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 codeName="{37A63EE7-654F-3FA9-A528-636911D70600}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arcos.antihuala\Documents\1. REM\1. REM 2023\REM SA y BS actualizados\"/>
    </mc:Choice>
  </mc:AlternateContent>
  <xr:revisionPtr revIDLastSave="0" documentId="13_ncr:1_{7FDC3E04-D3BA-4D13-8AA9-2D5D35A994C1}" xr6:coauthVersionLast="47" xr6:coauthVersionMax="47" xr10:uidLastSave="{00000000-0000-0000-0000-000000000000}"/>
  <workbookProtection workbookAlgorithmName="SHA-512" workbookHashValue="iL3GaBk8Oz7VEis7681HUBCnkAdydovCOeEqKU/V65NKmazE8neCU/pVeIz0B0IcO8eBh3n6RUr0R2ppITVbDA==" workbookSaltValue="/fAIaumk2U0bw747hF3/4A==" workbookSpinCount="100000" lockStructure="1"/>
  <bookViews>
    <workbookView xWindow="-120" yWindow="-120" windowWidth="29040" windowHeight="15720" tabRatio="897" xr2:uid="{00000000-000D-0000-FFFF-FFFF00000000}"/>
  </bookViews>
  <sheets>
    <sheet name="NOMBRE" sheetId="27" r:id="rId1"/>
    <sheet name="A01" sheetId="38" r:id="rId2"/>
    <sheet name="A02" sheetId="51" r:id="rId3"/>
    <sheet name="A03" sheetId="45" r:id="rId4"/>
    <sheet name="A04" sheetId="32" r:id="rId5"/>
    <sheet name="A05" sheetId="39" r:id="rId6"/>
    <sheet name="A06" sheetId="46" r:id="rId7"/>
    <sheet name="A07" sheetId="8" r:id="rId8"/>
    <sheet name="A08" sheetId="40" r:id="rId9"/>
    <sheet name="A09" sheetId="60" r:id="rId10"/>
    <sheet name="A11" sheetId="52" r:id="rId11"/>
    <sheet name="A11a" sheetId="57" r:id="rId12"/>
    <sheet name="A19a" sheetId="42" r:id="rId13"/>
    <sheet name="A19b" sheetId="53" r:id="rId14"/>
    <sheet name="A21" sheetId="48" r:id="rId15"/>
    <sheet name="A23" sheetId="54" r:id="rId16"/>
    <sheet name="A24" sheetId="43" r:id="rId17"/>
    <sheet name="A25" sheetId="55" r:id="rId18"/>
    <sheet name="A26" sheetId="49" r:id="rId19"/>
    <sheet name="A27" sheetId="31" r:id="rId20"/>
    <sheet name="A28" sheetId="37" r:id="rId21"/>
    <sheet name="A29" sheetId="44" r:id="rId22"/>
    <sheet name="A30" sheetId="50" r:id="rId23"/>
    <sheet name="A30AR" sheetId="61" r:id="rId24"/>
    <sheet name="A31" sheetId="36" r:id="rId25"/>
    <sheet name="A32" sheetId="58" r:id="rId26"/>
    <sheet name="A33" sheetId="59" r:id="rId27"/>
    <sheet name="Control" sheetId="28" r:id="rId28"/>
    <sheet name="MACROS" sheetId="29" r:id="rId29"/>
  </sheets>
  <functionGroups builtInGroupCount="19"/>
  <definedNames>
    <definedName name="_xlnm.Print_Area" localSheetId="16">'A24'!$A$67:$S$73</definedName>
    <definedName name="_xlnm.Print_Area" localSheetId="27">Control!$A$1:$H$35</definedName>
    <definedName name="FAMILIA_CON_NIÑO_NANEA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2" i="37" l="1"/>
  <c r="D181" i="37"/>
  <c r="D180" i="37"/>
  <c r="D179" i="37"/>
  <c r="D178" i="37"/>
  <c r="D149" i="37"/>
  <c r="D150" i="37"/>
  <c r="D151" i="37"/>
  <c r="D152" i="37"/>
  <c r="D153" i="37"/>
  <c r="D154" i="37"/>
  <c r="D155" i="37"/>
  <c r="D156" i="37"/>
  <c r="D157" i="37"/>
  <c r="D158" i="37"/>
  <c r="D159" i="37"/>
  <c r="D160" i="37"/>
  <c r="D161" i="37"/>
  <c r="D162" i="37"/>
  <c r="D163" i="37"/>
  <c r="D164" i="37"/>
  <c r="D165" i="37"/>
  <c r="D166" i="37"/>
  <c r="D167" i="37"/>
  <c r="D168" i="37"/>
  <c r="D169" i="37"/>
  <c r="D170" i="37"/>
  <c r="D171" i="37"/>
  <c r="D172" i="37"/>
  <c r="D173" i="37"/>
  <c r="D174" i="37"/>
  <c r="D175" i="37"/>
  <c r="D176" i="37"/>
  <c r="D148" i="37"/>
  <c r="C182" i="37"/>
  <c r="C181" i="37"/>
  <c r="C180" i="37"/>
  <c r="C179" i="37"/>
  <c r="C178" i="37"/>
  <c r="C149" i="37"/>
  <c r="C150" i="37"/>
  <c r="C151" i="37"/>
  <c r="C152" i="37"/>
  <c r="C153" i="37"/>
  <c r="C154" i="37"/>
  <c r="C155" i="37"/>
  <c r="C156" i="37"/>
  <c r="C157" i="37"/>
  <c r="C158" i="37"/>
  <c r="C159" i="37"/>
  <c r="C160" i="37"/>
  <c r="C161" i="37"/>
  <c r="C162" i="37"/>
  <c r="C163" i="37"/>
  <c r="C164" i="37"/>
  <c r="C165" i="37"/>
  <c r="C166" i="37"/>
  <c r="C167" i="37"/>
  <c r="C168" i="37"/>
  <c r="C169" i="37"/>
  <c r="C170" i="37"/>
  <c r="C171" i="37"/>
  <c r="C172" i="37"/>
  <c r="C173" i="37"/>
  <c r="C174" i="37"/>
  <c r="C175" i="37"/>
  <c r="C176" i="37"/>
  <c r="C148" i="37"/>
  <c r="B16" i="58"/>
  <c r="D89" i="40" l="1"/>
  <c r="E89" i="40"/>
  <c r="C89" i="40"/>
  <c r="E80" i="42"/>
  <c r="D80" i="42"/>
  <c r="E74" i="42"/>
  <c r="D74" i="42"/>
  <c r="D12" i="43" l="1"/>
  <c r="E12" i="43"/>
  <c r="F12" i="43"/>
  <c r="G12" i="43"/>
  <c r="H12" i="43"/>
  <c r="I12" i="43"/>
  <c r="J12" i="43"/>
  <c r="K12" i="43"/>
  <c r="L12" i="43"/>
  <c r="M12" i="43"/>
  <c r="N12" i="43"/>
  <c r="O12" i="43"/>
  <c r="P12" i="43"/>
  <c r="Q12" i="43"/>
  <c r="R12" i="43"/>
  <c r="S12" i="43"/>
  <c r="T12" i="43"/>
  <c r="U12" i="43"/>
  <c r="V12" i="43"/>
  <c r="W12" i="43"/>
  <c r="X12" i="43"/>
  <c r="Y12" i="43"/>
  <c r="Z12" i="43"/>
  <c r="AA12" i="43"/>
  <c r="AB12" i="43"/>
  <c r="C12" i="43"/>
  <c r="C112" i="55"/>
  <c r="C111" i="55"/>
  <c r="C110" i="55"/>
  <c r="C109" i="55"/>
  <c r="C108" i="55"/>
  <c r="C107" i="55"/>
  <c r="C117" i="55"/>
  <c r="C118" i="55"/>
  <c r="C119" i="55"/>
  <c r="C120" i="55"/>
  <c r="C121" i="55"/>
  <c r="C116" i="55"/>
  <c r="CQ26" i="44" l="1"/>
  <c r="CP26" i="44"/>
  <c r="CQ23" i="44"/>
  <c r="CP23" i="44"/>
  <c r="CQ16" i="44"/>
  <c r="CP16" i="44"/>
  <c r="CQ64" i="44"/>
  <c r="CQ63" i="44"/>
  <c r="CQ59" i="44"/>
  <c r="CP64" i="44"/>
  <c r="CP63" i="44"/>
  <c r="CP59" i="44"/>
  <c r="L33" i="44"/>
  <c r="K33" i="44"/>
  <c r="J33" i="44"/>
  <c r="I33" i="44"/>
  <c r="H33" i="44"/>
  <c r="G33" i="44"/>
  <c r="F33" i="44"/>
  <c r="D33" i="44"/>
  <c r="P59" i="39"/>
  <c r="O59" i="39"/>
  <c r="N59" i="39"/>
  <c r="P35" i="39"/>
  <c r="O35" i="39"/>
  <c r="N35" i="39"/>
  <c r="O70" i="43"/>
  <c r="N70" i="43"/>
  <c r="M70" i="43"/>
  <c r="N30" i="61"/>
  <c r="Q30" i="61"/>
  <c r="P30" i="61"/>
  <c r="O30" i="61"/>
  <c r="M30" i="61"/>
  <c r="L30" i="61"/>
  <c r="K30" i="61"/>
  <c r="J30" i="61"/>
  <c r="I30" i="61"/>
  <c r="H30" i="61"/>
  <c r="G30" i="61"/>
  <c r="F30" i="61"/>
  <c r="P70" i="43"/>
  <c r="Q70" i="43"/>
  <c r="R70" i="43"/>
  <c r="S70" i="43"/>
  <c r="T70" i="43"/>
  <c r="AN262" i="45" l="1"/>
  <c r="H309" i="45"/>
  <c r="E177" i="37" l="1"/>
  <c r="B178" i="37"/>
  <c r="B181" i="37"/>
  <c r="B179" i="37"/>
  <c r="AL97" i="58"/>
  <c r="I156" i="55"/>
  <c r="E156" i="55"/>
  <c r="E140" i="39"/>
  <c r="E137" i="39"/>
  <c r="D136" i="39"/>
  <c r="C118" i="32"/>
  <c r="Q199" i="45"/>
  <c r="M199" i="45"/>
  <c r="H199" i="45"/>
  <c r="B180" i="37" l="1"/>
  <c r="B182" i="37"/>
  <c r="B177" i="37" s="1"/>
  <c r="C177" i="37"/>
  <c r="AK97" i="58"/>
  <c r="E136" i="39" l="1"/>
  <c r="E194" i="39" l="1"/>
  <c r="E138" i="39"/>
  <c r="E139" i="39"/>
  <c r="D139" i="39"/>
  <c r="D137" i="39"/>
  <c r="D138" i="39"/>
  <c r="D140" i="39"/>
  <c r="H177" i="37" l="1"/>
  <c r="F177" i="37"/>
  <c r="G177" i="37"/>
  <c r="I177" i="37"/>
  <c r="J177" i="37"/>
  <c r="K177" i="37"/>
  <c r="L177" i="37"/>
  <c r="M177" i="37"/>
  <c r="N177" i="37"/>
  <c r="O177" i="37"/>
  <c r="P177" i="37"/>
  <c r="Q177" i="37"/>
  <c r="R177" i="37"/>
  <c r="S177" i="37"/>
  <c r="T177" i="37"/>
  <c r="U177" i="37"/>
  <c r="V177" i="37"/>
  <c r="W177" i="37"/>
  <c r="X177" i="37"/>
  <c r="Y177" i="37"/>
  <c r="Z177" i="37"/>
  <c r="AA177" i="37"/>
  <c r="AB177" i="37"/>
  <c r="AC177" i="37"/>
  <c r="AD177" i="37"/>
  <c r="AE177" i="37"/>
  <c r="AF177" i="37"/>
  <c r="AG177" i="37"/>
  <c r="AH177" i="37"/>
  <c r="AI177" i="37"/>
  <c r="AJ177" i="37"/>
  <c r="AK177" i="37"/>
  <c r="AL177" i="37"/>
  <c r="D177" i="37"/>
  <c r="E33" i="44"/>
  <c r="C33" i="44" s="1"/>
  <c r="B148" i="37" l="1"/>
  <c r="B174" i="37"/>
  <c r="CQ33" i="44"/>
  <c r="CP33" i="44"/>
  <c r="B170" i="37"/>
  <c r="B166" i="37"/>
  <c r="B162" i="37"/>
  <c r="B158" i="37"/>
  <c r="B154" i="37"/>
  <c r="B150" i="37"/>
  <c r="B176" i="37"/>
  <c r="B172" i="37"/>
  <c r="B168" i="37"/>
  <c r="B164" i="37"/>
  <c r="B160" i="37"/>
  <c r="B156" i="37"/>
  <c r="B152" i="37"/>
  <c r="B175" i="37"/>
  <c r="B151" i="37"/>
  <c r="B171" i="37"/>
  <c r="B155" i="37"/>
  <c r="B159" i="37"/>
  <c r="B167" i="37"/>
  <c r="B163" i="37"/>
  <c r="B173" i="37"/>
  <c r="B169" i="37"/>
  <c r="B165" i="37"/>
  <c r="B161" i="37"/>
  <c r="B157" i="37"/>
  <c r="B153" i="37"/>
  <c r="B149" i="37"/>
  <c r="E168" i="46"/>
  <c r="D168" i="46"/>
  <c r="E167" i="46"/>
  <c r="D167" i="46"/>
  <c r="E165" i="46"/>
  <c r="D165" i="46"/>
  <c r="E164" i="46"/>
  <c r="D164" i="46"/>
  <c r="D163" i="46"/>
  <c r="E162" i="46"/>
  <c r="D162" i="46"/>
  <c r="E161" i="46"/>
  <c r="D161" i="46"/>
  <c r="E160" i="46"/>
  <c r="D160" i="46"/>
  <c r="E159" i="46"/>
  <c r="D159" i="46"/>
  <c r="E158" i="46"/>
  <c r="D157" i="46"/>
  <c r="E156" i="46"/>
  <c r="D156" i="46"/>
  <c r="AV166" i="46"/>
  <c r="AU166" i="46"/>
  <c r="AT166" i="46"/>
  <c r="AS166" i="46"/>
  <c r="AR166" i="46"/>
  <c r="AQ166" i="46"/>
  <c r="AP166" i="46"/>
  <c r="AO166" i="46"/>
  <c r="AN166" i="46"/>
  <c r="AM166" i="46"/>
  <c r="AL166" i="46"/>
  <c r="AK166" i="46"/>
  <c r="AJ166" i="46"/>
  <c r="AI166" i="46"/>
  <c r="AH166" i="46"/>
  <c r="AG166" i="46"/>
  <c r="AF166" i="46"/>
  <c r="AE166" i="46"/>
  <c r="AD166" i="46"/>
  <c r="AC166" i="46"/>
  <c r="AB166" i="46"/>
  <c r="AA166" i="46"/>
  <c r="Z166" i="46"/>
  <c r="Y166" i="46"/>
  <c r="X166" i="46"/>
  <c r="W166" i="46"/>
  <c r="V166" i="46"/>
  <c r="U166" i="46"/>
  <c r="T166" i="46"/>
  <c r="S166" i="46"/>
  <c r="R166" i="46"/>
  <c r="Q166" i="46"/>
  <c r="P166" i="46"/>
  <c r="O166" i="46"/>
  <c r="N166" i="46"/>
  <c r="M166" i="46"/>
  <c r="L166" i="46"/>
  <c r="K166" i="46"/>
  <c r="J166" i="46"/>
  <c r="I166" i="46"/>
  <c r="H166" i="46"/>
  <c r="G166" i="46"/>
  <c r="F166" i="46"/>
  <c r="E163" i="46"/>
  <c r="D158" i="46"/>
  <c r="E157" i="46"/>
  <c r="C162" i="46" l="1"/>
  <c r="C167" i="46"/>
  <c r="C160" i="46"/>
  <c r="C159" i="46"/>
  <c r="C165" i="46"/>
  <c r="C161" i="46"/>
  <c r="C157" i="46"/>
  <c r="C156" i="46"/>
  <c r="C163" i="46"/>
  <c r="C158" i="46"/>
  <c r="C164" i="46"/>
  <c r="D166" i="46"/>
  <c r="C168" i="46"/>
  <c r="E166" i="46"/>
  <c r="G178" i="60"/>
  <c r="C166" i="46" l="1"/>
  <c r="D156" i="55"/>
  <c r="G156" i="55"/>
  <c r="H156" i="55"/>
  <c r="F156" i="55"/>
  <c r="G199" i="45" l="1"/>
  <c r="I199" i="45"/>
  <c r="J199" i="45"/>
  <c r="K199" i="45"/>
  <c r="L199" i="45"/>
  <c r="N199" i="45"/>
  <c r="O199" i="45"/>
  <c r="P199" i="45"/>
  <c r="F199" i="45"/>
  <c r="C65" i="45" l="1"/>
  <c r="C64" i="45"/>
  <c r="C63" i="45"/>
  <c r="C62" i="45"/>
  <c r="C61" i="45"/>
  <c r="C60" i="45"/>
  <c r="C66" i="45"/>
  <c r="B118" i="49" l="1"/>
  <c r="DA118" i="49" s="1"/>
  <c r="B117" i="49"/>
  <c r="DA117" i="49" s="1"/>
  <c r="B116" i="49"/>
  <c r="DA116" i="49" s="1"/>
  <c r="B115" i="49"/>
  <c r="DA115" i="49" s="1"/>
  <c r="B114" i="49"/>
  <c r="DA114" i="49" s="1"/>
  <c r="B113" i="49"/>
  <c r="DA113" i="49" s="1"/>
  <c r="B112" i="49"/>
  <c r="DA112" i="49" s="1"/>
  <c r="B111" i="49"/>
  <c r="DA111" i="49" s="1"/>
  <c r="B110" i="49"/>
  <c r="DA110" i="49" s="1"/>
  <c r="B109" i="49"/>
  <c r="DA109" i="49" s="1"/>
  <c r="B108" i="49"/>
  <c r="DA108" i="49" s="1"/>
  <c r="B107" i="49"/>
  <c r="DA107" i="49" s="1"/>
  <c r="B106" i="49"/>
  <c r="DA106" i="49" s="1"/>
  <c r="B105" i="49"/>
  <c r="DA105" i="49" s="1"/>
  <c r="B104" i="49"/>
  <c r="DA104" i="49" s="1"/>
  <c r="Q119" i="49"/>
  <c r="R119" i="49"/>
  <c r="S119" i="49"/>
  <c r="T119" i="49"/>
  <c r="U119" i="49"/>
  <c r="F22" i="55"/>
  <c r="E22" i="55"/>
  <c r="F12" i="55"/>
  <c r="E12" i="55"/>
  <c r="F61" i="60"/>
  <c r="F63" i="60"/>
  <c r="F62" i="60"/>
  <c r="E63" i="60"/>
  <c r="E62" i="60"/>
  <c r="E61" i="60"/>
  <c r="F45" i="60"/>
  <c r="E45" i="60"/>
  <c r="F44" i="60"/>
  <c r="E44" i="60"/>
  <c r="B186" i="32"/>
  <c r="B206" i="54"/>
  <c r="D22" i="28" s="1"/>
  <c r="D30" i="28"/>
  <c r="BZ71" i="43" l="1"/>
  <c r="CO92" i="58"/>
  <c r="CO61" i="58"/>
  <c r="CP39" i="58"/>
  <c r="CF39" i="58" s="1"/>
  <c r="CN64" i="44"/>
  <c r="E213" i="60" l="1"/>
  <c r="E214" i="60"/>
  <c r="E215" i="60"/>
  <c r="E216" i="60"/>
  <c r="F76" i="8"/>
  <c r="M35" i="39" l="1"/>
  <c r="B104" i="32"/>
  <c r="B105" i="32"/>
  <c r="B106" i="32"/>
  <c r="C71" i="45"/>
  <c r="D71" i="45"/>
  <c r="C172" i="54"/>
  <c r="C171" i="54"/>
  <c r="C170" i="54"/>
  <c r="K70" i="54"/>
  <c r="J70" i="54"/>
  <c r="I70" i="54"/>
  <c r="H70" i="54"/>
  <c r="G70" i="54"/>
  <c r="F70" i="54"/>
  <c r="E70" i="54"/>
  <c r="C69" i="54"/>
  <c r="D69" i="54"/>
  <c r="C68" i="54"/>
  <c r="D68" i="54"/>
  <c r="C67" i="54"/>
  <c r="D67" i="54"/>
  <c r="C62" i="54"/>
  <c r="D62" i="54"/>
  <c r="B126" i="43"/>
  <c r="D89" i="43"/>
  <c r="E89" i="43"/>
  <c r="F89" i="43"/>
  <c r="G89" i="43"/>
  <c r="H89" i="43"/>
  <c r="I89" i="43"/>
  <c r="C89" i="43"/>
  <c r="C29" i="43"/>
  <c r="C28" i="43"/>
  <c r="C27" i="43"/>
  <c r="C26" i="43"/>
  <c r="D271" i="55"/>
  <c r="C271" i="55"/>
  <c r="D267" i="55"/>
  <c r="C267" i="55"/>
  <c r="D262" i="55"/>
  <c r="C262" i="55"/>
  <c r="D258" i="55"/>
  <c r="C258" i="55"/>
  <c r="B67" i="54" l="1"/>
  <c r="B69" i="54"/>
  <c r="B62" i="54"/>
  <c r="D70" i="54"/>
  <c r="B68" i="54"/>
  <c r="C70" i="54"/>
  <c r="BY86" i="45"/>
  <c r="BX86" i="45"/>
  <c r="BW86" i="45"/>
  <c r="BY85" i="45"/>
  <c r="BX85" i="45"/>
  <c r="BW85" i="45"/>
  <c r="B70" i="54" l="1"/>
  <c r="CC215" i="58"/>
  <c r="M215" i="58" s="1"/>
  <c r="CC214" i="58"/>
  <c r="M214" i="58" s="1"/>
  <c r="CB64" i="44"/>
  <c r="CA64" i="44"/>
  <c r="CB63" i="44"/>
  <c r="CA63" i="44"/>
  <c r="CB59" i="44"/>
  <c r="CA59" i="44"/>
  <c r="DV215" i="52"/>
  <c r="CV215" i="52"/>
  <c r="DU215" i="52"/>
  <c r="CU215" i="52"/>
  <c r="DT215" i="52"/>
  <c r="CT215" i="52"/>
  <c r="DS215" i="52"/>
  <c r="CS215" i="52"/>
  <c r="DR215" i="52"/>
  <c r="CR215" i="52"/>
  <c r="DQ215" i="52"/>
  <c r="CQ215" i="52"/>
  <c r="DP215" i="52"/>
  <c r="CP215" i="52"/>
  <c r="DO215" i="52"/>
  <c r="CO215" i="52"/>
  <c r="DN215" i="52"/>
  <c r="CN215" i="52"/>
  <c r="DM215" i="52"/>
  <c r="CM215" i="52"/>
  <c r="DL215" i="52"/>
  <c r="CL215" i="52"/>
  <c r="DK215" i="52"/>
  <c r="CK215" i="52"/>
  <c r="DJ215" i="52"/>
  <c r="CJ215" i="52"/>
  <c r="DI215" i="52"/>
  <c r="CI215" i="52"/>
  <c r="DH215" i="52"/>
  <c r="CH215" i="52"/>
  <c r="DG215" i="52"/>
  <c r="CG215" i="52"/>
  <c r="DF215" i="52"/>
  <c r="CF215" i="52"/>
  <c r="DV214" i="52"/>
  <c r="CV214" i="52"/>
  <c r="DU214" i="52"/>
  <c r="CU214" i="52"/>
  <c r="DT214" i="52"/>
  <c r="CT214" i="52"/>
  <c r="DS214" i="52"/>
  <c r="CS214" i="52"/>
  <c r="DR214" i="52"/>
  <c r="CR214" i="52"/>
  <c r="DQ214" i="52"/>
  <c r="CQ214" i="52"/>
  <c r="DP214" i="52"/>
  <c r="CP214" i="52"/>
  <c r="DO214" i="52"/>
  <c r="CO214" i="52"/>
  <c r="DN214" i="52"/>
  <c r="CN214" i="52"/>
  <c r="DM214" i="52"/>
  <c r="CM214" i="52"/>
  <c r="DL214" i="52"/>
  <c r="CL214" i="52"/>
  <c r="DK214" i="52"/>
  <c r="CK214" i="52"/>
  <c r="DJ214" i="52"/>
  <c r="CJ214" i="52"/>
  <c r="DI214" i="52"/>
  <c r="CI214" i="52"/>
  <c r="DH214" i="52"/>
  <c r="CH214" i="52"/>
  <c r="DG214" i="52"/>
  <c r="CG214" i="52"/>
  <c r="DF214" i="52"/>
  <c r="CF214" i="52"/>
  <c r="DF80" i="60"/>
  <c r="CF80" i="60" s="1"/>
  <c r="DF79" i="60"/>
  <c r="CF79" i="60" s="1"/>
  <c r="DF78" i="60"/>
  <c r="CF78" i="60" s="1"/>
  <c r="DF77" i="60"/>
  <c r="CF77" i="60" s="1"/>
  <c r="DF76" i="60"/>
  <c r="CF76" i="60" s="1"/>
  <c r="DF75" i="60"/>
  <c r="CF75" i="60" s="1"/>
  <c r="DF74" i="60"/>
  <c r="CF74" i="60" s="1"/>
  <c r="DF73" i="60"/>
  <c r="CF73" i="60" s="1"/>
  <c r="DF72" i="60"/>
  <c r="CF72" i="60" s="1"/>
  <c r="DF71" i="60"/>
  <c r="CF71" i="60" s="1"/>
  <c r="DF70" i="60"/>
  <c r="CF70" i="60" s="1"/>
  <c r="DF69" i="60"/>
  <c r="CF69" i="60" s="1"/>
  <c r="DF68" i="60"/>
  <c r="CF68" i="60" s="1"/>
  <c r="DF67" i="60"/>
  <c r="CF67" i="60" s="1"/>
  <c r="DD67" i="60"/>
  <c r="DC42" i="60"/>
  <c r="CC42" i="60" s="1"/>
  <c r="DC41" i="60"/>
  <c r="DC35" i="60"/>
  <c r="CC35" i="60" s="1"/>
  <c r="DA35" i="60"/>
  <c r="CA35" i="60" s="1"/>
  <c r="DC34" i="60"/>
  <c r="CC34" i="60" s="1"/>
  <c r="DA34" i="60"/>
  <c r="CA34" i="60" s="1"/>
  <c r="DC33" i="60"/>
  <c r="CC33" i="60" s="1"/>
  <c r="DA33" i="60"/>
  <c r="CA33" i="60" s="1"/>
  <c r="DC32" i="60"/>
  <c r="CC32" i="60" s="1"/>
  <c r="DA32" i="60"/>
  <c r="CA32" i="60" s="1"/>
  <c r="DC31" i="60"/>
  <c r="CC31" i="60" s="1"/>
  <c r="DA31" i="60"/>
  <c r="CA31" i="60" s="1"/>
  <c r="DC30" i="60"/>
  <c r="CC30" i="60" s="1"/>
  <c r="DA30" i="60"/>
  <c r="CA30" i="60" s="1"/>
  <c r="DC29" i="60"/>
  <c r="CC29" i="60" s="1"/>
  <c r="DA29" i="60"/>
  <c r="CA29" i="60" s="1"/>
  <c r="DC28" i="60"/>
  <c r="CC28" i="60" s="1"/>
  <c r="DA28" i="60"/>
  <c r="CA28" i="60" s="1"/>
  <c r="DC27" i="60"/>
  <c r="CC27" i="60" s="1"/>
  <c r="DA27" i="60"/>
  <c r="CA27" i="60" s="1"/>
  <c r="DC26" i="60"/>
  <c r="CC26" i="60" s="1"/>
  <c r="DA26" i="60"/>
  <c r="CA26" i="60" s="1"/>
  <c r="DC25" i="60"/>
  <c r="CC25" i="60" s="1"/>
  <c r="DA25" i="60"/>
  <c r="CA25" i="60" s="1"/>
  <c r="DC24" i="60"/>
  <c r="CC24" i="60" s="1"/>
  <c r="DA24" i="60"/>
  <c r="CA24" i="60" s="1"/>
  <c r="DC23" i="60"/>
  <c r="CC23" i="60" s="1"/>
  <c r="DA23" i="60"/>
  <c r="CA23" i="60" s="1"/>
  <c r="DC22" i="60"/>
  <c r="CC22" i="60" s="1"/>
  <c r="DA22" i="60"/>
  <c r="CA22" i="60" s="1"/>
  <c r="DC21" i="60"/>
  <c r="CC21" i="60" s="1"/>
  <c r="DA21" i="60"/>
  <c r="CA21" i="60" s="1"/>
  <c r="DC20" i="60"/>
  <c r="CC20" i="60" s="1"/>
  <c r="DA20" i="60"/>
  <c r="CA20" i="60" s="1"/>
  <c r="DC19" i="60"/>
  <c r="DA19" i="60"/>
  <c r="DC12" i="60"/>
  <c r="DA15" i="60"/>
  <c r="CF32" i="46" l="1"/>
  <c r="CE32" i="46"/>
  <c r="CD32" i="46"/>
  <c r="CC32" i="46"/>
  <c r="CF31" i="46"/>
  <c r="CE31" i="46"/>
  <c r="CD31" i="46"/>
  <c r="CC31" i="46"/>
  <c r="B57" i="32"/>
  <c r="B56" i="32"/>
  <c r="A5" i="60"/>
  <c r="A4" i="60"/>
  <c r="A3" i="60"/>
  <c r="A2" i="60"/>
  <c r="AA13" i="48"/>
  <c r="G44" i="53"/>
  <c r="H44" i="53"/>
  <c r="D137" i="32"/>
  <c r="D166" i="45"/>
  <c r="F161" i="45"/>
  <c r="C37" i="38"/>
  <c r="C24" i="38"/>
  <c r="A5" i="61" l="1"/>
  <c r="A4" i="61"/>
  <c r="A3" i="61"/>
  <c r="A2" i="61"/>
  <c r="B124" i="61"/>
  <c r="B123" i="61"/>
  <c r="B122" i="61"/>
  <c r="I111" i="61"/>
  <c r="H111" i="61"/>
  <c r="G111" i="61"/>
  <c r="F111" i="61"/>
  <c r="E111" i="61"/>
  <c r="D111" i="61"/>
  <c r="C111" i="61"/>
  <c r="B111" i="61"/>
  <c r="B106" i="61"/>
  <c r="B101" i="61"/>
  <c r="B96" i="61"/>
  <c r="B95" i="61"/>
  <c r="B90" i="61"/>
  <c r="B89" i="61"/>
  <c r="I81" i="61"/>
  <c r="H81" i="61"/>
  <c r="G81" i="61"/>
  <c r="F81" i="61"/>
  <c r="E81" i="61"/>
  <c r="D81" i="61"/>
  <c r="C81" i="61"/>
  <c r="B81" i="61"/>
  <c r="E76" i="61"/>
  <c r="D76" i="61"/>
  <c r="C76" i="61"/>
  <c r="B76" i="61"/>
  <c r="E75" i="61"/>
  <c r="D75" i="61"/>
  <c r="C75" i="61"/>
  <c r="B75" i="61"/>
  <c r="E74" i="61"/>
  <c r="D74" i="61"/>
  <c r="C74" i="61"/>
  <c r="B74" i="61"/>
  <c r="E73" i="61"/>
  <c r="D73" i="61"/>
  <c r="C73" i="61"/>
  <c r="B73" i="61"/>
  <c r="Q72" i="61"/>
  <c r="P72" i="61"/>
  <c r="O72" i="61"/>
  <c r="N72" i="61"/>
  <c r="M72" i="61"/>
  <c r="L72" i="61"/>
  <c r="K72" i="61"/>
  <c r="J72" i="61"/>
  <c r="I72" i="61"/>
  <c r="H72" i="61"/>
  <c r="G72" i="61"/>
  <c r="F72" i="61"/>
  <c r="E67" i="61"/>
  <c r="D67" i="61"/>
  <c r="C67" i="61"/>
  <c r="B67" i="61"/>
  <c r="E66" i="61"/>
  <c r="D66" i="61"/>
  <c r="C66" i="61"/>
  <c r="B66" i="61"/>
  <c r="E65" i="61"/>
  <c r="D65" i="61"/>
  <c r="C65" i="61"/>
  <c r="B65" i="61"/>
  <c r="E64" i="61"/>
  <c r="D64" i="61"/>
  <c r="C64" i="61"/>
  <c r="B64" i="61"/>
  <c r="Q63" i="61"/>
  <c r="P63" i="61"/>
  <c r="O63" i="61"/>
  <c r="N63" i="61"/>
  <c r="M63" i="61"/>
  <c r="L63" i="61"/>
  <c r="K63" i="61"/>
  <c r="J63" i="61"/>
  <c r="I63" i="61"/>
  <c r="H63" i="61"/>
  <c r="G63" i="61"/>
  <c r="F63" i="61"/>
  <c r="E57" i="61"/>
  <c r="D57" i="61"/>
  <c r="C57" i="61"/>
  <c r="B57" i="61"/>
  <c r="E56" i="61"/>
  <c r="D56" i="61"/>
  <c r="C56" i="61"/>
  <c r="B56" i="61"/>
  <c r="E55" i="61"/>
  <c r="D55" i="61"/>
  <c r="C55" i="61"/>
  <c r="B55" i="61"/>
  <c r="E54" i="61"/>
  <c r="D54" i="61"/>
  <c r="C54" i="61"/>
  <c r="B54" i="61"/>
  <c r="E53" i="61"/>
  <c r="D53" i="61"/>
  <c r="C53" i="61"/>
  <c r="B53" i="61"/>
  <c r="Q52" i="61"/>
  <c r="P52" i="61"/>
  <c r="O52" i="61"/>
  <c r="N52" i="61"/>
  <c r="M52" i="61"/>
  <c r="L52" i="61"/>
  <c r="K52" i="61"/>
  <c r="J52" i="61"/>
  <c r="I52" i="61"/>
  <c r="H52" i="61"/>
  <c r="G52" i="61"/>
  <c r="F52" i="61"/>
  <c r="E47" i="61"/>
  <c r="D47" i="61"/>
  <c r="C47" i="61"/>
  <c r="B47" i="61"/>
  <c r="E46" i="61"/>
  <c r="D46" i="61"/>
  <c r="C46" i="61"/>
  <c r="B46" i="61"/>
  <c r="E45" i="61"/>
  <c r="D45" i="61"/>
  <c r="C45" i="61"/>
  <c r="B45" i="61"/>
  <c r="E44" i="61"/>
  <c r="D44" i="61"/>
  <c r="C44" i="61"/>
  <c r="B44" i="61"/>
  <c r="Y43" i="61"/>
  <c r="X43" i="61"/>
  <c r="W43" i="61"/>
  <c r="V43" i="61"/>
  <c r="U43" i="61"/>
  <c r="T43" i="61"/>
  <c r="S43" i="61"/>
  <c r="R43" i="61"/>
  <c r="Q43" i="61"/>
  <c r="P43" i="61"/>
  <c r="O43" i="61"/>
  <c r="N43" i="61"/>
  <c r="M43" i="61"/>
  <c r="L43" i="61"/>
  <c r="K43" i="61"/>
  <c r="J43" i="61"/>
  <c r="I43" i="61"/>
  <c r="H43" i="61"/>
  <c r="G43" i="61"/>
  <c r="F43" i="61"/>
  <c r="E38" i="61"/>
  <c r="D38" i="61"/>
  <c r="C38" i="61"/>
  <c r="B38" i="61"/>
  <c r="E37" i="61"/>
  <c r="D37" i="61"/>
  <c r="C37" i="61"/>
  <c r="B37" i="61"/>
  <c r="E36" i="61"/>
  <c r="D36" i="61"/>
  <c r="C36" i="61"/>
  <c r="B36" i="61"/>
  <c r="E35" i="61"/>
  <c r="D35" i="61"/>
  <c r="E34" i="61"/>
  <c r="D34" i="61"/>
  <c r="C34" i="61"/>
  <c r="B34" i="61"/>
  <c r="E33" i="61"/>
  <c r="D33" i="61"/>
  <c r="E32" i="61"/>
  <c r="D32" i="61"/>
  <c r="E31" i="61"/>
  <c r="D31" i="61"/>
  <c r="C31" i="61"/>
  <c r="B31" i="61"/>
  <c r="E25" i="61"/>
  <c r="D25" i="61"/>
  <c r="C25" i="61"/>
  <c r="B25" i="61"/>
  <c r="E24" i="61"/>
  <c r="D24" i="61"/>
  <c r="C24" i="61"/>
  <c r="B24" i="61"/>
  <c r="E23" i="61"/>
  <c r="D23" i="61"/>
  <c r="E22" i="61"/>
  <c r="D22" i="61"/>
  <c r="E21" i="61"/>
  <c r="D21" i="61"/>
  <c r="C21" i="61"/>
  <c r="B21" i="61"/>
  <c r="E20" i="61"/>
  <c r="D20" i="61"/>
  <c r="E19" i="61"/>
  <c r="D19" i="61"/>
  <c r="E18" i="61"/>
  <c r="D18" i="61"/>
  <c r="C18" i="61"/>
  <c r="B18" i="61"/>
  <c r="E17" i="61"/>
  <c r="D17" i="61"/>
  <c r="Q16" i="61"/>
  <c r="P16" i="61"/>
  <c r="O16" i="61"/>
  <c r="N16" i="61"/>
  <c r="M16" i="61"/>
  <c r="L16" i="61"/>
  <c r="K16" i="61"/>
  <c r="J16" i="61"/>
  <c r="I16" i="61"/>
  <c r="H16" i="61"/>
  <c r="G16" i="61"/>
  <c r="F16" i="61"/>
  <c r="N18" i="50"/>
  <c r="R18" i="50"/>
  <c r="E30" i="61" l="1"/>
  <c r="B30" i="61"/>
  <c r="C30" i="61"/>
  <c r="D30" i="61"/>
  <c r="B72" i="61"/>
  <c r="E43" i="61"/>
  <c r="C63" i="61"/>
  <c r="E63" i="61"/>
  <c r="B63" i="61"/>
  <c r="C52" i="61"/>
  <c r="E52" i="61"/>
  <c r="B52" i="61"/>
  <c r="D63" i="61"/>
  <c r="B16" i="61"/>
  <c r="B43" i="61"/>
  <c r="D43" i="61"/>
  <c r="D52" i="61"/>
  <c r="E72" i="61"/>
  <c r="C43" i="61"/>
  <c r="D16" i="61"/>
  <c r="C72" i="61"/>
  <c r="E16" i="61"/>
  <c r="C16" i="61"/>
  <c r="D72" i="61"/>
  <c r="A130" i="61" l="1"/>
  <c r="F30" i="28" s="1"/>
  <c r="AK70" i="54"/>
  <c r="AJ70" i="54"/>
  <c r="AI70" i="54"/>
  <c r="AH70" i="54"/>
  <c r="AG70" i="54"/>
  <c r="AF70" i="54"/>
  <c r="AE70" i="54"/>
  <c r="AD70" i="54"/>
  <c r="AC70" i="54"/>
  <c r="AB70" i="54"/>
  <c r="AA70" i="54"/>
  <c r="Z70" i="54"/>
  <c r="Y70" i="54"/>
  <c r="X70" i="54"/>
  <c r="W70" i="54"/>
  <c r="V70" i="54"/>
  <c r="U70" i="54"/>
  <c r="T70" i="54"/>
  <c r="S70" i="54"/>
  <c r="R70" i="54"/>
  <c r="Q70" i="54"/>
  <c r="P70" i="54"/>
  <c r="O70" i="54"/>
  <c r="N70" i="54"/>
  <c r="M70" i="54"/>
  <c r="L70" i="54"/>
  <c r="D56" i="54"/>
  <c r="C56" i="54"/>
  <c r="D55" i="54"/>
  <c r="C55" i="54"/>
  <c r="D54" i="54"/>
  <c r="C54" i="54"/>
  <c r="D53" i="54"/>
  <c r="C53" i="54"/>
  <c r="D52" i="54"/>
  <c r="C52" i="54"/>
  <c r="D51" i="54"/>
  <c r="C51" i="54"/>
  <c r="D50" i="54"/>
  <c r="C50" i="54"/>
  <c r="D49" i="54"/>
  <c r="C49" i="54"/>
  <c r="AT166" i="60"/>
  <c r="AT178" i="60"/>
  <c r="AU178" i="60"/>
  <c r="AU166" i="60"/>
  <c r="J73" i="48"/>
  <c r="C73" i="48"/>
  <c r="J72" i="48"/>
  <c r="C72" i="48"/>
  <c r="J71" i="48"/>
  <c r="C71" i="48"/>
  <c r="J70" i="48"/>
  <c r="C70" i="48"/>
  <c r="CL69" i="48"/>
  <c r="CK69" i="48"/>
  <c r="CJ69" i="48"/>
  <c r="CI69" i="48"/>
  <c r="CH69" i="48"/>
  <c r="CG69" i="48"/>
  <c r="CF69" i="48"/>
  <c r="CE69" i="48"/>
  <c r="CD69" i="48"/>
  <c r="CC69" i="48"/>
  <c r="CB69" i="48"/>
  <c r="CA69" i="48"/>
  <c r="C69" i="48"/>
  <c r="B107" i="48"/>
  <c r="B106" i="48"/>
  <c r="G102" i="48"/>
  <c r="F102" i="48"/>
  <c r="E102" i="48"/>
  <c r="D102" i="48"/>
  <c r="C102" i="48"/>
  <c r="B101" i="48"/>
  <c r="CH101" i="48" s="1"/>
  <c r="CA101" i="48" s="1"/>
  <c r="H101" i="48" s="1"/>
  <c r="B100" i="48"/>
  <c r="CH100" i="48" s="1"/>
  <c r="CA100" i="48" s="1"/>
  <c r="H100" i="48" s="1"/>
  <c r="B99" i="48"/>
  <c r="CH99" i="48" s="1"/>
  <c r="CA99" i="48" s="1"/>
  <c r="H99" i="48" s="1"/>
  <c r="B98" i="48"/>
  <c r="CH98" i="48" s="1"/>
  <c r="CA98" i="48" s="1"/>
  <c r="H98" i="48" s="1"/>
  <c r="B97" i="48"/>
  <c r="CH97" i="48" s="1"/>
  <c r="CA97" i="48" s="1"/>
  <c r="H97" i="48" s="1"/>
  <c r="B96" i="48"/>
  <c r="CH96" i="48" s="1"/>
  <c r="CA96" i="48" s="1"/>
  <c r="H96" i="48" s="1"/>
  <c r="B95" i="48"/>
  <c r="CH95" i="48" s="1"/>
  <c r="CA95" i="48" s="1"/>
  <c r="H95" i="48" s="1"/>
  <c r="I91" i="48"/>
  <c r="H91" i="48"/>
  <c r="G91" i="48"/>
  <c r="F91" i="48"/>
  <c r="E91" i="48"/>
  <c r="D91" i="48"/>
  <c r="C91" i="48"/>
  <c r="B91" i="48"/>
  <c r="CG89" i="48"/>
  <c r="CA89" i="48" s="1"/>
  <c r="J89" i="48" s="1"/>
  <c r="CG88" i="48"/>
  <c r="CA88" i="48" s="1"/>
  <c r="J88" i="48" s="1"/>
  <c r="CG87" i="48"/>
  <c r="CA87" i="48" s="1"/>
  <c r="J87" i="48" s="1"/>
  <c r="CG86" i="48"/>
  <c r="CA86" i="48" s="1"/>
  <c r="J86" i="48" s="1"/>
  <c r="CG85" i="48"/>
  <c r="CA85" i="48" s="1"/>
  <c r="J85" i="48" s="1"/>
  <c r="CG84" i="48"/>
  <c r="CA84" i="48" s="1"/>
  <c r="J84" i="48" s="1"/>
  <c r="CG83" i="48"/>
  <c r="CA83" i="48" s="1"/>
  <c r="J83" i="48" s="1"/>
  <c r="CG82" i="48"/>
  <c r="CA82" i="48" s="1"/>
  <c r="J82" i="48" s="1"/>
  <c r="CG81" i="48"/>
  <c r="CA81" i="48" s="1"/>
  <c r="J81" i="48" s="1"/>
  <c r="CG80" i="48"/>
  <c r="CA80" i="48" s="1"/>
  <c r="J80" i="48" s="1"/>
  <c r="CG79" i="48"/>
  <c r="CA79" i="48" s="1"/>
  <c r="J79" i="48" s="1"/>
  <c r="CG78" i="48"/>
  <c r="CA78" i="48" s="1"/>
  <c r="J78" i="48" s="1"/>
  <c r="D177" i="40"/>
  <c r="C177" i="40"/>
  <c r="D176" i="40"/>
  <c r="C176" i="40"/>
  <c r="D175" i="40"/>
  <c r="C175" i="40"/>
  <c r="D174" i="40"/>
  <c r="C174" i="40"/>
  <c r="C169" i="40"/>
  <c r="C168" i="40"/>
  <c r="C167" i="40"/>
  <c r="C166" i="40"/>
  <c r="C165" i="40"/>
  <c r="C164" i="40"/>
  <c r="C152" i="40"/>
  <c r="C151" i="40"/>
  <c r="DA147" i="40"/>
  <c r="CA147" i="40"/>
  <c r="E147" i="40" s="1"/>
  <c r="B144" i="40"/>
  <c r="E118" i="40"/>
  <c r="D118" i="40"/>
  <c r="E117" i="40"/>
  <c r="D117" i="40"/>
  <c r="D30" i="51"/>
  <c r="C30" i="51"/>
  <c r="D29" i="51"/>
  <c r="C29" i="51"/>
  <c r="D55" i="40"/>
  <c r="C55" i="40"/>
  <c r="D54" i="40"/>
  <c r="C54" i="40"/>
  <c r="D53" i="40"/>
  <c r="C53" i="40"/>
  <c r="D52" i="40"/>
  <c r="C52" i="40"/>
  <c r="D51" i="40"/>
  <c r="C51" i="40"/>
  <c r="D50" i="40"/>
  <c r="C50" i="40"/>
  <c r="D35" i="40"/>
  <c r="C35" i="40"/>
  <c r="D34" i="40"/>
  <c r="C34" i="40"/>
  <c r="D33" i="40"/>
  <c r="C33" i="40"/>
  <c r="D32" i="40"/>
  <c r="C32" i="40"/>
  <c r="D31" i="40"/>
  <c r="C31" i="40"/>
  <c r="D30" i="40"/>
  <c r="C30" i="40"/>
  <c r="B154" i="32"/>
  <c r="E150" i="32"/>
  <c r="D150" i="32"/>
  <c r="E149" i="32"/>
  <c r="D149" i="32"/>
  <c r="E148" i="32"/>
  <c r="D148" i="32"/>
  <c r="E147" i="32"/>
  <c r="D147" i="32"/>
  <c r="E146" i="32"/>
  <c r="D146" i="32"/>
  <c r="E145" i="32"/>
  <c r="D145" i="32"/>
  <c r="E144" i="32"/>
  <c r="D144" i="32"/>
  <c r="C144" i="32" s="1"/>
  <c r="E143" i="32"/>
  <c r="D143" i="32"/>
  <c r="E142" i="32"/>
  <c r="D142" i="32"/>
  <c r="E141" i="32"/>
  <c r="D141" i="32"/>
  <c r="E140" i="32"/>
  <c r="D140" i="32"/>
  <c r="C140" i="32" s="1"/>
  <c r="E139" i="32"/>
  <c r="D139" i="32"/>
  <c r="E138" i="32"/>
  <c r="D138" i="32"/>
  <c r="E137" i="32"/>
  <c r="C137" i="32" s="1"/>
  <c r="C141" i="32" l="1"/>
  <c r="B29" i="51"/>
  <c r="C147" i="32"/>
  <c r="B175" i="40"/>
  <c r="C139" i="32"/>
  <c r="C145" i="32"/>
  <c r="B174" i="40"/>
  <c r="C148" i="32"/>
  <c r="C146" i="32"/>
  <c r="C149" i="32"/>
  <c r="B56" i="54"/>
  <c r="B30" i="51"/>
  <c r="C142" i="32"/>
  <c r="C138" i="32"/>
  <c r="C143" i="32"/>
  <c r="CG107" i="48"/>
  <c r="CA107" i="48" s="1"/>
  <c r="CJ107" i="48"/>
  <c r="CD107" i="48" s="1"/>
  <c r="CH107" i="48"/>
  <c r="CB107" i="48" s="1"/>
  <c r="CI107" i="48"/>
  <c r="CC107" i="48" s="1"/>
  <c r="CH106" i="48"/>
  <c r="CB106" i="48" s="1"/>
  <c r="CI106" i="48"/>
  <c r="CC106" i="48" s="1"/>
  <c r="CG106" i="48"/>
  <c r="CA106" i="48" s="1"/>
  <c r="CJ106" i="48"/>
  <c r="CD106" i="48" s="1"/>
  <c r="C150" i="32"/>
  <c r="B176" i="40"/>
  <c r="B177" i="40"/>
  <c r="B50" i="54"/>
  <c r="B54" i="54"/>
  <c r="B52" i="54"/>
  <c r="B53" i="54"/>
  <c r="B51" i="54"/>
  <c r="B49" i="54"/>
  <c r="B55" i="54"/>
  <c r="J69" i="48"/>
  <c r="B102" i="48"/>
  <c r="CG102" i="48" s="1"/>
  <c r="CA102" i="48" s="1"/>
  <c r="H102" i="48" s="1"/>
  <c r="B31" i="40"/>
  <c r="B51" i="40"/>
  <c r="C118" i="40"/>
  <c r="B35" i="40"/>
  <c r="B50" i="40"/>
  <c r="C117" i="40"/>
  <c r="B54" i="40"/>
  <c r="B52" i="40"/>
  <c r="B55" i="40"/>
  <c r="B33" i="40"/>
  <c r="B34" i="40"/>
  <c r="B53" i="40"/>
  <c r="B32" i="40"/>
  <c r="B30" i="40"/>
  <c r="H106" i="48" l="1"/>
  <c r="H107" i="48"/>
  <c r="C75" i="39"/>
  <c r="C76" i="39"/>
  <c r="C52" i="39"/>
  <c r="C51" i="39"/>
  <c r="J70" i="43"/>
  <c r="I70" i="43"/>
  <c r="H70" i="43"/>
  <c r="G70" i="43"/>
  <c r="F70" i="43"/>
  <c r="E70" i="43"/>
  <c r="D70" i="43"/>
  <c r="C70" i="43"/>
  <c r="B70" i="43"/>
  <c r="DV226" i="52" l="1"/>
  <c r="CV226" i="52"/>
  <c r="DU226" i="52"/>
  <c r="CU226" i="52"/>
  <c r="DT226" i="52"/>
  <c r="CT226" i="52"/>
  <c r="DS226" i="52"/>
  <c r="CS226" i="52"/>
  <c r="DR226" i="52"/>
  <c r="CR226" i="52"/>
  <c r="DQ226" i="52"/>
  <c r="CQ226" i="52"/>
  <c r="DP226" i="52"/>
  <c r="CP226" i="52"/>
  <c r="DO226" i="52"/>
  <c r="CO226" i="52"/>
  <c r="DN226" i="52"/>
  <c r="CN226" i="52"/>
  <c r="DM226" i="52"/>
  <c r="CM226" i="52"/>
  <c r="DL226" i="52"/>
  <c r="CL226" i="52"/>
  <c r="DK226" i="52"/>
  <c r="CK226" i="52"/>
  <c r="DJ226" i="52"/>
  <c r="CJ226" i="52"/>
  <c r="DI226" i="52"/>
  <c r="CI226" i="52"/>
  <c r="DH226" i="52"/>
  <c r="CH226" i="52"/>
  <c r="DG226" i="52"/>
  <c r="CG226" i="52"/>
  <c r="DF226" i="52"/>
  <c r="CF226" i="52"/>
  <c r="DV225" i="52"/>
  <c r="CV225" i="52"/>
  <c r="DU225" i="52"/>
  <c r="CU225" i="52"/>
  <c r="DT225" i="52"/>
  <c r="CT225" i="52"/>
  <c r="DS225" i="52"/>
  <c r="CS225" i="52"/>
  <c r="DR225" i="52"/>
  <c r="CR225" i="52"/>
  <c r="DQ225" i="52"/>
  <c r="CQ225" i="52"/>
  <c r="DP225" i="52"/>
  <c r="CP225" i="52"/>
  <c r="DO225" i="52"/>
  <c r="CO225" i="52"/>
  <c r="DN225" i="52"/>
  <c r="CN225" i="52"/>
  <c r="DM225" i="52"/>
  <c r="CM225" i="52"/>
  <c r="DL225" i="52"/>
  <c r="CL225" i="52"/>
  <c r="DK225" i="52"/>
  <c r="CK225" i="52"/>
  <c r="DJ225" i="52"/>
  <c r="CJ225" i="52"/>
  <c r="DI225" i="52"/>
  <c r="CI225" i="52"/>
  <c r="DH225" i="52"/>
  <c r="CH225" i="52"/>
  <c r="DG225" i="52"/>
  <c r="CG225" i="52"/>
  <c r="DF225" i="52"/>
  <c r="CF225" i="52"/>
  <c r="C13" i="38"/>
  <c r="C12" i="38"/>
  <c r="B13" i="51" l="1"/>
  <c r="B12" i="51"/>
  <c r="B196" i="58"/>
  <c r="E190" i="58"/>
  <c r="E189" i="58"/>
  <c r="B190" i="58"/>
  <c r="B189" i="58"/>
  <c r="D16" i="59"/>
  <c r="E15" i="59"/>
  <c r="D15" i="59"/>
  <c r="D316" i="39"/>
  <c r="D318" i="39"/>
  <c r="D319" i="39"/>
  <c r="D320" i="39"/>
  <c r="D321" i="39"/>
  <c r="D317" i="39"/>
  <c r="E318" i="39"/>
  <c r="E319" i="39"/>
  <c r="E320" i="39"/>
  <c r="E321" i="39"/>
  <c r="E317" i="39"/>
  <c r="E316" i="39"/>
  <c r="D313" i="39"/>
  <c r="D314" i="39"/>
  <c r="D315" i="39"/>
  <c r="D312" i="39"/>
  <c r="E313" i="39"/>
  <c r="E314" i="39"/>
  <c r="E315" i="39"/>
  <c r="E312" i="39"/>
  <c r="C88" i="38"/>
  <c r="C71" i="38"/>
  <c r="C98" i="38"/>
  <c r="C99" i="38"/>
  <c r="C100" i="38"/>
  <c r="C101" i="38"/>
  <c r="C102" i="38"/>
  <c r="C97" i="38"/>
  <c r="D98" i="38"/>
  <c r="D99" i="38"/>
  <c r="D100" i="38"/>
  <c r="D101" i="38"/>
  <c r="D102" i="38"/>
  <c r="D97" i="38"/>
  <c r="B80" i="38"/>
  <c r="B101" i="38" l="1"/>
  <c r="B102" i="38"/>
  <c r="B97" i="38"/>
  <c r="B100" i="38"/>
  <c r="B99" i="38"/>
  <c r="B98" i="38"/>
  <c r="C315" i="39"/>
  <c r="C317" i="39"/>
  <c r="C319" i="39"/>
  <c r="C318" i="39"/>
  <c r="C312" i="39"/>
  <c r="C320" i="39"/>
  <c r="C321" i="39"/>
  <c r="C313" i="39"/>
  <c r="C314" i="39"/>
  <c r="E78" i="42"/>
  <c r="D78" i="42"/>
  <c r="D45" i="38"/>
  <c r="C129" i="32"/>
  <c r="C127" i="32"/>
  <c r="C132" i="32"/>
  <c r="C131" i="32"/>
  <c r="C130" i="32"/>
  <c r="E35" i="39"/>
  <c r="F35" i="39"/>
  <c r="G35" i="39"/>
  <c r="H35" i="39"/>
  <c r="I35" i="39"/>
  <c r="J35" i="39"/>
  <c r="K35" i="39"/>
  <c r="L35" i="39"/>
  <c r="D35" i="39"/>
  <c r="F59" i="39"/>
  <c r="D59" i="39"/>
  <c r="E59" i="39"/>
  <c r="G59" i="39"/>
  <c r="H59" i="39"/>
  <c r="I59" i="39"/>
  <c r="J59" i="39"/>
  <c r="K59" i="39"/>
  <c r="L59" i="39"/>
  <c r="M59" i="39"/>
  <c r="D125" i="39"/>
  <c r="D126" i="39"/>
  <c r="D127" i="39"/>
  <c r="D128" i="39"/>
  <c r="D129" i="39"/>
  <c r="D130" i="39"/>
  <c r="D131" i="39"/>
  <c r="D124" i="39"/>
  <c r="E125" i="39"/>
  <c r="E126" i="39"/>
  <c r="E127" i="39"/>
  <c r="E128" i="39"/>
  <c r="E129" i="39"/>
  <c r="E130" i="39"/>
  <c r="E131" i="39"/>
  <c r="E124" i="39"/>
  <c r="D112" i="39"/>
  <c r="D113" i="39"/>
  <c r="D114" i="39"/>
  <c r="D115" i="39"/>
  <c r="D116" i="39"/>
  <c r="D117" i="39"/>
  <c r="D118" i="39"/>
  <c r="D119" i="39"/>
  <c r="D111" i="39"/>
  <c r="E112" i="39"/>
  <c r="E113" i="39"/>
  <c r="E114" i="39"/>
  <c r="E115" i="39"/>
  <c r="E116" i="39"/>
  <c r="E117" i="39"/>
  <c r="E118" i="39"/>
  <c r="E119" i="39"/>
  <c r="E111" i="39"/>
  <c r="AO111" i="58"/>
  <c r="AN111" i="58"/>
  <c r="C115" i="39" l="1"/>
  <c r="C119" i="39"/>
  <c r="C114" i="39"/>
  <c r="C117" i="39"/>
  <c r="C111" i="39"/>
  <c r="C124" i="39"/>
  <c r="C127" i="39"/>
  <c r="C113" i="39"/>
  <c r="C126" i="39"/>
  <c r="C118" i="39"/>
  <c r="C112" i="39"/>
  <c r="C131" i="39"/>
  <c r="C125" i="39"/>
  <c r="C130" i="39"/>
  <c r="C116" i="39"/>
  <c r="C129" i="39"/>
  <c r="C128" i="39"/>
  <c r="E184" i="58"/>
  <c r="E340" i="39"/>
  <c r="E341" i="39"/>
  <c r="E342" i="39"/>
  <c r="E343" i="39"/>
  <c r="E344" i="39"/>
  <c r="E345" i="39"/>
  <c r="E346" i="39"/>
  <c r="E347" i="39"/>
  <c r="E348" i="39"/>
  <c r="E339" i="39"/>
  <c r="D340" i="39"/>
  <c r="D341" i="39"/>
  <c r="D342" i="39"/>
  <c r="D343" i="39"/>
  <c r="D344" i="39"/>
  <c r="D345" i="39"/>
  <c r="D346" i="39"/>
  <c r="D347" i="39"/>
  <c r="D348" i="39"/>
  <c r="D339" i="39"/>
  <c r="C339" i="39" l="1"/>
  <c r="C342" i="39"/>
  <c r="C343" i="39"/>
  <c r="C348" i="39"/>
  <c r="C344" i="39"/>
  <c r="C341" i="39"/>
  <c r="C346" i="39"/>
  <c r="C340" i="39"/>
  <c r="C347" i="39"/>
  <c r="C345" i="39"/>
  <c r="E120" i="60"/>
  <c r="E95" i="60"/>
  <c r="F94" i="60"/>
  <c r="AB46" i="60"/>
  <c r="AA46" i="60"/>
  <c r="Z46" i="60"/>
  <c r="Y46" i="60"/>
  <c r="X46" i="60"/>
  <c r="W46" i="60"/>
  <c r="V46" i="60"/>
  <c r="U46" i="60"/>
  <c r="T46" i="60"/>
  <c r="S46" i="60"/>
  <c r="Z54" i="60"/>
  <c r="Y54" i="60"/>
  <c r="Y64" i="60"/>
  <c r="Z64" i="60"/>
  <c r="AP306" i="60"/>
  <c r="AP305" i="60"/>
  <c r="AP304" i="60"/>
  <c r="AP303" i="60"/>
  <c r="AP302" i="60"/>
  <c r="AP301" i="60"/>
  <c r="AO306" i="60"/>
  <c r="AO305" i="60"/>
  <c r="AO304" i="60"/>
  <c r="AO303" i="60"/>
  <c r="AO302" i="60"/>
  <c r="AO301" i="60"/>
  <c r="K301" i="60"/>
  <c r="L301" i="60"/>
  <c r="M301" i="60"/>
  <c r="N301" i="60"/>
  <c r="O301" i="60"/>
  <c r="P301" i="60"/>
  <c r="Q301" i="60"/>
  <c r="R301" i="60"/>
  <c r="S301" i="60"/>
  <c r="T301" i="60"/>
  <c r="U301" i="60"/>
  <c r="V301" i="60"/>
  <c r="W301" i="60"/>
  <c r="X301" i="60"/>
  <c r="K302" i="60"/>
  <c r="L302" i="60"/>
  <c r="M302" i="60"/>
  <c r="N302" i="60"/>
  <c r="O302" i="60"/>
  <c r="P302" i="60"/>
  <c r="Q302" i="60"/>
  <c r="R302" i="60"/>
  <c r="S302" i="60"/>
  <c r="T302" i="60"/>
  <c r="U302" i="60"/>
  <c r="V302" i="60"/>
  <c r="W302" i="60"/>
  <c r="X302" i="60"/>
  <c r="K303" i="60"/>
  <c r="L303" i="60"/>
  <c r="M303" i="60"/>
  <c r="N303" i="60"/>
  <c r="O303" i="60"/>
  <c r="P303" i="60"/>
  <c r="Q303" i="60"/>
  <c r="R303" i="60"/>
  <c r="S303" i="60"/>
  <c r="T303" i="60"/>
  <c r="U303" i="60"/>
  <c r="V303" i="60"/>
  <c r="W303" i="60"/>
  <c r="X303" i="60"/>
  <c r="K304" i="60"/>
  <c r="L304" i="60"/>
  <c r="M304" i="60"/>
  <c r="N304" i="60"/>
  <c r="O304" i="60"/>
  <c r="P304" i="60"/>
  <c r="Q304" i="60"/>
  <c r="R304" i="60"/>
  <c r="S304" i="60"/>
  <c r="T304" i="60"/>
  <c r="U304" i="60"/>
  <c r="V304" i="60"/>
  <c r="W304" i="60"/>
  <c r="X304" i="60"/>
  <c r="K305" i="60"/>
  <c r="L305" i="60"/>
  <c r="M305" i="60"/>
  <c r="N305" i="60"/>
  <c r="O305" i="60"/>
  <c r="P305" i="60"/>
  <c r="Q305" i="60"/>
  <c r="R305" i="60"/>
  <c r="S305" i="60"/>
  <c r="T305" i="60"/>
  <c r="U305" i="60"/>
  <c r="V305" i="60"/>
  <c r="W305" i="60"/>
  <c r="X305" i="60"/>
  <c r="K306" i="60"/>
  <c r="L306" i="60"/>
  <c r="M306" i="60"/>
  <c r="N306" i="60"/>
  <c r="O306" i="60"/>
  <c r="P306" i="60"/>
  <c r="Q306" i="60"/>
  <c r="R306" i="60"/>
  <c r="S306" i="60"/>
  <c r="T306" i="60"/>
  <c r="U306" i="60"/>
  <c r="V306" i="60"/>
  <c r="W306" i="60"/>
  <c r="X306" i="60"/>
  <c r="Z301" i="60"/>
  <c r="AA301" i="60"/>
  <c r="AB301" i="60"/>
  <c r="AC301" i="60"/>
  <c r="AD301" i="60"/>
  <c r="AE301" i="60"/>
  <c r="AF301" i="60"/>
  <c r="AG301" i="60"/>
  <c r="AH301" i="60"/>
  <c r="Z302" i="60"/>
  <c r="AA302" i="60"/>
  <c r="AB302" i="60"/>
  <c r="AC302" i="60"/>
  <c r="AD302" i="60"/>
  <c r="AE302" i="60"/>
  <c r="AF302" i="60"/>
  <c r="AG302" i="60"/>
  <c r="AH302" i="60"/>
  <c r="Z303" i="60"/>
  <c r="AA303" i="60"/>
  <c r="AB303" i="60"/>
  <c r="AC303" i="60"/>
  <c r="AD303" i="60"/>
  <c r="AE303" i="60"/>
  <c r="AF303" i="60"/>
  <c r="AG303" i="60"/>
  <c r="AH303" i="60"/>
  <c r="Z304" i="60"/>
  <c r="AA304" i="60"/>
  <c r="AB304" i="60"/>
  <c r="AC304" i="60"/>
  <c r="AD304" i="60"/>
  <c r="AE304" i="60"/>
  <c r="AF304" i="60"/>
  <c r="AG304" i="60"/>
  <c r="AH304" i="60"/>
  <c r="Z305" i="60"/>
  <c r="AA305" i="60"/>
  <c r="AB305" i="60"/>
  <c r="AC305" i="60"/>
  <c r="AD305" i="60"/>
  <c r="AE305" i="60"/>
  <c r="AF305" i="60"/>
  <c r="AG305" i="60"/>
  <c r="AH305" i="60"/>
  <c r="Z306" i="60"/>
  <c r="AA306" i="60"/>
  <c r="AB306" i="60"/>
  <c r="AC306" i="60"/>
  <c r="AD306" i="60"/>
  <c r="AE306" i="60"/>
  <c r="AF306" i="60"/>
  <c r="AG306" i="60"/>
  <c r="AH306" i="60"/>
  <c r="Y306" i="60"/>
  <c r="Y305" i="60"/>
  <c r="Y304" i="60"/>
  <c r="Y303" i="60"/>
  <c r="Y302" i="60"/>
  <c r="Y301" i="60"/>
  <c r="AJ301" i="60"/>
  <c r="AK301" i="60"/>
  <c r="AL301" i="60"/>
  <c r="AM301" i="60"/>
  <c r="AN301" i="60"/>
  <c r="AJ302" i="60"/>
  <c r="AK302" i="60"/>
  <c r="AL302" i="60"/>
  <c r="AM302" i="60"/>
  <c r="AN302" i="60"/>
  <c r="AJ303" i="60"/>
  <c r="AK303" i="60"/>
  <c r="AL303" i="60"/>
  <c r="AM303" i="60"/>
  <c r="AN303" i="60"/>
  <c r="AJ304" i="60"/>
  <c r="AK304" i="60"/>
  <c r="AL304" i="60"/>
  <c r="AM304" i="60"/>
  <c r="AN304" i="60"/>
  <c r="AJ305" i="60"/>
  <c r="AK305" i="60"/>
  <c r="AL305" i="60"/>
  <c r="AM305" i="60"/>
  <c r="AN305" i="60"/>
  <c r="AJ306" i="60"/>
  <c r="AK306" i="60"/>
  <c r="AL306" i="60"/>
  <c r="AM306" i="60"/>
  <c r="AN306" i="60"/>
  <c r="AI306" i="60"/>
  <c r="AI305" i="60"/>
  <c r="AI304" i="60"/>
  <c r="AI303" i="60"/>
  <c r="AI302" i="60"/>
  <c r="AI301" i="60"/>
  <c r="AS302" i="60"/>
  <c r="AS301" i="60"/>
  <c r="AR301" i="60"/>
  <c r="AQ301" i="60"/>
  <c r="AV301" i="60"/>
  <c r="AU301" i="60"/>
  <c r="AW301" i="60"/>
  <c r="AX301" i="60"/>
  <c r="AU302" i="60"/>
  <c r="AV302" i="60"/>
  <c r="AW302" i="60"/>
  <c r="AX302" i="60"/>
  <c r="AU303" i="60"/>
  <c r="AV303" i="60"/>
  <c r="AW303" i="60"/>
  <c r="AX303" i="60"/>
  <c r="AU304" i="60"/>
  <c r="AV304" i="60"/>
  <c r="AW304" i="60"/>
  <c r="AX304" i="60"/>
  <c r="AU305" i="60"/>
  <c r="AV305" i="60"/>
  <c r="AW305" i="60"/>
  <c r="AX305" i="60"/>
  <c r="AU306" i="60"/>
  <c r="AV306" i="60"/>
  <c r="AW306" i="60"/>
  <c r="AX306" i="60"/>
  <c r="AT306" i="60"/>
  <c r="AT305" i="60"/>
  <c r="AT304" i="60"/>
  <c r="AT303" i="60"/>
  <c r="AT302" i="60"/>
  <c r="AT301" i="60"/>
  <c r="J306" i="60"/>
  <c r="J305" i="60"/>
  <c r="J304" i="60"/>
  <c r="J303" i="60"/>
  <c r="J302" i="60"/>
  <c r="J301" i="60"/>
  <c r="I306" i="60"/>
  <c r="I305" i="60"/>
  <c r="I304" i="60"/>
  <c r="I303" i="60"/>
  <c r="I302" i="60"/>
  <c r="I301" i="60"/>
  <c r="H306" i="60"/>
  <c r="H305" i="60"/>
  <c r="H304" i="60"/>
  <c r="H303" i="60"/>
  <c r="H302" i="60"/>
  <c r="H301" i="60"/>
  <c r="G306" i="60"/>
  <c r="G305" i="60"/>
  <c r="G304" i="60"/>
  <c r="G303" i="60"/>
  <c r="G302" i="60"/>
  <c r="G301" i="60"/>
  <c r="DA315" i="60"/>
  <c r="CA315" i="60" s="1"/>
  <c r="F315" i="60"/>
  <c r="E315" i="60"/>
  <c r="DA314" i="60"/>
  <c r="CA314" i="60" s="1"/>
  <c r="F314" i="60"/>
  <c r="E314" i="60"/>
  <c r="DA313" i="60"/>
  <c r="CA313" i="60" s="1"/>
  <c r="F313" i="60"/>
  <c r="E313" i="60"/>
  <c r="DA312" i="60"/>
  <c r="CA312" i="60" s="1"/>
  <c r="F312" i="60"/>
  <c r="E312" i="60"/>
  <c r="DA311" i="60"/>
  <c r="CA311" i="60" s="1"/>
  <c r="F311" i="60"/>
  <c r="E311" i="60"/>
  <c r="DA300" i="60"/>
  <c r="CA300" i="60" s="1"/>
  <c r="CC300" i="60"/>
  <c r="CB300" i="60"/>
  <c r="F300" i="60"/>
  <c r="E300" i="60"/>
  <c r="DA299" i="60"/>
  <c r="CA299" i="60" s="1"/>
  <c r="CC299" i="60"/>
  <c r="CB299" i="60"/>
  <c r="F299" i="60"/>
  <c r="E299" i="60"/>
  <c r="DA298" i="60"/>
  <c r="CA298" i="60" s="1"/>
  <c r="CC298" i="60"/>
  <c r="CB298" i="60"/>
  <c r="F298" i="60"/>
  <c r="E298" i="60"/>
  <c r="DA297" i="60"/>
  <c r="CA297" i="60" s="1"/>
  <c r="CC297" i="60"/>
  <c r="CB297" i="60"/>
  <c r="F297" i="60"/>
  <c r="E297" i="60"/>
  <c r="DA296" i="60"/>
  <c r="CA296" i="60" s="1"/>
  <c r="CC296" i="60"/>
  <c r="CB296" i="60"/>
  <c r="F296" i="60"/>
  <c r="E296" i="60"/>
  <c r="DA295" i="60"/>
  <c r="CA295" i="60" s="1"/>
  <c r="F295" i="60"/>
  <c r="E295" i="60"/>
  <c r="DA294" i="60"/>
  <c r="CA294" i="60" s="1"/>
  <c r="CC294" i="60"/>
  <c r="CB294" i="60"/>
  <c r="F294" i="60"/>
  <c r="E294" i="60"/>
  <c r="DA293" i="60"/>
  <c r="CA293" i="60" s="1"/>
  <c r="CC293" i="60"/>
  <c r="CB293" i="60"/>
  <c r="F293" i="60"/>
  <c r="E293" i="60"/>
  <c r="DA292" i="60"/>
  <c r="CA292" i="60" s="1"/>
  <c r="CC292" i="60"/>
  <c r="CB292" i="60"/>
  <c r="F292" i="60"/>
  <c r="E292" i="60"/>
  <c r="DA291" i="60"/>
  <c r="CA291" i="60" s="1"/>
  <c r="CC291" i="60"/>
  <c r="CB291" i="60"/>
  <c r="F291" i="60"/>
  <c r="E291" i="60"/>
  <c r="DA290" i="60"/>
  <c r="CA290" i="60" s="1"/>
  <c r="CC290" i="60"/>
  <c r="CB290" i="60"/>
  <c r="F290" i="60"/>
  <c r="E290" i="60"/>
  <c r="DA289" i="60"/>
  <c r="CA289" i="60" s="1"/>
  <c r="F289" i="60"/>
  <c r="E289" i="60"/>
  <c r="DA288" i="60"/>
  <c r="CA288" i="60" s="1"/>
  <c r="CC288" i="60"/>
  <c r="CB288" i="60"/>
  <c r="F288" i="60"/>
  <c r="E288" i="60"/>
  <c r="DA287" i="60"/>
  <c r="CA287" i="60" s="1"/>
  <c r="CC287" i="60"/>
  <c r="CB287" i="60"/>
  <c r="F287" i="60"/>
  <c r="E287" i="60"/>
  <c r="DA286" i="60"/>
  <c r="CA286" i="60" s="1"/>
  <c r="CC286" i="60"/>
  <c r="CB286" i="60"/>
  <c r="F286" i="60"/>
  <c r="E286" i="60"/>
  <c r="DA285" i="60"/>
  <c r="CA285" i="60" s="1"/>
  <c r="CC285" i="60"/>
  <c r="CB285" i="60"/>
  <c r="F285" i="60"/>
  <c r="E285" i="60"/>
  <c r="DA284" i="60"/>
  <c r="CA284" i="60" s="1"/>
  <c r="CC284" i="60"/>
  <c r="CB284" i="60"/>
  <c r="F284" i="60"/>
  <c r="E284" i="60"/>
  <c r="DA283" i="60"/>
  <c r="CA283" i="60" s="1"/>
  <c r="F283" i="60"/>
  <c r="E283" i="60"/>
  <c r="DA282" i="60"/>
  <c r="CA282" i="60" s="1"/>
  <c r="CC282" i="60"/>
  <c r="CB282" i="60"/>
  <c r="F282" i="60"/>
  <c r="E282" i="60"/>
  <c r="DA281" i="60"/>
  <c r="CA281" i="60" s="1"/>
  <c r="CC281" i="60"/>
  <c r="CB281" i="60"/>
  <c r="F281" i="60"/>
  <c r="E281" i="60"/>
  <c r="DA280" i="60"/>
  <c r="CA280" i="60" s="1"/>
  <c r="CC280" i="60"/>
  <c r="CB280" i="60"/>
  <c r="F280" i="60"/>
  <c r="E280" i="60"/>
  <c r="DA279" i="60"/>
  <c r="CA279" i="60" s="1"/>
  <c r="CC279" i="60"/>
  <c r="CB279" i="60"/>
  <c r="F279" i="60"/>
  <c r="E279" i="60"/>
  <c r="DA278" i="60"/>
  <c r="CA278" i="60" s="1"/>
  <c r="CC278" i="60"/>
  <c r="CB278" i="60"/>
  <c r="F278" i="60"/>
  <c r="E278" i="60"/>
  <c r="DA277" i="60"/>
  <c r="CA277" i="60" s="1"/>
  <c r="F277" i="60"/>
  <c r="E277" i="60"/>
  <c r="DA276" i="60"/>
  <c r="CA276" i="60" s="1"/>
  <c r="CC276" i="60"/>
  <c r="CB276" i="60"/>
  <c r="F276" i="60"/>
  <c r="E276" i="60"/>
  <c r="DA275" i="60"/>
  <c r="CA275" i="60" s="1"/>
  <c r="CC275" i="60"/>
  <c r="CB275" i="60"/>
  <c r="F275" i="60"/>
  <c r="E275" i="60"/>
  <c r="DA274" i="60"/>
  <c r="CA274" i="60" s="1"/>
  <c r="CC274" i="60"/>
  <c r="CB274" i="60"/>
  <c r="F274" i="60"/>
  <c r="E274" i="60"/>
  <c r="DA273" i="60"/>
  <c r="CA273" i="60" s="1"/>
  <c r="CC273" i="60"/>
  <c r="CB273" i="60"/>
  <c r="F273" i="60"/>
  <c r="E273" i="60"/>
  <c r="DA272" i="60"/>
  <c r="CA272" i="60" s="1"/>
  <c r="CC272" i="60"/>
  <c r="CB272" i="60"/>
  <c r="F272" i="60"/>
  <c r="E272" i="60"/>
  <c r="DA271" i="60"/>
  <c r="CA271" i="60" s="1"/>
  <c r="F271" i="60"/>
  <c r="E271" i="60"/>
  <c r="DA270" i="60"/>
  <c r="CA270" i="60" s="1"/>
  <c r="CC270" i="60"/>
  <c r="CB270" i="60"/>
  <c r="F270" i="60"/>
  <c r="E270" i="60"/>
  <c r="DA269" i="60"/>
  <c r="CA269" i="60" s="1"/>
  <c r="CC269" i="60"/>
  <c r="CB269" i="60"/>
  <c r="F269" i="60"/>
  <c r="E269" i="60"/>
  <c r="DA268" i="60"/>
  <c r="CA268" i="60" s="1"/>
  <c r="CC268" i="60"/>
  <c r="CB268" i="60"/>
  <c r="F268" i="60"/>
  <c r="E268" i="60"/>
  <c r="DA267" i="60"/>
  <c r="CA267" i="60" s="1"/>
  <c r="CC267" i="60"/>
  <c r="CB267" i="60"/>
  <c r="F267" i="60"/>
  <c r="E267" i="60"/>
  <c r="DA266" i="60"/>
  <c r="CA266" i="60" s="1"/>
  <c r="CC266" i="60"/>
  <c r="CB266" i="60"/>
  <c r="F266" i="60"/>
  <c r="E266" i="60"/>
  <c r="DA265" i="60"/>
  <c r="CA265" i="60" s="1"/>
  <c r="F265" i="60"/>
  <c r="E265" i="60"/>
  <c r="DA264" i="60"/>
  <c r="CA264" i="60" s="1"/>
  <c r="CC264" i="60"/>
  <c r="CB264" i="60"/>
  <c r="F264" i="60"/>
  <c r="E264" i="60"/>
  <c r="DA263" i="60"/>
  <c r="CA263" i="60" s="1"/>
  <c r="CC263" i="60"/>
  <c r="CB263" i="60"/>
  <c r="F263" i="60"/>
  <c r="E263" i="60"/>
  <c r="DA262" i="60"/>
  <c r="CA262" i="60" s="1"/>
  <c r="CC262" i="60"/>
  <c r="CB262" i="60"/>
  <c r="F262" i="60"/>
  <c r="E262" i="60"/>
  <c r="DA261" i="60"/>
  <c r="CA261" i="60" s="1"/>
  <c r="CC261" i="60"/>
  <c r="CB261" i="60"/>
  <c r="F261" i="60"/>
  <c r="E261" i="60"/>
  <c r="DA260" i="60"/>
  <c r="CA260" i="60" s="1"/>
  <c r="CC260" i="60"/>
  <c r="CB260" i="60"/>
  <c r="F260" i="60"/>
  <c r="E260" i="60"/>
  <c r="DA259" i="60"/>
  <c r="CA259" i="60" s="1"/>
  <c r="F259" i="60"/>
  <c r="E259" i="60"/>
  <c r="CC258" i="60"/>
  <c r="CA258" i="60"/>
  <c r="F258" i="60"/>
  <c r="E258" i="60"/>
  <c r="CC257" i="60"/>
  <c r="CA257" i="60"/>
  <c r="F257" i="60"/>
  <c r="E257" i="60"/>
  <c r="CC256" i="60"/>
  <c r="CA256" i="60"/>
  <c r="F256" i="60"/>
  <c r="E256" i="60"/>
  <c r="CC255" i="60"/>
  <c r="CA255" i="60"/>
  <c r="F255" i="60"/>
  <c r="E255" i="60"/>
  <c r="CC254" i="60"/>
  <c r="CA254" i="60"/>
  <c r="F254" i="60"/>
  <c r="E254" i="60"/>
  <c r="CA253" i="60"/>
  <c r="F253" i="60"/>
  <c r="E253" i="60"/>
  <c r="CC252" i="60"/>
  <c r="CA252" i="60"/>
  <c r="F252" i="60"/>
  <c r="E252" i="60"/>
  <c r="CC251" i="60"/>
  <c r="CA251" i="60"/>
  <c r="F251" i="60"/>
  <c r="E251" i="60"/>
  <c r="CC250" i="60"/>
  <c r="CA250" i="60"/>
  <c r="F250" i="60"/>
  <c r="E250" i="60"/>
  <c r="CC249" i="60"/>
  <c r="CA249" i="60"/>
  <c r="F249" i="60"/>
  <c r="E249" i="60"/>
  <c r="CC248" i="60"/>
  <c r="CA248" i="60"/>
  <c r="F248" i="60"/>
  <c r="E248" i="60"/>
  <c r="CA247" i="60"/>
  <c r="F247" i="60"/>
  <c r="E247" i="60"/>
  <c r="CC246" i="60"/>
  <c r="CA246" i="60"/>
  <c r="F246" i="60"/>
  <c r="E246" i="60"/>
  <c r="CC245" i="60"/>
  <c r="CA245" i="60"/>
  <c r="F245" i="60"/>
  <c r="E245" i="60"/>
  <c r="CC244" i="60"/>
  <c r="CA244" i="60"/>
  <c r="F244" i="60"/>
  <c r="E244" i="60"/>
  <c r="CC243" i="60"/>
  <c r="CA243" i="60"/>
  <c r="F243" i="60"/>
  <c r="E243" i="60"/>
  <c r="CC242" i="60"/>
  <c r="CA242" i="60"/>
  <c r="F242" i="60"/>
  <c r="E242" i="60"/>
  <c r="CA241" i="60"/>
  <c r="F241" i="60"/>
  <c r="E241" i="60"/>
  <c r="DA240" i="60"/>
  <c r="CA240" i="60" s="1"/>
  <c r="CC240" i="60"/>
  <c r="F240" i="60"/>
  <c r="E240" i="60"/>
  <c r="DA239" i="60"/>
  <c r="CA239" i="60" s="1"/>
  <c r="CC239" i="60"/>
  <c r="F239" i="60"/>
  <c r="E239" i="60"/>
  <c r="DA238" i="60"/>
  <c r="CA238" i="60" s="1"/>
  <c r="CC238" i="60"/>
  <c r="F238" i="60"/>
  <c r="E238" i="60"/>
  <c r="DA237" i="60"/>
  <c r="CA237" i="60" s="1"/>
  <c r="CC237" i="60"/>
  <c r="F237" i="60"/>
  <c r="E237" i="60"/>
  <c r="DA236" i="60"/>
  <c r="CA236" i="60" s="1"/>
  <c r="CC236" i="60"/>
  <c r="F236" i="60"/>
  <c r="E236" i="60"/>
  <c r="DA235" i="60"/>
  <c r="CA235" i="60" s="1"/>
  <c r="F235" i="60"/>
  <c r="E235" i="60"/>
  <c r="DA234" i="60"/>
  <c r="CA234" i="60" s="1"/>
  <c r="CC234" i="60"/>
  <c r="F234" i="60"/>
  <c r="E234" i="60"/>
  <c r="DA233" i="60"/>
  <c r="CA233" i="60" s="1"/>
  <c r="CC233" i="60"/>
  <c r="F233" i="60"/>
  <c r="E233" i="60"/>
  <c r="DA232" i="60"/>
  <c r="CA232" i="60" s="1"/>
  <c r="CC232" i="60"/>
  <c r="F232" i="60"/>
  <c r="E232" i="60"/>
  <c r="DA231" i="60"/>
  <c r="CA231" i="60" s="1"/>
  <c r="CC231" i="60"/>
  <c r="F231" i="60"/>
  <c r="E231" i="60"/>
  <c r="DA230" i="60"/>
  <c r="CA230" i="60" s="1"/>
  <c r="CC230" i="60"/>
  <c r="F230" i="60"/>
  <c r="E230" i="60"/>
  <c r="DA229" i="60"/>
  <c r="CA229" i="60" s="1"/>
  <c r="F229" i="60"/>
  <c r="E229" i="60"/>
  <c r="DA228" i="60"/>
  <c r="CA228" i="60" s="1"/>
  <c r="CC228" i="60"/>
  <c r="F228" i="60"/>
  <c r="E228" i="60"/>
  <c r="DA227" i="60"/>
  <c r="CA227" i="60" s="1"/>
  <c r="CC227" i="60"/>
  <c r="F227" i="60"/>
  <c r="E227" i="60"/>
  <c r="DA226" i="60"/>
  <c r="CA226" i="60" s="1"/>
  <c r="CC226" i="60"/>
  <c r="F226" i="60"/>
  <c r="E226" i="60"/>
  <c r="DA225" i="60"/>
  <c r="CA225" i="60" s="1"/>
  <c r="CC225" i="60"/>
  <c r="F225" i="60"/>
  <c r="E225" i="60"/>
  <c r="DA224" i="60"/>
  <c r="CA224" i="60" s="1"/>
  <c r="CC224" i="60"/>
  <c r="F224" i="60"/>
  <c r="E224" i="60"/>
  <c r="DA223" i="60"/>
  <c r="CA223" i="60" s="1"/>
  <c r="F223" i="60"/>
  <c r="E223" i="60"/>
  <c r="DA222" i="60"/>
  <c r="CA222" i="60" s="1"/>
  <c r="F222" i="60"/>
  <c r="E222" i="60"/>
  <c r="DA221" i="60"/>
  <c r="CA221" i="60" s="1"/>
  <c r="F221" i="60"/>
  <c r="E221" i="60"/>
  <c r="F216" i="60"/>
  <c r="F215" i="60"/>
  <c r="F214" i="60"/>
  <c r="F213" i="60"/>
  <c r="D213" i="60" s="1"/>
  <c r="CD208" i="60"/>
  <c r="CC208" i="60"/>
  <c r="CB208" i="60"/>
  <c r="CA208" i="60"/>
  <c r="AD208" i="60"/>
  <c r="CE208" i="60" s="1"/>
  <c r="CD207" i="60"/>
  <c r="CC207" i="60"/>
  <c r="CB207" i="60"/>
  <c r="CA207" i="60"/>
  <c r="AD207" i="60"/>
  <c r="CE207" i="60" s="1"/>
  <c r="AD206" i="60"/>
  <c r="F206" i="60"/>
  <c r="E206" i="60"/>
  <c r="AD205" i="60"/>
  <c r="F205" i="60"/>
  <c r="E205" i="60"/>
  <c r="AD204" i="60"/>
  <c r="F204" i="60"/>
  <c r="E204" i="60"/>
  <c r="AD203" i="60"/>
  <c r="F203" i="60"/>
  <c r="E203" i="60"/>
  <c r="F198" i="60"/>
  <c r="E198" i="60"/>
  <c r="F197" i="60"/>
  <c r="E197" i="60"/>
  <c r="F196" i="60"/>
  <c r="E196" i="60"/>
  <c r="F195" i="60"/>
  <c r="E195" i="60"/>
  <c r="F194" i="60"/>
  <c r="E194" i="60"/>
  <c r="F193" i="60"/>
  <c r="E193" i="60"/>
  <c r="F192" i="60"/>
  <c r="E192" i="60"/>
  <c r="F191" i="60"/>
  <c r="E191" i="60"/>
  <c r="F190" i="60"/>
  <c r="E190" i="60"/>
  <c r="F189" i="60"/>
  <c r="E189" i="60"/>
  <c r="F188" i="60"/>
  <c r="E188" i="60"/>
  <c r="F187" i="60"/>
  <c r="E187" i="60"/>
  <c r="F186" i="60"/>
  <c r="E186" i="60"/>
  <c r="F185" i="60"/>
  <c r="E185" i="60"/>
  <c r="F184" i="60"/>
  <c r="E184" i="60"/>
  <c r="F183" i="60"/>
  <c r="E183" i="60"/>
  <c r="F182" i="60"/>
  <c r="E182" i="60"/>
  <c r="F181" i="60"/>
  <c r="E181" i="60"/>
  <c r="F180" i="60"/>
  <c r="E180" i="60"/>
  <c r="F179" i="60"/>
  <c r="E179" i="60"/>
  <c r="AW178" i="60"/>
  <c r="AV178" i="60"/>
  <c r="AS178" i="60"/>
  <c r="AR178" i="60"/>
  <c r="AQ178" i="60"/>
  <c r="AP178" i="60"/>
  <c r="AO178" i="60"/>
  <c r="AN178" i="60"/>
  <c r="AM178" i="60"/>
  <c r="AL178" i="60"/>
  <c r="AK178" i="60"/>
  <c r="AJ178" i="60"/>
  <c r="AI178" i="60"/>
  <c r="AH178" i="60"/>
  <c r="AG178" i="60"/>
  <c r="AF178" i="60"/>
  <c r="AE178" i="60"/>
  <c r="AD178" i="60"/>
  <c r="AC178" i="60"/>
  <c r="AB178" i="60"/>
  <c r="AA178" i="60"/>
  <c r="Z178" i="60"/>
  <c r="Y178" i="60"/>
  <c r="X178" i="60"/>
  <c r="W178" i="60"/>
  <c r="V178" i="60"/>
  <c r="U178" i="60"/>
  <c r="T178" i="60"/>
  <c r="S178" i="60"/>
  <c r="R178" i="60"/>
  <c r="Q178" i="60"/>
  <c r="P178" i="60"/>
  <c r="O178" i="60"/>
  <c r="N178" i="60"/>
  <c r="M178" i="60"/>
  <c r="L178" i="60"/>
  <c r="K178" i="60"/>
  <c r="J178" i="60"/>
  <c r="I178" i="60"/>
  <c r="H178" i="60"/>
  <c r="E177" i="60"/>
  <c r="D177" i="60" s="1"/>
  <c r="E176" i="60"/>
  <c r="D176" i="60" s="1"/>
  <c r="E175" i="60"/>
  <c r="D175" i="60" s="1"/>
  <c r="E174" i="60"/>
  <c r="D174" i="60" s="1"/>
  <c r="E173" i="60"/>
  <c r="D173" i="60" s="1"/>
  <c r="F172" i="60"/>
  <c r="D172" i="60" s="1"/>
  <c r="F171" i="60"/>
  <c r="D171" i="60" s="1"/>
  <c r="F170" i="60"/>
  <c r="D170" i="60" s="1"/>
  <c r="F169" i="60"/>
  <c r="D169" i="60" s="1"/>
  <c r="F168" i="60"/>
  <c r="D168" i="60" s="1"/>
  <c r="F167" i="60"/>
  <c r="D167" i="60" s="1"/>
  <c r="AW166" i="60"/>
  <c r="AV166" i="60"/>
  <c r="AS166" i="60"/>
  <c r="AR166" i="60"/>
  <c r="AQ166" i="60"/>
  <c r="AP166" i="60"/>
  <c r="AN166" i="60"/>
  <c r="AL166" i="60"/>
  <c r="AJ166" i="60"/>
  <c r="AH166" i="60"/>
  <c r="AF166" i="60"/>
  <c r="AD166" i="60"/>
  <c r="F165" i="60"/>
  <c r="D165" i="60" s="1"/>
  <c r="F164" i="60"/>
  <c r="D164" i="60" s="1"/>
  <c r="F163" i="60"/>
  <c r="D163" i="60" s="1"/>
  <c r="F162" i="60"/>
  <c r="D162" i="60" s="1"/>
  <c r="AX157" i="60"/>
  <c r="AW157" i="60"/>
  <c r="AV157" i="60"/>
  <c r="AU157" i="60"/>
  <c r="AT157" i="60"/>
  <c r="AS157" i="60"/>
  <c r="AR157" i="60"/>
  <c r="AQ157" i="60"/>
  <c r="AP157" i="60"/>
  <c r="AO157" i="60"/>
  <c r="AN157" i="60"/>
  <c r="AM157" i="60"/>
  <c r="AL157" i="60"/>
  <c r="AK157" i="60"/>
  <c r="AJ157" i="60"/>
  <c r="AI157" i="60"/>
  <c r="AH157" i="60"/>
  <c r="AG157" i="60"/>
  <c r="AF157" i="60"/>
  <c r="AE157" i="60"/>
  <c r="AD157" i="60"/>
  <c r="AC157" i="60"/>
  <c r="AB157" i="60"/>
  <c r="AA157" i="60"/>
  <c r="Z157" i="60"/>
  <c r="Y157" i="60"/>
  <c r="X157" i="60"/>
  <c r="W157" i="60"/>
  <c r="V157" i="60"/>
  <c r="U157" i="60"/>
  <c r="T157" i="60"/>
  <c r="S157" i="60"/>
  <c r="R157" i="60"/>
  <c r="Q157" i="60"/>
  <c r="P157" i="60"/>
  <c r="O157" i="60"/>
  <c r="N157" i="60"/>
  <c r="M157" i="60"/>
  <c r="L157" i="60"/>
  <c r="K157" i="60"/>
  <c r="J157" i="60"/>
  <c r="I157" i="60"/>
  <c r="H157" i="60"/>
  <c r="G157" i="60"/>
  <c r="DB156" i="60"/>
  <c r="CB156" i="60" s="1"/>
  <c r="DA156" i="60"/>
  <c r="CA156" i="60" s="1"/>
  <c r="F156" i="60"/>
  <c r="E156" i="60"/>
  <c r="CF156" i="60" s="1"/>
  <c r="D156" i="60"/>
  <c r="DE156" i="60" s="1"/>
  <c r="DB155" i="60"/>
  <c r="CB155" i="60" s="1"/>
  <c r="DA155" i="60"/>
  <c r="CA155" i="60" s="1"/>
  <c r="F155" i="60"/>
  <c r="E155" i="60"/>
  <c r="CF155" i="60" s="1"/>
  <c r="D155" i="60"/>
  <c r="DB154" i="60"/>
  <c r="CB154" i="60" s="1"/>
  <c r="DA154" i="60"/>
  <c r="CA154" i="60" s="1"/>
  <c r="F154" i="60"/>
  <c r="E154" i="60"/>
  <c r="CF154" i="60" s="1"/>
  <c r="D154" i="60"/>
  <c r="DE154" i="60" s="1"/>
  <c r="DB153" i="60"/>
  <c r="CB153" i="60" s="1"/>
  <c r="DA153" i="60"/>
  <c r="CA153" i="60" s="1"/>
  <c r="F153" i="60"/>
  <c r="E153" i="60"/>
  <c r="CF153" i="60" s="1"/>
  <c r="D153" i="60"/>
  <c r="DE153" i="60" s="1"/>
  <c r="DB152" i="60"/>
  <c r="CB152" i="60" s="1"/>
  <c r="DA152" i="60"/>
  <c r="CA152" i="60" s="1"/>
  <c r="F152" i="60"/>
  <c r="E152" i="60"/>
  <c r="CF152" i="60" s="1"/>
  <c r="D152" i="60"/>
  <c r="DB151" i="60"/>
  <c r="CB151" i="60" s="1"/>
  <c r="DA151" i="60"/>
  <c r="CA151" i="60" s="1"/>
  <c r="F151" i="60"/>
  <c r="E151" i="60"/>
  <c r="CF151" i="60" s="1"/>
  <c r="D151" i="60"/>
  <c r="DE151" i="60" s="1"/>
  <c r="DB150" i="60"/>
  <c r="CB150" i="60" s="1"/>
  <c r="DA150" i="60"/>
  <c r="CA150" i="60" s="1"/>
  <c r="F150" i="60"/>
  <c r="E150" i="60"/>
  <c r="CF150" i="60" s="1"/>
  <c r="D150" i="60"/>
  <c r="DE150" i="60" s="1"/>
  <c r="DB149" i="60"/>
  <c r="CB149" i="60" s="1"/>
  <c r="DA149" i="60"/>
  <c r="CA149" i="60" s="1"/>
  <c r="F149" i="60"/>
  <c r="E149" i="60"/>
  <c r="CF149" i="60" s="1"/>
  <c r="D149" i="60"/>
  <c r="DE149" i="60" s="1"/>
  <c r="DB148" i="60"/>
  <c r="CB148" i="60" s="1"/>
  <c r="DA148" i="60"/>
  <c r="CA148" i="60" s="1"/>
  <c r="F148" i="60"/>
  <c r="E148" i="60"/>
  <c r="CF148" i="60" s="1"/>
  <c r="D148" i="60"/>
  <c r="DE148" i="60" s="1"/>
  <c r="AW143" i="60"/>
  <c r="AV143" i="60"/>
  <c r="AU143" i="60"/>
  <c r="AT143" i="60"/>
  <c r="AS143" i="60"/>
  <c r="AR143" i="60"/>
  <c r="AQ143" i="60"/>
  <c r="AP143" i="60"/>
  <c r="AO143" i="60"/>
  <c r="AN143" i="60"/>
  <c r="AM143" i="60"/>
  <c r="AL143" i="60"/>
  <c r="AK143" i="60"/>
  <c r="AJ143" i="60"/>
  <c r="AI143" i="60"/>
  <c r="AH143" i="60"/>
  <c r="AG143" i="60"/>
  <c r="AF143" i="60"/>
  <c r="AE143" i="60"/>
  <c r="AD143" i="60"/>
  <c r="AC143" i="60"/>
  <c r="AB143" i="60"/>
  <c r="AA143" i="60"/>
  <c r="Z143" i="60"/>
  <c r="Y143" i="60"/>
  <c r="X143" i="60"/>
  <c r="W143" i="60"/>
  <c r="V143" i="60"/>
  <c r="U143" i="60"/>
  <c r="T143" i="60"/>
  <c r="S143" i="60"/>
  <c r="R143" i="60"/>
  <c r="Q143" i="60"/>
  <c r="P143" i="60"/>
  <c r="O143" i="60"/>
  <c r="N143" i="60"/>
  <c r="M143" i="60"/>
  <c r="L143" i="60"/>
  <c r="K143" i="60"/>
  <c r="J143" i="60"/>
  <c r="I143" i="60"/>
  <c r="H143" i="60"/>
  <c r="G143" i="60"/>
  <c r="DB142" i="60"/>
  <c r="CB142" i="60" s="1"/>
  <c r="DA142" i="60"/>
  <c r="CA142" i="60" s="1"/>
  <c r="F142" i="60"/>
  <c r="E142" i="60"/>
  <c r="DB141" i="60"/>
  <c r="CB141" i="60" s="1"/>
  <c r="DA141" i="60"/>
  <c r="CA141" i="60" s="1"/>
  <c r="F141" i="60"/>
  <c r="E141" i="60"/>
  <c r="DB140" i="60"/>
  <c r="CB140" i="60" s="1"/>
  <c r="DA140" i="60"/>
  <c r="CA140" i="60" s="1"/>
  <c r="F140" i="60"/>
  <c r="E140" i="60"/>
  <c r="DB139" i="60"/>
  <c r="CB139" i="60" s="1"/>
  <c r="DA139" i="60"/>
  <c r="CA139" i="60" s="1"/>
  <c r="F139" i="60"/>
  <c r="E139" i="60"/>
  <c r="DB138" i="60"/>
  <c r="CB138" i="60" s="1"/>
  <c r="DA138" i="60"/>
  <c r="CA138" i="60" s="1"/>
  <c r="F138" i="60"/>
  <c r="E138" i="60"/>
  <c r="DB137" i="60"/>
  <c r="CB137" i="60" s="1"/>
  <c r="DA137" i="60"/>
  <c r="CA137" i="60" s="1"/>
  <c r="F137" i="60"/>
  <c r="E137" i="60"/>
  <c r="DB136" i="60"/>
  <c r="CB136" i="60" s="1"/>
  <c r="DA136" i="60"/>
  <c r="CA136" i="60" s="1"/>
  <c r="F136" i="60"/>
  <c r="E136" i="60"/>
  <c r="DB135" i="60"/>
  <c r="CB135" i="60" s="1"/>
  <c r="DA135" i="60"/>
  <c r="CA135" i="60" s="1"/>
  <c r="F135" i="60"/>
  <c r="E135" i="60"/>
  <c r="DB134" i="60"/>
  <c r="CB134" i="60" s="1"/>
  <c r="DA134" i="60"/>
  <c r="CA134" i="60" s="1"/>
  <c r="F134" i="60"/>
  <c r="E134" i="60"/>
  <c r="DB133" i="60"/>
  <c r="CB133" i="60" s="1"/>
  <c r="DA133" i="60"/>
  <c r="CA133" i="60" s="1"/>
  <c r="F133" i="60"/>
  <c r="E133" i="60"/>
  <c r="DB132" i="60"/>
  <c r="CB132" i="60" s="1"/>
  <c r="DA132" i="60"/>
  <c r="CA132" i="60" s="1"/>
  <c r="F132" i="60"/>
  <c r="E132" i="60"/>
  <c r="DB131" i="60"/>
  <c r="CB131" i="60" s="1"/>
  <c r="DA131" i="60"/>
  <c r="CA131" i="60" s="1"/>
  <c r="F131" i="60"/>
  <c r="E131" i="60"/>
  <c r="DB130" i="60"/>
  <c r="CB130" i="60" s="1"/>
  <c r="DA130" i="60"/>
  <c r="CA130" i="60" s="1"/>
  <c r="F130" i="60"/>
  <c r="E130" i="60"/>
  <c r="DB129" i="60"/>
  <c r="CB129" i="60" s="1"/>
  <c r="DA129" i="60"/>
  <c r="CA129" i="60" s="1"/>
  <c r="F129" i="60"/>
  <c r="E129" i="60"/>
  <c r="DB128" i="60"/>
  <c r="CB128" i="60" s="1"/>
  <c r="DA128" i="60"/>
  <c r="CA128" i="60" s="1"/>
  <c r="F128" i="60"/>
  <c r="E128" i="60"/>
  <c r="DB127" i="60"/>
  <c r="CB127" i="60" s="1"/>
  <c r="F127" i="60"/>
  <c r="E127" i="60"/>
  <c r="DB126" i="60"/>
  <c r="CB126" i="60" s="1"/>
  <c r="F126" i="60"/>
  <c r="E126" i="60"/>
  <c r="DB125" i="60"/>
  <c r="CB125" i="60" s="1"/>
  <c r="F125" i="60"/>
  <c r="E125" i="60"/>
  <c r="DB124" i="60"/>
  <c r="CB124" i="60" s="1"/>
  <c r="F124" i="60"/>
  <c r="E124" i="60"/>
  <c r="DB123" i="60"/>
  <c r="CB123" i="60" s="1"/>
  <c r="F123" i="60"/>
  <c r="E123" i="60"/>
  <c r="DB122" i="60"/>
  <c r="CB122" i="60" s="1"/>
  <c r="F122" i="60"/>
  <c r="E122" i="60"/>
  <c r="DB121" i="60"/>
  <c r="CB121" i="60" s="1"/>
  <c r="F121" i="60"/>
  <c r="E121" i="60"/>
  <c r="DB120" i="60"/>
  <c r="CB120" i="60" s="1"/>
  <c r="DA120" i="60"/>
  <c r="CA120" i="60" s="1"/>
  <c r="F120" i="60"/>
  <c r="DB119" i="60"/>
  <c r="CB119" i="60" s="1"/>
  <c r="F119" i="60"/>
  <c r="E119" i="60"/>
  <c r="DB118" i="60"/>
  <c r="CB118" i="60" s="1"/>
  <c r="DA118" i="60"/>
  <c r="CA118" i="60" s="1"/>
  <c r="F118" i="60"/>
  <c r="E118" i="60"/>
  <c r="DB117" i="60"/>
  <c r="CB117" i="60" s="1"/>
  <c r="DA117" i="60"/>
  <c r="CA117" i="60" s="1"/>
  <c r="F117" i="60"/>
  <c r="E117" i="60"/>
  <c r="DB116" i="60"/>
  <c r="CB116" i="60" s="1"/>
  <c r="DA116" i="60"/>
  <c r="CA116" i="60" s="1"/>
  <c r="F116" i="60"/>
  <c r="E116" i="60"/>
  <c r="DB115" i="60"/>
  <c r="CB115" i="60" s="1"/>
  <c r="DA115" i="60"/>
  <c r="CA115" i="60" s="1"/>
  <c r="F115" i="60"/>
  <c r="E115" i="60"/>
  <c r="DB114" i="60"/>
  <c r="CB114" i="60" s="1"/>
  <c r="DA114" i="60"/>
  <c r="CA114" i="60" s="1"/>
  <c r="F114" i="60"/>
  <c r="E114" i="60"/>
  <c r="DB113" i="60"/>
  <c r="CB113" i="60" s="1"/>
  <c r="DA113" i="60"/>
  <c r="CA113" i="60" s="1"/>
  <c r="F113" i="60"/>
  <c r="E113" i="60"/>
  <c r="DB112" i="60"/>
  <c r="CB112" i="60" s="1"/>
  <c r="DA112" i="60"/>
  <c r="CA112" i="60" s="1"/>
  <c r="F112" i="60"/>
  <c r="E112" i="60"/>
  <c r="DB111" i="60"/>
  <c r="CB111" i="60" s="1"/>
  <c r="DA111" i="60"/>
  <c r="CA111" i="60" s="1"/>
  <c r="F111" i="60"/>
  <c r="E111" i="60"/>
  <c r="DB110" i="60"/>
  <c r="CB110" i="60" s="1"/>
  <c r="DA110" i="60"/>
  <c r="CA110" i="60" s="1"/>
  <c r="F110" i="60"/>
  <c r="E110" i="60"/>
  <c r="DA109" i="60"/>
  <c r="CA109" i="60" s="1"/>
  <c r="F109" i="60"/>
  <c r="E109" i="60"/>
  <c r="DB108" i="60"/>
  <c r="CB108" i="60" s="1"/>
  <c r="DA108" i="60"/>
  <c r="CA108" i="60" s="1"/>
  <c r="F108" i="60"/>
  <c r="E108" i="60"/>
  <c r="DB107" i="60"/>
  <c r="CB107" i="60" s="1"/>
  <c r="DA107" i="60"/>
  <c r="CA107" i="60" s="1"/>
  <c r="F107" i="60"/>
  <c r="E107" i="60"/>
  <c r="DB106" i="60"/>
  <c r="CB106" i="60" s="1"/>
  <c r="DA106" i="60"/>
  <c r="CA106" i="60" s="1"/>
  <c r="F106" i="60"/>
  <c r="E106" i="60"/>
  <c r="DA105" i="60"/>
  <c r="CA105" i="60" s="1"/>
  <c r="F105" i="60"/>
  <c r="E105" i="60"/>
  <c r="DB104" i="60"/>
  <c r="CB104" i="60" s="1"/>
  <c r="DA104" i="60"/>
  <c r="CA104" i="60" s="1"/>
  <c r="F104" i="60"/>
  <c r="E104" i="60"/>
  <c r="DB103" i="60"/>
  <c r="CB103" i="60" s="1"/>
  <c r="DA103" i="60"/>
  <c r="CA103" i="60" s="1"/>
  <c r="F103" i="60"/>
  <c r="E103" i="60"/>
  <c r="DB102" i="60"/>
  <c r="CB102" i="60" s="1"/>
  <c r="DA102" i="60"/>
  <c r="CA102" i="60" s="1"/>
  <c r="F102" i="60"/>
  <c r="E102" i="60"/>
  <c r="DB101" i="60"/>
  <c r="CB101" i="60" s="1"/>
  <c r="DA101" i="60"/>
  <c r="CA101" i="60" s="1"/>
  <c r="F101" i="60"/>
  <c r="E101" i="60"/>
  <c r="DA100" i="60"/>
  <c r="CA100" i="60" s="1"/>
  <c r="F100" i="60"/>
  <c r="E100" i="60"/>
  <c r="DB99" i="60"/>
  <c r="CB99" i="60" s="1"/>
  <c r="F99" i="60"/>
  <c r="E99" i="60"/>
  <c r="DB98" i="60"/>
  <c r="CB98" i="60" s="1"/>
  <c r="DA98" i="60"/>
  <c r="CA98" i="60" s="1"/>
  <c r="F98" i="60"/>
  <c r="E98" i="60"/>
  <c r="DB97" i="60"/>
  <c r="CB97" i="60" s="1"/>
  <c r="DA97" i="60"/>
  <c r="CA97" i="60" s="1"/>
  <c r="F97" i="60"/>
  <c r="E97" i="60"/>
  <c r="DB96" i="60"/>
  <c r="CB96" i="60" s="1"/>
  <c r="DA96" i="60"/>
  <c r="CA96" i="60" s="1"/>
  <c r="F96" i="60"/>
  <c r="E96" i="60"/>
  <c r="DB95" i="60"/>
  <c r="CB95" i="60" s="1"/>
  <c r="F95" i="60"/>
  <c r="DB94" i="60"/>
  <c r="CB94" i="60" s="1"/>
  <c r="DA94" i="60"/>
  <c r="CA94" i="60" s="1"/>
  <c r="E94" i="60"/>
  <c r="D94" i="60" s="1"/>
  <c r="DB93" i="60"/>
  <c r="CB93" i="60" s="1"/>
  <c r="DA93" i="60"/>
  <c r="CA93" i="60" s="1"/>
  <c r="F93" i="60"/>
  <c r="E93" i="60"/>
  <c r="DB92" i="60"/>
  <c r="CB92" i="60" s="1"/>
  <c r="DA92" i="60"/>
  <c r="CA92" i="60" s="1"/>
  <c r="F92" i="60"/>
  <c r="E92" i="60"/>
  <c r="DB91" i="60"/>
  <c r="CB91" i="60" s="1"/>
  <c r="DA91" i="60"/>
  <c r="CA91" i="60" s="1"/>
  <c r="F91" i="60"/>
  <c r="E91" i="60"/>
  <c r="DB90" i="60"/>
  <c r="CB90" i="60" s="1"/>
  <c r="DA90" i="60"/>
  <c r="CA90" i="60" s="1"/>
  <c r="F90" i="60"/>
  <c r="E90" i="60"/>
  <c r="D85" i="60"/>
  <c r="D84" i="60"/>
  <c r="DE80" i="60"/>
  <c r="CE80" i="60" s="1"/>
  <c r="DD80" i="60"/>
  <c r="CD80" i="60" s="1"/>
  <c r="DC80" i="60"/>
  <c r="CC80" i="60" s="1"/>
  <c r="DB80" i="60"/>
  <c r="CB80" i="60" s="1"/>
  <c r="DA80" i="60"/>
  <c r="CA80" i="60" s="1"/>
  <c r="DE79" i="60"/>
  <c r="CE79" i="60" s="1"/>
  <c r="DD79" i="60"/>
  <c r="CD79" i="60" s="1"/>
  <c r="DC79" i="60"/>
  <c r="CC79" i="60" s="1"/>
  <c r="DB79" i="60"/>
  <c r="CB79" i="60" s="1"/>
  <c r="DA79" i="60"/>
  <c r="CA79" i="60" s="1"/>
  <c r="DE78" i="60"/>
  <c r="CE78" i="60" s="1"/>
  <c r="DD78" i="60"/>
  <c r="CD78" i="60" s="1"/>
  <c r="DC78" i="60"/>
  <c r="CC78" i="60" s="1"/>
  <c r="DB78" i="60"/>
  <c r="CB78" i="60" s="1"/>
  <c r="DA78" i="60"/>
  <c r="CA78" i="60" s="1"/>
  <c r="DE77" i="60"/>
  <c r="CE77" i="60" s="1"/>
  <c r="DD77" i="60"/>
  <c r="CD77" i="60" s="1"/>
  <c r="DC77" i="60"/>
  <c r="CC77" i="60" s="1"/>
  <c r="DB77" i="60"/>
  <c r="CB77" i="60" s="1"/>
  <c r="DA77" i="60"/>
  <c r="CA77" i="60" s="1"/>
  <c r="DE76" i="60"/>
  <c r="CE76" i="60" s="1"/>
  <c r="DD76" i="60"/>
  <c r="CD76" i="60" s="1"/>
  <c r="DC76" i="60"/>
  <c r="CC76" i="60" s="1"/>
  <c r="DB76" i="60"/>
  <c r="CB76" i="60" s="1"/>
  <c r="DA76" i="60"/>
  <c r="CA76" i="60" s="1"/>
  <c r="DE75" i="60"/>
  <c r="CE75" i="60" s="1"/>
  <c r="DD75" i="60"/>
  <c r="CD75" i="60" s="1"/>
  <c r="DC75" i="60"/>
  <c r="CC75" i="60" s="1"/>
  <c r="DB75" i="60"/>
  <c r="CB75" i="60" s="1"/>
  <c r="DA75" i="60"/>
  <c r="CA75" i="60" s="1"/>
  <c r="DE74" i="60"/>
  <c r="CE74" i="60" s="1"/>
  <c r="DD74" i="60"/>
  <c r="CD74" i="60" s="1"/>
  <c r="DC74" i="60"/>
  <c r="CC74" i="60" s="1"/>
  <c r="DB74" i="60"/>
  <c r="CB74" i="60" s="1"/>
  <c r="DA74" i="60"/>
  <c r="CA74" i="60" s="1"/>
  <c r="DE73" i="60"/>
  <c r="CE73" i="60" s="1"/>
  <c r="DD73" i="60"/>
  <c r="CD73" i="60" s="1"/>
  <c r="DC73" i="60"/>
  <c r="CC73" i="60" s="1"/>
  <c r="DB73" i="60"/>
  <c r="CB73" i="60" s="1"/>
  <c r="DA73" i="60"/>
  <c r="CA73" i="60" s="1"/>
  <c r="DE72" i="60"/>
  <c r="CE72" i="60" s="1"/>
  <c r="DD72" i="60"/>
  <c r="CD72" i="60" s="1"/>
  <c r="DC72" i="60"/>
  <c r="CC72" i="60" s="1"/>
  <c r="DB72" i="60"/>
  <c r="CB72" i="60" s="1"/>
  <c r="DA72" i="60"/>
  <c r="CA72" i="60" s="1"/>
  <c r="DE71" i="60"/>
  <c r="CE71" i="60" s="1"/>
  <c r="DD71" i="60"/>
  <c r="CD71" i="60" s="1"/>
  <c r="DC71" i="60"/>
  <c r="CC71" i="60" s="1"/>
  <c r="DB71" i="60"/>
  <c r="CB71" i="60" s="1"/>
  <c r="DA71" i="60"/>
  <c r="CA71" i="60" s="1"/>
  <c r="DE70" i="60"/>
  <c r="CE70" i="60" s="1"/>
  <c r="DD70" i="60"/>
  <c r="CD70" i="60" s="1"/>
  <c r="DC70" i="60"/>
  <c r="CC70" i="60" s="1"/>
  <c r="DB70" i="60"/>
  <c r="CB70" i="60" s="1"/>
  <c r="DA70" i="60"/>
  <c r="CA70" i="60" s="1"/>
  <c r="DE69" i="60"/>
  <c r="CE69" i="60" s="1"/>
  <c r="DD69" i="60"/>
  <c r="CD69" i="60" s="1"/>
  <c r="DC69" i="60"/>
  <c r="CC69" i="60" s="1"/>
  <c r="DB69" i="60"/>
  <c r="CB69" i="60" s="1"/>
  <c r="DA69" i="60"/>
  <c r="CA69" i="60" s="1"/>
  <c r="DE68" i="60"/>
  <c r="CE68" i="60" s="1"/>
  <c r="DD68" i="60"/>
  <c r="CD68" i="60" s="1"/>
  <c r="DC68" i="60"/>
  <c r="CC68" i="60" s="1"/>
  <c r="DB68" i="60"/>
  <c r="CB68" i="60" s="1"/>
  <c r="DA68" i="60"/>
  <c r="CA68" i="60" s="1"/>
  <c r="DE67" i="60"/>
  <c r="CE67" i="60" s="1"/>
  <c r="CD67" i="60"/>
  <c r="DC67" i="60"/>
  <c r="CC67" i="60" s="1"/>
  <c r="DB67" i="60"/>
  <c r="CB67" i="60" s="1"/>
  <c r="DA67" i="60"/>
  <c r="CA67" i="60" s="1"/>
  <c r="AX64" i="60"/>
  <c r="AW64" i="60"/>
  <c r="AV64" i="60"/>
  <c r="AU64" i="60"/>
  <c r="AT64" i="60"/>
  <c r="AS64" i="60"/>
  <c r="AR64" i="60"/>
  <c r="AQ64" i="60"/>
  <c r="AP64" i="60"/>
  <c r="AO64" i="60"/>
  <c r="AN64" i="60"/>
  <c r="AM64" i="60"/>
  <c r="AL64" i="60"/>
  <c r="AK64" i="60"/>
  <c r="AJ64" i="60"/>
  <c r="AI64" i="60"/>
  <c r="AH64" i="60"/>
  <c r="AG64" i="60"/>
  <c r="AF64" i="60"/>
  <c r="AE64" i="60"/>
  <c r="AD64" i="60"/>
  <c r="AC64" i="60"/>
  <c r="AB64" i="60"/>
  <c r="AA64" i="60"/>
  <c r="DC63" i="60"/>
  <c r="CC63" i="60" s="1"/>
  <c r="DA63" i="60"/>
  <c r="CA63" i="60" s="1"/>
  <c r="DH63" i="60"/>
  <c r="DC62" i="60"/>
  <c r="CC62" i="60" s="1"/>
  <c r="DA62" i="60"/>
  <c r="CA62" i="60" s="1"/>
  <c r="DH62" i="60"/>
  <c r="CG62" i="60"/>
  <c r="DC61" i="60"/>
  <c r="CC61" i="60" s="1"/>
  <c r="DA61" i="60"/>
  <c r="CA61" i="60" s="1"/>
  <c r="AX60" i="60"/>
  <c r="AW60" i="60"/>
  <c r="AV60" i="60"/>
  <c r="AU60" i="60"/>
  <c r="AT60" i="60"/>
  <c r="AS60" i="60"/>
  <c r="AR60" i="60"/>
  <c r="AQ60" i="60"/>
  <c r="AP60" i="60"/>
  <c r="AO60" i="60"/>
  <c r="AN60" i="60"/>
  <c r="AM60" i="60"/>
  <c r="AL60" i="60"/>
  <c r="AK60" i="60"/>
  <c r="AJ60" i="60"/>
  <c r="AI60" i="60"/>
  <c r="AH60" i="60"/>
  <c r="AG60" i="60"/>
  <c r="AF60" i="60"/>
  <c r="AE60" i="60"/>
  <c r="AD60" i="60"/>
  <c r="AC60" i="60"/>
  <c r="AB60" i="60"/>
  <c r="AA60" i="60"/>
  <c r="Z60" i="60"/>
  <c r="Y60" i="60"/>
  <c r="X60" i="60"/>
  <c r="W60" i="60"/>
  <c r="V60" i="60"/>
  <c r="U60" i="60"/>
  <c r="T60" i="60"/>
  <c r="S60" i="60"/>
  <c r="R60" i="60"/>
  <c r="Q60" i="60"/>
  <c r="P60" i="60"/>
  <c r="O60" i="60"/>
  <c r="N60" i="60"/>
  <c r="M60" i="60"/>
  <c r="L60" i="60"/>
  <c r="K60" i="60"/>
  <c r="J60" i="60"/>
  <c r="I60" i="60"/>
  <c r="H60" i="60"/>
  <c r="G60" i="60"/>
  <c r="DC59" i="60"/>
  <c r="CC59" i="60" s="1"/>
  <c r="DA59" i="60"/>
  <c r="CA59" i="60" s="1"/>
  <c r="F59" i="60"/>
  <c r="E59" i="60"/>
  <c r="CG59" i="60" s="1"/>
  <c r="DC58" i="60"/>
  <c r="CC58" i="60" s="1"/>
  <c r="DA58" i="60"/>
  <c r="CA58" i="60" s="1"/>
  <c r="F58" i="60"/>
  <c r="DH58" i="60" s="1"/>
  <c r="E58" i="60"/>
  <c r="DC57" i="60"/>
  <c r="CC57" i="60" s="1"/>
  <c r="DA57" i="60"/>
  <c r="CA57" i="60" s="1"/>
  <c r="F57" i="60"/>
  <c r="DH57" i="60" s="1"/>
  <c r="E57" i="60"/>
  <c r="CG57" i="60" s="1"/>
  <c r="DC56" i="60"/>
  <c r="CC56" i="60" s="1"/>
  <c r="DA56" i="60"/>
  <c r="CA56" i="60" s="1"/>
  <c r="F56" i="60"/>
  <c r="DH56" i="60" s="1"/>
  <c r="E56" i="60"/>
  <c r="DC55" i="60"/>
  <c r="CC55" i="60" s="1"/>
  <c r="DA55" i="60"/>
  <c r="CA55" i="60" s="1"/>
  <c r="F55" i="60"/>
  <c r="DH55" i="60" s="1"/>
  <c r="E55" i="60"/>
  <c r="CG55" i="60" s="1"/>
  <c r="AX54" i="60"/>
  <c r="AW54" i="60"/>
  <c r="AV54" i="60"/>
  <c r="AU54" i="60"/>
  <c r="AT54" i="60"/>
  <c r="AS54" i="60"/>
  <c r="AR54" i="60"/>
  <c r="AQ54" i="60"/>
  <c r="AP54" i="60"/>
  <c r="AO54" i="60"/>
  <c r="AN54" i="60"/>
  <c r="AM54" i="60"/>
  <c r="AL54" i="60"/>
  <c r="AK54" i="60"/>
  <c r="AJ54" i="60"/>
  <c r="AI54" i="60"/>
  <c r="AH54" i="60"/>
  <c r="AG54" i="60"/>
  <c r="AF54" i="60"/>
  <c r="AE54" i="60"/>
  <c r="AD54" i="60"/>
  <c r="AC54" i="60"/>
  <c r="AB54" i="60"/>
  <c r="AA54" i="60"/>
  <c r="X54" i="60"/>
  <c r="W54" i="60"/>
  <c r="V54" i="60"/>
  <c r="U54" i="60"/>
  <c r="T54" i="60"/>
  <c r="S54" i="60"/>
  <c r="R54" i="60"/>
  <c r="Q54" i="60"/>
  <c r="P54" i="60"/>
  <c r="O54" i="60"/>
  <c r="N54" i="60"/>
  <c r="M54" i="60"/>
  <c r="L54" i="60"/>
  <c r="K54" i="60"/>
  <c r="J54" i="60"/>
  <c r="I54" i="60"/>
  <c r="H54" i="60"/>
  <c r="G54" i="60"/>
  <c r="DC53" i="60"/>
  <c r="CC53" i="60" s="1"/>
  <c r="DA53" i="60"/>
  <c r="CA53" i="60" s="1"/>
  <c r="F53" i="60"/>
  <c r="DH53" i="60" s="1"/>
  <c r="E53" i="60"/>
  <c r="CG53" i="60" s="1"/>
  <c r="DC52" i="60"/>
  <c r="CC52" i="60" s="1"/>
  <c r="DA52" i="60"/>
  <c r="CA52" i="60" s="1"/>
  <c r="F52" i="60"/>
  <c r="DH52" i="60" s="1"/>
  <c r="E52" i="60"/>
  <c r="CG52" i="60" s="1"/>
  <c r="DC51" i="60"/>
  <c r="CC51" i="60" s="1"/>
  <c r="DA51" i="60"/>
  <c r="CA51" i="60" s="1"/>
  <c r="F51" i="60"/>
  <c r="DH51" i="60" s="1"/>
  <c r="E51" i="60"/>
  <c r="DC50" i="60"/>
  <c r="CC50" i="60" s="1"/>
  <c r="DA50" i="60"/>
  <c r="CA50" i="60" s="1"/>
  <c r="F50" i="60"/>
  <c r="E50" i="60"/>
  <c r="CG50" i="60" s="1"/>
  <c r="DC49" i="60"/>
  <c r="CC49" i="60" s="1"/>
  <c r="DA49" i="60"/>
  <c r="CA49" i="60" s="1"/>
  <c r="F49" i="60"/>
  <c r="E49" i="60"/>
  <c r="CG49" i="60" s="1"/>
  <c r="DC48" i="60"/>
  <c r="CC48" i="60" s="1"/>
  <c r="DA48" i="60"/>
  <c r="CA48" i="60" s="1"/>
  <c r="F48" i="60"/>
  <c r="DH48" i="60" s="1"/>
  <c r="E48" i="60"/>
  <c r="DC47" i="60"/>
  <c r="CC47" i="60" s="1"/>
  <c r="DA47" i="60"/>
  <c r="CA47" i="60" s="1"/>
  <c r="F47" i="60"/>
  <c r="DH47" i="60" s="1"/>
  <c r="E47" i="60"/>
  <c r="CG47" i="60" s="1"/>
  <c r="AX46" i="60"/>
  <c r="AW46" i="60"/>
  <c r="AV46" i="60"/>
  <c r="AU46" i="60"/>
  <c r="AT46" i="60"/>
  <c r="AS46" i="60"/>
  <c r="AR46" i="60"/>
  <c r="AQ46" i="60"/>
  <c r="AP46" i="60"/>
  <c r="AO46" i="60"/>
  <c r="AN46" i="60"/>
  <c r="AM46" i="60"/>
  <c r="AL46" i="60"/>
  <c r="AK46" i="60"/>
  <c r="AJ46" i="60"/>
  <c r="AI46" i="60"/>
  <c r="AH46" i="60"/>
  <c r="AG46" i="60"/>
  <c r="AF46" i="60"/>
  <c r="AE46" i="60"/>
  <c r="AD46" i="60"/>
  <c r="AC46" i="60"/>
  <c r="DC45" i="60"/>
  <c r="CC45" i="60" s="1"/>
  <c r="DH45" i="60"/>
  <c r="DC44" i="60"/>
  <c r="CC44" i="60" s="1"/>
  <c r="DA44" i="60"/>
  <c r="CA44" i="60" s="1"/>
  <c r="DH44" i="60"/>
  <c r="CG44" i="60"/>
  <c r="F43" i="60"/>
  <c r="DH43" i="60" s="1"/>
  <c r="E43" i="60"/>
  <c r="F42" i="60"/>
  <c r="DH42" i="60" s="1"/>
  <c r="E42" i="60"/>
  <c r="CC41" i="60"/>
  <c r="DA41" i="60"/>
  <c r="CA41" i="60" s="1"/>
  <c r="F41" i="60"/>
  <c r="DH41" i="60" s="1"/>
  <c r="E41" i="60"/>
  <c r="AX36" i="60"/>
  <c r="AW36" i="60"/>
  <c r="AV36" i="60"/>
  <c r="AU36" i="60"/>
  <c r="AT36" i="60"/>
  <c r="AS36" i="60"/>
  <c r="AR36" i="60"/>
  <c r="AQ36" i="60"/>
  <c r="AP36" i="60"/>
  <c r="AO36" i="60"/>
  <c r="AN36" i="60"/>
  <c r="AM36" i="60"/>
  <c r="AL36" i="60"/>
  <c r="AK36" i="60"/>
  <c r="AJ36" i="60"/>
  <c r="AI36" i="60"/>
  <c r="AH36" i="60"/>
  <c r="AG36" i="60"/>
  <c r="AF36" i="60"/>
  <c r="AE36" i="60"/>
  <c r="AD36" i="60"/>
  <c r="AC36" i="60"/>
  <c r="AB36" i="60"/>
  <c r="AA36" i="60"/>
  <c r="Z36" i="60"/>
  <c r="Y36" i="60"/>
  <c r="X36" i="60"/>
  <c r="W36" i="60"/>
  <c r="V36" i="60"/>
  <c r="U36" i="60"/>
  <c r="T36" i="60"/>
  <c r="S36" i="60"/>
  <c r="R36" i="60"/>
  <c r="Q36" i="60"/>
  <c r="P36" i="60"/>
  <c r="O36" i="60"/>
  <c r="N36" i="60"/>
  <c r="M36" i="60"/>
  <c r="L36" i="60"/>
  <c r="K36" i="60"/>
  <c r="J36" i="60"/>
  <c r="I36" i="60"/>
  <c r="H36" i="60"/>
  <c r="G36" i="60"/>
  <c r="F35" i="60"/>
  <c r="DH35" i="60" s="1"/>
  <c r="E35" i="60"/>
  <c r="F34" i="60"/>
  <c r="DH34" i="60" s="1"/>
  <c r="E34" i="60"/>
  <c r="CG34" i="60" s="1"/>
  <c r="F33" i="60"/>
  <c r="DH33" i="60" s="1"/>
  <c r="E33" i="60"/>
  <c r="F32" i="60"/>
  <c r="DH32" i="60" s="1"/>
  <c r="E32" i="60"/>
  <c r="F31" i="60"/>
  <c r="DH31" i="60" s="1"/>
  <c r="E31" i="60"/>
  <c r="F30" i="60"/>
  <c r="DH30" i="60" s="1"/>
  <c r="E30" i="60"/>
  <c r="CG30" i="60" s="1"/>
  <c r="F29" i="60"/>
  <c r="DH29" i="60" s="1"/>
  <c r="E29" i="60"/>
  <c r="CG29" i="60" s="1"/>
  <c r="F28" i="60"/>
  <c r="DH28" i="60" s="1"/>
  <c r="E28" i="60"/>
  <c r="F27" i="60"/>
  <c r="DH27" i="60" s="1"/>
  <c r="E27" i="60"/>
  <c r="F26" i="60"/>
  <c r="DH26" i="60" s="1"/>
  <c r="E26" i="60"/>
  <c r="F25" i="60"/>
  <c r="DH25" i="60" s="1"/>
  <c r="E25" i="60"/>
  <c r="CG25" i="60" s="1"/>
  <c r="F24" i="60"/>
  <c r="DH24" i="60" s="1"/>
  <c r="E24" i="60"/>
  <c r="CG24" i="60" s="1"/>
  <c r="F23" i="60"/>
  <c r="DH23" i="60" s="1"/>
  <c r="E23" i="60"/>
  <c r="F22" i="60"/>
  <c r="DH22" i="60" s="1"/>
  <c r="E22" i="60"/>
  <c r="F21" i="60"/>
  <c r="DH21" i="60" s="1"/>
  <c r="E21" i="60"/>
  <c r="F20" i="60"/>
  <c r="DH20" i="60" s="1"/>
  <c r="E20" i="60"/>
  <c r="CA19" i="60"/>
  <c r="F19" i="60"/>
  <c r="DH19" i="60" s="1"/>
  <c r="E19" i="60"/>
  <c r="DC15" i="60"/>
  <c r="CC15" i="60" s="1"/>
  <c r="CA15" i="60"/>
  <c r="F15" i="60"/>
  <c r="E15" i="60"/>
  <c r="CG15" i="60" s="1"/>
  <c r="DC14" i="60"/>
  <c r="CC14" i="60" s="1"/>
  <c r="DA14" i="60"/>
  <c r="CA14" i="60" s="1"/>
  <c r="F14" i="60"/>
  <c r="DH14" i="60" s="1"/>
  <c r="E14" i="60"/>
  <c r="CG14" i="60" s="1"/>
  <c r="DC13" i="60"/>
  <c r="CC13" i="60" s="1"/>
  <c r="DA13" i="60"/>
  <c r="CA13" i="60" s="1"/>
  <c r="F13" i="60"/>
  <c r="DH13" i="60" s="1"/>
  <c r="E13" i="60"/>
  <c r="CC12" i="60"/>
  <c r="DA12" i="60"/>
  <c r="F12" i="60"/>
  <c r="DH12" i="60" s="1"/>
  <c r="E12" i="60"/>
  <c r="CG12" i="60" s="1"/>
  <c r="K70" i="60" l="1"/>
  <c r="K78" i="60"/>
  <c r="K74" i="60"/>
  <c r="D179" i="60"/>
  <c r="DA179" i="60" s="1"/>
  <c r="CA179" i="60" s="1"/>
  <c r="E178" i="60"/>
  <c r="E46" i="60"/>
  <c r="K67" i="60"/>
  <c r="K71" i="60"/>
  <c r="K75" i="60"/>
  <c r="K79" i="60"/>
  <c r="F46" i="60"/>
  <c r="K68" i="60"/>
  <c r="K72" i="60"/>
  <c r="K76" i="60"/>
  <c r="K80" i="60"/>
  <c r="K69" i="60"/>
  <c r="K73" i="60"/>
  <c r="K77" i="60"/>
  <c r="D278" i="60"/>
  <c r="CE278" i="60" s="1"/>
  <c r="CE155" i="60"/>
  <c r="DE155" i="60"/>
  <c r="CE152" i="60"/>
  <c r="DE152" i="60"/>
  <c r="D108" i="60"/>
  <c r="DD108" i="60" s="1"/>
  <c r="D118" i="60"/>
  <c r="D122" i="60"/>
  <c r="CF122" i="60" s="1"/>
  <c r="D230" i="60"/>
  <c r="DE230" i="60" s="1"/>
  <c r="D233" i="60"/>
  <c r="CG233" i="60" s="1"/>
  <c r="D258" i="60"/>
  <c r="D299" i="60"/>
  <c r="DG299" i="60" s="1"/>
  <c r="D117" i="60"/>
  <c r="DH117" i="60" s="1"/>
  <c r="D124" i="60"/>
  <c r="CE124" i="60" s="1"/>
  <c r="D134" i="60"/>
  <c r="D185" i="60"/>
  <c r="DC185" i="60" s="1"/>
  <c r="CC185" i="60" s="1"/>
  <c r="D286" i="60"/>
  <c r="DG286" i="60" s="1"/>
  <c r="D95" i="60"/>
  <c r="DD95" i="60" s="1"/>
  <c r="D193" i="60"/>
  <c r="D275" i="60"/>
  <c r="DD275" i="60" s="1"/>
  <c r="D96" i="60"/>
  <c r="CG96" i="60" s="1"/>
  <c r="D285" i="60"/>
  <c r="D289" i="60"/>
  <c r="DD289" i="60" s="1"/>
  <c r="D293" i="60"/>
  <c r="DD293" i="60" s="1"/>
  <c r="D312" i="60"/>
  <c r="DB312" i="60" s="1"/>
  <c r="D250" i="60"/>
  <c r="D109" i="60"/>
  <c r="D112" i="60"/>
  <c r="CF112" i="60" s="1"/>
  <c r="D130" i="60"/>
  <c r="DC130" i="60" s="1"/>
  <c r="CC130" i="60" s="1"/>
  <c r="D136" i="60"/>
  <c r="CH136" i="60" s="1"/>
  <c r="D98" i="60"/>
  <c r="DH98" i="60" s="1"/>
  <c r="D121" i="60"/>
  <c r="DD121" i="60" s="1"/>
  <c r="D140" i="60"/>
  <c r="CG140" i="60" s="1"/>
  <c r="D204" i="60"/>
  <c r="D206" i="60"/>
  <c r="D270" i="60"/>
  <c r="DG270" i="60" s="1"/>
  <c r="D271" i="60"/>
  <c r="DE271" i="60" s="1"/>
  <c r="D290" i="60"/>
  <c r="D111" i="60"/>
  <c r="D114" i="60"/>
  <c r="CH114" i="60" s="1"/>
  <c r="D132" i="60"/>
  <c r="DH132" i="60" s="1"/>
  <c r="D180" i="60"/>
  <c r="DD180" i="60" s="1"/>
  <c r="CD180" i="60" s="1"/>
  <c r="D189" i="60"/>
  <c r="DE189" i="60" s="1"/>
  <c r="CE189" i="60" s="1"/>
  <c r="D226" i="60"/>
  <c r="DD226" i="60" s="1"/>
  <c r="D248" i="60"/>
  <c r="CE248" i="60" s="1"/>
  <c r="D277" i="60"/>
  <c r="DB277" i="60" s="1"/>
  <c r="CB277" i="60" s="1"/>
  <c r="D300" i="60"/>
  <c r="D313" i="60"/>
  <c r="DB313" i="60" s="1"/>
  <c r="D268" i="60"/>
  <c r="CG268" i="60" s="1"/>
  <c r="D281" i="60"/>
  <c r="DE281" i="60" s="1"/>
  <c r="D282" i="60"/>
  <c r="CG282" i="60" s="1"/>
  <c r="CD155" i="60"/>
  <c r="D107" i="60"/>
  <c r="DG107" i="60" s="1"/>
  <c r="D116" i="60"/>
  <c r="CG116" i="60" s="1"/>
  <c r="D137" i="60"/>
  <c r="D266" i="60"/>
  <c r="CE266" i="60" s="1"/>
  <c r="D279" i="60"/>
  <c r="DG279" i="60" s="1"/>
  <c r="D33" i="60"/>
  <c r="CG33" i="60"/>
  <c r="D15" i="60"/>
  <c r="DB15" i="60" s="1"/>
  <c r="CB15" i="60" s="1"/>
  <c r="DH15" i="60"/>
  <c r="D48" i="60"/>
  <c r="CF48" i="60" s="1"/>
  <c r="CG48" i="60"/>
  <c r="D141" i="60"/>
  <c r="CD141" i="60" s="1"/>
  <c r="DG153" i="60"/>
  <c r="CE153" i="60"/>
  <c r="DC162" i="60"/>
  <c r="CC162" i="60" s="1"/>
  <c r="DB162" i="60"/>
  <c r="CB162" i="60" s="1"/>
  <c r="DD162" i="60"/>
  <c r="CD162" i="60" s="1"/>
  <c r="DE169" i="60"/>
  <c r="CE169" i="60" s="1"/>
  <c r="DB169" i="60"/>
  <c r="CB169" i="60" s="1"/>
  <c r="DD169" i="60"/>
  <c r="CD169" i="60" s="1"/>
  <c r="DC169" i="60"/>
  <c r="CC169" i="60" s="1"/>
  <c r="DB174" i="60"/>
  <c r="CB174" i="60" s="1"/>
  <c r="DD174" i="60"/>
  <c r="CD174" i="60" s="1"/>
  <c r="DC174" i="60"/>
  <c r="CC174" i="60" s="1"/>
  <c r="D232" i="60"/>
  <c r="D243" i="60"/>
  <c r="D262" i="60"/>
  <c r="D295" i="60"/>
  <c r="DE295" i="60" s="1"/>
  <c r="CG94" i="60"/>
  <c r="CF94" i="60"/>
  <c r="CH94" i="60"/>
  <c r="DH94" i="60"/>
  <c r="CA12" i="60"/>
  <c r="D20" i="60"/>
  <c r="CG20" i="60"/>
  <c r="D23" i="60"/>
  <c r="CG23" i="60"/>
  <c r="D26" i="60"/>
  <c r="CG26" i="60"/>
  <c r="D32" i="60"/>
  <c r="CG32" i="60"/>
  <c r="D35" i="60"/>
  <c r="CG35" i="60"/>
  <c r="D58" i="60"/>
  <c r="CH58" i="60" s="1"/>
  <c r="CG58" i="60"/>
  <c r="D59" i="60"/>
  <c r="DF59" i="60" s="1"/>
  <c r="DH59" i="60"/>
  <c r="D61" i="60"/>
  <c r="CF61" i="60" s="1"/>
  <c r="CG61" i="60"/>
  <c r="CG122" i="60"/>
  <c r="DG151" i="60"/>
  <c r="CE151" i="60"/>
  <c r="DD163" i="60"/>
  <c r="CD163" i="60" s="1"/>
  <c r="DC163" i="60"/>
  <c r="CC163" i="60" s="1"/>
  <c r="DB163" i="60"/>
  <c r="CB163" i="60" s="1"/>
  <c r="DD170" i="60"/>
  <c r="CD170" i="60" s="1"/>
  <c r="DC170" i="60"/>
  <c r="CC170" i="60" s="1"/>
  <c r="DB170" i="60"/>
  <c r="CB170" i="60" s="1"/>
  <c r="DB175" i="60"/>
  <c r="CB175" i="60" s="1"/>
  <c r="DD175" i="60"/>
  <c r="CD175" i="60" s="1"/>
  <c r="DC175" i="60"/>
  <c r="CC175" i="60" s="1"/>
  <c r="D21" i="60"/>
  <c r="CG21" i="60"/>
  <c r="D42" i="60"/>
  <c r="CG42" i="60"/>
  <c r="D13" i="60"/>
  <c r="CE13" i="60" s="1"/>
  <c r="CG13" i="60"/>
  <c r="D51" i="60"/>
  <c r="CH51" i="60" s="1"/>
  <c r="CG51" i="60"/>
  <c r="F64" i="60"/>
  <c r="DH61" i="60"/>
  <c r="D91" i="60"/>
  <c r="DF91" i="60" s="1"/>
  <c r="D100" i="60"/>
  <c r="CE100" i="60" s="1"/>
  <c r="D119" i="60"/>
  <c r="DC119" i="60" s="1"/>
  <c r="CC119" i="60" s="1"/>
  <c r="D126" i="60"/>
  <c r="D128" i="60"/>
  <c r="CD128" i="60" s="1"/>
  <c r="DG150" i="60"/>
  <c r="CE150" i="60"/>
  <c r="DD164" i="60"/>
  <c r="CD164" i="60" s="1"/>
  <c r="DC164" i="60"/>
  <c r="CC164" i="60" s="1"/>
  <c r="DA164" i="60"/>
  <c r="CA164" i="60" s="1"/>
  <c r="DB164" i="60"/>
  <c r="CB164" i="60" s="1"/>
  <c r="DE164" i="60"/>
  <c r="CE164" i="60" s="1"/>
  <c r="DD171" i="60"/>
  <c r="CD171" i="60" s="1"/>
  <c r="DC171" i="60"/>
  <c r="CC171" i="60" s="1"/>
  <c r="DB171" i="60"/>
  <c r="CB171" i="60" s="1"/>
  <c r="DD176" i="60"/>
  <c r="CD176" i="60" s="1"/>
  <c r="DC176" i="60"/>
  <c r="CC176" i="60" s="1"/>
  <c r="DE176" i="60"/>
  <c r="CE176" i="60" s="1"/>
  <c r="DA176" i="60"/>
  <c r="CA176" i="60" s="1"/>
  <c r="DB176" i="60"/>
  <c r="CB176" i="60" s="1"/>
  <c r="D242" i="60"/>
  <c r="DD242" i="60" s="1"/>
  <c r="D260" i="60"/>
  <c r="D267" i="60"/>
  <c r="CE267" i="60" s="1"/>
  <c r="D288" i="60"/>
  <c r="DG288" i="60" s="1"/>
  <c r="D292" i="60"/>
  <c r="DG292" i="60" s="1"/>
  <c r="D27" i="60"/>
  <c r="CG27" i="60"/>
  <c r="CG149" i="60"/>
  <c r="CE149" i="60"/>
  <c r="DB165" i="60"/>
  <c r="CB165" i="60" s="1"/>
  <c r="DD165" i="60"/>
  <c r="CD165" i="60" s="1"/>
  <c r="DC165" i="60"/>
  <c r="CC165" i="60" s="1"/>
  <c r="DB172" i="60"/>
  <c r="CB172" i="60" s="1"/>
  <c r="DD172" i="60"/>
  <c r="CD172" i="60" s="1"/>
  <c r="DC172" i="60"/>
  <c r="CC172" i="60" s="1"/>
  <c r="DD177" i="60"/>
  <c r="CD177" i="60" s="1"/>
  <c r="DC177" i="60"/>
  <c r="CC177" i="60" s="1"/>
  <c r="DB177" i="60"/>
  <c r="CB177" i="60" s="1"/>
  <c r="D56" i="60"/>
  <c r="DG56" i="60" s="1"/>
  <c r="CG56" i="60"/>
  <c r="D50" i="60"/>
  <c r="CH50" i="60" s="1"/>
  <c r="DH50" i="60"/>
  <c r="D63" i="60"/>
  <c r="CE63" i="60" s="1"/>
  <c r="CG63" i="60"/>
  <c r="DG148" i="60"/>
  <c r="CE148" i="60"/>
  <c r="DD167" i="60"/>
  <c r="CD167" i="60" s="1"/>
  <c r="DC167" i="60"/>
  <c r="CC167" i="60" s="1"/>
  <c r="DB167" i="60"/>
  <c r="CB167" i="60" s="1"/>
  <c r="D182" i="60"/>
  <c r="DA182" i="60" s="1"/>
  <c r="CA182" i="60" s="1"/>
  <c r="D191" i="60"/>
  <c r="D194" i="60"/>
  <c r="D255" i="60"/>
  <c r="DE255" i="60" s="1"/>
  <c r="D259" i="60"/>
  <c r="CG259" i="60" s="1"/>
  <c r="D284" i="60"/>
  <c r="D291" i="60"/>
  <c r="CE291" i="60" s="1"/>
  <c r="D19" i="60"/>
  <c r="CG19" i="60"/>
  <c r="D22" i="60"/>
  <c r="CG22" i="60"/>
  <c r="D28" i="60"/>
  <c r="CG28" i="60"/>
  <c r="D31" i="60"/>
  <c r="CG31" i="60"/>
  <c r="D41" i="60"/>
  <c r="DD41" i="60" s="1"/>
  <c r="CD41" i="60" s="1"/>
  <c r="CG41" i="60"/>
  <c r="D43" i="60"/>
  <c r="DB43" i="60" s="1"/>
  <c r="CB43" i="60" s="1"/>
  <c r="CG43" i="60"/>
  <c r="D45" i="60"/>
  <c r="DB45" i="60" s="1"/>
  <c r="CB45" i="60" s="1"/>
  <c r="CG45" i="60"/>
  <c r="D49" i="60"/>
  <c r="CH49" i="60" s="1"/>
  <c r="DH49" i="60"/>
  <c r="DG154" i="60"/>
  <c r="CE154" i="60"/>
  <c r="DG156" i="60"/>
  <c r="CE156" i="60"/>
  <c r="DB168" i="60"/>
  <c r="CB168" i="60" s="1"/>
  <c r="DD168" i="60"/>
  <c r="CD168" i="60" s="1"/>
  <c r="DC168" i="60"/>
  <c r="CC168" i="60" s="1"/>
  <c r="DD173" i="60"/>
  <c r="CD173" i="60" s="1"/>
  <c r="DC173" i="60"/>
  <c r="CC173" i="60" s="1"/>
  <c r="DB173" i="60"/>
  <c r="CB173" i="60" s="1"/>
  <c r="D224" i="60"/>
  <c r="CG224" i="60" s="1"/>
  <c r="D238" i="60"/>
  <c r="DD238" i="60" s="1"/>
  <c r="D12" i="60"/>
  <c r="D34" i="60"/>
  <c r="D123" i="60"/>
  <c r="DD123" i="60" s="1"/>
  <c r="D205" i="60"/>
  <c r="DD205" i="60" s="1"/>
  <c r="CD205" i="60" s="1"/>
  <c r="D229" i="60"/>
  <c r="DC229" i="60" s="1"/>
  <c r="CC229" i="60" s="1"/>
  <c r="D257" i="60"/>
  <c r="DE257" i="60" s="1"/>
  <c r="D297" i="60"/>
  <c r="DD297" i="60" s="1"/>
  <c r="E60" i="60"/>
  <c r="DD152" i="60"/>
  <c r="F178" i="60"/>
  <c r="D25" i="60"/>
  <c r="D53" i="60"/>
  <c r="CF53" i="60" s="1"/>
  <c r="F60" i="60"/>
  <c r="D115" i="60"/>
  <c r="DD115" i="60" s="1"/>
  <c r="D142" i="60"/>
  <c r="DD142" i="60" s="1"/>
  <c r="DF156" i="60"/>
  <c r="D184" i="60"/>
  <c r="DA184" i="60" s="1"/>
  <c r="CA184" i="60" s="1"/>
  <c r="D196" i="60"/>
  <c r="DA196" i="60" s="1"/>
  <c r="CA196" i="60" s="1"/>
  <c r="D272" i="60"/>
  <c r="CD272" i="60" s="1"/>
  <c r="D296" i="60"/>
  <c r="DG296" i="60" s="1"/>
  <c r="F303" i="60"/>
  <c r="D93" i="60"/>
  <c r="CD93" i="60" s="1"/>
  <c r="D104" i="60"/>
  <c r="DD104" i="60" s="1"/>
  <c r="D265" i="60"/>
  <c r="DD265" i="60" s="1"/>
  <c r="E303" i="60"/>
  <c r="D120" i="60"/>
  <c r="DC120" i="60" s="1"/>
  <c r="CC120" i="60" s="1"/>
  <c r="D57" i="60"/>
  <c r="CH57" i="60" s="1"/>
  <c r="D131" i="60"/>
  <c r="DE131" i="60" s="1"/>
  <c r="CD152" i="60"/>
  <c r="E304" i="60"/>
  <c r="D30" i="60"/>
  <c r="D52" i="60"/>
  <c r="CF52" i="60" s="1"/>
  <c r="D103" i="60"/>
  <c r="DE103" i="60" s="1"/>
  <c r="D190" i="60"/>
  <c r="D264" i="60"/>
  <c r="D274" i="60"/>
  <c r="DG274" i="60" s="1"/>
  <c r="D315" i="60"/>
  <c r="CB315" i="60" s="1"/>
  <c r="AS315" i="60" s="1"/>
  <c r="D125" i="60"/>
  <c r="DG125" i="60" s="1"/>
  <c r="D127" i="60"/>
  <c r="DE127" i="60" s="1"/>
  <c r="D138" i="60"/>
  <c r="DG138" i="60" s="1"/>
  <c r="D216" i="60"/>
  <c r="D227" i="60"/>
  <c r="CE227" i="60" s="1"/>
  <c r="D231" i="60"/>
  <c r="DE231" i="60" s="1"/>
  <c r="D251" i="60"/>
  <c r="DE251" i="60" s="1"/>
  <c r="D263" i="60"/>
  <c r="CD263" i="60" s="1"/>
  <c r="DE170" i="60"/>
  <c r="CE170" i="60" s="1"/>
  <c r="DG278" i="60"/>
  <c r="CG278" i="60"/>
  <c r="D24" i="60"/>
  <c r="D47" i="60"/>
  <c r="CH47" i="60" s="1"/>
  <c r="D99" i="60"/>
  <c r="DF99" i="60" s="1"/>
  <c r="DF122" i="60"/>
  <c r="D129" i="60"/>
  <c r="DD129" i="60" s="1"/>
  <c r="D135" i="60"/>
  <c r="DE135" i="60" s="1"/>
  <c r="E143" i="60"/>
  <c r="CG150" i="60"/>
  <c r="DC152" i="60"/>
  <c r="CC152" i="60" s="1"/>
  <c r="CG153" i="60"/>
  <c r="DC155" i="60"/>
  <c r="CC155" i="60" s="1"/>
  <c r="D261" i="60"/>
  <c r="CD261" i="60" s="1"/>
  <c r="D283" i="60"/>
  <c r="CG283" i="60" s="1"/>
  <c r="D97" i="60"/>
  <c r="DE97" i="60" s="1"/>
  <c r="D105" i="60"/>
  <c r="DF105" i="60" s="1"/>
  <c r="D139" i="60"/>
  <c r="DD139" i="60" s="1"/>
  <c r="F143" i="60"/>
  <c r="DD151" i="60"/>
  <c r="DD154" i="60"/>
  <c r="DD155" i="60"/>
  <c r="CG156" i="60"/>
  <c r="DA165" i="60"/>
  <c r="CA165" i="60" s="1"/>
  <c r="D188" i="60"/>
  <c r="DE188" i="60" s="1"/>
  <c r="CE188" i="60" s="1"/>
  <c r="D254" i="60"/>
  <c r="DE254" i="60" s="1"/>
  <c r="D269" i="60"/>
  <c r="DG269" i="60" s="1"/>
  <c r="D287" i="60"/>
  <c r="CG287" i="60" s="1"/>
  <c r="D298" i="60"/>
  <c r="CE298" i="60" s="1"/>
  <c r="D314" i="60"/>
  <c r="DB314" i="60" s="1"/>
  <c r="CG151" i="60"/>
  <c r="D110" i="60"/>
  <c r="DG110" i="60" s="1"/>
  <c r="D113" i="60"/>
  <c r="CD113" i="60" s="1"/>
  <c r="D197" i="60"/>
  <c r="DA197" i="60" s="1"/>
  <c r="CA197" i="60" s="1"/>
  <c r="D247" i="60"/>
  <c r="DE247" i="60" s="1"/>
  <c r="D280" i="60"/>
  <c r="CE280" i="60" s="1"/>
  <c r="D294" i="60"/>
  <c r="DG294" i="60" s="1"/>
  <c r="E306" i="60"/>
  <c r="F306" i="60"/>
  <c r="D62" i="60"/>
  <c r="DF62" i="60" s="1"/>
  <c r="D106" i="60"/>
  <c r="DD106" i="60" s="1"/>
  <c r="DF151" i="60"/>
  <c r="DF154" i="60"/>
  <c r="D276" i="60"/>
  <c r="CG276" i="60" s="1"/>
  <c r="CG154" i="60"/>
  <c r="E36" i="60"/>
  <c r="D101" i="60"/>
  <c r="CD101" i="60" s="1"/>
  <c r="D102" i="60"/>
  <c r="CE102" i="60" s="1"/>
  <c r="D133" i="60"/>
  <c r="DF133" i="60" s="1"/>
  <c r="DF150" i="60"/>
  <c r="DF153" i="60"/>
  <c r="F166" i="60"/>
  <c r="D166" i="60" s="1"/>
  <c r="D187" i="60"/>
  <c r="DA187" i="60" s="1"/>
  <c r="CA187" i="60" s="1"/>
  <c r="D245" i="60"/>
  <c r="D253" i="60"/>
  <c r="DG253" i="60" s="1"/>
  <c r="D273" i="60"/>
  <c r="CG273" i="60" s="1"/>
  <c r="E302" i="60"/>
  <c r="D311" i="60"/>
  <c r="DB311" i="60" s="1"/>
  <c r="D221" i="60"/>
  <c r="CD221" i="60" s="1"/>
  <c r="D92" i="60"/>
  <c r="DD92" i="60" s="1"/>
  <c r="D90" i="60"/>
  <c r="DG90" i="60" s="1"/>
  <c r="DF148" i="60"/>
  <c r="CG148" i="60"/>
  <c r="DF94" i="60"/>
  <c r="DD94" i="60"/>
  <c r="CD94" i="60"/>
  <c r="DC94" i="60"/>
  <c r="CC94" i="60" s="1"/>
  <c r="CE94" i="60"/>
  <c r="DG94" i="60"/>
  <c r="DE94" i="60"/>
  <c r="DF58" i="60"/>
  <c r="D29" i="60"/>
  <c r="D44" i="60"/>
  <c r="CH44" i="60" s="1"/>
  <c r="DA177" i="60"/>
  <c r="CA177" i="60" s="1"/>
  <c r="DE177" i="60"/>
  <c r="CE177" i="60" s="1"/>
  <c r="DE167" i="60"/>
  <c r="CE167" i="60" s="1"/>
  <c r="DA167" i="60"/>
  <c r="CA167" i="60" s="1"/>
  <c r="E64" i="60"/>
  <c r="CD122" i="60"/>
  <c r="DE173" i="60"/>
  <c r="CE173" i="60" s="1"/>
  <c r="DA173" i="60"/>
  <c r="CA173" i="60" s="1"/>
  <c r="D14" i="60"/>
  <c r="F36" i="60"/>
  <c r="E157" i="60"/>
  <c r="D55" i="60"/>
  <c r="CH55" i="60" s="1"/>
  <c r="DD114" i="60"/>
  <c r="F157" i="60"/>
  <c r="DD148" i="60"/>
  <c r="CC19" i="60"/>
  <c r="E54" i="60"/>
  <c r="D223" i="60"/>
  <c r="F54" i="60"/>
  <c r="DE134" i="60"/>
  <c r="DC138" i="60"/>
  <c r="CC138" i="60" s="1"/>
  <c r="DC140" i="60"/>
  <c r="CC140" i="60" s="1"/>
  <c r="DA162" i="60"/>
  <c r="CA162" i="60" s="1"/>
  <c r="DA171" i="60"/>
  <c r="CA171" i="60" s="1"/>
  <c r="DE171" i="60"/>
  <c r="CE171" i="60" s="1"/>
  <c r="DG149" i="60"/>
  <c r="DF149" i="60"/>
  <c r="DD149" i="60"/>
  <c r="CD149" i="60"/>
  <c r="DC149" i="60"/>
  <c r="CC149" i="60" s="1"/>
  <c r="DE175" i="60"/>
  <c r="CE175" i="60" s="1"/>
  <c r="DA175" i="60"/>
  <c r="CA175" i="60" s="1"/>
  <c r="DG155" i="60"/>
  <c r="DF155" i="60"/>
  <c r="CG155" i="60"/>
  <c r="DA169" i="60"/>
  <c r="CA169" i="60" s="1"/>
  <c r="DA172" i="60"/>
  <c r="CA172" i="60" s="1"/>
  <c r="DD126" i="60"/>
  <c r="DE163" i="60"/>
  <c r="CE163" i="60" s="1"/>
  <c r="DA163" i="60"/>
  <c r="CA163" i="60" s="1"/>
  <c r="DG152" i="60"/>
  <c r="DF152" i="60"/>
  <c r="CG152" i="60"/>
  <c r="DE168" i="60"/>
  <c r="CE168" i="60" s="1"/>
  <c r="DA168" i="60"/>
  <c r="CA168" i="60" s="1"/>
  <c r="DE172" i="60"/>
  <c r="CE172" i="60" s="1"/>
  <c r="DA185" i="60"/>
  <c r="CA185" i="60" s="1"/>
  <c r="D240" i="60"/>
  <c r="CD148" i="60"/>
  <c r="DC148" i="60"/>
  <c r="CC148" i="60" s="1"/>
  <c r="CD151" i="60"/>
  <c r="DC151" i="60"/>
  <c r="CC151" i="60" s="1"/>
  <c r="CD154" i="60"/>
  <c r="DC154" i="60"/>
  <c r="CC154" i="60" s="1"/>
  <c r="D157" i="60"/>
  <c r="DA170" i="60"/>
  <c r="CA170" i="60" s="1"/>
  <c r="D181" i="60"/>
  <c r="D203" i="60"/>
  <c r="DC204" i="60"/>
  <c r="CC204" i="60" s="1"/>
  <c r="D214" i="60"/>
  <c r="D235" i="60"/>
  <c r="DA174" i="60"/>
  <c r="CA174" i="60" s="1"/>
  <c r="DE174" i="60"/>
  <c r="CE174" i="60" s="1"/>
  <c r="D186" i="60"/>
  <c r="D192" i="60"/>
  <c r="D195" i="60"/>
  <c r="D198" i="60"/>
  <c r="D236" i="60"/>
  <c r="CD150" i="60"/>
  <c r="DC150" i="60"/>
  <c r="CC150" i="60" s="1"/>
  <c r="CD153" i="60"/>
  <c r="DC153" i="60"/>
  <c r="CC153" i="60" s="1"/>
  <c r="CD156" i="60"/>
  <c r="DC156" i="60"/>
  <c r="CC156" i="60" s="1"/>
  <c r="DD150" i="60"/>
  <c r="DD153" i="60"/>
  <c r="DD156" i="60"/>
  <c r="D183" i="60"/>
  <c r="D225" i="60"/>
  <c r="CE230" i="60"/>
  <c r="DG233" i="60"/>
  <c r="D234" i="60"/>
  <c r="D239" i="60"/>
  <c r="D246" i="60"/>
  <c r="D256" i="60"/>
  <c r="DE262" i="60"/>
  <c r="CD262" i="60"/>
  <c r="DD262" i="60"/>
  <c r="DG262" i="60"/>
  <c r="CG262" i="60"/>
  <c r="CE262" i="60"/>
  <c r="DD286" i="60"/>
  <c r="D241" i="60"/>
  <c r="D215" i="60"/>
  <c r="D222" i="60"/>
  <c r="D228" i="60"/>
  <c r="D244" i="60"/>
  <c r="D249" i="60"/>
  <c r="D252" i="60"/>
  <c r="E301" i="60"/>
  <c r="F301" i="60"/>
  <c r="D237" i="60"/>
  <c r="F302" i="60"/>
  <c r="DE266" i="60"/>
  <c r="DG266" i="60"/>
  <c r="CG266" i="60"/>
  <c r="E305" i="60"/>
  <c r="F305" i="60"/>
  <c r="F304" i="60"/>
  <c r="DD278" i="60"/>
  <c r="CD278" i="60"/>
  <c r="DE278" i="60"/>
  <c r="DC295" i="60"/>
  <c r="CC295" i="60" s="1"/>
  <c r="CG286" i="60" l="1"/>
  <c r="DD230" i="60"/>
  <c r="DG230" i="60"/>
  <c r="DG293" i="60"/>
  <c r="DG140" i="60"/>
  <c r="DB51" i="60"/>
  <c r="CB51" i="60" s="1"/>
  <c r="CG230" i="60"/>
  <c r="DG120" i="60"/>
  <c r="DD138" i="60"/>
  <c r="DE179" i="60"/>
  <c r="CE179" i="60" s="1"/>
  <c r="CE233" i="60"/>
  <c r="DE233" i="60"/>
  <c r="DG12" i="60"/>
  <c r="CD274" i="60"/>
  <c r="DE99" i="60"/>
  <c r="DG226" i="60"/>
  <c r="DD273" i="60"/>
  <c r="DD231" i="60"/>
  <c r="DD63" i="60"/>
  <c r="CD63" i="60" s="1"/>
  <c r="CD297" i="60"/>
  <c r="DF127" i="60"/>
  <c r="CE251" i="60"/>
  <c r="DE91" i="60"/>
  <c r="DE274" i="60"/>
  <c r="DE291" i="60"/>
  <c r="CE292" i="60"/>
  <c r="CE91" i="60"/>
  <c r="CE274" i="60"/>
  <c r="DD274" i="60"/>
  <c r="CG269" i="60"/>
  <c r="CE53" i="60"/>
  <c r="DD185" i="60"/>
  <c r="CD185" i="60" s="1"/>
  <c r="CD296" i="60"/>
  <c r="DD269" i="60"/>
  <c r="CD123" i="60"/>
  <c r="DD53" i="60"/>
  <c r="CD53" i="60" s="1"/>
  <c r="DG53" i="60"/>
  <c r="DD136" i="60"/>
  <c r="DG93" i="60"/>
  <c r="DB53" i="60"/>
  <c r="CB53" i="60" s="1"/>
  <c r="DD276" i="60"/>
  <c r="CD269" i="60"/>
  <c r="DE269" i="60"/>
  <c r="DD51" i="60"/>
  <c r="CD51" i="60" s="1"/>
  <c r="CG112" i="60"/>
  <c r="CE138" i="60"/>
  <c r="CF108" i="60"/>
  <c r="D178" i="60"/>
  <c r="DD113" i="60"/>
  <c r="CF117" i="60"/>
  <c r="DG248" i="60"/>
  <c r="CE271" i="60"/>
  <c r="DG91" i="60"/>
  <c r="DF138" i="60"/>
  <c r="CD275" i="60"/>
  <c r="CE269" i="60"/>
  <c r="DE253" i="60"/>
  <c r="CD96" i="60"/>
  <c r="DE101" i="60"/>
  <c r="CE120" i="60"/>
  <c r="CE112" i="60"/>
  <c r="CD281" i="60"/>
  <c r="CG275" i="60"/>
  <c r="DG255" i="60"/>
  <c r="DF117" i="60"/>
  <c r="DD91" i="60"/>
  <c r="DH96" i="60"/>
  <c r="DG238" i="60"/>
  <c r="DG96" i="60"/>
  <c r="CD91" i="60"/>
  <c r="CH137" i="60"/>
  <c r="CF137" i="60"/>
  <c r="DD282" i="60"/>
  <c r="CE282" i="60"/>
  <c r="DE282" i="60"/>
  <c r="DD300" i="60"/>
  <c r="CG300" i="60"/>
  <c r="DE300" i="60"/>
  <c r="DH111" i="60"/>
  <c r="DE111" i="60"/>
  <c r="DD206" i="60"/>
  <c r="CD206" i="60" s="1"/>
  <c r="DA206" i="60"/>
  <c r="CA206" i="60" s="1"/>
  <c r="DH109" i="60"/>
  <c r="CG109" i="60"/>
  <c r="DG109" i="60"/>
  <c r="DC109" i="60"/>
  <c r="CC109" i="60" s="1"/>
  <c r="CF109" i="60"/>
  <c r="CE109" i="60"/>
  <c r="DB193" i="60"/>
  <c r="CB193" i="60" s="1"/>
  <c r="DA193" i="60"/>
  <c r="CA193" i="60" s="1"/>
  <c r="CG134" i="60"/>
  <c r="DC134" i="60"/>
  <c r="CC134" i="60" s="1"/>
  <c r="DF134" i="60"/>
  <c r="CF134" i="60"/>
  <c r="DG134" i="60"/>
  <c r="CH134" i="60"/>
  <c r="CD134" i="60"/>
  <c r="DE258" i="60"/>
  <c r="CG258" i="60"/>
  <c r="CH118" i="60"/>
  <c r="CF118" i="60"/>
  <c r="DE206" i="60"/>
  <c r="CE206" i="60" s="1"/>
  <c r="DD263" i="60"/>
  <c r="DE263" i="60"/>
  <c r="DE190" i="60"/>
  <c r="CE190" i="60" s="1"/>
  <c r="DA190" i="60"/>
  <c r="CA190" i="60" s="1"/>
  <c r="DD272" i="60"/>
  <c r="DG272" i="60"/>
  <c r="CE272" i="60"/>
  <c r="DE123" i="60"/>
  <c r="DG123" i="60"/>
  <c r="DH134" i="60"/>
  <c r="CD243" i="60"/>
  <c r="CE243" i="60"/>
  <c r="DE272" i="60"/>
  <c r="CD282" i="60"/>
  <c r="CE258" i="60"/>
  <c r="CD137" i="60"/>
  <c r="DF109" i="60"/>
  <c r="DE289" i="60"/>
  <c r="DA194" i="60"/>
  <c r="CA194" i="60" s="1"/>
  <c r="DE194" i="60"/>
  <c r="CE194" i="60" s="1"/>
  <c r="CG272" i="60"/>
  <c r="DG282" i="60"/>
  <c r="DG258" i="60"/>
  <c r="CE123" i="60"/>
  <c r="CE134" i="60"/>
  <c r="DE137" i="60"/>
  <c r="DE109" i="60"/>
  <c r="DD283" i="60"/>
  <c r="DC283" i="60"/>
  <c r="CC283" i="60" s="1"/>
  <c r="DD134" i="60"/>
  <c r="CE126" i="60"/>
  <c r="CD126" i="60"/>
  <c r="CD233" i="60"/>
  <c r="AY233" i="60" s="1"/>
  <c r="CE93" i="60"/>
  <c r="DD133" i="60"/>
  <c r="CE119" i="60"/>
  <c r="DD116" i="60"/>
  <c r="DD48" i="60"/>
  <c r="CD48" i="60" s="1"/>
  <c r="DD50" i="60"/>
  <c r="CD50" i="60" s="1"/>
  <c r="DD233" i="60"/>
  <c r="DC277" i="60"/>
  <c r="CC277" i="60" s="1"/>
  <c r="DB315" i="60"/>
  <c r="CE268" i="60"/>
  <c r="CD273" i="60"/>
  <c r="CE286" i="60"/>
  <c r="CG248" i="60"/>
  <c r="AY248" i="60" s="1"/>
  <c r="CD230" i="60"/>
  <c r="AY230" i="60" s="1"/>
  <c r="DE187" i="60"/>
  <c r="CE187" i="60" s="1"/>
  <c r="DC105" i="60"/>
  <c r="CC105" i="60" s="1"/>
  <c r="CE140" i="60"/>
  <c r="DE136" i="60"/>
  <c r="CE133" i="60"/>
  <c r="DE96" i="60"/>
  <c r="DC99" i="60"/>
  <c r="CC99" i="60" s="1"/>
  <c r="DE48" i="60"/>
  <c r="CD95" i="60"/>
  <c r="CG274" i="60"/>
  <c r="CF116" i="60"/>
  <c r="CG95" i="60"/>
  <c r="CE45" i="60"/>
  <c r="DF45" i="60"/>
  <c r="DE45" i="60"/>
  <c r="CF45" i="60"/>
  <c r="DG45" i="60"/>
  <c r="DE275" i="60"/>
  <c r="DG283" i="60"/>
  <c r="CG280" i="60"/>
  <c r="DG267" i="60"/>
  <c r="DE121" i="60"/>
  <c r="DD105" i="60"/>
  <c r="DD137" i="60"/>
  <c r="DD119" i="60"/>
  <c r="DF119" i="60"/>
  <c r="DE114" i="60"/>
  <c r="DE226" i="60"/>
  <c r="CE122" i="60"/>
  <c r="DD122" i="60"/>
  <c r="DD101" i="60"/>
  <c r="DC112" i="60"/>
  <c r="CC112" i="60" s="1"/>
  <c r="DE112" i="60"/>
  <c r="DB185" i="60"/>
  <c r="CB185" i="60" s="1"/>
  <c r="DH122" i="60"/>
  <c r="DE122" i="60"/>
  <c r="DD270" i="60"/>
  <c r="CE275" i="60"/>
  <c r="CE283" i="60"/>
  <c r="DB283" i="60"/>
  <c r="CB283" i="60" s="1"/>
  <c r="DD280" i="60"/>
  <c r="DG121" i="60"/>
  <c r="CD121" i="60"/>
  <c r="CE105" i="60"/>
  <c r="DG137" i="60"/>
  <c r="CE137" i="60"/>
  <c r="CD119" i="60"/>
  <c r="DG119" i="60"/>
  <c r="DC114" i="60"/>
  <c r="CC114" i="60" s="1"/>
  <c r="DF114" i="60"/>
  <c r="CE226" i="60"/>
  <c r="DG122" i="60"/>
  <c r="DD112" i="60"/>
  <c r="DG112" i="60"/>
  <c r="CH122" i="60"/>
  <c r="CD270" i="60"/>
  <c r="DD299" i="60"/>
  <c r="CE270" i="60"/>
  <c r="DG275" i="60"/>
  <c r="DE283" i="60"/>
  <c r="CD283" i="60"/>
  <c r="CD229" i="60"/>
  <c r="DE185" i="60"/>
  <c r="CE185" i="60" s="1"/>
  <c r="CE121" i="60"/>
  <c r="DF121" i="60"/>
  <c r="DC137" i="60"/>
  <c r="CC137" i="60" s="1"/>
  <c r="DF137" i="60"/>
  <c r="DE119" i="60"/>
  <c r="CE114" i="60"/>
  <c r="CG226" i="60"/>
  <c r="DC122" i="60"/>
  <c r="CC122" i="60" s="1"/>
  <c r="DF101" i="60"/>
  <c r="CD112" i="60"/>
  <c r="DC121" i="60"/>
  <c r="CC121" i="60" s="1"/>
  <c r="DH112" i="60"/>
  <c r="DE298" i="60"/>
  <c r="CE288" i="60"/>
  <c r="DE288" i="60"/>
  <c r="DD288" i="60"/>
  <c r="CD288" i="60"/>
  <c r="DG291" i="60"/>
  <c r="CG291" i="60"/>
  <c r="CD291" i="60"/>
  <c r="CD293" i="60"/>
  <c r="CG299" i="60"/>
  <c r="CF140" i="60"/>
  <c r="CH96" i="60"/>
  <c r="CG98" i="60"/>
  <c r="DG133" i="60"/>
  <c r="CE106" i="60"/>
  <c r="DC98" i="60"/>
  <c r="CC98" i="60" s="1"/>
  <c r="CH109" i="60"/>
  <c r="DE128" i="60"/>
  <c r="DE93" i="60"/>
  <c r="DD15" i="60"/>
  <c r="CD15" i="60" s="1"/>
  <c r="CG238" i="60"/>
  <c r="DE118" i="60"/>
  <c r="CG118" i="60"/>
  <c r="DB295" i="60"/>
  <c r="CB295" i="60" s="1"/>
  <c r="CB313" i="60"/>
  <c r="AS313" i="60" s="1"/>
  <c r="CE297" i="60"/>
  <c r="DE293" i="60"/>
  <c r="DE273" i="60"/>
  <c r="DB259" i="60"/>
  <c r="CB259" i="60" s="1"/>
  <c r="DD267" i="60"/>
  <c r="DF118" i="60"/>
  <c r="DG108" i="60"/>
  <c r="DF63" i="60"/>
  <c r="DE108" i="60"/>
  <c r="DF116" i="60"/>
  <c r="CF62" i="60"/>
  <c r="DG271" i="60"/>
  <c r="CE50" i="60"/>
  <c r="DE193" i="60"/>
  <c r="CE193" i="60" s="1"/>
  <c r="DC118" i="60"/>
  <c r="CC118" i="60" s="1"/>
  <c r="DF126" i="60"/>
  <c r="CD118" i="60"/>
  <c r="DB189" i="60"/>
  <c r="CB189" i="60" s="1"/>
  <c r="CG108" i="60"/>
  <c r="CH112" i="60"/>
  <c r="DG116" i="60"/>
  <c r="CG271" i="60"/>
  <c r="D46" i="60"/>
  <c r="CD267" i="60"/>
  <c r="DE238" i="60"/>
  <c r="DG118" i="60"/>
  <c r="CF63" i="60"/>
  <c r="CD135" i="60"/>
  <c r="DF108" i="60"/>
  <c r="CD116" i="60"/>
  <c r="DE59" i="60"/>
  <c r="DD98" i="60"/>
  <c r="CG270" i="60"/>
  <c r="CG295" i="60"/>
  <c r="DC189" i="60"/>
  <c r="CC189" i="60" s="1"/>
  <c r="DH108" i="60"/>
  <c r="DC193" i="60"/>
  <c r="CC193" i="60" s="1"/>
  <c r="DG117" i="60"/>
  <c r="DE98" i="60"/>
  <c r="CE118" i="60"/>
  <c r="DG297" i="60"/>
  <c r="CE273" i="60"/>
  <c r="AY273" i="60" s="1"/>
  <c r="DG259" i="60"/>
  <c r="CD131" i="60"/>
  <c r="CE299" i="60"/>
  <c r="DE299" i="60"/>
  <c r="CG297" i="60"/>
  <c r="CB312" i="60"/>
  <c r="AS312" i="60" s="1"/>
  <c r="CG293" i="60"/>
  <c r="DG273" i="60"/>
  <c r="CD259" i="60"/>
  <c r="DE267" i="60"/>
  <c r="CD238" i="60"/>
  <c r="DA189" i="60"/>
  <c r="CA189" i="60" s="1"/>
  <c r="DC117" i="60"/>
  <c r="CC117" i="60" s="1"/>
  <c r="DD135" i="60"/>
  <c r="DD131" i="60"/>
  <c r="CD108" i="60"/>
  <c r="DD93" i="60"/>
  <c r="DE63" i="60"/>
  <c r="DC116" i="60"/>
  <c r="CC116" i="60" s="1"/>
  <c r="CE98" i="60"/>
  <c r="DF56" i="60"/>
  <c r="DE115" i="60"/>
  <c r="DF98" i="60"/>
  <c r="DD189" i="60"/>
  <c r="CD189" i="60" s="1"/>
  <c r="CH108" i="60"/>
  <c r="DH118" i="60"/>
  <c r="DD193" i="60"/>
  <c r="CD193" i="60" s="1"/>
  <c r="CG267" i="60"/>
  <c r="DE106" i="60"/>
  <c r="DE116" i="60"/>
  <c r="DG295" i="60"/>
  <c r="CE108" i="60"/>
  <c r="CD299" i="60"/>
  <c r="DE270" i="60"/>
  <c r="DE268" i="60"/>
  <c r="CE238" i="60"/>
  <c r="DG126" i="60"/>
  <c r="CE113" i="60"/>
  <c r="CE128" i="60"/>
  <c r="CE117" i="60"/>
  <c r="DF93" i="60"/>
  <c r="DF135" i="60"/>
  <c r="DC108" i="60"/>
  <c r="CC108" i="60" s="1"/>
  <c r="CE116" i="60"/>
  <c r="DG98" i="60"/>
  <c r="DC271" i="60"/>
  <c r="CC271" i="60" s="1"/>
  <c r="CD98" i="60"/>
  <c r="DD118" i="60"/>
  <c r="CH117" i="60"/>
  <c r="CH116" i="60"/>
  <c r="CG121" i="60"/>
  <c r="CE284" i="60"/>
  <c r="DG284" i="60"/>
  <c r="CG232" i="60"/>
  <c r="CD232" i="60"/>
  <c r="DD279" i="60"/>
  <c r="CE279" i="60"/>
  <c r="DE279" i="60"/>
  <c r="CG279" i="60"/>
  <c r="CD279" i="60"/>
  <c r="CF107" i="60"/>
  <c r="CE107" i="60"/>
  <c r="DF107" i="60"/>
  <c r="CH107" i="60"/>
  <c r="DC107" i="60"/>
  <c r="CC107" i="60" s="1"/>
  <c r="DD107" i="60"/>
  <c r="CD107" i="60"/>
  <c r="DE107" i="60"/>
  <c r="DG281" i="60"/>
  <c r="CE281" i="60"/>
  <c r="DD281" i="60"/>
  <c r="CG281" i="60"/>
  <c r="DD290" i="60"/>
  <c r="CG290" i="60"/>
  <c r="CD290" i="60"/>
  <c r="CE290" i="60"/>
  <c r="DG290" i="60"/>
  <c r="DA204" i="60"/>
  <c r="CA204" i="60" s="1"/>
  <c r="DB204" i="60"/>
  <c r="CB204" i="60" s="1"/>
  <c r="DD204" i="60"/>
  <c r="CD204" i="60" s="1"/>
  <c r="CD136" i="60"/>
  <c r="DH136" i="60"/>
  <c r="CE136" i="60"/>
  <c r="CF136" i="60"/>
  <c r="DC136" i="60"/>
  <c r="CC136" i="60" s="1"/>
  <c r="CG136" i="60"/>
  <c r="DF136" i="60"/>
  <c r="DG136" i="60"/>
  <c r="DE250" i="60"/>
  <c r="DG250" i="60"/>
  <c r="CE250" i="60"/>
  <c r="CG285" i="60"/>
  <c r="DG285" i="60"/>
  <c r="CD285" i="60"/>
  <c r="DE285" i="60"/>
  <c r="CE285" i="60"/>
  <c r="DE95" i="60"/>
  <c r="CF95" i="60"/>
  <c r="CE95" i="60"/>
  <c r="DG95" i="60"/>
  <c r="CH95" i="60"/>
  <c r="DH95" i="60"/>
  <c r="DF95" i="60"/>
  <c r="DC95" i="60"/>
  <c r="CC95" i="60" s="1"/>
  <c r="CG124" i="60"/>
  <c r="CD124" i="60"/>
  <c r="DG124" i="60"/>
  <c r="CH124" i="60"/>
  <c r="CF124" i="60"/>
  <c r="DC124" i="60"/>
  <c r="CC124" i="60" s="1"/>
  <c r="DE124" i="60"/>
  <c r="DD124" i="60"/>
  <c r="CG250" i="60"/>
  <c r="DF124" i="60"/>
  <c r="CE294" i="60"/>
  <c r="DE294" i="60"/>
  <c r="DD294" i="60"/>
  <c r="CD294" i="60"/>
  <c r="DB13" i="60"/>
  <c r="CB13" i="60" s="1"/>
  <c r="DD13" i="60"/>
  <c r="CD13" i="60" s="1"/>
  <c r="DE13" i="60"/>
  <c r="DH124" i="60"/>
  <c r="DD261" i="60"/>
  <c r="CE261" i="60"/>
  <c r="DG261" i="60"/>
  <c r="CG261" i="60"/>
  <c r="DE261" i="60"/>
  <c r="CF43" i="60"/>
  <c r="DF43" i="60"/>
  <c r="DG43" i="60"/>
  <c r="DD43" i="60"/>
  <c r="CD43" i="60" s="1"/>
  <c r="DE191" i="60"/>
  <c r="CE191" i="60" s="1"/>
  <c r="DA191" i="60"/>
  <c r="CA191" i="60" s="1"/>
  <c r="DE277" i="60"/>
  <c r="CG277" i="60"/>
  <c r="CE277" i="60"/>
  <c r="DG277" i="60"/>
  <c r="CD277" i="60"/>
  <c r="DD277" i="60"/>
  <c r="DE290" i="60"/>
  <c r="DD245" i="60"/>
  <c r="CE245" i="60"/>
  <c r="CG227" i="60"/>
  <c r="DG227" i="60"/>
  <c r="CD227" i="60"/>
  <c r="DD227" i="60"/>
  <c r="DE227" i="60"/>
  <c r="DD264" i="60"/>
  <c r="CG264" i="60"/>
  <c r="DD260" i="60"/>
  <c r="CE260" i="60"/>
  <c r="CE296" i="60"/>
  <c r="CD295" i="60"/>
  <c r="CD280" i="60"/>
  <c r="AY280" i="60" s="1"/>
  <c r="DD266" i="60"/>
  <c r="CE263" i="60"/>
  <c r="DD268" i="60"/>
  <c r="DG268" i="60"/>
  <c r="DD259" i="60"/>
  <c r="DC259" i="60"/>
  <c r="CC259" i="60" s="1"/>
  <c r="CD286" i="60"/>
  <c r="CE242" i="60"/>
  <c r="DE248" i="60"/>
  <c r="DG113" i="60"/>
  <c r="DG63" i="60"/>
  <c r="DD140" i="60"/>
  <c r="DF140" i="60"/>
  <c r="DG128" i="60"/>
  <c r="DD117" i="60"/>
  <c r="DG135" i="60"/>
  <c r="CE135" i="60"/>
  <c r="DC133" i="60"/>
  <c r="CC133" i="60" s="1"/>
  <c r="DE133" i="60"/>
  <c r="DF131" i="60"/>
  <c r="DF96" i="60"/>
  <c r="DC96" i="60"/>
  <c r="CC96" i="60" s="1"/>
  <c r="CE12" i="60"/>
  <c r="D64" i="60"/>
  <c r="DF48" i="60"/>
  <c r="DB271" i="60"/>
  <c r="CB271" i="60" s="1"/>
  <c r="DD271" i="60"/>
  <c r="DG58" i="60"/>
  <c r="DD130" i="60"/>
  <c r="DH130" i="60"/>
  <c r="CG117" i="60"/>
  <c r="CF96" i="60"/>
  <c r="DD96" i="60"/>
  <c r="CE295" i="60"/>
  <c r="DE296" i="60"/>
  <c r="DE292" i="60"/>
  <c r="DD296" i="60"/>
  <c r="DG280" i="60"/>
  <c r="DE280" i="60"/>
  <c r="CD266" i="60"/>
  <c r="AY266" i="60" s="1"/>
  <c r="CG263" i="60"/>
  <c r="DG263" i="60"/>
  <c r="CD268" i="60"/>
  <c r="AY268" i="60" s="1"/>
  <c r="CE259" i="60"/>
  <c r="DE259" i="60"/>
  <c r="DE286" i="60"/>
  <c r="DC113" i="60"/>
  <c r="CC113" i="60" s="1"/>
  <c r="CD140" i="60"/>
  <c r="DE140" i="60"/>
  <c r="CE130" i="60"/>
  <c r="DF128" i="60"/>
  <c r="CD117" i="60"/>
  <c r="DE117" i="60"/>
  <c r="DC135" i="60"/>
  <c r="CC135" i="60" s="1"/>
  <c r="CD133" i="60"/>
  <c r="DG131" i="60"/>
  <c r="CE96" i="60"/>
  <c r="DG99" i="60"/>
  <c r="DE12" i="60"/>
  <c r="CF56" i="60"/>
  <c r="CE48" i="60"/>
  <c r="DG48" i="60"/>
  <c r="CD271" i="60"/>
  <c r="DD56" i="60"/>
  <c r="CD56" i="60" s="1"/>
  <c r="D304" i="60"/>
  <c r="CG284" i="60"/>
  <c r="CG288" i="60"/>
  <c r="CG296" i="60"/>
  <c r="DD295" i="60"/>
  <c r="CD292" i="60"/>
  <c r="DD292" i="60"/>
  <c r="DG298" i="60"/>
  <c r="CG294" i="60"/>
  <c r="DD291" i="60"/>
  <c r="DE297" i="60"/>
  <c r="CE293" i="60"/>
  <c r="CD287" i="60"/>
  <c r="DD284" i="60"/>
  <c r="CD284" i="60"/>
  <c r="CG298" i="60"/>
  <c r="DD285" i="60"/>
  <c r="DD298" i="60"/>
  <c r="DE284" i="60"/>
  <c r="CD298" i="60"/>
  <c r="DD287" i="60"/>
  <c r="DE287" i="60"/>
  <c r="DG287" i="60"/>
  <c r="CE287" i="60"/>
  <c r="DG229" i="60"/>
  <c r="DB229" i="60"/>
  <c r="CB229" i="60" s="1"/>
  <c r="CE229" i="60"/>
  <c r="DE229" i="60"/>
  <c r="DD229" i="60"/>
  <c r="CG229" i="60"/>
  <c r="CD226" i="60"/>
  <c r="D302" i="60"/>
  <c r="CD276" i="60"/>
  <c r="DG245" i="60"/>
  <c r="CG254" i="60"/>
  <c r="CE255" i="60"/>
  <c r="DD224" i="60"/>
  <c r="DG61" i="60"/>
  <c r="DE130" i="60"/>
  <c r="DC141" i="60"/>
  <c r="CC141" i="60" s="1"/>
  <c r="DG127" i="60"/>
  <c r="DD52" i="60"/>
  <c r="CD52" i="60" s="1"/>
  <c r="DB289" i="60"/>
  <c r="CB289" i="60" s="1"/>
  <c r="CG289" i="60"/>
  <c r="DG52" i="60"/>
  <c r="DG57" i="60"/>
  <c r="CF51" i="60"/>
  <c r="DF50" i="60"/>
  <c r="DB206" i="60"/>
  <c r="CB206" i="60" s="1"/>
  <c r="DC128" i="60"/>
  <c r="CC128" i="60" s="1"/>
  <c r="CH130" i="60"/>
  <c r="CH98" i="60"/>
  <c r="CH121" i="60"/>
  <c r="CD300" i="60"/>
  <c r="DE276" i="60"/>
  <c r="DG254" i="60"/>
  <c r="CG255" i="60"/>
  <c r="CD224" i="60"/>
  <c r="DE197" i="60"/>
  <c r="CE197" i="60" s="1"/>
  <c r="CE132" i="60"/>
  <c r="DG130" i="60"/>
  <c r="DD141" i="60"/>
  <c r="DC127" i="60"/>
  <c r="CC127" i="60" s="1"/>
  <c r="DE56" i="60"/>
  <c r="DD120" i="60"/>
  <c r="CD289" i="60"/>
  <c r="DG289" i="60"/>
  <c r="DB50" i="60"/>
  <c r="CB50" i="60" s="1"/>
  <c r="DE51" i="60"/>
  <c r="CF50" i="60"/>
  <c r="DC126" i="60"/>
  <c r="CC126" i="60" s="1"/>
  <c r="DC206" i="60"/>
  <c r="CC206" i="60" s="1"/>
  <c r="DD128" i="60"/>
  <c r="CF130" i="60"/>
  <c r="DH116" i="60"/>
  <c r="CF98" i="60"/>
  <c r="CF121" i="60"/>
  <c r="CE276" i="60"/>
  <c r="DE224" i="60"/>
  <c r="DE132" i="60"/>
  <c r="DF130" i="60"/>
  <c r="CE141" i="60"/>
  <c r="DD127" i="60"/>
  <c r="CE61" i="60"/>
  <c r="DC289" i="60"/>
  <c r="CC289" i="60" s="1"/>
  <c r="DF51" i="60"/>
  <c r="CG130" i="60"/>
  <c r="CE254" i="60"/>
  <c r="CD245" i="60"/>
  <c r="DG251" i="60"/>
  <c r="CE224" i="60"/>
  <c r="DG132" i="60"/>
  <c r="DF141" i="60"/>
  <c r="CD127" i="60"/>
  <c r="DB49" i="60"/>
  <c r="CB49" i="60" s="1"/>
  <c r="CE289" i="60"/>
  <c r="DG224" i="60"/>
  <c r="CD130" i="60"/>
  <c r="CF132" i="60"/>
  <c r="DH121" i="60"/>
  <c r="DC265" i="60"/>
  <c r="CC265" i="60" s="1"/>
  <c r="CE300" i="60"/>
  <c r="DG276" i="60"/>
  <c r="DG300" i="60"/>
  <c r="DF132" i="60"/>
  <c r="DE141" i="60"/>
  <c r="DD61" i="60"/>
  <c r="CD61" i="60" s="1"/>
  <c r="CE99" i="60"/>
  <c r="DE15" i="60"/>
  <c r="DE120" i="60"/>
  <c r="CE15" i="60"/>
  <c r="DC97" i="60"/>
  <c r="CC97" i="60" s="1"/>
  <c r="DG50" i="60"/>
  <c r="CE51" i="60"/>
  <c r="CG257" i="60"/>
  <c r="DE243" i="60"/>
  <c r="CG260" i="60"/>
  <c r="CG253" i="60"/>
  <c r="DG257" i="60"/>
  <c r="DG243" i="60"/>
  <c r="CD260" i="60"/>
  <c r="CE264" i="60"/>
  <c r="DB253" i="60"/>
  <c r="CB253" i="60" s="1"/>
  <c r="CE257" i="60"/>
  <c r="DE260" i="60"/>
  <c r="CD264" i="60"/>
  <c r="DC253" i="60"/>
  <c r="CC253" i="60" s="1"/>
  <c r="CG243" i="60"/>
  <c r="DG260" i="60"/>
  <c r="DE264" i="60"/>
  <c r="CE253" i="60"/>
  <c r="DE242" i="60"/>
  <c r="CE247" i="60"/>
  <c r="DD243" i="60"/>
  <c r="DG264" i="60"/>
  <c r="DE221" i="60"/>
  <c r="DC221" i="60"/>
  <c r="CC221" i="60" s="1"/>
  <c r="DE204" i="60"/>
  <c r="CE204" i="60" s="1"/>
  <c r="DE180" i="60"/>
  <c r="CE180" i="60" s="1"/>
  <c r="DA180" i="60"/>
  <c r="CA180" i="60" s="1"/>
  <c r="DB180" i="60"/>
  <c r="CB180" i="60" s="1"/>
  <c r="DC180" i="60"/>
  <c r="CC180" i="60" s="1"/>
  <c r="AY151" i="60"/>
  <c r="DF120" i="60"/>
  <c r="CD120" i="60"/>
  <c r="DE110" i="60"/>
  <c r="DF111" i="60"/>
  <c r="DG111" i="60"/>
  <c r="CD110" i="60"/>
  <c r="DF110" i="60"/>
  <c r="CD111" i="60"/>
  <c r="DC111" i="60"/>
  <c r="CC111" i="60" s="1"/>
  <c r="CF111" i="60"/>
  <c r="DD111" i="60"/>
  <c r="CE111" i="60"/>
  <c r="CD106" i="60"/>
  <c r="DC106" i="60"/>
  <c r="CC106" i="60" s="1"/>
  <c r="DF106" i="60"/>
  <c r="DH107" i="60"/>
  <c r="CG107" i="60"/>
  <c r="CE110" i="60"/>
  <c r="DD110" i="60"/>
  <c r="CD114" i="60"/>
  <c r="DG114" i="60"/>
  <c r="DF112" i="60"/>
  <c r="DF115" i="60"/>
  <c r="DG115" i="60"/>
  <c r="DC115" i="60"/>
  <c r="CC115" i="60" s="1"/>
  <c r="CF114" i="60"/>
  <c r="CG114" i="60"/>
  <c r="DH114" i="60"/>
  <c r="DC131" i="60"/>
  <c r="CC131" i="60" s="1"/>
  <c r="DG142" i="60"/>
  <c r="DC142" i="60"/>
  <c r="CC142" i="60" s="1"/>
  <c r="CE139" i="60"/>
  <c r="CE131" i="60"/>
  <c r="DF139" i="60"/>
  <c r="CG137" i="60"/>
  <c r="CE142" i="60"/>
  <c r="DF142" i="60"/>
  <c r="DE142" i="60"/>
  <c r="DG141" i="60"/>
  <c r="DH140" i="60"/>
  <c r="DE139" i="60"/>
  <c r="CD139" i="60"/>
  <c r="CD138" i="60"/>
  <c r="DE138" i="60"/>
  <c r="DH137" i="60"/>
  <c r="DC132" i="60"/>
  <c r="CC132" i="60" s="1"/>
  <c r="DD132" i="60"/>
  <c r="CD132" i="60"/>
  <c r="DD99" i="60"/>
  <c r="DE102" i="60"/>
  <c r="CD102" i="60"/>
  <c r="DC102" i="60"/>
  <c r="CC102" i="60" s="1"/>
  <c r="DF102" i="60"/>
  <c r="DD102" i="60"/>
  <c r="DG102" i="60"/>
  <c r="DG104" i="60"/>
  <c r="DE104" i="60"/>
  <c r="DF103" i="60"/>
  <c r="DF104" i="60"/>
  <c r="CD104" i="60"/>
  <c r="DC104" i="60"/>
  <c r="CC104" i="60" s="1"/>
  <c r="CE104" i="60"/>
  <c r="CE92" i="60"/>
  <c r="DC92" i="60"/>
  <c r="CC92" i="60" s="1"/>
  <c r="DD90" i="60"/>
  <c r="DE61" i="60"/>
  <c r="DE62" i="60"/>
  <c r="DF61" i="60"/>
  <c r="DG62" i="60"/>
  <c r="DD62" i="60"/>
  <c r="CD62" i="60" s="1"/>
  <c r="DB62" i="60"/>
  <c r="CB62" i="60" s="1"/>
  <c r="DD58" i="60"/>
  <c r="CD58" i="60" s="1"/>
  <c r="DB56" i="60"/>
  <c r="CB56" i="60" s="1"/>
  <c r="CF58" i="60"/>
  <c r="DB58" i="60"/>
  <c r="CB58" i="60" s="1"/>
  <c r="DE58" i="60"/>
  <c r="CE58" i="60"/>
  <c r="DG47" i="60"/>
  <c r="DG51" i="60"/>
  <c r="DE50" i="60"/>
  <c r="DE53" i="60"/>
  <c r="DE49" i="60"/>
  <c r="DD49" i="60"/>
  <c r="CD49" i="60" s="1"/>
  <c r="DF49" i="60"/>
  <c r="DG49" i="60"/>
  <c r="CF49" i="60"/>
  <c r="CE49" i="60"/>
  <c r="DD47" i="60"/>
  <c r="CD47" i="60" s="1"/>
  <c r="DB47" i="60"/>
  <c r="CB47" i="60" s="1"/>
  <c r="CE47" i="60"/>
  <c r="CE41" i="60"/>
  <c r="DG41" i="60"/>
  <c r="CF41" i="60"/>
  <c r="DB41" i="60"/>
  <c r="CB41" i="60" s="1"/>
  <c r="DG13" i="60"/>
  <c r="DG15" i="60"/>
  <c r="AY156" i="60"/>
  <c r="AX167" i="60"/>
  <c r="DF97" i="60"/>
  <c r="DE52" i="60"/>
  <c r="DB57" i="60"/>
  <c r="CB57" i="60" s="1"/>
  <c r="D143" i="60"/>
  <c r="CG292" i="60"/>
  <c r="CH111" i="60"/>
  <c r="CH132" i="60"/>
  <c r="DG97" i="60"/>
  <c r="DF52" i="60"/>
  <c r="CE57" i="60"/>
  <c r="DE57" i="60"/>
  <c r="AY153" i="60"/>
  <c r="DG101" i="60"/>
  <c r="D54" i="60"/>
  <c r="CD97" i="60"/>
  <c r="DB52" i="60"/>
  <c r="CB52" i="60" s="1"/>
  <c r="DD57" i="60"/>
  <c r="CD57" i="60" s="1"/>
  <c r="DF47" i="60"/>
  <c r="AX94" i="60"/>
  <c r="AY155" i="60"/>
  <c r="CH140" i="60"/>
  <c r="CG111" i="60"/>
  <c r="AY150" i="60"/>
  <c r="AY154" i="60"/>
  <c r="AY149" i="60"/>
  <c r="DC101" i="60"/>
  <c r="CC101" i="60" s="1"/>
  <c r="DD97" i="60"/>
  <c r="CB314" i="60"/>
  <c r="AS314" i="60" s="1"/>
  <c r="AY152" i="60"/>
  <c r="CG132" i="60"/>
  <c r="AX165" i="60"/>
  <c r="CG100" i="60"/>
  <c r="CF100" i="60"/>
  <c r="CH100" i="60"/>
  <c r="DH100" i="60"/>
  <c r="CH42" i="60"/>
  <c r="DE42" i="60"/>
  <c r="CE42" i="60"/>
  <c r="DG32" i="60"/>
  <c r="DE32" i="60"/>
  <c r="DD32" i="60"/>
  <c r="CD32" i="60" s="1"/>
  <c r="DF32" i="60"/>
  <c r="DB32" i="60"/>
  <c r="CB32" i="60" s="1"/>
  <c r="CH32" i="60"/>
  <c r="CF32" i="60"/>
  <c r="CE32" i="60"/>
  <c r="CB311" i="60"/>
  <c r="AS311" i="60" s="1"/>
  <c r="DG247" i="60"/>
  <c r="DG242" i="60"/>
  <c r="DD195" i="60"/>
  <c r="CD195" i="60" s="1"/>
  <c r="DC195" i="60"/>
  <c r="CC195" i="60" s="1"/>
  <c r="DB195" i="60"/>
  <c r="CB195" i="60" s="1"/>
  <c r="DE232" i="60"/>
  <c r="CD231" i="60"/>
  <c r="DF125" i="60"/>
  <c r="CD100" i="60"/>
  <c r="DD59" i="60"/>
  <c r="CD59" i="60" s="1"/>
  <c r="DF92" i="60"/>
  <c r="DB197" i="60"/>
  <c r="CB197" i="60" s="1"/>
  <c r="DD197" i="60"/>
  <c r="CD197" i="60" s="1"/>
  <c r="DC197" i="60"/>
  <c r="CC197" i="60" s="1"/>
  <c r="DG42" i="60"/>
  <c r="CH131" i="60"/>
  <c r="DH131" i="60"/>
  <c r="CG131" i="60"/>
  <c r="CF131" i="60"/>
  <c r="CG104" i="60"/>
  <c r="CF104" i="60"/>
  <c r="CH104" i="60"/>
  <c r="DH104" i="60"/>
  <c r="DE184" i="60"/>
  <c r="CE184" i="60" s="1"/>
  <c r="DD184" i="60"/>
  <c r="CD184" i="60" s="1"/>
  <c r="DC184" i="60"/>
  <c r="CC184" i="60" s="1"/>
  <c r="DB184" i="60"/>
  <c r="CB184" i="60" s="1"/>
  <c r="DF53" i="60"/>
  <c r="CH53" i="60"/>
  <c r="CG123" i="60"/>
  <c r="CF123" i="60"/>
  <c r="CH123" i="60"/>
  <c r="DH123" i="60"/>
  <c r="DF41" i="60"/>
  <c r="DE41" i="60"/>
  <c r="CH41" i="60"/>
  <c r="DF22" i="60"/>
  <c r="DB22" i="60"/>
  <c r="CB22" i="60" s="1"/>
  <c r="CF22" i="60"/>
  <c r="CH22" i="60"/>
  <c r="DG22" i="60"/>
  <c r="CE22" i="60"/>
  <c r="DE22" i="60"/>
  <c r="DD22" i="60"/>
  <c r="CD22" i="60" s="1"/>
  <c r="DF19" i="60"/>
  <c r="DB19" i="60"/>
  <c r="CB19" i="60" s="1"/>
  <c r="DG19" i="60"/>
  <c r="CH19" i="60"/>
  <c r="DE19" i="60"/>
  <c r="DD19" i="60"/>
  <c r="CD19" i="60" s="1"/>
  <c r="CF19" i="60"/>
  <c r="CE19" i="60"/>
  <c r="DB191" i="60"/>
  <c r="CB191" i="60" s="1"/>
  <c r="DD191" i="60"/>
  <c r="CD191" i="60" s="1"/>
  <c r="DC191" i="60"/>
  <c r="CC191" i="60" s="1"/>
  <c r="DF27" i="60"/>
  <c r="DB27" i="60"/>
  <c r="CB27" i="60" s="1"/>
  <c r="CH27" i="60"/>
  <c r="CF27" i="60"/>
  <c r="DG27" i="60"/>
  <c r="CE27" i="60"/>
  <c r="DE27" i="60"/>
  <c r="DD27" i="60"/>
  <c r="CD27" i="60" s="1"/>
  <c r="CG128" i="60"/>
  <c r="CF128" i="60"/>
  <c r="CH128" i="60"/>
  <c r="DH128" i="60"/>
  <c r="DB48" i="60"/>
  <c r="CB48" i="60" s="1"/>
  <c r="CH48" i="60"/>
  <c r="DH103" i="60"/>
  <c r="CG103" i="60"/>
  <c r="CF103" i="60"/>
  <c r="CH103" i="60"/>
  <c r="DD196" i="60"/>
  <c r="CD196" i="60" s="1"/>
  <c r="DC196" i="60"/>
  <c r="CC196" i="60" s="1"/>
  <c r="DB196" i="60"/>
  <c r="CB196" i="60" s="1"/>
  <c r="CE59" i="60"/>
  <c r="CH59" i="60"/>
  <c r="DB20" i="60"/>
  <c r="CB20" i="60" s="1"/>
  <c r="CH20" i="60"/>
  <c r="DF20" i="60"/>
  <c r="DG20" i="60"/>
  <c r="CF20" i="60"/>
  <c r="DE20" i="60"/>
  <c r="CE20" i="60"/>
  <c r="DD20" i="60"/>
  <c r="CD20" i="60" s="1"/>
  <c r="DE265" i="60"/>
  <c r="DB247" i="60"/>
  <c r="CB247" i="60" s="1"/>
  <c r="DE205" i="60"/>
  <c r="CE205" i="60" s="1"/>
  <c r="DD192" i="60"/>
  <c r="CD192" i="60" s="1"/>
  <c r="DC192" i="60"/>
  <c r="CC192" i="60" s="1"/>
  <c r="DB192" i="60"/>
  <c r="CB192" i="60" s="1"/>
  <c r="AX174" i="60"/>
  <c r="DB181" i="60"/>
  <c r="CB181" i="60" s="1"/>
  <c r="DD181" i="60"/>
  <c r="CD181" i="60" s="1"/>
  <c r="DC181" i="60"/>
  <c r="CC181" i="60" s="1"/>
  <c r="CE231" i="60"/>
  <c r="AX172" i="60"/>
  <c r="AX169" i="60"/>
  <c r="DD125" i="60"/>
  <c r="AX171" i="60"/>
  <c r="DB42" i="60"/>
  <c r="CB42" i="60" s="1"/>
  <c r="DE196" i="60"/>
  <c r="CE196" i="60" s="1"/>
  <c r="DC103" i="60"/>
  <c r="CC103" i="60" s="1"/>
  <c r="DG103" i="60"/>
  <c r="AX173" i="60"/>
  <c r="DE100" i="60"/>
  <c r="DB59" i="60"/>
  <c r="CB59" i="60" s="1"/>
  <c r="AX177" i="60"/>
  <c r="DC90" i="60"/>
  <c r="CC90" i="60" s="1"/>
  <c r="DH90" i="60"/>
  <c r="CH90" i="60"/>
  <c r="CF90" i="60"/>
  <c r="CG90" i="60"/>
  <c r="CE265" i="60"/>
  <c r="CG105" i="60"/>
  <c r="CF105" i="60"/>
  <c r="CH105" i="60"/>
  <c r="DH105" i="60"/>
  <c r="CG135" i="60"/>
  <c r="CF135" i="60"/>
  <c r="CH135" i="60"/>
  <c r="DH135" i="60"/>
  <c r="CD99" i="60"/>
  <c r="CG99" i="60"/>
  <c r="CF99" i="60"/>
  <c r="CH99" i="60"/>
  <c r="DH99" i="60"/>
  <c r="DF24" i="60"/>
  <c r="DB24" i="60"/>
  <c r="CB24" i="60" s="1"/>
  <c r="CE24" i="60"/>
  <c r="CF24" i="60"/>
  <c r="DG24" i="60"/>
  <c r="DE24" i="60"/>
  <c r="CH24" i="60"/>
  <c r="DD24" i="60"/>
  <c r="CD24" i="60" s="1"/>
  <c r="DF42" i="60"/>
  <c r="DC93" i="60"/>
  <c r="CC93" i="60" s="1"/>
  <c r="CG93" i="60"/>
  <c r="CF93" i="60"/>
  <c r="CH93" i="60"/>
  <c r="DH93" i="60"/>
  <c r="DG34" i="60"/>
  <c r="DE34" i="60"/>
  <c r="DD34" i="60"/>
  <c r="CD34" i="60" s="1"/>
  <c r="DF34" i="60"/>
  <c r="DB34" i="60"/>
  <c r="CB34" i="60" s="1"/>
  <c r="CE34" i="60"/>
  <c r="CF34" i="60"/>
  <c r="CH34" i="60"/>
  <c r="DE182" i="60"/>
  <c r="CE182" i="60" s="1"/>
  <c r="DB182" i="60"/>
  <c r="CB182" i="60" s="1"/>
  <c r="DD182" i="60"/>
  <c r="CD182" i="60" s="1"/>
  <c r="DC182" i="60"/>
  <c r="CC182" i="60" s="1"/>
  <c r="CE56" i="60"/>
  <c r="CH56" i="60"/>
  <c r="AX176" i="60"/>
  <c r="DE126" i="60"/>
  <c r="CH126" i="60"/>
  <c r="DH126" i="60"/>
  <c r="CG126" i="60"/>
  <c r="CF126" i="60"/>
  <c r="DF21" i="60"/>
  <c r="DB21" i="60"/>
  <c r="CB21" i="60" s="1"/>
  <c r="CF21" i="60"/>
  <c r="DG21" i="60"/>
  <c r="CE21" i="60"/>
  <c r="CH21" i="60"/>
  <c r="DE21" i="60"/>
  <c r="DD21" i="60"/>
  <c r="CD21" i="60" s="1"/>
  <c r="DB26" i="60"/>
  <c r="CB26" i="60" s="1"/>
  <c r="CH26" i="60"/>
  <c r="DF26" i="60"/>
  <c r="DG26" i="60"/>
  <c r="CF26" i="60"/>
  <c r="DE26" i="60"/>
  <c r="CE26" i="60"/>
  <c r="DD26" i="60"/>
  <c r="CD26" i="60" s="1"/>
  <c r="CG141" i="60"/>
  <c r="CF141" i="60"/>
  <c r="CH141" i="60"/>
  <c r="DH141" i="60"/>
  <c r="CH125" i="60"/>
  <c r="DH125" i="60"/>
  <c r="CG125" i="60"/>
  <c r="CF125" i="60"/>
  <c r="DG265" i="60"/>
  <c r="CG247" i="60"/>
  <c r="AY262" i="60"/>
  <c r="DD183" i="60"/>
  <c r="CD183" i="60" s="1"/>
  <c r="DC183" i="60"/>
  <c r="CC183" i="60" s="1"/>
  <c r="DB183" i="60"/>
  <c r="CB183" i="60" s="1"/>
  <c r="DC205" i="60"/>
  <c r="CC205" i="60" s="1"/>
  <c r="DD186" i="60"/>
  <c r="CD186" i="60" s="1"/>
  <c r="DC186" i="60"/>
  <c r="CC186" i="60" s="1"/>
  <c r="DB186" i="60"/>
  <c r="CB186" i="60" s="1"/>
  <c r="DD232" i="60"/>
  <c r="AX170" i="60"/>
  <c r="DG231" i="60"/>
  <c r="DC125" i="60"/>
  <c r="CC125" i="60" s="1"/>
  <c r="CD103" i="60"/>
  <c r="DC100" i="60"/>
  <c r="CC100" i="60" s="1"/>
  <c r="DG100" i="60"/>
  <c r="DG59" i="60"/>
  <c r="DG92" i="60"/>
  <c r="CG92" i="60"/>
  <c r="CF92" i="60"/>
  <c r="CH92" i="60"/>
  <c r="DH92" i="60"/>
  <c r="DH133" i="60"/>
  <c r="CG133" i="60"/>
  <c r="CF133" i="60"/>
  <c r="CH133" i="60"/>
  <c r="CG106" i="60"/>
  <c r="CF106" i="60"/>
  <c r="CH106" i="60"/>
  <c r="DH106" i="60"/>
  <c r="CH113" i="60"/>
  <c r="DH113" i="60"/>
  <c r="CF113" i="60"/>
  <c r="CG113" i="60"/>
  <c r="CE97" i="60"/>
  <c r="DH97" i="60"/>
  <c r="CG97" i="60"/>
  <c r="CF97" i="60"/>
  <c r="CH97" i="60"/>
  <c r="DE125" i="60"/>
  <c r="DB179" i="60"/>
  <c r="CB179" i="60" s="1"/>
  <c r="DD179" i="60"/>
  <c r="CD179" i="60" s="1"/>
  <c r="DC179" i="60"/>
  <c r="CC179" i="60" s="1"/>
  <c r="CE52" i="60"/>
  <c r="CH52" i="60"/>
  <c r="DF25" i="60"/>
  <c r="DB25" i="60"/>
  <c r="CB25" i="60" s="1"/>
  <c r="CH25" i="60"/>
  <c r="DG25" i="60"/>
  <c r="DE25" i="60"/>
  <c r="CF25" i="60"/>
  <c r="DD25" i="60"/>
  <c r="CD25" i="60" s="1"/>
  <c r="CE25" i="60"/>
  <c r="DD45" i="60"/>
  <c r="CD45" i="60" s="1"/>
  <c r="CH45" i="60"/>
  <c r="DF31" i="60"/>
  <c r="DG31" i="60"/>
  <c r="DE31" i="60"/>
  <c r="DD31" i="60"/>
  <c r="CD31" i="60" s="1"/>
  <c r="CH31" i="60"/>
  <c r="CE31" i="60"/>
  <c r="DB31" i="60"/>
  <c r="CB31" i="60" s="1"/>
  <c r="CF31" i="60"/>
  <c r="CH119" i="60"/>
  <c r="DH119" i="60"/>
  <c r="CF119" i="60"/>
  <c r="CG119" i="60"/>
  <c r="DC91" i="60"/>
  <c r="CC91" i="60" s="1"/>
  <c r="DH91" i="60"/>
  <c r="CG91" i="60"/>
  <c r="CF91" i="60"/>
  <c r="CH91" i="60"/>
  <c r="DF13" i="60"/>
  <c r="CF13" i="60"/>
  <c r="CH13" i="60"/>
  <c r="DF15" i="60"/>
  <c r="CH15" i="60"/>
  <c r="CF15" i="60"/>
  <c r="DB194" i="60"/>
  <c r="CB194" i="60" s="1"/>
  <c r="DD194" i="60"/>
  <c r="CD194" i="60" s="1"/>
  <c r="DC194" i="60"/>
  <c r="CC194" i="60" s="1"/>
  <c r="DB265" i="60"/>
  <c r="CB265" i="60" s="1"/>
  <c r="CD242" i="60"/>
  <c r="DA205" i="60"/>
  <c r="CA205" i="60" s="1"/>
  <c r="CE232" i="60"/>
  <c r="AX168" i="60"/>
  <c r="CG231" i="60"/>
  <c r="DD103" i="60"/>
  <c r="CH14" i="60"/>
  <c r="DF14" i="60"/>
  <c r="CF14" i="60"/>
  <c r="DD100" i="60"/>
  <c r="D36" i="60"/>
  <c r="DF29" i="60"/>
  <c r="DD29" i="60"/>
  <c r="CD29" i="60" s="1"/>
  <c r="DB29" i="60"/>
  <c r="CB29" i="60" s="1"/>
  <c r="CH29" i="60"/>
  <c r="CE29" i="60"/>
  <c r="DG29" i="60"/>
  <c r="DE29" i="60"/>
  <c r="CF29" i="60"/>
  <c r="DE92" i="60"/>
  <c r="CH102" i="60"/>
  <c r="DH102" i="60"/>
  <c r="CG102" i="60"/>
  <c r="CF102" i="60"/>
  <c r="CE62" i="60"/>
  <c r="CH62" i="60"/>
  <c r="CG110" i="60"/>
  <c r="CF110" i="60"/>
  <c r="CH110" i="60"/>
  <c r="DH110" i="60"/>
  <c r="DA188" i="60"/>
  <c r="CA188" i="60" s="1"/>
  <c r="DB188" i="60"/>
  <c r="CB188" i="60" s="1"/>
  <c r="DD188" i="60"/>
  <c r="CD188" i="60" s="1"/>
  <c r="DC188" i="60"/>
  <c r="CC188" i="60" s="1"/>
  <c r="CG129" i="60"/>
  <c r="CF129" i="60"/>
  <c r="CH129" i="60"/>
  <c r="DH129" i="60"/>
  <c r="CE125" i="60"/>
  <c r="CH138" i="60"/>
  <c r="DH138" i="60"/>
  <c r="CG138" i="60"/>
  <c r="CF138" i="60"/>
  <c r="DD190" i="60"/>
  <c r="CD190" i="60" s="1"/>
  <c r="DC190" i="60"/>
  <c r="CC190" i="60" s="1"/>
  <c r="DB190" i="60"/>
  <c r="CB190" i="60" s="1"/>
  <c r="DG30" i="60"/>
  <c r="DF30" i="60"/>
  <c r="DD30" i="60"/>
  <c r="CD30" i="60" s="1"/>
  <c r="CE30" i="60"/>
  <c r="DB30" i="60"/>
  <c r="CB30" i="60" s="1"/>
  <c r="CH30" i="60"/>
  <c r="CF30" i="60"/>
  <c r="DE30" i="60"/>
  <c r="CH120" i="60"/>
  <c r="DH120" i="60"/>
  <c r="CG120" i="60"/>
  <c r="CF120" i="60"/>
  <c r="CD142" i="60"/>
  <c r="CG142" i="60"/>
  <c r="CF142" i="60"/>
  <c r="CH142" i="60"/>
  <c r="DH142" i="60"/>
  <c r="DB61" i="60"/>
  <c r="CB61" i="60" s="1"/>
  <c r="CH61" i="60"/>
  <c r="DG35" i="60"/>
  <c r="DE35" i="60"/>
  <c r="DF35" i="60"/>
  <c r="DD35" i="60"/>
  <c r="CD35" i="60" s="1"/>
  <c r="CH35" i="60"/>
  <c r="CE35" i="60"/>
  <c r="DB35" i="60"/>
  <c r="CB35" i="60" s="1"/>
  <c r="CF35" i="60"/>
  <c r="DF23" i="60"/>
  <c r="DB23" i="60"/>
  <c r="CB23" i="60" s="1"/>
  <c r="CF23" i="60"/>
  <c r="DG23" i="60"/>
  <c r="CE23" i="60"/>
  <c r="DE23" i="60"/>
  <c r="CH23" i="60"/>
  <c r="DD23" i="60"/>
  <c r="CD23" i="60" s="1"/>
  <c r="DD198" i="60"/>
  <c r="CD198" i="60" s="1"/>
  <c r="DC198" i="60"/>
  <c r="CC198" i="60" s="1"/>
  <c r="DB198" i="60"/>
  <c r="CB198" i="60" s="1"/>
  <c r="CD265" i="60"/>
  <c r="CG242" i="60"/>
  <c r="DB205" i="60"/>
  <c r="CB205" i="60" s="1"/>
  <c r="DG232" i="60"/>
  <c r="AX163" i="60"/>
  <c r="AX175" i="60"/>
  <c r="DD42" i="60"/>
  <c r="CD42" i="60" s="1"/>
  <c r="AX162" i="60"/>
  <c r="CF42" i="60"/>
  <c r="CE103" i="60"/>
  <c r="DF100" i="60"/>
  <c r="CF59" i="60"/>
  <c r="DB187" i="60"/>
  <c r="CB187" i="60" s="1"/>
  <c r="DD187" i="60"/>
  <c r="CD187" i="60" s="1"/>
  <c r="DC187" i="60"/>
  <c r="CC187" i="60" s="1"/>
  <c r="CE101" i="60"/>
  <c r="CH101" i="60"/>
  <c r="DH101" i="60"/>
  <c r="CG101" i="60"/>
  <c r="CF101" i="60"/>
  <c r="CG265" i="60"/>
  <c r="DG139" i="60"/>
  <c r="DH139" i="60"/>
  <c r="CG139" i="60"/>
  <c r="CF139" i="60"/>
  <c r="CH139" i="60"/>
  <c r="CD125" i="60"/>
  <c r="DH127" i="60"/>
  <c r="CG127" i="60"/>
  <c r="CF127" i="60"/>
  <c r="CH127" i="60"/>
  <c r="D303" i="60"/>
  <c r="DH115" i="60"/>
  <c r="CG115" i="60"/>
  <c r="CF115" i="60"/>
  <c r="CH115" i="60"/>
  <c r="DF12" i="60"/>
  <c r="DE43" i="60"/>
  <c r="CH43" i="60"/>
  <c r="CE43" i="60"/>
  <c r="DF28" i="60"/>
  <c r="DB28" i="60"/>
  <c r="CB28" i="60" s="1"/>
  <c r="CE28" i="60"/>
  <c r="DG28" i="60"/>
  <c r="DE28" i="60"/>
  <c r="CH28" i="60"/>
  <c r="CF28" i="60"/>
  <c r="DD28" i="60"/>
  <c r="CD28" i="60" s="1"/>
  <c r="DB63" i="60"/>
  <c r="CB63" i="60" s="1"/>
  <c r="CH63" i="60"/>
  <c r="AX164" i="60"/>
  <c r="DG33" i="60"/>
  <c r="DE33" i="60"/>
  <c r="DD33" i="60"/>
  <c r="CD33" i="60" s="1"/>
  <c r="DF33" i="60"/>
  <c r="CF33" i="60"/>
  <c r="CE33" i="60"/>
  <c r="DB33" i="60"/>
  <c r="CB33" i="60" s="1"/>
  <c r="CH33" i="60"/>
  <c r="AY148" i="60"/>
  <c r="DB12" i="60"/>
  <c r="CF12" i="60"/>
  <c r="CH12" i="60"/>
  <c r="DD12" i="60"/>
  <c r="CD12" i="60" s="1"/>
  <c r="DF57" i="60"/>
  <c r="CF57" i="60"/>
  <c r="CG251" i="60"/>
  <c r="DF90" i="60"/>
  <c r="AY278" i="60"/>
  <c r="DF123" i="60"/>
  <c r="DC123" i="60"/>
  <c r="CC123" i="60" s="1"/>
  <c r="CE127" i="60"/>
  <c r="CE115" i="60"/>
  <c r="CD115" i="60"/>
  <c r="CE221" i="60"/>
  <c r="CE129" i="60"/>
  <c r="DC110" i="60"/>
  <c r="CC110" i="60" s="1"/>
  <c r="DC139" i="60"/>
  <c r="CC139" i="60" s="1"/>
  <c r="CD90" i="60"/>
  <c r="DE90" i="60"/>
  <c r="CD92" i="60"/>
  <c r="DE129" i="60"/>
  <c r="DC247" i="60"/>
  <c r="CC247" i="60" s="1"/>
  <c r="DF113" i="60"/>
  <c r="DE113" i="60"/>
  <c r="CD105" i="60"/>
  <c r="DG105" i="60"/>
  <c r="DE105" i="60"/>
  <c r="CG221" i="60"/>
  <c r="DG129" i="60"/>
  <c r="DG106" i="60"/>
  <c r="D306" i="60"/>
  <c r="DB221" i="60"/>
  <c r="CB221" i="60" s="1"/>
  <c r="DC129" i="60"/>
  <c r="CC129" i="60" s="1"/>
  <c r="DF129" i="60"/>
  <c r="CF47" i="60"/>
  <c r="DE47" i="60"/>
  <c r="DD221" i="60"/>
  <c r="CD129" i="60"/>
  <c r="CE90" i="60"/>
  <c r="DE245" i="60"/>
  <c r="CG245" i="60"/>
  <c r="DG221" i="60"/>
  <c r="DC222" i="60"/>
  <c r="CC222" i="60" s="1"/>
  <c r="CD222" i="60"/>
  <c r="DB222" i="60"/>
  <c r="CB222" i="60" s="1"/>
  <c r="DG222" i="60"/>
  <c r="DE222" i="60"/>
  <c r="DD222" i="60"/>
  <c r="CG222" i="60"/>
  <c r="CE222" i="60"/>
  <c r="DE181" i="60"/>
  <c r="CE181" i="60" s="1"/>
  <c r="DA181" i="60"/>
  <c r="CA181" i="60" s="1"/>
  <c r="DG55" i="60"/>
  <c r="DF55" i="60"/>
  <c r="D60" i="60"/>
  <c r="DE55" i="60"/>
  <c r="CF55" i="60"/>
  <c r="DD55" i="60"/>
  <c r="CD55" i="60" s="1"/>
  <c r="CE55" i="60"/>
  <c r="DB55" i="60"/>
  <c r="CB55" i="60" s="1"/>
  <c r="CG236" i="60"/>
  <c r="DG236" i="60"/>
  <c r="CE236" i="60"/>
  <c r="DE236" i="60"/>
  <c r="DD236" i="60"/>
  <c r="CD236" i="60"/>
  <c r="DE198" i="60"/>
  <c r="CE198" i="60" s="1"/>
  <c r="DA198" i="60"/>
  <c r="CA198" i="60" s="1"/>
  <c r="DC223" i="60"/>
  <c r="CC223" i="60" s="1"/>
  <c r="CD223" i="60"/>
  <c r="DB223" i="60"/>
  <c r="CB223" i="60" s="1"/>
  <c r="CE223" i="60"/>
  <c r="DD223" i="60"/>
  <c r="CG223" i="60"/>
  <c r="DG223" i="60"/>
  <c r="DE223" i="60"/>
  <c r="D305" i="60"/>
  <c r="CE252" i="60"/>
  <c r="DG252" i="60"/>
  <c r="DE252" i="60"/>
  <c r="CG252" i="60"/>
  <c r="DC241" i="60"/>
  <c r="CC241" i="60" s="1"/>
  <c r="DD241" i="60"/>
  <c r="DB241" i="60"/>
  <c r="CB241" i="60" s="1"/>
  <c r="DE241" i="60"/>
  <c r="CE241" i="60"/>
  <c r="CG241" i="60"/>
  <c r="CD241" i="60"/>
  <c r="DG241" i="60"/>
  <c r="CG225" i="60"/>
  <c r="DG225" i="60"/>
  <c r="CE225" i="60"/>
  <c r="DE225" i="60"/>
  <c r="DD225" i="60"/>
  <c r="CD225" i="60"/>
  <c r="DE195" i="60"/>
  <c r="CE195" i="60" s="1"/>
  <c r="DA195" i="60"/>
  <c r="CA195" i="60" s="1"/>
  <c r="DE237" i="60"/>
  <c r="CD237" i="60"/>
  <c r="DG237" i="60"/>
  <c r="CE237" i="60"/>
  <c r="CG237" i="60"/>
  <c r="DD237" i="60"/>
  <c r="CE249" i="60"/>
  <c r="DG249" i="60"/>
  <c r="DE249" i="60"/>
  <c r="CG249" i="60"/>
  <c r="DE192" i="60"/>
  <c r="CE192" i="60" s="1"/>
  <c r="DA192" i="60"/>
  <c r="CA192" i="60" s="1"/>
  <c r="DE235" i="60"/>
  <c r="DB235" i="60"/>
  <c r="CB235" i="60" s="1"/>
  <c r="DG235" i="60"/>
  <c r="CE235" i="60"/>
  <c r="DD235" i="60"/>
  <c r="DC235" i="60"/>
  <c r="CC235" i="60" s="1"/>
  <c r="CD235" i="60"/>
  <c r="CG235" i="60"/>
  <c r="CG240" i="60"/>
  <c r="CD240" i="60"/>
  <c r="DE240" i="60"/>
  <c r="DG240" i="60"/>
  <c r="DD240" i="60"/>
  <c r="CE240" i="60"/>
  <c r="CG244" i="60"/>
  <c r="DE244" i="60"/>
  <c r="CE244" i="60"/>
  <c r="CD244" i="60"/>
  <c r="DG244" i="60"/>
  <c r="DD244" i="60"/>
  <c r="DE256" i="60"/>
  <c r="DG256" i="60"/>
  <c r="CG256" i="60"/>
  <c r="CE256" i="60"/>
  <c r="DE239" i="60"/>
  <c r="CD239" i="60"/>
  <c r="DG239" i="60"/>
  <c r="CE239" i="60"/>
  <c r="CG239" i="60"/>
  <c r="DD239" i="60"/>
  <c r="DE183" i="60"/>
  <c r="CE183" i="60" s="1"/>
  <c r="DA183" i="60"/>
  <c r="CA183" i="60" s="1"/>
  <c r="DE186" i="60"/>
  <c r="CE186" i="60" s="1"/>
  <c r="DA186" i="60"/>
  <c r="CA186" i="60" s="1"/>
  <c r="D301" i="60"/>
  <c r="CE228" i="60"/>
  <c r="DE228" i="60"/>
  <c r="CD228" i="60"/>
  <c r="CG228" i="60"/>
  <c r="DG228" i="60"/>
  <c r="DD228" i="60"/>
  <c r="DE246" i="60"/>
  <c r="CG246" i="60"/>
  <c r="CE246" i="60"/>
  <c r="DG246" i="60"/>
  <c r="CD246" i="60"/>
  <c r="DD246" i="60"/>
  <c r="DE234" i="60"/>
  <c r="CD234" i="60"/>
  <c r="DD234" i="60"/>
  <c r="CG234" i="60"/>
  <c r="CE234" i="60"/>
  <c r="DG234" i="60"/>
  <c r="DB203" i="60"/>
  <c r="CB203" i="60" s="1"/>
  <c r="DA203" i="60"/>
  <c r="CA203" i="60" s="1"/>
  <c r="DE203" i="60"/>
  <c r="CE203" i="60" s="1"/>
  <c r="DD203" i="60"/>
  <c r="CD203" i="60" s="1"/>
  <c r="DC203" i="60"/>
  <c r="CC203" i="60" s="1"/>
  <c r="DB14" i="60"/>
  <c r="CB14" i="60" s="1"/>
  <c r="DG14" i="60"/>
  <c r="DE14" i="60"/>
  <c r="DD14" i="60"/>
  <c r="CD14" i="60" s="1"/>
  <c r="CE14" i="60"/>
  <c r="DF44" i="60"/>
  <c r="DD44" i="60"/>
  <c r="CD44" i="60" s="1"/>
  <c r="DB44" i="60"/>
  <c r="CB44" i="60" s="1"/>
  <c r="CE44" i="60"/>
  <c r="DG44" i="60"/>
  <c r="DE44" i="60"/>
  <c r="CF44" i="60"/>
  <c r="AY267" i="60" l="1"/>
  <c r="A332" i="60"/>
  <c r="AY251" i="60"/>
  <c r="AY282" i="60"/>
  <c r="AY269" i="60"/>
  <c r="AY275" i="60"/>
  <c r="AY298" i="60"/>
  <c r="AY274" i="60"/>
  <c r="AY285" i="60"/>
  <c r="AY255" i="60"/>
  <c r="AY58" i="60"/>
  <c r="AY51" i="60"/>
  <c r="AY43" i="60"/>
  <c r="AX112" i="60"/>
  <c r="AY53" i="60"/>
  <c r="AY296" i="60"/>
  <c r="AY272" i="60"/>
  <c r="AY258" i="60"/>
  <c r="AY63" i="60"/>
  <c r="AY288" i="60"/>
  <c r="AY291" i="60"/>
  <c r="AY48" i="60"/>
  <c r="AX137" i="60"/>
  <c r="AY224" i="60"/>
  <c r="AX185" i="60"/>
  <c r="AH206" i="60"/>
  <c r="AX134" i="60"/>
  <c r="AX109" i="60"/>
  <c r="AY45" i="60"/>
  <c r="AY44" i="60"/>
  <c r="AY286" i="60"/>
  <c r="AY42" i="60"/>
  <c r="AY62" i="60"/>
  <c r="AY52" i="60"/>
  <c r="AY49" i="60"/>
  <c r="AY226" i="60"/>
  <c r="AY259" i="60"/>
  <c r="AY261" i="60"/>
  <c r="AY55" i="60"/>
  <c r="AY61" i="60"/>
  <c r="AY41" i="60"/>
  <c r="AY59" i="60"/>
  <c r="AY57" i="60"/>
  <c r="AY47" i="60"/>
  <c r="AY56" i="60"/>
  <c r="AY243" i="60"/>
  <c r="AY50" i="60"/>
  <c r="AY290" i="60"/>
  <c r="AY279" i="60"/>
  <c r="AX116" i="60"/>
  <c r="AY238" i="60"/>
  <c r="AY299" i="60"/>
  <c r="AY270" i="60"/>
  <c r="AX118" i="60"/>
  <c r="AY283" i="60"/>
  <c r="AX122" i="60"/>
  <c r="AX189" i="60"/>
  <c r="AY254" i="60"/>
  <c r="AY276" i="60"/>
  <c r="AY271" i="60"/>
  <c r="AX191" i="60"/>
  <c r="AX124" i="60"/>
  <c r="AY295" i="60"/>
  <c r="AY263" i="60"/>
  <c r="AX193" i="60"/>
  <c r="AX121" i="60"/>
  <c r="AY277" i="60"/>
  <c r="AY300" i="60"/>
  <c r="AX140" i="60"/>
  <c r="AY227" i="60"/>
  <c r="AY293" i="60"/>
  <c r="AY297" i="60"/>
  <c r="AX130" i="60"/>
  <c r="AX108" i="60"/>
  <c r="AX105" i="60"/>
  <c r="AY242" i="60"/>
  <c r="AY264" i="60"/>
  <c r="AY281" i="60"/>
  <c r="AY260" i="60"/>
  <c r="AX98" i="60"/>
  <c r="AY229" i="60"/>
  <c r="AH204" i="60"/>
  <c r="AY265" i="60"/>
  <c r="AY15" i="60"/>
  <c r="AX117" i="60"/>
  <c r="AX96" i="60"/>
  <c r="AX95" i="60"/>
  <c r="AY250" i="60"/>
  <c r="AX136" i="60"/>
  <c r="B363" i="60"/>
  <c r="AY245" i="60"/>
  <c r="AY31" i="60"/>
  <c r="AX182" i="60"/>
  <c r="AX107" i="60"/>
  <c r="AX198" i="60"/>
  <c r="AY253" i="60"/>
  <c r="AY257" i="60"/>
  <c r="AY287" i="60"/>
  <c r="AY232" i="60"/>
  <c r="AY13" i="60"/>
  <c r="AX119" i="60"/>
  <c r="AY294" i="60"/>
  <c r="AX132" i="60"/>
  <c r="AY292" i="60"/>
  <c r="AY284" i="60"/>
  <c r="AY289" i="60"/>
  <c r="AX196" i="60"/>
  <c r="AX126" i="60"/>
  <c r="AX195" i="60"/>
  <c r="AX120" i="60"/>
  <c r="AX190" i="60"/>
  <c r="AX127" i="60"/>
  <c r="AX114" i="60"/>
  <c r="AX180" i="60"/>
  <c r="AY247" i="60"/>
  <c r="AX179" i="60"/>
  <c r="AX111" i="60"/>
  <c r="AX113" i="60"/>
  <c r="AX141" i="60"/>
  <c r="AX135" i="60"/>
  <c r="AX133" i="60"/>
  <c r="AX100" i="60"/>
  <c r="AX101" i="60"/>
  <c r="AX97" i="60"/>
  <c r="AX92" i="60"/>
  <c r="AX93" i="60"/>
  <c r="A363" i="60"/>
  <c r="AY19" i="60"/>
  <c r="AX139" i="60"/>
  <c r="AX110" i="60"/>
  <c r="AX115" i="60"/>
  <c r="AX102" i="60"/>
  <c r="F16" i="28"/>
  <c r="AX187" i="60"/>
  <c r="AX142" i="60"/>
  <c r="AX104" i="60"/>
  <c r="AY231" i="60"/>
  <c r="AX184" i="60"/>
  <c r="AX197" i="60"/>
  <c r="AX106" i="60"/>
  <c r="AX131" i="60"/>
  <c r="AX91" i="60"/>
  <c r="AX99" i="60"/>
  <c r="AX138" i="60"/>
  <c r="AX188" i="60"/>
  <c r="AH205" i="60"/>
  <c r="AX194" i="60"/>
  <c r="AX123" i="60"/>
  <c r="AY28" i="60"/>
  <c r="AY35" i="60"/>
  <c r="AY20" i="60"/>
  <c r="AY32" i="60"/>
  <c r="AY14" i="60"/>
  <c r="AY236" i="60"/>
  <c r="AX125" i="60"/>
  <c r="AY24" i="60"/>
  <c r="AX90" i="60"/>
  <c r="AX186" i="60"/>
  <c r="AX192" i="60"/>
  <c r="CB12" i="60"/>
  <c r="AY12" i="60" s="1"/>
  <c r="B332" i="60"/>
  <c r="D16" i="28" s="1"/>
  <c r="AY33" i="60"/>
  <c r="AY25" i="60"/>
  <c r="AY26" i="60"/>
  <c r="AY34" i="60"/>
  <c r="AX128" i="60"/>
  <c r="AY22" i="60"/>
  <c r="AY23" i="60"/>
  <c r="AY30" i="60"/>
  <c r="AY21" i="60"/>
  <c r="AX103" i="60"/>
  <c r="AX183" i="60"/>
  <c r="AX181" i="60"/>
  <c r="AX129" i="60"/>
  <c r="AY29" i="60"/>
  <c r="AY27" i="60"/>
  <c r="AY221" i="60"/>
  <c r="AY246" i="60"/>
  <c r="AY252" i="60"/>
  <c r="AY234" i="60"/>
  <c r="AY228" i="60"/>
  <c r="AY235" i="60"/>
  <c r="AY249" i="60"/>
  <c r="AY239" i="60"/>
  <c r="AY237" i="60"/>
  <c r="AY256" i="60"/>
  <c r="AY240" i="60"/>
  <c r="AH203" i="60"/>
  <c r="AY225" i="60"/>
  <c r="AY223" i="60"/>
  <c r="AY244" i="60"/>
  <c r="AY241" i="60"/>
  <c r="AY222" i="60"/>
  <c r="E196" i="31"/>
  <c r="D196" i="31"/>
  <c r="C196" i="31" l="1"/>
  <c r="E247" i="45"/>
  <c r="E246" i="45"/>
  <c r="E245" i="45"/>
  <c r="D247" i="45"/>
  <c r="D246" i="45"/>
  <c r="D245" i="45"/>
  <c r="C29" i="38"/>
  <c r="C28" i="38"/>
  <c r="S136" i="8"/>
  <c r="T136" i="8"/>
  <c r="R136" i="8"/>
  <c r="C245" i="45" l="1"/>
  <c r="C246" i="45"/>
  <c r="C247" i="45"/>
  <c r="C15" i="59"/>
  <c r="CC15" i="59" s="1"/>
  <c r="R35" i="39"/>
  <c r="S35" i="39"/>
  <c r="T35" i="39"/>
  <c r="U35" i="39"/>
  <c r="Q35" i="39"/>
  <c r="C69" i="49" l="1"/>
  <c r="C70" i="49"/>
  <c r="B159" i="44"/>
  <c r="B158" i="44"/>
  <c r="B152" i="44"/>
  <c r="B151" i="44"/>
  <c r="B117" i="37"/>
  <c r="B116" i="37"/>
  <c r="E265" i="39"/>
  <c r="D265" i="39"/>
  <c r="E217" i="39"/>
  <c r="D217" i="39"/>
  <c r="C217" i="39" l="1"/>
  <c r="C265" i="39"/>
  <c r="E11" i="53"/>
  <c r="C36" i="39" l="1"/>
  <c r="C35" i="39" l="1"/>
  <c r="B57" i="48" l="1"/>
  <c r="B56" i="48"/>
  <c r="B55" i="48"/>
  <c r="J125" i="50" l="1"/>
  <c r="I125" i="50"/>
  <c r="H125" i="50"/>
  <c r="P125" i="50"/>
  <c r="O125" i="50"/>
  <c r="N125" i="50"/>
  <c r="M125" i="50"/>
  <c r="L125" i="50"/>
  <c r="K125" i="50"/>
  <c r="N134" i="50"/>
  <c r="M134" i="50"/>
  <c r="L134" i="50"/>
  <c r="K134" i="50"/>
  <c r="J134" i="50"/>
  <c r="I134" i="50"/>
  <c r="W17" i="50"/>
  <c r="E46" i="38" l="1"/>
  <c r="E47" i="38"/>
  <c r="E48" i="38"/>
  <c r="D46" i="38"/>
  <c r="D47" i="38"/>
  <c r="D48" i="38"/>
  <c r="E45" i="38"/>
  <c r="E242" i="39"/>
  <c r="E241" i="39"/>
  <c r="AV23" i="46"/>
  <c r="B39" i="58"/>
  <c r="B37" i="58"/>
  <c r="CF16" i="58"/>
  <c r="E239" i="45"/>
  <c r="D239" i="45"/>
  <c r="E238" i="45"/>
  <c r="D238" i="45"/>
  <c r="D33" i="32"/>
  <c r="C33" i="32"/>
  <c r="D36" i="32"/>
  <c r="D35" i="32"/>
  <c r="C36" i="32"/>
  <c r="D37" i="32"/>
  <c r="C37" i="32"/>
  <c r="D26" i="58"/>
  <c r="D25" i="58"/>
  <c r="D24" i="58"/>
  <c r="C26" i="58"/>
  <c r="C25" i="58"/>
  <c r="C24" i="58"/>
  <c r="B31" i="58"/>
  <c r="CD31" i="58" s="1"/>
  <c r="B91" i="36"/>
  <c r="B134" i="50"/>
  <c r="P109" i="50"/>
  <c r="N109" i="50"/>
  <c r="B157" i="44"/>
  <c r="B72" i="37"/>
  <c r="U76" i="37"/>
  <c r="V76" i="37"/>
  <c r="W76" i="37"/>
  <c r="X76" i="37"/>
  <c r="Y76" i="37"/>
  <c r="Z76" i="37"/>
  <c r="T76" i="37"/>
  <c r="Z68" i="37"/>
  <c r="Y68" i="37"/>
  <c r="X68" i="37"/>
  <c r="W68" i="37"/>
  <c r="V68" i="37"/>
  <c r="U68" i="37"/>
  <c r="T68" i="37"/>
  <c r="E191" i="31"/>
  <c r="D191" i="31"/>
  <c r="D154" i="31"/>
  <c r="D151" i="31"/>
  <c r="D150" i="31"/>
  <c r="D149" i="31"/>
  <c r="D148" i="31"/>
  <c r="D147" i="31"/>
  <c r="D146" i="31"/>
  <c r="D145" i="31"/>
  <c r="D144" i="31"/>
  <c r="D143" i="31"/>
  <c r="D142" i="31"/>
  <c r="D141" i="31"/>
  <c r="D140" i="31"/>
  <c r="D139" i="31"/>
  <c r="D138" i="31"/>
  <c r="D137" i="31"/>
  <c r="D136" i="31"/>
  <c r="D51" i="31"/>
  <c r="Y48" i="31"/>
  <c r="D47" i="31"/>
  <c r="D46" i="31"/>
  <c r="D41" i="31"/>
  <c r="D40" i="31"/>
  <c r="D39" i="31"/>
  <c r="D38" i="31"/>
  <c r="D37" i="31"/>
  <c r="D36" i="31"/>
  <c r="D35" i="31"/>
  <c r="D34" i="31"/>
  <c r="D33" i="31"/>
  <c r="D32" i="31"/>
  <c r="D31" i="31"/>
  <c r="D30" i="31"/>
  <c r="D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B300" i="55"/>
  <c r="C291" i="55"/>
  <c r="D278" i="55"/>
  <c r="C278" i="55"/>
  <c r="B278" i="55"/>
  <c r="D272" i="55"/>
  <c r="C241" i="55"/>
  <c r="C240" i="55"/>
  <c r="E242" i="55"/>
  <c r="D242" i="55"/>
  <c r="E237" i="55"/>
  <c r="D237" i="55"/>
  <c r="C237" i="55"/>
  <c r="D209" i="55"/>
  <c r="C209" i="55"/>
  <c r="B209" i="55"/>
  <c r="B194" i="55"/>
  <c r="B195" i="55"/>
  <c r="B196" i="55"/>
  <c r="B197" i="55"/>
  <c r="B198" i="55"/>
  <c r="B199" i="55"/>
  <c r="B200" i="55"/>
  <c r="B201" i="55"/>
  <c r="B202" i="55"/>
  <c r="B193" i="55"/>
  <c r="D203" i="55"/>
  <c r="C203" i="55"/>
  <c r="F179" i="55"/>
  <c r="F180" i="55"/>
  <c r="F181" i="55"/>
  <c r="F182" i="55"/>
  <c r="F183" i="55"/>
  <c r="F184" i="55"/>
  <c r="F185" i="55"/>
  <c r="F186" i="55"/>
  <c r="F187" i="55"/>
  <c r="F188" i="55"/>
  <c r="F176" i="55"/>
  <c r="F177" i="55"/>
  <c r="F178" i="55"/>
  <c r="F175" i="55"/>
  <c r="F173" i="55"/>
  <c r="F174" i="55"/>
  <c r="F172" i="55"/>
  <c r="F165" i="55"/>
  <c r="F166" i="55"/>
  <c r="F167" i="55"/>
  <c r="F168" i="55"/>
  <c r="F169" i="55"/>
  <c r="F170" i="55"/>
  <c r="F171" i="55"/>
  <c r="F164" i="55"/>
  <c r="I189" i="55"/>
  <c r="H189" i="55"/>
  <c r="G189" i="55"/>
  <c r="C144" i="55"/>
  <c r="C143" i="55"/>
  <c r="C142" i="55"/>
  <c r="C141" i="55"/>
  <c r="C140" i="55"/>
  <c r="C139" i="55"/>
  <c r="H103" i="55"/>
  <c r="G103" i="55"/>
  <c r="F103" i="55"/>
  <c r="E103" i="55"/>
  <c r="D103" i="55"/>
  <c r="C103" i="55"/>
  <c r="H93" i="55"/>
  <c r="G93" i="55"/>
  <c r="F93" i="55"/>
  <c r="E93" i="55"/>
  <c r="D93" i="55"/>
  <c r="C93" i="55"/>
  <c r="B67" i="55"/>
  <c r="E57" i="55"/>
  <c r="E52" i="55"/>
  <c r="E45" i="55"/>
  <c r="E32" i="55"/>
  <c r="E31" i="55"/>
  <c r="F27" i="55"/>
  <c r="E27" i="55"/>
  <c r="E23" i="55"/>
  <c r="F23" i="55"/>
  <c r="F24" i="55"/>
  <c r="F25" i="55"/>
  <c r="F26" i="55"/>
  <c r="E24" i="55"/>
  <c r="E25" i="55"/>
  <c r="E26" i="55"/>
  <c r="F14" i="55"/>
  <c r="E14" i="55"/>
  <c r="F13" i="55"/>
  <c r="E13" i="55"/>
  <c r="C30" i="43"/>
  <c r="C31" i="43"/>
  <c r="C32" i="43"/>
  <c r="C33" i="43"/>
  <c r="C34" i="43"/>
  <c r="C35" i="43"/>
  <c r="C36" i="43"/>
  <c r="AK135" i="54"/>
  <c r="C175" i="54"/>
  <c r="C174" i="54"/>
  <c r="C173" i="54"/>
  <c r="E183" i="54"/>
  <c r="E182" i="54"/>
  <c r="E181" i="54"/>
  <c r="E180" i="54"/>
  <c r="D183" i="54"/>
  <c r="D182" i="54"/>
  <c r="D181" i="54"/>
  <c r="D180" i="54"/>
  <c r="E95" i="54"/>
  <c r="D95" i="54"/>
  <c r="C94" i="54"/>
  <c r="C93" i="54"/>
  <c r="C92" i="54"/>
  <c r="C30" i="48"/>
  <c r="U16" i="48"/>
  <c r="P16" i="48"/>
  <c r="K16" i="48"/>
  <c r="K15" i="48"/>
  <c r="E103" i="42"/>
  <c r="D103" i="42"/>
  <c r="E102" i="42"/>
  <c r="D102" i="42"/>
  <c r="E101" i="42"/>
  <c r="D101" i="42"/>
  <c r="B88" i="40"/>
  <c r="B87" i="40"/>
  <c r="U155" i="8"/>
  <c r="E164" i="8"/>
  <c r="D164" i="8"/>
  <c r="N77" i="8"/>
  <c r="N78" i="8"/>
  <c r="N79" i="8"/>
  <c r="N80" i="8"/>
  <c r="N81" i="8"/>
  <c r="N82" i="8"/>
  <c r="N83" i="8"/>
  <c r="N84" i="8"/>
  <c r="N85" i="8"/>
  <c r="N86" i="8"/>
  <c r="N87" i="8"/>
  <c r="N88" i="8"/>
  <c r="N89" i="8"/>
  <c r="N90" i="8"/>
  <c r="N91" i="8"/>
  <c r="N92" i="8"/>
  <c r="N93" i="8"/>
  <c r="N94" i="8"/>
  <c r="N95" i="8"/>
  <c r="N96" i="8"/>
  <c r="N97" i="8"/>
  <c r="N98" i="8"/>
  <c r="N99" i="8"/>
  <c r="N100" i="8"/>
  <c r="N101" i="8"/>
  <c r="N102" i="8"/>
  <c r="N103" i="8"/>
  <c r="N104" i="8"/>
  <c r="N105" i="8"/>
  <c r="N106" i="8"/>
  <c r="N107" i="8"/>
  <c r="N108" i="8"/>
  <c r="N109" i="8"/>
  <c r="N110" i="8"/>
  <c r="N111" i="8"/>
  <c r="N112" i="8"/>
  <c r="N113" i="8"/>
  <c r="N114" i="8"/>
  <c r="N115" i="8"/>
  <c r="N116" i="8"/>
  <c r="N117" i="8"/>
  <c r="N118" i="8"/>
  <c r="N119" i="8"/>
  <c r="N120" i="8"/>
  <c r="N121" i="8"/>
  <c r="N122" i="8"/>
  <c r="N123" i="8"/>
  <c r="N124" i="8"/>
  <c r="N125" i="8"/>
  <c r="N126" i="8"/>
  <c r="N127" i="8"/>
  <c r="N128" i="8"/>
  <c r="N129" i="8"/>
  <c r="N130" i="8"/>
  <c r="N131" i="8"/>
  <c r="N132" i="8"/>
  <c r="N133" i="8"/>
  <c r="N134" i="8"/>
  <c r="N135" i="8"/>
  <c r="N76" i="8"/>
  <c r="J78" i="8"/>
  <c r="J76" i="8"/>
  <c r="B77" i="8"/>
  <c r="B76" i="8"/>
  <c r="B66" i="8"/>
  <c r="B35" i="8"/>
  <c r="B13" i="8"/>
  <c r="AF71" i="8"/>
  <c r="AE71" i="8"/>
  <c r="C79" i="39"/>
  <c r="C103" i="42" l="1"/>
  <c r="D27" i="55"/>
  <c r="D24" i="55"/>
  <c r="C101" i="42"/>
  <c r="C181" i="54"/>
  <c r="B37" i="32"/>
  <c r="C102" i="42"/>
  <c r="C180" i="54"/>
  <c r="C183" i="54"/>
  <c r="D25" i="55"/>
  <c r="D13" i="55"/>
  <c r="CD32" i="31"/>
  <c r="CC32" i="31"/>
  <c r="CD21" i="31"/>
  <c r="CC21" i="31"/>
  <c r="CD33" i="31"/>
  <c r="CC33" i="31"/>
  <c r="CD39" i="31"/>
  <c r="CC39" i="31"/>
  <c r="CD38" i="31"/>
  <c r="CC38" i="31"/>
  <c r="C272" i="55"/>
  <c r="CD22" i="31"/>
  <c r="CC22" i="31"/>
  <c r="CD34" i="31"/>
  <c r="CC34" i="31"/>
  <c r="CD40" i="31"/>
  <c r="CC40" i="31"/>
  <c r="CD23" i="31"/>
  <c r="CC23" i="31"/>
  <c r="CD29" i="31"/>
  <c r="CC29" i="31"/>
  <c r="CD24" i="31"/>
  <c r="CC24" i="31"/>
  <c r="CD30" i="31"/>
  <c r="CC30" i="31"/>
  <c r="CD36" i="31"/>
  <c r="CC36" i="31"/>
  <c r="CD46" i="31"/>
  <c r="CC46" i="31"/>
  <c r="CD19" i="31"/>
  <c r="CC19" i="31"/>
  <c r="CD25" i="31"/>
  <c r="CC25" i="31"/>
  <c r="CD31" i="31"/>
  <c r="CC31" i="31"/>
  <c r="CD37" i="31"/>
  <c r="CC37" i="31"/>
  <c r="B26" i="58"/>
  <c r="CE26" i="58" s="1"/>
  <c r="B24" i="58"/>
  <c r="CE24" i="58" s="1"/>
  <c r="CD47" i="31"/>
  <c r="CC47" i="31"/>
  <c r="CD41" i="31"/>
  <c r="CC41" i="31"/>
  <c r="CD35" i="31"/>
  <c r="CC35" i="31"/>
  <c r="CD26" i="31"/>
  <c r="CC26" i="31"/>
  <c r="CD27" i="31"/>
  <c r="CC27" i="31"/>
  <c r="CD28" i="31"/>
  <c r="CC28" i="31"/>
  <c r="CD20" i="31"/>
  <c r="CC20" i="31"/>
  <c r="CC18" i="31"/>
  <c r="CD18" i="31"/>
  <c r="CD17" i="31"/>
  <c r="CC17" i="31"/>
  <c r="CD16" i="31"/>
  <c r="CC16" i="31"/>
  <c r="CD15" i="31"/>
  <c r="CC15" i="31"/>
  <c r="CD14" i="31"/>
  <c r="CC14" i="31"/>
  <c r="CD13" i="31"/>
  <c r="CC13" i="31"/>
  <c r="CD12" i="31"/>
  <c r="CC12" i="31"/>
  <c r="CD11" i="31"/>
  <c r="CC11" i="31"/>
  <c r="D23" i="55"/>
  <c r="D26" i="55"/>
  <c r="F28" i="55"/>
  <c r="B25" i="58"/>
  <c r="CE25" i="58" s="1"/>
  <c r="C95" i="54"/>
  <c r="C182" i="54"/>
  <c r="C191" i="31"/>
  <c r="F189" i="55"/>
  <c r="D22" i="55"/>
  <c r="E28" i="55"/>
  <c r="D14" i="55"/>
  <c r="D12" i="55"/>
  <c r="C55" i="39"/>
  <c r="D73" i="45"/>
  <c r="D72" i="45"/>
  <c r="C73" i="45"/>
  <c r="C72" i="45"/>
  <c r="E257" i="45"/>
  <c r="E256" i="45"/>
  <c r="D257" i="45"/>
  <c r="D256" i="45"/>
  <c r="D255" i="45"/>
  <c r="E255" i="45"/>
  <c r="E254" i="45"/>
  <c r="D254" i="45"/>
  <c r="E253" i="45"/>
  <c r="D253" i="45"/>
  <c r="E252" i="45"/>
  <c r="D252" i="45"/>
  <c r="C27" i="38"/>
  <c r="C26" i="38"/>
  <c r="C25" i="38"/>
  <c r="C106" i="59"/>
  <c r="C105" i="59"/>
  <c r="C104" i="59"/>
  <c r="C103" i="59"/>
  <c r="C102" i="59"/>
  <c r="C101" i="59"/>
  <c r="C100" i="59"/>
  <c r="C99" i="59"/>
  <c r="C98" i="59"/>
  <c r="C97" i="59"/>
  <c r="C96" i="59"/>
  <c r="C95" i="59"/>
  <c r="D106" i="59"/>
  <c r="D105" i="59"/>
  <c r="D104" i="59"/>
  <c r="D103" i="59"/>
  <c r="D102" i="59"/>
  <c r="D101" i="59"/>
  <c r="D100" i="59"/>
  <c r="D99" i="59"/>
  <c r="D98" i="59"/>
  <c r="D97" i="59"/>
  <c r="D96" i="59"/>
  <c r="D95" i="59"/>
  <c r="CK137" i="58"/>
  <c r="CA137" i="58" s="1"/>
  <c r="CM132" i="58"/>
  <c r="CC132" i="58" s="1"/>
  <c r="CM131" i="58"/>
  <c r="CC131" i="58" s="1"/>
  <c r="CL132" i="58"/>
  <c r="CL131" i="58"/>
  <c r="CL130" i="58"/>
  <c r="CM130" i="58"/>
  <c r="CC130" i="58" s="1"/>
  <c r="CP123" i="58"/>
  <c r="CQ118" i="58"/>
  <c r="CG118" i="58" s="1"/>
  <c r="CQ117" i="58"/>
  <c r="CG117" i="58" s="1"/>
  <c r="CQ116" i="58"/>
  <c r="CG116" i="58" s="1"/>
  <c r="CP118" i="58"/>
  <c r="CF118" i="58" s="1"/>
  <c r="CP117" i="58"/>
  <c r="CF117" i="58" s="1"/>
  <c r="CP116" i="58"/>
  <c r="CF116" i="58" s="1"/>
  <c r="CO118" i="58"/>
  <c r="CO117" i="58"/>
  <c r="CO116" i="58"/>
  <c r="CM116" i="58"/>
  <c r="CL116" i="58"/>
  <c r="CQ123" i="58"/>
  <c r="CG123" i="58" s="1"/>
  <c r="CQ124" i="58"/>
  <c r="CG124" i="58" s="1"/>
  <c r="CP124" i="58"/>
  <c r="CP96" i="58"/>
  <c r="CF96" i="58" s="1"/>
  <c r="CO96" i="58"/>
  <c r="CE96" i="58" s="1"/>
  <c r="CP95" i="58"/>
  <c r="CF95" i="58" s="1"/>
  <c r="CO95" i="58"/>
  <c r="CE95" i="58" s="1"/>
  <c r="CP94" i="58"/>
  <c r="CF94" i="58" s="1"/>
  <c r="CO94" i="58"/>
  <c r="CE94" i="58" s="1"/>
  <c r="CP93" i="58"/>
  <c r="CF93" i="58" s="1"/>
  <c r="CO93" i="58"/>
  <c r="CE93" i="58" s="1"/>
  <c r="CP92" i="58"/>
  <c r="CF92" i="58" s="1"/>
  <c r="CE92" i="58"/>
  <c r="CP91" i="58"/>
  <c r="CF91" i="58" s="1"/>
  <c r="CO91" i="58"/>
  <c r="CE91" i="58" s="1"/>
  <c r="CP90" i="58"/>
  <c r="CF90" i="58" s="1"/>
  <c r="CO90" i="58"/>
  <c r="CE90" i="58" s="1"/>
  <c r="CP89" i="58"/>
  <c r="CF89" i="58" s="1"/>
  <c r="CO89" i="58"/>
  <c r="CE89" i="58" s="1"/>
  <c r="CP88" i="58"/>
  <c r="CF88" i="58" s="1"/>
  <c r="CO88" i="58"/>
  <c r="CE88" i="58" s="1"/>
  <c r="CP87" i="58"/>
  <c r="CF87" i="58" s="1"/>
  <c r="CO87" i="58"/>
  <c r="CE87" i="58" s="1"/>
  <c r="CP86" i="58"/>
  <c r="CF86" i="58" s="1"/>
  <c r="CO86" i="58"/>
  <c r="CE86" i="58" s="1"/>
  <c r="CP85" i="58"/>
  <c r="CF85" i="58" s="1"/>
  <c r="CO85" i="58"/>
  <c r="CE85" i="58" s="1"/>
  <c r="CP84" i="58"/>
  <c r="CF84" i="58" s="1"/>
  <c r="CO84" i="58"/>
  <c r="CE84" i="58" s="1"/>
  <c r="CP83" i="58"/>
  <c r="CF83" i="58" s="1"/>
  <c r="CO83" i="58"/>
  <c r="CE83" i="58" s="1"/>
  <c r="CP82" i="58"/>
  <c r="CF82" i="58" s="1"/>
  <c r="CO82" i="58"/>
  <c r="CE82" i="58" s="1"/>
  <c r="CP81" i="58"/>
  <c r="CF81" i="58" s="1"/>
  <c r="CO81" i="58"/>
  <c r="CE81" i="58" s="1"/>
  <c r="CP80" i="58"/>
  <c r="CF80" i="58" s="1"/>
  <c r="CO80" i="58"/>
  <c r="CE80" i="58" s="1"/>
  <c r="CP79" i="58"/>
  <c r="CF79" i="58" s="1"/>
  <c r="CO79" i="58"/>
  <c r="CE79" i="58" s="1"/>
  <c r="CP78" i="58"/>
  <c r="CF78" i="58" s="1"/>
  <c r="CO78" i="58"/>
  <c r="CE78" i="58" s="1"/>
  <c r="CP77" i="58"/>
  <c r="CF77" i="58" s="1"/>
  <c r="CO77" i="58"/>
  <c r="CE77" i="58" s="1"/>
  <c r="CP76" i="58"/>
  <c r="CF76" i="58" s="1"/>
  <c r="CO76" i="58"/>
  <c r="CE76" i="58" s="1"/>
  <c r="CP75" i="58"/>
  <c r="CF75" i="58" s="1"/>
  <c r="CO75" i="58"/>
  <c r="CE75" i="58" s="1"/>
  <c r="CP74" i="58"/>
  <c r="CF74" i="58" s="1"/>
  <c r="CO74" i="58"/>
  <c r="CE74" i="58" s="1"/>
  <c r="CP73" i="58"/>
  <c r="CF73" i="58" s="1"/>
  <c r="CO73" i="58"/>
  <c r="CE73" i="58" s="1"/>
  <c r="CP72" i="58"/>
  <c r="CF72" i="58" s="1"/>
  <c r="CO72" i="58"/>
  <c r="CE72" i="58" s="1"/>
  <c r="CP71" i="58"/>
  <c r="CF71" i="58" s="1"/>
  <c r="CO71" i="58"/>
  <c r="CE71" i="58" s="1"/>
  <c r="CP70" i="58"/>
  <c r="CF70" i="58" s="1"/>
  <c r="CO70" i="58"/>
  <c r="CE70" i="58" s="1"/>
  <c r="CP69" i="58"/>
  <c r="CF69" i="58" s="1"/>
  <c r="CO69" i="58"/>
  <c r="CE69" i="58" s="1"/>
  <c r="CP68" i="58"/>
  <c r="CF68" i="58" s="1"/>
  <c r="CO68" i="58"/>
  <c r="CE68" i="58" s="1"/>
  <c r="CP67" i="58"/>
  <c r="CF67" i="58" s="1"/>
  <c r="CO67" i="58"/>
  <c r="CE67" i="58" s="1"/>
  <c r="CP66" i="58"/>
  <c r="CF66" i="58" s="1"/>
  <c r="CO66" i="58"/>
  <c r="CE66" i="58" s="1"/>
  <c r="CP65" i="58"/>
  <c r="CF65" i="58" s="1"/>
  <c r="CO65" i="58"/>
  <c r="CE65" i="58" s="1"/>
  <c r="CP64" i="58"/>
  <c r="CF64" i="58" s="1"/>
  <c r="CO64" i="58"/>
  <c r="CE64" i="58" s="1"/>
  <c r="CP63" i="58"/>
  <c r="CF63" i="58" s="1"/>
  <c r="CO63" i="58"/>
  <c r="CE63" i="58" s="1"/>
  <c r="CP62" i="58"/>
  <c r="CF62" i="58" s="1"/>
  <c r="CO62" i="58"/>
  <c r="CE62" i="58" s="1"/>
  <c r="CP61" i="58"/>
  <c r="CF61" i="58" s="1"/>
  <c r="CE61" i="58"/>
  <c r="CP60" i="58"/>
  <c r="CF60" i="58" s="1"/>
  <c r="CO60" i="58"/>
  <c r="CE60" i="58" s="1"/>
  <c r="CP59" i="58"/>
  <c r="CF59" i="58" s="1"/>
  <c r="CO59" i="58"/>
  <c r="CE59" i="58" s="1"/>
  <c r="CP58" i="58"/>
  <c r="CF58" i="58" s="1"/>
  <c r="CO58" i="58"/>
  <c r="CE58" i="58" s="1"/>
  <c r="CP57" i="58"/>
  <c r="CF57" i="58" s="1"/>
  <c r="CO57" i="58"/>
  <c r="CE57" i="58" s="1"/>
  <c r="CP56" i="58"/>
  <c r="CF56" i="58" s="1"/>
  <c r="CO56" i="58"/>
  <c r="CE56" i="58" s="1"/>
  <c r="CP55" i="58"/>
  <c r="CF55" i="58" s="1"/>
  <c r="CO55" i="58"/>
  <c r="CE55" i="58" s="1"/>
  <c r="CP54" i="58"/>
  <c r="CF54" i="58" s="1"/>
  <c r="CO54" i="58"/>
  <c r="CE54" i="58" s="1"/>
  <c r="CP53" i="58"/>
  <c r="CF53" i="58" s="1"/>
  <c r="CO53" i="58"/>
  <c r="CE53" i="58" s="1"/>
  <c r="CP52" i="58"/>
  <c r="CF52" i="58" s="1"/>
  <c r="CO52" i="58"/>
  <c r="CE52" i="58" s="1"/>
  <c r="CP51" i="58"/>
  <c r="CF51" i="58" s="1"/>
  <c r="CO51" i="58"/>
  <c r="CE51" i="58" s="1"/>
  <c r="CP50" i="58"/>
  <c r="CF50" i="58" s="1"/>
  <c r="CO50" i="58"/>
  <c r="CE50" i="58" s="1"/>
  <c r="CP49" i="58"/>
  <c r="CF49" i="58" s="1"/>
  <c r="CO49" i="58"/>
  <c r="CE49" i="58" s="1"/>
  <c r="CP48" i="58"/>
  <c r="CF48" i="58" s="1"/>
  <c r="CO48" i="58"/>
  <c r="CE48" i="58" s="1"/>
  <c r="CP47" i="58"/>
  <c r="CF47" i="58" s="1"/>
  <c r="CO47" i="58"/>
  <c r="CE47" i="58" s="1"/>
  <c r="CP46" i="58"/>
  <c r="CF46" i="58" s="1"/>
  <c r="CO46" i="58"/>
  <c r="CE46" i="58" s="1"/>
  <c r="CP45" i="58"/>
  <c r="CF45" i="58" s="1"/>
  <c r="CO45" i="58"/>
  <c r="CE45" i="58" s="1"/>
  <c r="CP44" i="58"/>
  <c r="CF44" i="58" s="1"/>
  <c r="CO44" i="58"/>
  <c r="CE44" i="58" s="1"/>
  <c r="CP43" i="58"/>
  <c r="CF43" i="58" s="1"/>
  <c r="CO43" i="58"/>
  <c r="CE43" i="58" s="1"/>
  <c r="CP42" i="58"/>
  <c r="CF42" i="58" s="1"/>
  <c r="CO42" i="58"/>
  <c r="CE42" i="58" s="1"/>
  <c r="CP41" i="58"/>
  <c r="CF41" i="58" s="1"/>
  <c r="CO41" i="58"/>
  <c r="CE41" i="58" s="1"/>
  <c r="CP40" i="58"/>
  <c r="CF40" i="58" s="1"/>
  <c r="CO40" i="58"/>
  <c r="CE40" i="58" s="1"/>
  <c r="CO39" i="58"/>
  <c r="CE39" i="58" s="1"/>
  <c r="CP38" i="58"/>
  <c r="CF38" i="58" s="1"/>
  <c r="CO38" i="58"/>
  <c r="CE38" i="58" s="1"/>
  <c r="CM18" i="58"/>
  <c r="CC18" i="58" s="1"/>
  <c r="CL18" i="58"/>
  <c r="CM17" i="58"/>
  <c r="CC17" i="58" s="1"/>
  <c r="CL17" i="58"/>
  <c r="CM16" i="58"/>
  <c r="CC16" i="58" s="1"/>
  <c r="CL16" i="58"/>
  <c r="CM15" i="58"/>
  <c r="CC15" i="58" s="1"/>
  <c r="CL15" i="58"/>
  <c r="CM14" i="58"/>
  <c r="CC14" i="58" s="1"/>
  <c r="CL14" i="58"/>
  <c r="T19" i="58"/>
  <c r="A5" i="37"/>
  <c r="A4" i="37"/>
  <c r="A3" i="37"/>
  <c r="A2" i="37"/>
  <c r="A5" i="54"/>
  <c r="A4" i="54"/>
  <c r="A3" i="54"/>
  <c r="A2" i="54"/>
  <c r="B102" i="59" l="1"/>
  <c r="CJ102" i="59" s="1"/>
  <c r="CA102" i="59" s="1"/>
  <c r="AX102" i="59" s="1"/>
  <c r="B106" i="59"/>
  <c r="CJ106" i="59" s="1"/>
  <c r="CA106" i="59" s="1"/>
  <c r="AX106" i="59" s="1"/>
  <c r="B27" i="58"/>
  <c r="B71" i="45"/>
  <c r="B101" i="59"/>
  <c r="CJ101" i="59" s="1"/>
  <c r="CA101" i="59" s="1"/>
  <c r="AX101" i="59" s="1"/>
  <c r="D28" i="55"/>
  <c r="B98" i="59"/>
  <c r="CJ98" i="59" s="1"/>
  <c r="CA98" i="59" s="1"/>
  <c r="AX98" i="59" s="1"/>
  <c r="B104" i="59"/>
  <c r="CJ104" i="59" s="1"/>
  <c r="CA104" i="59" s="1"/>
  <c r="AX104" i="59" s="1"/>
  <c r="B72" i="45"/>
  <c r="B97" i="59"/>
  <c r="CJ97" i="59" s="1"/>
  <c r="CA97" i="59" s="1"/>
  <c r="AX97" i="59" s="1"/>
  <c r="B105" i="59"/>
  <c r="CJ105" i="59" s="1"/>
  <c r="CA105" i="59" s="1"/>
  <c r="AX105" i="59" s="1"/>
  <c r="B73" i="45"/>
  <c r="B95" i="59"/>
  <c r="CJ95" i="59" s="1"/>
  <c r="CA95" i="59" s="1"/>
  <c r="AX95" i="59" s="1"/>
  <c r="B99" i="59"/>
  <c r="CJ99" i="59" s="1"/>
  <c r="CA99" i="59" s="1"/>
  <c r="AX99" i="59" s="1"/>
  <c r="B103" i="59"/>
  <c r="CJ103" i="59" s="1"/>
  <c r="CA103" i="59" s="1"/>
  <c r="AX103" i="59" s="1"/>
  <c r="B96" i="59"/>
  <c r="CJ96" i="59" s="1"/>
  <c r="CA96" i="59" s="1"/>
  <c r="AX96" i="59" s="1"/>
  <c r="B100" i="59"/>
  <c r="CJ100" i="59" s="1"/>
  <c r="CA100" i="59" s="1"/>
  <c r="AX100" i="59" s="1"/>
  <c r="B59" i="37" l="1"/>
  <c r="B58" i="37"/>
  <c r="B57" i="37"/>
  <c r="B56" i="37"/>
  <c r="B55" i="37"/>
  <c r="CK29" i="37"/>
  <c r="CE29" i="37" s="1"/>
  <c r="CJ29" i="37"/>
  <c r="CD29" i="37" s="1"/>
  <c r="CI29" i="37"/>
  <c r="CC29" i="37" s="1"/>
  <c r="CH29" i="37"/>
  <c r="CB29" i="37" s="1"/>
  <c r="CA52" i="37"/>
  <c r="CA51" i="37"/>
  <c r="CG364" i="37"/>
  <c r="CA364" i="37" s="1"/>
  <c r="CG363" i="37"/>
  <c r="CA363" i="37" s="1"/>
  <c r="CG362" i="37"/>
  <c r="CA362" i="37" s="1"/>
  <c r="CG361" i="37"/>
  <c r="CA361" i="37" s="1"/>
  <c r="CG356" i="37"/>
  <c r="CA356" i="37" s="1"/>
  <c r="CG355" i="37"/>
  <c r="CA355" i="37" s="1"/>
  <c r="CG354" i="37"/>
  <c r="CA354" i="37" s="1"/>
  <c r="CG353" i="37"/>
  <c r="CA353" i="37" s="1"/>
  <c r="CG352" i="37"/>
  <c r="CA352" i="37" s="1"/>
  <c r="CG351" i="37"/>
  <c r="CA351" i="37" s="1"/>
  <c r="CG350" i="37"/>
  <c r="CA350" i="37" s="1"/>
  <c r="CG349" i="37"/>
  <c r="CA349" i="37" s="1"/>
  <c r="CG348" i="37"/>
  <c r="CA348" i="37" s="1"/>
  <c r="CG347" i="37"/>
  <c r="CA347" i="37" s="1"/>
  <c r="CG346" i="37"/>
  <c r="CA346" i="37" s="1"/>
  <c r="CG345" i="37"/>
  <c r="CA345" i="37" s="1"/>
  <c r="CG340" i="37"/>
  <c r="CA340" i="37" s="1"/>
  <c r="CG339" i="37"/>
  <c r="CA339" i="37" s="1"/>
  <c r="CG338" i="37"/>
  <c r="CA338" i="37" s="1"/>
  <c r="CG337" i="37"/>
  <c r="CA337" i="37" s="1"/>
  <c r="CG336" i="37"/>
  <c r="CA336" i="37" s="1"/>
  <c r="CG335" i="37"/>
  <c r="CA335" i="37" s="1"/>
  <c r="CG334" i="37"/>
  <c r="CA334" i="37" s="1"/>
  <c r="CG333" i="37"/>
  <c r="CA333" i="37" s="1"/>
  <c r="CG332" i="37"/>
  <c r="CA332" i="37" s="1"/>
  <c r="CG331" i="37"/>
  <c r="CA331" i="37" s="1"/>
  <c r="CG330" i="37"/>
  <c r="CA330" i="37" s="1"/>
  <c r="CG329" i="37"/>
  <c r="CA329" i="37" s="1"/>
  <c r="BZ56" i="37"/>
  <c r="BZ55" i="37"/>
  <c r="E19" i="37"/>
  <c r="AS19" i="37"/>
  <c r="AR19" i="37"/>
  <c r="AQ19" i="37"/>
  <c r="AP19" i="37"/>
  <c r="AO19" i="37"/>
  <c r="AN19" i="37"/>
  <c r="AM19" i="37"/>
  <c r="AL19" i="37"/>
  <c r="AK19" i="37"/>
  <c r="AJ19" i="37"/>
  <c r="AI19" i="37"/>
  <c r="AH19" i="37"/>
  <c r="AG19" i="37"/>
  <c r="AF19" i="37"/>
  <c r="AE19" i="37"/>
  <c r="AD19" i="37"/>
  <c r="AC19" i="37"/>
  <c r="AB19" i="37"/>
  <c r="AA19" i="37"/>
  <c r="Z19" i="37"/>
  <c r="Y19" i="37"/>
  <c r="X19" i="37"/>
  <c r="W19" i="37"/>
  <c r="V19" i="37"/>
  <c r="U19" i="37"/>
  <c r="T19" i="37"/>
  <c r="S19" i="37"/>
  <c r="R19" i="37"/>
  <c r="Q19" i="37"/>
  <c r="P19" i="37"/>
  <c r="O19" i="37"/>
  <c r="N19" i="37"/>
  <c r="M19" i="37"/>
  <c r="L19" i="37"/>
  <c r="K19" i="37"/>
  <c r="J19" i="37"/>
  <c r="I19" i="37"/>
  <c r="H19" i="37"/>
  <c r="G19" i="37"/>
  <c r="F19" i="37"/>
  <c r="D24" i="37"/>
  <c r="C24" i="37"/>
  <c r="CI24" i="37" s="1"/>
  <c r="CC24" i="37" s="1"/>
  <c r="D23" i="37"/>
  <c r="CJ23" i="37" s="1"/>
  <c r="CD23" i="37" s="1"/>
  <c r="C23" i="37"/>
  <c r="CI23" i="37" s="1"/>
  <c r="CC23" i="37" s="1"/>
  <c r="D22" i="37"/>
  <c r="CJ22" i="37" s="1"/>
  <c r="CD22" i="37" s="1"/>
  <c r="C22" i="37"/>
  <c r="D21" i="37"/>
  <c r="CJ21" i="37" s="1"/>
  <c r="CD21" i="37" s="1"/>
  <c r="C21" i="37"/>
  <c r="D20" i="37"/>
  <c r="CJ20" i="37" s="1"/>
  <c r="CD20" i="37" s="1"/>
  <c r="C20" i="37"/>
  <c r="CI20" i="37" s="1"/>
  <c r="CC20" i="37" s="1"/>
  <c r="D18" i="37"/>
  <c r="CJ18" i="37" s="1"/>
  <c r="CD18" i="37" s="1"/>
  <c r="C18" i="37"/>
  <c r="D17" i="37"/>
  <c r="CJ17" i="37" s="1"/>
  <c r="CD17" i="37" s="1"/>
  <c r="C17" i="37"/>
  <c r="D16" i="37"/>
  <c r="CJ16" i="37" s="1"/>
  <c r="CD16" i="37" s="1"/>
  <c r="C16" i="37"/>
  <c r="CI16" i="37" s="1"/>
  <c r="CC16" i="37" s="1"/>
  <c r="D15" i="37"/>
  <c r="CJ15" i="37" s="1"/>
  <c r="CD15" i="37" s="1"/>
  <c r="C15" i="37"/>
  <c r="CI15" i="37" s="1"/>
  <c r="CC15" i="37" s="1"/>
  <c r="D14" i="37"/>
  <c r="CJ14" i="37" s="1"/>
  <c r="CD14" i="37" s="1"/>
  <c r="C14" i="37"/>
  <c r="C13" i="37"/>
  <c r="D13" i="37"/>
  <c r="CJ13" i="37" s="1"/>
  <c r="CD13" i="37" s="1"/>
  <c r="D44" i="31"/>
  <c r="D45" i="31"/>
  <c r="CA32" i="49"/>
  <c r="B207" i="42"/>
  <c r="D19" i="28" s="1"/>
  <c r="CC126" i="43"/>
  <c r="CB126" i="43"/>
  <c r="CA126" i="43"/>
  <c r="CA125" i="43"/>
  <c r="CC125" i="43"/>
  <c r="CB125" i="43"/>
  <c r="CC108" i="43"/>
  <c r="CD108" i="43"/>
  <c r="CC109" i="43"/>
  <c r="CD109" i="43"/>
  <c r="CC110" i="43"/>
  <c r="CD110" i="43"/>
  <c r="CC111" i="43"/>
  <c r="CD111" i="43"/>
  <c r="CD107" i="43"/>
  <c r="CB111" i="43"/>
  <c r="CB110" i="43"/>
  <c r="CB109" i="43"/>
  <c r="CB108" i="43"/>
  <c r="CB107" i="43"/>
  <c r="B104" i="43"/>
  <c r="CA104" i="43" s="1"/>
  <c r="P104" i="43" s="1"/>
  <c r="B103" i="43"/>
  <c r="CA103" i="43" s="1"/>
  <c r="P103" i="43" s="1"/>
  <c r="B102" i="43"/>
  <c r="CA102" i="43" s="1"/>
  <c r="P102" i="43" s="1"/>
  <c r="CB72" i="43"/>
  <c r="CC72" i="43"/>
  <c r="CD72" i="43"/>
  <c r="CE72" i="43"/>
  <c r="CB73" i="43"/>
  <c r="CC73" i="43"/>
  <c r="CD73" i="43"/>
  <c r="CE73" i="43"/>
  <c r="CC71" i="43"/>
  <c r="CD71" i="43"/>
  <c r="CE71" i="43"/>
  <c r="CB71" i="43"/>
  <c r="CA72" i="43"/>
  <c r="CA73" i="43"/>
  <c r="CA71" i="43"/>
  <c r="BZ72" i="43"/>
  <c r="BZ73" i="43"/>
  <c r="CD45" i="31" l="1"/>
  <c r="CC45" i="31"/>
  <c r="CD44" i="31"/>
  <c r="CC44" i="31"/>
  <c r="B20" i="37"/>
  <c r="CH20" i="37" s="1"/>
  <c r="CB20" i="37" s="1"/>
  <c r="B17" i="37"/>
  <c r="CG17" i="37" s="1"/>
  <c r="CA17" i="37" s="1"/>
  <c r="B13" i="37"/>
  <c r="CG13" i="37" s="1"/>
  <c r="CA13" i="37" s="1"/>
  <c r="B22" i="37"/>
  <c r="CH22" i="37" s="1"/>
  <c r="CB22" i="37" s="1"/>
  <c r="C19" i="37"/>
  <c r="B15" i="37"/>
  <c r="CH15" i="37" s="1"/>
  <c r="CB15" i="37" s="1"/>
  <c r="N126" i="43"/>
  <c r="F110" i="43"/>
  <c r="B14" i="37"/>
  <c r="CH14" i="37" s="1"/>
  <c r="CB14" i="37" s="1"/>
  <c r="B18" i="37"/>
  <c r="CG18" i="37" s="1"/>
  <c r="CA18" i="37" s="1"/>
  <c r="CI22" i="37"/>
  <c r="CC22" i="37" s="1"/>
  <c r="B24" i="37"/>
  <c r="CH24" i="37" s="1"/>
  <c r="CB24" i="37" s="1"/>
  <c r="B16" i="37"/>
  <c r="B21" i="37"/>
  <c r="D19" i="37"/>
  <c r="CI18" i="37"/>
  <c r="CC18" i="37" s="1"/>
  <c r="CJ24" i="37"/>
  <c r="CD24" i="37" s="1"/>
  <c r="CI13" i="37"/>
  <c r="CC13" i="37" s="1"/>
  <c r="B23" i="37"/>
  <c r="CI14" i="37"/>
  <c r="CC14" i="37" s="1"/>
  <c r="CI17" i="37"/>
  <c r="CC17" i="37" s="1"/>
  <c r="CI21" i="37"/>
  <c r="CC21" i="37" s="1"/>
  <c r="F111" i="43"/>
  <c r="F109" i="43"/>
  <c r="F108" i="43"/>
  <c r="CH17" i="37" l="1"/>
  <c r="CB17" i="37" s="1"/>
  <c r="AT17" i="37" s="1"/>
  <c r="B19" i="37"/>
  <c r="CG22" i="37"/>
  <c r="CA22" i="37" s="1"/>
  <c r="AT22" i="37" s="1"/>
  <c r="CH13" i="37"/>
  <c r="CB13" i="37" s="1"/>
  <c r="AT13" i="37" s="1"/>
  <c r="CH18" i="37"/>
  <c r="CB18" i="37" s="1"/>
  <c r="AT18" i="37" s="1"/>
  <c r="CG15" i="37"/>
  <c r="CA15" i="37" s="1"/>
  <c r="AT15" i="37" s="1"/>
  <c r="CG20" i="37"/>
  <c r="CA20" i="37" s="1"/>
  <c r="AT20" i="37" s="1"/>
  <c r="CG14" i="37"/>
  <c r="CA14" i="37" s="1"/>
  <c r="AT14" i="37" s="1"/>
  <c r="CG24" i="37"/>
  <c r="CA24" i="37" s="1"/>
  <c r="AT24" i="37" s="1"/>
  <c r="CH23" i="37"/>
  <c r="CB23" i="37" s="1"/>
  <c r="CG23" i="37"/>
  <c r="CA23" i="37" s="1"/>
  <c r="AT23" i="37" s="1"/>
  <c r="CH21" i="37"/>
  <c r="CB21" i="37" s="1"/>
  <c r="CG21" i="37"/>
  <c r="CA21" i="37" s="1"/>
  <c r="CG16" i="37"/>
  <c r="CA16" i="37" s="1"/>
  <c r="CH16" i="37"/>
  <c r="CB16" i="37" s="1"/>
  <c r="AT21" i="37" l="1"/>
  <c r="AT16" i="37"/>
  <c r="CA27" i="43"/>
  <c r="G27" i="43" s="1"/>
  <c r="CA28" i="43"/>
  <c r="G28" i="43" s="1"/>
  <c r="CA29" i="43"/>
  <c r="G29" i="43" s="1"/>
  <c r="CA30" i="43"/>
  <c r="G30" i="43" s="1"/>
  <c r="CA31" i="43"/>
  <c r="G31" i="43" s="1"/>
  <c r="CA32" i="43"/>
  <c r="G32" i="43" s="1"/>
  <c r="CA33" i="43"/>
  <c r="G33" i="43" s="1"/>
  <c r="CA34" i="43"/>
  <c r="G34" i="43" s="1"/>
  <c r="CA35" i="43"/>
  <c r="G35" i="43" s="1"/>
  <c r="CA36" i="43"/>
  <c r="G36" i="43" s="1"/>
  <c r="CA26" i="43"/>
  <c r="G26" i="43" s="1"/>
  <c r="CF22" i="43"/>
  <c r="CE22" i="43"/>
  <c r="CD22" i="43"/>
  <c r="CF21" i="43"/>
  <c r="CE21" i="43"/>
  <c r="CD21" i="43"/>
  <c r="CF20" i="43"/>
  <c r="CE20" i="43"/>
  <c r="CD20" i="43"/>
  <c r="CF19" i="43"/>
  <c r="CE19" i="43"/>
  <c r="CD19" i="43"/>
  <c r="CF18" i="43"/>
  <c r="CE18" i="43"/>
  <c r="CD18" i="43"/>
  <c r="CF17" i="43"/>
  <c r="CE17" i="43"/>
  <c r="CD17" i="43"/>
  <c r="CF16" i="43"/>
  <c r="CE16" i="43"/>
  <c r="CD16" i="43"/>
  <c r="CF15" i="43"/>
  <c r="CE15" i="43"/>
  <c r="CD15" i="43"/>
  <c r="CF14" i="43"/>
  <c r="CE14" i="43"/>
  <c r="CD14" i="43"/>
  <c r="CE13" i="43"/>
  <c r="CF13" i="43"/>
  <c r="CD13" i="43"/>
  <c r="CC13" i="43"/>
  <c r="CC22" i="43"/>
  <c r="CC21" i="43"/>
  <c r="CC20" i="43"/>
  <c r="CC19" i="43"/>
  <c r="CC18" i="43"/>
  <c r="CC17" i="43"/>
  <c r="CC16" i="43"/>
  <c r="CC15" i="43"/>
  <c r="CC14" i="43"/>
  <c r="CB14" i="43"/>
  <c r="CB15" i="43"/>
  <c r="CB16" i="43"/>
  <c r="CB17" i="43"/>
  <c r="CB18" i="43"/>
  <c r="CB19" i="43"/>
  <c r="CB20" i="43"/>
  <c r="CB21" i="43"/>
  <c r="CB22" i="43"/>
  <c r="B309" i="37"/>
  <c r="B308" i="37"/>
  <c r="B307" i="37"/>
  <c r="B306" i="37"/>
  <c r="B305" i="37"/>
  <c r="B304" i="37"/>
  <c r="B303" i="37"/>
  <c r="B302" i="37"/>
  <c r="B301" i="37"/>
  <c r="B300" i="37"/>
  <c r="B299" i="37"/>
  <c r="B298" i="37"/>
  <c r="B297" i="37"/>
  <c r="B296" i="37"/>
  <c r="B295" i="37"/>
  <c r="B294" i="37"/>
  <c r="B293" i="37"/>
  <c r="B292" i="37"/>
  <c r="B291" i="37"/>
  <c r="B290" i="37"/>
  <c r="B289" i="37"/>
  <c r="B285" i="37"/>
  <c r="B284" i="37"/>
  <c r="B283" i="37"/>
  <c r="B282" i="37"/>
  <c r="B281" i="37"/>
  <c r="B280" i="37"/>
  <c r="B279" i="37"/>
  <c r="B278" i="37"/>
  <c r="B277" i="37"/>
  <c r="B276" i="37"/>
  <c r="B275" i="37"/>
  <c r="B274" i="37"/>
  <c r="B273" i="37"/>
  <c r="B272" i="37"/>
  <c r="B271" i="37"/>
  <c r="B270" i="37"/>
  <c r="B269" i="37"/>
  <c r="B268" i="37"/>
  <c r="B267" i="37"/>
  <c r="B266" i="37"/>
  <c r="B265" i="37"/>
  <c r="B264" i="37"/>
  <c r="B263" i="37"/>
  <c r="B262" i="37"/>
  <c r="B261" i="37"/>
  <c r="B260" i="37"/>
  <c r="B259" i="37"/>
  <c r="B255" i="37"/>
  <c r="B254" i="37"/>
  <c r="B253" i="37"/>
  <c r="B248" i="37"/>
  <c r="X214" i="37"/>
  <c r="W214" i="37"/>
  <c r="V214" i="37"/>
  <c r="U214" i="37"/>
  <c r="T214" i="37"/>
  <c r="S214" i="37"/>
  <c r="R214" i="37"/>
  <c r="Q214" i="37"/>
  <c r="P214" i="37"/>
  <c r="O214" i="37"/>
  <c r="N214" i="37"/>
  <c r="M214" i="37"/>
  <c r="L214" i="37"/>
  <c r="K214" i="37"/>
  <c r="J214" i="37"/>
  <c r="I214" i="37"/>
  <c r="H214" i="37"/>
  <c r="G214" i="37"/>
  <c r="F214" i="37"/>
  <c r="E214" i="37"/>
  <c r="D214" i="37"/>
  <c r="C214" i="37"/>
  <c r="B213" i="37"/>
  <c r="CG213" i="37" s="1"/>
  <c r="CA213" i="37" s="1"/>
  <c r="Y213" i="37" s="1"/>
  <c r="B212" i="37"/>
  <c r="CG212" i="37" s="1"/>
  <c r="CA212" i="37" s="1"/>
  <c r="Y212" i="37" s="1"/>
  <c r="B211" i="37"/>
  <c r="CG211" i="37" s="1"/>
  <c r="CA211" i="37" s="1"/>
  <c r="Y211" i="37" s="1"/>
  <c r="B210" i="37"/>
  <c r="CG210" i="37" s="1"/>
  <c r="CA210" i="37" s="1"/>
  <c r="Y210" i="37" s="1"/>
  <c r="X205" i="37"/>
  <c r="W205" i="37"/>
  <c r="V205" i="37"/>
  <c r="U205" i="37"/>
  <c r="T205" i="37"/>
  <c r="S205" i="37"/>
  <c r="R205" i="37"/>
  <c r="Q205" i="37"/>
  <c r="P205" i="37"/>
  <c r="O205" i="37"/>
  <c r="N205" i="37"/>
  <c r="M205" i="37"/>
  <c r="L205" i="37"/>
  <c r="K205" i="37"/>
  <c r="J205" i="37"/>
  <c r="I205" i="37"/>
  <c r="H205" i="37"/>
  <c r="G205" i="37"/>
  <c r="F205" i="37"/>
  <c r="E205" i="37"/>
  <c r="D205" i="37"/>
  <c r="C205" i="37"/>
  <c r="B204" i="37"/>
  <c r="CG204" i="37" s="1"/>
  <c r="CA204" i="37" s="1"/>
  <c r="Y204" i="37" s="1"/>
  <c r="B203" i="37"/>
  <c r="CG203" i="37" s="1"/>
  <c r="CA203" i="37" s="1"/>
  <c r="Y203" i="37" s="1"/>
  <c r="B202" i="37"/>
  <c r="CG202" i="37" s="1"/>
  <c r="CA202" i="37" s="1"/>
  <c r="Y202" i="37" s="1"/>
  <c r="B201" i="37"/>
  <c r="CG201" i="37" s="1"/>
  <c r="CA201" i="37" s="1"/>
  <c r="Y201" i="37" s="1"/>
  <c r="B200" i="37"/>
  <c r="B199" i="37"/>
  <c r="CG199" i="37" s="1"/>
  <c r="CA199" i="37" s="1"/>
  <c r="Y199" i="37" s="1"/>
  <c r="X194" i="37"/>
  <c r="W194" i="37"/>
  <c r="V194" i="37"/>
  <c r="U194" i="37"/>
  <c r="T194" i="37"/>
  <c r="S194" i="37"/>
  <c r="R194" i="37"/>
  <c r="Q194" i="37"/>
  <c r="P194" i="37"/>
  <c r="O194" i="37"/>
  <c r="N194" i="37"/>
  <c r="M194" i="37"/>
  <c r="L194" i="37"/>
  <c r="K194" i="37"/>
  <c r="J194" i="37"/>
  <c r="I194" i="37"/>
  <c r="H194" i="37"/>
  <c r="G194" i="37"/>
  <c r="F194" i="37"/>
  <c r="E194" i="37"/>
  <c r="D194" i="37"/>
  <c r="C194" i="37"/>
  <c r="B193" i="37"/>
  <c r="CG193" i="37" s="1"/>
  <c r="CA193" i="37" s="1"/>
  <c r="Y193" i="37" s="1"/>
  <c r="B192" i="37"/>
  <c r="CG192" i="37" s="1"/>
  <c r="CA192" i="37" s="1"/>
  <c r="Y192" i="37" s="1"/>
  <c r="B191" i="37"/>
  <c r="CG191" i="37" s="1"/>
  <c r="CA191" i="37" s="1"/>
  <c r="Y191" i="37" s="1"/>
  <c r="B190" i="37"/>
  <c r="CG190" i="37" s="1"/>
  <c r="CA190" i="37" s="1"/>
  <c r="Y190" i="37" s="1"/>
  <c r="B189" i="37"/>
  <c r="CG189" i="37" s="1"/>
  <c r="CA189" i="37" s="1"/>
  <c r="Y189" i="37" s="1"/>
  <c r="B188" i="37"/>
  <c r="CG188" i="37" s="1"/>
  <c r="CA188" i="37" s="1"/>
  <c r="Y188" i="37" s="1"/>
  <c r="B187" i="37"/>
  <c r="CG187" i="37" s="1"/>
  <c r="CA187" i="37" s="1"/>
  <c r="Y187" i="37" s="1"/>
  <c r="CZ182" i="37"/>
  <c r="CT182" i="37" s="1"/>
  <c r="AP182" i="37" s="1"/>
  <c r="CZ181" i="37"/>
  <c r="CT181" i="37" s="1"/>
  <c r="AP181" i="37" s="1"/>
  <c r="CZ180" i="37"/>
  <c r="CT180" i="37" s="1"/>
  <c r="AP180" i="37" s="1"/>
  <c r="CZ179" i="37"/>
  <c r="CT179" i="37" s="1"/>
  <c r="AP179" i="37" s="1"/>
  <c r="AO177" i="37"/>
  <c r="AN177" i="37"/>
  <c r="AM177" i="37"/>
  <c r="CZ176" i="37"/>
  <c r="CT176" i="37" s="1"/>
  <c r="AP176" i="37" s="1"/>
  <c r="CZ175" i="37"/>
  <c r="CT175" i="37" s="1"/>
  <c r="AP175" i="37" s="1"/>
  <c r="CZ174" i="37"/>
  <c r="CT174" i="37" s="1"/>
  <c r="AP174" i="37" s="1"/>
  <c r="CZ173" i="37"/>
  <c r="CT173" i="37" s="1"/>
  <c r="AP173" i="37" s="1"/>
  <c r="CZ172" i="37"/>
  <c r="CT172" i="37" s="1"/>
  <c r="AP172" i="37" s="1"/>
  <c r="CZ171" i="37"/>
  <c r="CT171" i="37" s="1"/>
  <c r="AP171" i="37" s="1"/>
  <c r="CZ170" i="37"/>
  <c r="CT170" i="37" s="1"/>
  <c r="AP170" i="37" s="1"/>
  <c r="CZ169" i="37"/>
  <c r="CT169" i="37" s="1"/>
  <c r="AP169" i="37" s="1"/>
  <c r="CZ168" i="37"/>
  <c r="CT168" i="37" s="1"/>
  <c r="AP168" i="37" s="1"/>
  <c r="CZ167" i="37"/>
  <c r="CT167" i="37" s="1"/>
  <c r="AP167" i="37" s="1"/>
  <c r="CZ166" i="37"/>
  <c r="CT166" i="37" s="1"/>
  <c r="AP166" i="37" s="1"/>
  <c r="CZ165" i="37"/>
  <c r="CT165" i="37" s="1"/>
  <c r="AP165" i="37" s="1"/>
  <c r="CZ164" i="37"/>
  <c r="CT164" i="37" s="1"/>
  <c r="AP164" i="37" s="1"/>
  <c r="CZ163" i="37"/>
  <c r="CT163" i="37" s="1"/>
  <c r="AP163" i="37" s="1"/>
  <c r="CZ162" i="37"/>
  <c r="CT162" i="37" s="1"/>
  <c r="AP162" i="37" s="1"/>
  <c r="CZ161" i="37"/>
  <c r="CT161" i="37" s="1"/>
  <c r="AP161" i="37" s="1"/>
  <c r="CZ160" i="37"/>
  <c r="CT160" i="37" s="1"/>
  <c r="AP160" i="37" s="1"/>
  <c r="CZ159" i="37"/>
  <c r="CT159" i="37" s="1"/>
  <c r="AP159" i="37" s="1"/>
  <c r="CZ158" i="37"/>
  <c r="CT158" i="37" s="1"/>
  <c r="AP158" i="37" s="1"/>
  <c r="CZ157" i="37"/>
  <c r="CT157" i="37" s="1"/>
  <c r="AP157" i="37" s="1"/>
  <c r="CZ156" i="37"/>
  <c r="CT156" i="37" s="1"/>
  <c r="AP156" i="37" s="1"/>
  <c r="CZ155" i="37"/>
  <c r="CT155" i="37" s="1"/>
  <c r="AP155" i="37" s="1"/>
  <c r="CZ154" i="37"/>
  <c r="CT154" i="37" s="1"/>
  <c r="CZ153" i="37"/>
  <c r="CT153" i="37" s="1"/>
  <c r="AP153" i="37" s="1"/>
  <c r="CZ152" i="37"/>
  <c r="CT152" i="37" s="1"/>
  <c r="AP152" i="37" s="1"/>
  <c r="CZ151" i="37"/>
  <c r="CT151" i="37" s="1"/>
  <c r="AP151" i="37" s="1"/>
  <c r="CZ150" i="37"/>
  <c r="CT150" i="37" s="1"/>
  <c r="AP150" i="37" s="1"/>
  <c r="CZ149" i="37"/>
  <c r="CT149" i="37" s="1"/>
  <c r="AP149" i="37" s="1"/>
  <c r="CZ148" i="37"/>
  <c r="CT148" i="37" s="1"/>
  <c r="AP148" i="37" s="1"/>
  <c r="B123" i="37"/>
  <c r="CG123" i="37" s="1"/>
  <c r="CA123" i="37" s="1"/>
  <c r="L123" i="37" s="1"/>
  <c r="B122" i="37"/>
  <c r="CG122" i="37" s="1"/>
  <c r="CA122" i="37" s="1"/>
  <c r="L122" i="37" s="1"/>
  <c r="B121" i="37"/>
  <c r="CG121" i="37" s="1"/>
  <c r="CA121" i="37" s="1"/>
  <c r="L121" i="37" s="1"/>
  <c r="E112" i="37"/>
  <c r="D112" i="37"/>
  <c r="C112" i="37"/>
  <c r="B112" i="37"/>
  <c r="E104" i="37"/>
  <c r="D104" i="37"/>
  <c r="C104" i="37"/>
  <c r="B104" i="37"/>
  <c r="E96" i="37"/>
  <c r="D96" i="37"/>
  <c r="C96" i="37"/>
  <c r="B96" i="37"/>
  <c r="S76" i="37"/>
  <c r="R76" i="37"/>
  <c r="Q76" i="37"/>
  <c r="P76" i="37"/>
  <c r="O76" i="37"/>
  <c r="N76" i="37"/>
  <c r="M76" i="37"/>
  <c r="L76" i="37"/>
  <c r="K76" i="37"/>
  <c r="J76" i="37"/>
  <c r="I76" i="37"/>
  <c r="H76" i="37"/>
  <c r="G76" i="37"/>
  <c r="F76" i="37"/>
  <c r="E76" i="37"/>
  <c r="D76" i="37"/>
  <c r="C76" i="37"/>
  <c r="B75" i="37"/>
  <c r="B74" i="37"/>
  <c r="B73" i="37"/>
  <c r="S68" i="37"/>
  <c r="R68" i="37"/>
  <c r="Q68" i="37"/>
  <c r="P68" i="37"/>
  <c r="O68" i="37"/>
  <c r="N68" i="37"/>
  <c r="M68" i="37"/>
  <c r="L68" i="37"/>
  <c r="K68" i="37"/>
  <c r="J68" i="37"/>
  <c r="I68" i="37"/>
  <c r="H68" i="37"/>
  <c r="G68" i="37"/>
  <c r="F68" i="37"/>
  <c r="E68" i="37"/>
  <c r="D68" i="37"/>
  <c r="C68" i="37"/>
  <c r="B67" i="37"/>
  <c r="B66" i="37"/>
  <c r="B65" i="37"/>
  <c r="B64" i="37"/>
  <c r="H60" i="37"/>
  <c r="G60" i="37"/>
  <c r="F60" i="37"/>
  <c r="E50" i="37"/>
  <c r="D50" i="37"/>
  <c r="E49" i="37"/>
  <c r="D49" i="37"/>
  <c r="E48" i="37"/>
  <c r="D48" i="37"/>
  <c r="E47" i="37"/>
  <c r="D47" i="37"/>
  <c r="E46" i="37"/>
  <c r="D46" i="37"/>
  <c r="E45" i="37"/>
  <c r="D45" i="37"/>
  <c r="E44" i="37"/>
  <c r="D44" i="37"/>
  <c r="E43" i="37"/>
  <c r="D43" i="37"/>
  <c r="E42" i="37"/>
  <c r="D42" i="37"/>
  <c r="E41" i="37"/>
  <c r="D41" i="37"/>
  <c r="E40" i="37"/>
  <c r="D40" i="37"/>
  <c r="E39" i="37"/>
  <c r="D39" i="37"/>
  <c r="E38" i="37"/>
  <c r="D38" i="37"/>
  <c r="E37" i="37"/>
  <c r="D37" i="37"/>
  <c r="E36" i="37"/>
  <c r="D36" i="37"/>
  <c r="E35" i="37"/>
  <c r="D35" i="37"/>
  <c r="E34" i="37"/>
  <c r="D34" i="37"/>
  <c r="E33" i="37"/>
  <c r="D33" i="37"/>
  <c r="E32" i="37"/>
  <c r="D32" i="37"/>
  <c r="E31" i="37"/>
  <c r="D31" i="37"/>
  <c r="E30" i="37"/>
  <c r="D30" i="37"/>
  <c r="E29" i="37"/>
  <c r="D29" i="37"/>
  <c r="F193" i="54"/>
  <c r="E193" i="54"/>
  <c r="F192" i="54"/>
  <c r="E192" i="54"/>
  <c r="F191" i="54"/>
  <c r="E191" i="54"/>
  <c r="F190" i="54"/>
  <c r="E190" i="54"/>
  <c r="F189" i="54"/>
  <c r="E189" i="54"/>
  <c r="F188" i="54"/>
  <c r="E188" i="54"/>
  <c r="D167" i="54"/>
  <c r="C167" i="54"/>
  <c r="D166" i="54"/>
  <c r="C166" i="54"/>
  <c r="D165" i="54"/>
  <c r="C165" i="54"/>
  <c r="D164" i="54"/>
  <c r="C164" i="54"/>
  <c r="D163" i="54"/>
  <c r="C163" i="54"/>
  <c r="D158" i="54"/>
  <c r="C158" i="54"/>
  <c r="AJ147" i="54"/>
  <c r="AI147" i="54"/>
  <c r="AH147" i="54"/>
  <c r="AG147" i="54"/>
  <c r="AF147" i="54"/>
  <c r="AE147" i="54"/>
  <c r="AD147" i="54"/>
  <c r="AC147" i="54"/>
  <c r="AB147" i="54"/>
  <c r="AA147" i="54"/>
  <c r="Z147" i="54"/>
  <c r="Y147" i="54"/>
  <c r="X147" i="54"/>
  <c r="W147" i="54"/>
  <c r="V147" i="54"/>
  <c r="U147" i="54"/>
  <c r="T147" i="54"/>
  <c r="S147" i="54"/>
  <c r="R147" i="54"/>
  <c r="Q147" i="54"/>
  <c r="P147" i="54"/>
  <c r="O147" i="54"/>
  <c r="N147" i="54"/>
  <c r="M147" i="54"/>
  <c r="L147" i="54"/>
  <c r="K147" i="54"/>
  <c r="J147" i="54"/>
  <c r="I147" i="54"/>
  <c r="H147" i="54"/>
  <c r="G147" i="54"/>
  <c r="F147" i="54"/>
  <c r="E147" i="54"/>
  <c r="D146" i="54"/>
  <c r="C146" i="54"/>
  <c r="D145" i="54"/>
  <c r="C145" i="54"/>
  <c r="D144" i="54"/>
  <c r="C144" i="54"/>
  <c r="D143" i="54"/>
  <c r="C143" i="54"/>
  <c r="D142" i="54"/>
  <c r="C142" i="54"/>
  <c r="D141" i="54"/>
  <c r="C141" i="54"/>
  <c r="AJ135" i="54"/>
  <c r="AI135" i="54"/>
  <c r="AH135" i="54"/>
  <c r="AG135" i="54"/>
  <c r="AF135" i="54"/>
  <c r="AE135" i="54"/>
  <c r="AD135" i="54"/>
  <c r="AC135" i="54"/>
  <c r="AB135" i="54"/>
  <c r="AA135" i="54"/>
  <c r="Z135" i="54"/>
  <c r="Y135" i="54"/>
  <c r="X135" i="54"/>
  <c r="W135" i="54"/>
  <c r="V135" i="54"/>
  <c r="U135" i="54"/>
  <c r="T135" i="54"/>
  <c r="S135" i="54"/>
  <c r="R135" i="54"/>
  <c r="Q135" i="54"/>
  <c r="P135" i="54"/>
  <c r="O135" i="54"/>
  <c r="N135" i="54"/>
  <c r="M135" i="54"/>
  <c r="L135" i="54"/>
  <c r="K135" i="54"/>
  <c r="J135" i="54"/>
  <c r="I135" i="54"/>
  <c r="H135" i="54"/>
  <c r="G135" i="54"/>
  <c r="F135" i="54"/>
  <c r="E135" i="54"/>
  <c r="D134" i="54"/>
  <c r="C134" i="54"/>
  <c r="D133" i="54"/>
  <c r="C133" i="54"/>
  <c r="D132" i="54"/>
  <c r="C132" i="54"/>
  <c r="D131" i="54"/>
  <c r="C131" i="54"/>
  <c r="D130" i="54"/>
  <c r="C130" i="54"/>
  <c r="D129" i="54"/>
  <c r="C129" i="54"/>
  <c r="D124" i="54"/>
  <c r="C124" i="54"/>
  <c r="D123" i="54"/>
  <c r="C123" i="54"/>
  <c r="D122" i="54"/>
  <c r="C122" i="54"/>
  <c r="D121" i="54"/>
  <c r="C121" i="54"/>
  <c r="D120" i="54"/>
  <c r="C120" i="54"/>
  <c r="D115" i="54"/>
  <c r="C115" i="54"/>
  <c r="D114" i="54"/>
  <c r="C114" i="54"/>
  <c r="D113" i="54"/>
  <c r="C113" i="54"/>
  <c r="D108" i="54"/>
  <c r="C108" i="54"/>
  <c r="D107" i="54"/>
  <c r="C107" i="54"/>
  <c r="D106" i="54"/>
  <c r="C106" i="54"/>
  <c r="D105" i="54"/>
  <c r="C105" i="54"/>
  <c r="D104" i="54"/>
  <c r="C104" i="54"/>
  <c r="D103" i="54"/>
  <c r="C103" i="54"/>
  <c r="D102" i="54"/>
  <c r="C102" i="54"/>
  <c r="D101" i="54"/>
  <c r="C101" i="54"/>
  <c r="D100" i="54"/>
  <c r="C100" i="54"/>
  <c r="AJ88" i="54"/>
  <c r="AI88" i="54"/>
  <c r="AH88" i="54"/>
  <c r="AG88" i="54"/>
  <c r="AF88" i="54"/>
  <c r="AE88" i="54"/>
  <c r="AD88" i="54"/>
  <c r="AC88" i="54"/>
  <c r="AB88" i="54"/>
  <c r="AA88" i="54"/>
  <c r="Z88" i="54"/>
  <c r="Y88" i="54"/>
  <c r="X88" i="54"/>
  <c r="W88" i="54"/>
  <c r="V88" i="54"/>
  <c r="U88" i="54"/>
  <c r="T88" i="54"/>
  <c r="S88" i="54"/>
  <c r="R88" i="54"/>
  <c r="Q88" i="54"/>
  <c r="P88" i="54"/>
  <c r="O88" i="54"/>
  <c r="N88" i="54"/>
  <c r="M88" i="54"/>
  <c r="L88" i="54"/>
  <c r="K88" i="54"/>
  <c r="J88" i="54"/>
  <c r="I88" i="54"/>
  <c r="H88" i="54"/>
  <c r="G88" i="54"/>
  <c r="F88" i="54"/>
  <c r="E88" i="54"/>
  <c r="D87" i="54"/>
  <c r="C87" i="54"/>
  <c r="D86" i="54"/>
  <c r="C86" i="54"/>
  <c r="D85" i="54"/>
  <c r="C85" i="54"/>
  <c r="D84" i="54"/>
  <c r="C84" i="54"/>
  <c r="D83" i="54"/>
  <c r="C83" i="54"/>
  <c r="D82" i="54"/>
  <c r="C82" i="54"/>
  <c r="AL77" i="54"/>
  <c r="AK77" i="54"/>
  <c r="AJ77" i="54"/>
  <c r="AI77" i="54"/>
  <c r="AH77" i="54"/>
  <c r="AG77" i="54"/>
  <c r="AF77" i="54"/>
  <c r="AE77" i="54"/>
  <c r="AD77" i="54"/>
  <c r="AC77" i="54"/>
  <c r="AB77" i="54"/>
  <c r="AA77" i="54"/>
  <c r="Z77" i="54"/>
  <c r="Y77" i="54"/>
  <c r="X77" i="54"/>
  <c r="W77" i="54"/>
  <c r="V77" i="54"/>
  <c r="U77" i="54"/>
  <c r="T77" i="54"/>
  <c r="S77" i="54"/>
  <c r="R77" i="54"/>
  <c r="Q77" i="54"/>
  <c r="P77" i="54"/>
  <c r="O77" i="54"/>
  <c r="N77" i="54"/>
  <c r="M77" i="54"/>
  <c r="L77" i="54"/>
  <c r="K77" i="54"/>
  <c r="J77" i="54"/>
  <c r="I77" i="54"/>
  <c r="H77" i="54"/>
  <c r="G77" i="54"/>
  <c r="F77" i="54"/>
  <c r="E77" i="54"/>
  <c r="D76" i="54"/>
  <c r="C76" i="54"/>
  <c r="D75" i="54"/>
  <c r="C75" i="54"/>
  <c r="AN43" i="54"/>
  <c r="AM43" i="54"/>
  <c r="AL43" i="54"/>
  <c r="AK43" i="54"/>
  <c r="AJ43" i="54"/>
  <c r="AI43" i="54"/>
  <c r="AH43" i="54"/>
  <c r="AG43" i="54"/>
  <c r="AF43" i="54"/>
  <c r="AE43" i="54"/>
  <c r="AD43" i="54"/>
  <c r="AC43" i="54"/>
  <c r="AB43" i="54"/>
  <c r="AA43" i="54"/>
  <c r="Z43" i="54"/>
  <c r="Y43" i="54"/>
  <c r="X43" i="54"/>
  <c r="W43" i="54"/>
  <c r="V43" i="54"/>
  <c r="U43" i="54"/>
  <c r="T43" i="54"/>
  <c r="S43" i="54"/>
  <c r="R43" i="54"/>
  <c r="Q43" i="54"/>
  <c r="P43" i="54"/>
  <c r="O43" i="54"/>
  <c r="N43" i="54"/>
  <c r="M43" i="54"/>
  <c r="L43" i="54"/>
  <c r="K43" i="54"/>
  <c r="J43" i="54"/>
  <c r="I43" i="54"/>
  <c r="H43" i="54"/>
  <c r="G43" i="54"/>
  <c r="F43" i="54"/>
  <c r="E42" i="54"/>
  <c r="D42" i="54"/>
  <c r="E41" i="54"/>
  <c r="D41" i="54"/>
  <c r="E40" i="54"/>
  <c r="D40" i="54"/>
  <c r="E39" i="54"/>
  <c r="D39" i="54"/>
  <c r="E38" i="54"/>
  <c r="D38" i="54"/>
  <c r="E37" i="54"/>
  <c r="D37" i="54"/>
  <c r="E36" i="54"/>
  <c r="D36" i="54"/>
  <c r="E35" i="54"/>
  <c r="D35" i="54"/>
  <c r="E34" i="54"/>
  <c r="D34" i="54"/>
  <c r="E33" i="54"/>
  <c r="D33" i="54"/>
  <c r="E32" i="54"/>
  <c r="D32" i="54"/>
  <c r="E31" i="54"/>
  <c r="D31" i="54"/>
  <c r="E30" i="54"/>
  <c r="D30" i="54"/>
  <c r="AM24" i="54"/>
  <c r="AL24" i="54"/>
  <c r="AK24" i="54"/>
  <c r="AJ24" i="54"/>
  <c r="AI24" i="54"/>
  <c r="AH24" i="54"/>
  <c r="AG24" i="54"/>
  <c r="AF24" i="54"/>
  <c r="AE24" i="54"/>
  <c r="AD24" i="54"/>
  <c r="AC24" i="54"/>
  <c r="AB24" i="54"/>
  <c r="AA24" i="54"/>
  <c r="Z24" i="54"/>
  <c r="Y24" i="54"/>
  <c r="X24" i="54"/>
  <c r="W24" i="54"/>
  <c r="V24" i="54"/>
  <c r="U24" i="54"/>
  <c r="T24" i="54"/>
  <c r="S24" i="54"/>
  <c r="R24" i="54"/>
  <c r="Q24" i="54"/>
  <c r="P24" i="54"/>
  <c r="O24" i="54"/>
  <c r="N24" i="54"/>
  <c r="M24" i="54"/>
  <c r="L24" i="54"/>
  <c r="K24" i="54"/>
  <c r="J24" i="54"/>
  <c r="I24" i="54"/>
  <c r="H24" i="54"/>
  <c r="G24" i="54"/>
  <c r="F24" i="54"/>
  <c r="E24" i="54"/>
  <c r="D23" i="54"/>
  <c r="C23" i="54"/>
  <c r="D22" i="54"/>
  <c r="C22" i="54"/>
  <c r="D21" i="54"/>
  <c r="C21" i="54"/>
  <c r="D20" i="54"/>
  <c r="C20" i="54"/>
  <c r="D19" i="54"/>
  <c r="C19" i="54"/>
  <c r="D18" i="54"/>
  <c r="C18" i="54"/>
  <c r="D17" i="54"/>
  <c r="C17" i="54"/>
  <c r="D16" i="54"/>
  <c r="C16" i="54"/>
  <c r="D15" i="54"/>
  <c r="C15" i="54"/>
  <c r="D14" i="54"/>
  <c r="C14" i="54"/>
  <c r="D13" i="54"/>
  <c r="C13" i="54"/>
  <c r="AI136" i="8"/>
  <c r="AH136" i="8"/>
  <c r="AG136" i="8"/>
  <c r="AF136" i="8"/>
  <c r="AE136" i="8"/>
  <c r="AD136" i="8"/>
  <c r="AC136" i="8"/>
  <c r="AB136" i="8"/>
  <c r="AA136" i="8"/>
  <c r="Z136" i="8"/>
  <c r="Y136" i="8"/>
  <c r="X136" i="8"/>
  <c r="W136" i="8"/>
  <c r="V136" i="8"/>
  <c r="U136" i="8"/>
  <c r="Q136" i="8"/>
  <c r="P136" i="8"/>
  <c r="O136" i="8"/>
  <c r="M136" i="8"/>
  <c r="L136" i="8"/>
  <c r="K136" i="8"/>
  <c r="I136" i="8"/>
  <c r="H136" i="8"/>
  <c r="G136" i="8"/>
  <c r="E136" i="8"/>
  <c r="D136" i="8"/>
  <c r="C136" i="8"/>
  <c r="J135" i="8"/>
  <c r="F135" i="8"/>
  <c r="B135" i="8"/>
  <c r="J134" i="8"/>
  <c r="F134" i="8"/>
  <c r="B134" i="8"/>
  <c r="J133" i="8"/>
  <c r="F133" i="8"/>
  <c r="B133" i="8"/>
  <c r="J132" i="8"/>
  <c r="F132" i="8"/>
  <c r="B132" i="8"/>
  <c r="J131" i="8"/>
  <c r="F131" i="8"/>
  <c r="B131" i="8"/>
  <c r="J130" i="8"/>
  <c r="F130" i="8"/>
  <c r="B130" i="8"/>
  <c r="J129" i="8"/>
  <c r="F129" i="8"/>
  <c r="B129" i="8"/>
  <c r="J128" i="8"/>
  <c r="F128" i="8"/>
  <c r="B128" i="8"/>
  <c r="J127" i="8"/>
  <c r="F127" i="8"/>
  <c r="B127" i="8"/>
  <c r="J126" i="8"/>
  <c r="F126" i="8"/>
  <c r="B126" i="8"/>
  <c r="J125" i="8"/>
  <c r="F125" i="8"/>
  <c r="B125" i="8"/>
  <c r="J124" i="8"/>
  <c r="F124" i="8"/>
  <c r="B124" i="8"/>
  <c r="J123" i="8"/>
  <c r="F123" i="8"/>
  <c r="B123" i="8"/>
  <c r="J122" i="8"/>
  <c r="F122" i="8"/>
  <c r="B122" i="8"/>
  <c r="J121" i="8"/>
  <c r="F121" i="8"/>
  <c r="B121" i="8"/>
  <c r="J120" i="8"/>
  <c r="F120" i="8"/>
  <c r="B120" i="8"/>
  <c r="J119" i="8"/>
  <c r="F119" i="8"/>
  <c r="B119" i="8"/>
  <c r="J118" i="8"/>
  <c r="F118" i="8"/>
  <c r="B118" i="8"/>
  <c r="J117" i="8"/>
  <c r="F117" i="8"/>
  <c r="B117" i="8"/>
  <c r="J116" i="8"/>
  <c r="F116" i="8"/>
  <c r="B116" i="8"/>
  <c r="J115" i="8"/>
  <c r="F115" i="8"/>
  <c r="B115" i="8"/>
  <c r="J114" i="8"/>
  <c r="F114" i="8"/>
  <c r="B114" i="8"/>
  <c r="J113" i="8"/>
  <c r="F113" i="8"/>
  <c r="B113" i="8"/>
  <c r="J112" i="8"/>
  <c r="F112" i="8"/>
  <c r="B112" i="8"/>
  <c r="J111" i="8"/>
  <c r="F111" i="8"/>
  <c r="B111" i="8"/>
  <c r="J110" i="8"/>
  <c r="F110" i="8"/>
  <c r="B110" i="8"/>
  <c r="J109" i="8"/>
  <c r="F109" i="8"/>
  <c r="B109" i="8"/>
  <c r="J108" i="8"/>
  <c r="F108" i="8"/>
  <c r="B108" i="8"/>
  <c r="J107" i="8"/>
  <c r="F107" i="8"/>
  <c r="B107" i="8"/>
  <c r="J106" i="8"/>
  <c r="F106" i="8"/>
  <c r="B106" i="8"/>
  <c r="J105" i="8"/>
  <c r="F105" i="8"/>
  <c r="B105" i="8"/>
  <c r="J104" i="8"/>
  <c r="F104" i="8"/>
  <c r="B104" i="8"/>
  <c r="J103" i="8"/>
  <c r="F103" i="8"/>
  <c r="B103" i="8"/>
  <c r="J102" i="8"/>
  <c r="F102" i="8"/>
  <c r="B102" i="8"/>
  <c r="J101" i="8"/>
  <c r="F101" i="8"/>
  <c r="B101" i="8"/>
  <c r="J100" i="8"/>
  <c r="F100" i="8"/>
  <c r="B100" i="8"/>
  <c r="J99" i="8"/>
  <c r="F99" i="8"/>
  <c r="B99" i="8"/>
  <c r="J98" i="8"/>
  <c r="F98" i="8"/>
  <c r="B98" i="8"/>
  <c r="J97" i="8"/>
  <c r="F97" i="8"/>
  <c r="B97" i="8"/>
  <c r="J96" i="8"/>
  <c r="F96" i="8"/>
  <c r="B96" i="8"/>
  <c r="J95" i="8"/>
  <c r="F95" i="8"/>
  <c r="B95" i="8"/>
  <c r="J94" i="8"/>
  <c r="F94" i="8"/>
  <c r="B94" i="8"/>
  <c r="J93" i="8"/>
  <c r="F93" i="8"/>
  <c r="B93" i="8"/>
  <c r="J92" i="8"/>
  <c r="F92" i="8"/>
  <c r="B92" i="8"/>
  <c r="J91" i="8"/>
  <c r="F91" i="8"/>
  <c r="B91" i="8"/>
  <c r="J90" i="8"/>
  <c r="F90" i="8"/>
  <c r="B90" i="8"/>
  <c r="J89" i="8"/>
  <c r="F89" i="8"/>
  <c r="B89" i="8"/>
  <c r="J88" i="8"/>
  <c r="F88" i="8"/>
  <c r="B88" i="8"/>
  <c r="J87" i="8"/>
  <c r="F87" i="8"/>
  <c r="B87" i="8"/>
  <c r="J86" i="8"/>
  <c r="F86" i="8"/>
  <c r="B86" i="8"/>
  <c r="J85" i="8"/>
  <c r="F85" i="8"/>
  <c r="B85" i="8"/>
  <c r="J84" i="8"/>
  <c r="F84" i="8"/>
  <c r="B84" i="8"/>
  <c r="J83" i="8"/>
  <c r="F83" i="8"/>
  <c r="B83" i="8"/>
  <c r="J82" i="8"/>
  <c r="F82" i="8"/>
  <c r="B82" i="8"/>
  <c r="J81" i="8"/>
  <c r="F81" i="8"/>
  <c r="B81" i="8"/>
  <c r="J80" i="8"/>
  <c r="F80" i="8"/>
  <c r="B80" i="8"/>
  <c r="J79" i="8"/>
  <c r="F79" i="8"/>
  <c r="B79" i="8"/>
  <c r="F78" i="8"/>
  <c r="B78" i="8"/>
  <c r="J77" i="8"/>
  <c r="F77" i="8"/>
  <c r="AP154" i="37" l="1"/>
  <c r="C36" i="37"/>
  <c r="CG36" i="37" s="1"/>
  <c r="C45" i="37"/>
  <c r="CG45" i="37" s="1"/>
  <c r="B15" i="54"/>
  <c r="B134" i="54"/>
  <c r="B145" i="54"/>
  <c r="B130" i="54"/>
  <c r="J136" i="8"/>
  <c r="C147" i="54"/>
  <c r="CZ178" i="37"/>
  <c r="CT178" i="37" s="1"/>
  <c r="AP178" i="37" s="1"/>
  <c r="C37" i="37"/>
  <c r="CG37" i="37" s="1"/>
  <c r="C43" i="37"/>
  <c r="CG43" i="37" s="1"/>
  <c r="B122" i="54"/>
  <c r="B132" i="54"/>
  <c r="B146" i="54"/>
  <c r="B163" i="54"/>
  <c r="D189" i="54"/>
  <c r="D77" i="54"/>
  <c r="B22" i="54"/>
  <c r="B76" i="54"/>
  <c r="B21" i="54"/>
  <c r="D190" i="54"/>
  <c r="C33" i="54"/>
  <c r="B141" i="54"/>
  <c r="B23" i="54"/>
  <c r="C34" i="54"/>
  <c r="C40" i="54"/>
  <c r="B85" i="54"/>
  <c r="B105" i="54"/>
  <c r="C24" i="54"/>
  <c r="C32" i="54"/>
  <c r="C35" i="54"/>
  <c r="C41" i="54"/>
  <c r="B86" i="54"/>
  <c r="B106" i="54"/>
  <c r="B120" i="54"/>
  <c r="B14" i="54"/>
  <c r="B87" i="54"/>
  <c r="B104" i="54"/>
  <c r="B164" i="54"/>
  <c r="F136" i="8"/>
  <c r="B76" i="37"/>
  <c r="C35" i="37"/>
  <c r="CG35" i="37" s="1"/>
  <c r="B114" i="54"/>
  <c r="C38" i="54"/>
  <c r="D88" i="54"/>
  <c r="B102" i="54"/>
  <c r="B108" i="54"/>
  <c r="C135" i="54"/>
  <c r="D135" i="54"/>
  <c r="B166" i="54"/>
  <c r="C88" i="54"/>
  <c r="B124" i="54"/>
  <c r="D192" i="54"/>
  <c r="D43" i="54"/>
  <c r="C36" i="54"/>
  <c r="B83" i="54"/>
  <c r="B100" i="54"/>
  <c r="B133" i="54"/>
  <c r="D191" i="54"/>
  <c r="N136" i="8"/>
  <c r="B17" i="54"/>
  <c r="B19" i="54"/>
  <c r="B13" i="54"/>
  <c r="B16" i="54"/>
  <c r="B18" i="54"/>
  <c r="B20" i="54"/>
  <c r="C31" i="54"/>
  <c r="C42" i="54"/>
  <c r="D24" i="54"/>
  <c r="C37" i="54"/>
  <c r="C39" i="54"/>
  <c r="C77" i="54"/>
  <c r="B107" i="54"/>
  <c r="B113" i="54"/>
  <c r="B115" i="54"/>
  <c r="B143" i="54"/>
  <c r="B165" i="54"/>
  <c r="B167" i="54"/>
  <c r="D193" i="54"/>
  <c r="B121" i="54"/>
  <c r="B84" i="54"/>
  <c r="B101" i="54"/>
  <c r="B103" i="54"/>
  <c r="B123" i="54"/>
  <c r="B131" i="54"/>
  <c r="B144" i="54"/>
  <c r="D188" i="54"/>
  <c r="B205" i="37"/>
  <c r="CG200" i="37"/>
  <c r="CA200" i="37" s="1"/>
  <c r="Y200" i="37" s="1"/>
  <c r="CB13" i="43"/>
  <c r="C29" i="37"/>
  <c r="C39" i="37"/>
  <c r="CG39" i="37" s="1"/>
  <c r="C49" i="37"/>
  <c r="CG49" i="37" s="1"/>
  <c r="C46" i="37"/>
  <c r="CG46" i="37" s="1"/>
  <c r="B214" i="37"/>
  <c r="C33" i="37"/>
  <c r="CG33" i="37" s="1"/>
  <c r="C40" i="37"/>
  <c r="CG40" i="37" s="1"/>
  <c r="C50" i="37"/>
  <c r="CG50" i="37" s="1"/>
  <c r="B194" i="37"/>
  <c r="C30" i="37"/>
  <c r="CG30" i="37" s="1"/>
  <c r="C44" i="37"/>
  <c r="CG44" i="37" s="1"/>
  <c r="C47" i="37"/>
  <c r="CG47" i="37" s="1"/>
  <c r="C34" i="37"/>
  <c r="CG34" i="37" s="1"/>
  <c r="C31" i="37"/>
  <c r="C41" i="37"/>
  <c r="CG41" i="37" s="1"/>
  <c r="C48" i="37"/>
  <c r="CG48" i="37" s="1"/>
  <c r="C38" i="37"/>
  <c r="CG38" i="37" s="1"/>
  <c r="C32" i="37"/>
  <c r="CG32" i="37" s="1"/>
  <c r="C42" i="37"/>
  <c r="CG42" i="37" s="1"/>
  <c r="B68" i="37"/>
  <c r="B136" i="8"/>
  <c r="C30" i="54"/>
  <c r="B82" i="54"/>
  <c r="B129" i="54"/>
  <c r="B142" i="54"/>
  <c r="E43" i="54"/>
  <c r="D147" i="54"/>
  <c r="B75" i="54"/>
  <c r="B77" i="54" l="1"/>
  <c r="B147" i="54"/>
  <c r="B88" i="54"/>
  <c r="B24" i="54"/>
  <c r="B135" i="54"/>
  <c r="C43" i="54"/>
  <c r="CG31" i="37"/>
  <c r="CG29" i="37"/>
  <c r="CA29" i="37" l="1"/>
  <c r="AR29" i="37" s="1"/>
  <c r="B346" i="37"/>
  <c r="A206" i="54"/>
  <c r="B411" i="39"/>
  <c r="D12" i="28" s="1"/>
  <c r="B195" i="51" l="1"/>
  <c r="B193" i="38" l="1"/>
  <c r="B78" i="32"/>
  <c r="C94" i="43"/>
  <c r="CA94" i="43" l="1"/>
  <c r="B266" i="43"/>
  <c r="F44" i="53"/>
  <c r="CG151" i="31"/>
  <c r="CA151" i="31" s="1"/>
  <c r="Q151" i="31" s="1"/>
  <c r="CG139" i="31"/>
  <c r="CA139" i="31" s="1"/>
  <c r="Q139" i="31" s="1"/>
  <c r="CG138" i="31"/>
  <c r="CA138" i="31" s="1"/>
  <c r="Q138" i="31" s="1"/>
  <c r="CG137" i="31"/>
  <c r="CA137" i="31" s="1"/>
  <c r="Q137" i="31" s="1"/>
  <c r="CG136" i="31"/>
  <c r="CA136" i="31" s="1"/>
  <c r="Q136" i="31" s="1"/>
  <c r="A5" i="49"/>
  <c r="A4" i="49"/>
  <c r="A3" i="49"/>
  <c r="A2" i="49"/>
  <c r="C119" i="49"/>
  <c r="CA104" i="49"/>
  <c r="V104" i="49" s="1"/>
  <c r="C89" i="49"/>
  <c r="C88" i="49"/>
  <c r="C84" i="49"/>
  <c r="C82" i="49"/>
  <c r="C73" i="49"/>
  <c r="C72" i="49"/>
  <c r="C71" i="49"/>
  <c r="C77" i="49"/>
  <c r="C76" i="49"/>
  <c r="C75" i="49"/>
  <c r="C74" i="49"/>
  <c r="C68" i="49"/>
  <c r="C67" i="49"/>
  <c r="C66" i="49"/>
  <c r="C65" i="49"/>
  <c r="C60" i="49"/>
  <c r="D49" i="49"/>
  <c r="D48" i="49"/>
  <c r="D47" i="49"/>
  <c r="D46" i="49"/>
  <c r="C49" i="49"/>
  <c r="C48" i="49"/>
  <c r="C47" i="49"/>
  <c r="C46" i="49"/>
  <c r="C35" i="49"/>
  <c r="C34" i="49"/>
  <c r="C33" i="49"/>
  <c r="C32" i="49"/>
  <c r="C31" i="49"/>
  <c r="C13" i="49"/>
  <c r="W61" i="8"/>
  <c r="D110" i="46"/>
  <c r="C110" i="46"/>
  <c r="CA109" i="49"/>
  <c r="V109" i="49" s="1"/>
  <c r="B48" i="49" l="1"/>
  <c r="B47" i="49"/>
  <c r="B46" i="49"/>
  <c r="B49" i="49"/>
  <c r="B110" i="46"/>
  <c r="DC33" i="49"/>
  <c r="CC33" i="49" s="1"/>
  <c r="DB33" i="49"/>
  <c r="CB33" i="49" s="1"/>
  <c r="DD33" i="49"/>
  <c r="CD33" i="49" s="1"/>
  <c r="DA65" i="49"/>
  <c r="CA65" i="49" s="1"/>
  <c r="DD65" i="49"/>
  <c r="CD65" i="49" s="1"/>
  <c r="DC65" i="49"/>
  <c r="CC65" i="49" s="1"/>
  <c r="DB65" i="49"/>
  <c r="CB65" i="49" s="1"/>
  <c r="DA70" i="49"/>
  <c r="CA70" i="49" s="1"/>
  <c r="DD70" i="49"/>
  <c r="CD70" i="49" s="1"/>
  <c r="DC70" i="49"/>
  <c r="CC70" i="49" s="1"/>
  <c r="DB70" i="49"/>
  <c r="CB70" i="49" s="1"/>
  <c r="DA77" i="49"/>
  <c r="CA77" i="49" s="1"/>
  <c r="DD77" i="49"/>
  <c r="CD77" i="49" s="1"/>
  <c r="DC77" i="49"/>
  <c r="CC77" i="49" s="1"/>
  <c r="DB77" i="49"/>
  <c r="CB77" i="49" s="1"/>
  <c r="DA73" i="49"/>
  <c r="CA73" i="49" s="1"/>
  <c r="DD73" i="49"/>
  <c r="CD73" i="49" s="1"/>
  <c r="DC73" i="49"/>
  <c r="CC73" i="49" s="1"/>
  <c r="DB73" i="49"/>
  <c r="CB73" i="49" s="1"/>
  <c r="DD13" i="49"/>
  <c r="CD13" i="49" s="1"/>
  <c r="DC13" i="49"/>
  <c r="CC13" i="49" s="1"/>
  <c r="DC34" i="49"/>
  <c r="CC34" i="49" s="1"/>
  <c r="DA34" i="49"/>
  <c r="CA34" i="49" s="1"/>
  <c r="DD34" i="49"/>
  <c r="CD34" i="49" s="1"/>
  <c r="DB34" i="49"/>
  <c r="CB34" i="49" s="1"/>
  <c r="DA66" i="49"/>
  <c r="CA66" i="49" s="1"/>
  <c r="DD66" i="49"/>
  <c r="CD66" i="49" s="1"/>
  <c r="DC66" i="49"/>
  <c r="CC66" i="49" s="1"/>
  <c r="DB66" i="49"/>
  <c r="CB66" i="49" s="1"/>
  <c r="DA74" i="49"/>
  <c r="CA74" i="49" s="1"/>
  <c r="DD74" i="49"/>
  <c r="CD74" i="49" s="1"/>
  <c r="DC74" i="49"/>
  <c r="CC74" i="49" s="1"/>
  <c r="DB74" i="49"/>
  <c r="CB74" i="49" s="1"/>
  <c r="DA69" i="49"/>
  <c r="CA69" i="49" s="1"/>
  <c r="DD69" i="49"/>
  <c r="CD69" i="49" s="1"/>
  <c r="DC69" i="49"/>
  <c r="CC69" i="49" s="1"/>
  <c r="DB69" i="49"/>
  <c r="CB69" i="49" s="1"/>
  <c r="DC31" i="49"/>
  <c r="CC31" i="49" s="1"/>
  <c r="DD31" i="49"/>
  <c r="CD31" i="49" s="1"/>
  <c r="DB35" i="49"/>
  <c r="CB35" i="49" s="1"/>
  <c r="DA35" i="49"/>
  <c r="CA35" i="49" s="1"/>
  <c r="DC35" i="49"/>
  <c r="CC35" i="49" s="1"/>
  <c r="DD35" i="49"/>
  <c r="CD35" i="49" s="1"/>
  <c r="DA67" i="49"/>
  <c r="CA67" i="49" s="1"/>
  <c r="DD67" i="49"/>
  <c r="CD67" i="49" s="1"/>
  <c r="DC67" i="49"/>
  <c r="CC67" i="49" s="1"/>
  <c r="DB67" i="49"/>
  <c r="CB67" i="49" s="1"/>
  <c r="DA75" i="49"/>
  <c r="CA75" i="49" s="1"/>
  <c r="DD75" i="49"/>
  <c r="CD75" i="49" s="1"/>
  <c r="DC75" i="49"/>
  <c r="CC75" i="49" s="1"/>
  <c r="DB75" i="49"/>
  <c r="CB75" i="49" s="1"/>
  <c r="DA71" i="49"/>
  <c r="CA71" i="49" s="1"/>
  <c r="DD71" i="49"/>
  <c r="CD71" i="49" s="1"/>
  <c r="DC71" i="49"/>
  <c r="CC71" i="49" s="1"/>
  <c r="DB71" i="49"/>
  <c r="CB71" i="49" s="1"/>
  <c r="DC32" i="49"/>
  <c r="CC32" i="49" s="1"/>
  <c r="DD32" i="49"/>
  <c r="CD32" i="49" s="1"/>
  <c r="DB32" i="49"/>
  <c r="CB32" i="49" s="1"/>
  <c r="DA60" i="49"/>
  <c r="CA60" i="49" s="1"/>
  <c r="DD60" i="49"/>
  <c r="CD60" i="49" s="1"/>
  <c r="DC60" i="49"/>
  <c r="CC60" i="49" s="1"/>
  <c r="DB60" i="49"/>
  <c r="CB60" i="49" s="1"/>
  <c r="DA68" i="49"/>
  <c r="CA68" i="49" s="1"/>
  <c r="DD68" i="49"/>
  <c r="CD68" i="49" s="1"/>
  <c r="DC68" i="49"/>
  <c r="CC68" i="49" s="1"/>
  <c r="DB68" i="49"/>
  <c r="CB68" i="49" s="1"/>
  <c r="DA76" i="49"/>
  <c r="CA76" i="49" s="1"/>
  <c r="DD76" i="49"/>
  <c r="CD76" i="49" s="1"/>
  <c r="DC76" i="49"/>
  <c r="CC76" i="49" s="1"/>
  <c r="DB76" i="49"/>
  <c r="CB76" i="49" s="1"/>
  <c r="DA72" i="49"/>
  <c r="CA72" i="49" s="1"/>
  <c r="DD72" i="49"/>
  <c r="CD72" i="49" s="1"/>
  <c r="DC72" i="49"/>
  <c r="CC72" i="49" s="1"/>
  <c r="DB72" i="49"/>
  <c r="CB72" i="49" s="1"/>
  <c r="R125" i="58"/>
  <c r="T119" i="58"/>
  <c r="V119" i="58"/>
  <c r="CQ119" i="58" s="1"/>
  <c r="CG119" i="58" s="1"/>
  <c r="W19" i="58"/>
  <c r="D169" i="8"/>
  <c r="E169" i="8"/>
  <c r="B52" i="48"/>
  <c r="B51" i="48"/>
  <c r="B50" i="48"/>
  <c r="B69" i="40"/>
  <c r="D14" i="42"/>
  <c r="E49" i="42"/>
  <c r="E48" i="42"/>
  <c r="E47" i="42"/>
  <c r="E56" i="42"/>
  <c r="E55" i="42"/>
  <c r="E53" i="42"/>
  <c r="E63" i="42"/>
  <c r="E62" i="42"/>
  <c r="E61" i="42"/>
  <c r="E60" i="42"/>
  <c r="E59" i="42"/>
  <c r="E58" i="42"/>
  <c r="E57" i="42"/>
  <c r="E64" i="42"/>
  <c r="E85" i="42"/>
  <c r="E84" i="42"/>
  <c r="E83" i="42"/>
  <c r="E82" i="42"/>
  <c r="E81" i="42"/>
  <c r="E79" i="42"/>
  <c r="E77" i="42"/>
  <c r="E76" i="42"/>
  <c r="E75" i="42"/>
  <c r="D85" i="42"/>
  <c r="D84" i="42"/>
  <c r="D83" i="42"/>
  <c r="D82" i="42"/>
  <c r="D81" i="42"/>
  <c r="D79" i="42"/>
  <c r="D77" i="42"/>
  <c r="D76" i="42"/>
  <c r="D75" i="42"/>
  <c r="C78" i="42"/>
  <c r="C108" i="42"/>
  <c r="B137" i="42"/>
  <c r="B136" i="42"/>
  <c r="B135" i="42"/>
  <c r="B134" i="42"/>
  <c r="B133" i="42"/>
  <c r="B132" i="42"/>
  <c r="C146" i="42"/>
  <c r="N44" i="53"/>
  <c r="M44" i="53"/>
  <c r="L45" i="53"/>
  <c r="L33" i="53"/>
  <c r="C44" i="53"/>
  <c r="C11" i="53"/>
  <c r="D11" i="53"/>
  <c r="F11" i="53"/>
  <c r="G11" i="53"/>
  <c r="B29" i="53"/>
  <c r="B28" i="53"/>
  <c r="B27" i="53"/>
  <c r="B26" i="53"/>
  <c r="B25" i="53"/>
  <c r="B24" i="53"/>
  <c r="B23" i="53"/>
  <c r="B22" i="53"/>
  <c r="B21" i="53"/>
  <c r="B20" i="53"/>
  <c r="B19" i="53"/>
  <c r="B18" i="53"/>
  <c r="B17" i="53"/>
  <c r="B16" i="53"/>
  <c r="B15" i="53"/>
  <c r="B14" i="53"/>
  <c r="B13" i="53"/>
  <c r="B12" i="53"/>
  <c r="C71" i="8"/>
  <c r="W11" i="8"/>
  <c r="AA11" i="8"/>
  <c r="B146" i="46"/>
  <c r="B145" i="46"/>
  <c r="B144" i="46"/>
  <c r="B143" i="46"/>
  <c r="B142" i="46"/>
  <c r="B141" i="46"/>
  <c r="B140" i="46"/>
  <c r="B139" i="46"/>
  <c r="E264" i="39"/>
  <c r="D264" i="39"/>
  <c r="E250" i="39"/>
  <c r="D250" i="39"/>
  <c r="E249" i="39"/>
  <c r="D249" i="39"/>
  <c r="D214" i="39"/>
  <c r="E216" i="39"/>
  <c r="D216" i="39"/>
  <c r="D205" i="39"/>
  <c r="D203" i="39"/>
  <c r="E202" i="39"/>
  <c r="D202" i="39"/>
  <c r="E201" i="39"/>
  <c r="D201" i="39"/>
  <c r="D200" i="39"/>
  <c r="C76" i="42" l="1"/>
  <c r="C74" i="42"/>
  <c r="DB110" i="46"/>
  <c r="CC110" i="46" s="1"/>
  <c r="CB110" i="46"/>
  <c r="CA110" i="46"/>
  <c r="Q32" i="49"/>
  <c r="C75" i="42"/>
  <c r="DC110" i="46"/>
  <c r="CD110" i="46" s="1"/>
  <c r="C201" i="39"/>
  <c r="N60" i="49"/>
  <c r="Q35" i="49"/>
  <c r="Q34" i="49"/>
  <c r="C264" i="39"/>
  <c r="C202" i="39"/>
  <c r="C216" i="39"/>
  <c r="C249" i="39"/>
  <c r="C169" i="8"/>
  <c r="C250" i="39"/>
  <c r="C79" i="42"/>
  <c r="C77" i="42"/>
  <c r="B11" i="53"/>
  <c r="Q110" i="46" l="1"/>
  <c r="E106" i="39"/>
  <c r="D106" i="39"/>
  <c r="H28" i="55"/>
  <c r="G28" i="55"/>
  <c r="C106" i="39" l="1"/>
  <c r="B78" i="45"/>
  <c r="E197" i="31" l="1"/>
  <c r="D197" i="31"/>
  <c r="E195" i="31"/>
  <c r="D195" i="31"/>
  <c r="E194" i="31"/>
  <c r="D194" i="31"/>
  <c r="E193" i="31"/>
  <c r="D193" i="31"/>
  <c r="E192" i="31"/>
  <c r="D192" i="31"/>
  <c r="C192" i="31" l="1"/>
  <c r="CH192" i="31" s="1"/>
  <c r="CB192" i="31" s="1"/>
  <c r="C197" i="31"/>
  <c r="CH197" i="31" s="1"/>
  <c r="CB197" i="31" s="1"/>
  <c r="C195" i="31"/>
  <c r="CH195" i="31" s="1"/>
  <c r="CB195" i="31" s="1"/>
  <c r="C194" i="31"/>
  <c r="CG194" i="31" s="1"/>
  <c r="CA194" i="31" s="1"/>
  <c r="C193" i="31"/>
  <c r="CH193" i="31" s="1"/>
  <c r="CB193" i="31" s="1"/>
  <c r="CG192" i="31"/>
  <c r="CA192" i="31" s="1"/>
  <c r="C109" i="46"/>
  <c r="R59" i="39"/>
  <c r="Q59" i="39"/>
  <c r="CG197" i="31" l="1"/>
  <c r="CA197" i="31" s="1"/>
  <c r="CG195" i="31"/>
  <c r="CA195" i="31" s="1"/>
  <c r="AI195" i="31" s="1"/>
  <c r="CG193" i="31"/>
  <c r="CA193" i="31" s="1"/>
  <c r="AI193" i="31" s="1"/>
  <c r="CH194" i="31"/>
  <c r="CB194" i="31" s="1"/>
  <c r="AI194" i="31" s="1"/>
  <c r="AI192" i="31"/>
  <c r="AI197" i="31"/>
  <c r="CH191" i="31"/>
  <c r="CB191" i="31" s="1"/>
  <c r="CG191" i="31"/>
  <c r="CA191" i="31" s="1"/>
  <c r="C59" i="39"/>
  <c r="H155" i="8"/>
  <c r="T155" i="8"/>
  <c r="S155" i="8"/>
  <c r="R155" i="8"/>
  <c r="Q155" i="8"/>
  <c r="P155" i="8"/>
  <c r="O155" i="8"/>
  <c r="N155" i="8"/>
  <c r="M155" i="8"/>
  <c r="L155" i="8"/>
  <c r="K155" i="8"/>
  <c r="J155" i="8"/>
  <c r="I155" i="8"/>
  <c r="G155" i="8"/>
  <c r="F155" i="8"/>
  <c r="E155" i="8"/>
  <c r="D155" i="8"/>
  <c r="C155" i="8"/>
  <c r="B154" i="8"/>
  <c r="B153" i="8"/>
  <c r="B139" i="8"/>
  <c r="B29" i="8"/>
  <c r="B70" i="8"/>
  <c r="B69" i="8"/>
  <c r="B68" i="8"/>
  <c r="B67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4" i="8"/>
  <c r="B33" i="8"/>
  <c r="B32" i="8"/>
  <c r="B31" i="8"/>
  <c r="B30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2" i="8"/>
  <c r="B11" i="8"/>
  <c r="C13" i="44"/>
  <c r="C18" i="44"/>
  <c r="C58" i="44"/>
  <c r="D60" i="44"/>
  <c r="C62" i="44"/>
  <c r="C61" i="44"/>
  <c r="B106" i="44"/>
  <c r="B127" i="44"/>
  <c r="H134" i="50"/>
  <c r="G134" i="50"/>
  <c r="F134" i="50"/>
  <c r="E134" i="50"/>
  <c r="D134" i="50"/>
  <c r="C134" i="50"/>
  <c r="B125" i="50"/>
  <c r="AA108" i="50"/>
  <c r="AB108" i="50"/>
  <c r="Z108" i="50"/>
  <c r="Y108" i="50"/>
  <c r="X108" i="50"/>
  <c r="W108" i="50"/>
  <c r="V108" i="50"/>
  <c r="U108" i="50"/>
  <c r="T108" i="50"/>
  <c r="R118" i="50"/>
  <c r="S119" i="50"/>
  <c r="R119" i="50"/>
  <c r="S118" i="50"/>
  <c r="S117" i="50"/>
  <c r="R117" i="50"/>
  <c r="S116" i="50"/>
  <c r="R116" i="50"/>
  <c r="S115" i="50"/>
  <c r="R115" i="50"/>
  <c r="S114" i="50"/>
  <c r="R114" i="50"/>
  <c r="S113" i="50"/>
  <c r="R113" i="50"/>
  <c r="S112" i="50"/>
  <c r="R112" i="50"/>
  <c r="S111" i="50"/>
  <c r="R111" i="50"/>
  <c r="S110" i="50"/>
  <c r="R110" i="50"/>
  <c r="S109" i="50"/>
  <c r="R109" i="50"/>
  <c r="Q118" i="50"/>
  <c r="P118" i="50"/>
  <c r="P110" i="50"/>
  <c r="Q119" i="50"/>
  <c r="P119" i="50"/>
  <c r="Q117" i="50"/>
  <c r="P117" i="50"/>
  <c r="Q116" i="50"/>
  <c r="P116" i="50"/>
  <c r="Q115" i="50"/>
  <c r="P115" i="50"/>
  <c r="Q114" i="50"/>
  <c r="P114" i="50"/>
  <c r="Q113" i="50"/>
  <c r="P113" i="50"/>
  <c r="Q112" i="50"/>
  <c r="P112" i="50"/>
  <c r="Q111" i="50"/>
  <c r="P111" i="50"/>
  <c r="Q110" i="50"/>
  <c r="Q109" i="50"/>
  <c r="O112" i="50"/>
  <c r="O119" i="50"/>
  <c r="O118" i="50"/>
  <c r="O117" i="50"/>
  <c r="O116" i="50"/>
  <c r="O115" i="50"/>
  <c r="O114" i="50"/>
  <c r="O113" i="50"/>
  <c r="O111" i="50"/>
  <c r="O110" i="50"/>
  <c r="O109" i="50"/>
  <c r="N112" i="50"/>
  <c r="N119" i="50"/>
  <c r="N118" i="50"/>
  <c r="N117" i="50"/>
  <c r="N116" i="50"/>
  <c r="N115" i="50"/>
  <c r="N114" i="50"/>
  <c r="N113" i="50"/>
  <c r="N111" i="50"/>
  <c r="N110" i="50"/>
  <c r="M108" i="50"/>
  <c r="L108" i="50"/>
  <c r="K108" i="50"/>
  <c r="J108" i="50"/>
  <c r="I108" i="50"/>
  <c r="H108" i="50"/>
  <c r="G108" i="50"/>
  <c r="F108" i="50"/>
  <c r="E108" i="50"/>
  <c r="D108" i="50"/>
  <c r="C108" i="50"/>
  <c r="B108" i="50"/>
  <c r="B90" i="50"/>
  <c r="U90" i="50"/>
  <c r="T90" i="50"/>
  <c r="AF17" i="50"/>
  <c r="S34" i="50"/>
  <c r="S77" i="50"/>
  <c r="S76" i="50"/>
  <c r="S75" i="50"/>
  <c r="S74" i="50"/>
  <c r="S73" i="50"/>
  <c r="S72" i="50"/>
  <c r="S71" i="50"/>
  <c r="S70" i="50"/>
  <c r="S69" i="50"/>
  <c r="S68" i="50"/>
  <c r="S67" i="50"/>
  <c r="S66" i="50"/>
  <c r="S65" i="50"/>
  <c r="S64" i="50"/>
  <c r="S63" i="50"/>
  <c r="S62" i="50"/>
  <c r="S61" i="50"/>
  <c r="S60" i="50"/>
  <c r="S59" i="50"/>
  <c r="S58" i="50"/>
  <c r="S57" i="50"/>
  <c r="S56" i="50"/>
  <c r="S55" i="50"/>
  <c r="S54" i="50"/>
  <c r="S53" i="50"/>
  <c r="S52" i="50"/>
  <c r="S51" i="50"/>
  <c r="S50" i="50"/>
  <c r="S49" i="50"/>
  <c r="S48" i="50"/>
  <c r="S47" i="50"/>
  <c r="S46" i="50"/>
  <c r="S45" i="50"/>
  <c r="S44" i="50"/>
  <c r="S43" i="50"/>
  <c r="S42" i="50"/>
  <c r="S41" i="50"/>
  <c r="S40" i="50"/>
  <c r="S39" i="50"/>
  <c r="S38" i="50"/>
  <c r="S37" i="50"/>
  <c r="S36" i="50"/>
  <c r="S35" i="50"/>
  <c r="S33" i="50"/>
  <c r="S32" i="50"/>
  <c r="S31" i="50"/>
  <c r="S30" i="50"/>
  <c r="S29" i="50"/>
  <c r="S28" i="50"/>
  <c r="S27" i="50"/>
  <c r="S26" i="50"/>
  <c r="S25" i="50"/>
  <c r="S24" i="50"/>
  <c r="S23" i="50"/>
  <c r="S22" i="50"/>
  <c r="S21" i="50"/>
  <c r="S20" i="50"/>
  <c r="S19" i="50"/>
  <c r="S18" i="50"/>
  <c r="R77" i="50"/>
  <c r="R76" i="50"/>
  <c r="R75" i="50"/>
  <c r="R74" i="50"/>
  <c r="R73" i="50"/>
  <c r="R72" i="50"/>
  <c r="R71" i="50"/>
  <c r="R70" i="50"/>
  <c r="R69" i="50"/>
  <c r="R68" i="50"/>
  <c r="R67" i="50"/>
  <c r="R66" i="50"/>
  <c r="R65" i="50"/>
  <c r="R64" i="50"/>
  <c r="R63" i="50"/>
  <c r="R62" i="50"/>
  <c r="R61" i="50"/>
  <c r="R60" i="50"/>
  <c r="R59" i="50"/>
  <c r="R58" i="50"/>
  <c r="R57" i="50"/>
  <c r="R56" i="50"/>
  <c r="R55" i="50"/>
  <c r="R54" i="50"/>
  <c r="R53" i="50"/>
  <c r="R52" i="50"/>
  <c r="R51" i="50"/>
  <c r="R50" i="50"/>
  <c r="R49" i="50"/>
  <c r="R48" i="50"/>
  <c r="R47" i="50"/>
  <c r="R46" i="50"/>
  <c r="R45" i="50"/>
  <c r="R44" i="50"/>
  <c r="R43" i="50"/>
  <c r="R42" i="50"/>
  <c r="R41" i="50"/>
  <c r="R40" i="50"/>
  <c r="R39" i="50"/>
  <c r="R38" i="50"/>
  <c r="R37" i="50"/>
  <c r="R36" i="50"/>
  <c r="R35" i="50"/>
  <c r="R34" i="50"/>
  <c r="R33" i="50"/>
  <c r="R32" i="50"/>
  <c r="R31" i="50"/>
  <c r="R30" i="50"/>
  <c r="R29" i="50"/>
  <c r="R28" i="50"/>
  <c r="R27" i="50"/>
  <c r="R26" i="50"/>
  <c r="R25" i="50"/>
  <c r="R24" i="50"/>
  <c r="R23" i="50"/>
  <c r="R22" i="50"/>
  <c r="R21" i="50"/>
  <c r="R20" i="50"/>
  <c r="R19" i="50"/>
  <c r="O18" i="50"/>
  <c r="O77" i="50"/>
  <c r="O76" i="50"/>
  <c r="O75" i="50"/>
  <c r="O74" i="50"/>
  <c r="O73" i="50"/>
  <c r="O72" i="50"/>
  <c r="O71" i="50"/>
  <c r="O70" i="50"/>
  <c r="O69" i="50"/>
  <c r="O68" i="50"/>
  <c r="O67" i="50"/>
  <c r="O66" i="50"/>
  <c r="O65" i="50"/>
  <c r="O64" i="50"/>
  <c r="O63" i="50"/>
  <c r="O62" i="50"/>
  <c r="O61" i="50"/>
  <c r="O60" i="50"/>
  <c r="O59" i="50"/>
  <c r="O58" i="50"/>
  <c r="O57" i="50"/>
  <c r="O56" i="50"/>
  <c r="O55" i="50"/>
  <c r="O54" i="50"/>
  <c r="O53" i="50"/>
  <c r="O52" i="50"/>
  <c r="O51" i="50"/>
  <c r="O50" i="50"/>
  <c r="O49" i="50"/>
  <c r="O48" i="50"/>
  <c r="O47" i="50"/>
  <c r="O46" i="50"/>
  <c r="O45" i="50"/>
  <c r="O44" i="50"/>
  <c r="O43" i="50"/>
  <c r="O42" i="50"/>
  <c r="O41" i="50"/>
  <c r="O40" i="50"/>
  <c r="O39" i="50"/>
  <c r="O38" i="50"/>
  <c r="O37" i="50"/>
  <c r="O36" i="50"/>
  <c r="O35" i="50"/>
  <c r="O34" i="50"/>
  <c r="O33" i="50"/>
  <c r="O32" i="50"/>
  <c r="O31" i="50"/>
  <c r="O30" i="50"/>
  <c r="O29" i="50"/>
  <c r="O28" i="50"/>
  <c r="O27" i="50"/>
  <c r="O26" i="50"/>
  <c r="O25" i="50"/>
  <c r="O24" i="50"/>
  <c r="O23" i="50"/>
  <c r="O22" i="50"/>
  <c r="O21" i="50"/>
  <c r="O20" i="50"/>
  <c r="O19" i="50"/>
  <c r="N77" i="50"/>
  <c r="N76" i="50"/>
  <c r="N75" i="50"/>
  <c r="N74" i="50"/>
  <c r="N73" i="50"/>
  <c r="N72" i="50"/>
  <c r="N71" i="50"/>
  <c r="N70" i="50"/>
  <c r="N69" i="50"/>
  <c r="N68" i="50"/>
  <c r="N67" i="50"/>
  <c r="N66" i="50"/>
  <c r="N65" i="50"/>
  <c r="N64" i="50"/>
  <c r="N63" i="50"/>
  <c r="N62" i="50"/>
  <c r="N61" i="50"/>
  <c r="N60" i="50"/>
  <c r="N59" i="50"/>
  <c r="N58" i="50"/>
  <c r="N57" i="50"/>
  <c r="N56" i="50"/>
  <c r="N55" i="50"/>
  <c r="N54" i="50"/>
  <c r="N53" i="50"/>
  <c r="N52" i="50"/>
  <c r="N51" i="50"/>
  <c r="N50" i="50"/>
  <c r="N49" i="50"/>
  <c r="N48" i="50"/>
  <c r="N47" i="50"/>
  <c r="N46" i="50"/>
  <c r="N45" i="50"/>
  <c r="N44" i="50"/>
  <c r="N43" i="50"/>
  <c r="N42" i="50"/>
  <c r="N41" i="50"/>
  <c r="N40" i="50"/>
  <c r="N39" i="50"/>
  <c r="N38" i="50"/>
  <c r="N37" i="50"/>
  <c r="N36" i="50"/>
  <c r="N35" i="50"/>
  <c r="N34" i="50"/>
  <c r="N33" i="50"/>
  <c r="N32" i="50"/>
  <c r="N31" i="50"/>
  <c r="N30" i="50"/>
  <c r="N29" i="50"/>
  <c r="N28" i="50"/>
  <c r="N27" i="50"/>
  <c r="N26" i="50"/>
  <c r="N25" i="50"/>
  <c r="N24" i="50"/>
  <c r="N23" i="50"/>
  <c r="N22" i="50"/>
  <c r="N21" i="50"/>
  <c r="N20" i="50"/>
  <c r="N19" i="50"/>
  <c r="Q77" i="50"/>
  <c r="Q76" i="50"/>
  <c r="Q75" i="50"/>
  <c r="Q74" i="50"/>
  <c r="Q73" i="50"/>
  <c r="Q72" i="50"/>
  <c r="Q71" i="50"/>
  <c r="Q70" i="50"/>
  <c r="Q69" i="50"/>
  <c r="Q68" i="50"/>
  <c r="Q67" i="50"/>
  <c r="Q66" i="50"/>
  <c r="Q65" i="50"/>
  <c r="Q64" i="50"/>
  <c r="Q63" i="50"/>
  <c r="Q62" i="50"/>
  <c r="Q61" i="50"/>
  <c r="Q60" i="50"/>
  <c r="Q59" i="50"/>
  <c r="Q58" i="50"/>
  <c r="Q57" i="50"/>
  <c r="Q56" i="50"/>
  <c r="Q55" i="50"/>
  <c r="Q54" i="50"/>
  <c r="Q53" i="50"/>
  <c r="Q52" i="50"/>
  <c r="Q51" i="50"/>
  <c r="Q50" i="50"/>
  <c r="Q49" i="50"/>
  <c r="Q48" i="50"/>
  <c r="Q47" i="50"/>
  <c r="Q46" i="50"/>
  <c r="Q45" i="50"/>
  <c r="Q44" i="50"/>
  <c r="Q43" i="50"/>
  <c r="Q42" i="50"/>
  <c r="Q41" i="50"/>
  <c r="Q40" i="50"/>
  <c r="Q39" i="50"/>
  <c r="Q38" i="50"/>
  <c r="Q37" i="50"/>
  <c r="Q36" i="50"/>
  <c r="Q35" i="50"/>
  <c r="Q34" i="50"/>
  <c r="Q33" i="50"/>
  <c r="Q32" i="50"/>
  <c r="Q31" i="50"/>
  <c r="Q30" i="50"/>
  <c r="Q29" i="50"/>
  <c r="Q28" i="50"/>
  <c r="Q27" i="50"/>
  <c r="Q26" i="50"/>
  <c r="Q25" i="50"/>
  <c r="Q24" i="50"/>
  <c r="Q23" i="50"/>
  <c r="Q22" i="50"/>
  <c r="Q21" i="50"/>
  <c r="Q20" i="50"/>
  <c r="Q19" i="50"/>
  <c r="Q18" i="50"/>
  <c r="P77" i="50"/>
  <c r="P76" i="50"/>
  <c r="P75" i="50"/>
  <c r="P74" i="50"/>
  <c r="P73" i="50"/>
  <c r="P72" i="50"/>
  <c r="P71" i="50"/>
  <c r="P70" i="50"/>
  <c r="P69" i="50"/>
  <c r="P68" i="50"/>
  <c r="P67" i="50"/>
  <c r="P66" i="50"/>
  <c r="P65" i="50"/>
  <c r="P64" i="50"/>
  <c r="P63" i="50"/>
  <c r="P62" i="50"/>
  <c r="P61" i="50"/>
  <c r="P60" i="50"/>
  <c r="P59" i="50"/>
  <c r="P58" i="50"/>
  <c r="P57" i="50"/>
  <c r="P56" i="50"/>
  <c r="P55" i="50"/>
  <c r="P54" i="50"/>
  <c r="P53" i="50"/>
  <c r="P52" i="50"/>
  <c r="P51" i="50"/>
  <c r="P50" i="50"/>
  <c r="P49" i="50"/>
  <c r="P48" i="50"/>
  <c r="P47" i="50"/>
  <c r="P46" i="50"/>
  <c r="P45" i="50"/>
  <c r="P44" i="50"/>
  <c r="P43" i="50"/>
  <c r="P42" i="50"/>
  <c r="P41" i="50"/>
  <c r="P40" i="50"/>
  <c r="P39" i="50"/>
  <c r="P38" i="50"/>
  <c r="P37" i="50"/>
  <c r="P36" i="50"/>
  <c r="P35" i="50"/>
  <c r="P34" i="50"/>
  <c r="P33" i="50"/>
  <c r="P32" i="50"/>
  <c r="P31" i="50"/>
  <c r="P30" i="50"/>
  <c r="P29" i="50"/>
  <c r="P28" i="50"/>
  <c r="P27" i="50"/>
  <c r="P26" i="50"/>
  <c r="P25" i="50"/>
  <c r="P24" i="50"/>
  <c r="P23" i="50"/>
  <c r="P22" i="50"/>
  <c r="P21" i="50"/>
  <c r="P20" i="50"/>
  <c r="P19" i="50"/>
  <c r="P18" i="50"/>
  <c r="D177" i="58"/>
  <c r="AQ97" i="58"/>
  <c r="AE96" i="58"/>
  <c r="CN96" i="58" s="1"/>
  <c r="CD96" i="58" s="1"/>
  <c r="AE95" i="58"/>
  <c r="CN95" i="58" s="1"/>
  <c r="CD95" i="58" s="1"/>
  <c r="AE94" i="58"/>
  <c r="CN94" i="58" s="1"/>
  <c r="CD94" i="58" s="1"/>
  <c r="AE93" i="58"/>
  <c r="CN93" i="58" s="1"/>
  <c r="CD93" i="58" s="1"/>
  <c r="AE92" i="58"/>
  <c r="CN92" i="58" s="1"/>
  <c r="CD92" i="58" s="1"/>
  <c r="AE91" i="58"/>
  <c r="CN91" i="58" s="1"/>
  <c r="CD91" i="58" s="1"/>
  <c r="AE90" i="58"/>
  <c r="CN90" i="58" s="1"/>
  <c r="CD90" i="58" s="1"/>
  <c r="AE89" i="58"/>
  <c r="CN89" i="58" s="1"/>
  <c r="CD89" i="58" s="1"/>
  <c r="AE88" i="58"/>
  <c r="CN88" i="58" s="1"/>
  <c r="CD88" i="58" s="1"/>
  <c r="AE87" i="58"/>
  <c r="CN87" i="58" s="1"/>
  <c r="CD87" i="58" s="1"/>
  <c r="AE86" i="58"/>
  <c r="CN86" i="58" s="1"/>
  <c r="CD86" i="58" s="1"/>
  <c r="AE85" i="58"/>
  <c r="CN85" i="58" s="1"/>
  <c r="CD85" i="58" s="1"/>
  <c r="AE84" i="58"/>
  <c r="CN84" i="58" s="1"/>
  <c r="CD84" i="58" s="1"/>
  <c r="AE83" i="58"/>
  <c r="CN83" i="58" s="1"/>
  <c r="CD83" i="58" s="1"/>
  <c r="AE82" i="58"/>
  <c r="CN82" i="58" s="1"/>
  <c r="CD82" i="58" s="1"/>
  <c r="AE81" i="58"/>
  <c r="CN81" i="58" s="1"/>
  <c r="CD81" i="58" s="1"/>
  <c r="AE80" i="58"/>
  <c r="CN80" i="58" s="1"/>
  <c r="CD80" i="58" s="1"/>
  <c r="AE79" i="58"/>
  <c r="CN79" i="58" s="1"/>
  <c r="CD79" i="58" s="1"/>
  <c r="AE78" i="58"/>
  <c r="CN78" i="58" s="1"/>
  <c r="CD78" i="58" s="1"/>
  <c r="AE77" i="58"/>
  <c r="CN77" i="58" s="1"/>
  <c r="CD77" i="58" s="1"/>
  <c r="AE76" i="58"/>
  <c r="CN76" i="58" s="1"/>
  <c r="CD76" i="58" s="1"/>
  <c r="AE75" i="58"/>
  <c r="CN75" i="58" s="1"/>
  <c r="CD75" i="58" s="1"/>
  <c r="AE74" i="58"/>
  <c r="CN74" i="58" s="1"/>
  <c r="CD74" i="58" s="1"/>
  <c r="AE73" i="58"/>
  <c r="CN73" i="58" s="1"/>
  <c r="CD73" i="58" s="1"/>
  <c r="AE72" i="58"/>
  <c r="CN72" i="58" s="1"/>
  <c r="CD72" i="58" s="1"/>
  <c r="AE71" i="58"/>
  <c r="CN71" i="58" s="1"/>
  <c r="CD71" i="58" s="1"/>
  <c r="AE70" i="58"/>
  <c r="CN70" i="58" s="1"/>
  <c r="CD70" i="58" s="1"/>
  <c r="AE69" i="58"/>
  <c r="CN69" i="58" s="1"/>
  <c r="CD69" i="58" s="1"/>
  <c r="AE68" i="58"/>
  <c r="CN68" i="58" s="1"/>
  <c r="CD68" i="58" s="1"/>
  <c r="AE67" i="58"/>
  <c r="CN67" i="58" s="1"/>
  <c r="CD67" i="58" s="1"/>
  <c r="AE66" i="58"/>
  <c r="CN66" i="58" s="1"/>
  <c r="CD66" i="58" s="1"/>
  <c r="AE65" i="58"/>
  <c r="CN65" i="58" s="1"/>
  <c r="CD65" i="58" s="1"/>
  <c r="AE64" i="58"/>
  <c r="CN64" i="58" s="1"/>
  <c r="CD64" i="58" s="1"/>
  <c r="AE63" i="58"/>
  <c r="CN63" i="58" s="1"/>
  <c r="CD63" i="58" s="1"/>
  <c r="AE62" i="58"/>
  <c r="CN62" i="58" s="1"/>
  <c r="CD62" i="58" s="1"/>
  <c r="AE61" i="58"/>
  <c r="CN61" i="58" s="1"/>
  <c r="CD61" i="58" s="1"/>
  <c r="AE60" i="58"/>
  <c r="CN60" i="58" s="1"/>
  <c r="CD60" i="58" s="1"/>
  <c r="AE59" i="58"/>
  <c r="CN59" i="58" s="1"/>
  <c r="CD59" i="58" s="1"/>
  <c r="AE58" i="58"/>
  <c r="CN58" i="58" s="1"/>
  <c r="CD58" i="58" s="1"/>
  <c r="AE57" i="58"/>
  <c r="CN57" i="58" s="1"/>
  <c r="CD57" i="58" s="1"/>
  <c r="AE56" i="58"/>
  <c r="CN56" i="58" s="1"/>
  <c r="CD56" i="58" s="1"/>
  <c r="AE55" i="58"/>
  <c r="CN55" i="58" s="1"/>
  <c r="CD55" i="58" s="1"/>
  <c r="AE54" i="58"/>
  <c r="CN54" i="58" s="1"/>
  <c r="CD54" i="58" s="1"/>
  <c r="AE53" i="58"/>
  <c r="CN53" i="58" s="1"/>
  <c r="CD53" i="58" s="1"/>
  <c r="AE52" i="58"/>
  <c r="CN52" i="58" s="1"/>
  <c r="CD52" i="58" s="1"/>
  <c r="AE51" i="58"/>
  <c r="CN51" i="58" s="1"/>
  <c r="CD51" i="58" s="1"/>
  <c r="AE50" i="58"/>
  <c r="CN50" i="58" s="1"/>
  <c r="CD50" i="58" s="1"/>
  <c r="AE49" i="58"/>
  <c r="CN49" i="58" s="1"/>
  <c r="CD49" i="58" s="1"/>
  <c r="AE48" i="58"/>
  <c r="CN48" i="58" s="1"/>
  <c r="CD48" i="58" s="1"/>
  <c r="AE47" i="58"/>
  <c r="CN47" i="58" s="1"/>
  <c r="CD47" i="58" s="1"/>
  <c r="AE46" i="58"/>
  <c r="CN46" i="58" s="1"/>
  <c r="CD46" i="58" s="1"/>
  <c r="AE45" i="58"/>
  <c r="CN45" i="58" s="1"/>
  <c r="CD45" i="58" s="1"/>
  <c r="AE44" i="58"/>
  <c r="CN44" i="58" s="1"/>
  <c r="CD44" i="58" s="1"/>
  <c r="AE43" i="58"/>
  <c r="CN43" i="58" s="1"/>
  <c r="CD43" i="58" s="1"/>
  <c r="AE42" i="58"/>
  <c r="CN42" i="58" s="1"/>
  <c r="CD42" i="58" s="1"/>
  <c r="AE41" i="58"/>
  <c r="CN41" i="58" s="1"/>
  <c r="CD41" i="58" s="1"/>
  <c r="AE40" i="58"/>
  <c r="CN40" i="58" s="1"/>
  <c r="CD40" i="58" s="1"/>
  <c r="AE39" i="58"/>
  <c r="CN39" i="58" s="1"/>
  <c r="CD39" i="58" s="1"/>
  <c r="AE38" i="58"/>
  <c r="CN38" i="58" s="1"/>
  <c r="CD38" i="58" s="1"/>
  <c r="AE37" i="58"/>
  <c r="Z96" i="58"/>
  <c r="CM96" i="58" s="1"/>
  <c r="CC96" i="58" s="1"/>
  <c r="Z95" i="58"/>
  <c r="CM95" i="58" s="1"/>
  <c r="CC95" i="58" s="1"/>
  <c r="Z94" i="58"/>
  <c r="CM94" i="58" s="1"/>
  <c r="CC94" i="58" s="1"/>
  <c r="Z93" i="58"/>
  <c r="CM93" i="58" s="1"/>
  <c r="CC93" i="58" s="1"/>
  <c r="Z92" i="58"/>
  <c r="CM92" i="58" s="1"/>
  <c r="CC92" i="58" s="1"/>
  <c r="Z91" i="58"/>
  <c r="CM91" i="58" s="1"/>
  <c r="CC91" i="58" s="1"/>
  <c r="Z90" i="58"/>
  <c r="CM90" i="58" s="1"/>
  <c r="CC90" i="58" s="1"/>
  <c r="Z89" i="58"/>
  <c r="CM89" i="58" s="1"/>
  <c r="CC89" i="58" s="1"/>
  <c r="Z88" i="58"/>
  <c r="CM88" i="58" s="1"/>
  <c r="CC88" i="58" s="1"/>
  <c r="Z87" i="58"/>
  <c r="CM87" i="58" s="1"/>
  <c r="CC87" i="58" s="1"/>
  <c r="Z86" i="58"/>
  <c r="CM86" i="58" s="1"/>
  <c r="CC86" i="58" s="1"/>
  <c r="Z85" i="58"/>
  <c r="CM85" i="58" s="1"/>
  <c r="CC85" i="58" s="1"/>
  <c r="Z84" i="58"/>
  <c r="CM84" i="58" s="1"/>
  <c r="CC84" i="58" s="1"/>
  <c r="Z83" i="58"/>
  <c r="CM83" i="58" s="1"/>
  <c r="CC83" i="58" s="1"/>
  <c r="Z82" i="58"/>
  <c r="CM82" i="58" s="1"/>
  <c r="CC82" i="58" s="1"/>
  <c r="Z81" i="58"/>
  <c r="CM81" i="58" s="1"/>
  <c r="CC81" i="58" s="1"/>
  <c r="Z80" i="58"/>
  <c r="CM80" i="58" s="1"/>
  <c r="CC80" i="58" s="1"/>
  <c r="Z79" i="58"/>
  <c r="CM79" i="58" s="1"/>
  <c r="CC79" i="58" s="1"/>
  <c r="Z78" i="58"/>
  <c r="CM78" i="58" s="1"/>
  <c r="CC78" i="58" s="1"/>
  <c r="Z77" i="58"/>
  <c r="CM77" i="58" s="1"/>
  <c r="CC77" i="58" s="1"/>
  <c r="Z76" i="58"/>
  <c r="CM76" i="58" s="1"/>
  <c r="CC76" i="58" s="1"/>
  <c r="Z75" i="58"/>
  <c r="CM75" i="58" s="1"/>
  <c r="CC75" i="58" s="1"/>
  <c r="Z74" i="58"/>
  <c r="CM74" i="58" s="1"/>
  <c r="CC74" i="58" s="1"/>
  <c r="Z73" i="58"/>
  <c r="CM73" i="58" s="1"/>
  <c r="CC73" i="58" s="1"/>
  <c r="Z72" i="58"/>
  <c r="CM72" i="58" s="1"/>
  <c r="CC72" i="58" s="1"/>
  <c r="Z71" i="58"/>
  <c r="CM71" i="58" s="1"/>
  <c r="CC71" i="58" s="1"/>
  <c r="Z70" i="58"/>
  <c r="CM70" i="58" s="1"/>
  <c r="CC70" i="58" s="1"/>
  <c r="Z69" i="58"/>
  <c r="CM69" i="58" s="1"/>
  <c r="CC69" i="58" s="1"/>
  <c r="Z68" i="58"/>
  <c r="CM68" i="58" s="1"/>
  <c r="CC68" i="58" s="1"/>
  <c r="Z67" i="58"/>
  <c r="CM67" i="58" s="1"/>
  <c r="CC67" i="58" s="1"/>
  <c r="Z66" i="58"/>
  <c r="CM66" i="58" s="1"/>
  <c r="CC66" i="58" s="1"/>
  <c r="Z65" i="58"/>
  <c r="CM65" i="58" s="1"/>
  <c r="CC65" i="58" s="1"/>
  <c r="Z64" i="58"/>
  <c r="CM64" i="58" s="1"/>
  <c r="CC64" i="58" s="1"/>
  <c r="Z63" i="58"/>
  <c r="CM63" i="58" s="1"/>
  <c r="CC63" i="58" s="1"/>
  <c r="Z62" i="58"/>
  <c r="CM62" i="58" s="1"/>
  <c r="CC62" i="58" s="1"/>
  <c r="Z61" i="58"/>
  <c r="CM61" i="58" s="1"/>
  <c r="CC61" i="58" s="1"/>
  <c r="Z60" i="58"/>
  <c r="CM60" i="58" s="1"/>
  <c r="CC60" i="58" s="1"/>
  <c r="Z59" i="58"/>
  <c r="CM59" i="58" s="1"/>
  <c r="CC59" i="58" s="1"/>
  <c r="Z58" i="58"/>
  <c r="CM58" i="58" s="1"/>
  <c r="CC58" i="58" s="1"/>
  <c r="Z57" i="58"/>
  <c r="CM57" i="58" s="1"/>
  <c r="CC57" i="58" s="1"/>
  <c r="Z56" i="58"/>
  <c r="CM56" i="58" s="1"/>
  <c r="CC56" i="58" s="1"/>
  <c r="Z55" i="58"/>
  <c r="CM55" i="58" s="1"/>
  <c r="CC55" i="58" s="1"/>
  <c r="Z54" i="58"/>
  <c r="CM54" i="58" s="1"/>
  <c r="CC54" i="58" s="1"/>
  <c r="Z53" i="58"/>
  <c r="CM53" i="58" s="1"/>
  <c r="CC53" i="58" s="1"/>
  <c r="Z52" i="58"/>
  <c r="CM52" i="58" s="1"/>
  <c r="CC52" i="58" s="1"/>
  <c r="Z51" i="58"/>
  <c r="CM51" i="58" s="1"/>
  <c r="CC51" i="58" s="1"/>
  <c r="Z50" i="58"/>
  <c r="CM50" i="58" s="1"/>
  <c r="CC50" i="58" s="1"/>
  <c r="Z49" i="58"/>
  <c r="CM49" i="58" s="1"/>
  <c r="CC49" i="58" s="1"/>
  <c r="Z48" i="58"/>
  <c r="CM48" i="58" s="1"/>
  <c r="CC48" i="58" s="1"/>
  <c r="Z47" i="58"/>
  <c r="CM47" i="58" s="1"/>
  <c r="CC47" i="58" s="1"/>
  <c r="Z46" i="58"/>
  <c r="CM46" i="58" s="1"/>
  <c r="CC46" i="58" s="1"/>
  <c r="Z45" i="58"/>
  <c r="CM45" i="58" s="1"/>
  <c r="CC45" i="58" s="1"/>
  <c r="Z44" i="58"/>
  <c r="CM44" i="58" s="1"/>
  <c r="CC44" i="58" s="1"/>
  <c r="Z43" i="58"/>
  <c r="CM43" i="58" s="1"/>
  <c r="CC43" i="58" s="1"/>
  <c r="Z42" i="58"/>
  <c r="CM42" i="58" s="1"/>
  <c r="CC42" i="58" s="1"/>
  <c r="Z41" i="58"/>
  <c r="CM41" i="58" s="1"/>
  <c r="CC41" i="58" s="1"/>
  <c r="Z40" i="58"/>
  <c r="CM40" i="58" s="1"/>
  <c r="CC40" i="58" s="1"/>
  <c r="Z39" i="58"/>
  <c r="CM39" i="58" s="1"/>
  <c r="CC39" i="58" s="1"/>
  <c r="Z38" i="58"/>
  <c r="CM38" i="58" s="1"/>
  <c r="CC38" i="58" s="1"/>
  <c r="Z37" i="58"/>
  <c r="CM37" i="58" s="1"/>
  <c r="C97" i="58"/>
  <c r="D97" i="58"/>
  <c r="E27" i="58"/>
  <c r="C201" i="58"/>
  <c r="C202" i="58"/>
  <c r="B214" i="58"/>
  <c r="B226" i="58"/>
  <c r="CG150" i="31"/>
  <c r="CA150" i="31" s="1"/>
  <c r="Q150" i="31" s="1"/>
  <c r="CG149" i="31"/>
  <c r="CA149" i="31" s="1"/>
  <c r="Q149" i="31" s="1"/>
  <c r="CG148" i="31"/>
  <c r="CA148" i="31" s="1"/>
  <c r="Q148" i="31" s="1"/>
  <c r="CG147" i="31"/>
  <c r="CA147" i="31" s="1"/>
  <c r="Q147" i="31" s="1"/>
  <c r="CG146" i="31"/>
  <c r="CA146" i="31" s="1"/>
  <c r="Q146" i="31" s="1"/>
  <c r="CG145" i="31"/>
  <c r="CA145" i="31" s="1"/>
  <c r="Q145" i="31" s="1"/>
  <c r="CG144" i="31"/>
  <c r="CA144" i="31" s="1"/>
  <c r="Q144" i="31" s="1"/>
  <c r="CG143" i="31"/>
  <c r="CA143" i="31" s="1"/>
  <c r="Q143" i="31" s="1"/>
  <c r="CG142" i="31"/>
  <c r="CA142" i="31" s="1"/>
  <c r="Q142" i="31" s="1"/>
  <c r="CG141" i="31"/>
  <c r="CA141" i="31" s="1"/>
  <c r="Q141" i="31" s="1"/>
  <c r="CG140" i="31"/>
  <c r="CA140" i="31" s="1"/>
  <c r="Q140" i="31" s="1"/>
  <c r="E89" i="59"/>
  <c r="E88" i="59"/>
  <c r="E87" i="59"/>
  <c r="E86" i="59"/>
  <c r="E85" i="59"/>
  <c r="E84" i="59"/>
  <c r="E83" i="59"/>
  <c r="E82" i="59"/>
  <c r="E81" i="59"/>
  <c r="E80" i="59"/>
  <c r="E79" i="59"/>
  <c r="E78" i="59"/>
  <c r="E77" i="59"/>
  <c r="E76" i="59"/>
  <c r="E75" i="59"/>
  <c r="E74" i="59"/>
  <c r="E73" i="59"/>
  <c r="E72" i="59"/>
  <c r="E71" i="59"/>
  <c r="E70" i="59"/>
  <c r="E69" i="59"/>
  <c r="E68" i="59"/>
  <c r="E67" i="59"/>
  <c r="E66" i="59"/>
  <c r="E65" i="59"/>
  <c r="E64" i="59"/>
  <c r="E63" i="59"/>
  <c r="D63" i="59"/>
  <c r="D89" i="59"/>
  <c r="D88" i="59"/>
  <c r="D87" i="59"/>
  <c r="D86" i="59"/>
  <c r="D85" i="59"/>
  <c r="D84" i="59"/>
  <c r="D83" i="59"/>
  <c r="D82" i="59"/>
  <c r="D81" i="59"/>
  <c r="D80" i="59"/>
  <c r="D79" i="59"/>
  <c r="D78" i="59"/>
  <c r="D77" i="59"/>
  <c r="D76" i="59"/>
  <c r="D75" i="59"/>
  <c r="D74" i="59"/>
  <c r="D73" i="59"/>
  <c r="D72" i="59"/>
  <c r="D71" i="59"/>
  <c r="D70" i="59"/>
  <c r="D69" i="59"/>
  <c r="D68" i="59"/>
  <c r="D67" i="59"/>
  <c r="D66" i="59"/>
  <c r="D65" i="59"/>
  <c r="D64" i="59"/>
  <c r="D57" i="59"/>
  <c r="D56" i="59"/>
  <c r="D55" i="59"/>
  <c r="D54" i="59"/>
  <c r="D53" i="59"/>
  <c r="D52" i="59"/>
  <c r="D51" i="59"/>
  <c r="D50" i="59"/>
  <c r="D49" i="59"/>
  <c r="D48" i="59"/>
  <c r="D47" i="59"/>
  <c r="D46" i="59"/>
  <c r="C57" i="59"/>
  <c r="C56" i="59"/>
  <c r="B56" i="59" s="1"/>
  <c r="CJ56" i="59" s="1"/>
  <c r="CA56" i="59" s="1"/>
  <c r="AX56" i="59" s="1"/>
  <c r="C55" i="59"/>
  <c r="C54" i="59"/>
  <c r="C53" i="59"/>
  <c r="C52" i="59"/>
  <c r="C51" i="59"/>
  <c r="C50" i="59"/>
  <c r="C49" i="59"/>
  <c r="B49" i="59" s="1"/>
  <c r="CJ49" i="59" s="1"/>
  <c r="CA49" i="59" s="1"/>
  <c r="AX49" i="59" s="1"/>
  <c r="C48" i="59"/>
  <c r="B48" i="59" s="1"/>
  <c r="CJ48" i="59" s="1"/>
  <c r="CA48" i="59" s="1"/>
  <c r="AX48" i="59" s="1"/>
  <c r="C47" i="59"/>
  <c r="C46" i="59"/>
  <c r="E41" i="59"/>
  <c r="D41" i="59"/>
  <c r="E40" i="59"/>
  <c r="D40" i="59"/>
  <c r="E39" i="59"/>
  <c r="D39" i="59"/>
  <c r="E38" i="59"/>
  <c r="D38" i="59"/>
  <c r="E37" i="59"/>
  <c r="D37" i="59"/>
  <c r="E36" i="59"/>
  <c r="D36" i="59"/>
  <c r="E35" i="59"/>
  <c r="D35" i="59"/>
  <c r="E34" i="59"/>
  <c r="D34" i="59"/>
  <c r="E33" i="59"/>
  <c r="D33" i="59"/>
  <c r="E32" i="59"/>
  <c r="D32" i="59"/>
  <c r="E31" i="59"/>
  <c r="D31" i="59"/>
  <c r="E30" i="59"/>
  <c r="D30" i="59"/>
  <c r="E29" i="59"/>
  <c r="D29" i="59"/>
  <c r="E28" i="59"/>
  <c r="D28" i="59"/>
  <c r="E27" i="59"/>
  <c r="D27" i="59"/>
  <c r="E26" i="59"/>
  <c r="D26" i="59"/>
  <c r="E25" i="59"/>
  <c r="D25" i="59"/>
  <c r="E24" i="59"/>
  <c r="D24" i="59"/>
  <c r="E23" i="59"/>
  <c r="D23" i="59"/>
  <c r="E22" i="59"/>
  <c r="D22" i="59"/>
  <c r="E21" i="59"/>
  <c r="D21" i="59"/>
  <c r="E20" i="59"/>
  <c r="D20" i="59"/>
  <c r="E19" i="59"/>
  <c r="D19" i="59"/>
  <c r="E18" i="59"/>
  <c r="D18" i="59"/>
  <c r="E17" i="59"/>
  <c r="D17" i="59"/>
  <c r="E16" i="59"/>
  <c r="E244" i="45"/>
  <c r="E243" i="45"/>
  <c r="E242" i="45"/>
  <c r="E241" i="45"/>
  <c r="E240" i="45"/>
  <c r="D244" i="45"/>
  <c r="D243" i="45"/>
  <c r="D242" i="45"/>
  <c r="D241" i="45"/>
  <c r="D240" i="45"/>
  <c r="C239" i="45"/>
  <c r="CQ61" i="44" l="1"/>
  <c r="CP61" i="44"/>
  <c r="CP62" i="44"/>
  <c r="CQ62" i="44"/>
  <c r="CQ58" i="44"/>
  <c r="CP58" i="44"/>
  <c r="B55" i="59"/>
  <c r="CJ55" i="59" s="1"/>
  <c r="CA55" i="59" s="1"/>
  <c r="AX55" i="59" s="1"/>
  <c r="C73" i="59"/>
  <c r="CC73" i="59" s="1"/>
  <c r="B54" i="59"/>
  <c r="CJ54" i="59" s="1"/>
  <c r="CA54" i="59" s="1"/>
  <c r="AX54" i="59" s="1"/>
  <c r="B47" i="59"/>
  <c r="CA47" i="59" s="1"/>
  <c r="DA153" i="8"/>
  <c r="CA153" i="8" s="1"/>
  <c r="DB153" i="8"/>
  <c r="CB153" i="8" s="1"/>
  <c r="DC153" i="8"/>
  <c r="CC153" i="8" s="1"/>
  <c r="DD153" i="8"/>
  <c r="CD153" i="8" s="1"/>
  <c r="DA154" i="8"/>
  <c r="CA154" i="8" s="1"/>
  <c r="DB154" i="8"/>
  <c r="CB154" i="8" s="1"/>
  <c r="DD154" i="8"/>
  <c r="CD154" i="8" s="1"/>
  <c r="DC154" i="8"/>
  <c r="CC154" i="8" s="1"/>
  <c r="B50" i="59"/>
  <c r="CJ50" i="59" s="1"/>
  <c r="CA50" i="59" s="1"/>
  <c r="AX50" i="59" s="1"/>
  <c r="DD139" i="8"/>
  <c r="DC139" i="8"/>
  <c r="CC139" i="8" s="1"/>
  <c r="DA139" i="8"/>
  <c r="CA139" i="8" s="1"/>
  <c r="DB139" i="8"/>
  <c r="B46" i="59"/>
  <c r="CA46" i="59" s="1"/>
  <c r="B53" i="59"/>
  <c r="CJ53" i="59" s="1"/>
  <c r="CA53" i="59" s="1"/>
  <c r="AX53" i="59" s="1"/>
  <c r="C79" i="59"/>
  <c r="CC79" i="59" s="1"/>
  <c r="B51" i="59"/>
  <c r="CJ51" i="59" s="1"/>
  <c r="CA51" i="59" s="1"/>
  <c r="AX51" i="59" s="1"/>
  <c r="C85" i="59"/>
  <c r="CC85" i="59" s="1"/>
  <c r="B52" i="59"/>
  <c r="CJ52" i="59" s="1"/>
  <c r="CA52" i="59" s="1"/>
  <c r="AX52" i="59" s="1"/>
  <c r="C21" i="59"/>
  <c r="CC21" i="59" s="1"/>
  <c r="C27" i="59"/>
  <c r="CC27" i="59" s="1"/>
  <c r="C33" i="59"/>
  <c r="CC33" i="59" s="1"/>
  <c r="C39" i="59"/>
  <c r="CC39" i="59" s="1"/>
  <c r="C68" i="59"/>
  <c r="CC68" i="59" s="1"/>
  <c r="C74" i="59"/>
  <c r="CC74" i="59" s="1"/>
  <c r="C80" i="59"/>
  <c r="CC80" i="59" s="1"/>
  <c r="C86" i="59"/>
  <c r="CC86" i="59" s="1"/>
  <c r="C69" i="59"/>
  <c r="CC69" i="59" s="1"/>
  <c r="C81" i="59"/>
  <c r="CC81" i="59" s="1"/>
  <c r="C87" i="59"/>
  <c r="CC87" i="59" s="1"/>
  <c r="C66" i="59"/>
  <c r="CC66" i="59" s="1"/>
  <c r="C72" i="59"/>
  <c r="CC72" i="59" s="1"/>
  <c r="C78" i="59"/>
  <c r="CC78" i="59" s="1"/>
  <c r="C84" i="59"/>
  <c r="CC84" i="59" s="1"/>
  <c r="B57" i="59"/>
  <c r="CJ57" i="59" s="1"/>
  <c r="CA57" i="59" s="1"/>
  <c r="AX57" i="59" s="1"/>
  <c r="C17" i="59"/>
  <c r="CC17" i="59" s="1"/>
  <c r="C23" i="59"/>
  <c r="CC23" i="59" s="1"/>
  <c r="C29" i="59"/>
  <c r="CC29" i="59" s="1"/>
  <c r="C35" i="59"/>
  <c r="CC35" i="59" s="1"/>
  <c r="C64" i="59"/>
  <c r="CC64" i="59" s="1"/>
  <c r="C70" i="59"/>
  <c r="CC70" i="59" s="1"/>
  <c r="C76" i="59"/>
  <c r="CC76" i="59" s="1"/>
  <c r="C82" i="59"/>
  <c r="CC82" i="59" s="1"/>
  <c r="C88" i="59"/>
  <c r="CC88" i="59" s="1"/>
  <c r="C65" i="59"/>
  <c r="CC65" i="59" s="1"/>
  <c r="C71" i="59"/>
  <c r="CC71" i="59" s="1"/>
  <c r="C77" i="59"/>
  <c r="CC77" i="59" s="1"/>
  <c r="S108" i="50"/>
  <c r="C19" i="59"/>
  <c r="CC19" i="59" s="1"/>
  <c r="C25" i="59"/>
  <c r="CC25" i="59" s="1"/>
  <c r="C31" i="59"/>
  <c r="CC31" i="59" s="1"/>
  <c r="C37" i="59"/>
  <c r="CC37" i="59" s="1"/>
  <c r="AI191" i="31"/>
  <c r="C26" i="59"/>
  <c r="CC26" i="59" s="1"/>
  <c r="C89" i="59"/>
  <c r="CC89" i="59" s="1"/>
  <c r="CB62" i="44"/>
  <c r="CA62" i="44"/>
  <c r="CB61" i="44"/>
  <c r="CA61" i="44"/>
  <c r="CB58" i="44"/>
  <c r="CA58" i="44"/>
  <c r="O108" i="50"/>
  <c r="R108" i="50"/>
  <c r="C41" i="59"/>
  <c r="CC41" i="59" s="1"/>
  <c r="Q108" i="50"/>
  <c r="C18" i="59"/>
  <c r="CC18" i="59" s="1"/>
  <c r="C34" i="59"/>
  <c r="CC34" i="59" s="1"/>
  <c r="P108" i="50"/>
  <c r="N108" i="50"/>
  <c r="C63" i="59"/>
  <c r="CC63" i="59" s="1"/>
  <c r="CK27" i="59"/>
  <c r="CB27" i="59" s="1"/>
  <c r="CJ27" i="59"/>
  <c r="CA27" i="59" s="1"/>
  <c r="CK81" i="59"/>
  <c r="CB81" i="59" s="1"/>
  <c r="P17" i="50"/>
  <c r="C16" i="59"/>
  <c r="CC16" i="59" s="1"/>
  <c r="C20" i="59"/>
  <c r="CC20" i="59" s="1"/>
  <c r="C22" i="59"/>
  <c r="CC22" i="59" s="1"/>
  <c r="C24" i="59"/>
  <c r="CC24" i="59" s="1"/>
  <c r="C28" i="59"/>
  <c r="CC28" i="59" s="1"/>
  <c r="C30" i="59"/>
  <c r="CC30" i="59" s="1"/>
  <c r="C32" i="59"/>
  <c r="CC32" i="59" s="1"/>
  <c r="C36" i="59"/>
  <c r="CC36" i="59" s="1"/>
  <c r="C38" i="59"/>
  <c r="CC38" i="59" s="1"/>
  <c r="C40" i="59"/>
  <c r="CC40" i="59" s="1"/>
  <c r="C67" i="59"/>
  <c r="CC67" i="59" s="1"/>
  <c r="C75" i="59"/>
  <c r="CC75" i="59" s="1"/>
  <c r="C83" i="59"/>
  <c r="CC83" i="59" s="1"/>
  <c r="N17" i="50"/>
  <c r="O17" i="50"/>
  <c r="CQ37" i="58"/>
  <c r="CG37" i="58" s="1"/>
  <c r="CR37" i="58"/>
  <c r="CH37" i="58" s="1"/>
  <c r="CM31" i="58"/>
  <c r="CC31" i="58" s="1"/>
  <c r="CL31" i="58"/>
  <c r="CB31" i="58" s="1"/>
  <c r="C240" i="45"/>
  <c r="C238" i="45"/>
  <c r="C253" i="45"/>
  <c r="C255" i="45"/>
  <c r="C257" i="45"/>
  <c r="C254" i="45"/>
  <c r="C241" i="45"/>
  <c r="C244" i="45"/>
  <c r="C243" i="45"/>
  <c r="C242" i="45"/>
  <c r="C252" i="45"/>
  <c r="C256" i="45"/>
  <c r="E61" i="55"/>
  <c r="E60" i="55"/>
  <c r="E59" i="55"/>
  <c r="E58" i="55"/>
  <c r="E56" i="55"/>
  <c r="E55" i="55"/>
  <c r="E54" i="55"/>
  <c r="E53" i="55"/>
  <c r="E51" i="55"/>
  <c r="E50" i="55"/>
  <c r="E49" i="55"/>
  <c r="E48" i="55"/>
  <c r="E47" i="55"/>
  <c r="E46" i="55"/>
  <c r="E44" i="55"/>
  <c r="E43" i="55"/>
  <c r="E42" i="55"/>
  <c r="E41" i="55"/>
  <c r="E40" i="55"/>
  <c r="E39" i="55"/>
  <c r="E38" i="55"/>
  <c r="E37" i="55"/>
  <c r="E36" i="55"/>
  <c r="E35" i="55"/>
  <c r="E34" i="55"/>
  <c r="E33" i="55"/>
  <c r="B203" i="55"/>
  <c r="CJ80" i="59" l="1"/>
  <c r="CA80" i="59" s="1"/>
  <c r="CJ81" i="59"/>
  <c r="CA81" i="59" s="1"/>
  <c r="V153" i="8"/>
  <c r="CK21" i="59"/>
  <c r="CB21" i="59" s="1"/>
  <c r="CJ88" i="59"/>
  <c r="CA88" i="59" s="1"/>
  <c r="CJ73" i="59"/>
  <c r="CA73" i="59" s="1"/>
  <c r="AP73" i="59" s="1"/>
  <c r="CK73" i="59"/>
  <c r="CB73" i="59" s="1"/>
  <c r="CJ79" i="59"/>
  <c r="CA79" i="59" s="1"/>
  <c r="CK79" i="59"/>
  <c r="CB79" i="59" s="1"/>
  <c r="CJ69" i="59"/>
  <c r="CA69" i="59" s="1"/>
  <c r="CJ21" i="59"/>
  <c r="CA21" i="59" s="1"/>
  <c r="AP21" i="59" s="1"/>
  <c r="CK68" i="59"/>
  <c r="CB68" i="59" s="1"/>
  <c r="CJ78" i="59"/>
  <c r="CA78" i="59" s="1"/>
  <c r="CK78" i="59"/>
  <c r="CB78" i="59" s="1"/>
  <c r="CJ68" i="59"/>
  <c r="CA68" i="59" s="1"/>
  <c r="V154" i="8"/>
  <c r="CK88" i="59"/>
  <c r="CB88" i="59" s="1"/>
  <c r="AP88" i="59" s="1"/>
  <c r="CK72" i="59"/>
  <c r="CB72" i="59" s="1"/>
  <c r="CJ72" i="59"/>
  <c r="CA72" i="59" s="1"/>
  <c r="CJ35" i="59"/>
  <c r="CA35" i="59" s="1"/>
  <c r="CK86" i="59"/>
  <c r="CB86" i="59" s="1"/>
  <c r="CJ17" i="59"/>
  <c r="CA17" i="59" s="1"/>
  <c r="CK17" i="59"/>
  <c r="CB17" i="59" s="1"/>
  <c r="CJ76" i="59"/>
  <c r="CA76" i="59" s="1"/>
  <c r="CK25" i="59"/>
  <c r="CB25" i="59" s="1"/>
  <c r="CJ85" i="59"/>
  <c r="CA85" i="59" s="1"/>
  <c r="CK85" i="59"/>
  <c r="CB85" i="59" s="1"/>
  <c r="CK80" i="59"/>
  <c r="CB80" i="59" s="1"/>
  <c r="AP80" i="59" s="1"/>
  <c r="CJ87" i="59"/>
  <c r="CA87" i="59" s="1"/>
  <c r="CK31" i="59"/>
  <c r="CB31" i="59" s="1"/>
  <c r="CK35" i="59"/>
  <c r="CB35" i="59" s="1"/>
  <c r="CK87" i="59"/>
  <c r="CB87" i="59" s="1"/>
  <c r="CJ86" i="59"/>
  <c r="CA86" i="59" s="1"/>
  <c r="CK29" i="59"/>
  <c r="CB29" i="59" s="1"/>
  <c r="CJ39" i="59"/>
  <c r="CA39" i="59" s="1"/>
  <c r="CJ33" i="59"/>
  <c r="CA33" i="59" s="1"/>
  <c r="CK26" i="59"/>
  <c r="CB26" i="59" s="1"/>
  <c r="CJ25" i="59"/>
  <c r="CA25" i="59" s="1"/>
  <c r="CJ29" i="59"/>
  <c r="CA29" i="59" s="1"/>
  <c r="CK82" i="59"/>
  <c r="CB82" i="59" s="1"/>
  <c r="CJ89" i="59"/>
  <c r="CA89" i="59" s="1"/>
  <c r="CJ82" i="59"/>
  <c r="CA82" i="59" s="1"/>
  <c r="CK89" i="59"/>
  <c r="CB89" i="59" s="1"/>
  <c r="CJ19" i="59"/>
  <c r="CA19" i="59" s="1"/>
  <c r="CK74" i="59"/>
  <c r="CB74" i="59" s="1"/>
  <c r="CJ74" i="59"/>
  <c r="CA74" i="59" s="1"/>
  <c r="CK19" i="59"/>
  <c r="CB19" i="59" s="1"/>
  <c r="CJ23" i="59"/>
  <c r="CA23" i="59" s="1"/>
  <c r="CK69" i="59"/>
  <c r="CB69" i="59" s="1"/>
  <c r="CK33" i="59"/>
  <c r="CB33" i="59" s="1"/>
  <c r="CK34" i="59"/>
  <c r="CB34" i="59" s="1"/>
  <c r="CK66" i="59"/>
  <c r="CB66" i="59" s="1"/>
  <c r="CK23" i="59"/>
  <c r="CB23" i="59" s="1"/>
  <c r="CJ34" i="59"/>
  <c r="CA34" i="59" s="1"/>
  <c r="CJ66" i="59"/>
  <c r="CA66" i="59" s="1"/>
  <c r="CJ77" i="59"/>
  <c r="CA77" i="59" s="1"/>
  <c r="CK39" i="59"/>
  <c r="CB39" i="59" s="1"/>
  <c r="CK18" i="59"/>
  <c r="CB18" i="59" s="1"/>
  <c r="CK77" i="59"/>
  <c r="CB77" i="59" s="1"/>
  <c r="CJ70" i="59"/>
  <c r="CA70" i="59" s="1"/>
  <c r="CK84" i="59"/>
  <c r="CB84" i="59" s="1"/>
  <c r="CK70" i="59"/>
  <c r="CB70" i="59" s="1"/>
  <c r="CJ84" i="59"/>
  <c r="CA84" i="59" s="1"/>
  <c r="CK76" i="59"/>
  <c r="CB76" i="59" s="1"/>
  <c r="CJ71" i="59"/>
  <c r="CA71" i="59" s="1"/>
  <c r="CK71" i="59"/>
  <c r="CB71" i="59" s="1"/>
  <c r="CK64" i="59"/>
  <c r="CB64" i="59" s="1"/>
  <c r="AP78" i="59"/>
  <c r="AP81" i="59"/>
  <c r="CJ64" i="59"/>
  <c r="CA64" i="59" s="1"/>
  <c r="CJ37" i="59"/>
  <c r="CA37" i="59" s="1"/>
  <c r="CJ41" i="59"/>
  <c r="CA41" i="59" s="1"/>
  <c r="CK41" i="59"/>
  <c r="CB41" i="59" s="1"/>
  <c r="CK37" i="59"/>
  <c r="CB37" i="59" s="1"/>
  <c r="CJ65" i="59"/>
  <c r="CA65" i="59" s="1"/>
  <c r="CK65" i="59"/>
  <c r="CB65" i="59" s="1"/>
  <c r="CJ18" i="59"/>
  <c r="CA18" i="59" s="1"/>
  <c r="CJ26" i="59"/>
  <c r="CA26" i="59" s="1"/>
  <c r="AP26" i="59" s="1"/>
  <c r="AP27" i="59"/>
  <c r="CJ31" i="59"/>
  <c r="CA31" i="59" s="1"/>
  <c r="CK63" i="59"/>
  <c r="CB63" i="59" s="1"/>
  <c r="CJ63" i="59"/>
  <c r="CA63" i="59" s="1"/>
  <c r="CK83" i="59"/>
  <c r="CB83" i="59" s="1"/>
  <c r="CJ83" i="59"/>
  <c r="CA83" i="59" s="1"/>
  <c r="CK38" i="59"/>
  <c r="CB38" i="59" s="1"/>
  <c r="CJ38" i="59"/>
  <c r="CA38" i="59" s="1"/>
  <c r="CK28" i="59"/>
  <c r="CB28" i="59" s="1"/>
  <c r="CJ28" i="59"/>
  <c r="CA28" i="59" s="1"/>
  <c r="CK16" i="59"/>
  <c r="CB16" i="59" s="1"/>
  <c r="CJ16" i="59"/>
  <c r="CA16" i="59" s="1"/>
  <c r="CK75" i="59"/>
  <c r="CB75" i="59" s="1"/>
  <c r="CJ75" i="59"/>
  <c r="CA75" i="59" s="1"/>
  <c r="CK36" i="59"/>
  <c r="CB36" i="59" s="1"/>
  <c r="CJ36" i="59"/>
  <c r="CA36" i="59" s="1"/>
  <c r="CK24" i="59"/>
  <c r="CB24" i="59" s="1"/>
  <c r="CJ24" i="59"/>
  <c r="CA24" i="59" s="1"/>
  <c r="CK67" i="59"/>
  <c r="CB67" i="59" s="1"/>
  <c r="CJ67" i="59"/>
  <c r="CA67" i="59" s="1"/>
  <c r="CK32" i="59"/>
  <c r="CB32" i="59" s="1"/>
  <c r="CJ32" i="59"/>
  <c r="CA32" i="59" s="1"/>
  <c r="CK22" i="59"/>
  <c r="CB22" i="59" s="1"/>
  <c r="CJ22" i="59"/>
  <c r="CA22" i="59" s="1"/>
  <c r="CK40" i="59"/>
  <c r="CB40" i="59" s="1"/>
  <c r="CJ40" i="59"/>
  <c r="CA40" i="59" s="1"/>
  <c r="CJ30" i="59"/>
  <c r="CA30" i="59" s="1"/>
  <c r="CK30" i="59"/>
  <c r="CB30" i="59" s="1"/>
  <c r="CK20" i="59"/>
  <c r="CB20" i="59" s="1"/>
  <c r="CJ20" i="59"/>
  <c r="CA20" i="59" s="1"/>
  <c r="A140" i="59"/>
  <c r="F33" i="28" s="1"/>
  <c r="CK15" i="59"/>
  <c r="CB15" i="59" s="1"/>
  <c r="CJ15" i="59"/>
  <c r="C242" i="55"/>
  <c r="AD28" i="55"/>
  <c r="AC28" i="55"/>
  <c r="AA15" i="55"/>
  <c r="AB15" i="55"/>
  <c r="AP76" i="59" l="1"/>
  <c r="AP31" i="59"/>
  <c r="AP79" i="59"/>
  <c r="AP72" i="59"/>
  <c r="AP69" i="59"/>
  <c r="AP68" i="59"/>
  <c r="AP86" i="59"/>
  <c r="AP82" i="59"/>
  <c r="AP29" i="59"/>
  <c r="AP35" i="59"/>
  <c r="AP17" i="59"/>
  <c r="AP25" i="59"/>
  <c r="AP37" i="59"/>
  <c r="AP85" i="59"/>
  <c r="AP87" i="59"/>
  <c r="AP19" i="59"/>
  <c r="AP84" i="59"/>
  <c r="AP33" i="59"/>
  <c r="AP74" i="59"/>
  <c r="AP71" i="59"/>
  <c r="AP39" i="59"/>
  <c r="AP77" i="59"/>
  <c r="AP66" i="59"/>
  <c r="AP70" i="59"/>
  <c r="AP34" i="59"/>
  <c r="AP23" i="59"/>
  <c r="AP89" i="59"/>
  <c r="AP18" i="59"/>
  <c r="AP64" i="59"/>
  <c r="AP65" i="59"/>
  <c r="AP30" i="59"/>
  <c r="AP41" i="59"/>
  <c r="AP40" i="59"/>
  <c r="AP67" i="59"/>
  <c r="AP75" i="59"/>
  <c r="AP38" i="59"/>
  <c r="AP20" i="59"/>
  <c r="AP22" i="59"/>
  <c r="AP24" i="59"/>
  <c r="AP16" i="59"/>
  <c r="AP83" i="59"/>
  <c r="AP32" i="59"/>
  <c r="AP36" i="59"/>
  <c r="AP28" i="59"/>
  <c r="AP63" i="59"/>
  <c r="B140" i="59"/>
  <c r="D33" i="28" s="1"/>
  <c r="CA15" i="59"/>
  <c r="AP15" i="59" s="1"/>
  <c r="AV264" i="45"/>
  <c r="D262" i="45"/>
  <c r="I186" i="31"/>
  <c r="H186" i="31"/>
  <c r="G186" i="31"/>
  <c r="F186" i="31"/>
  <c r="E186" i="31"/>
  <c r="D185" i="31"/>
  <c r="D184" i="31"/>
  <c r="D183" i="31"/>
  <c r="D182" i="31"/>
  <c r="D181" i="31"/>
  <c r="D180" i="31"/>
  <c r="D179" i="31"/>
  <c r="D178" i="31"/>
  <c r="D177" i="31"/>
  <c r="D176" i="31"/>
  <c r="D175" i="31"/>
  <c r="D174" i="31"/>
  <c r="D173" i="31"/>
  <c r="D172" i="31"/>
  <c r="D171" i="31"/>
  <c r="D170" i="31"/>
  <c r="D169" i="31"/>
  <c r="D168" i="31"/>
  <c r="D167" i="31"/>
  <c r="D166" i="31"/>
  <c r="D165" i="31"/>
  <c r="D164" i="31"/>
  <c r="D163" i="31"/>
  <c r="D162" i="31"/>
  <c r="D161" i="31"/>
  <c r="D160" i="31"/>
  <c r="D159" i="31"/>
  <c r="D158" i="31"/>
  <c r="D157" i="31"/>
  <c r="D156" i="31"/>
  <c r="D155" i="31"/>
  <c r="C161" i="42"/>
  <c r="C160" i="42"/>
  <c r="C159" i="42"/>
  <c r="C158" i="42"/>
  <c r="C157" i="42"/>
  <c r="C156" i="42"/>
  <c r="C155" i="42"/>
  <c r="C154" i="42"/>
  <c r="C153" i="42"/>
  <c r="C152" i="42"/>
  <c r="C151" i="42"/>
  <c r="C150" i="42"/>
  <c r="C149" i="42"/>
  <c r="C148" i="42"/>
  <c r="C147" i="42"/>
  <c r="P383" i="39"/>
  <c r="O383" i="39"/>
  <c r="N383" i="39"/>
  <c r="M383" i="39"/>
  <c r="L383" i="39"/>
  <c r="K383" i="39"/>
  <c r="J383" i="39"/>
  <c r="I383" i="39"/>
  <c r="H383" i="39"/>
  <c r="G383" i="39"/>
  <c r="F383" i="39"/>
  <c r="E383" i="39"/>
  <c r="D383" i="39"/>
  <c r="C383" i="39"/>
  <c r="B382" i="39"/>
  <c r="B381" i="39"/>
  <c r="B380" i="39"/>
  <c r="B379" i="39"/>
  <c r="B378" i="39"/>
  <c r="AO373" i="39"/>
  <c r="AN373" i="39"/>
  <c r="AM373" i="39"/>
  <c r="AL373" i="39"/>
  <c r="AK373" i="39"/>
  <c r="AJ373" i="39"/>
  <c r="AI373" i="39"/>
  <c r="AH373" i="39"/>
  <c r="AG373" i="39"/>
  <c r="AF373" i="39"/>
  <c r="AE373" i="39"/>
  <c r="AD373" i="39"/>
  <c r="AC373" i="39"/>
  <c r="AB373" i="39"/>
  <c r="AA373" i="39"/>
  <c r="Z373" i="39"/>
  <c r="Y373" i="39"/>
  <c r="X373" i="39"/>
  <c r="W373" i="39"/>
  <c r="V373" i="39"/>
  <c r="U373" i="39"/>
  <c r="T373" i="39"/>
  <c r="S373" i="39"/>
  <c r="R373" i="39"/>
  <c r="Q373" i="39"/>
  <c r="P373" i="39"/>
  <c r="O373" i="39"/>
  <c r="N373" i="39"/>
  <c r="M373" i="39"/>
  <c r="L373" i="39"/>
  <c r="K373" i="39"/>
  <c r="J373" i="39"/>
  <c r="I373" i="39"/>
  <c r="H373" i="39"/>
  <c r="G373" i="39"/>
  <c r="F373" i="39"/>
  <c r="E372" i="39"/>
  <c r="D372" i="39"/>
  <c r="E371" i="39"/>
  <c r="D371" i="39"/>
  <c r="E370" i="39"/>
  <c r="D370" i="39"/>
  <c r="D186" i="31" l="1"/>
  <c r="D373" i="39"/>
  <c r="E373" i="39"/>
  <c r="C370" i="39"/>
  <c r="C372" i="39"/>
  <c r="B383" i="39"/>
  <c r="C371" i="39"/>
  <c r="C373" i="39" l="1"/>
  <c r="B84" i="38"/>
  <c r="B96" i="58"/>
  <c r="B95" i="58"/>
  <c r="B94" i="58"/>
  <c r="B93" i="58"/>
  <c r="B92" i="58"/>
  <c r="B91" i="58"/>
  <c r="B90" i="58"/>
  <c r="B89" i="58"/>
  <c r="B88" i="58"/>
  <c r="B87" i="58"/>
  <c r="B86" i="58"/>
  <c r="B85" i="58"/>
  <c r="B84" i="58"/>
  <c r="B83" i="58"/>
  <c r="B82" i="58"/>
  <c r="B81" i="58"/>
  <c r="B80" i="58"/>
  <c r="B79" i="58"/>
  <c r="B78" i="58"/>
  <c r="B77" i="58"/>
  <c r="B76" i="58"/>
  <c r="B75" i="58"/>
  <c r="B74" i="58"/>
  <c r="B73" i="58"/>
  <c r="B72" i="58"/>
  <c r="B71" i="58"/>
  <c r="B70" i="58"/>
  <c r="B69" i="58"/>
  <c r="B68" i="58"/>
  <c r="B67" i="58"/>
  <c r="B66" i="58"/>
  <c r="B65" i="58"/>
  <c r="B64" i="58"/>
  <c r="B63" i="58"/>
  <c r="B62" i="58"/>
  <c r="B61" i="58"/>
  <c r="B60" i="58"/>
  <c r="B59" i="58"/>
  <c r="B58" i="58"/>
  <c r="B57" i="58"/>
  <c r="B56" i="58"/>
  <c r="B55" i="58"/>
  <c r="B54" i="58"/>
  <c r="B53" i="58"/>
  <c r="B52" i="58"/>
  <c r="B51" i="58"/>
  <c r="B50" i="58"/>
  <c r="B49" i="58"/>
  <c r="B48" i="58"/>
  <c r="B47" i="58"/>
  <c r="B46" i="58"/>
  <c r="B45" i="58"/>
  <c r="B44" i="58"/>
  <c r="B43" i="58"/>
  <c r="B42" i="58"/>
  <c r="B41" i="58"/>
  <c r="B40" i="58"/>
  <c r="B38" i="58"/>
  <c r="L27" i="58"/>
  <c r="K27" i="58"/>
  <c r="J27" i="58"/>
  <c r="I27" i="58"/>
  <c r="H27" i="58"/>
  <c r="G27" i="58"/>
  <c r="F27" i="58"/>
  <c r="C89" i="38"/>
  <c r="C90" i="38"/>
  <c r="C91" i="38"/>
  <c r="C92" i="38"/>
  <c r="N75" i="38"/>
  <c r="M75" i="38"/>
  <c r="AM309" i="45"/>
  <c r="AL309" i="45"/>
  <c r="AK309" i="45"/>
  <c r="AJ309" i="45"/>
  <c r="AI309" i="45"/>
  <c r="AH309" i="45"/>
  <c r="AG309" i="45"/>
  <c r="AF309" i="45"/>
  <c r="AE309" i="45"/>
  <c r="AD309" i="45"/>
  <c r="AC309" i="45"/>
  <c r="AB309" i="45"/>
  <c r="AA309" i="45"/>
  <c r="Z309" i="45"/>
  <c r="Y309" i="45"/>
  <c r="X309" i="45"/>
  <c r="W309" i="45"/>
  <c r="V309" i="45"/>
  <c r="U309" i="45"/>
  <c r="T309" i="45"/>
  <c r="S309" i="45"/>
  <c r="R309" i="45"/>
  <c r="Q309" i="45"/>
  <c r="P309" i="45"/>
  <c r="O309" i="45"/>
  <c r="N309" i="45"/>
  <c r="M309" i="45"/>
  <c r="L309" i="45"/>
  <c r="K309" i="45"/>
  <c r="J309" i="45"/>
  <c r="I309" i="45"/>
  <c r="G309" i="45"/>
  <c r="F309" i="45"/>
  <c r="E308" i="45"/>
  <c r="D308" i="45"/>
  <c r="E307" i="45"/>
  <c r="D307" i="45"/>
  <c r="E306" i="45"/>
  <c r="D306" i="45"/>
  <c r="E305" i="45"/>
  <c r="D305" i="45"/>
  <c r="E304" i="45"/>
  <c r="D304" i="45"/>
  <c r="E303" i="45"/>
  <c r="D303" i="45"/>
  <c r="AM302" i="45"/>
  <c r="AL302" i="45"/>
  <c r="AK302" i="45"/>
  <c r="AJ302" i="45"/>
  <c r="AI302" i="45"/>
  <c r="AH302" i="45"/>
  <c r="AG302" i="45"/>
  <c r="AF302" i="45"/>
  <c r="AE302" i="45"/>
  <c r="AD302" i="45"/>
  <c r="AC302" i="45"/>
  <c r="AB302" i="45"/>
  <c r="AA302" i="45"/>
  <c r="Z302" i="45"/>
  <c r="Y302" i="45"/>
  <c r="X302" i="45"/>
  <c r="W302" i="45"/>
  <c r="V302" i="45"/>
  <c r="U302" i="45"/>
  <c r="T302" i="45"/>
  <c r="S302" i="45"/>
  <c r="R302" i="45"/>
  <c r="Q302" i="45"/>
  <c r="P302" i="45"/>
  <c r="O302" i="45"/>
  <c r="N302" i="45"/>
  <c r="M302" i="45"/>
  <c r="L302" i="45"/>
  <c r="K302" i="45"/>
  <c r="J302" i="45"/>
  <c r="I302" i="45"/>
  <c r="H302" i="45"/>
  <c r="G302" i="45"/>
  <c r="F302" i="45"/>
  <c r="E301" i="45"/>
  <c r="D301" i="45"/>
  <c r="E300" i="45"/>
  <c r="D300" i="45"/>
  <c r="E299" i="45"/>
  <c r="D299" i="45"/>
  <c r="E298" i="45"/>
  <c r="D298" i="45"/>
  <c r="E297" i="45"/>
  <c r="D297" i="45"/>
  <c r="E296" i="45"/>
  <c r="D296" i="45"/>
  <c r="E295" i="45"/>
  <c r="D295" i="45"/>
  <c r="E294" i="45"/>
  <c r="D294" i="45"/>
  <c r="E293" i="45"/>
  <c r="D293" i="45"/>
  <c r="E292" i="45"/>
  <c r="D292" i="45"/>
  <c r="E291" i="45"/>
  <c r="D291" i="45"/>
  <c r="AM290" i="45"/>
  <c r="AL290" i="45"/>
  <c r="AK290" i="45"/>
  <c r="AJ290" i="45"/>
  <c r="AI290" i="45"/>
  <c r="AH290" i="45"/>
  <c r="AG290" i="45"/>
  <c r="AF290" i="45"/>
  <c r="AE290" i="45"/>
  <c r="AD290" i="45"/>
  <c r="AC290" i="45"/>
  <c r="AB290" i="45"/>
  <c r="AA290" i="45"/>
  <c r="Z290" i="45"/>
  <c r="Y290" i="45"/>
  <c r="X290" i="45"/>
  <c r="W290" i="45"/>
  <c r="V290" i="45"/>
  <c r="U290" i="45"/>
  <c r="T290" i="45"/>
  <c r="S290" i="45"/>
  <c r="R290" i="45"/>
  <c r="Q290" i="45"/>
  <c r="P290" i="45"/>
  <c r="O290" i="45"/>
  <c r="N290" i="45"/>
  <c r="M290" i="45"/>
  <c r="L290" i="45"/>
  <c r="K290" i="45"/>
  <c r="J290" i="45"/>
  <c r="I290" i="45"/>
  <c r="H290" i="45"/>
  <c r="G290" i="45"/>
  <c r="F290" i="45"/>
  <c r="E289" i="45"/>
  <c r="D289" i="45"/>
  <c r="E288" i="45"/>
  <c r="D288" i="45"/>
  <c r="E287" i="45"/>
  <c r="D287" i="45"/>
  <c r="E286" i="45"/>
  <c r="D286" i="45"/>
  <c r="E285" i="45"/>
  <c r="D285" i="45"/>
  <c r="E284" i="45"/>
  <c r="D284" i="45"/>
  <c r="E283" i="45"/>
  <c r="D283" i="45"/>
  <c r="E282" i="45"/>
  <c r="D282" i="45"/>
  <c r="E281" i="45"/>
  <c r="D281" i="45"/>
  <c r="E280" i="45"/>
  <c r="D280" i="45"/>
  <c r="E279" i="45"/>
  <c r="D279" i="45"/>
  <c r="AM278" i="45"/>
  <c r="AL278" i="45"/>
  <c r="AK278" i="45"/>
  <c r="AJ278" i="45"/>
  <c r="AI278" i="45"/>
  <c r="AH278" i="45"/>
  <c r="AG278" i="45"/>
  <c r="AF278" i="45"/>
  <c r="AE278" i="45"/>
  <c r="AD278" i="45"/>
  <c r="AC278" i="45"/>
  <c r="AB278" i="45"/>
  <c r="AA278" i="45"/>
  <c r="Z278" i="45"/>
  <c r="Y278" i="45"/>
  <c r="X278" i="45"/>
  <c r="W278" i="45"/>
  <c r="V278" i="45"/>
  <c r="U278" i="45"/>
  <c r="T278" i="45"/>
  <c r="S278" i="45"/>
  <c r="R278" i="45"/>
  <c r="Q278" i="45"/>
  <c r="P278" i="45"/>
  <c r="O278" i="45"/>
  <c r="N278" i="45"/>
  <c r="M278" i="45"/>
  <c r="L278" i="45"/>
  <c r="K278" i="45"/>
  <c r="J278" i="45"/>
  <c r="I278" i="45"/>
  <c r="H278" i="45"/>
  <c r="G278" i="45"/>
  <c r="F278" i="45"/>
  <c r="E277" i="45"/>
  <c r="D277" i="45"/>
  <c r="E276" i="45"/>
  <c r="D276" i="45"/>
  <c r="E275" i="45"/>
  <c r="D275" i="45"/>
  <c r="E274" i="45"/>
  <c r="D274" i="45"/>
  <c r="E273" i="45"/>
  <c r="D273" i="45"/>
  <c r="E272" i="45"/>
  <c r="D272" i="45"/>
  <c r="AM271" i="45"/>
  <c r="AL271" i="45"/>
  <c r="AK271" i="45"/>
  <c r="AJ271" i="45"/>
  <c r="AI271" i="45"/>
  <c r="AH271" i="45"/>
  <c r="AG271" i="45"/>
  <c r="AF271" i="45"/>
  <c r="AE271" i="45"/>
  <c r="AD271" i="45"/>
  <c r="AC271" i="45"/>
  <c r="AB271" i="45"/>
  <c r="AA271" i="45"/>
  <c r="Z271" i="45"/>
  <c r="Y271" i="45"/>
  <c r="X271" i="45"/>
  <c r="W271" i="45"/>
  <c r="V271" i="45"/>
  <c r="U271" i="45"/>
  <c r="T271" i="45"/>
  <c r="S271" i="45"/>
  <c r="R271" i="45"/>
  <c r="Q271" i="45"/>
  <c r="P271" i="45"/>
  <c r="O271" i="45"/>
  <c r="N271" i="45"/>
  <c r="M271" i="45"/>
  <c r="L271" i="45"/>
  <c r="K271" i="45"/>
  <c r="J271" i="45"/>
  <c r="I271" i="45"/>
  <c r="H271" i="45"/>
  <c r="G271" i="45"/>
  <c r="F271" i="45"/>
  <c r="E270" i="45"/>
  <c r="D270" i="45"/>
  <c r="E269" i="45"/>
  <c r="D269" i="45"/>
  <c r="E268" i="45"/>
  <c r="D268" i="45"/>
  <c r="E267" i="45"/>
  <c r="D267" i="45"/>
  <c r="E266" i="45"/>
  <c r="D266" i="45"/>
  <c r="E265" i="45"/>
  <c r="D265" i="45"/>
  <c r="AW264" i="45"/>
  <c r="AW310" i="45" s="1"/>
  <c r="AV310" i="45"/>
  <c r="AU264" i="45"/>
  <c r="AU310" i="45" s="1"/>
  <c r="AT264" i="45"/>
  <c r="AT310" i="45" s="1"/>
  <c r="AS264" i="45"/>
  <c r="AS310" i="45" s="1"/>
  <c r="AR264" i="45"/>
  <c r="AR310" i="45" s="1"/>
  <c r="AQ264" i="45"/>
  <c r="AQ310" i="45" s="1"/>
  <c r="AP264" i="45"/>
  <c r="AP310" i="45" s="1"/>
  <c r="AM264" i="45"/>
  <c r="AL264" i="45"/>
  <c r="AK264" i="45"/>
  <c r="AJ264" i="45"/>
  <c r="AI264" i="45"/>
  <c r="AH264" i="45"/>
  <c r="AH310" i="45" s="1"/>
  <c r="AG264" i="45"/>
  <c r="AF264" i="45"/>
  <c r="AE264" i="45"/>
  <c r="AD264" i="45"/>
  <c r="AC264" i="45"/>
  <c r="AB264" i="45"/>
  <c r="AA264" i="45"/>
  <c r="Z264" i="45"/>
  <c r="Y264" i="45"/>
  <c r="X264" i="45"/>
  <c r="W264" i="45"/>
  <c r="V264" i="45"/>
  <c r="U264" i="45"/>
  <c r="T264" i="45"/>
  <c r="S264" i="45"/>
  <c r="S310" i="45" s="1"/>
  <c r="R264" i="45"/>
  <c r="Q264" i="45"/>
  <c r="P264" i="45"/>
  <c r="O264" i="45"/>
  <c r="N264" i="45"/>
  <c r="M264" i="45"/>
  <c r="L264" i="45"/>
  <c r="K264" i="45"/>
  <c r="J264" i="45"/>
  <c r="J310" i="45" s="1"/>
  <c r="I264" i="45"/>
  <c r="H264" i="45"/>
  <c r="G264" i="45"/>
  <c r="F264" i="45"/>
  <c r="AO263" i="45"/>
  <c r="AN263" i="45"/>
  <c r="AN264" i="45" s="1"/>
  <c r="AN310" i="45" s="1"/>
  <c r="E263" i="45"/>
  <c r="D263" i="45"/>
  <c r="AO262" i="45"/>
  <c r="E262" i="45"/>
  <c r="C262" i="45" s="1"/>
  <c r="K310" i="45" l="1"/>
  <c r="AI310" i="45"/>
  <c r="R310" i="45"/>
  <c r="Z310" i="45"/>
  <c r="AA310" i="45"/>
  <c r="T310" i="45"/>
  <c r="M310" i="45"/>
  <c r="U310" i="45"/>
  <c r="AC310" i="45"/>
  <c r="AK310" i="45"/>
  <c r="L310" i="45"/>
  <c r="F310" i="45"/>
  <c r="N310" i="45"/>
  <c r="V310" i="45"/>
  <c r="AD310" i="45"/>
  <c r="AL310" i="45"/>
  <c r="AB310" i="45"/>
  <c r="G310" i="45"/>
  <c r="O310" i="45"/>
  <c r="W310" i="45"/>
  <c r="AE310" i="45"/>
  <c r="AM310" i="45"/>
  <c r="H310" i="45"/>
  <c r="P310" i="45"/>
  <c r="X310" i="45"/>
  <c r="AF310" i="45"/>
  <c r="AJ310" i="45"/>
  <c r="I310" i="45"/>
  <c r="Q310" i="45"/>
  <c r="Y310" i="45"/>
  <c r="AG310" i="45"/>
  <c r="D302" i="45"/>
  <c r="CQ45" i="58"/>
  <c r="CG45" i="58" s="1"/>
  <c r="CR45" i="58"/>
  <c r="CH45" i="58" s="1"/>
  <c r="CL45" i="58"/>
  <c r="CB45" i="58" s="1"/>
  <c r="CQ53" i="58"/>
  <c r="CG53" i="58" s="1"/>
  <c r="CR53" i="58"/>
  <c r="CH53" i="58" s="1"/>
  <c r="CL53" i="58"/>
  <c r="CB53" i="58" s="1"/>
  <c r="CQ61" i="58"/>
  <c r="CG61" i="58" s="1"/>
  <c r="CR61" i="58"/>
  <c r="CH61" i="58" s="1"/>
  <c r="CL61" i="58"/>
  <c r="CB61" i="58" s="1"/>
  <c r="CQ69" i="58"/>
  <c r="CG69" i="58" s="1"/>
  <c r="CL69" i="58"/>
  <c r="CB69" i="58" s="1"/>
  <c r="CR69" i="58"/>
  <c r="CH69" i="58" s="1"/>
  <c r="CQ77" i="58"/>
  <c r="CG77" i="58" s="1"/>
  <c r="CR77" i="58"/>
  <c r="CH77" i="58" s="1"/>
  <c r="CL77" i="58"/>
  <c r="CB77" i="58" s="1"/>
  <c r="CQ85" i="58"/>
  <c r="CG85" i="58" s="1"/>
  <c r="CR85" i="58"/>
  <c r="CH85" i="58" s="1"/>
  <c r="CL85" i="58"/>
  <c r="CB85" i="58" s="1"/>
  <c r="CQ93" i="58"/>
  <c r="CG93" i="58" s="1"/>
  <c r="CR93" i="58"/>
  <c r="CH93" i="58" s="1"/>
  <c r="CL93" i="58"/>
  <c r="CB93" i="58" s="1"/>
  <c r="CL92" i="58"/>
  <c r="CB92" i="58" s="1"/>
  <c r="CR92" i="58"/>
  <c r="CH92" i="58" s="1"/>
  <c r="CQ92" i="58"/>
  <c r="CG92" i="58" s="1"/>
  <c r="CR38" i="58"/>
  <c r="CH38" i="58" s="1"/>
  <c r="CQ38" i="58"/>
  <c r="CG38" i="58" s="1"/>
  <c r="CL38" i="58"/>
  <c r="CB38" i="58" s="1"/>
  <c r="CR46" i="58"/>
  <c r="CH46" i="58" s="1"/>
  <c r="CQ46" i="58"/>
  <c r="CG46" i="58" s="1"/>
  <c r="CL46" i="58"/>
  <c r="CB46" i="58" s="1"/>
  <c r="CR54" i="58"/>
  <c r="CH54" i="58" s="1"/>
  <c r="CQ54" i="58"/>
  <c r="CG54" i="58" s="1"/>
  <c r="CL54" i="58"/>
  <c r="CB54" i="58" s="1"/>
  <c r="CR62" i="58"/>
  <c r="CH62" i="58" s="1"/>
  <c r="CQ62" i="58"/>
  <c r="CG62" i="58" s="1"/>
  <c r="CL62" i="58"/>
  <c r="CB62" i="58" s="1"/>
  <c r="CR70" i="58"/>
  <c r="CH70" i="58" s="1"/>
  <c r="CQ70" i="58"/>
  <c r="CG70" i="58" s="1"/>
  <c r="CL70" i="58"/>
  <c r="CB70" i="58" s="1"/>
  <c r="CR78" i="58"/>
  <c r="CH78" i="58" s="1"/>
  <c r="CQ78" i="58"/>
  <c r="CG78" i="58" s="1"/>
  <c r="CL78" i="58"/>
  <c r="CB78" i="58" s="1"/>
  <c r="CR86" i="58"/>
  <c r="CH86" i="58" s="1"/>
  <c r="CQ86" i="58"/>
  <c r="CG86" i="58" s="1"/>
  <c r="CL86" i="58"/>
  <c r="CB86" i="58" s="1"/>
  <c r="CR94" i="58"/>
  <c r="CH94" i="58" s="1"/>
  <c r="CQ94" i="58"/>
  <c r="CG94" i="58" s="1"/>
  <c r="CL94" i="58"/>
  <c r="CB94" i="58" s="1"/>
  <c r="CR68" i="58"/>
  <c r="CH68" i="58" s="1"/>
  <c r="CQ68" i="58"/>
  <c r="CG68" i="58" s="1"/>
  <c r="CL68" i="58"/>
  <c r="CB68" i="58" s="1"/>
  <c r="CR39" i="58"/>
  <c r="CH39" i="58" s="1"/>
  <c r="CQ39" i="58"/>
  <c r="CG39" i="58" s="1"/>
  <c r="CL39" i="58"/>
  <c r="CB39" i="58" s="1"/>
  <c r="CR47" i="58"/>
  <c r="CH47" i="58" s="1"/>
  <c r="CQ47" i="58"/>
  <c r="CG47" i="58" s="1"/>
  <c r="CL47" i="58"/>
  <c r="CB47" i="58" s="1"/>
  <c r="CR55" i="58"/>
  <c r="CH55" i="58" s="1"/>
  <c r="CQ55" i="58"/>
  <c r="CG55" i="58" s="1"/>
  <c r="CL55" i="58"/>
  <c r="CB55" i="58" s="1"/>
  <c r="CR63" i="58"/>
  <c r="CH63" i="58" s="1"/>
  <c r="CQ63" i="58"/>
  <c r="CG63" i="58" s="1"/>
  <c r="CL63" i="58"/>
  <c r="CB63" i="58" s="1"/>
  <c r="CR71" i="58"/>
  <c r="CH71" i="58" s="1"/>
  <c r="CQ71" i="58"/>
  <c r="CG71" i="58" s="1"/>
  <c r="CL71" i="58"/>
  <c r="CB71" i="58" s="1"/>
  <c r="CR79" i="58"/>
  <c r="CH79" i="58" s="1"/>
  <c r="CQ79" i="58"/>
  <c r="CG79" i="58" s="1"/>
  <c r="CL79" i="58"/>
  <c r="CB79" i="58" s="1"/>
  <c r="CR87" i="58"/>
  <c r="CH87" i="58" s="1"/>
  <c r="CQ87" i="58"/>
  <c r="CG87" i="58" s="1"/>
  <c r="CL87" i="58"/>
  <c r="CB87" i="58" s="1"/>
  <c r="CR95" i="58"/>
  <c r="CH95" i="58" s="1"/>
  <c r="CQ95" i="58"/>
  <c r="CG95" i="58" s="1"/>
  <c r="CL95" i="58"/>
  <c r="CB95" i="58" s="1"/>
  <c r="CR84" i="58"/>
  <c r="CH84" i="58" s="1"/>
  <c r="CQ84" i="58"/>
  <c r="CG84" i="58" s="1"/>
  <c r="CL84" i="58"/>
  <c r="CB84" i="58" s="1"/>
  <c r="CL40" i="58"/>
  <c r="CB40" i="58" s="1"/>
  <c r="CR40" i="58"/>
  <c r="CH40" i="58" s="1"/>
  <c r="CQ40" i="58"/>
  <c r="CG40" i="58" s="1"/>
  <c r="CL48" i="58"/>
  <c r="CB48" i="58" s="1"/>
  <c r="CR48" i="58"/>
  <c r="CH48" i="58" s="1"/>
  <c r="CQ48" i="58"/>
  <c r="CG48" i="58" s="1"/>
  <c r="CL56" i="58"/>
  <c r="CB56" i="58" s="1"/>
  <c r="CR56" i="58"/>
  <c r="CH56" i="58" s="1"/>
  <c r="CQ56" i="58"/>
  <c r="CG56" i="58" s="1"/>
  <c r="CL64" i="58"/>
  <c r="CB64" i="58" s="1"/>
  <c r="CR64" i="58"/>
  <c r="CH64" i="58" s="1"/>
  <c r="CQ64" i="58"/>
  <c r="CG64" i="58" s="1"/>
  <c r="CL72" i="58"/>
  <c r="CB72" i="58" s="1"/>
  <c r="CR72" i="58"/>
  <c r="CH72" i="58" s="1"/>
  <c r="CQ72" i="58"/>
  <c r="CG72" i="58" s="1"/>
  <c r="CL80" i="58"/>
  <c r="CB80" i="58" s="1"/>
  <c r="CR80" i="58"/>
  <c r="CH80" i="58" s="1"/>
  <c r="CQ80" i="58"/>
  <c r="CG80" i="58" s="1"/>
  <c r="CL88" i="58"/>
  <c r="CB88" i="58" s="1"/>
  <c r="CR88" i="58"/>
  <c r="CH88" i="58" s="1"/>
  <c r="CQ88" i="58"/>
  <c r="CG88" i="58" s="1"/>
  <c r="CL96" i="58"/>
  <c r="CB96" i="58" s="1"/>
  <c r="CR96" i="58"/>
  <c r="CH96" i="58" s="1"/>
  <c r="CQ96" i="58"/>
  <c r="CG96" i="58" s="1"/>
  <c r="CL44" i="58"/>
  <c r="CB44" i="58" s="1"/>
  <c r="CR44" i="58"/>
  <c r="CH44" i="58" s="1"/>
  <c r="CQ44" i="58"/>
  <c r="CG44" i="58" s="1"/>
  <c r="CL60" i="58"/>
  <c r="CB60" i="58" s="1"/>
  <c r="CR60" i="58"/>
  <c r="CH60" i="58" s="1"/>
  <c r="CQ60" i="58"/>
  <c r="CG60" i="58" s="1"/>
  <c r="CL41" i="58"/>
  <c r="CB41" i="58" s="1"/>
  <c r="CR41" i="58"/>
  <c r="CH41" i="58" s="1"/>
  <c r="CQ41" i="58"/>
  <c r="CG41" i="58" s="1"/>
  <c r="CL49" i="58"/>
  <c r="CB49" i="58" s="1"/>
  <c r="CR49" i="58"/>
  <c r="CH49" i="58" s="1"/>
  <c r="CQ49" i="58"/>
  <c r="CG49" i="58" s="1"/>
  <c r="CL57" i="58"/>
  <c r="CB57" i="58" s="1"/>
  <c r="CR57" i="58"/>
  <c r="CH57" i="58" s="1"/>
  <c r="CQ57" i="58"/>
  <c r="CG57" i="58" s="1"/>
  <c r="CL65" i="58"/>
  <c r="CB65" i="58" s="1"/>
  <c r="CR65" i="58"/>
  <c r="CH65" i="58" s="1"/>
  <c r="CQ65" i="58"/>
  <c r="CG65" i="58" s="1"/>
  <c r="CL73" i="58"/>
  <c r="CB73" i="58" s="1"/>
  <c r="CR73" i="58"/>
  <c r="CH73" i="58" s="1"/>
  <c r="CQ73" i="58"/>
  <c r="CG73" i="58" s="1"/>
  <c r="CL81" i="58"/>
  <c r="CB81" i="58" s="1"/>
  <c r="CR81" i="58"/>
  <c r="CH81" i="58" s="1"/>
  <c r="CQ81" i="58"/>
  <c r="CG81" i="58" s="1"/>
  <c r="CL89" i="58"/>
  <c r="CB89" i="58" s="1"/>
  <c r="CR89" i="58"/>
  <c r="CH89" i="58" s="1"/>
  <c r="CQ89" i="58"/>
  <c r="CG89" i="58" s="1"/>
  <c r="CR52" i="58"/>
  <c r="CH52" i="58" s="1"/>
  <c r="CQ52" i="58"/>
  <c r="CG52" i="58" s="1"/>
  <c r="CL52" i="58"/>
  <c r="CB52" i="58" s="1"/>
  <c r="CL42" i="58"/>
  <c r="CB42" i="58" s="1"/>
  <c r="CQ42" i="58"/>
  <c r="CG42" i="58" s="1"/>
  <c r="CR42" i="58"/>
  <c r="CH42" i="58" s="1"/>
  <c r="CL50" i="58"/>
  <c r="CB50" i="58" s="1"/>
  <c r="CR50" i="58"/>
  <c r="CH50" i="58" s="1"/>
  <c r="CQ50" i="58"/>
  <c r="CG50" i="58" s="1"/>
  <c r="CL58" i="58"/>
  <c r="CB58" i="58" s="1"/>
  <c r="CQ58" i="58"/>
  <c r="CG58" i="58" s="1"/>
  <c r="CR58" i="58"/>
  <c r="CH58" i="58" s="1"/>
  <c r="CL66" i="58"/>
  <c r="CB66" i="58" s="1"/>
  <c r="CR66" i="58"/>
  <c r="CH66" i="58" s="1"/>
  <c r="CQ66" i="58"/>
  <c r="CG66" i="58" s="1"/>
  <c r="CL74" i="58"/>
  <c r="CB74" i="58" s="1"/>
  <c r="CQ74" i="58"/>
  <c r="CG74" i="58" s="1"/>
  <c r="CR74" i="58"/>
  <c r="CH74" i="58" s="1"/>
  <c r="CL82" i="58"/>
  <c r="CB82" i="58" s="1"/>
  <c r="CR82" i="58"/>
  <c r="CH82" i="58" s="1"/>
  <c r="CQ82" i="58"/>
  <c r="CG82" i="58" s="1"/>
  <c r="CL90" i="58"/>
  <c r="CB90" i="58" s="1"/>
  <c r="CQ90" i="58"/>
  <c r="CG90" i="58" s="1"/>
  <c r="CR90" i="58"/>
  <c r="CH90" i="58" s="1"/>
  <c r="CL76" i="58"/>
  <c r="CB76" i="58" s="1"/>
  <c r="CR76" i="58"/>
  <c r="CH76" i="58" s="1"/>
  <c r="CQ76" i="58"/>
  <c r="CG76" i="58" s="1"/>
  <c r="CL43" i="58"/>
  <c r="CB43" i="58" s="1"/>
  <c r="CR43" i="58"/>
  <c r="CH43" i="58" s="1"/>
  <c r="CQ43" i="58"/>
  <c r="CG43" i="58" s="1"/>
  <c r="CL51" i="58"/>
  <c r="CB51" i="58" s="1"/>
  <c r="CQ51" i="58"/>
  <c r="CG51" i="58" s="1"/>
  <c r="CR51" i="58"/>
  <c r="CH51" i="58" s="1"/>
  <c r="CL59" i="58"/>
  <c r="CB59" i="58" s="1"/>
  <c r="CR59" i="58"/>
  <c r="CH59" i="58" s="1"/>
  <c r="CQ59" i="58"/>
  <c r="CG59" i="58" s="1"/>
  <c r="CL67" i="58"/>
  <c r="CB67" i="58" s="1"/>
  <c r="CQ67" i="58"/>
  <c r="CG67" i="58" s="1"/>
  <c r="CR67" i="58"/>
  <c r="CH67" i="58" s="1"/>
  <c r="CL75" i="58"/>
  <c r="CB75" i="58" s="1"/>
  <c r="CR75" i="58"/>
  <c r="CH75" i="58" s="1"/>
  <c r="CQ75" i="58"/>
  <c r="CG75" i="58" s="1"/>
  <c r="CL83" i="58"/>
  <c r="CB83" i="58" s="1"/>
  <c r="CQ83" i="58"/>
  <c r="CG83" i="58" s="1"/>
  <c r="CR83" i="58"/>
  <c r="CH83" i="58" s="1"/>
  <c r="CL91" i="58"/>
  <c r="CB91" i="58" s="1"/>
  <c r="CR91" i="58"/>
  <c r="CH91" i="58" s="1"/>
  <c r="CQ91" i="58"/>
  <c r="CG91" i="58" s="1"/>
  <c r="C27" i="58"/>
  <c r="D27" i="58"/>
  <c r="E309" i="45"/>
  <c r="C294" i="45"/>
  <c r="C298" i="45"/>
  <c r="C300" i="45"/>
  <c r="C304" i="45"/>
  <c r="C306" i="45"/>
  <c r="C308" i="45"/>
  <c r="D309" i="45"/>
  <c r="C268" i="45"/>
  <c r="C284" i="45"/>
  <c r="D290" i="45"/>
  <c r="C292" i="45"/>
  <c r="E264" i="45"/>
  <c r="E290" i="45"/>
  <c r="C267" i="45"/>
  <c r="D278" i="45"/>
  <c r="C279" i="45"/>
  <c r="C281" i="45"/>
  <c r="C287" i="45"/>
  <c r="C289" i="45"/>
  <c r="C263" i="45"/>
  <c r="D264" i="45"/>
  <c r="E271" i="45"/>
  <c r="C297" i="45"/>
  <c r="C301" i="45"/>
  <c r="C303" i="45"/>
  <c r="AO264" i="45"/>
  <c r="AO310" i="45" s="1"/>
  <c r="C274" i="45"/>
  <c r="C280" i="45"/>
  <c r="C293" i="45"/>
  <c r="D271" i="45"/>
  <c r="C273" i="45"/>
  <c r="C277" i="45"/>
  <c r="C286" i="45"/>
  <c r="C288" i="45"/>
  <c r="C295" i="45"/>
  <c r="C283" i="45"/>
  <c r="C307" i="45"/>
  <c r="C266" i="45"/>
  <c r="C269" i="45"/>
  <c r="C276" i="45"/>
  <c r="C282" i="45"/>
  <c r="C285" i="45"/>
  <c r="E302" i="45"/>
  <c r="C265" i="45"/>
  <c r="C270" i="45"/>
  <c r="C272" i="45"/>
  <c r="C275" i="45"/>
  <c r="C291" i="45"/>
  <c r="C296" i="45"/>
  <c r="C299" i="45"/>
  <c r="C305" i="45"/>
  <c r="E278" i="45"/>
  <c r="E310" i="45" l="1"/>
  <c r="D310" i="45"/>
  <c r="AR84" i="58"/>
  <c r="AR39" i="58"/>
  <c r="AR46" i="58"/>
  <c r="AR53" i="58"/>
  <c r="AR79" i="58"/>
  <c r="AR67" i="58"/>
  <c r="AR51" i="58"/>
  <c r="AR50" i="58"/>
  <c r="AR49" i="58"/>
  <c r="AR64" i="58"/>
  <c r="AR87" i="58"/>
  <c r="AR94" i="58"/>
  <c r="C264" i="45"/>
  <c r="AR95" i="58"/>
  <c r="AR68" i="58"/>
  <c r="AR38" i="58"/>
  <c r="AR69" i="58"/>
  <c r="AR45" i="58"/>
  <c r="AR91" i="58"/>
  <c r="AR90" i="58"/>
  <c r="AR89" i="58"/>
  <c r="AR44" i="58"/>
  <c r="AR40" i="58"/>
  <c r="AR63" i="58"/>
  <c r="AR70" i="58"/>
  <c r="AR77" i="58"/>
  <c r="AR65" i="58"/>
  <c r="AR80" i="58"/>
  <c r="AR92" i="58"/>
  <c r="AR41" i="58"/>
  <c r="AR56" i="58"/>
  <c r="AR86" i="58"/>
  <c r="AR93" i="58"/>
  <c r="AR42" i="58"/>
  <c r="CM25" i="58"/>
  <c r="CC25" i="58" s="1"/>
  <c r="CN25" i="58"/>
  <c r="CD25" i="58" s="1"/>
  <c r="CL25" i="58"/>
  <c r="CB25" i="58" s="1"/>
  <c r="CK25" i="58"/>
  <c r="CA25" i="58" s="1"/>
  <c r="AR83" i="58"/>
  <c r="AR82" i="58"/>
  <c r="AR52" i="58"/>
  <c r="AR81" i="58"/>
  <c r="AR96" i="58"/>
  <c r="AR55" i="58"/>
  <c r="AR62" i="58"/>
  <c r="AR66" i="58"/>
  <c r="AR59" i="58"/>
  <c r="AR58" i="58"/>
  <c r="AR57" i="58"/>
  <c r="AR72" i="58"/>
  <c r="AR43" i="58"/>
  <c r="AR60" i="58"/>
  <c r="AR48" i="58"/>
  <c r="AR71" i="58"/>
  <c r="AR78" i="58"/>
  <c r="AR85" i="58"/>
  <c r="CL24" i="58"/>
  <c r="CB24" i="58" s="1"/>
  <c r="CK24" i="58"/>
  <c r="CA24" i="58" s="1"/>
  <c r="CN24" i="58"/>
  <c r="CD24" i="58" s="1"/>
  <c r="CM24" i="58"/>
  <c r="CC24" i="58" s="1"/>
  <c r="CL26" i="58"/>
  <c r="CB26" i="58" s="1"/>
  <c r="CN26" i="58"/>
  <c r="CD26" i="58" s="1"/>
  <c r="CM26" i="58"/>
  <c r="CC26" i="58" s="1"/>
  <c r="CK26" i="58"/>
  <c r="CA26" i="58" s="1"/>
  <c r="AR76" i="58"/>
  <c r="AR75" i="58"/>
  <c r="AR74" i="58"/>
  <c r="AR73" i="58"/>
  <c r="AR88" i="58"/>
  <c r="AR47" i="58"/>
  <c r="AR54" i="58"/>
  <c r="AR61" i="58"/>
  <c r="C290" i="45"/>
  <c r="C309" i="45"/>
  <c r="C278" i="45"/>
  <c r="C271" i="45"/>
  <c r="C302" i="45"/>
  <c r="A5" i="59"/>
  <c r="A4" i="59"/>
  <c r="A3" i="59"/>
  <c r="A2" i="59"/>
  <c r="C310" i="45" l="1"/>
  <c r="A346" i="45" s="1"/>
  <c r="M25" i="58"/>
  <c r="M26" i="58"/>
  <c r="M24" i="58"/>
  <c r="AJ97" i="58"/>
  <c r="AC16" i="48" l="1"/>
  <c r="Z16" i="48"/>
  <c r="G16" i="48"/>
  <c r="AC17" i="48" l="1"/>
  <c r="AC15" i="48"/>
  <c r="AC14" i="48"/>
  <c r="AE13" i="48"/>
  <c r="AD13" i="48"/>
  <c r="AC13" i="48" l="1"/>
  <c r="D21" i="40"/>
  <c r="C21" i="40"/>
  <c r="B21" i="40" l="1"/>
  <c r="D15" i="40" l="1"/>
  <c r="D14" i="40"/>
  <c r="D13" i="40"/>
  <c r="D12" i="40"/>
  <c r="C15" i="40"/>
  <c r="C14" i="40"/>
  <c r="C13" i="40"/>
  <c r="C12" i="40"/>
  <c r="D25" i="40"/>
  <c r="D24" i="40"/>
  <c r="D23" i="40"/>
  <c r="D22" i="40"/>
  <c r="D20" i="40"/>
  <c r="C25" i="40"/>
  <c r="C24" i="40"/>
  <c r="C23" i="40"/>
  <c r="C22" i="40"/>
  <c r="C20" i="40"/>
  <c r="D40" i="40"/>
  <c r="C40" i="40"/>
  <c r="D60" i="40"/>
  <c r="C60" i="40"/>
  <c r="E101" i="40"/>
  <c r="E95" i="40"/>
  <c r="D101" i="40"/>
  <c r="D95" i="40"/>
  <c r="E113" i="40"/>
  <c r="E112" i="40"/>
  <c r="E111" i="40"/>
  <c r="D113" i="40"/>
  <c r="D112" i="40"/>
  <c r="D111" i="40"/>
  <c r="C128" i="40"/>
  <c r="C127" i="40"/>
  <c r="E183" i="40"/>
  <c r="E182" i="40"/>
  <c r="D183" i="40"/>
  <c r="D182" i="40"/>
  <c r="B188" i="40"/>
  <c r="B187" i="40"/>
  <c r="D193" i="40"/>
  <c r="C193" i="40"/>
  <c r="D199" i="40"/>
  <c r="C199" i="40"/>
  <c r="A5" i="40"/>
  <c r="A4" i="40"/>
  <c r="A3" i="40"/>
  <c r="A2" i="40"/>
  <c r="E13" i="46"/>
  <c r="D13" i="46"/>
  <c r="AU23" i="46"/>
  <c r="F23" i="46"/>
  <c r="G32" i="46"/>
  <c r="G31" i="46"/>
  <c r="F32" i="46"/>
  <c r="F31" i="46"/>
  <c r="D33" i="46"/>
  <c r="C33" i="46"/>
  <c r="B38" i="46"/>
  <c r="B37" i="46"/>
  <c r="C39" i="46"/>
  <c r="D39" i="46"/>
  <c r="E38" i="46"/>
  <c r="E37" i="46"/>
  <c r="E52" i="46"/>
  <c r="E51" i="46"/>
  <c r="D52" i="46"/>
  <c r="D51" i="46"/>
  <c r="E57" i="46"/>
  <c r="E63" i="46"/>
  <c r="E69" i="46"/>
  <c r="D69" i="46"/>
  <c r="D68" i="46"/>
  <c r="D67" i="46"/>
  <c r="D66" i="46"/>
  <c r="D65" i="46"/>
  <c r="D64" i="46"/>
  <c r="D63" i="46"/>
  <c r="D62" i="46"/>
  <c r="D61" i="46"/>
  <c r="D60" i="46"/>
  <c r="D59" i="46"/>
  <c r="D58" i="46"/>
  <c r="D57" i="46"/>
  <c r="F104" i="46"/>
  <c r="E104" i="46"/>
  <c r="D104" i="46"/>
  <c r="C104" i="46"/>
  <c r="B104" i="46"/>
  <c r="D111" i="46"/>
  <c r="D109" i="46"/>
  <c r="C111" i="46"/>
  <c r="D122" i="46"/>
  <c r="D121" i="46"/>
  <c r="D120" i="46"/>
  <c r="C122" i="46"/>
  <c r="C121" i="46"/>
  <c r="C120" i="46"/>
  <c r="B126" i="46"/>
  <c r="F134" i="46"/>
  <c r="E131" i="46"/>
  <c r="D131" i="46"/>
  <c r="B15" i="40" l="1"/>
  <c r="B12" i="40"/>
  <c r="B14" i="40"/>
  <c r="B13" i="40"/>
  <c r="B193" i="40"/>
  <c r="B120" i="46"/>
  <c r="B39" i="46"/>
  <c r="B23" i="40"/>
  <c r="B24" i="40"/>
  <c r="B22" i="40"/>
  <c r="B25" i="40"/>
  <c r="B20" i="40"/>
  <c r="C112" i="40"/>
  <c r="C113" i="40"/>
  <c r="C111" i="40"/>
  <c r="C52" i="46"/>
  <c r="C51" i="46"/>
  <c r="C57" i="46"/>
  <c r="C131" i="46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C26" i="32"/>
  <c r="C25" i="32"/>
  <c r="C24" i="32"/>
  <c r="C22" i="32"/>
  <c r="C21" i="32"/>
  <c r="C18" i="32"/>
  <c r="C17" i="32"/>
  <c r="C16" i="32"/>
  <c r="C15" i="32"/>
  <c r="C14" i="32"/>
  <c r="C13" i="32"/>
  <c r="E12" i="32"/>
  <c r="D34" i="32"/>
  <c r="D31" i="32"/>
  <c r="C34" i="32"/>
  <c r="C31" i="32"/>
  <c r="B50" i="32"/>
  <c r="B49" i="32"/>
  <c r="C58" i="32"/>
  <c r="B60" i="32"/>
  <c r="B59" i="32"/>
  <c r="E83" i="32"/>
  <c r="D83" i="32"/>
  <c r="B91" i="32"/>
  <c r="C107" i="32"/>
  <c r="D120" i="32"/>
  <c r="D118" i="32"/>
  <c r="B118" i="32" s="1"/>
  <c r="C124" i="32"/>
  <c r="E211" i="45"/>
  <c r="D211" i="45"/>
  <c r="E204" i="45"/>
  <c r="D204" i="45"/>
  <c r="E198" i="45"/>
  <c r="E197" i="45"/>
  <c r="E195" i="45"/>
  <c r="D198" i="45"/>
  <c r="D197" i="45"/>
  <c r="D196" i="45"/>
  <c r="D195" i="45"/>
  <c r="D186" i="45"/>
  <c r="D176" i="45"/>
  <c r="E166" i="45"/>
  <c r="C166" i="45" s="1"/>
  <c r="E120" i="45"/>
  <c r="D120" i="45"/>
  <c r="E113" i="45"/>
  <c r="E107" i="45"/>
  <c r="E108" i="45"/>
  <c r="D113" i="45"/>
  <c r="D111" i="45"/>
  <c r="D108" i="45"/>
  <c r="D107" i="45"/>
  <c r="D97" i="45"/>
  <c r="D45" i="45"/>
  <c r="C45" i="45"/>
  <c r="E19" i="45"/>
  <c r="D19" i="45"/>
  <c r="E12" i="45"/>
  <c r="D12" i="45"/>
  <c r="C34" i="51"/>
  <c r="D22" i="51"/>
  <c r="C22" i="51"/>
  <c r="E65" i="38"/>
  <c r="E53" i="38"/>
  <c r="E50" i="38"/>
  <c r="D64" i="38"/>
  <c r="D53" i="38"/>
  <c r="D50" i="38"/>
  <c r="D49" i="38"/>
  <c r="C40" i="38"/>
  <c r="C39" i="38"/>
  <c r="C38" i="38"/>
  <c r="C33" i="38"/>
  <c r="C32" i="38"/>
  <c r="C31" i="38"/>
  <c r="C30" i="38"/>
  <c r="C23" i="38"/>
  <c r="CD23" i="38" s="1"/>
  <c r="C22" i="38"/>
  <c r="CD22" i="38" s="1"/>
  <c r="C21" i="38"/>
  <c r="CD21" i="38" s="1"/>
  <c r="C20" i="38"/>
  <c r="CD20" i="38" s="1"/>
  <c r="C19" i="38"/>
  <c r="C18" i="38"/>
  <c r="C17" i="38"/>
  <c r="C16" i="38"/>
  <c r="C15" i="38"/>
  <c r="C14" i="38"/>
  <c r="M61" i="49"/>
  <c r="L61" i="49"/>
  <c r="DB193" i="40" l="1"/>
  <c r="CB193" i="40" s="1"/>
  <c r="DA193" i="40"/>
  <c r="CA193" i="40" s="1"/>
  <c r="B55" i="32"/>
  <c r="DD52" i="46"/>
  <c r="CD52" i="46" s="1"/>
  <c r="DC52" i="46"/>
  <c r="CC52" i="46" s="1"/>
  <c r="DB52" i="46"/>
  <c r="CB52" i="46" s="1"/>
  <c r="DA52" i="46"/>
  <c r="CA52" i="46" s="1"/>
  <c r="B58" i="32"/>
  <c r="DC131" i="46"/>
  <c r="CC131" i="46" s="1"/>
  <c r="DB131" i="46"/>
  <c r="CB131" i="46" s="1"/>
  <c r="DA131" i="46"/>
  <c r="DF131" i="46"/>
  <c r="CF131" i="46" s="1"/>
  <c r="DE131" i="46"/>
  <c r="CE131" i="46" s="1"/>
  <c r="DD131" i="46"/>
  <c r="CD131" i="46" s="1"/>
  <c r="DC57" i="46"/>
  <c r="CC57" i="46" s="1"/>
  <c r="DA57" i="46"/>
  <c r="CA57" i="46" s="1"/>
  <c r="DB57" i="46"/>
  <c r="CB57" i="46" s="1"/>
  <c r="DB51" i="46"/>
  <c r="CB51" i="46" s="1"/>
  <c r="DD51" i="46"/>
  <c r="CD51" i="46" s="1"/>
  <c r="DA51" i="46"/>
  <c r="CA51" i="46" s="1"/>
  <c r="DC51" i="46"/>
  <c r="CC51" i="46" s="1"/>
  <c r="C198" i="45"/>
  <c r="C197" i="45"/>
  <c r="D12" i="32"/>
  <c r="C50" i="38"/>
  <c r="C53" i="38"/>
  <c r="C211" i="45"/>
  <c r="AO193" i="40" l="1"/>
  <c r="AP57" i="46"/>
  <c r="AQ51" i="46"/>
  <c r="AQ52" i="46"/>
  <c r="AS12" i="32"/>
  <c r="AP134" i="46" l="1"/>
  <c r="AU33" i="46"/>
  <c r="AP23" i="46"/>
  <c r="AV288" i="39"/>
  <c r="AR12" i="32"/>
  <c r="AG206" i="45"/>
  <c r="AF206" i="45"/>
  <c r="C120" i="32" l="1"/>
  <c r="B120" i="32" s="1"/>
  <c r="D119" i="32"/>
  <c r="C119" i="32"/>
  <c r="B119" i="32" l="1"/>
  <c r="AR158" i="58"/>
  <c r="AR147" i="58"/>
  <c r="Z19" i="58"/>
  <c r="AE48" i="31"/>
  <c r="C68" i="39"/>
  <c r="C44" i="39"/>
  <c r="C14" i="39"/>
  <c r="C11" i="39"/>
  <c r="D35" i="51"/>
  <c r="D34" i="51"/>
  <c r="C35" i="51"/>
  <c r="F11" i="51"/>
  <c r="E11" i="51"/>
  <c r="D11" i="51"/>
  <c r="C11" i="51"/>
  <c r="G75" i="38"/>
  <c r="E54" i="38"/>
  <c r="D58" i="38"/>
  <c r="E66" i="38"/>
  <c r="E64" i="38"/>
  <c r="E67" i="38"/>
  <c r="D67" i="38"/>
  <c r="D66" i="38"/>
  <c r="D65" i="38"/>
  <c r="D57" i="38"/>
  <c r="D56" i="38"/>
  <c r="D55" i="38"/>
  <c r="D54" i="38"/>
  <c r="D52" i="38"/>
  <c r="D51" i="38"/>
  <c r="E63" i="38"/>
  <c r="D63" i="38"/>
  <c r="AT33" i="46"/>
  <c r="AQ33" i="46"/>
  <c r="AP33" i="46"/>
  <c r="C63" i="38" l="1"/>
  <c r="L90" i="50" l="1"/>
  <c r="K90" i="50"/>
  <c r="AG17" i="50"/>
  <c r="X17" i="50"/>
  <c r="I17" i="50"/>
  <c r="H17" i="50"/>
  <c r="B107" i="44"/>
  <c r="D81" i="31"/>
  <c r="CG81" i="31" s="1"/>
  <c r="D79" i="31"/>
  <c r="D80" i="31"/>
  <c r="C86" i="49"/>
  <c r="C85" i="49"/>
  <c r="C36" i="48"/>
  <c r="CG30" i="48"/>
  <c r="F107" i="32"/>
  <c r="E107" i="32"/>
  <c r="D107" i="32"/>
  <c r="B107" i="32" s="1"/>
  <c r="G125" i="50" l="1"/>
  <c r="F125" i="50"/>
  <c r="G90" i="50"/>
  <c r="F90" i="50"/>
  <c r="G17" i="50"/>
  <c r="F17" i="50"/>
  <c r="AP97" i="58" l="1"/>
  <c r="AO97" i="58"/>
  <c r="A5" i="8" l="1"/>
  <c r="A4" i="8"/>
  <c r="A3" i="8"/>
  <c r="A2" i="8"/>
  <c r="C125" i="50"/>
  <c r="D125" i="50"/>
  <c r="E125" i="50"/>
  <c r="C128" i="32" l="1"/>
  <c r="C126" i="32"/>
  <c r="C125" i="32"/>
  <c r="B93" i="36" l="1"/>
  <c r="B92" i="36"/>
  <c r="T125" i="58" l="1"/>
  <c r="W119" i="58"/>
  <c r="K61" i="49"/>
  <c r="Q173" i="39" l="1"/>
  <c r="P173" i="39"/>
  <c r="R165" i="39"/>
  <c r="Q165" i="39"/>
  <c r="R160" i="39"/>
  <c r="Q160" i="39"/>
  <c r="O152" i="39"/>
  <c r="N152" i="39"/>
  <c r="O147" i="39"/>
  <c r="N147" i="39"/>
  <c r="X58" i="32"/>
  <c r="W58" i="32"/>
  <c r="X55" i="32"/>
  <c r="W55" i="32"/>
  <c r="O153" i="39" l="1"/>
  <c r="R166" i="39"/>
  <c r="N153" i="39"/>
  <c r="Q166" i="39"/>
  <c r="AI206" i="45"/>
  <c r="AH206" i="45"/>
  <c r="AH21" i="51"/>
  <c r="AG21" i="51"/>
  <c r="L75" i="38"/>
  <c r="K75" i="38"/>
  <c r="F75" i="38"/>
  <c r="H71" i="38"/>
  <c r="H72" i="38"/>
  <c r="H73" i="38"/>
  <c r="H74" i="38"/>
  <c r="I75" i="38"/>
  <c r="J75" i="38"/>
  <c r="P119" i="49"/>
  <c r="O119" i="49"/>
  <c r="N119" i="49"/>
  <c r="M119" i="49"/>
  <c r="L119" i="49"/>
  <c r="K119" i="49"/>
  <c r="J119" i="49"/>
  <c r="I119" i="49"/>
  <c r="H119" i="49"/>
  <c r="G119" i="49"/>
  <c r="F119" i="49"/>
  <c r="E119" i="49"/>
  <c r="D119" i="49"/>
  <c r="CA118" i="49"/>
  <c r="V118" i="49" s="1"/>
  <c r="CA117" i="49"/>
  <c r="V117" i="49" s="1"/>
  <c r="CA116" i="49"/>
  <c r="V116" i="49" s="1"/>
  <c r="CA115" i="49"/>
  <c r="V115" i="49" s="1"/>
  <c r="CA114" i="49"/>
  <c r="V114" i="49" s="1"/>
  <c r="CA113" i="49"/>
  <c r="V113" i="49" s="1"/>
  <c r="CA112" i="49"/>
  <c r="V112" i="49" s="1"/>
  <c r="CA111" i="49"/>
  <c r="V111" i="49" s="1"/>
  <c r="CA110" i="49"/>
  <c r="V110" i="49" s="1"/>
  <c r="CA108" i="49"/>
  <c r="V108" i="49" s="1"/>
  <c r="CA107" i="49"/>
  <c r="V107" i="49" s="1"/>
  <c r="CA106" i="49"/>
  <c r="V106" i="49" s="1"/>
  <c r="CA105" i="49"/>
  <c r="V105" i="49" s="1"/>
  <c r="Y19" i="58"/>
  <c r="X19" i="58"/>
  <c r="B119" i="49" l="1"/>
  <c r="H75" i="38"/>
  <c r="AD48" i="31"/>
  <c r="AC48" i="31"/>
  <c r="DA33" i="49" l="1"/>
  <c r="CA33" i="49" s="1"/>
  <c r="Q33" i="49" s="1"/>
  <c r="AB13" i="48" l="1"/>
  <c r="AL288" i="39" l="1"/>
  <c r="C290" i="52" l="1"/>
  <c r="M125" i="58" l="1"/>
  <c r="G189" i="45"/>
  <c r="H189" i="45"/>
  <c r="I189" i="45"/>
  <c r="J189" i="45"/>
  <c r="K189" i="45"/>
  <c r="L189" i="45"/>
  <c r="M189" i="45"/>
  <c r="N189" i="45"/>
  <c r="O189" i="45"/>
  <c r="P189" i="45"/>
  <c r="Q189" i="45"/>
  <c r="F189" i="45"/>
  <c r="C50" i="39" l="1"/>
  <c r="C49" i="39"/>
  <c r="C48" i="39"/>
  <c r="C47" i="39"/>
  <c r="C46" i="39"/>
  <c r="C45" i="39"/>
  <c r="C43" i="39"/>
  <c r="C42" i="39"/>
  <c r="C41" i="39"/>
  <c r="C40" i="39"/>
  <c r="C39" i="39"/>
  <c r="C38" i="39"/>
  <c r="C37" i="39"/>
  <c r="C61" i="39"/>
  <c r="C74" i="39"/>
  <c r="C73" i="39"/>
  <c r="C72" i="39"/>
  <c r="C71" i="39"/>
  <c r="C70" i="39"/>
  <c r="C69" i="39"/>
  <c r="C67" i="39"/>
  <c r="C66" i="39"/>
  <c r="C65" i="39"/>
  <c r="C64" i="39"/>
  <c r="C63" i="39"/>
  <c r="C62" i="39"/>
  <c r="C60" i="39"/>
  <c r="AC288" i="39" l="1"/>
  <c r="AA288" i="39"/>
  <c r="AO33" i="46" l="1"/>
  <c r="AN33" i="46"/>
  <c r="AM33" i="46"/>
  <c r="AL33" i="46"/>
  <c r="AK33" i="46"/>
  <c r="AJ33" i="46"/>
  <c r="AI33" i="46"/>
  <c r="AH33" i="46"/>
  <c r="AG33" i="46"/>
  <c r="AF33" i="46"/>
  <c r="AE33" i="46"/>
  <c r="AD33" i="46"/>
  <c r="AC33" i="46"/>
  <c r="AB33" i="46"/>
  <c r="AA33" i="46"/>
  <c r="Z33" i="46"/>
  <c r="Y33" i="46"/>
  <c r="X33" i="46"/>
  <c r="W33" i="46"/>
  <c r="V33" i="46"/>
  <c r="U33" i="46"/>
  <c r="T33" i="46"/>
  <c r="S33" i="46"/>
  <c r="R33" i="46"/>
  <c r="Q33" i="46"/>
  <c r="P33" i="46"/>
  <c r="O33" i="46"/>
  <c r="N33" i="46"/>
  <c r="M33" i="46"/>
  <c r="L33" i="46"/>
  <c r="K33" i="46"/>
  <c r="J33" i="46"/>
  <c r="I33" i="46"/>
  <c r="H33" i="46"/>
  <c r="DV228" i="52" l="1"/>
  <c r="CV228" i="52"/>
  <c r="DU228" i="52"/>
  <c r="CU228" i="52"/>
  <c r="DT228" i="52"/>
  <c r="CT228" i="52"/>
  <c r="DS228" i="52"/>
  <c r="CS228" i="52"/>
  <c r="DR228" i="52"/>
  <c r="CR228" i="52"/>
  <c r="DQ228" i="52"/>
  <c r="CQ228" i="52"/>
  <c r="DP228" i="52"/>
  <c r="CP228" i="52"/>
  <c r="DO228" i="52"/>
  <c r="CO228" i="52"/>
  <c r="DN228" i="52"/>
  <c r="CN228" i="52"/>
  <c r="DM228" i="52"/>
  <c r="CM228" i="52"/>
  <c r="DL228" i="52"/>
  <c r="CL228" i="52"/>
  <c r="DK228" i="52"/>
  <c r="CK228" i="52"/>
  <c r="DJ228" i="52"/>
  <c r="CJ228" i="52"/>
  <c r="DI228" i="52"/>
  <c r="CI228" i="52"/>
  <c r="DH228" i="52"/>
  <c r="CH228" i="52"/>
  <c r="DG228" i="52"/>
  <c r="CG228" i="52"/>
  <c r="DF228" i="52"/>
  <c r="CF228" i="52"/>
  <c r="DV227" i="52"/>
  <c r="CV227" i="52"/>
  <c r="DU227" i="52"/>
  <c r="CU227" i="52"/>
  <c r="DT227" i="52"/>
  <c r="CT227" i="52"/>
  <c r="DS227" i="52"/>
  <c r="CS227" i="52"/>
  <c r="DR227" i="52"/>
  <c r="CR227" i="52"/>
  <c r="DQ227" i="52"/>
  <c r="CQ227" i="52"/>
  <c r="DP227" i="52"/>
  <c r="CP227" i="52"/>
  <c r="DO227" i="52"/>
  <c r="CO227" i="52"/>
  <c r="DN227" i="52"/>
  <c r="CN227" i="52"/>
  <c r="DM227" i="52"/>
  <c r="CM227" i="52"/>
  <c r="DL227" i="52"/>
  <c r="CL227" i="52"/>
  <c r="DK227" i="52"/>
  <c r="CK227" i="52"/>
  <c r="DJ227" i="52"/>
  <c r="CJ227" i="52"/>
  <c r="DI227" i="52"/>
  <c r="CI227" i="52"/>
  <c r="DH227" i="52"/>
  <c r="CH227" i="52"/>
  <c r="DG227" i="52"/>
  <c r="CG227" i="52"/>
  <c r="DF227" i="52"/>
  <c r="CF227" i="52"/>
  <c r="I4" i="27" l="1"/>
  <c r="AG4" i="27" s="1"/>
  <c r="CP37" i="58" l="1"/>
  <c r="CF37" i="58" s="1"/>
  <c r="CO37" i="58"/>
  <c r="CE37" i="58" s="1"/>
  <c r="CO64" i="44"/>
  <c r="CG132" i="31" l="1"/>
  <c r="CA132" i="31" s="1"/>
  <c r="CH132" i="31"/>
  <c r="CB132" i="31" s="1"/>
  <c r="CI132" i="31"/>
  <c r="CC132" i="31" s="1"/>
  <c r="CJ132" i="31"/>
  <c r="CD132" i="31" s="1"/>
  <c r="I132" i="31" l="1"/>
  <c r="CA96" i="57"/>
  <c r="CB96" i="57"/>
  <c r="CB95" i="57"/>
  <c r="CA95" i="57"/>
  <c r="CG96" i="57"/>
  <c r="CH96" i="57"/>
  <c r="CH95" i="57"/>
  <c r="CG95" i="57"/>
  <c r="CA92" i="57"/>
  <c r="CB92" i="57"/>
  <c r="CG92" i="57"/>
  <c r="CH92" i="57"/>
  <c r="CH91" i="57"/>
  <c r="CG91" i="57"/>
  <c r="CB91" i="57"/>
  <c r="CA91" i="57"/>
  <c r="CB59" i="57"/>
  <c r="CB58" i="57"/>
  <c r="CB57" i="57"/>
  <c r="CB56" i="57"/>
  <c r="CB53" i="57"/>
  <c r="CB52" i="57"/>
  <c r="CB51" i="57"/>
  <c r="CB50" i="57"/>
  <c r="CB36" i="57"/>
  <c r="CB35" i="57"/>
  <c r="CB23" i="57"/>
  <c r="CB22" i="57"/>
  <c r="CH59" i="57"/>
  <c r="CG59" i="57"/>
  <c r="CA59" i="57"/>
  <c r="CH58" i="57"/>
  <c r="CG58" i="57"/>
  <c r="CA58" i="57"/>
  <c r="E58" i="57" s="1"/>
  <c r="CH57" i="57"/>
  <c r="CG57" i="57"/>
  <c r="CA57" i="57"/>
  <c r="CH56" i="57"/>
  <c r="CG56" i="57"/>
  <c r="CA56" i="57"/>
  <c r="CA51" i="57"/>
  <c r="CG51" i="57"/>
  <c r="CH51" i="57"/>
  <c r="CA52" i="57"/>
  <c r="CG52" i="57"/>
  <c r="CH52" i="57"/>
  <c r="CA53" i="57"/>
  <c r="CG53" i="57"/>
  <c r="CH53" i="57"/>
  <c r="CH50" i="57"/>
  <c r="CG50" i="57"/>
  <c r="CA50" i="57"/>
  <c r="CA36" i="57"/>
  <c r="CG36" i="57"/>
  <c r="CH36" i="57"/>
  <c r="CH35" i="57"/>
  <c r="CG35" i="57"/>
  <c r="CA35" i="57"/>
  <c r="CG23" i="57"/>
  <c r="CH23" i="57"/>
  <c r="CA23" i="57"/>
  <c r="CA22" i="57"/>
  <c r="CH22" i="57"/>
  <c r="CG22" i="57"/>
  <c r="CB14" i="57"/>
  <c r="CB17" i="57"/>
  <c r="CA14" i="57"/>
  <c r="CA17" i="57"/>
  <c r="CB66" i="57"/>
  <c r="CB69" i="57"/>
  <c r="CB72" i="57"/>
  <c r="CB63" i="57"/>
  <c r="CA66" i="57"/>
  <c r="CA69" i="57"/>
  <c r="CA72" i="57"/>
  <c r="CA63" i="57"/>
  <c r="CA81" i="57"/>
  <c r="CB81" i="57"/>
  <c r="CG81" i="57"/>
  <c r="CH81" i="57"/>
  <c r="CA85" i="57"/>
  <c r="CB85" i="57"/>
  <c r="CG85" i="57"/>
  <c r="CH85" i="57"/>
  <c r="CB77" i="57"/>
  <c r="CA77" i="57"/>
  <c r="CH77" i="57"/>
  <c r="CG77" i="57"/>
  <c r="CG66" i="57"/>
  <c r="CH66" i="57"/>
  <c r="CG69" i="57"/>
  <c r="CH69" i="57"/>
  <c r="CG72" i="57"/>
  <c r="CH72" i="57"/>
  <c r="CH63" i="57"/>
  <c r="CG63" i="57"/>
  <c r="CG14" i="57"/>
  <c r="CH14" i="57"/>
  <c r="CG17" i="57"/>
  <c r="CH17" i="57"/>
  <c r="E23" i="57" l="1"/>
  <c r="E36" i="57"/>
  <c r="E35" i="57"/>
  <c r="E51" i="57"/>
  <c r="E57" i="57"/>
  <c r="E50" i="57"/>
  <c r="E56" i="57"/>
  <c r="E96" i="57"/>
  <c r="E95" i="57"/>
  <c r="E92" i="57"/>
  <c r="E91" i="57"/>
  <c r="E52" i="57"/>
  <c r="E53" i="57"/>
  <c r="E59" i="57"/>
  <c r="E22" i="57"/>
  <c r="CF236" i="52"/>
  <c r="DF236" i="52"/>
  <c r="DG236" i="52"/>
  <c r="CG236" i="52" s="1"/>
  <c r="DH236" i="52"/>
  <c r="CH236" i="52" s="1"/>
  <c r="DI236" i="52"/>
  <c r="CI236" i="52" s="1"/>
  <c r="DJ236" i="52"/>
  <c r="CJ236" i="52" s="1"/>
  <c r="DK236" i="52"/>
  <c r="CK236" i="52" s="1"/>
  <c r="DL236" i="52"/>
  <c r="CL236" i="52" s="1"/>
  <c r="DM236" i="52"/>
  <c r="CM236" i="52" s="1"/>
  <c r="DN236" i="52"/>
  <c r="CN236" i="52" s="1"/>
  <c r="DO236" i="52"/>
  <c r="CO236" i="52" s="1"/>
  <c r="DP236" i="52"/>
  <c r="CP236" i="52" s="1"/>
  <c r="DQ236" i="52"/>
  <c r="CQ236" i="52" s="1"/>
  <c r="DR236" i="52"/>
  <c r="CR236" i="52" s="1"/>
  <c r="DS236" i="52"/>
  <c r="CS236" i="52" s="1"/>
  <c r="DT236" i="52"/>
  <c r="CT236" i="52" s="1"/>
  <c r="DU236" i="52"/>
  <c r="CU236" i="52" s="1"/>
  <c r="DV236" i="52"/>
  <c r="CV236" i="52" s="1"/>
  <c r="CF86" i="45" l="1"/>
  <c r="BZ86" i="45" s="1"/>
  <c r="BT86" i="45" s="1"/>
  <c r="CG86" i="45"/>
  <c r="CA86" i="45" s="1"/>
  <c r="BU86" i="45" s="1"/>
  <c r="CH86" i="45"/>
  <c r="CB86" i="45" s="1"/>
  <c r="BV86" i="45" s="1"/>
  <c r="CH85" i="45"/>
  <c r="CB85" i="45" s="1"/>
  <c r="BV85" i="45" s="1"/>
  <c r="CG85" i="45"/>
  <c r="CA85" i="45" s="1"/>
  <c r="BU85" i="45" s="1"/>
  <c r="CF85" i="45"/>
  <c r="BZ85" i="45" s="1"/>
  <c r="BT85" i="45" s="1"/>
  <c r="F86" i="45" l="1"/>
  <c r="F85" i="45"/>
  <c r="D105" i="58"/>
  <c r="B215" i="58" l="1"/>
  <c r="C210" i="58"/>
  <c r="CC210" i="58" s="1"/>
  <c r="V210" i="58" s="1"/>
  <c r="C209" i="58"/>
  <c r="CC209" i="58" s="1"/>
  <c r="V209" i="58" s="1"/>
  <c r="C208" i="58"/>
  <c r="CC208" i="58" s="1"/>
  <c r="V208" i="58" s="1"/>
  <c r="H204" i="58"/>
  <c r="C204" i="58"/>
  <c r="H203" i="58"/>
  <c r="C203" i="58"/>
  <c r="H202" i="58"/>
  <c r="H201" i="58"/>
  <c r="F197" i="58"/>
  <c r="B197" i="58"/>
  <c r="F196" i="58"/>
  <c r="F195" i="58"/>
  <c r="B195" i="58"/>
  <c r="E185" i="58"/>
  <c r="B185" i="58"/>
  <c r="B184" i="58"/>
  <c r="E183" i="58"/>
  <c r="B183" i="58"/>
  <c r="E182" i="58"/>
  <c r="B182" i="58"/>
  <c r="C177" i="58"/>
  <c r="D176" i="58"/>
  <c r="C176" i="58"/>
  <c r="D175" i="58"/>
  <c r="C175" i="58"/>
  <c r="E170" i="58"/>
  <c r="D170" i="58"/>
  <c r="E169" i="58"/>
  <c r="D169" i="58"/>
  <c r="E168" i="58"/>
  <c r="D168" i="58"/>
  <c r="E167" i="58"/>
  <c r="D167" i="58"/>
  <c r="E166" i="58"/>
  <c r="D166" i="58"/>
  <c r="E165" i="58"/>
  <c r="D165" i="58"/>
  <c r="E164" i="58"/>
  <c r="D164" i="58"/>
  <c r="E163" i="58"/>
  <c r="D163" i="58"/>
  <c r="AR160" i="58"/>
  <c r="AQ158" i="58"/>
  <c r="AP158" i="58"/>
  <c r="AO158" i="58"/>
  <c r="AN158" i="58"/>
  <c r="AM158" i="58"/>
  <c r="AL158" i="58"/>
  <c r="AK158" i="58"/>
  <c r="AJ158" i="58"/>
  <c r="AI158" i="58"/>
  <c r="AH158" i="58"/>
  <c r="AG158" i="58"/>
  <c r="AF158" i="58"/>
  <c r="AE158" i="58"/>
  <c r="AD158" i="58"/>
  <c r="AC158" i="58"/>
  <c r="AB158" i="58"/>
  <c r="AA158" i="58"/>
  <c r="Z158" i="58"/>
  <c r="Y158" i="58"/>
  <c r="X158" i="58"/>
  <c r="W158" i="58"/>
  <c r="V158" i="58"/>
  <c r="U158" i="58"/>
  <c r="T158" i="58"/>
  <c r="S158" i="58"/>
  <c r="R158" i="58"/>
  <c r="Q158" i="58"/>
  <c r="P158" i="58"/>
  <c r="O158" i="58"/>
  <c r="N158" i="58"/>
  <c r="M158" i="58"/>
  <c r="L158" i="58"/>
  <c r="K158" i="58"/>
  <c r="J158" i="58"/>
  <c r="I158" i="58"/>
  <c r="H158" i="58"/>
  <c r="G158" i="58"/>
  <c r="F158" i="58"/>
  <c r="E157" i="58"/>
  <c r="D157" i="58"/>
  <c r="E156" i="58"/>
  <c r="D156" i="58"/>
  <c r="E155" i="58"/>
  <c r="D155" i="58"/>
  <c r="E154" i="58"/>
  <c r="D154" i="58"/>
  <c r="E153" i="58"/>
  <c r="D153" i="58"/>
  <c r="E152" i="58"/>
  <c r="D152" i="58"/>
  <c r="E151" i="58"/>
  <c r="D151" i="58"/>
  <c r="E150" i="58"/>
  <c r="D150" i="58"/>
  <c r="E149" i="58"/>
  <c r="D149" i="58"/>
  <c r="E148" i="58"/>
  <c r="D148" i="58"/>
  <c r="AQ147" i="58"/>
  <c r="AP147" i="58"/>
  <c r="AO147" i="58"/>
  <c r="AN147" i="58"/>
  <c r="AM147" i="58"/>
  <c r="AL147" i="58"/>
  <c r="AK147" i="58"/>
  <c r="AJ147" i="58"/>
  <c r="AI147" i="58"/>
  <c r="AH147" i="58"/>
  <c r="AG147" i="58"/>
  <c r="AF147" i="58"/>
  <c r="AE147" i="58"/>
  <c r="AD147" i="58"/>
  <c r="AC147" i="58"/>
  <c r="AB147" i="58"/>
  <c r="AA147" i="58"/>
  <c r="Z147" i="58"/>
  <c r="Y147" i="58"/>
  <c r="X147" i="58"/>
  <c r="W147" i="58"/>
  <c r="V147" i="58"/>
  <c r="U147" i="58"/>
  <c r="T147" i="58"/>
  <c r="S147" i="58"/>
  <c r="R147" i="58"/>
  <c r="Q147" i="58"/>
  <c r="P147" i="58"/>
  <c r="O147" i="58"/>
  <c r="N147" i="58"/>
  <c r="M147" i="58"/>
  <c r="L147" i="58"/>
  <c r="K147" i="58"/>
  <c r="J147" i="58"/>
  <c r="I147" i="58"/>
  <c r="H147" i="58"/>
  <c r="G147" i="58"/>
  <c r="F147" i="58"/>
  <c r="E146" i="58"/>
  <c r="D146" i="58"/>
  <c r="E145" i="58"/>
  <c r="D145" i="58"/>
  <c r="CK157" i="58"/>
  <c r="CA157" i="58" s="1"/>
  <c r="E144" i="58"/>
  <c r="D144" i="58"/>
  <c r="CK156" i="58"/>
  <c r="CA156" i="58" s="1"/>
  <c r="E143" i="58"/>
  <c r="D143" i="58"/>
  <c r="CK155" i="58"/>
  <c r="CA155" i="58" s="1"/>
  <c r="E142" i="58"/>
  <c r="D142" i="58"/>
  <c r="CK154" i="58"/>
  <c r="CA154" i="58" s="1"/>
  <c r="E141" i="58"/>
  <c r="D141" i="58"/>
  <c r="CK153" i="58"/>
  <c r="CA153" i="58" s="1"/>
  <c r="E140" i="58"/>
  <c r="D140" i="58"/>
  <c r="CK152" i="58"/>
  <c r="CA152" i="58" s="1"/>
  <c r="E139" i="58"/>
  <c r="D139" i="58"/>
  <c r="CK151" i="58"/>
  <c r="CA151" i="58" s="1"/>
  <c r="E138" i="58"/>
  <c r="D138" i="58"/>
  <c r="CK150" i="58"/>
  <c r="CA150" i="58" s="1"/>
  <c r="E137" i="58"/>
  <c r="D137" i="58"/>
  <c r="CK149" i="58"/>
  <c r="CA149" i="58" s="1"/>
  <c r="CK148" i="58"/>
  <c r="CA148" i="58" s="1"/>
  <c r="CK146" i="58"/>
  <c r="CA146" i="58" s="1"/>
  <c r="B132" i="58"/>
  <c r="CK145" i="58"/>
  <c r="CA145" i="58" s="1"/>
  <c r="B131" i="58"/>
  <c r="CK144" i="58"/>
  <c r="CA144" i="58" s="1"/>
  <c r="B130" i="58"/>
  <c r="CG130" i="58" s="1"/>
  <c r="CK143" i="58"/>
  <c r="CA143" i="58" s="1"/>
  <c r="CK142" i="58"/>
  <c r="CA142" i="58" s="1"/>
  <c r="CK141" i="58"/>
  <c r="CA141" i="58" s="1"/>
  <c r="CK140" i="58"/>
  <c r="CA140" i="58" s="1"/>
  <c r="CK139" i="58"/>
  <c r="CA139" i="58" s="1"/>
  <c r="CK138" i="58"/>
  <c r="CA138" i="58" s="1"/>
  <c r="S125" i="58"/>
  <c r="Q125" i="58"/>
  <c r="P125" i="58"/>
  <c r="O125" i="58"/>
  <c r="N125" i="58"/>
  <c r="L125" i="58"/>
  <c r="K125" i="58"/>
  <c r="J125" i="58"/>
  <c r="I125" i="58"/>
  <c r="H125" i="58"/>
  <c r="G125" i="58"/>
  <c r="F125" i="58"/>
  <c r="E125" i="58"/>
  <c r="D125" i="58"/>
  <c r="C125" i="58"/>
  <c r="B124" i="58"/>
  <c r="CJ124" i="58" s="1"/>
  <c r="B123" i="58"/>
  <c r="CJ123" i="58" s="1"/>
  <c r="CB132" i="58"/>
  <c r="CB131" i="58"/>
  <c r="CB130" i="58"/>
  <c r="U119" i="58"/>
  <c r="S119" i="58"/>
  <c r="R119" i="58"/>
  <c r="Q119" i="58"/>
  <c r="P119" i="58"/>
  <c r="O119" i="58"/>
  <c r="N119" i="58"/>
  <c r="M119" i="58"/>
  <c r="L119" i="58"/>
  <c r="K119" i="58"/>
  <c r="J119" i="58"/>
  <c r="I119" i="58"/>
  <c r="H119" i="58"/>
  <c r="G119" i="58"/>
  <c r="F119" i="58"/>
  <c r="E119" i="58"/>
  <c r="D119" i="58"/>
  <c r="C119" i="58"/>
  <c r="B118" i="58"/>
  <c r="CJ118" i="58" s="1"/>
  <c r="B117" i="58"/>
  <c r="CJ117" i="58" s="1"/>
  <c r="B116" i="58"/>
  <c r="CJ116" i="58" s="1"/>
  <c r="CF124" i="58"/>
  <c r="CN124" i="58"/>
  <c r="CD124" i="58" s="1"/>
  <c r="CL124" i="58"/>
  <c r="CB124" i="58" s="1"/>
  <c r="CF123" i="58"/>
  <c r="CN123" i="58"/>
  <c r="CD123" i="58" s="1"/>
  <c r="CL123" i="58"/>
  <c r="CB123" i="58" s="1"/>
  <c r="AU111" i="58"/>
  <c r="AT111" i="58"/>
  <c r="AS111" i="58"/>
  <c r="AR111" i="58"/>
  <c r="AQ111" i="58"/>
  <c r="AP111" i="58"/>
  <c r="AM111" i="58"/>
  <c r="AL111" i="58"/>
  <c r="AK111" i="58"/>
  <c r="AJ111" i="58"/>
  <c r="AI111" i="58"/>
  <c r="AH111" i="58"/>
  <c r="AG111" i="58"/>
  <c r="AF111" i="58"/>
  <c r="AE111" i="58"/>
  <c r="AD111" i="58"/>
  <c r="AC111" i="58"/>
  <c r="AB111" i="58"/>
  <c r="AA111" i="58"/>
  <c r="Z111" i="58"/>
  <c r="Y111" i="58"/>
  <c r="X111" i="58"/>
  <c r="W111" i="58"/>
  <c r="V111" i="58"/>
  <c r="U111" i="58"/>
  <c r="T111" i="58"/>
  <c r="S111" i="58"/>
  <c r="R111" i="58"/>
  <c r="Q111" i="58"/>
  <c r="P111" i="58"/>
  <c r="O111" i="58"/>
  <c r="N111" i="58"/>
  <c r="M111" i="58"/>
  <c r="L111" i="58"/>
  <c r="K111" i="58"/>
  <c r="J111" i="58"/>
  <c r="I111" i="58"/>
  <c r="H111" i="58"/>
  <c r="G111" i="58"/>
  <c r="F111" i="58"/>
  <c r="E110" i="58"/>
  <c r="D110" i="58"/>
  <c r="E109" i="58"/>
  <c r="D109" i="58"/>
  <c r="CE118" i="58"/>
  <c r="CM118" i="58"/>
  <c r="CC118" i="58" s="1"/>
  <c r="CL118" i="58"/>
  <c r="CB118" i="58" s="1"/>
  <c r="E108" i="58"/>
  <c r="D108" i="58"/>
  <c r="E107" i="58"/>
  <c r="D107" i="58"/>
  <c r="E106" i="58"/>
  <c r="D106" i="58"/>
  <c r="E105" i="58"/>
  <c r="CE117" i="58"/>
  <c r="CM117" i="58"/>
  <c r="CC117" i="58" s="1"/>
  <c r="CL117" i="58"/>
  <c r="CB117" i="58" s="1"/>
  <c r="E104" i="58"/>
  <c r="D104" i="58"/>
  <c r="CE116" i="58"/>
  <c r="CC116" i="58"/>
  <c r="CB116" i="58"/>
  <c r="E103" i="58"/>
  <c r="C103" i="58" s="1"/>
  <c r="E102" i="58"/>
  <c r="D102" i="58"/>
  <c r="AN97" i="58"/>
  <c r="AM97" i="58"/>
  <c r="AI97" i="58"/>
  <c r="AH97" i="58"/>
  <c r="AG97" i="58"/>
  <c r="AF97" i="58"/>
  <c r="AD97" i="58"/>
  <c r="AC97" i="58"/>
  <c r="AB97" i="58"/>
  <c r="AA97" i="58"/>
  <c r="Y97" i="58"/>
  <c r="X97" i="58"/>
  <c r="W97" i="58"/>
  <c r="V97" i="58"/>
  <c r="U97" i="58"/>
  <c r="T97" i="58"/>
  <c r="S97" i="58"/>
  <c r="R97" i="58"/>
  <c r="Q97" i="58"/>
  <c r="P97" i="58"/>
  <c r="O97" i="58"/>
  <c r="N97" i="58"/>
  <c r="M97" i="58"/>
  <c r="L97" i="58"/>
  <c r="K97" i="58"/>
  <c r="J97" i="58"/>
  <c r="I97" i="58"/>
  <c r="H97" i="58"/>
  <c r="G97" i="58"/>
  <c r="F97" i="58"/>
  <c r="E97" i="58"/>
  <c r="CN37" i="58"/>
  <c r="CD37" i="58" s="1"/>
  <c r="CC37" i="58"/>
  <c r="V19" i="58"/>
  <c r="U19" i="58"/>
  <c r="S19" i="58"/>
  <c r="R19" i="58"/>
  <c r="Q19" i="58"/>
  <c r="P19" i="58"/>
  <c r="O19" i="58"/>
  <c r="N19" i="58"/>
  <c r="M19" i="58"/>
  <c r="L19" i="58"/>
  <c r="K19" i="58"/>
  <c r="J19" i="58"/>
  <c r="I19" i="58"/>
  <c r="H19" i="58"/>
  <c r="G19" i="58"/>
  <c r="F19" i="58"/>
  <c r="E19" i="58"/>
  <c r="D19" i="58"/>
  <c r="C19" i="58"/>
  <c r="CB18" i="58"/>
  <c r="B18" i="58"/>
  <c r="CF18" i="58" s="1"/>
  <c r="CB17" i="58"/>
  <c r="B17" i="58"/>
  <c r="CF17" i="58" s="1"/>
  <c r="CB16" i="58"/>
  <c r="CB15" i="58"/>
  <c r="B15" i="58"/>
  <c r="CF15" i="58" s="1"/>
  <c r="CB14" i="58"/>
  <c r="B14" i="58"/>
  <c r="CF14" i="58" s="1"/>
  <c r="A5" i="58"/>
  <c r="A4" i="58"/>
  <c r="A3" i="58"/>
  <c r="A2" i="58"/>
  <c r="CK131" i="58" l="1"/>
  <c r="CA131" i="58" s="1"/>
  <c r="CG131" i="58"/>
  <c r="CN132" i="58"/>
  <c r="CD132" i="58" s="1"/>
  <c r="CG132" i="58"/>
  <c r="CP130" i="58"/>
  <c r="CF130" i="58" s="1"/>
  <c r="CN130" i="58"/>
  <c r="CD130" i="58" s="1"/>
  <c r="CO130" i="58"/>
  <c r="CE130" i="58" s="1"/>
  <c r="CR118" i="58"/>
  <c r="CH118" i="58" s="1"/>
  <c r="CP119" i="58"/>
  <c r="CF119" i="58" s="1"/>
  <c r="CK14" i="58"/>
  <c r="CA14" i="58" s="1"/>
  <c r="CN14" i="58"/>
  <c r="CD14" i="58" s="1"/>
  <c r="CO14" i="58"/>
  <c r="CE14" i="58" s="1"/>
  <c r="CK15" i="58"/>
  <c r="CA15" i="58" s="1"/>
  <c r="CN15" i="58"/>
  <c r="CD15" i="58" s="1"/>
  <c r="CO15" i="58"/>
  <c r="CE15" i="58" s="1"/>
  <c r="CO119" i="58"/>
  <c r="CE119" i="58" s="1"/>
  <c r="CQ125" i="58"/>
  <c r="CG125" i="58" s="1"/>
  <c r="CK18" i="58"/>
  <c r="CA18" i="58" s="1"/>
  <c r="CO18" i="58"/>
  <c r="CE18" i="58" s="1"/>
  <c r="CN18" i="58"/>
  <c r="CD18" i="58" s="1"/>
  <c r="CK16" i="58"/>
  <c r="CA16" i="58" s="1"/>
  <c r="CO16" i="58"/>
  <c r="CE16" i="58" s="1"/>
  <c r="CN16" i="58"/>
  <c r="CD16" i="58" s="1"/>
  <c r="CR116" i="58"/>
  <c r="CH116" i="58" s="1"/>
  <c r="CN116" i="58"/>
  <c r="CD116" i="58" s="1"/>
  <c r="CK116" i="58"/>
  <c r="CA116" i="58" s="1"/>
  <c r="CO123" i="58"/>
  <c r="CE123" i="58" s="1"/>
  <c r="CR123" i="58"/>
  <c r="CH123" i="58" s="1"/>
  <c r="CS123" i="58"/>
  <c r="CI123" i="58" s="1"/>
  <c r="CP125" i="58"/>
  <c r="CF125" i="58" s="1"/>
  <c r="CK17" i="58"/>
  <c r="CA17" i="58" s="1"/>
  <c r="CO17" i="58"/>
  <c r="CE17" i="58" s="1"/>
  <c r="CN17" i="58"/>
  <c r="CD17" i="58" s="1"/>
  <c r="CR117" i="58"/>
  <c r="CH117" i="58" s="1"/>
  <c r="CR124" i="58"/>
  <c r="CH124" i="58" s="1"/>
  <c r="CS124" i="58"/>
  <c r="CI124" i="58" s="1"/>
  <c r="B97" i="58"/>
  <c r="C102" i="58"/>
  <c r="CL37" i="58"/>
  <c r="CB37" i="58" s="1"/>
  <c r="AR37" i="58" s="1"/>
  <c r="B175" i="58"/>
  <c r="C146" i="58"/>
  <c r="CP132" i="58"/>
  <c r="CF132" i="58" s="1"/>
  <c r="C142" i="58"/>
  <c r="CK132" i="58"/>
  <c r="CA132" i="58" s="1"/>
  <c r="CO132" i="58"/>
  <c r="CE132" i="58" s="1"/>
  <c r="C150" i="58"/>
  <c r="C154" i="58"/>
  <c r="C156" i="58"/>
  <c r="C167" i="58"/>
  <c r="CC167" i="58" s="1"/>
  <c r="C169" i="58"/>
  <c r="CC169" i="58" s="1"/>
  <c r="C139" i="58"/>
  <c r="CK124" i="58"/>
  <c r="CA124" i="58" s="1"/>
  <c r="CO124" i="58"/>
  <c r="CE124" i="58" s="1"/>
  <c r="CN117" i="58"/>
  <c r="CD117" i="58" s="1"/>
  <c r="CP103" i="58"/>
  <c r="CF103" i="58" s="1"/>
  <c r="CM103" i="58"/>
  <c r="CC103" i="58" s="1"/>
  <c r="CO103" i="58"/>
  <c r="CE103" i="58" s="1"/>
  <c r="CN103" i="58"/>
  <c r="CD103" i="58" s="1"/>
  <c r="C108" i="58"/>
  <c r="C138" i="58"/>
  <c r="CK31" i="58"/>
  <c r="CA31" i="58" s="1"/>
  <c r="X31" i="58" s="1"/>
  <c r="C151" i="58"/>
  <c r="C164" i="58"/>
  <c r="CC164" i="58" s="1"/>
  <c r="C104" i="58"/>
  <c r="CL125" i="58"/>
  <c r="CB125" i="58" s="1"/>
  <c r="C163" i="58"/>
  <c r="CC163" i="58" s="1"/>
  <c r="C153" i="58"/>
  <c r="C157" i="58"/>
  <c r="B177" i="58"/>
  <c r="C143" i="58"/>
  <c r="C165" i="58"/>
  <c r="CC165" i="58" s="1"/>
  <c r="B176" i="58"/>
  <c r="E147" i="58"/>
  <c r="CK118" i="58"/>
  <c r="CA118" i="58" s="1"/>
  <c r="C166" i="58"/>
  <c r="CC166" i="58" s="1"/>
  <c r="CN118" i="58"/>
  <c r="CD118" i="58" s="1"/>
  <c r="C170" i="58"/>
  <c r="CC170" i="58" s="1"/>
  <c r="C106" i="58"/>
  <c r="CL119" i="58"/>
  <c r="CB119" i="58" s="1"/>
  <c r="CN125" i="58"/>
  <c r="CD125" i="58" s="1"/>
  <c r="C110" i="58"/>
  <c r="C155" i="58"/>
  <c r="C107" i="58"/>
  <c r="CM119" i="58"/>
  <c r="CC119" i="58" s="1"/>
  <c r="CK130" i="58"/>
  <c r="CA130" i="58" s="1"/>
  <c r="C141" i="58"/>
  <c r="C145" i="58"/>
  <c r="C168" i="58"/>
  <c r="CC168" i="58" s="1"/>
  <c r="AE97" i="58"/>
  <c r="CM124" i="58"/>
  <c r="CC124" i="58" s="1"/>
  <c r="C137" i="58"/>
  <c r="CG137" i="58" s="1"/>
  <c r="D158" i="58"/>
  <c r="B19" i="58"/>
  <c r="E111" i="58"/>
  <c r="C109" i="58"/>
  <c r="C140" i="58"/>
  <c r="C144" i="58"/>
  <c r="E158" i="58"/>
  <c r="C152" i="58"/>
  <c r="Z97" i="58"/>
  <c r="D111" i="58"/>
  <c r="B119" i="58"/>
  <c r="CM123" i="58"/>
  <c r="CC123" i="58" s="1"/>
  <c r="CO131" i="58"/>
  <c r="CE131" i="58" s="1"/>
  <c r="CN131" i="58"/>
  <c r="CD131" i="58" s="1"/>
  <c r="CK117" i="58"/>
  <c r="CA117" i="58" s="1"/>
  <c r="CK123" i="58"/>
  <c r="CA123" i="58" s="1"/>
  <c r="CP131" i="58"/>
  <c r="CF131" i="58" s="1"/>
  <c r="C105" i="58"/>
  <c r="B125" i="58"/>
  <c r="CS125" i="58" s="1"/>
  <c r="D147" i="58"/>
  <c r="C149" i="58"/>
  <c r="CG149" i="58" s="1"/>
  <c r="C148" i="58"/>
  <c r="CG148" i="58" s="1"/>
  <c r="CC177" i="58" l="1"/>
  <c r="CL177" i="58"/>
  <c r="CB177" i="58" s="1"/>
  <c r="CK177" i="58"/>
  <c r="CA177" i="58" s="1"/>
  <c r="AJ177" i="58" s="1"/>
  <c r="CC175" i="58"/>
  <c r="CK175" i="58"/>
  <c r="CA175" i="58" s="1"/>
  <c r="CL175" i="58"/>
  <c r="CB175" i="58" s="1"/>
  <c r="CC176" i="58"/>
  <c r="CL176" i="58"/>
  <c r="CB176" i="58" s="1"/>
  <c r="CK176" i="58"/>
  <c r="CA176" i="58" s="1"/>
  <c r="X117" i="58"/>
  <c r="X116" i="58"/>
  <c r="AB130" i="58"/>
  <c r="AB131" i="58"/>
  <c r="U124" i="58"/>
  <c r="CN155" i="58"/>
  <c r="CD155" i="58" s="1"/>
  <c r="CG155" i="58"/>
  <c r="CM139" i="58"/>
  <c r="CC139" i="58" s="1"/>
  <c r="CG139" i="58"/>
  <c r="CL141" i="58"/>
  <c r="CB141" i="58" s="1"/>
  <c r="CG141" i="58"/>
  <c r="X118" i="58"/>
  <c r="CL157" i="58"/>
  <c r="CB157" i="58" s="1"/>
  <c r="CG157" i="58"/>
  <c r="CL151" i="58"/>
  <c r="CB151" i="58" s="1"/>
  <c r="CG151" i="58"/>
  <c r="CL146" i="58"/>
  <c r="CB146" i="58" s="1"/>
  <c r="CG146" i="58"/>
  <c r="CL150" i="58"/>
  <c r="CB150" i="58" s="1"/>
  <c r="CG150" i="58"/>
  <c r="CM146" i="58"/>
  <c r="CC146" i="58" s="1"/>
  <c r="CL152" i="58"/>
  <c r="CB152" i="58" s="1"/>
  <c r="CG152" i="58"/>
  <c r="CL145" i="58"/>
  <c r="CB145" i="58" s="1"/>
  <c r="CG145" i="58"/>
  <c r="CM144" i="58"/>
  <c r="CC144" i="58" s="1"/>
  <c r="CG144" i="58"/>
  <c r="CL153" i="58"/>
  <c r="CB153" i="58" s="1"/>
  <c r="CG153" i="58"/>
  <c r="CL142" i="58"/>
  <c r="CB142" i="58" s="1"/>
  <c r="CG142" i="58"/>
  <c r="CL154" i="58"/>
  <c r="CB154" i="58" s="1"/>
  <c r="CG154" i="58"/>
  <c r="CM143" i="58"/>
  <c r="CC143" i="58" s="1"/>
  <c r="CG143" i="58"/>
  <c r="CL140" i="58"/>
  <c r="CB140" i="58" s="1"/>
  <c r="CG140" i="58"/>
  <c r="CL138" i="58"/>
  <c r="CB138" i="58" s="1"/>
  <c r="CG138" i="58"/>
  <c r="CL156" i="58"/>
  <c r="CB156" i="58" s="1"/>
  <c r="CG156" i="58"/>
  <c r="AA14" i="58"/>
  <c r="AB132" i="58"/>
  <c r="CL166" i="58"/>
  <c r="CB166" i="58" s="1"/>
  <c r="CK166" i="58"/>
  <c r="CA166" i="58" s="1"/>
  <c r="CK165" i="58"/>
  <c r="CA165" i="58" s="1"/>
  <c r="CL165" i="58"/>
  <c r="CB165" i="58" s="1"/>
  <c r="CL164" i="58"/>
  <c r="CB164" i="58" s="1"/>
  <c r="CK164" i="58"/>
  <c r="CA164" i="58" s="1"/>
  <c r="CN137" i="58"/>
  <c r="CD137" i="58" s="1"/>
  <c r="CM137" i="58"/>
  <c r="CC137" i="58" s="1"/>
  <c r="CL137" i="58"/>
  <c r="CB137" i="58" s="1"/>
  <c r="CL168" i="58"/>
  <c r="CB168" i="58" s="1"/>
  <c r="CK168" i="58"/>
  <c r="CA168" i="58" s="1"/>
  <c r="CL163" i="58"/>
  <c r="CB163" i="58" s="1"/>
  <c r="CK163" i="58"/>
  <c r="CA163" i="58" s="1"/>
  <c r="CK169" i="58"/>
  <c r="CA169" i="58" s="1"/>
  <c r="CL169" i="58"/>
  <c r="CB169" i="58" s="1"/>
  <c r="CL170" i="58"/>
  <c r="CB170" i="58" s="1"/>
  <c r="CK170" i="58"/>
  <c r="CA170" i="58" s="1"/>
  <c r="CK167" i="58"/>
  <c r="CA167" i="58" s="1"/>
  <c r="CL167" i="58"/>
  <c r="CB167" i="58" s="1"/>
  <c r="AA16" i="58"/>
  <c r="AA15" i="58"/>
  <c r="CN119" i="58"/>
  <c r="CD119" i="58" s="1"/>
  <c r="CR119" i="58"/>
  <c r="CH119" i="58" s="1"/>
  <c r="X124" i="58"/>
  <c r="AA18" i="58"/>
  <c r="CR125" i="58"/>
  <c r="CH125" i="58" s="1"/>
  <c r="AA17" i="58"/>
  <c r="CN146" i="58"/>
  <c r="CD146" i="58" s="1"/>
  <c r="CM142" i="58"/>
  <c r="CC142" i="58" s="1"/>
  <c r="CN142" i="58"/>
  <c r="CD142" i="58" s="1"/>
  <c r="C147" i="58"/>
  <c r="CN139" i="58"/>
  <c r="CD139" i="58" s="1"/>
  <c r="CL139" i="58"/>
  <c r="CB139" i="58" s="1"/>
  <c r="CM150" i="58"/>
  <c r="CC150" i="58" s="1"/>
  <c r="CN156" i="58"/>
  <c r="CD156" i="58" s="1"/>
  <c r="CM154" i="58"/>
  <c r="CC154" i="58" s="1"/>
  <c r="CM156" i="58"/>
  <c r="CC156" i="58" s="1"/>
  <c r="CN154" i="58"/>
  <c r="CD154" i="58" s="1"/>
  <c r="CM151" i="58"/>
  <c r="CC151" i="58" s="1"/>
  <c r="CN157" i="58"/>
  <c r="CD157" i="58" s="1"/>
  <c r="CN150" i="58"/>
  <c r="CD150" i="58" s="1"/>
  <c r="CM153" i="58"/>
  <c r="CC153" i="58" s="1"/>
  <c r="CN153" i="58"/>
  <c r="CD153" i="58" s="1"/>
  <c r="CN151" i="58"/>
  <c r="CD151" i="58" s="1"/>
  <c r="CM157" i="58"/>
  <c r="CC157" i="58" s="1"/>
  <c r="CM138" i="58"/>
  <c r="CC138" i="58" s="1"/>
  <c r="CN138" i="58"/>
  <c r="CD138" i="58" s="1"/>
  <c r="CN105" i="58"/>
  <c r="CD105" i="58" s="1"/>
  <c r="CP105" i="58"/>
  <c r="CF105" i="58" s="1"/>
  <c r="CM105" i="58"/>
  <c r="CC105" i="58" s="1"/>
  <c r="CO105" i="58"/>
  <c r="CE105" i="58" s="1"/>
  <c r="AV103" i="58"/>
  <c r="CN107" i="58"/>
  <c r="CD107" i="58" s="1"/>
  <c r="CM107" i="58"/>
  <c r="CC107" i="58" s="1"/>
  <c r="CO107" i="58"/>
  <c r="CE107" i="58" s="1"/>
  <c r="CP107" i="58"/>
  <c r="CF107" i="58" s="1"/>
  <c r="CO110" i="58"/>
  <c r="CE110" i="58" s="1"/>
  <c r="CN110" i="58"/>
  <c r="CD110" i="58" s="1"/>
  <c r="CP110" i="58"/>
  <c r="CF110" i="58" s="1"/>
  <c r="CM110" i="58"/>
  <c r="CC110" i="58" s="1"/>
  <c r="CO109" i="58"/>
  <c r="CE109" i="58" s="1"/>
  <c r="CP109" i="58"/>
  <c r="CF109" i="58" s="1"/>
  <c r="CM109" i="58"/>
  <c r="CC109" i="58" s="1"/>
  <c r="CN109" i="58"/>
  <c r="CD109" i="58" s="1"/>
  <c r="CO106" i="58"/>
  <c r="CE106" i="58" s="1"/>
  <c r="CN106" i="58"/>
  <c r="CD106" i="58" s="1"/>
  <c r="CM106" i="58"/>
  <c r="CC106" i="58" s="1"/>
  <c r="CP106" i="58"/>
  <c r="CF106" i="58" s="1"/>
  <c r="CO108" i="58"/>
  <c r="CE108" i="58" s="1"/>
  <c r="CM108" i="58"/>
  <c r="CC108" i="58" s="1"/>
  <c r="CP108" i="58"/>
  <c r="CF108" i="58" s="1"/>
  <c r="CN108" i="58"/>
  <c r="CD108" i="58" s="1"/>
  <c r="CP104" i="58"/>
  <c r="CF104" i="58" s="1"/>
  <c r="CN104" i="58"/>
  <c r="CD104" i="58" s="1"/>
  <c r="CO104" i="58"/>
  <c r="CE104" i="58" s="1"/>
  <c r="CM104" i="58"/>
  <c r="CC104" i="58" s="1"/>
  <c r="CM102" i="58"/>
  <c r="CC102" i="58" s="1"/>
  <c r="CO102" i="58"/>
  <c r="CE102" i="58" s="1"/>
  <c r="CP102" i="58"/>
  <c r="CF102" i="58" s="1"/>
  <c r="CN102" i="58"/>
  <c r="CD102" i="58" s="1"/>
  <c r="C158" i="58"/>
  <c r="CN145" i="58"/>
  <c r="CD145" i="58" s="1"/>
  <c r="CN143" i="58"/>
  <c r="CD143" i="58" s="1"/>
  <c r="CN152" i="58"/>
  <c r="CD152" i="58" s="1"/>
  <c r="CN140" i="58"/>
  <c r="CD140" i="58" s="1"/>
  <c r="CL155" i="58"/>
  <c r="CB155" i="58" s="1"/>
  <c r="CL143" i="58"/>
  <c r="CB143" i="58" s="1"/>
  <c r="CN141" i="58"/>
  <c r="CD141" i="58" s="1"/>
  <c r="CM140" i="58"/>
  <c r="CC140" i="58" s="1"/>
  <c r="CM141" i="58"/>
  <c r="CC141" i="58" s="1"/>
  <c r="CM145" i="58"/>
  <c r="CC145" i="58" s="1"/>
  <c r="CM155" i="58"/>
  <c r="CC155" i="58" s="1"/>
  <c r="CM152" i="58"/>
  <c r="CC152" i="58" s="1"/>
  <c r="CN144" i="58"/>
  <c r="CD144" i="58" s="1"/>
  <c r="CL144" i="58"/>
  <c r="CB144" i="58" s="1"/>
  <c r="CI125" i="58"/>
  <c r="CM125" i="58"/>
  <c r="CC125" i="58" s="1"/>
  <c r="CO125" i="58"/>
  <c r="CE125" i="58" s="1"/>
  <c r="CK119" i="58"/>
  <c r="CA119" i="58" s="1"/>
  <c r="CN149" i="58"/>
  <c r="CD149" i="58" s="1"/>
  <c r="CM149" i="58"/>
  <c r="CC149" i="58" s="1"/>
  <c r="CL149" i="58"/>
  <c r="CB149" i="58" s="1"/>
  <c r="C111" i="58"/>
  <c r="CN148" i="58"/>
  <c r="CD148" i="58" s="1"/>
  <c r="CM148" i="58"/>
  <c r="CC148" i="58" s="1"/>
  <c r="CL148" i="58"/>
  <c r="CB148" i="58" s="1"/>
  <c r="CK125" i="58"/>
  <c r="CA125" i="58" s="1"/>
  <c r="AJ176" i="58" l="1"/>
  <c r="AJ175" i="58"/>
  <c r="AJ170" i="58"/>
  <c r="AS145" i="58"/>
  <c r="AS144" i="58"/>
  <c r="AS146" i="58"/>
  <c r="AS157" i="58"/>
  <c r="AJ168" i="58"/>
  <c r="AS140" i="58"/>
  <c r="AS139" i="58"/>
  <c r="AS152" i="58"/>
  <c r="AS141" i="58"/>
  <c r="AS153" i="58"/>
  <c r="AJ166" i="58"/>
  <c r="AS143" i="58"/>
  <c r="AS151" i="58"/>
  <c r="AS138" i="58"/>
  <c r="AS156" i="58"/>
  <c r="AJ165" i="58"/>
  <c r="AS154" i="58"/>
  <c r="A256" i="58"/>
  <c r="F32" i="28" s="1"/>
  <c r="AS142" i="58"/>
  <c r="AJ163" i="58"/>
  <c r="AS150" i="58"/>
  <c r="AJ164" i="58"/>
  <c r="B256" i="58"/>
  <c r="D32" i="28" s="1"/>
  <c r="AS137" i="58"/>
  <c r="AJ169" i="58"/>
  <c r="AS148" i="58"/>
  <c r="AS149" i="58"/>
  <c r="AS155" i="58"/>
  <c r="AJ167" i="58"/>
  <c r="AV105" i="58"/>
  <c r="AV106" i="58"/>
  <c r="AV109" i="58"/>
  <c r="AV108" i="58"/>
  <c r="AV107" i="58"/>
  <c r="AV110" i="58"/>
  <c r="AV104" i="58"/>
  <c r="AV102" i="58"/>
  <c r="D69" i="42"/>
  <c r="E68" i="42"/>
  <c r="E67" i="42"/>
  <c r="E66" i="42"/>
  <c r="E65" i="42"/>
  <c r="C64" i="42"/>
  <c r="D63" i="42"/>
  <c r="D62" i="42"/>
  <c r="D61" i="42"/>
  <c r="D60" i="42"/>
  <c r="D59" i="42"/>
  <c r="D58" i="42"/>
  <c r="D57" i="42"/>
  <c r="E54" i="42"/>
  <c r="D56" i="42"/>
  <c r="D55" i="42"/>
  <c r="D54" i="42"/>
  <c r="D47" i="42"/>
  <c r="D53" i="42"/>
  <c r="E52" i="42"/>
  <c r="E51" i="42"/>
  <c r="E50" i="42"/>
  <c r="D51" i="42"/>
  <c r="D49" i="42"/>
  <c r="D52" i="42"/>
  <c r="D50" i="42"/>
  <c r="D48" i="42"/>
  <c r="D46" i="42"/>
  <c r="D43" i="42"/>
  <c r="D40" i="42"/>
  <c r="D37" i="42"/>
  <c r="E46" i="42"/>
  <c r="E45" i="42"/>
  <c r="D45" i="42"/>
  <c r="E44" i="42"/>
  <c r="D44" i="42"/>
  <c r="E43" i="42"/>
  <c r="E42" i="42"/>
  <c r="D42" i="42"/>
  <c r="E41" i="42"/>
  <c r="D41" i="42"/>
  <c r="E40" i="42"/>
  <c r="E39" i="42"/>
  <c r="D39" i="42"/>
  <c r="E38" i="42"/>
  <c r="D38" i="42"/>
  <c r="E37" i="42"/>
  <c r="E36" i="42"/>
  <c r="D36" i="42"/>
  <c r="E35" i="42"/>
  <c r="E34" i="42"/>
  <c r="E33" i="42"/>
  <c r="E32" i="42"/>
  <c r="E31" i="42"/>
  <c r="E30" i="42"/>
  <c r="E29" i="42"/>
  <c r="E28" i="42"/>
  <c r="E27" i="42"/>
  <c r="E26" i="42"/>
  <c r="E25" i="42"/>
  <c r="D25" i="42"/>
  <c r="D35" i="42"/>
  <c r="D34" i="42"/>
  <c r="D33" i="42"/>
  <c r="D32" i="42"/>
  <c r="D31" i="42"/>
  <c r="D30" i="42"/>
  <c r="D29" i="42"/>
  <c r="D28" i="42"/>
  <c r="D27" i="42"/>
  <c r="D26" i="42"/>
  <c r="AL30" i="36"/>
  <c r="AF48" i="36"/>
  <c r="AG68" i="36"/>
  <c r="U87" i="36"/>
  <c r="C15" i="44"/>
  <c r="E15" i="42" l="1"/>
  <c r="E24" i="42"/>
  <c r="E23" i="42"/>
  <c r="E22" i="42"/>
  <c r="E21" i="42"/>
  <c r="E20" i="42"/>
  <c r="E19" i="42"/>
  <c r="E18" i="42"/>
  <c r="E17" i="42"/>
  <c r="E16" i="42"/>
  <c r="E14" i="42"/>
  <c r="D24" i="42"/>
  <c r="D23" i="42"/>
  <c r="D22" i="42"/>
  <c r="D21" i="42"/>
  <c r="D20" i="42"/>
  <c r="D19" i="42"/>
  <c r="D18" i="42"/>
  <c r="D17" i="42"/>
  <c r="D16" i="42"/>
  <c r="D15" i="42"/>
  <c r="E100" i="31"/>
  <c r="D43" i="31"/>
  <c r="CG80" i="31" l="1"/>
  <c r="CA80" i="31" s="1"/>
  <c r="J80" i="31" s="1"/>
  <c r="CD43" i="31"/>
  <c r="CC43" i="31"/>
  <c r="CA81" i="31"/>
  <c r="J81" i="31" s="1"/>
  <c r="C87" i="49" l="1"/>
  <c r="C83" i="49"/>
  <c r="AF11" i="31" l="1"/>
  <c r="B66" i="48"/>
  <c r="M39" i="46" l="1"/>
  <c r="L39" i="46"/>
  <c r="K39" i="46"/>
  <c r="J39" i="46"/>
  <c r="I39" i="46"/>
  <c r="H39" i="46"/>
  <c r="G39" i="46"/>
  <c r="F39" i="46"/>
  <c r="B31" i="46"/>
  <c r="DE31" i="46" l="1"/>
  <c r="CH31" i="46" s="1"/>
  <c r="DD31" i="46"/>
  <c r="CG31" i="46" s="1"/>
  <c r="DG31" i="46"/>
  <c r="CJ31" i="46" s="1"/>
  <c r="DF31" i="46"/>
  <c r="CI31" i="46" s="1"/>
  <c r="E171" i="45"/>
  <c r="D171" i="45"/>
  <c r="E205" i="45"/>
  <c r="D205" i="45"/>
  <c r="D206" i="45" s="1"/>
  <c r="AV31" i="46" l="1"/>
  <c r="C204" i="45"/>
  <c r="C205" i="45"/>
  <c r="B68" i="57" l="1"/>
  <c r="B67" i="57"/>
  <c r="B65" i="57"/>
  <c r="B64" i="57"/>
  <c r="B46" i="57"/>
  <c r="B41" i="57"/>
  <c r="B42" i="57"/>
  <c r="B43" i="57"/>
  <c r="B44" i="57"/>
  <c r="B45" i="57"/>
  <c r="B47" i="57"/>
  <c r="B40" i="57"/>
  <c r="CH42" i="57" l="1"/>
  <c r="CB42" i="57"/>
  <c r="CA42" i="57"/>
  <c r="CG42" i="57"/>
  <c r="CH43" i="57"/>
  <c r="CB43" i="57"/>
  <c r="CG43" i="57"/>
  <c r="CA43" i="57"/>
  <c r="CA41" i="57"/>
  <c r="CH41" i="57"/>
  <c r="CB41" i="57"/>
  <c r="CG41" i="57"/>
  <c r="CH46" i="57"/>
  <c r="CB46" i="57"/>
  <c r="CA46" i="57"/>
  <c r="CG46" i="57"/>
  <c r="CB40" i="57"/>
  <c r="CA40" i="57"/>
  <c r="CH40" i="57"/>
  <c r="CG40" i="57"/>
  <c r="CB64" i="57"/>
  <c r="CH64" i="57"/>
  <c r="CA64" i="57"/>
  <c r="CG64" i="57"/>
  <c r="CA47" i="57"/>
  <c r="CH47" i="57"/>
  <c r="CB47" i="57"/>
  <c r="CG47" i="57"/>
  <c r="CB65" i="57"/>
  <c r="CG65" i="57"/>
  <c r="CH65" i="57"/>
  <c r="CA65" i="57"/>
  <c r="CB45" i="57"/>
  <c r="CG45" i="57"/>
  <c r="CA45" i="57"/>
  <c r="CH45" i="57"/>
  <c r="CH67" i="57"/>
  <c r="CB67" i="57"/>
  <c r="CA67" i="57"/>
  <c r="CG67" i="57"/>
  <c r="CG44" i="57"/>
  <c r="CB44" i="57"/>
  <c r="CH44" i="57"/>
  <c r="CA44" i="57"/>
  <c r="CA68" i="57"/>
  <c r="CG68" i="57"/>
  <c r="CH68" i="57"/>
  <c r="CB68" i="57"/>
  <c r="N42" i="57" l="1"/>
  <c r="N46" i="57"/>
  <c r="N41" i="57"/>
  <c r="N45" i="57"/>
  <c r="N47" i="57"/>
  <c r="N67" i="57"/>
  <c r="N64" i="57"/>
  <c r="N68" i="57"/>
  <c r="N65" i="57"/>
  <c r="N44" i="57"/>
  <c r="N43" i="57"/>
  <c r="N40" i="57"/>
  <c r="B80" i="57" l="1"/>
  <c r="B79" i="57"/>
  <c r="B78" i="57"/>
  <c r="B32" i="57"/>
  <c r="B27" i="57"/>
  <c r="B31" i="57"/>
  <c r="B30" i="57"/>
  <c r="B29" i="57"/>
  <c r="B28" i="57"/>
  <c r="B19" i="57"/>
  <c r="B18" i="57"/>
  <c r="B16" i="57"/>
  <c r="B15" i="57"/>
  <c r="B13" i="57"/>
  <c r="B12" i="57"/>
  <c r="CB31" i="57" l="1"/>
  <c r="CG31" i="57"/>
  <c r="CH31" i="57"/>
  <c r="CA31" i="57"/>
  <c r="CH30" i="57"/>
  <c r="CG30" i="57"/>
  <c r="CA30" i="57"/>
  <c r="CB30" i="57"/>
  <c r="CA32" i="57"/>
  <c r="CG32" i="57"/>
  <c r="CB32" i="57"/>
  <c r="CH32" i="57"/>
  <c r="CG12" i="57"/>
  <c r="CB12" i="57"/>
  <c r="CA12" i="57"/>
  <c r="CH12" i="57"/>
  <c r="CH13" i="57"/>
  <c r="CB13" i="57"/>
  <c r="CA13" i="57"/>
  <c r="CG13" i="57"/>
  <c r="CH15" i="57"/>
  <c r="CG15" i="57"/>
  <c r="CB15" i="57"/>
  <c r="CA15" i="57"/>
  <c r="CB16" i="57"/>
  <c r="CA16" i="57"/>
  <c r="CG16" i="57"/>
  <c r="CH16" i="57"/>
  <c r="CG18" i="57"/>
  <c r="CB18" i="57"/>
  <c r="CA18" i="57"/>
  <c r="CH18" i="57"/>
  <c r="CA78" i="57"/>
  <c r="CB78" i="57"/>
  <c r="CG78" i="57"/>
  <c r="CH78" i="57"/>
  <c r="CG19" i="57"/>
  <c r="CB19" i="57"/>
  <c r="CA19" i="57"/>
  <c r="CH19" i="57"/>
  <c r="CB79" i="57"/>
  <c r="CH79" i="57"/>
  <c r="CG79" i="57"/>
  <c r="CA79" i="57"/>
  <c r="CH29" i="57"/>
  <c r="CA29" i="57"/>
  <c r="CB29" i="57"/>
  <c r="CG29" i="57"/>
  <c r="CA27" i="57"/>
  <c r="CG27" i="57"/>
  <c r="CB27" i="57"/>
  <c r="CH27" i="57"/>
  <c r="CA28" i="57"/>
  <c r="CB28" i="57"/>
  <c r="CG28" i="57"/>
  <c r="CH28" i="57"/>
  <c r="CA80" i="57"/>
  <c r="CB80" i="57"/>
  <c r="CG80" i="57"/>
  <c r="CH80" i="57"/>
  <c r="D63" i="31"/>
  <c r="CG63" i="31" s="1"/>
  <c r="CA63" i="31" s="1"/>
  <c r="J63" i="31" s="1"/>
  <c r="N79" i="57" l="1"/>
  <c r="N31" i="57"/>
  <c r="N29" i="57"/>
  <c r="N16" i="57"/>
  <c r="N15" i="57"/>
  <c r="N19" i="57"/>
  <c r="N12" i="57"/>
  <c r="N18" i="57"/>
  <c r="N80" i="57"/>
  <c r="N78" i="57"/>
  <c r="N30" i="57"/>
  <c r="N28" i="57"/>
  <c r="N27" i="57"/>
  <c r="N32" i="57"/>
  <c r="N13" i="57"/>
  <c r="A5" i="57" l="1"/>
  <c r="A4" i="57"/>
  <c r="A3" i="57"/>
  <c r="A2" i="57"/>
  <c r="B88" i="57"/>
  <c r="B87" i="57"/>
  <c r="B86" i="57"/>
  <c r="B84" i="57"/>
  <c r="B83" i="57"/>
  <c r="B82" i="57"/>
  <c r="B73" i="57"/>
  <c r="B71" i="57"/>
  <c r="B70" i="57"/>
  <c r="CA86" i="57" l="1"/>
  <c r="CB86" i="57"/>
  <c r="CG86" i="57"/>
  <c r="CH86" i="57"/>
  <c r="CB87" i="57"/>
  <c r="CH87" i="57"/>
  <c r="CG87" i="57"/>
  <c r="CA87" i="57"/>
  <c r="CB70" i="57"/>
  <c r="CA70" i="57"/>
  <c r="CG70" i="57"/>
  <c r="CH70" i="57"/>
  <c r="A101" i="57"/>
  <c r="F18" i="28" s="1"/>
  <c r="CB88" i="57"/>
  <c r="CH88" i="57"/>
  <c r="CG88" i="57"/>
  <c r="CA88" i="57"/>
  <c r="CA84" i="57"/>
  <c r="CB84" i="57"/>
  <c r="CG84" i="57"/>
  <c r="CH84" i="57"/>
  <c r="CH71" i="57"/>
  <c r="CB71" i="57"/>
  <c r="CA71" i="57"/>
  <c r="CG71" i="57"/>
  <c r="CH73" i="57"/>
  <c r="CB73" i="57"/>
  <c r="CA73" i="57"/>
  <c r="CG73" i="57"/>
  <c r="CA82" i="57"/>
  <c r="CB82" i="57"/>
  <c r="CG82" i="57"/>
  <c r="CH82" i="57"/>
  <c r="CB83" i="57"/>
  <c r="CH83" i="57"/>
  <c r="CA83" i="57"/>
  <c r="CG83" i="57"/>
  <c r="N71" i="57" l="1"/>
  <c r="N73" i="57"/>
  <c r="N83" i="57"/>
  <c r="N87" i="57"/>
  <c r="N70" i="57"/>
  <c r="N88" i="57"/>
  <c r="N86" i="57"/>
  <c r="N82" i="57"/>
  <c r="N84" i="57"/>
  <c r="B101" i="57"/>
  <c r="D18" i="28" s="1"/>
  <c r="E162" i="8" l="1"/>
  <c r="B143" i="8"/>
  <c r="DA143" i="8" l="1"/>
  <c r="CA143" i="8" s="1"/>
  <c r="DB143" i="8"/>
  <c r="CB143" i="8" s="1"/>
  <c r="DC143" i="8"/>
  <c r="CC143" i="8" s="1"/>
  <c r="DD143" i="8"/>
  <c r="CD143" i="8" s="1"/>
  <c r="C162" i="8"/>
  <c r="DD162" i="8"/>
  <c r="CD162" i="8" s="1"/>
  <c r="DA162" i="8"/>
  <c r="CA162" i="8" s="1"/>
  <c r="DB162" i="8"/>
  <c r="CB162" i="8" s="1"/>
  <c r="DC162" i="8"/>
  <c r="CC162" i="8" s="1"/>
  <c r="V143" i="8" l="1"/>
  <c r="AR162" i="8"/>
  <c r="C78" i="39"/>
  <c r="C77" i="39"/>
  <c r="C54" i="39"/>
  <c r="C53" i="39"/>
  <c r="E290" i="39" l="1"/>
  <c r="C290" i="39" s="1"/>
  <c r="E289" i="39"/>
  <c r="C289" i="39" s="1"/>
  <c r="E297" i="39"/>
  <c r="C297" i="39" s="1"/>
  <c r="E296" i="39"/>
  <c r="C296" i="39" s="1"/>
  <c r="E295" i="39"/>
  <c r="C295" i="39" s="1"/>
  <c r="E294" i="39"/>
  <c r="C294" i="39" s="1"/>
  <c r="E293" i="39"/>
  <c r="C293" i="39" s="1"/>
  <c r="E292" i="39"/>
  <c r="C292" i="39" s="1"/>
  <c r="E291" i="39"/>
  <c r="C291" i="39" s="1"/>
  <c r="D204" i="39"/>
  <c r="D183" i="39"/>
  <c r="E256" i="39" l="1"/>
  <c r="E252" i="39"/>
  <c r="C242" i="39"/>
  <c r="E231" i="39"/>
  <c r="D275" i="39"/>
  <c r="D252" i="39"/>
  <c r="C252" i="39" s="1"/>
  <c r="D231" i="39"/>
  <c r="E161" i="39"/>
  <c r="D161" i="39"/>
  <c r="E157" i="39"/>
  <c r="D157" i="39"/>
  <c r="F152" i="39"/>
  <c r="E98" i="39"/>
  <c r="D100" i="39"/>
  <c r="D98" i="39"/>
  <c r="E90" i="39"/>
  <c r="D90" i="39"/>
  <c r="C85" i="39"/>
  <c r="F165" i="39"/>
  <c r="F160" i="39"/>
  <c r="E174" i="39"/>
  <c r="D174" i="39"/>
  <c r="F173" i="39"/>
  <c r="E170" i="39"/>
  <c r="D170" i="39"/>
  <c r="C136" i="39" l="1"/>
  <c r="C90" i="39"/>
  <c r="C98" i="39"/>
  <c r="C231" i="39"/>
  <c r="E280" i="39"/>
  <c r="D280" i="39"/>
  <c r="E311" i="39"/>
  <c r="E298" i="39"/>
  <c r="D298" i="39"/>
  <c r="E326" i="39"/>
  <c r="D326" i="39"/>
  <c r="D334" i="39"/>
  <c r="D333" i="39"/>
  <c r="C333" i="39"/>
  <c r="C311" i="39" l="1"/>
  <c r="B333" i="39"/>
  <c r="C23" i="32" l="1"/>
  <c r="C12" i="32" s="1"/>
  <c r="C55" i="32"/>
  <c r="B97" i="32"/>
  <c r="O107" i="32"/>
  <c r="N107" i="32"/>
  <c r="M107" i="32"/>
  <c r="L107" i="32"/>
  <c r="E14" i="45"/>
  <c r="E13" i="45"/>
  <c r="D13" i="45"/>
  <c r="E40" i="45"/>
  <c r="E39" i="45"/>
  <c r="E38" i="45"/>
  <c r="E37" i="45"/>
  <c r="E36" i="45"/>
  <c r="E35" i="45"/>
  <c r="E34" i="45"/>
  <c r="E33" i="45"/>
  <c r="E32" i="45"/>
  <c r="E31" i="45"/>
  <c r="E30" i="45"/>
  <c r="E29" i="45"/>
  <c r="E28" i="45"/>
  <c r="E27" i="45"/>
  <c r="E26" i="45"/>
  <c r="E25" i="45"/>
  <c r="E24" i="45"/>
  <c r="E23" i="45"/>
  <c r="E22" i="45"/>
  <c r="E21" i="45"/>
  <c r="E20" i="45"/>
  <c r="C19" i="45"/>
  <c r="D35" i="45"/>
  <c r="D34" i="45"/>
  <c r="D33" i="45"/>
  <c r="D32" i="45"/>
  <c r="D31" i="45"/>
  <c r="D30" i="45"/>
  <c r="D29" i="45"/>
  <c r="D28" i="45"/>
  <c r="D27" i="45"/>
  <c r="D48" i="45"/>
  <c r="C48" i="45"/>
  <c r="D47" i="45"/>
  <c r="D46" i="45"/>
  <c r="C47" i="45"/>
  <c r="C46" i="45"/>
  <c r="D55" i="45"/>
  <c r="C55" i="45"/>
  <c r="D151" i="45"/>
  <c r="F150" i="45"/>
  <c r="E112" i="45"/>
  <c r="E111" i="45"/>
  <c r="E109" i="45"/>
  <c r="E115" i="45"/>
  <c r="E114" i="45"/>
  <c r="E110" i="45"/>
  <c r="D115" i="45"/>
  <c r="D114" i="45"/>
  <c r="D112" i="45"/>
  <c r="D110" i="45"/>
  <c r="D109" i="45"/>
  <c r="F96" i="45"/>
  <c r="E181" i="45"/>
  <c r="AD206" i="45"/>
  <c r="AE206" i="45"/>
  <c r="F206" i="45"/>
  <c r="E21" i="51"/>
  <c r="D75" i="38"/>
  <c r="E75" i="38"/>
  <c r="C45" i="38"/>
  <c r="B47" i="45" l="1"/>
  <c r="B48" i="45"/>
  <c r="C12" i="45"/>
  <c r="C83" i="32"/>
  <c r="C107" i="45"/>
  <c r="B45" i="45"/>
  <c r="DA45" i="45" s="1"/>
  <c r="E206" i="45"/>
  <c r="C206" i="45" s="1"/>
  <c r="B46" i="45"/>
  <c r="B13" i="32"/>
  <c r="CA45" i="45" l="1"/>
  <c r="Q45" i="45" s="1"/>
  <c r="D298" i="52"/>
  <c r="C296" i="52"/>
  <c r="C298" i="52" l="1"/>
  <c r="B298" i="52" s="1"/>
  <c r="D297" i="52"/>
  <c r="C297" i="52"/>
  <c r="D296" i="52"/>
  <c r="B296" i="52" s="1"/>
  <c r="D291" i="52"/>
  <c r="C291" i="52"/>
  <c r="D290" i="52"/>
  <c r="D285" i="52"/>
  <c r="C285" i="52"/>
  <c r="D284" i="52"/>
  <c r="C284" i="52"/>
  <c r="D283" i="52"/>
  <c r="C283" i="52"/>
  <c r="D282" i="52"/>
  <c r="C282" i="52"/>
  <c r="D281" i="52"/>
  <c r="C281" i="52"/>
  <c r="D280" i="52"/>
  <c r="C280" i="52"/>
  <c r="B274" i="52"/>
  <c r="B273" i="52"/>
  <c r="B272" i="52"/>
  <c r="B271" i="52"/>
  <c r="B270" i="52"/>
  <c r="B266" i="52"/>
  <c r="B265" i="52"/>
  <c r="B264" i="52"/>
  <c r="B263" i="52"/>
  <c r="B262" i="52"/>
  <c r="B285" i="52" l="1"/>
  <c r="B280" i="52"/>
  <c r="DB273" i="52"/>
  <c r="CA273" i="52"/>
  <c r="CB273" i="52"/>
  <c r="DA273" i="52"/>
  <c r="CA271" i="52"/>
  <c r="CB271" i="52"/>
  <c r="DA271" i="52"/>
  <c r="DB271" i="52"/>
  <c r="CA272" i="52"/>
  <c r="DA272" i="52"/>
  <c r="CB272" i="52"/>
  <c r="DB272" i="52"/>
  <c r="CA262" i="52"/>
  <c r="CB262" i="52"/>
  <c r="DA263" i="52"/>
  <c r="DB263" i="52"/>
  <c r="CA263" i="52"/>
  <c r="CB263" i="52"/>
  <c r="CB274" i="52"/>
  <c r="DA274" i="52"/>
  <c r="DB274" i="52"/>
  <c r="CA274" i="52"/>
  <c r="CA264" i="52"/>
  <c r="CB264" i="52"/>
  <c r="DA264" i="52"/>
  <c r="DB264" i="52"/>
  <c r="CA265" i="52"/>
  <c r="DB265" i="52"/>
  <c r="CB265" i="52"/>
  <c r="DA265" i="52"/>
  <c r="B297" i="52"/>
  <c r="DB270" i="52"/>
  <c r="DA270" i="52"/>
  <c r="CB270" i="52"/>
  <c r="CA270" i="52"/>
  <c r="CA298" i="52"/>
  <c r="CB298" i="52"/>
  <c r="DA298" i="52"/>
  <c r="DB298" i="52"/>
  <c r="CA266" i="52"/>
  <c r="DB266" i="52"/>
  <c r="CB266" i="52"/>
  <c r="DA266" i="52"/>
  <c r="DB262" i="52"/>
  <c r="DA262" i="52"/>
  <c r="B284" i="52"/>
  <c r="B281" i="52"/>
  <c r="B290" i="52"/>
  <c r="B283" i="52"/>
  <c r="B291" i="52"/>
  <c r="B282" i="52"/>
  <c r="O266" i="52" l="1"/>
  <c r="O265" i="52"/>
  <c r="O264" i="52"/>
  <c r="O263" i="52"/>
  <c r="O262" i="52"/>
  <c r="AM298" i="52"/>
  <c r="U274" i="52"/>
  <c r="U273" i="52"/>
  <c r="U272" i="52"/>
  <c r="U271" i="52"/>
  <c r="U270" i="52"/>
  <c r="DA297" i="52"/>
  <c r="CB297" i="52"/>
  <c r="CA297" i="52"/>
  <c r="DB297" i="52"/>
  <c r="DA290" i="52"/>
  <c r="CB290" i="52"/>
  <c r="CA290" i="52"/>
  <c r="DB290" i="52"/>
  <c r="CA291" i="52"/>
  <c r="CB291" i="52"/>
  <c r="DA291" i="52"/>
  <c r="DB291" i="52"/>
  <c r="E39" i="46"/>
  <c r="AC206" i="45"/>
  <c r="AB206" i="45"/>
  <c r="AA206" i="45"/>
  <c r="Z206" i="45"/>
  <c r="Y206" i="45"/>
  <c r="X206" i="45"/>
  <c r="W206" i="45"/>
  <c r="V206" i="45"/>
  <c r="U206" i="45"/>
  <c r="T206" i="45"/>
  <c r="S206" i="45"/>
  <c r="R206" i="45"/>
  <c r="Q206" i="45"/>
  <c r="P206" i="45"/>
  <c r="O206" i="45"/>
  <c r="N206" i="45"/>
  <c r="M206" i="45"/>
  <c r="L206" i="45"/>
  <c r="K206" i="45"/>
  <c r="J206" i="45"/>
  <c r="I206" i="45"/>
  <c r="H206" i="45"/>
  <c r="G206" i="45"/>
  <c r="AM297" i="52" l="1"/>
  <c r="AE290" i="52"/>
  <c r="AE291" i="52"/>
  <c r="AA48" i="31" l="1"/>
  <c r="B127" i="31" l="1"/>
  <c r="B126" i="31"/>
  <c r="C33" i="45" l="1"/>
  <c r="C32" i="45"/>
  <c r="C34" i="45" l="1"/>
  <c r="C35" i="45"/>
  <c r="B99" i="32" l="1"/>
  <c r="B98" i="32"/>
  <c r="B95" i="32"/>
  <c r="B94" i="32"/>
  <c r="B93" i="32"/>
  <c r="B92" i="32"/>
  <c r="B32" i="46" l="1"/>
  <c r="B33" i="46" l="1"/>
  <c r="DF32" i="46"/>
  <c r="CI32" i="46" s="1"/>
  <c r="DE32" i="46"/>
  <c r="CH32" i="46" s="1"/>
  <c r="DD32" i="46"/>
  <c r="CG32" i="46" s="1"/>
  <c r="DG32" i="46"/>
  <c r="CJ32" i="46" s="1"/>
  <c r="F33" i="46"/>
  <c r="G33" i="46"/>
  <c r="E32" i="46"/>
  <c r="E31" i="46"/>
  <c r="E161" i="8"/>
  <c r="E33" i="46" l="1"/>
  <c r="AV32" i="46" l="1"/>
  <c r="C242" i="52"/>
  <c r="E66" i="48" l="1"/>
  <c r="D66" i="48"/>
  <c r="C66" i="48"/>
  <c r="C316" i="39" l="1"/>
  <c r="E270" i="39" l="1"/>
  <c r="E271" i="39"/>
  <c r="E272" i="39"/>
  <c r="E273" i="39"/>
  <c r="D270" i="39"/>
  <c r="D271" i="39"/>
  <c r="D272" i="39"/>
  <c r="D273" i="39"/>
  <c r="E222" i="39"/>
  <c r="E223" i="39"/>
  <c r="E224" i="39"/>
  <c r="E225" i="39"/>
  <c r="D222" i="39"/>
  <c r="D223" i="39"/>
  <c r="D224" i="39"/>
  <c r="D225" i="39"/>
  <c r="C222" i="39" l="1"/>
  <c r="C270" i="39"/>
  <c r="C224" i="39"/>
  <c r="C272" i="39"/>
  <c r="C271" i="39"/>
  <c r="C223" i="39"/>
  <c r="C273" i="39"/>
  <c r="C225" i="39"/>
  <c r="I107" i="32"/>
  <c r="J107" i="32"/>
  <c r="K107" i="32" l="1"/>
  <c r="H107" i="32"/>
  <c r="G107" i="32"/>
  <c r="C48" i="44" l="1"/>
  <c r="C47" i="44"/>
  <c r="C46" i="44"/>
  <c r="CQ46" i="44" l="1"/>
  <c r="CP46" i="44"/>
  <c r="CQ47" i="44"/>
  <c r="CP47" i="44"/>
  <c r="CQ48" i="44"/>
  <c r="CP48" i="44"/>
  <c r="CB48" i="44"/>
  <c r="CA48" i="44"/>
  <c r="CB47" i="44"/>
  <c r="CA47" i="44"/>
  <c r="CB46" i="44"/>
  <c r="CA46" i="44"/>
  <c r="D15" i="44"/>
  <c r="D14" i="44"/>
  <c r="C14" i="44"/>
  <c r="B14" i="44" l="1"/>
  <c r="B15" i="44"/>
  <c r="CQ15" i="44" l="1"/>
  <c r="CP15" i="44"/>
  <c r="CP14" i="44"/>
  <c r="CQ14" i="44"/>
  <c r="CB15" i="44"/>
  <c r="CA15" i="44"/>
  <c r="CB14" i="44"/>
  <c r="CA14" i="44"/>
  <c r="C164" i="8"/>
  <c r="D106" i="31" l="1"/>
  <c r="DA12" i="8" l="1"/>
  <c r="DA13" i="8"/>
  <c r="DA14" i="8"/>
  <c r="DA15" i="8"/>
  <c r="DA16" i="8"/>
  <c r="DA17" i="8"/>
  <c r="DA18" i="8"/>
  <c r="DA19" i="8"/>
  <c r="DA20" i="8"/>
  <c r="DA21" i="8"/>
  <c r="DA22" i="8"/>
  <c r="DA23" i="8"/>
  <c r="DA24" i="8"/>
  <c r="DA25" i="8"/>
  <c r="DA26" i="8"/>
  <c r="DA27" i="8"/>
  <c r="DA28" i="8"/>
  <c r="DA29" i="8"/>
  <c r="DA30" i="8"/>
  <c r="DA31" i="8"/>
  <c r="DA32" i="8"/>
  <c r="DA33" i="8"/>
  <c r="DA34" i="8"/>
  <c r="DA36" i="8"/>
  <c r="DA37" i="8"/>
  <c r="DA38" i="8"/>
  <c r="DA39" i="8"/>
  <c r="DA40" i="8"/>
  <c r="DA41" i="8"/>
  <c r="DA42" i="8"/>
  <c r="DA43" i="8"/>
  <c r="DA44" i="8"/>
  <c r="DA45" i="8"/>
  <c r="DA46" i="8"/>
  <c r="DA47" i="8"/>
  <c r="DA48" i="8"/>
  <c r="DA49" i="8"/>
  <c r="DA50" i="8"/>
  <c r="DA51" i="8"/>
  <c r="DA52" i="8"/>
  <c r="DA53" i="8"/>
  <c r="DA54" i="8"/>
  <c r="DA55" i="8"/>
  <c r="DA56" i="8"/>
  <c r="DA57" i="8"/>
  <c r="DA58" i="8"/>
  <c r="DA59" i="8"/>
  <c r="DA60" i="8"/>
  <c r="DA61" i="8"/>
  <c r="DA62" i="8"/>
  <c r="DA63" i="8"/>
  <c r="DA64" i="8"/>
  <c r="DA65" i="8"/>
  <c r="DA67" i="8"/>
  <c r="DA68" i="8"/>
  <c r="DA69" i="8"/>
  <c r="DA70" i="8"/>
  <c r="D249" i="52" l="1"/>
  <c r="C249" i="52"/>
  <c r="I48" i="36"/>
  <c r="CB249" i="52" l="1"/>
  <c r="DB249" i="52"/>
  <c r="I288" i="39"/>
  <c r="G288" i="39"/>
  <c r="W35" i="8" l="1"/>
  <c r="DB16" i="8"/>
  <c r="DB15" i="8"/>
  <c r="DB14" i="8"/>
  <c r="DB13" i="8"/>
  <c r="C161" i="8"/>
  <c r="G61" i="49"/>
  <c r="D61" i="49"/>
  <c r="C59" i="49"/>
  <c r="C52" i="49"/>
  <c r="C11" i="49"/>
  <c r="DD11" i="49" l="1"/>
  <c r="CD11" i="49" s="1"/>
  <c r="DC11" i="49"/>
  <c r="CC11" i="49" s="1"/>
  <c r="DA52" i="49"/>
  <c r="CA52" i="49" s="1"/>
  <c r="DD52" i="49"/>
  <c r="CD52" i="49" s="1"/>
  <c r="DC52" i="49"/>
  <c r="CC52" i="49" s="1"/>
  <c r="DB52" i="49"/>
  <c r="CB52" i="49" s="1"/>
  <c r="DA59" i="49"/>
  <c r="CA59" i="49" s="1"/>
  <c r="DD59" i="49"/>
  <c r="CD59" i="49" s="1"/>
  <c r="DC59" i="49"/>
  <c r="CC59" i="49" s="1"/>
  <c r="DB59" i="49"/>
  <c r="CB59" i="49" s="1"/>
  <c r="DB35" i="8"/>
  <c r="DA35" i="8"/>
  <c r="DB66" i="8"/>
  <c r="DA66" i="8"/>
  <c r="DB11" i="8"/>
  <c r="DA11" i="8"/>
  <c r="B121" i="31"/>
  <c r="D113" i="31"/>
  <c r="E101" i="31"/>
  <c r="D19" i="36"/>
  <c r="AV30" i="36"/>
  <c r="N59" i="49" l="1"/>
  <c r="N52" i="49"/>
  <c r="B35" i="36"/>
  <c r="C52" i="36"/>
  <c r="C87" i="36"/>
  <c r="G87" i="36"/>
  <c r="E69" i="42" l="1"/>
  <c r="C69" i="42" s="1"/>
  <c r="C25" i="49" l="1"/>
  <c r="DA11" i="49"/>
  <c r="CA11" i="49" s="1"/>
  <c r="C10" i="49"/>
  <c r="C30" i="49"/>
  <c r="C29" i="49"/>
  <c r="C28" i="49"/>
  <c r="C27" i="49"/>
  <c r="C26" i="49"/>
  <c r="C24" i="49"/>
  <c r="C23" i="49"/>
  <c r="C22" i="49"/>
  <c r="C21" i="49"/>
  <c r="C20" i="49"/>
  <c r="C19" i="49"/>
  <c r="C18" i="49"/>
  <c r="C17" i="49"/>
  <c r="C16" i="49"/>
  <c r="C15" i="49"/>
  <c r="C14" i="49"/>
  <c r="DA13" i="49"/>
  <c r="CA13" i="49" s="1"/>
  <c r="C12" i="49"/>
  <c r="DA21" i="49" l="1"/>
  <c r="CA21" i="49" s="1"/>
  <c r="DC21" i="49"/>
  <c r="CC21" i="49" s="1"/>
  <c r="DD21" i="49"/>
  <c r="CD21" i="49" s="1"/>
  <c r="DD10" i="49"/>
  <c r="CD10" i="49" s="1"/>
  <c r="DC10" i="49"/>
  <c r="CC10" i="49" s="1"/>
  <c r="DA10" i="49"/>
  <c r="DA17" i="49"/>
  <c r="CA17" i="49" s="1"/>
  <c r="DD17" i="49"/>
  <c r="CD17" i="49" s="1"/>
  <c r="DC17" i="49"/>
  <c r="CC17" i="49" s="1"/>
  <c r="DA26" i="49"/>
  <c r="CA26" i="49" s="1"/>
  <c r="DC26" i="49"/>
  <c r="CC26" i="49" s="1"/>
  <c r="DD26" i="49"/>
  <c r="CD26" i="49" s="1"/>
  <c r="DC30" i="49"/>
  <c r="CC30" i="49" s="1"/>
  <c r="DD30" i="49"/>
  <c r="CD30" i="49" s="1"/>
  <c r="DA14" i="49"/>
  <c r="CA14" i="49" s="1"/>
  <c r="DD14" i="49"/>
  <c r="CD14" i="49" s="1"/>
  <c r="DC14" i="49"/>
  <c r="CC14" i="49" s="1"/>
  <c r="DB18" i="49"/>
  <c r="DC18" i="49"/>
  <c r="CC18" i="49" s="1"/>
  <c r="DD18" i="49"/>
  <c r="CD18" i="49" s="1"/>
  <c r="DC22" i="49"/>
  <c r="CC22" i="49" s="1"/>
  <c r="DD22" i="49"/>
  <c r="CD22" i="49" s="1"/>
  <c r="DA27" i="49"/>
  <c r="CA27" i="49" s="1"/>
  <c r="DC27" i="49"/>
  <c r="CC27" i="49" s="1"/>
  <c r="DD27" i="49"/>
  <c r="CD27" i="49" s="1"/>
  <c r="DA15" i="49"/>
  <c r="CA15" i="49" s="1"/>
  <c r="DD15" i="49"/>
  <c r="CD15" i="49" s="1"/>
  <c r="DC15" i="49"/>
  <c r="CC15" i="49" s="1"/>
  <c r="DC19" i="49"/>
  <c r="CC19" i="49" s="1"/>
  <c r="DD19" i="49"/>
  <c r="CD19" i="49" s="1"/>
  <c r="DC23" i="49"/>
  <c r="CC23" i="49" s="1"/>
  <c r="DD23" i="49"/>
  <c r="CD23" i="49" s="1"/>
  <c r="DA28" i="49"/>
  <c r="CA28" i="49" s="1"/>
  <c r="DC28" i="49"/>
  <c r="CC28" i="49" s="1"/>
  <c r="DD28" i="49"/>
  <c r="CD28" i="49" s="1"/>
  <c r="DA12" i="49"/>
  <c r="CA12" i="49" s="1"/>
  <c r="DD12" i="49"/>
  <c r="CD12" i="49" s="1"/>
  <c r="DC12" i="49"/>
  <c r="CC12" i="49" s="1"/>
  <c r="DA16" i="49"/>
  <c r="CA16" i="49" s="1"/>
  <c r="DD16" i="49"/>
  <c r="CD16" i="49" s="1"/>
  <c r="DC16" i="49"/>
  <c r="CC16" i="49" s="1"/>
  <c r="DC20" i="49"/>
  <c r="CC20" i="49" s="1"/>
  <c r="DD20" i="49"/>
  <c r="CD20" i="49" s="1"/>
  <c r="DC24" i="49"/>
  <c r="CC24" i="49" s="1"/>
  <c r="DD24" i="49"/>
  <c r="CD24" i="49" s="1"/>
  <c r="DC29" i="49"/>
  <c r="CC29" i="49" s="1"/>
  <c r="DD29" i="49"/>
  <c r="CD29" i="49" s="1"/>
  <c r="DC25" i="49"/>
  <c r="CC25" i="49" s="1"/>
  <c r="DD25" i="49"/>
  <c r="CD25" i="49" s="1"/>
  <c r="DA23" i="49"/>
  <c r="CA23" i="49" s="1"/>
  <c r="DB23" i="49"/>
  <c r="DA24" i="49"/>
  <c r="CA24" i="49" s="1"/>
  <c r="DB24" i="49"/>
  <c r="DA18" i="49"/>
  <c r="CA18" i="49" s="1"/>
  <c r="DA19" i="49"/>
  <c r="CA19" i="49" s="1"/>
  <c r="DB19" i="49"/>
  <c r="DA20" i="49"/>
  <c r="CA20" i="49" s="1"/>
  <c r="DB20" i="49"/>
  <c r="DA29" i="49"/>
  <c r="CA29" i="49" s="1"/>
  <c r="DB29" i="49"/>
  <c r="DA30" i="49"/>
  <c r="CA30" i="49" s="1"/>
  <c r="DB30" i="49"/>
  <c r="DA31" i="49"/>
  <c r="CA31" i="49" s="1"/>
  <c r="DB31" i="49"/>
  <c r="DA25" i="49"/>
  <c r="CA25" i="49" s="1"/>
  <c r="DB25" i="49"/>
  <c r="DA22" i="49"/>
  <c r="CA22" i="49" s="1"/>
  <c r="CA10" i="49" l="1"/>
  <c r="D98" i="40" l="1"/>
  <c r="E96" i="40"/>
  <c r="E97" i="40"/>
  <c r="P104" i="32" l="1"/>
  <c r="A5" i="36"/>
  <c r="A4" i="36"/>
  <c r="A3" i="36"/>
  <c r="A2" i="36"/>
  <c r="A5" i="50"/>
  <c r="A4" i="50"/>
  <c r="A3" i="50"/>
  <c r="A2" i="50"/>
  <c r="A5" i="44"/>
  <c r="A4" i="44"/>
  <c r="A3" i="44"/>
  <c r="A2" i="44"/>
  <c r="A5" i="31"/>
  <c r="A4" i="31"/>
  <c r="A3" i="31"/>
  <c r="A2" i="31"/>
  <c r="A5" i="55"/>
  <c r="A4" i="55"/>
  <c r="A3" i="55"/>
  <c r="A2" i="55"/>
  <c r="A5" i="43"/>
  <c r="A4" i="43"/>
  <c r="A3" i="43"/>
  <c r="A2" i="43"/>
  <c r="A5" i="48"/>
  <c r="A4" i="48"/>
  <c r="A3" i="48"/>
  <c r="A2" i="48"/>
  <c r="A5" i="53"/>
  <c r="A4" i="53"/>
  <c r="A3" i="53"/>
  <c r="A2" i="53"/>
  <c r="A5" i="42"/>
  <c r="A4" i="42"/>
  <c r="A3" i="42"/>
  <c r="A2" i="42"/>
  <c r="A5" i="52"/>
  <c r="A4" i="52"/>
  <c r="A3" i="52"/>
  <c r="A2" i="52"/>
  <c r="A5" i="46"/>
  <c r="A4" i="46"/>
  <c r="A3" i="46"/>
  <c r="A2" i="46"/>
  <c r="A5" i="39"/>
  <c r="A4" i="39"/>
  <c r="A3" i="39"/>
  <c r="A2" i="39"/>
  <c r="A5" i="45"/>
  <c r="A4" i="45"/>
  <c r="A3" i="45"/>
  <c r="A2" i="45"/>
  <c r="A5" i="32"/>
  <c r="A4" i="32"/>
  <c r="A3" i="32"/>
  <c r="A2" i="32"/>
  <c r="A5" i="51"/>
  <c r="A4" i="51"/>
  <c r="A3" i="51"/>
  <c r="A2" i="51"/>
  <c r="A5" i="38"/>
  <c r="A4" i="38"/>
  <c r="A3" i="38"/>
  <c r="A2" i="38"/>
  <c r="D29" i="28"/>
  <c r="B335" i="55" l="1"/>
  <c r="D24" i="28" s="1"/>
  <c r="AB28" i="55"/>
  <c r="AA28" i="55"/>
  <c r="Z28" i="55"/>
  <c r="Y28" i="55"/>
  <c r="X28" i="55"/>
  <c r="W28" i="55"/>
  <c r="V28" i="55"/>
  <c r="U28" i="55"/>
  <c r="T28" i="55"/>
  <c r="S28" i="55"/>
  <c r="R28" i="55"/>
  <c r="Q28" i="55"/>
  <c r="P28" i="55"/>
  <c r="O28" i="55"/>
  <c r="N28" i="55"/>
  <c r="M28" i="55"/>
  <c r="L28" i="55"/>
  <c r="K28" i="55"/>
  <c r="J28" i="55"/>
  <c r="I28" i="55"/>
  <c r="Z15" i="55"/>
  <c r="Y15" i="55"/>
  <c r="X15" i="55"/>
  <c r="W15" i="55"/>
  <c r="V15" i="55"/>
  <c r="U15" i="55"/>
  <c r="T15" i="55"/>
  <c r="S15" i="55"/>
  <c r="R15" i="55"/>
  <c r="Q15" i="55"/>
  <c r="P15" i="55"/>
  <c r="O15" i="55"/>
  <c r="N15" i="55"/>
  <c r="M15" i="55"/>
  <c r="L15" i="55"/>
  <c r="K15" i="55"/>
  <c r="J15" i="55"/>
  <c r="I15" i="55"/>
  <c r="H15" i="55"/>
  <c r="G15" i="55"/>
  <c r="B195" i="53"/>
  <c r="D20" i="28" s="1"/>
  <c r="BW48" i="53"/>
  <c r="K44" i="53"/>
  <c r="J44" i="53"/>
  <c r="I44" i="53"/>
  <c r="E44" i="53"/>
  <c r="D44" i="53"/>
  <c r="L43" i="53"/>
  <c r="L41" i="53"/>
  <c r="L36" i="53"/>
  <c r="L35" i="53"/>
  <c r="L34" i="53"/>
  <c r="K11" i="53"/>
  <c r="J11" i="53"/>
  <c r="I11" i="53"/>
  <c r="H11" i="53"/>
  <c r="DV258" i="52"/>
  <c r="CV258" i="52" s="1"/>
  <c r="DU258" i="52"/>
  <c r="CU258" i="52" s="1"/>
  <c r="DT258" i="52"/>
  <c r="CT258" i="52" s="1"/>
  <c r="DS258" i="52"/>
  <c r="CS258" i="52" s="1"/>
  <c r="DR258" i="52"/>
  <c r="CR258" i="52" s="1"/>
  <c r="DQ258" i="52"/>
  <c r="CQ258" i="52" s="1"/>
  <c r="DP258" i="52"/>
  <c r="CP258" i="52" s="1"/>
  <c r="DO258" i="52"/>
  <c r="CO258" i="52" s="1"/>
  <c r="DN258" i="52"/>
  <c r="CN258" i="52" s="1"/>
  <c r="DM258" i="52"/>
  <c r="CM258" i="52" s="1"/>
  <c r="DL258" i="52"/>
  <c r="CL258" i="52" s="1"/>
  <c r="DK258" i="52"/>
  <c r="CK258" i="52" s="1"/>
  <c r="DJ258" i="52"/>
  <c r="CJ258" i="52" s="1"/>
  <c r="DI258" i="52"/>
  <c r="CI258" i="52" s="1"/>
  <c r="DH258" i="52"/>
  <c r="CH258" i="52" s="1"/>
  <c r="DG258" i="52"/>
  <c r="CG258" i="52" s="1"/>
  <c r="DF258" i="52"/>
  <c r="CF258" i="52"/>
  <c r="D258" i="52"/>
  <c r="C258" i="52"/>
  <c r="DV257" i="52"/>
  <c r="CV257" i="52" s="1"/>
  <c r="DU257" i="52"/>
  <c r="CU257" i="52" s="1"/>
  <c r="DT257" i="52"/>
  <c r="CT257" i="52" s="1"/>
  <c r="DS257" i="52"/>
  <c r="CS257" i="52" s="1"/>
  <c r="DR257" i="52"/>
  <c r="CR257" i="52" s="1"/>
  <c r="DQ257" i="52"/>
  <c r="CQ257" i="52" s="1"/>
  <c r="DP257" i="52"/>
  <c r="CP257" i="52" s="1"/>
  <c r="DO257" i="52"/>
  <c r="CO257" i="52" s="1"/>
  <c r="DN257" i="52"/>
  <c r="CN257" i="52" s="1"/>
  <c r="DM257" i="52"/>
  <c r="CM257" i="52" s="1"/>
  <c r="DL257" i="52"/>
  <c r="CL257" i="52" s="1"/>
  <c r="DK257" i="52"/>
  <c r="CK257" i="52" s="1"/>
  <c r="DJ257" i="52"/>
  <c r="CJ257" i="52" s="1"/>
  <c r="DI257" i="52"/>
  <c r="CI257" i="52" s="1"/>
  <c r="DH257" i="52"/>
  <c r="CH257" i="52" s="1"/>
  <c r="DG257" i="52"/>
  <c r="CG257" i="52" s="1"/>
  <c r="DF257" i="52"/>
  <c r="CF257" i="52"/>
  <c r="D257" i="52"/>
  <c r="C257" i="52"/>
  <c r="DV256" i="52"/>
  <c r="CV256" i="52" s="1"/>
  <c r="DU256" i="52"/>
  <c r="CU256" i="52" s="1"/>
  <c r="DT256" i="52"/>
  <c r="CT256" i="52" s="1"/>
  <c r="DS256" i="52"/>
  <c r="CS256" i="52" s="1"/>
  <c r="DR256" i="52"/>
  <c r="CR256" i="52" s="1"/>
  <c r="DQ256" i="52"/>
  <c r="CQ256" i="52" s="1"/>
  <c r="DP256" i="52"/>
  <c r="CP256" i="52" s="1"/>
  <c r="DO256" i="52"/>
  <c r="CO256" i="52" s="1"/>
  <c r="DN256" i="52"/>
  <c r="CN256" i="52" s="1"/>
  <c r="DM256" i="52"/>
  <c r="CM256" i="52" s="1"/>
  <c r="DL256" i="52"/>
  <c r="CL256" i="52" s="1"/>
  <c r="DK256" i="52"/>
  <c r="CK256" i="52" s="1"/>
  <c r="DJ256" i="52"/>
  <c r="CJ256" i="52" s="1"/>
  <c r="DI256" i="52"/>
  <c r="CI256" i="52" s="1"/>
  <c r="DH256" i="52"/>
  <c r="CH256" i="52" s="1"/>
  <c r="DG256" i="52"/>
  <c r="CG256" i="52" s="1"/>
  <c r="DF256" i="52"/>
  <c r="CF256" i="52"/>
  <c r="D256" i="52"/>
  <c r="C256" i="52"/>
  <c r="DV255" i="52"/>
  <c r="CV255" i="52" s="1"/>
  <c r="DU255" i="52"/>
  <c r="CU255" i="52" s="1"/>
  <c r="DT255" i="52"/>
  <c r="CT255" i="52" s="1"/>
  <c r="DS255" i="52"/>
  <c r="CS255" i="52" s="1"/>
  <c r="DR255" i="52"/>
  <c r="CR255" i="52" s="1"/>
  <c r="DQ255" i="52"/>
  <c r="CQ255" i="52" s="1"/>
  <c r="DP255" i="52"/>
  <c r="CP255" i="52" s="1"/>
  <c r="DO255" i="52"/>
  <c r="CO255" i="52" s="1"/>
  <c r="DN255" i="52"/>
  <c r="CN255" i="52" s="1"/>
  <c r="DM255" i="52"/>
  <c r="CM255" i="52" s="1"/>
  <c r="DL255" i="52"/>
  <c r="CL255" i="52" s="1"/>
  <c r="DK255" i="52"/>
  <c r="CK255" i="52" s="1"/>
  <c r="DJ255" i="52"/>
  <c r="CJ255" i="52" s="1"/>
  <c r="DI255" i="52"/>
  <c r="CI255" i="52" s="1"/>
  <c r="DH255" i="52"/>
  <c r="CH255" i="52" s="1"/>
  <c r="DG255" i="52"/>
  <c r="CG255" i="52" s="1"/>
  <c r="DF255" i="52"/>
  <c r="CF255" i="52"/>
  <c r="D255" i="52"/>
  <c r="DX255" i="52" s="1"/>
  <c r="CX255" i="52" s="1"/>
  <c r="C255" i="52"/>
  <c r="DV254" i="52"/>
  <c r="CV254" i="52" s="1"/>
  <c r="DU254" i="52"/>
  <c r="CU254" i="52" s="1"/>
  <c r="DT254" i="52"/>
  <c r="CT254" i="52" s="1"/>
  <c r="DS254" i="52"/>
  <c r="CS254" i="52" s="1"/>
  <c r="DR254" i="52"/>
  <c r="CR254" i="52" s="1"/>
  <c r="DQ254" i="52"/>
  <c r="CQ254" i="52" s="1"/>
  <c r="DP254" i="52"/>
  <c r="CP254" i="52" s="1"/>
  <c r="DO254" i="52"/>
  <c r="CO254" i="52" s="1"/>
  <c r="DN254" i="52"/>
  <c r="CN254" i="52" s="1"/>
  <c r="DM254" i="52"/>
  <c r="CM254" i="52" s="1"/>
  <c r="DL254" i="52"/>
  <c r="CL254" i="52" s="1"/>
  <c r="DK254" i="52"/>
  <c r="CK254" i="52" s="1"/>
  <c r="DJ254" i="52"/>
  <c r="CJ254" i="52" s="1"/>
  <c r="DI254" i="52"/>
  <c r="CI254" i="52" s="1"/>
  <c r="DH254" i="52"/>
  <c r="CH254" i="52" s="1"/>
  <c r="DG254" i="52"/>
  <c r="CG254" i="52" s="1"/>
  <c r="DF254" i="52"/>
  <c r="CF254" i="52"/>
  <c r="D254" i="52"/>
  <c r="DX254" i="52" s="1"/>
  <c r="CX254" i="52" s="1"/>
  <c r="C254" i="52"/>
  <c r="DV253" i="52"/>
  <c r="CV253" i="52" s="1"/>
  <c r="DU253" i="52"/>
  <c r="CU253" i="52" s="1"/>
  <c r="DT253" i="52"/>
  <c r="CT253" i="52" s="1"/>
  <c r="DS253" i="52"/>
  <c r="CS253" i="52" s="1"/>
  <c r="DR253" i="52"/>
  <c r="CR253" i="52" s="1"/>
  <c r="DQ253" i="52"/>
  <c r="CQ253" i="52" s="1"/>
  <c r="DP253" i="52"/>
  <c r="CP253" i="52" s="1"/>
  <c r="DO253" i="52"/>
  <c r="CO253" i="52" s="1"/>
  <c r="DN253" i="52"/>
  <c r="CN253" i="52" s="1"/>
  <c r="DM253" i="52"/>
  <c r="CM253" i="52" s="1"/>
  <c r="DL253" i="52"/>
  <c r="CL253" i="52" s="1"/>
  <c r="DK253" i="52"/>
  <c r="CK253" i="52" s="1"/>
  <c r="DJ253" i="52"/>
  <c r="CJ253" i="52" s="1"/>
  <c r="DI253" i="52"/>
  <c r="CI253" i="52" s="1"/>
  <c r="DH253" i="52"/>
  <c r="CH253" i="52" s="1"/>
  <c r="DG253" i="52"/>
  <c r="CG253" i="52" s="1"/>
  <c r="DF253" i="52"/>
  <c r="CF253" i="52"/>
  <c r="D253" i="52"/>
  <c r="C253" i="52"/>
  <c r="DV252" i="52"/>
  <c r="CV252" i="52" s="1"/>
  <c r="DU252" i="52"/>
  <c r="CU252" i="52" s="1"/>
  <c r="DT252" i="52"/>
  <c r="CT252" i="52" s="1"/>
  <c r="DS252" i="52"/>
  <c r="CS252" i="52" s="1"/>
  <c r="DR252" i="52"/>
  <c r="CR252" i="52" s="1"/>
  <c r="DQ252" i="52"/>
  <c r="CQ252" i="52" s="1"/>
  <c r="DP252" i="52"/>
  <c r="CP252" i="52" s="1"/>
  <c r="DO252" i="52"/>
  <c r="CO252" i="52" s="1"/>
  <c r="DN252" i="52"/>
  <c r="CN252" i="52" s="1"/>
  <c r="DM252" i="52"/>
  <c r="CM252" i="52" s="1"/>
  <c r="DL252" i="52"/>
  <c r="CL252" i="52" s="1"/>
  <c r="DK252" i="52"/>
  <c r="CK252" i="52" s="1"/>
  <c r="DJ252" i="52"/>
  <c r="CJ252" i="52" s="1"/>
  <c r="DI252" i="52"/>
  <c r="CI252" i="52" s="1"/>
  <c r="DH252" i="52"/>
  <c r="CH252" i="52" s="1"/>
  <c r="DG252" i="52"/>
  <c r="CG252" i="52" s="1"/>
  <c r="DF252" i="52"/>
  <c r="CF252" i="52"/>
  <c r="D252" i="52"/>
  <c r="DX252" i="52" s="1"/>
  <c r="CX252" i="52" s="1"/>
  <c r="C252" i="52"/>
  <c r="DV251" i="52"/>
  <c r="CV251" i="52" s="1"/>
  <c r="DU251" i="52"/>
  <c r="CU251" i="52" s="1"/>
  <c r="DT251" i="52"/>
  <c r="CT251" i="52" s="1"/>
  <c r="DS251" i="52"/>
  <c r="CS251" i="52" s="1"/>
  <c r="DR251" i="52"/>
  <c r="CR251" i="52" s="1"/>
  <c r="DQ251" i="52"/>
  <c r="CQ251" i="52" s="1"/>
  <c r="DP251" i="52"/>
  <c r="CP251" i="52" s="1"/>
  <c r="DO251" i="52"/>
  <c r="CO251" i="52" s="1"/>
  <c r="DN251" i="52"/>
  <c r="CN251" i="52" s="1"/>
  <c r="DM251" i="52"/>
  <c r="CM251" i="52" s="1"/>
  <c r="DL251" i="52"/>
  <c r="CL251" i="52" s="1"/>
  <c r="DK251" i="52"/>
  <c r="CK251" i="52" s="1"/>
  <c r="DJ251" i="52"/>
  <c r="CJ251" i="52" s="1"/>
  <c r="DI251" i="52"/>
  <c r="CI251" i="52" s="1"/>
  <c r="DH251" i="52"/>
  <c r="CH251" i="52" s="1"/>
  <c r="DG251" i="52"/>
  <c r="CG251" i="52" s="1"/>
  <c r="DF251" i="52"/>
  <c r="CF251" i="52"/>
  <c r="D251" i="52"/>
  <c r="C251" i="52"/>
  <c r="DV250" i="52"/>
  <c r="CV250" i="52" s="1"/>
  <c r="DU250" i="52"/>
  <c r="CU250" i="52" s="1"/>
  <c r="DT250" i="52"/>
  <c r="CT250" i="52" s="1"/>
  <c r="DS250" i="52"/>
  <c r="CS250" i="52" s="1"/>
  <c r="DR250" i="52"/>
  <c r="CR250" i="52" s="1"/>
  <c r="DQ250" i="52"/>
  <c r="CQ250" i="52" s="1"/>
  <c r="DP250" i="52"/>
  <c r="CP250" i="52" s="1"/>
  <c r="DO250" i="52"/>
  <c r="CO250" i="52" s="1"/>
  <c r="DN250" i="52"/>
  <c r="CN250" i="52" s="1"/>
  <c r="DM250" i="52"/>
  <c r="CM250" i="52" s="1"/>
  <c r="DL250" i="52"/>
  <c r="CL250" i="52" s="1"/>
  <c r="DK250" i="52"/>
  <c r="CK250" i="52" s="1"/>
  <c r="DJ250" i="52"/>
  <c r="CJ250" i="52" s="1"/>
  <c r="DI250" i="52"/>
  <c r="CI250" i="52" s="1"/>
  <c r="DH250" i="52"/>
  <c r="CH250" i="52" s="1"/>
  <c r="DG250" i="52"/>
  <c r="CG250" i="52" s="1"/>
  <c r="DF250" i="52"/>
  <c r="CF250" i="52"/>
  <c r="D250" i="52"/>
  <c r="DX250" i="52" s="1"/>
  <c r="CX250" i="52" s="1"/>
  <c r="C250" i="52"/>
  <c r="DV249" i="52"/>
  <c r="CV249" i="52" s="1"/>
  <c r="DU249" i="52"/>
  <c r="CU249" i="52" s="1"/>
  <c r="DT249" i="52"/>
  <c r="CT249" i="52" s="1"/>
  <c r="DS249" i="52"/>
  <c r="CS249" i="52" s="1"/>
  <c r="DR249" i="52"/>
  <c r="CR249" i="52" s="1"/>
  <c r="DQ249" i="52"/>
  <c r="CQ249" i="52" s="1"/>
  <c r="DP249" i="52"/>
  <c r="CP249" i="52" s="1"/>
  <c r="DO249" i="52"/>
  <c r="CO249" i="52" s="1"/>
  <c r="DN249" i="52"/>
  <c r="CN249" i="52" s="1"/>
  <c r="DM249" i="52"/>
  <c r="CM249" i="52" s="1"/>
  <c r="DL249" i="52"/>
  <c r="CL249" i="52" s="1"/>
  <c r="DK249" i="52"/>
  <c r="CK249" i="52" s="1"/>
  <c r="DJ249" i="52"/>
  <c r="CJ249" i="52" s="1"/>
  <c r="DI249" i="52"/>
  <c r="CI249" i="52" s="1"/>
  <c r="DH249" i="52"/>
  <c r="CH249" i="52" s="1"/>
  <c r="DG249" i="52"/>
  <c r="CG249" i="52" s="1"/>
  <c r="DF249" i="52"/>
  <c r="CF249" i="52"/>
  <c r="DV248" i="52"/>
  <c r="CV248" i="52" s="1"/>
  <c r="DU248" i="52"/>
  <c r="CU248" i="52" s="1"/>
  <c r="DT248" i="52"/>
  <c r="CT248" i="52" s="1"/>
  <c r="DS248" i="52"/>
  <c r="CS248" i="52" s="1"/>
  <c r="DR248" i="52"/>
  <c r="CR248" i="52" s="1"/>
  <c r="DQ248" i="52"/>
  <c r="CQ248" i="52" s="1"/>
  <c r="DP248" i="52"/>
  <c r="CP248" i="52" s="1"/>
  <c r="DO248" i="52"/>
  <c r="CO248" i="52" s="1"/>
  <c r="DN248" i="52"/>
  <c r="CN248" i="52" s="1"/>
  <c r="DM248" i="52"/>
  <c r="CM248" i="52" s="1"/>
  <c r="DL248" i="52"/>
  <c r="CL248" i="52" s="1"/>
  <c r="DK248" i="52"/>
  <c r="CK248" i="52" s="1"/>
  <c r="DJ248" i="52"/>
  <c r="CJ248" i="52" s="1"/>
  <c r="DI248" i="52"/>
  <c r="CI248" i="52" s="1"/>
  <c r="DH248" i="52"/>
  <c r="CH248" i="52" s="1"/>
  <c r="DG248" i="52"/>
  <c r="CG248" i="52" s="1"/>
  <c r="DF248" i="52"/>
  <c r="CF248" i="52"/>
  <c r="D248" i="52"/>
  <c r="C248" i="52"/>
  <c r="DV247" i="52"/>
  <c r="CV247" i="52" s="1"/>
  <c r="DU247" i="52"/>
  <c r="CU247" i="52" s="1"/>
  <c r="DT247" i="52"/>
  <c r="CT247" i="52" s="1"/>
  <c r="DS247" i="52"/>
  <c r="CS247" i="52" s="1"/>
  <c r="DR247" i="52"/>
  <c r="CR247" i="52" s="1"/>
  <c r="DQ247" i="52"/>
  <c r="CQ247" i="52" s="1"/>
  <c r="DP247" i="52"/>
  <c r="CP247" i="52" s="1"/>
  <c r="DO247" i="52"/>
  <c r="CO247" i="52" s="1"/>
  <c r="DN247" i="52"/>
  <c r="CN247" i="52" s="1"/>
  <c r="DM247" i="52"/>
  <c r="CM247" i="52" s="1"/>
  <c r="DL247" i="52"/>
  <c r="CL247" i="52" s="1"/>
  <c r="DK247" i="52"/>
  <c r="CK247" i="52" s="1"/>
  <c r="DJ247" i="52"/>
  <c r="CJ247" i="52" s="1"/>
  <c r="DI247" i="52"/>
  <c r="CI247" i="52" s="1"/>
  <c r="DH247" i="52"/>
  <c r="CH247" i="52" s="1"/>
  <c r="DG247" i="52"/>
  <c r="CG247" i="52" s="1"/>
  <c r="DF247" i="52"/>
  <c r="CF247" i="52"/>
  <c r="D247" i="52"/>
  <c r="DX247" i="52" s="1"/>
  <c r="CX247" i="52" s="1"/>
  <c r="C247" i="52"/>
  <c r="DV246" i="52"/>
  <c r="CV246" i="52" s="1"/>
  <c r="DU246" i="52"/>
  <c r="CU246" i="52" s="1"/>
  <c r="DT246" i="52"/>
  <c r="CT246" i="52" s="1"/>
  <c r="DS246" i="52"/>
  <c r="CS246" i="52" s="1"/>
  <c r="DR246" i="52"/>
  <c r="CR246" i="52" s="1"/>
  <c r="DQ246" i="52"/>
  <c r="CQ246" i="52" s="1"/>
  <c r="DP246" i="52"/>
  <c r="CP246" i="52" s="1"/>
  <c r="DO246" i="52"/>
  <c r="CO246" i="52" s="1"/>
  <c r="DN246" i="52"/>
  <c r="CN246" i="52" s="1"/>
  <c r="DM246" i="52"/>
  <c r="CM246" i="52" s="1"/>
  <c r="DL246" i="52"/>
  <c r="CL246" i="52" s="1"/>
  <c r="DK246" i="52"/>
  <c r="CK246" i="52" s="1"/>
  <c r="DJ246" i="52"/>
  <c r="CJ246" i="52" s="1"/>
  <c r="DI246" i="52"/>
  <c r="CI246" i="52" s="1"/>
  <c r="DH246" i="52"/>
  <c r="CH246" i="52" s="1"/>
  <c r="DG246" i="52"/>
  <c r="CG246" i="52" s="1"/>
  <c r="DF246" i="52"/>
  <c r="CF246" i="52"/>
  <c r="D246" i="52"/>
  <c r="DX246" i="52" s="1"/>
  <c r="CX246" i="52" s="1"/>
  <c r="C246" i="52"/>
  <c r="DV245" i="52"/>
  <c r="CV245" i="52" s="1"/>
  <c r="DU245" i="52"/>
  <c r="CU245" i="52" s="1"/>
  <c r="DT245" i="52"/>
  <c r="CT245" i="52" s="1"/>
  <c r="DS245" i="52"/>
  <c r="CS245" i="52" s="1"/>
  <c r="DR245" i="52"/>
  <c r="CR245" i="52" s="1"/>
  <c r="DQ245" i="52"/>
  <c r="CQ245" i="52" s="1"/>
  <c r="DP245" i="52"/>
  <c r="CP245" i="52" s="1"/>
  <c r="DO245" i="52"/>
  <c r="CO245" i="52" s="1"/>
  <c r="DN245" i="52"/>
  <c r="CN245" i="52" s="1"/>
  <c r="DM245" i="52"/>
  <c r="CM245" i="52" s="1"/>
  <c r="DL245" i="52"/>
  <c r="CL245" i="52" s="1"/>
  <c r="DK245" i="52"/>
  <c r="CK245" i="52" s="1"/>
  <c r="DJ245" i="52"/>
  <c r="CJ245" i="52" s="1"/>
  <c r="DI245" i="52"/>
  <c r="CI245" i="52" s="1"/>
  <c r="DH245" i="52"/>
  <c r="CH245" i="52" s="1"/>
  <c r="DG245" i="52"/>
  <c r="CG245" i="52" s="1"/>
  <c r="DF245" i="52"/>
  <c r="CF245" i="52"/>
  <c r="D245" i="52"/>
  <c r="DX245" i="52" s="1"/>
  <c r="CX245" i="52" s="1"/>
  <c r="C245" i="52"/>
  <c r="DV244" i="52"/>
  <c r="CV244" i="52" s="1"/>
  <c r="DU244" i="52"/>
  <c r="CU244" i="52" s="1"/>
  <c r="DT244" i="52"/>
  <c r="CT244" i="52" s="1"/>
  <c r="DS244" i="52"/>
  <c r="CS244" i="52" s="1"/>
  <c r="DR244" i="52"/>
  <c r="CR244" i="52" s="1"/>
  <c r="DQ244" i="52"/>
  <c r="CQ244" i="52" s="1"/>
  <c r="DP244" i="52"/>
  <c r="CP244" i="52" s="1"/>
  <c r="DO244" i="52"/>
  <c r="CO244" i="52" s="1"/>
  <c r="DN244" i="52"/>
  <c r="CN244" i="52" s="1"/>
  <c r="DM244" i="52"/>
  <c r="CM244" i="52" s="1"/>
  <c r="DL244" i="52"/>
  <c r="CL244" i="52" s="1"/>
  <c r="DK244" i="52"/>
  <c r="CK244" i="52" s="1"/>
  <c r="DJ244" i="52"/>
  <c r="CJ244" i="52" s="1"/>
  <c r="DI244" i="52"/>
  <c r="CI244" i="52" s="1"/>
  <c r="DH244" i="52"/>
  <c r="CH244" i="52" s="1"/>
  <c r="DG244" i="52"/>
  <c r="CG244" i="52" s="1"/>
  <c r="DF244" i="52"/>
  <c r="CF244" i="52"/>
  <c r="D244" i="52"/>
  <c r="C244" i="52"/>
  <c r="DV243" i="52"/>
  <c r="CV243" i="52" s="1"/>
  <c r="DU243" i="52"/>
  <c r="CU243" i="52" s="1"/>
  <c r="DT243" i="52"/>
  <c r="CT243" i="52" s="1"/>
  <c r="DS243" i="52"/>
  <c r="CS243" i="52" s="1"/>
  <c r="DR243" i="52"/>
  <c r="CR243" i="52" s="1"/>
  <c r="DQ243" i="52"/>
  <c r="CQ243" i="52" s="1"/>
  <c r="DP243" i="52"/>
  <c r="CP243" i="52" s="1"/>
  <c r="DO243" i="52"/>
  <c r="CO243" i="52" s="1"/>
  <c r="DN243" i="52"/>
  <c r="CN243" i="52" s="1"/>
  <c r="DM243" i="52"/>
  <c r="CM243" i="52" s="1"/>
  <c r="DL243" i="52"/>
  <c r="CL243" i="52" s="1"/>
  <c r="DK243" i="52"/>
  <c r="CK243" i="52" s="1"/>
  <c r="DJ243" i="52"/>
  <c r="CJ243" i="52" s="1"/>
  <c r="DI243" i="52"/>
  <c r="CI243" i="52" s="1"/>
  <c r="DH243" i="52"/>
  <c r="CH243" i="52" s="1"/>
  <c r="DG243" i="52"/>
  <c r="CG243" i="52" s="1"/>
  <c r="DF243" i="52"/>
  <c r="CF243" i="52"/>
  <c r="D243" i="52"/>
  <c r="C243" i="52"/>
  <c r="DV242" i="52"/>
  <c r="CV242" i="52" s="1"/>
  <c r="DU242" i="52"/>
  <c r="CU242" i="52" s="1"/>
  <c r="DT242" i="52"/>
  <c r="CT242" i="52" s="1"/>
  <c r="DS242" i="52"/>
  <c r="CS242" i="52" s="1"/>
  <c r="DR242" i="52"/>
  <c r="CR242" i="52" s="1"/>
  <c r="DQ242" i="52"/>
  <c r="CQ242" i="52" s="1"/>
  <c r="DP242" i="52"/>
  <c r="CP242" i="52" s="1"/>
  <c r="DO242" i="52"/>
  <c r="CO242" i="52" s="1"/>
  <c r="DN242" i="52"/>
  <c r="CN242" i="52" s="1"/>
  <c r="DM242" i="52"/>
  <c r="CM242" i="52" s="1"/>
  <c r="DL242" i="52"/>
  <c r="CL242" i="52" s="1"/>
  <c r="DK242" i="52"/>
  <c r="CK242" i="52" s="1"/>
  <c r="DJ242" i="52"/>
  <c r="CJ242" i="52" s="1"/>
  <c r="DI242" i="52"/>
  <c r="CI242" i="52" s="1"/>
  <c r="DH242" i="52"/>
  <c r="CH242" i="52" s="1"/>
  <c r="DG242" i="52"/>
  <c r="CG242" i="52" s="1"/>
  <c r="DF242" i="52"/>
  <c r="CF242" i="52"/>
  <c r="D242" i="52"/>
  <c r="DX242" i="52" s="1"/>
  <c r="CX242" i="52" s="1"/>
  <c r="DV241" i="52"/>
  <c r="CV241" i="52" s="1"/>
  <c r="DU241" i="52"/>
  <c r="CU241" i="52" s="1"/>
  <c r="DT241" i="52"/>
  <c r="CT241" i="52" s="1"/>
  <c r="DS241" i="52"/>
  <c r="CS241" i="52" s="1"/>
  <c r="DR241" i="52"/>
  <c r="CR241" i="52" s="1"/>
  <c r="DQ241" i="52"/>
  <c r="CQ241" i="52" s="1"/>
  <c r="DP241" i="52"/>
  <c r="CP241" i="52" s="1"/>
  <c r="DO241" i="52"/>
  <c r="CO241" i="52" s="1"/>
  <c r="DN241" i="52"/>
  <c r="CN241" i="52" s="1"/>
  <c r="DM241" i="52"/>
  <c r="CM241" i="52" s="1"/>
  <c r="DL241" i="52"/>
  <c r="CL241" i="52" s="1"/>
  <c r="DK241" i="52"/>
  <c r="CK241" i="52" s="1"/>
  <c r="DJ241" i="52"/>
  <c r="CJ241" i="52" s="1"/>
  <c r="DI241" i="52"/>
  <c r="CI241" i="52" s="1"/>
  <c r="DH241" i="52"/>
  <c r="CH241" i="52" s="1"/>
  <c r="DG241" i="52"/>
  <c r="CG241" i="52" s="1"/>
  <c r="DF241" i="52"/>
  <c r="CF241" i="52"/>
  <c r="D241" i="52"/>
  <c r="C241" i="52"/>
  <c r="DV240" i="52"/>
  <c r="CV240" i="52" s="1"/>
  <c r="DU240" i="52"/>
  <c r="CU240" i="52" s="1"/>
  <c r="DT240" i="52"/>
  <c r="CT240" i="52" s="1"/>
  <c r="DS240" i="52"/>
  <c r="CS240" i="52" s="1"/>
  <c r="DR240" i="52"/>
  <c r="CR240" i="52" s="1"/>
  <c r="DQ240" i="52"/>
  <c r="CQ240" i="52" s="1"/>
  <c r="DP240" i="52"/>
  <c r="CP240" i="52" s="1"/>
  <c r="DO240" i="52"/>
  <c r="CO240" i="52" s="1"/>
  <c r="DN240" i="52"/>
  <c r="CN240" i="52" s="1"/>
  <c r="DM240" i="52"/>
  <c r="CM240" i="52" s="1"/>
  <c r="DL240" i="52"/>
  <c r="CL240" i="52" s="1"/>
  <c r="DK240" i="52"/>
  <c r="CK240" i="52" s="1"/>
  <c r="DJ240" i="52"/>
  <c r="CJ240" i="52" s="1"/>
  <c r="DI240" i="52"/>
  <c r="CI240" i="52" s="1"/>
  <c r="DH240" i="52"/>
  <c r="CH240" i="52" s="1"/>
  <c r="DG240" i="52"/>
  <c r="CG240" i="52" s="1"/>
  <c r="DF240" i="52"/>
  <c r="CF240" i="52"/>
  <c r="D240" i="52"/>
  <c r="C240" i="52"/>
  <c r="DV239" i="52"/>
  <c r="CV239" i="52" s="1"/>
  <c r="DU239" i="52"/>
  <c r="CU239" i="52" s="1"/>
  <c r="DT239" i="52"/>
  <c r="CT239" i="52" s="1"/>
  <c r="DS239" i="52"/>
  <c r="CS239" i="52" s="1"/>
  <c r="DR239" i="52"/>
  <c r="CR239" i="52" s="1"/>
  <c r="DQ239" i="52"/>
  <c r="CQ239" i="52" s="1"/>
  <c r="DP239" i="52"/>
  <c r="CP239" i="52" s="1"/>
  <c r="DO239" i="52"/>
  <c r="CO239" i="52" s="1"/>
  <c r="DN239" i="52"/>
  <c r="CN239" i="52" s="1"/>
  <c r="DM239" i="52"/>
  <c r="CM239" i="52" s="1"/>
  <c r="DL239" i="52"/>
  <c r="CL239" i="52" s="1"/>
  <c r="DK239" i="52"/>
  <c r="CK239" i="52" s="1"/>
  <c r="DJ239" i="52"/>
  <c r="CJ239" i="52" s="1"/>
  <c r="DI239" i="52"/>
  <c r="CI239" i="52" s="1"/>
  <c r="DH239" i="52"/>
  <c r="CH239" i="52" s="1"/>
  <c r="DG239" i="52"/>
  <c r="CG239" i="52" s="1"/>
  <c r="DF239" i="52"/>
  <c r="CF239" i="52"/>
  <c r="D239" i="52"/>
  <c r="C239" i="52"/>
  <c r="DV238" i="52"/>
  <c r="CV238" i="52" s="1"/>
  <c r="DU238" i="52"/>
  <c r="CU238" i="52" s="1"/>
  <c r="DT238" i="52"/>
  <c r="CT238" i="52" s="1"/>
  <c r="DS238" i="52"/>
  <c r="CS238" i="52" s="1"/>
  <c r="DR238" i="52"/>
  <c r="CR238" i="52" s="1"/>
  <c r="DQ238" i="52"/>
  <c r="CQ238" i="52" s="1"/>
  <c r="DP238" i="52"/>
  <c r="CP238" i="52" s="1"/>
  <c r="DO238" i="52"/>
  <c r="CO238" i="52" s="1"/>
  <c r="DN238" i="52"/>
  <c r="CN238" i="52" s="1"/>
  <c r="DM238" i="52"/>
  <c r="CM238" i="52" s="1"/>
  <c r="DL238" i="52"/>
  <c r="CL238" i="52" s="1"/>
  <c r="DK238" i="52"/>
  <c r="CK238" i="52" s="1"/>
  <c r="DJ238" i="52"/>
  <c r="CJ238" i="52" s="1"/>
  <c r="DI238" i="52"/>
  <c r="CI238" i="52" s="1"/>
  <c r="DH238" i="52"/>
  <c r="CH238" i="52" s="1"/>
  <c r="DG238" i="52"/>
  <c r="CG238" i="52" s="1"/>
  <c r="DF238" i="52"/>
  <c r="CF238" i="52"/>
  <c r="D238" i="52"/>
  <c r="DX238" i="52" s="1"/>
  <c r="CX238" i="52" s="1"/>
  <c r="C238" i="52"/>
  <c r="DV237" i="52"/>
  <c r="CV237" i="52" s="1"/>
  <c r="DU237" i="52"/>
  <c r="CU237" i="52" s="1"/>
  <c r="DT237" i="52"/>
  <c r="CT237" i="52" s="1"/>
  <c r="DS237" i="52"/>
  <c r="CS237" i="52" s="1"/>
  <c r="DR237" i="52"/>
  <c r="CR237" i="52" s="1"/>
  <c r="DQ237" i="52"/>
  <c r="CQ237" i="52" s="1"/>
  <c r="DP237" i="52"/>
  <c r="CP237" i="52" s="1"/>
  <c r="DO237" i="52"/>
  <c r="CO237" i="52" s="1"/>
  <c r="DN237" i="52"/>
  <c r="CN237" i="52" s="1"/>
  <c r="DM237" i="52"/>
  <c r="CM237" i="52" s="1"/>
  <c r="DL237" i="52"/>
  <c r="CL237" i="52" s="1"/>
  <c r="DK237" i="52"/>
  <c r="CK237" i="52" s="1"/>
  <c r="DJ237" i="52"/>
  <c r="CJ237" i="52" s="1"/>
  <c r="DI237" i="52"/>
  <c r="CI237" i="52" s="1"/>
  <c r="DH237" i="52"/>
  <c r="CH237" i="52" s="1"/>
  <c r="DG237" i="52"/>
  <c r="CG237" i="52" s="1"/>
  <c r="DF237" i="52"/>
  <c r="CF237" i="52"/>
  <c r="D237" i="52"/>
  <c r="DX237" i="52" s="1"/>
  <c r="CX237" i="52" s="1"/>
  <c r="C237" i="52"/>
  <c r="D236" i="52"/>
  <c r="C236" i="52"/>
  <c r="DV231" i="52"/>
  <c r="DU231" i="52"/>
  <c r="DT231" i="52"/>
  <c r="DS231" i="52"/>
  <c r="DR231" i="52"/>
  <c r="DQ231" i="52"/>
  <c r="DP231" i="52"/>
  <c r="DO231" i="52"/>
  <c r="DN231" i="52"/>
  <c r="DM231" i="52"/>
  <c r="DL231" i="52"/>
  <c r="DK231" i="52"/>
  <c r="DJ231" i="52"/>
  <c r="DI231" i="52"/>
  <c r="DH231" i="52"/>
  <c r="DG231" i="52"/>
  <c r="DF231" i="52"/>
  <c r="CV231" i="52"/>
  <c r="CU231" i="52"/>
  <c r="CT231" i="52"/>
  <c r="CS231" i="52"/>
  <c r="CR231" i="52"/>
  <c r="CQ231" i="52"/>
  <c r="CP231" i="52"/>
  <c r="CO231" i="52"/>
  <c r="CN231" i="52"/>
  <c r="CM231" i="52"/>
  <c r="CL231" i="52"/>
  <c r="CK231" i="52"/>
  <c r="CJ231" i="52"/>
  <c r="CI231" i="52"/>
  <c r="CH231" i="52"/>
  <c r="CG231" i="52"/>
  <c r="CF231" i="52"/>
  <c r="C231" i="52"/>
  <c r="B231" i="52"/>
  <c r="CC231" i="52" s="1"/>
  <c r="DV230" i="52"/>
  <c r="DU230" i="52"/>
  <c r="DT230" i="52"/>
  <c r="DS230" i="52"/>
  <c r="DR230" i="52"/>
  <c r="DQ230" i="52"/>
  <c r="DP230" i="52"/>
  <c r="DO230" i="52"/>
  <c r="DN230" i="52"/>
  <c r="DM230" i="52"/>
  <c r="DL230" i="52"/>
  <c r="DK230" i="52"/>
  <c r="DJ230" i="52"/>
  <c r="DI230" i="52"/>
  <c r="DH230" i="52"/>
  <c r="DG230" i="52"/>
  <c r="DF230" i="52"/>
  <c r="CV230" i="52"/>
  <c r="CU230" i="52"/>
  <c r="CT230" i="52"/>
  <c r="CS230" i="52"/>
  <c r="CR230" i="52"/>
  <c r="CQ230" i="52"/>
  <c r="CP230" i="52"/>
  <c r="CO230" i="52"/>
  <c r="CN230" i="52"/>
  <c r="CM230" i="52"/>
  <c r="CL230" i="52"/>
  <c r="CK230" i="52"/>
  <c r="CJ230" i="52"/>
  <c r="CI230" i="52"/>
  <c r="CH230" i="52"/>
  <c r="CG230" i="52"/>
  <c r="CF230" i="52"/>
  <c r="C230" i="52"/>
  <c r="B230" i="52"/>
  <c r="DV229" i="52"/>
  <c r="DU229" i="52"/>
  <c r="DT229" i="52"/>
  <c r="DS229" i="52"/>
  <c r="DR229" i="52"/>
  <c r="DQ229" i="52"/>
  <c r="DP229" i="52"/>
  <c r="DO229" i="52"/>
  <c r="DN229" i="52"/>
  <c r="DM229" i="52"/>
  <c r="DL229" i="52"/>
  <c r="DK229" i="52"/>
  <c r="DJ229" i="52"/>
  <c r="DI229" i="52"/>
  <c r="DH229" i="52"/>
  <c r="DG229" i="52"/>
  <c r="DF229" i="52"/>
  <c r="CV229" i="52"/>
  <c r="CU229" i="52"/>
  <c r="CT229" i="52"/>
  <c r="CS229" i="52"/>
  <c r="CR229" i="52"/>
  <c r="CQ229" i="52"/>
  <c r="CP229" i="52"/>
  <c r="CO229" i="52"/>
  <c r="CN229" i="52"/>
  <c r="CM229" i="52"/>
  <c r="CL229" i="52"/>
  <c r="CK229" i="52"/>
  <c r="CJ229" i="52"/>
  <c r="CI229" i="52"/>
  <c r="CH229" i="52"/>
  <c r="CG229" i="52"/>
  <c r="CF229" i="52"/>
  <c r="C229" i="52"/>
  <c r="B229" i="52"/>
  <c r="CC229" i="52" s="1"/>
  <c r="C228" i="52"/>
  <c r="B228" i="52"/>
  <c r="C227" i="52"/>
  <c r="B227" i="52"/>
  <c r="C226" i="52"/>
  <c r="B226" i="52"/>
  <c r="C225" i="52"/>
  <c r="B225" i="52"/>
  <c r="DV220" i="52"/>
  <c r="DU220" i="52"/>
  <c r="DT220" i="52"/>
  <c r="DS220" i="52"/>
  <c r="DR220" i="52"/>
  <c r="DQ220" i="52"/>
  <c r="DP220" i="52"/>
  <c r="DO220" i="52"/>
  <c r="DN220" i="52"/>
  <c r="DM220" i="52"/>
  <c r="DL220" i="52"/>
  <c r="DK220" i="52"/>
  <c r="DJ220" i="52"/>
  <c r="DI220" i="52"/>
  <c r="DH220" i="52"/>
  <c r="DG220" i="52"/>
  <c r="DF220" i="52"/>
  <c r="CV220" i="52"/>
  <c r="CU220" i="52"/>
  <c r="CT220" i="52"/>
  <c r="CS220" i="52"/>
  <c r="CR220" i="52"/>
  <c r="CQ220" i="52"/>
  <c r="CP220" i="52"/>
  <c r="CO220" i="52"/>
  <c r="CN220" i="52"/>
  <c r="CM220" i="52"/>
  <c r="CL220" i="52"/>
  <c r="CK220" i="52"/>
  <c r="CJ220" i="52"/>
  <c r="CI220" i="52"/>
  <c r="CH220" i="52"/>
  <c r="CG220" i="52"/>
  <c r="CF220" i="52"/>
  <c r="C220" i="52"/>
  <c r="B220" i="52"/>
  <c r="DC220" i="52" s="1"/>
  <c r="DV219" i="52"/>
  <c r="DU219" i="52"/>
  <c r="DT219" i="52"/>
  <c r="DS219" i="52"/>
  <c r="DR219" i="52"/>
  <c r="DQ219" i="52"/>
  <c r="DP219" i="52"/>
  <c r="DO219" i="52"/>
  <c r="DN219" i="52"/>
  <c r="DM219" i="52"/>
  <c r="DL219" i="52"/>
  <c r="DK219" i="52"/>
  <c r="DJ219" i="52"/>
  <c r="DI219" i="52"/>
  <c r="DH219" i="52"/>
  <c r="DG219" i="52"/>
  <c r="DF219" i="52"/>
  <c r="CV219" i="52"/>
  <c r="CU219" i="52"/>
  <c r="CT219" i="52"/>
  <c r="CS219" i="52"/>
  <c r="CR219" i="52"/>
  <c r="CQ219" i="52"/>
  <c r="CP219" i="52"/>
  <c r="CO219" i="52"/>
  <c r="CN219" i="52"/>
  <c r="CM219" i="52"/>
  <c r="CL219" i="52"/>
  <c r="CK219" i="52"/>
  <c r="CJ219" i="52"/>
  <c r="CI219" i="52"/>
  <c r="CH219" i="52"/>
  <c r="CG219" i="52"/>
  <c r="CF219" i="52"/>
  <c r="C219" i="52"/>
  <c r="B219" i="52"/>
  <c r="DV218" i="52"/>
  <c r="DU218" i="52"/>
  <c r="DT218" i="52"/>
  <c r="DS218" i="52"/>
  <c r="DR218" i="52"/>
  <c r="DQ218" i="52"/>
  <c r="DP218" i="52"/>
  <c r="DO218" i="52"/>
  <c r="DN218" i="52"/>
  <c r="DM218" i="52"/>
  <c r="DL218" i="52"/>
  <c r="DK218" i="52"/>
  <c r="DJ218" i="52"/>
  <c r="DI218" i="52"/>
  <c r="DH218" i="52"/>
  <c r="DG218" i="52"/>
  <c r="DF218" i="52"/>
  <c r="CV218" i="52"/>
  <c r="CU218" i="52"/>
  <c r="CT218" i="52"/>
  <c r="CS218" i="52"/>
  <c r="CR218" i="52"/>
  <c r="CQ218" i="52"/>
  <c r="CP218" i="52"/>
  <c r="CO218" i="52"/>
  <c r="CN218" i="52"/>
  <c r="CM218" i="52"/>
  <c r="CL218" i="52"/>
  <c r="CK218" i="52"/>
  <c r="CJ218" i="52"/>
  <c r="CI218" i="52"/>
  <c r="CH218" i="52"/>
  <c r="CG218" i="52"/>
  <c r="CF218" i="52"/>
  <c r="C218" i="52"/>
  <c r="B218" i="52"/>
  <c r="DE218" i="52" s="1"/>
  <c r="DV217" i="52"/>
  <c r="DU217" i="52"/>
  <c r="DT217" i="52"/>
  <c r="DS217" i="52"/>
  <c r="DR217" i="52"/>
  <c r="DQ217" i="52"/>
  <c r="DP217" i="52"/>
  <c r="DO217" i="52"/>
  <c r="DN217" i="52"/>
  <c r="DM217" i="52"/>
  <c r="DL217" i="52"/>
  <c r="DK217" i="52"/>
  <c r="DJ217" i="52"/>
  <c r="DI217" i="52"/>
  <c r="DH217" i="52"/>
  <c r="DG217" i="52"/>
  <c r="DF217" i="52"/>
  <c r="CV217" i="52"/>
  <c r="CU217" i="52"/>
  <c r="CT217" i="52"/>
  <c r="CS217" i="52"/>
  <c r="CR217" i="52"/>
  <c r="CQ217" i="52"/>
  <c r="CP217" i="52"/>
  <c r="CO217" i="52"/>
  <c r="CN217" i="52"/>
  <c r="CM217" i="52"/>
  <c r="CL217" i="52"/>
  <c r="CK217" i="52"/>
  <c r="CJ217" i="52"/>
  <c r="CI217" i="52"/>
  <c r="CH217" i="52"/>
  <c r="CG217" i="52"/>
  <c r="CF217" i="52"/>
  <c r="C217" i="52"/>
  <c r="B217" i="52"/>
  <c r="DE217" i="52" s="1"/>
  <c r="DV216" i="52"/>
  <c r="DU216" i="52"/>
  <c r="DT216" i="52"/>
  <c r="DS216" i="52"/>
  <c r="DR216" i="52"/>
  <c r="DQ216" i="52"/>
  <c r="DP216" i="52"/>
  <c r="DO216" i="52"/>
  <c r="DN216" i="52"/>
  <c r="DM216" i="52"/>
  <c r="DL216" i="52"/>
  <c r="DK216" i="52"/>
  <c r="DJ216" i="52"/>
  <c r="DI216" i="52"/>
  <c r="DH216" i="52"/>
  <c r="DG216" i="52"/>
  <c r="DF216" i="52"/>
  <c r="CV216" i="52"/>
  <c r="CU216" i="52"/>
  <c r="CT216" i="52"/>
  <c r="CS216" i="52"/>
  <c r="CR216" i="52"/>
  <c r="CQ216" i="52"/>
  <c r="CP216" i="52"/>
  <c r="CO216" i="52"/>
  <c r="CN216" i="52"/>
  <c r="CM216" i="52"/>
  <c r="CL216" i="52"/>
  <c r="CK216" i="52"/>
  <c r="CJ216" i="52"/>
  <c r="CI216" i="52"/>
  <c r="CH216" i="52"/>
  <c r="CG216" i="52"/>
  <c r="CF216" i="52"/>
  <c r="C216" i="52"/>
  <c r="B216" i="52"/>
  <c r="DE216" i="52" s="1"/>
  <c r="C215" i="52"/>
  <c r="B215" i="52"/>
  <c r="C214" i="52"/>
  <c r="B214" i="52"/>
  <c r="D209" i="52"/>
  <c r="C209" i="52"/>
  <c r="D208" i="52"/>
  <c r="C208" i="52"/>
  <c r="D207" i="52"/>
  <c r="C207" i="52"/>
  <c r="D206" i="52"/>
  <c r="C206" i="52"/>
  <c r="D205" i="52"/>
  <c r="C205" i="52"/>
  <c r="D204" i="52"/>
  <c r="C204" i="52"/>
  <c r="D203" i="52"/>
  <c r="C203" i="52"/>
  <c r="D202" i="52"/>
  <c r="C202" i="52"/>
  <c r="D201" i="52"/>
  <c r="C201" i="52"/>
  <c r="D200" i="52"/>
  <c r="C200" i="52"/>
  <c r="D199" i="52"/>
  <c r="C199" i="52"/>
  <c r="D198" i="52"/>
  <c r="C198" i="52"/>
  <c r="D197" i="52"/>
  <c r="C197" i="52"/>
  <c r="D196" i="52"/>
  <c r="C196" i="52"/>
  <c r="D195" i="52"/>
  <c r="C195" i="52"/>
  <c r="D194" i="52"/>
  <c r="C194" i="52"/>
  <c r="D193" i="52"/>
  <c r="C193" i="52"/>
  <c r="D192" i="52"/>
  <c r="C192" i="52"/>
  <c r="D191" i="52"/>
  <c r="C191" i="52"/>
  <c r="D190" i="52"/>
  <c r="C190" i="52"/>
  <c r="D189" i="52"/>
  <c r="C189" i="52"/>
  <c r="D188" i="52"/>
  <c r="C188" i="52"/>
  <c r="D187" i="52"/>
  <c r="C187" i="52"/>
  <c r="D182" i="52"/>
  <c r="C182" i="52"/>
  <c r="D181" i="52"/>
  <c r="C181" i="52"/>
  <c r="D180" i="52"/>
  <c r="C180" i="52"/>
  <c r="D179" i="52"/>
  <c r="C179" i="52"/>
  <c r="D178" i="52"/>
  <c r="C178" i="52"/>
  <c r="D177" i="52"/>
  <c r="C177" i="52"/>
  <c r="D176" i="52"/>
  <c r="C176" i="52"/>
  <c r="D175" i="52"/>
  <c r="C175" i="52"/>
  <c r="D174" i="52"/>
  <c r="C174" i="52"/>
  <c r="D173" i="52"/>
  <c r="C173" i="52"/>
  <c r="D172" i="52"/>
  <c r="C172" i="52"/>
  <c r="D171" i="52"/>
  <c r="C171" i="52"/>
  <c r="D170" i="52"/>
  <c r="C170" i="52"/>
  <c r="D169" i="52"/>
  <c r="C169" i="52"/>
  <c r="D168" i="52"/>
  <c r="C168" i="52"/>
  <c r="D167" i="52"/>
  <c r="C167" i="52"/>
  <c r="D166" i="52"/>
  <c r="C166" i="52"/>
  <c r="D165" i="52"/>
  <c r="C165" i="52"/>
  <c r="D164" i="52"/>
  <c r="C164" i="52"/>
  <c r="D163" i="52"/>
  <c r="C163" i="52"/>
  <c r="D162" i="52"/>
  <c r="C162" i="52"/>
  <c r="D161" i="52"/>
  <c r="C161" i="52"/>
  <c r="D160" i="52"/>
  <c r="C160" i="52"/>
  <c r="DE155" i="52"/>
  <c r="DD155" i="52"/>
  <c r="DC155" i="52"/>
  <c r="DB155" i="52"/>
  <c r="DA155" i="52"/>
  <c r="CE155" i="52"/>
  <c r="CD155" i="52"/>
  <c r="CC155" i="52"/>
  <c r="CB155" i="52"/>
  <c r="CA155" i="52"/>
  <c r="DE154" i="52"/>
  <c r="DD154" i="52"/>
  <c r="DC154" i="52"/>
  <c r="DB154" i="52"/>
  <c r="DA154" i="52"/>
  <c r="CE154" i="52"/>
  <c r="CD154" i="52"/>
  <c r="CC154" i="52"/>
  <c r="CB154" i="52"/>
  <c r="CA154" i="52"/>
  <c r="DE153" i="52"/>
  <c r="DD153" i="52"/>
  <c r="DC153" i="52"/>
  <c r="DB153" i="52"/>
  <c r="DA153" i="52"/>
  <c r="CE153" i="52"/>
  <c r="CD153" i="52"/>
  <c r="CC153" i="52"/>
  <c r="CB153" i="52"/>
  <c r="CA153" i="52"/>
  <c r="DE152" i="52"/>
  <c r="DD152" i="52"/>
  <c r="DC152" i="52"/>
  <c r="DB152" i="52"/>
  <c r="DA152" i="52"/>
  <c r="CE152" i="52"/>
  <c r="CD152" i="52"/>
  <c r="CC152" i="52"/>
  <c r="CB152" i="52"/>
  <c r="CA152" i="52"/>
  <c r="DE151" i="52"/>
  <c r="DD151" i="52"/>
  <c r="DC151" i="52"/>
  <c r="DB151" i="52"/>
  <c r="DA151" i="52"/>
  <c r="CE151" i="52"/>
  <c r="CD151" i="52"/>
  <c r="CC151" i="52"/>
  <c r="CB151" i="52"/>
  <c r="CA151" i="52"/>
  <c r="DE147" i="52"/>
  <c r="DD147" i="52"/>
  <c r="DC147" i="52"/>
  <c r="DB147" i="52"/>
  <c r="DA147" i="52"/>
  <c r="CE147" i="52"/>
  <c r="CD147" i="52"/>
  <c r="CC147" i="52"/>
  <c r="CB147" i="52"/>
  <c r="CA147" i="52"/>
  <c r="DE146" i="52"/>
  <c r="DD146" i="52"/>
  <c r="DC146" i="52"/>
  <c r="DB146" i="52"/>
  <c r="DA146" i="52"/>
  <c r="CE146" i="52"/>
  <c r="CD146" i="52"/>
  <c r="CC146" i="52"/>
  <c r="CB146" i="52"/>
  <c r="CA146" i="52"/>
  <c r="DE145" i="52"/>
  <c r="DD145" i="52"/>
  <c r="DC145" i="52"/>
  <c r="DB145" i="52"/>
  <c r="DA145" i="52"/>
  <c r="CE145" i="52"/>
  <c r="CD145" i="52"/>
  <c r="CC145" i="52"/>
  <c r="CB145" i="52"/>
  <c r="CA145" i="52"/>
  <c r="DE144" i="52"/>
  <c r="DD144" i="52"/>
  <c r="DC144" i="52"/>
  <c r="DB144" i="52"/>
  <c r="DA144" i="52"/>
  <c r="CE144" i="52"/>
  <c r="CD144" i="52"/>
  <c r="CC144" i="52"/>
  <c r="CB144" i="52"/>
  <c r="CA144" i="52"/>
  <c r="DE143" i="52"/>
  <c r="DD143" i="52"/>
  <c r="DC143" i="52"/>
  <c r="DB143" i="52"/>
  <c r="DA143" i="52"/>
  <c r="CE143" i="52"/>
  <c r="CD143" i="52"/>
  <c r="CC143" i="52"/>
  <c r="CB143" i="52"/>
  <c r="CA143" i="52"/>
  <c r="DY139" i="52"/>
  <c r="DX139" i="52"/>
  <c r="DW139" i="52"/>
  <c r="DV139" i="52"/>
  <c r="DU139" i="52"/>
  <c r="DT139" i="52"/>
  <c r="DS139" i="52"/>
  <c r="DR139" i="52"/>
  <c r="DQ139" i="52"/>
  <c r="DP139" i="52"/>
  <c r="DO139" i="52"/>
  <c r="DN139" i="52"/>
  <c r="DM139" i="52"/>
  <c r="DL139" i="52"/>
  <c r="DK139" i="52"/>
  <c r="DJ139" i="52"/>
  <c r="DI139" i="52"/>
  <c r="DH139" i="52"/>
  <c r="DG139" i="52"/>
  <c r="DF139" i="52"/>
  <c r="CY139" i="52"/>
  <c r="CX139" i="52"/>
  <c r="CW139" i="52"/>
  <c r="CV139" i="52"/>
  <c r="CU139" i="52"/>
  <c r="CT139" i="52"/>
  <c r="CS139" i="52"/>
  <c r="CR139" i="52"/>
  <c r="CQ139" i="52"/>
  <c r="CP139" i="52"/>
  <c r="CO139" i="52"/>
  <c r="CN139" i="52"/>
  <c r="CM139" i="52"/>
  <c r="CL139" i="52"/>
  <c r="CK139" i="52"/>
  <c r="CJ139" i="52"/>
  <c r="CI139" i="52"/>
  <c r="CH139" i="52"/>
  <c r="CG139" i="52"/>
  <c r="CF139" i="52"/>
  <c r="C139" i="52"/>
  <c r="B139" i="52"/>
  <c r="DY138" i="52"/>
  <c r="DX138" i="52"/>
  <c r="DW138" i="52"/>
  <c r="DV138" i="52"/>
  <c r="DU138" i="52"/>
  <c r="DT138" i="52"/>
  <c r="DS138" i="52"/>
  <c r="DR138" i="52"/>
  <c r="DQ138" i="52"/>
  <c r="DP138" i="52"/>
  <c r="DO138" i="52"/>
  <c r="DN138" i="52"/>
  <c r="DM138" i="52"/>
  <c r="DL138" i="52"/>
  <c r="DK138" i="52"/>
  <c r="DJ138" i="52"/>
  <c r="DI138" i="52"/>
  <c r="DH138" i="52"/>
  <c r="DG138" i="52"/>
  <c r="DF138" i="52"/>
  <c r="CY138" i="52"/>
  <c r="CX138" i="52"/>
  <c r="CW138" i="52"/>
  <c r="CV138" i="52"/>
  <c r="CU138" i="52"/>
  <c r="CT138" i="52"/>
  <c r="CS138" i="52"/>
  <c r="CR138" i="52"/>
  <c r="CQ138" i="52"/>
  <c r="CP138" i="52"/>
  <c r="CO138" i="52"/>
  <c r="CN138" i="52"/>
  <c r="CM138" i="52"/>
  <c r="CL138" i="52"/>
  <c r="CK138" i="52"/>
  <c r="CJ138" i="52"/>
  <c r="CI138" i="52"/>
  <c r="CH138" i="52"/>
  <c r="CG138" i="52"/>
  <c r="CF138" i="52"/>
  <c r="C138" i="52"/>
  <c r="B138" i="52"/>
  <c r="DD138" i="52" s="1"/>
  <c r="DY137" i="52"/>
  <c r="DX137" i="52"/>
  <c r="DW137" i="52"/>
  <c r="DV137" i="52"/>
  <c r="DU137" i="52"/>
  <c r="DT137" i="52"/>
  <c r="DS137" i="52"/>
  <c r="DR137" i="52"/>
  <c r="DQ137" i="52"/>
  <c r="DP137" i="52"/>
  <c r="DO137" i="52"/>
  <c r="DN137" i="52"/>
  <c r="DM137" i="52"/>
  <c r="DL137" i="52"/>
  <c r="DK137" i="52"/>
  <c r="DJ137" i="52"/>
  <c r="DI137" i="52"/>
  <c r="DH137" i="52"/>
  <c r="DG137" i="52"/>
  <c r="DF137" i="52"/>
  <c r="CY137" i="52"/>
  <c r="CX137" i="52"/>
  <c r="CW137" i="52"/>
  <c r="CV137" i="52"/>
  <c r="CU137" i="52"/>
  <c r="CT137" i="52"/>
  <c r="CS137" i="52"/>
  <c r="CR137" i="52"/>
  <c r="CQ137" i="52"/>
  <c r="CP137" i="52"/>
  <c r="CO137" i="52"/>
  <c r="CN137" i="52"/>
  <c r="CM137" i="52"/>
  <c r="CL137" i="52"/>
  <c r="CK137" i="52"/>
  <c r="CJ137" i="52"/>
  <c r="CI137" i="52"/>
  <c r="CH137" i="52"/>
  <c r="CG137" i="52"/>
  <c r="CF137" i="52"/>
  <c r="C137" i="52"/>
  <c r="B137" i="52"/>
  <c r="CZ137" i="52" s="1"/>
  <c r="DY136" i="52"/>
  <c r="DX136" i="52"/>
  <c r="DW136" i="52"/>
  <c r="DV136" i="52"/>
  <c r="DU136" i="52"/>
  <c r="DT136" i="52"/>
  <c r="DS136" i="52"/>
  <c r="DR136" i="52"/>
  <c r="DQ136" i="52"/>
  <c r="DP136" i="52"/>
  <c r="DO136" i="52"/>
  <c r="DN136" i="52"/>
  <c r="DM136" i="52"/>
  <c r="DL136" i="52"/>
  <c r="DK136" i="52"/>
  <c r="DJ136" i="52"/>
  <c r="DI136" i="52"/>
  <c r="DH136" i="52"/>
  <c r="DG136" i="52"/>
  <c r="DF136" i="52"/>
  <c r="CY136" i="52"/>
  <c r="CX136" i="52"/>
  <c r="CW136" i="52"/>
  <c r="CV136" i="52"/>
  <c r="CU136" i="52"/>
  <c r="CT136" i="52"/>
  <c r="CS136" i="52"/>
  <c r="CR136" i="52"/>
  <c r="CQ136" i="52"/>
  <c r="CP136" i="52"/>
  <c r="CO136" i="52"/>
  <c r="CN136" i="52"/>
  <c r="CM136" i="52"/>
  <c r="CL136" i="52"/>
  <c r="CK136" i="52"/>
  <c r="CJ136" i="52"/>
  <c r="CI136" i="52"/>
  <c r="CH136" i="52"/>
  <c r="CG136" i="52"/>
  <c r="CF136" i="52"/>
  <c r="C136" i="52"/>
  <c r="B136" i="52"/>
  <c r="DY135" i="52"/>
  <c r="DX135" i="52"/>
  <c r="DW135" i="52"/>
  <c r="DV135" i="52"/>
  <c r="DU135" i="52"/>
  <c r="DT135" i="52"/>
  <c r="DS135" i="52"/>
  <c r="DR135" i="52"/>
  <c r="DQ135" i="52"/>
  <c r="DP135" i="52"/>
  <c r="DO135" i="52"/>
  <c r="DN135" i="52"/>
  <c r="DM135" i="52"/>
  <c r="DL135" i="52"/>
  <c r="DK135" i="52"/>
  <c r="DJ135" i="52"/>
  <c r="DI135" i="52"/>
  <c r="DH135" i="52"/>
  <c r="DG135" i="52"/>
  <c r="DF135" i="52"/>
  <c r="CY135" i="52"/>
  <c r="CX135" i="52"/>
  <c r="CW135" i="52"/>
  <c r="CV135" i="52"/>
  <c r="CU135" i="52"/>
  <c r="CT135" i="52"/>
  <c r="CS135" i="52"/>
  <c r="CR135" i="52"/>
  <c r="CQ135" i="52"/>
  <c r="CP135" i="52"/>
  <c r="CO135" i="52"/>
  <c r="CN135" i="52"/>
  <c r="CM135" i="52"/>
  <c r="CL135" i="52"/>
  <c r="CK135" i="52"/>
  <c r="CJ135" i="52"/>
  <c r="CI135" i="52"/>
  <c r="CH135" i="52"/>
  <c r="CG135" i="52"/>
  <c r="CF135" i="52"/>
  <c r="C135" i="52"/>
  <c r="B135" i="52"/>
  <c r="DD135" i="52" s="1"/>
  <c r="DY134" i="52"/>
  <c r="DX134" i="52"/>
  <c r="DW134" i="52"/>
  <c r="DV134" i="52"/>
  <c r="DU134" i="52"/>
  <c r="DT134" i="52"/>
  <c r="DS134" i="52"/>
  <c r="DR134" i="52"/>
  <c r="DQ134" i="52"/>
  <c r="DP134" i="52"/>
  <c r="DO134" i="52"/>
  <c r="DN134" i="52"/>
  <c r="DM134" i="52"/>
  <c r="DL134" i="52"/>
  <c r="DK134" i="52"/>
  <c r="DJ134" i="52"/>
  <c r="DI134" i="52"/>
  <c r="DH134" i="52"/>
  <c r="DG134" i="52"/>
  <c r="DF134" i="52"/>
  <c r="CY134" i="52"/>
  <c r="CX134" i="52"/>
  <c r="CW134" i="52"/>
  <c r="CV134" i="52"/>
  <c r="CU134" i="52"/>
  <c r="CT134" i="52"/>
  <c r="CS134" i="52"/>
  <c r="CR134" i="52"/>
  <c r="CQ134" i="52"/>
  <c r="CP134" i="52"/>
  <c r="CO134" i="52"/>
  <c r="CN134" i="52"/>
  <c r="CM134" i="52"/>
  <c r="CL134" i="52"/>
  <c r="CK134" i="52"/>
  <c r="CJ134" i="52"/>
  <c r="CI134" i="52"/>
  <c r="CH134" i="52"/>
  <c r="CG134" i="52"/>
  <c r="CF134" i="52"/>
  <c r="C134" i="52"/>
  <c r="B134" i="52"/>
  <c r="DD134" i="52" s="1"/>
  <c r="DY133" i="52"/>
  <c r="DX133" i="52"/>
  <c r="DW133" i="52"/>
  <c r="DV133" i="52"/>
  <c r="DU133" i="52"/>
  <c r="DT133" i="52"/>
  <c r="DS133" i="52"/>
  <c r="DR133" i="52"/>
  <c r="DQ133" i="52"/>
  <c r="DP133" i="52"/>
  <c r="DO133" i="52"/>
  <c r="DN133" i="52"/>
  <c r="DM133" i="52"/>
  <c r="DL133" i="52"/>
  <c r="DK133" i="52"/>
  <c r="DJ133" i="52"/>
  <c r="DI133" i="52"/>
  <c r="DH133" i="52"/>
  <c r="DG133" i="52"/>
  <c r="DF133" i="52"/>
  <c r="CY133" i="52"/>
  <c r="CX133" i="52"/>
  <c r="CW133" i="52"/>
  <c r="CV133" i="52"/>
  <c r="CU133" i="52"/>
  <c r="CT133" i="52"/>
  <c r="CS133" i="52"/>
  <c r="CR133" i="52"/>
  <c r="CQ133" i="52"/>
  <c r="CP133" i="52"/>
  <c r="CO133" i="52"/>
  <c r="CN133" i="52"/>
  <c r="CM133" i="52"/>
  <c r="CL133" i="52"/>
  <c r="CK133" i="52"/>
  <c r="CJ133" i="52"/>
  <c r="CI133" i="52"/>
  <c r="CH133" i="52"/>
  <c r="CG133" i="52"/>
  <c r="CF133" i="52"/>
  <c r="C133" i="52"/>
  <c r="B133" i="52"/>
  <c r="CZ133" i="52" s="1"/>
  <c r="DY132" i="52"/>
  <c r="DX132" i="52"/>
  <c r="DW132" i="52"/>
  <c r="DV132" i="52"/>
  <c r="DU132" i="52"/>
  <c r="DT132" i="52"/>
  <c r="DS132" i="52"/>
  <c r="DR132" i="52"/>
  <c r="DQ132" i="52"/>
  <c r="DP132" i="52"/>
  <c r="DO132" i="52"/>
  <c r="DN132" i="52"/>
  <c r="DM132" i="52"/>
  <c r="DL132" i="52"/>
  <c r="DK132" i="52"/>
  <c r="DJ132" i="52"/>
  <c r="DI132" i="52"/>
  <c r="DH132" i="52"/>
  <c r="DG132" i="52"/>
  <c r="DF132" i="52"/>
  <c r="CY132" i="52"/>
  <c r="CX132" i="52"/>
  <c r="CW132" i="52"/>
  <c r="CV132" i="52"/>
  <c r="CU132" i="52"/>
  <c r="CT132" i="52"/>
  <c r="CS132" i="52"/>
  <c r="CR132" i="52"/>
  <c r="CQ132" i="52"/>
  <c r="CP132" i="52"/>
  <c r="CO132" i="52"/>
  <c r="CN132" i="52"/>
  <c r="CM132" i="52"/>
  <c r="CL132" i="52"/>
  <c r="CK132" i="52"/>
  <c r="CJ132" i="52"/>
  <c r="CI132" i="52"/>
  <c r="CH132" i="52"/>
  <c r="CG132" i="52"/>
  <c r="CF132" i="52"/>
  <c r="C132" i="52"/>
  <c r="B132" i="52"/>
  <c r="CE132" i="52" s="1"/>
  <c r="DY131" i="52"/>
  <c r="DX131" i="52"/>
  <c r="DW131" i="52"/>
  <c r="DV131" i="52"/>
  <c r="DU131" i="52"/>
  <c r="DT131" i="52"/>
  <c r="DS131" i="52"/>
  <c r="DR131" i="52"/>
  <c r="DQ131" i="52"/>
  <c r="DP131" i="52"/>
  <c r="DO131" i="52"/>
  <c r="DN131" i="52"/>
  <c r="DM131" i="52"/>
  <c r="DL131" i="52"/>
  <c r="DK131" i="52"/>
  <c r="DJ131" i="52"/>
  <c r="DI131" i="52"/>
  <c r="DH131" i="52"/>
  <c r="DG131" i="52"/>
  <c r="DF131" i="52"/>
  <c r="CY131" i="52"/>
  <c r="CX131" i="52"/>
  <c r="CW131" i="52"/>
  <c r="CV131" i="52"/>
  <c r="CU131" i="52"/>
  <c r="CT131" i="52"/>
  <c r="CS131" i="52"/>
  <c r="CR131" i="52"/>
  <c r="CQ131" i="52"/>
  <c r="CP131" i="52"/>
  <c r="CO131" i="52"/>
  <c r="CN131" i="52"/>
  <c r="CM131" i="52"/>
  <c r="CL131" i="52"/>
  <c r="CK131" i="52"/>
  <c r="CJ131" i="52"/>
  <c r="CI131" i="52"/>
  <c r="CH131" i="52"/>
  <c r="CG131" i="52"/>
  <c r="CF131" i="52"/>
  <c r="C131" i="52"/>
  <c r="B131" i="52"/>
  <c r="DD131" i="52" s="1"/>
  <c r="DY130" i="52"/>
  <c r="DX130" i="52"/>
  <c r="DW130" i="52"/>
  <c r="DV130" i="52"/>
  <c r="DU130" i="52"/>
  <c r="DT130" i="52"/>
  <c r="DS130" i="52"/>
  <c r="DR130" i="52"/>
  <c r="DQ130" i="52"/>
  <c r="DP130" i="52"/>
  <c r="DO130" i="52"/>
  <c r="DN130" i="52"/>
  <c r="DM130" i="52"/>
  <c r="DL130" i="52"/>
  <c r="DK130" i="52"/>
  <c r="DJ130" i="52"/>
  <c r="DI130" i="52"/>
  <c r="DH130" i="52"/>
  <c r="DG130" i="52"/>
  <c r="DF130" i="52"/>
  <c r="CY130" i="52"/>
  <c r="CX130" i="52"/>
  <c r="CW130" i="52"/>
  <c r="CV130" i="52"/>
  <c r="CU130" i="52"/>
  <c r="CT130" i="52"/>
  <c r="CS130" i="52"/>
  <c r="CR130" i="52"/>
  <c r="CQ130" i="52"/>
  <c r="CP130" i="52"/>
  <c r="CO130" i="52"/>
  <c r="CN130" i="52"/>
  <c r="CM130" i="52"/>
  <c r="CL130" i="52"/>
  <c r="CK130" i="52"/>
  <c r="CJ130" i="52"/>
  <c r="CI130" i="52"/>
  <c r="CH130" i="52"/>
  <c r="CG130" i="52"/>
  <c r="CF130" i="52"/>
  <c r="C130" i="52"/>
  <c r="B130" i="52"/>
  <c r="DY129" i="52"/>
  <c r="DX129" i="52"/>
  <c r="DW129" i="52"/>
  <c r="DV129" i="52"/>
  <c r="DU129" i="52"/>
  <c r="DT129" i="52"/>
  <c r="DS129" i="52"/>
  <c r="DR129" i="52"/>
  <c r="DQ129" i="52"/>
  <c r="DP129" i="52"/>
  <c r="DO129" i="52"/>
  <c r="DN129" i="52"/>
  <c r="DM129" i="52"/>
  <c r="DL129" i="52"/>
  <c r="DK129" i="52"/>
  <c r="DJ129" i="52"/>
  <c r="DI129" i="52"/>
  <c r="DH129" i="52"/>
  <c r="DG129" i="52"/>
  <c r="DF129" i="52"/>
  <c r="CY129" i="52"/>
  <c r="CX129" i="52"/>
  <c r="CW129" i="52"/>
  <c r="CV129" i="52"/>
  <c r="CU129" i="52"/>
  <c r="CT129" i="52"/>
  <c r="CS129" i="52"/>
  <c r="CR129" i="52"/>
  <c r="CQ129" i="52"/>
  <c r="CP129" i="52"/>
  <c r="CO129" i="52"/>
  <c r="CN129" i="52"/>
  <c r="CM129" i="52"/>
  <c r="CL129" i="52"/>
  <c r="CK129" i="52"/>
  <c r="CJ129" i="52"/>
  <c r="CI129" i="52"/>
  <c r="CH129" i="52"/>
  <c r="CG129" i="52"/>
  <c r="CF129" i="52"/>
  <c r="C129" i="52"/>
  <c r="B129" i="52"/>
  <c r="DY128" i="52"/>
  <c r="DX128" i="52"/>
  <c r="DW128" i="52"/>
  <c r="DV128" i="52"/>
  <c r="DU128" i="52"/>
  <c r="DT128" i="52"/>
  <c r="DS128" i="52"/>
  <c r="DR128" i="52"/>
  <c r="DQ128" i="52"/>
  <c r="DP128" i="52"/>
  <c r="DO128" i="52"/>
  <c r="DN128" i="52"/>
  <c r="DM128" i="52"/>
  <c r="DL128" i="52"/>
  <c r="DK128" i="52"/>
  <c r="DJ128" i="52"/>
  <c r="DI128" i="52"/>
  <c r="DH128" i="52"/>
  <c r="DG128" i="52"/>
  <c r="DF128" i="52"/>
  <c r="CY128" i="52"/>
  <c r="CX128" i="52"/>
  <c r="CW128" i="52"/>
  <c r="CV128" i="52"/>
  <c r="CU128" i="52"/>
  <c r="CT128" i="52"/>
  <c r="CS128" i="52"/>
  <c r="CR128" i="52"/>
  <c r="CQ128" i="52"/>
  <c r="CP128" i="52"/>
  <c r="CO128" i="52"/>
  <c r="CN128" i="52"/>
  <c r="CM128" i="52"/>
  <c r="CL128" i="52"/>
  <c r="CK128" i="52"/>
  <c r="CJ128" i="52"/>
  <c r="CI128" i="52"/>
  <c r="CH128" i="52"/>
  <c r="CG128" i="52"/>
  <c r="CF128" i="52"/>
  <c r="C128" i="52"/>
  <c r="B128" i="52"/>
  <c r="CD128" i="52" s="1"/>
  <c r="DY127" i="52"/>
  <c r="DX127" i="52"/>
  <c r="DW127" i="52"/>
  <c r="DV127" i="52"/>
  <c r="DU127" i="52"/>
  <c r="DT127" i="52"/>
  <c r="DS127" i="52"/>
  <c r="DR127" i="52"/>
  <c r="DQ127" i="52"/>
  <c r="DP127" i="52"/>
  <c r="DO127" i="52"/>
  <c r="DN127" i="52"/>
  <c r="DM127" i="52"/>
  <c r="DL127" i="52"/>
  <c r="DK127" i="52"/>
  <c r="DJ127" i="52"/>
  <c r="DI127" i="52"/>
  <c r="DH127" i="52"/>
  <c r="DG127" i="52"/>
  <c r="DF127" i="52"/>
  <c r="CY127" i="52"/>
  <c r="CX127" i="52"/>
  <c r="CW127" i="52"/>
  <c r="CV127" i="52"/>
  <c r="CU127" i="52"/>
  <c r="CT127" i="52"/>
  <c r="CS127" i="52"/>
  <c r="CR127" i="52"/>
  <c r="CQ127" i="52"/>
  <c r="CP127" i="52"/>
  <c r="CO127" i="52"/>
  <c r="CN127" i="52"/>
  <c r="CM127" i="52"/>
  <c r="CL127" i="52"/>
  <c r="CK127" i="52"/>
  <c r="CJ127" i="52"/>
  <c r="CI127" i="52"/>
  <c r="CH127" i="52"/>
  <c r="CG127" i="52"/>
  <c r="CF127" i="52"/>
  <c r="C127" i="52"/>
  <c r="B127" i="52"/>
  <c r="DD127" i="52" s="1"/>
  <c r="DY126" i="52"/>
  <c r="DX126" i="52"/>
  <c r="DW126" i="52"/>
  <c r="DV126" i="52"/>
  <c r="DU126" i="52"/>
  <c r="DT126" i="52"/>
  <c r="DS126" i="52"/>
  <c r="DR126" i="52"/>
  <c r="DQ126" i="52"/>
  <c r="DP126" i="52"/>
  <c r="DO126" i="52"/>
  <c r="DN126" i="52"/>
  <c r="DM126" i="52"/>
  <c r="DL126" i="52"/>
  <c r="DK126" i="52"/>
  <c r="DJ126" i="52"/>
  <c r="DI126" i="52"/>
  <c r="DH126" i="52"/>
  <c r="DG126" i="52"/>
  <c r="DF126" i="52"/>
  <c r="CY126" i="52"/>
  <c r="CX126" i="52"/>
  <c r="CW126" i="52"/>
  <c r="CV126" i="52"/>
  <c r="CU126" i="52"/>
  <c r="CT126" i="52"/>
  <c r="CS126" i="52"/>
  <c r="CR126" i="52"/>
  <c r="CQ126" i="52"/>
  <c r="CP126" i="52"/>
  <c r="CO126" i="52"/>
  <c r="CN126" i="52"/>
  <c r="CM126" i="52"/>
  <c r="CL126" i="52"/>
  <c r="CK126" i="52"/>
  <c r="CJ126" i="52"/>
  <c r="CI126" i="52"/>
  <c r="CH126" i="52"/>
  <c r="CG126" i="52"/>
  <c r="CF126" i="52"/>
  <c r="C126" i="52"/>
  <c r="B126" i="52"/>
  <c r="DZ126" i="52" s="1"/>
  <c r="DY125" i="52"/>
  <c r="DX125" i="52"/>
  <c r="DW125" i="52"/>
  <c r="DV125" i="52"/>
  <c r="DU125" i="52"/>
  <c r="DT125" i="52"/>
  <c r="DS125" i="52"/>
  <c r="DR125" i="52"/>
  <c r="DQ125" i="52"/>
  <c r="DP125" i="52"/>
  <c r="DO125" i="52"/>
  <c r="DN125" i="52"/>
  <c r="DM125" i="52"/>
  <c r="DL125" i="52"/>
  <c r="DK125" i="52"/>
  <c r="DJ125" i="52"/>
  <c r="DI125" i="52"/>
  <c r="DH125" i="52"/>
  <c r="DG125" i="52"/>
  <c r="DF125" i="52"/>
  <c r="CY125" i="52"/>
  <c r="CX125" i="52"/>
  <c r="CW125" i="52"/>
  <c r="CV125" i="52"/>
  <c r="CU125" i="52"/>
  <c r="CT125" i="52"/>
  <c r="CS125" i="52"/>
  <c r="CR125" i="52"/>
  <c r="CQ125" i="52"/>
  <c r="CP125" i="52"/>
  <c r="CO125" i="52"/>
  <c r="CN125" i="52"/>
  <c r="CM125" i="52"/>
  <c r="CL125" i="52"/>
  <c r="CK125" i="52"/>
  <c r="CJ125" i="52"/>
  <c r="CI125" i="52"/>
  <c r="CH125" i="52"/>
  <c r="CG125" i="52"/>
  <c r="CF125" i="52"/>
  <c r="C125" i="52"/>
  <c r="B125" i="52"/>
  <c r="CZ125" i="52" s="1"/>
  <c r="DY124" i="52"/>
  <c r="DX124" i="52"/>
  <c r="DW124" i="52"/>
  <c r="DV124" i="52"/>
  <c r="DU124" i="52"/>
  <c r="DT124" i="52"/>
  <c r="DS124" i="52"/>
  <c r="DR124" i="52"/>
  <c r="DQ124" i="52"/>
  <c r="DP124" i="52"/>
  <c r="DO124" i="52"/>
  <c r="DN124" i="52"/>
  <c r="DM124" i="52"/>
  <c r="DL124" i="52"/>
  <c r="DK124" i="52"/>
  <c r="DJ124" i="52"/>
  <c r="DI124" i="52"/>
  <c r="DH124" i="52"/>
  <c r="DG124" i="52"/>
  <c r="DF124" i="52"/>
  <c r="CY124" i="52"/>
  <c r="CX124" i="52"/>
  <c r="CW124" i="52"/>
  <c r="CV124" i="52"/>
  <c r="CU124" i="52"/>
  <c r="CT124" i="52"/>
  <c r="CS124" i="52"/>
  <c r="CR124" i="52"/>
  <c r="CQ124" i="52"/>
  <c r="CP124" i="52"/>
  <c r="CO124" i="52"/>
  <c r="CN124" i="52"/>
  <c r="CM124" i="52"/>
  <c r="CL124" i="52"/>
  <c r="CK124" i="52"/>
  <c r="CJ124" i="52"/>
  <c r="CI124" i="52"/>
  <c r="CH124" i="52"/>
  <c r="CG124" i="52"/>
  <c r="CF124" i="52"/>
  <c r="C124" i="52"/>
  <c r="B124" i="52"/>
  <c r="DD124" i="52" s="1"/>
  <c r="DY123" i="52"/>
  <c r="DX123" i="52"/>
  <c r="DW123" i="52"/>
  <c r="DV123" i="52"/>
  <c r="DU123" i="52"/>
  <c r="DT123" i="52"/>
  <c r="DS123" i="52"/>
  <c r="DR123" i="52"/>
  <c r="DQ123" i="52"/>
  <c r="DP123" i="52"/>
  <c r="DO123" i="52"/>
  <c r="DN123" i="52"/>
  <c r="DM123" i="52"/>
  <c r="DL123" i="52"/>
  <c r="DK123" i="52"/>
  <c r="DJ123" i="52"/>
  <c r="DI123" i="52"/>
  <c r="DH123" i="52"/>
  <c r="DG123" i="52"/>
  <c r="DF123" i="52"/>
  <c r="CY123" i="52"/>
  <c r="CX123" i="52"/>
  <c r="CW123" i="52"/>
  <c r="CV123" i="52"/>
  <c r="CU123" i="52"/>
  <c r="CT123" i="52"/>
  <c r="CS123" i="52"/>
  <c r="CR123" i="52"/>
  <c r="CQ123" i="52"/>
  <c r="CP123" i="52"/>
  <c r="CO123" i="52"/>
  <c r="CN123" i="52"/>
  <c r="CM123" i="52"/>
  <c r="CL123" i="52"/>
  <c r="CK123" i="52"/>
  <c r="CJ123" i="52"/>
  <c r="CI123" i="52"/>
  <c r="CH123" i="52"/>
  <c r="CG123" i="52"/>
  <c r="CF123" i="52"/>
  <c r="C123" i="52"/>
  <c r="B123" i="52"/>
  <c r="DB123" i="52" s="1"/>
  <c r="DY122" i="52"/>
  <c r="DX122" i="52"/>
  <c r="DW122" i="52"/>
  <c r="DV122" i="52"/>
  <c r="DU122" i="52"/>
  <c r="DT122" i="52"/>
  <c r="DS122" i="52"/>
  <c r="DR122" i="52"/>
  <c r="DQ122" i="52"/>
  <c r="DP122" i="52"/>
  <c r="DO122" i="52"/>
  <c r="DN122" i="52"/>
  <c r="DM122" i="52"/>
  <c r="DL122" i="52"/>
  <c r="DK122" i="52"/>
  <c r="DJ122" i="52"/>
  <c r="DI122" i="52"/>
  <c r="DH122" i="52"/>
  <c r="DG122" i="52"/>
  <c r="DF122" i="52"/>
  <c r="CY122" i="52"/>
  <c r="CX122" i="52"/>
  <c r="CW122" i="52"/>
  <c r="CV122" i="52"/>
  <c r="CU122" i="52"/>
  <c r="CT122" i="52"/>
  <c r="CS122" i="52"/>
  <c r="CR122" i="52"/>
  <c r="CQ122" i="52"/>
  <c r="CP122" i="52"/>
  <c r="CO122" i="52"/>
  <c r="CN122" i="52"/>
  <c r="CM122" i="52"/>
  <c r="CL122" i="52"/>
  <c r="CK122" i="52"/>
  <c r="CJ122" i="52"/>
  <c r="CI122" i="52"/>
  <c r="CH122" i="52"/>
  <c r="CG122" i="52"/>
  <c r="CF122" i="52"/>
  <c r="C122" i="52"/>
  <c r="B122" i="52"/>
  <c r="DE122" i="52" s="1"/>
  <c r="DY117" i="52"/>
  <c r="DX117" i="52"/>
  <c r="DW117" i="52"/>
  <c r="DV117" i="52"/>
  <c r="DU117" i="52"/>
  <c r="DT117" i="52"/>
  <c r="DS117" i="52"/>
  <c r="DR117" i="52"/>
  <c r="DQ117" i="52"/>
  <c r="DP117" i="52"/>
  <c r="DO117" i="52"/>
  <c r="DN117" i="52"/>
  <c r="DM117" i="52"/>
  <c r="DL117" i="52"/>
  <c r="DK117" i="52"/>
  <c r="DJ117" i="52"/>
  <c r="DI117" i="52"/>
  <c r="DH117" i="52"/>
  <c r="DG117" i="52"/>
  <c r="DF117" i="52"/>
  <c r="CY117" i="52"/>
  <c r="CX117" i="52"/>
  <c r="CW117" i="52"/>
  <c r="CV117" i="52"/>
  <c r="CU117" i="52"/>
  <c r="CT117" i="52"/>
  <c r="CS117" i="52"/>
  <c r="CR117" i="52"/>
  <c r="CQ117" i="52"/>
  <c r="CP117" i="52"/>
  <c r="CO117" i="52"/>
  <c r="CN117" i="52"/>
  <c r="CM117" i="52"/>
  <c r="CL117" i="52"/>
  <c r="CK117" i="52"/>
  <c r="CJ117" i="52"/>
  <c r="CI117" i="52"/>
  <c r="CH117" i="52"/>
  <c r="CG117" i="52"/>
  <c r="CF117" i="52"/>
  <c r="C117" i="52"/>
  <c r="B117" i="52"/>
  <c r="DY116" i="52"/>
  <c r="DX116" i="52"/>
  <c r="DW116" i="52"/>
  <c r="DV116" i="52"/>
  <c r="DU116" i="52"/>
  <c r="DT116" i="52"/>
  <c r="DS116" i="52"/>
  <c r="DR116" i="52"/>
  <c r="DQ116" i="52"/>
  <c r="DP116" i="52"/>
  <c r="DO116" i="52"/>
  <c r="DN116" i="52"/>
  <c r="DM116" i="52"/>
  <c r="DL116" i="52"/>
  <c r="DK116" i="52"/>
  <c r="DJ116" i="52"/>
  <c r="DI116" i="52"/>
  <c r="DH116" i="52"/>
  <c r="DG116" i="52"/>
  <c r="DF116" i="52"/>
  <c r="CY116" i="52"/>
  <c r="CX116" i="52"/>
  <c r="CW116" i="52"/>
  <c r="CV116" i="52"/>
  <c r="CU116" i="52"/>
  <c r="CT116" i="52"/>
  <c r="CS116" i="52"/>
  <c r="CR116" i="52"/>
  <c r="CQ116" i="52"/>
  <c r="CP116" i="52"/>
  <c r="CO116" i="52"/>
  <c r="CN116" i="52"/>
  <c r="CM116" i="52"/>
  <c r="CL116" i="52"/>
  <c r="CK116" i="52"/>
  <c r="CJ116" i="52"/>
  <c r="CI116" i="52"/>
  <c r="CH116" i="52"/>
  <c r="CG116" i="52"/>
  <c r="CF116" i="52"/>
  <c r="C116" i="52"/>
  <c r="B116" i="52"/>
  <c r="CD116" i="52" s="1"/>
  <c r="DY115" i="52"/>
  <c r="DX115" i="52"/>
  <c r="DW115" i="52"/>
  <c r="DV115" i="52"/>
  <c r="DU115" i="52"/>
  <c r="DT115" i="52"/>
  <c r="DS115" i="52"/>
  <c r="DR115" i="52"/>
  <c r="DQ115" i="52"/>
  <c r="DP115" i="52"/>
  <c r="DO115" i="52"/>
  <c r="DN115" i="52"/>
  <c r="DM115" i="52"/>
  <c r="DL115" i="52"/>
  <c r="DK115" i="52"/>
  <c r="DJ115" i="52"/>
  <c r="DI115" i="52"/>
  <c r="DH115" i="52"/>
  <c r="DG115" i="52"/>
  <c r="DF115" i="52"/>
  <c r="CY115" i="52"/>
  <c r="CX115" i="52"/>
  <c r="CW115" i="52"/>
  <c r="CV115" i="52"/>
  <c r="CU115" i="52"/>
  <c r="CT115" i="52"/>
  <c r="CS115" i="52"/>
  <c r="CR115" i="52"/>
  <c r="CQ115" i="52"/>
  <c r="CP115" i="52"/>
  <c r="CO115" i="52"/>
  <c r="CN115" i="52"/>
  <c r="CM115" i="52"/>
  <c r="CL115" i="52"/>
  <c r="CK115" i="52"/>
  <c r="CJ115" i="52"/>
  <c r="CI115" i="52"/>
  <c r="CH115" i="52"/>
  <c r="CG115" i="52"/>
  <c r="CF115" i="52"/>
  <c r="C115" i="52"/>
  <c r="B115" i="52"/>
  <c r="DD115" i="52" s="1"/>
  <c r="DY114" i="52"/>
  <c r="DX114" i="52"/>
  <c r="DW114" i="52"/>
  <c r="DV114" i="52"/>
  <c r="DU114" i="52"/>
  <c r="DT114" i="52"/>
  <c r="DS114" i="52"/>
  <c r="DR114" i="52"/>
  <c r="DQ114" i="52"/>
  <c r="DP114" i="52"/>
  <c r="DO114" i="52"/>
  <c r="DN114" i="52"/>
  <c r="DM114" i="52"/>
  <c r="DL114" i="52"/>
  <c r="DK114" i="52"/>
  <c r="DJ114" i="52"/>
  <c r="DI114" i="52"/>
  <c r="DH114" i="52"/>
  <c r="DG114" i="52"/>
  <c r="DF114" i="52"/>
  <c r="CY114" i="52"/>
  <c r="CX114" i="52"/>
  <c r="CW114" i="52"/>
  <c r="CV114" i="52"/>
  <c r="CU114" i="52"/>
  <c r="CT114" i="52"/>
  <c r="CS114" i="52"/>
  <c r="CR114" i="52"/>
  <c r="CQ114" i="52"/>
  <c r="CP114" i="52"/>
  <c r="CO114" i="52"/>
  <c r="CN114" i="52"/>
  <c r="CM114" i="52"/>
  <c r="CL114" i="52"/>
  <c r="CK114" i="52"/>
  <c r="CJ114" i="52"/>
  <c r="CI114" i="52"/>
  <c r="CH114" i="52"/>
  <c r="CG114" i="52"/>
  <c r="CF114" i="52"/>
  <c r="C114" i="52"/>
  <c r="B114" i="52"/>
  <c r="CC114" i="52" s="1"/>
  <c r="DY113" i="52"/>
  <c r="DX113" i="52"/>
  <c r="DW113" i="52"/>
  <c r="DV113" i="52"/>
  <c r="DU113" i="52"/>
  <c r="DT113" i="52"/>
  <c r="DS113" i="52"/>
  <c r="DR113" i="52"/>
  <c r="DQ113" i="52"/>
  <c r="DP113" i="52"/>
  <c r="DO113" i="52"/>
  <c r="DN113" i="52"/>
  <c r="DM113" i="52"/>
  <c r="DL113" i="52"/>
  <c r="DK113" i="52"/>
  <c r="DJ113" i="52"/>
  <c r="DI113" i="52"/>
  <c r="DH113" i="52"/>
  <c r="DG113" i="52"/>
  <c r="DF113" i="52"/>
  <c r="CY113" i="52"/>
  <c r="CX113" i="52"/>
  <c r="CW113" i="52"/>
  <c r="CV113" i="52"/>
  <c r="CU113" i="52"/>
  <c r="CT113" i="52"/>
  <c r="CS113" i="52"/>
  <c r="CR113" i="52"/>
  <c r="CQ113" i="52"/>
  <c r="CP113" i="52"/>
  <c r="CO113" i="52"/>
  <c r="CN113" i="52"/>
  <c r="CM113" i="52"/>
  <c r="CL113" i="52"/>
  <c r="CK113" i="52"/>
  <c r="CJ113" i="52"/>
  <c r="CI113" i="52"/>
  <c r="CH113" i="52"/>
  <c r="CG113" i="52"/>
  <c r="CF113" i="52"/>
  <c r="C113" i="52"/>
  <c r="B113" i="52"/>
  <c r="CB113" i="52" s="1"/>
  <c r="DY112" i="52"/>
  <c r="DX112" i="52"/>
  <c r="DW112" i="52"/>
  <c r="DV112" i="52"/>
  <c r="DU112" i="52"/>
  <c r="DT112" i="52"/>
  <c r="DS112" i="52"/>
  <c r="DR112" i="52"/>
  <c r="DQ112" i="52"/>
  <c r="DP112" i="52"/>
  <c r="DO112" i="52"/>
  <c r="DN112" i="52"/>
  <c r="DM112" i="52"/>
  <c r="DL112" i="52"/>
  <c r="DK112" i="52"/>
  <c r="DJ112" i="52"/>
  <c r="DI112" i="52"/>
  <c r="DH112" i="52"/>
  <c r="DG112" i="52"/>
  <c r="DF112" i="52"/>
  <c r="CY112" i="52"/>
  <c r="CX112" i="52"/>
  <c r="CW112" i="52"/>
  <c r="CV112" i="52"/>
  <c r="CU112" i="52"/>
  <c r="CT112" i="52"/>
  <c r="CS112" i="52"/>
  <c r="CR112" i="52"/>
  <c r="CQ112" i="52"/>
  <c r="CP112" i="52"/>
  <c r="CO112" i="52"/>
  <c r="CN112" i="52"/>
  <c r="CM112" i="52"/>
  <c r="CL112" i="52"/>
  <c r="CK112" i="52"/>
  <c r="CJ112" i="52"/>
  <c r="CI112" i="52"/>
  <c r="CH112" i="52"/>
  <c r="CG112" i="52"/>
  <c r="CF112" i="52"/>
  <c r="C112" i="52"/>
  <c r="B112" i="52"/>
  <c r="DD112" i="52" s="1"/>
  <c r="DY111" i="52"/>
  <c r="DX111" i="52"/>
  <c r="DW111" i="52"/>
  <c r="DV111" i="52"/>
  <c r="DU111" i="52"/>
  <c r="DT111" i="52"/>
  <c r="DS111" i="52"/>
  <c r="DR111" i="52"/>
  <c r="DQ111" i="52"/>
  <c r="DP111" i="52"/>
  <c r="DO111" i="52"/>
  <c r="DN111" i="52"/>
  <c r="DM111" i="52"/>
  <c r="DL111" i="52"/>
  <c r="DK111" i="52"/>
  <c r="DJ111" i="52"/>
  <c r="DI111" i="52"/>
  <c r="DH111" i="52"/>
  <c r="DG111" i="52"/>
  <c r="DF111" i="52"/>
  <c r="CY111" i="52"/>
  <c r="CX111" i="52"/>
  <c r="CW111" i="52"/>
  <c r="CV111" i="52"/>
  <c r="CU111" i="52"/>
  <c r="CT111" i="52"/>
  <c r="CS111" i="52"/>
  <c r="CR111" i="52"/>
  <c r="CQ111" i="52"/>
  <c r="CP111" i="52"/>
  <c r="CO111" i="52"/>
  <c r="CN111" i="52"/>
  <c r="CM111" i="52"/>
  <c r="CL111" i="52"/>
  <c r="CK111" i="52"/>
  <c r="CJ111" i="52"/>
  <c r="CI111" i="52"/>
  <c r="CH111" i="52"/>
  <c r="CG111" i="52"/>
  <c r="CF111" i="52"/>
  <c r="C111" i="52"/>
  <c r="B111" i="52"/>
  <c r="DB111" i="52" s="1"/>
  <c r="DY110" i="52"/>
  <c r="DX110" i="52"/>
  <c r="DW110" i="52"/>
  <c r="DV110" i="52"/>
  <c r="DU110" i="52"/>
  <c r="DT110" i="52"/>
  <c r="DS110" i="52"/>
  <c r="DR110" i="52"/>
  <c r="DQ110" i="52"/>
  <c r="DP110" i="52"/>
  <c r="DO110" i="52"/>
  <c r="DN110" i="52"/>
  <c r="DM110" i="52"/>
  <c r="DL110" i="52"/>
  <c r="DK110" i="52"/>
  <c r="DJ110" i="52"/>
  <c r="DI110" i="52"/>
  <c r="DH110" i="52"/>
  <c r="DG110" i="52"/>
  <c r="DF110" i="52"/>
  <c r="CY110" i="52"/>
  <c r="CX110" i="52"/>
  <c r="CW110" i="52"/>
  <c r="CV110" i="52"/>
  <c r="CU110" i="52"/>
  <c r="CT110" i="52"/>
  <c r="CS110" i="52"/>
  <c r="CR110" i="52"/>
  <c r="CQ110" i="52"/>
  <c r="CP110" i="52"/>
  <c r="CO110" i="52"/>
  <c r="CN110" i="52"/>
  <c r="CM110" i="52"/>
  <c r="CL110" i="52"/>
  <c r="CK110" i="52"/>
  <c r="CJ110" i="52"/>
  <c r="CI110" i="52"/>
  <c r="CH110" i="52"/>
  <c r="CG110" i="52"/>
  <c r="CF110" i="52"/>
  <c r="C110" i="52"/>
  <c r="B110" i="52"/>
  <c r="DE110" i="52" s="1"/>
  <c r="DY109" i="52"/>
  <c r="DX109" i="52"/>
  <c r="DW109" i="52"/>
  <c r="DV109" i="52"/>
  <c r="DU109" i="52"/>
  <c r="DT109" i="52"/>
  <c r="DS109" i="52"/>
  <c r="DR109" i="52"/>
  <c r="DQ109" i="52"/>
  <c r="DP109" i="52"/>
  <c r="DO109" i="52"/>
  <c r="DN109" i="52"/>
  <c r="DM109" i="52"/>
  <c r="DL109" i="52"/>
  <c r="DK109" i="52"/>
  <c r="DJ109" i="52"/>
  <c r="DI109" i="52"/>
  <c r="DH109" i="52"/>
  <c r="DG109" i="52"/>
  <c r="DF109" i="52"/>
  <c r="CY109" i="52"/>
  <c r="CX109" i="52"/>
  <c r="CW109" i="52"/>
  <c r="CV109" i="52"/>
  <c r="CU109" i="52"/>
  <c r="CT109" i="52"/>
  <c r="CS109" i="52"/>
  <c r="CR109" i="52"/>
  <c r="CQ109" i="52"/>
  <c r="CP109" i="52"/>
  <c r="CO109" i="52"/>
  <c r="CN109" i="52"/>
  <c r="CM109" i="52"/>
  <c r="CL109" i="52"/>
  <c r="CK109" i="52"/>
  <c r="CJ109" i="52"/>
  <c r="CI109" i="52"/>
  <c r="CH109" i="52"/>
  <c r="CG109" i="52"/>
  <c r="CF109" i="52"/>
  <c r="C109" i="52"/>
  <c r="B109" i="52"/>
  <c r="DD109" i="52" s="1"/>
  <c r="DY108" i="52"/>
  <c r="DX108" i="52"/>
  <c r="DW108" i="52"/>
  <c r="DV108" i="52"/>
  <c r="DU108" i="52"/>
  <c r="DT108" i="52"/>
  <c r="DS108" i="52"/>
  <c r="DR108" i="52"/>
  <c r="DQ108" i="52"/>
  <c r="DP108" i="52"/>
  <c r="DO108" i="52"/>
  <c r="DN108" i="52"/>
  <c r="DM108" i="52"/>
  <c r="DL108" i="52"/>
  <c r="DK108" i="52"/>
  <c r="DJ108" i="52"/>
  <c r="DI108" i="52"/>
  <c r="DH108" i="52"/>
  <c r="DG108" i="52"/>
  <c r="DF108" i="52"/>
  <c r="CY108" i="52"/>
  <c r="CX108" i="52"/>
  <c r="CW108" i="52"/>
  <c r="CV108" i="52"/>
  <c r="CU108" i="52"/>
  <c r="CT108" i="52"/>
  <c r="CS108" i="52"/>
  <c r="CR108" i="52"/>
  <c r="CQ108" i="52"/>
  <c r="CP108" i="52"/>
  <c r="CO108" i="52"/>
  <c r="CN108" i="52"/>
  <c r="CM108" i="52"/>
  <c r="CL108" i="52"/>
  <c r="CK108" i="52"/>
  <c r="CJ108" i="52"/>
  <c r="CI108" i="52"/>
  <c r="CH108" i="52"/>
  <c r="CG108" i="52"/>
  <c r="CF108" i="52"/>
  <c r="C108" i="52"/>
  <c r="B108" i="52"/>
  <c r="CD108" i="52" s="1"/>
  <c r="DY107" i="52"/>
  <c r="DX107" i="52"/>
  <c r="DW107" i="52"/>
  <c r="DV107" i="52"/>
  <c r="DU107" i="52"/>
  <c r="DT107" i="52"/>
  <c r="DS107" i="52"/>
  <c r="DR107" i="52"/>
  <c r="DQ107" i="52"/>
  <c r="DP107" i="52"/>
  <c r="DO107" i="52"/>
  <c r="DN107" i="52"/>
  <c r="DM107" i="52"/>
  <c r="DL107" i="52"/>
  <c r="DK107" i="52"/>
  <c r="DJ107" i="52"/>
  <c r="DI107" i="52"/>
  <c r="DH107" i="52"/>
  <c r="DG107" i="52"/>
  <c r="DF107" i="52"/>
  <c r="CY107" i="52"/>
  <c r="CX107" i="52"/>
  <c r="CW107" i="52"/>
  <c r="CV107" i="52"/>
  <c r="CU107" i="52"/>
  <c r="CT107" i="52"/>
  <c r="CS107" i="52"/>
  <c r="CR107" i="52"/>
  <c r="CQ107" i="52"/>
  <c r="CP107" i="52"/>
  <c r="CO107" i="52"/>
  <c r="CN107" i="52"/>
  <c r="CM107" i="52"/>
  <c r="CL107" i="52"/>
  <c r="CK107" i="52"/>
  <c r="CJ107" i="52"/>
  <c r="CI107" i="52"/>
  <c r="CH107" i="52"/>
  <c r="CG107" i="52"/>
  <c r="CF107" i="52"/>
  <c r="C107" i="52"/>
  <c r="B107" i="52"/>
  <c r="DD107" i="52" s="1"/>
  <c r="DY106" i="52"/>
  <c r="DX106" i="52"/>
  <c r="DW106" i="52"/>
  <c r="DV106" i="52"/>
  <c r="DU106" i="52"/>
  <c r="DT106" i="52"/>
  <c r="DS106" i="52"/>
  <c r="DR106" i="52"/>
  <c r="DQ106" i="52"/>
  <c r="DP106" i="52"/>
  <c r="DO106" i="52"/>
  <c r="DN106" i="52"/>
  <c r="DM106" i="52"/>
  <c r="DL106" i="52"/>
  <c r="DK106" i="52"/>
  <c r="DJ106" i="52"/>
  <c r="DI106" i="52"/>
  <c r="DH106" i="52"/>
  <c r="DG106" i="52"/>
  <c r="DF106" i="52"/>
  <c r="CY106" i="52"/>
  <c r="CX106" i="52"/>
  <c r="CW106" i="52"/>
  <c r="CV106" i="52"/>
  <c r="CU106" i="52"/>
  <c r="CT106" i="52"/>
  <c r="CS106" i="52"/>
  <c r="CR106" i="52"/>
  <c r="CQ106" i="52"/>
  <c r="CP106" i="52"/>
  <c r="CO106" i="52"/>
  <c r="CN106" i="52"/>
  <c r="CM106" i="52"/>
  <c r="CL106" i="52"/>
  <c r="CK106" i="52"/>
  <c r="CJ106" i="52"/>
  <c r="CI106" i="52"/>
  <c r="CH106" i="52"/>
  <c r="CG106" i="52"/>
  <c r="CF106" i="52"/>
  <c r="C106" i="52"/>
  <c r="B106" i="52"/>
  <c r="CC106" i="52" s="1"/>
  <c r="DY105" i="52"/>
  <c r="DX105" i="52"/>
  <c r="DW105" i="52"/>
  <c r="DV105" i="52"/>
  <c r="DU105" i="52"/>
  <c r="DT105" i="52"/>
  <c r="DS105" i="52"/>
  <c r="DR105" i="52"/>
  <c r="DQ105" i="52"/>
  <c r="DP105" i="52"/>
  <c r="DO105" i="52"/>
  <c r="DN105" i="52"/>
  <c r="DM105" i="52"/>
  <c r="DL105" i="52"/>
  <c r="DK105" i="52"/>
  <c r="DJ105" i="52"/>
  <c r="DI105" i="52"/>
  <c r="DH105" i="52"/>
  <c r="DG105" i="52"/>
  <c r="DF105" i="52"/>
  <c r="CY105" i="52"/>
  <c r="CX105" i="52"/>
  <c r="CW105" i="52"/>
  <c r="CV105" i="52"/>
  <c r="CU105" i="52"/>
  <c r="CT105" i="52"/>
  <c r="CS105" i="52"/>
  <c r="CR105" i="52"/>
  <c r="CQ105" i="52"/>
  <c r="CP105" i="52"/>
  <c r="CO105" i="52"/>
  <c r="CN105" i="52"/>
  <c r="CM105" i="52"/>
  <c r="CL105" i="52"/>
  <c r="CK105" i="52"/>
  <c r="CJ105" i="52"/>
  <c r="CI105" i="52"/>
  <c r="CH105" i="52"/>
  <c r="CG105" i="52"/>
  <c r="CF105" i="52"/>
  <c r="C105" i="52"/>
  <c r="B105" i="52"/>
  <c r="CZ105" i="52" s="1"/>
  <c r="DY104" i="52"/>
  <c r="DX104" i="52"/>
  <c r="DW104" i="52"/>
  <c r="DV104" i="52"/>
  <c r="DU104" i="52"/>
  <c r="DT104" i="52"/>
  <c r="DS104" i="52"/>
  <c r="DR104" i="52"/>
  <c r="DQ104" i="52"/>
  <c r="DP104" i="52"/>
  <c r="DO104" i="52"/>
  <c r="DN104" i="52"/>
  <c r="DM104" i="52"/>
  <c r="DL104" i="52"/>
  <c r="DK104" i="52"/>
  <c r="DJ104" i="52"/>
  <c r="DI104" i="52"/>
  <c r="DH104" i="52"/>
  <c r="DG104" i="52"/>
  <c r="DF104" i="52"/>
  <c r="CY104" i="52"/>
  <c r="CX104" i="52"/>
  <c r="CW104" i="52"/>
  <c r="CV104" i="52"/>
  <c r="CU104" i="52"/>
  <c r="CT104" i="52"/>
  <c r="CS104" i="52"/>
  <c r="CR104" i="52"/>
  <c r="CQ104" i="52"/>
  <c r="CP104" i="52"/>
  <c r="CO104" i="52"/>
  <c r="CN104" i="52"/>
  <c r="CM104" i="52"/>
  <c r="CL104" i="52"/>
  <c r="CK104" i="52"/>
  <c r="CJ104" i="52"/>
  <c r="CI104" i="52"/>
  <c r="CH104" i="52"/>
  <c r="CG104" i="52"/>
  <c r="CF104" i="52"/>
  <c r="C104" i="52"/>
  <c r="B104" i="52"/>
  <c r="DD104" i="52" s="1"/>
  <c r="DY103" i="52"/>
  <c r="DX103" i="52"/>
  <c r="DW103" i="52"/>
  <c r="DV103" i="52"/>
  <c r="DU103" i="52"/>
  <c r="DT103" i="52"/>
  <c r="DS103" i="52"/>
  <c r="DR103" i="52"/>
  <c r="DQ103" i="52"/>
  <c r="DP103" i="52"/>
  <c r="DO103" i="52"/>
  <c r="DN103" i="52"/>
  <c r="DM103" i="52"/>
  <c r="DL103" i="52"/>
  <c r="DK103" i="52"/>
  <c r="DJ103" i="52"/>
  <c r="DI103" i="52"/>
  <c r="DH103" i="52"/>
  <c r="DG103" i="52"/>
  <c r="DF103" i="52"/>
  <c r="CY103" i="52"/>
  <c r="CX103" i="52"/>
  <c r="CW103" i="52"/>
  <c r="CV103" i="52"/>
  <c r="CU103" i="52"/>
  <c r="CT103" i="52"/>
  <c r="CS103" i="52"/>
  <c r="CR103" i="52"/>
  <c r="CQ103" i="52"/>
  <c r="CP103" i="52"/>
  <c r="CO103" i="52"/>
  <c r="CN103" i="52"/>
  <c r="CM103" i="52"/>
  <c r="CL103" i="52"/>
  <c r="CK103" i="52"/>
  <c r="CJ103" i="52"/>
  <c r="CI103" i="52"/>
  <c r="CH103" i="52"/>
  <c r="CG103" i="52"/>
  <c r="CF103" i="52"/>
  <c r="C103" i="52"/>
  <c r="B103" i="52"/>
  <c r="DZ103" i="52" s="1"/>
  <c r="DY102" i="52"/>
  <c r="DX102" i="52"/>
  <c r="DW102" i="52"/>
  <c r="DV102" i="52"/>
  <c r="DU102" i="52"/>
  <c r="DT102" i="52"/>
  <c r="DS102" i="52"/>
  <c r="DR102" i="52"/>
  <c r="DQ102" i="52"/>
  <c r="DP102" i="52"/>
  <c r="DO102" i="52"/>
  <c r="DN102" i="52"/>
  <c r="DM102" i="52"/>
  <c r="DL102" i="52"/>
  <c r="DK102" i="52"/>
  <c r="DJ102" i="52"/>
  <c r="DI102" i="52"/>
  <c r="DH102" i="52"/>
  <c r="DG102" i="52"/>
  <c r="DF102" i="52"/>
  <c r="CY102" i="52"/>
  <c r="CX102" i="52"/>
  <c r="CW102" i="52"/>
  <c r="CV102" i="52"/>
  <c r="CU102" i="52"/>
  <c r="CT102" i="52"/>
  <c r="CS102" i="52"/>
  <c r="CR102" i="52"/>
  <c r="CQ102" i="52"/>
  <c r="CP102" i="52"/>
  <c r="CO102" i="52"/>
  <c r="CN102" i="52"/>
  <c r="CM102" i="52"/>
  <c r="CL102" i="52"/>
  <c r="CK102" i="52"/>
  <c r="CJ102" i="52"/>
  <c r="CI102" i="52"/>
  <c r="CH102" i="52"/>
  <c r="CG102" i="52"/>
  <c r="CF102" i="52"/>
  <c r="C102" i="52"/>
  <c r="B102" i="52"/>
  <c r="DY101" i="52"/>
  <c r="DX101" i="52"/>
  <c r="DW101" i="52"/>
  <c r="DV101" i="52"/>
  <c r="DU101" i="52"/>
  <c r="DT101" i="52"/>
  <c r="DS101" i="52"/>
  <c r="DR101" i="52"/>
  <c r="DQ101" i="52"/>
  <c r="DP101" i="52"/>
  <c r="DO101" i="52"/>
  <c r="DN101" i="52"/>
  <c r="DM101" i="52"/>
  <c r="DL101" i="52"/>
  <c r="DK101" i="52"/>
  <c r="DJ101" i="52"/>
  <c r="DI101" i="52"/>
  <c r="DH101" i="52"/>
  <c r="DG101" i="52"/>
  <c r="DF101" i="52"/>
  <c r="CY101" i="52"/>
  <c r="CX101" i="52"/>
  <c r="CW101" i="52"/>
  <c r="CV101" i="52"/>
  <c r="CU101" i="52"/>
  <c r="CT101" i="52"/>
  <c r="CS101" i="52"/>
  <c r="CR101" i="52"/>
  <c r="CQ101" i="52"/>
  <c r="CP101" i="52"/>
  <c r="CO101" i="52"/>
  <c r="CN101" i="52"/>
  <c r="CM101" i="52"/>
  <c r="CL101" i="52"/>
  <c r="CK101" i="52"/>
  <c r="CJ101" i="52"/>
  <c r="CI101" i="52"/>
  <c r="CH101" i="52"/>
  <c r="CG101" i="52"/>
  <c r="CF101" i="52"/>
  <c r="C101" i="52"/>
  <c r="B101" i="52"/>
  <c r="DD101" i="52" s="1"/>
  <c r="DY100" i="52"/>
  <c r="DX100" i="52"/>
  <c r="DW100" i="52"/>
  <c r="DV100" i="52"/>
  <c r="DU100" i="52"/>
  <c r="DT100" i="52"/>
  <c r="DS100" i="52"/>
  <c r="DR100" i="52"/>
  <c r="DQ100" i="52"/>
  <c r="DP100" i="52"/>
  <c r="DO100" i="52"/>
  <c r="DN100" i="52"/>
  <c r="DM100" i="52"/>
  <c r="DL100" i="52"/>
  <c r="DK100" i="52"/>
  <c r="DJ100" i="52"/>
  <c r="DI100" i="52"/>
  <c r="DH100" i="52"/>
  <c r="DG100" i="52"/>
  <c r="DF100" i="52"/>
  <c r="CY100" i="52"/>
  <c r="CX100" i="52"/>
  <c r="CW100" i="52"/>
  <c r="CV100" i="52"/>
  <c r="CU100" i="52"/>
  <c r="CT100" i="52"/>
  <c r="CS100" i="52"/>
  <c r="CR100" i="52"/>
  <c r="CQ100" i="52"/>
  <c r="CP100" i="52"/>
  <c r="CO100" i="52"/>
  <c r="CN100" i="52"/>
  <c r="CM100" i="52"/>
  <c r="CL100" i="52"/>
  <c r="CK100" i="52"/>
  <c r="CJ100" i="52"/>
  <c r="CI100" i="52"/>
  <c r="CH100" i="52"/>
  <c r="CG100" i="52"/>
  <c r="CF100" i="52"/>
  <c r="C100" i="52"/>
  <c r="B100" i="52"/>
  <c r="DE100" i="52" s="1"/>
  <c r="DY95" i="52"/>
  <c r="DX95" i="52"/>
  <c r="DW95" i="52"/>
  <c r="DV95" i="52"/>
  <c r="DU95" i="52"/>
  <c r="DT95" i="52"/>
  <c r="DS95" i="52"/>
  <c r="DR95" i="52"/>
  <c r="DQ95" i="52"/>
  <c r="DP95" i="52"/>
  <c r="DO95" i="52"/>
  <c r="DN95" i="52"/>
  <c r="DM95" i="52"/>
  <c r="DL95" i="52"/>
  <c r="DK95" i="52"/>
  <c r="DJ95" i="52"/>
  <c r="DI95" i="52"/>
  <c r="DH95" i="52"/>
  <c r="DG95" i="52"/>
  <c r="DF95" i="52"/>
  <c r="CY95" i="52"/>
  <c r="CX95" i="52"/>
  <c r="CW95" i="52"/>
  <c r="CV95" i="52"/>
  <c r="CU95" i="52"/>
  <c r="CT95" i="52"/>
  <c r="CS95" i="52"/>
  <c r="CR95" i="52"/>
  <c r="CQ95" i="52"/>
  <c r="CP95" i="52"/>
  <c r="CO95" i="52"/>
  <c r="CN95" i="52"/>
  <c r="CM95" i="52"/>
  <c r="CL95" i="52"/>
  <c r="CK95" i="52"/>
  <c r="CJ95" i="52"/>
  <c r="CI95" i="52"/>
  <c r="CH95" i="52"/>
  <c r="CG95" i="52"/>
  <c r="CF95" i="52"/>
  <c r="C95" i="52"/>
  <c r="B95" i="52"/>
  <c r="DB95" i="52" s="1"/>
  <c r="DY94" i="52"/>
  <c r="DX94" i="52"/>
  <c r="DW94" i="52"/>
  <c r="DV94" i="52"/>
  <c r="DU94" i="52"/>
  <c r="DT94" i="52"/>
  <c r="DS94" i="52"/>
  <c r="DR94" i="52"/>
  <c r="DQ94" i="52"/>
  <c r="DP94" i="52"/>
  <c r="DO94" i="52"/>
  <c r="DN94" i="52"/>
  <c r="DM94" i="52"/>
  <c r="DL94" i="52"/>
  <c r="DK94" i="52"/>
  <c r="DJ94" i="52"/>
  <c r="DI94" i="52"/>
  <c r="DH94" i="52"/>
  <c r="DG94" i="52"/>
  <c r="DF94" i="52"/>
  <c r="CY94" i="52"/>
  <c r="CX94" i="52"/>
  <c r="CW94" i="52"/>
  <c r="CV94" i="52"/>
  <c r="CU94" i="52"/>
  <c r="CT94" i="52"/>
  <c r="CS94" i="52"/>
  <c r="CR94" i="52"/>
  <c r="CQ94" i="52"/>
  <c r="CP94" i="52"/>
  <c r="CO94" i="52"/>
  <c r="CN94" i="52"/>
  <c r="CM94" i="52"/>
  <c r="CL94" i="52"/>
  <c r="CK94" i="52"/>
  <c r="CJ94" i="52"/>
  <c r="CI94" i="52"/>
  <c r="CH94" i="52"/>
  <c r="CG94" i="52"/>
  <c r="CF94" i="52"/>
  <c r="C94" i="52"/>
  <c r="B94" i="52"/>
  <c r="DY93" i="52"/>
  <c r="DX93" i="52"/>
  <c r="DW93" i="52"/>
  <c r="DV93" i="52"/>
  <c r="DU93" i="52"/>
  <c r="DT93" i="52"/>
  <c r="DS93" i="52"/>
  <c r="DR93" i="52"/>
  <c r="DQ93" i="52"/>
  <c r="DP93" i="52"/>
  <c r="DO93" i="52"/>
  <c r="DN93" i="52"/>
  <c r="DM93" i="52"/>
  <c r="DL93" i="52"/>
  <c r="DK93" i="52"/>
  <c r="DJ93" i="52"/>
  <c r="DI93" i="52"/>
  <c r="DH93" i="52"/>
  <c r="DG93" i="52"/>
  <c r="DF93" i="52"/>
  <c r="CY93" i="52"/>
  <c r="CX93" i="52"/>
  <c r="CW93" i="52"/>
  <c r="CV93" i="52"/>
  <c r="CU93" i="52"/>
  <c r="CT93" i="52"/>
  <c r="CS93" i="52"/>
  <c r="CR93" i="52"/>
  <c r="CQ93" i="52"/>
  <c r="CP93" i="52"/>
  <c r="CO93" i="52"/>
  <c r="CN93" i="52"/>
  <c r="CM93" i="52"/>
  <c r="CL93" i="52"/>
  <c r="CK93" i="52"/>
  <c r="CJ93" i="52"/>
  <c r="CI93" i="52"/>
  <c r="CH93" i="52"/>
  <c r="CG93" i="52"/>
  <c r="CF93" i="52"/>
  <c r="C93" i="52"/>
  <c r="B93" i="52"/>
  <c r="CB93" i="52" s="1"/>
  <c r="DY92" i="52"/>
  <c r="DX92" i="52"/>
  <c r="DW92" i="52"/>
  <c r="DV92" i="52"/>
  <c r="DU92" i="52"/>
  <c r="DT92" i="52"/>
  <c r="DS92" i="52"/>
  <c r="DR92" i="52"/>
  <c r="DQ92" i="52"/>
  <c r="DP92" i="52"/>
  <c r="DO92" i="52"/>
  <c r="DN92" i="52"/>
  <c r="DM92" i="52"/>
  <c r="DL92" i="52"/>
  <c r="DK92" i="52"/>
  <c r="DJ92" i="52"/>
  <c r="DI92" i="52"/>
  <c r="DH92" i="52"/>
  <c r="DG92" i="52"/>
  <c r="DF92" i="52"/>
  <c r="CY92" i="52"/>
  <c r="CX92" i="52"/>
  <c r="CW92" i="52"/>
  <c r="CV92" i="52"/>
  <c r="CU92" i="52"/>
  <c r="CT92" i="52"/>
  <c r="CS92" i="52"/>
  <c r="CR92" i="52"/>
  <c r="CQ92" i="52"/>
  <c r="CP92" i="52"/>
  <c r="CO92" i="52"/>
  <c r="CN92" i="52"/>
  <c r="CM92" i="52"/>
  <c r="CL92" i="52"/>
  <c r="CK92" i="52"/>
  <c r="CJ92" i="52"/>
  <c r="CI92" i="52"/>
  <c r="CH92" i="52"/>
  <c r="CG92" i="52"/>
  <c r="CF92" i="52"/>
  <c r="C92" i="52"/>
  <c r="B92" i="52"/>
  <c r="CE92" i="52" s="1"/>
  <c r="DY91" i="52"/>
  <c r="DX91" i="52"/>
  <c r="DW91" i="52"/>
  <c r="DV91" i="52"/>
  <c r="DU91" i="52"/>
  <c r="DT91" i="52"/>
  <c r="DS91" i="52"/>
  <c r="DR91" i="52"/>
  <c r="DQ91" i="52"/>
  <c r="DP91" i="52"/>
  <c r="DO91" i="52"/>
  <c r="DN91" i="52"/>
  <c r="DM91" i="52"/>
  <c r="DL91" i="52"/>
  <c r="DK91" i="52"/>
  <c r="DJ91" i="52"/>
  <c r="DI91" i="52"/>
  <c r="DH91" i="52"/>
  <c r="DG91" i="52"/>
  <c r="DF91" i="52"/>
  <c r="CY91" i="52"/>
  <c r="CX91" i="52"/>
  <c r="CW91" i="52"/>
  <c r="CV91" i="52"/>
  <c r="CU91" i="52"/>
  <c r="CT91" i="52"/>
  <c r="CS91" i="52"/>
  <c r="CR91" i="52"/>
  <c r="CQ91" i="52"/>
  <c r="CP91" i="52"/>
  <c r="CO91" i="52"/>
  <c r="CN91" i="52"/>
  <c r="CM91" i="52"/>
  <c r="CL91" i="52"/>
  <c r="CK91" i="52"/>
  <c r="CJ91" i="52"/>
  <c r="CI91" i="52"/>
  <c r="CH91" i="52"/>
  <c r="CG91" i="52"/>
  <c r="CF91" i="52"/>
  <c r="C91" i="52"/>
  <c r="B91" i="52"/>
  <c r="DD91" i="52" s="1"/>
  <c r="DY90" i="52"/>
  <c r="DX90" i="52"/>
  <c r="DW90" i="52"/>
  <c r="DV90" i="52"/>
  <c r="DU90" i="52"/>
  <c r="DT90" i="52"/>
  <c r="DS90" i="52"/>
  <c r="DR90" i="52"/>
  <c r="DQ90" i="52"/>
  <c r="DP90" i="52"/>
  <c r="DO90" i="52"/>
  <c r="DN90" i="52"/>
  <c r="DM90" i="52"/>
  <c r="DL90" i="52"/>
  <c r="DK90" i="52"/>
  <c r="DJ90" i="52"/>
  <c r="DI90" i="52"/>
  <c r="DH90" i="52"/>
  <c r="DG90" i="52"/>
  <c r="DF90" i="52"/>
  <c r="CY90" i="52"/>
  <c r="CX90" i="52"/>
  <c r="CW90" i="52"/>
  <c r="CV90" i="52"/>
  <c r="CU90" i="52"/>
  <c r="CT90" i="52"/>
  <c r="CS90" i="52"/>
  <c r="CR90" i="52"/>
  <c r="CQ90" i="52"/>
  <c r="CP90" i="52"/>
  <c r="CO90" i="52"/>
  <c r="CN90" i="52"/>
  <c r="CM90" i="52"/>
  <c r="CL90" i="52"/>
  <c r="CK90" i="52"/>
  <c r="CJ90" i="52"/>
  <c r="CI90" i="52"/>
  <c r="CH90" i="52"/>
  <c r="CG90" i="52"/>
  <c r="CF90" i="52"/>
  <c r="C90" i="52"/>
  <c r="B90" i="52"/>
  <c r="DY89" i="52"/>
  <c r="DX89" i="52"/>
  <c r="DW89" i="52"/>
  <c r="DV89" i="52"/>
  <c r="DU89" i="52"/>
  <c r="DT89" i="52"/>
  <c r="DS89" i="52"/>
  <c r="DR89" i="52"/>
  <c r="DQ89" i="52"/>
  <c r="DP89" i="52"/>
  <c r="DO89" i="52"/>
  <c r="DN89" i="52"/>
  <c r="DM89" i="52"/>
  <c r="DL89" i="52"/>
  <c r="DK89" i="52"/>
  <c r="DJ89" i="52"/>
  <c r="DI89" i="52"/>
  <c r="DH89" i="52"/>
  <c r="DG89" i="52"/>
  <c r="DF89" i="52"/>
  <c r="CY89" i="52"/>
  <c r="CX89" i="52"/>
  <c r="CW89" i="52"/>
  <c r="CV89" i="52"/>
  <c r="CU89" i="52"/>
  <c r="CT89" i="52"/>
  <c r="CS89" i="52"/>
  <c r="CR89" i="52"/>
  <c r="CQ89" i="52"/>
  <c r="CP89" i="52"/>
  <c r="CO89" i="52"/>
  <c r="CN89" i="52"/>
  <c r="CM89" i="52"/>
  <c r="CL89" i="52"/>
  <c r="CK89" i="52"/>
  <c r="CJ89" i="52"/>
  <c r="CI89" i="52"/>
  <c r="CH89" i="52"/>
  <c r="CG89" i="52"/>
  <c r="CF89" i="52"/>
  <c r="C89" i="52"/>
  <c r="B89" i="52"/>
  <c r="CB89" i="52" s="1"/>
  <c r="DY88" i="52"/>
  <c r="DX88" i="52"/>
  <c r="DW88" i="52"/>
  <c r="DV88" i="52"/>
  <c r="DU88" i="52"/>
  <c r="DT88" i="52"/>
  <c r="DS88" i="52"/>
  <c r="DR88" i="52"/>
  <c r="DQ88" i="52"/>
  <c r="DP88" i="52"/>
  <c r="DO88" i="52"/>
  <c r="DN88" i="52"/>
  <c r="DM88" i="52"/>
  <c r="DL88" i="52"/>
  <c r="DK88" i="52"/>
  <c r="DJ88" i="52"/>
  <c r="DI88" i="52"/>
  <c r="DH88" i="52"/>
  <c r="DG88" i="52"/>
  <c r="DF88" i="52"/>
  <c r="CY88" i="52"/>
  <c r="CX88" i="52"/>
  <c r="CW88" i="52"/>
  <c r="CV88" i="52"/>
  <c r="CU88" i="52"/>
  <c r="CT88" i="52"/>
  <c r="CS88" i="52"/>
  <c r="CR88" i="52"/>
  <c r="CQ88" i="52"/>
  <c r="CP88" i="52"/>
  <c r="CO88" i="52"/>
  <c r="CN88" i="52"/>
  <c r="CM88" i="52"/>
  <c r="CL88" i="52"/>
  <c r="CK88" i="52"/>
  <c r="CJ88" i="52"/>
  <c r="CI88" i="52"/>
  <c r="CH88" i="52"/>
  <c r="CG88" i="52"/>
  <c r="CF88" i="52"/>
  <c r="C88" i="52"/>
  <c r="B88" i="52"/>
  <c r="DD88" i="52" s="1"/>
  <c r="DY87" i="52"/>
  <c r="DX87" i="52"/>
  <c r="DW87" i="52"/>
  <c r="DV87" i="52"/>
  <c r="DU87" i="52"/>
  <c r="DT87" i="52"/>
  <c r="DS87" i="52"/>
  <c r="DR87" i="52"/>
  <c r="DQ87" i="52"/>
  <c r="DP87" i="52"/>
  <c r="DO87" i="52"/>
  <c r="DN87" i="52"/>
  <c r="DM87" i="52"/>
  <c r="DL87" i="52"/>
  <c r="DK87" i="52"/>
  <c r="DJ87" i="52"/>
  <c r="DI87" i="52"/>
  <c r="DH87" i="52"/>
  <c r="DG87" i="52"/>
  <c r="DF87" i="52"/>
  <c r="CY87" i="52"/>
  <c r="CX87" i="52"/>
  <c r="CW87" i="52"/>
  <c r="CV87" i="52"/>
  <c r="CU87" i="52"/>
  <c r="CT87" i="52"/>
  <c r="CS87" i="52"/>
  <c r="CR87" i="52"/>
  <c r="CQ87" i="52"/>
  <c r="CP87" i="52"/>
  <c r="CO87" i="52"/>
  <c r="CN87" i="52"/>
  <c r="CM87" i="52"/>
  <c r="CL87" i="52"/>
  <c r="CK87" i="52"/>
  <c r="CJ87" i="52"/>
  <c r="CI87" i="52"/>
  <c r="CH87" i="52"/>
  <c r="CG87" i="52"/>
  <c r="CF87" i="52"/>
  <c r="C87" i="52"/>
  <c r="B87" i="52"/>
  <c r="DD87" i="52" s="1"/>
  <c r="DY86" i="52"/>
  <c r="DX86" i="52"/>
  <c r="DW86" i="52"/>
  <c r="DV86" i="52"/>
  <c r="DU86" i="52"/>
  <c r="DT86" i="52"/>
  <c r="DS86" i="52"/>
  <c r="DR86" i="52"/>
  <c r="DQ86" i="52"/>
  <c r="DP86" i="52"/>
  <c r="DO86" i="52"/>
  <c r="DN86" i="52"/>
  <c r="DM86" i="52"/>
  <c r="DL86" i="52"/>
  <c r="DK86" i="52"/>
  <c r="DJ86" i="52"/>
  <c r="DI86" i="52"/>
  <c r="DH86" i="52"/>
  <c r="DG86" i="52"/>
  <c r="DF86" i="52"/>
  <c r="CY86" i="52"/>
  <c r="CX86" i="52"/>
  <c r="CW86" i="52"/>
  <c r="CV86" i="52"/>
  <c r="CU86" i="52"/>
  <c r="CT86" i="52"/>
  <c r="CS86" i="52"/>
  <c r="CR86" i="52"/>
  <c r="CQ86" i="52"/>
  <c r="CP86" i="52"/>
  <c r="CO86" i="52"/>
  <c r="CN86" i="52"/>
  <c r="CM86" i="52"/>
  <c r="CL86" i="52"/>
  <c r="CK86" i="52"/>
  <c r="CJ86" i="52"/>
  <c r="CI86" i="52"/>
  <c r="CH86" i="52"/>
  <c r="CG86" i="52"/>
  <c r="CF86" i="52"/>
  <c r="C86" i="52"/>
  <c r="B86" i="52"/>
  <c r="DE86" i="52" s="1"/>
  <c r="DY85" i="52"/>
  <c r="DX85" i="52"/>
  <c r="DW85" i="52"/>
  <c r="DV85" i="52"/>
  <c r="DU85" i="52"/>
  <c r="DT85" i="52"/>
  <c r="DS85" i="52"/>
  <c r="DR85" i="52"/>
  <c r="DQ85" i="52"/>
  <c r="DP85" i="52"/>
  <c r="DO85" i="52"/>
  <c r="DN85" i="52"/>
  <c r="DM85" i="52"/>
  <c r="DL85" i="52"/>
  <c r="DK85" i="52"/>
  <c r="DJ85" i="52"/>
  <c r="DI85" i="52"/>
  <c r="DH85" i="52"/>
  <c r="DG85" i="52"/>
  <c r="DF85" i="52"/>
  <c r="CY85" i="52"/>
  <c r="CX85" i="52"/>
  <c r="CW85" i="52"/>
  <c r="CV85" i="52"/>
  <c r="CU85" i="52"/>
  <c r="CT85" i="52"/>
  <c r="CS85" i="52"/>
  <c r="CR85" i="52"/>
  <c r="CQ85" i="52"/>
  <c r="CP85" i="52"/>
  <c r="CO85" i="52"/>
  <c r="CN85" i="52"/>
  <c r="CM85" i="52"/>
  <c r="CL85" i="52"/>
  <c r="CK85" i="52"/>
  <c r="CJ85" i="52"/>
  <c r="CI85" i="52"/>
  <c r="CH85" i="52"/>
  <c r="CG85" i="52"/>
  <c r="CF85" i="52"/>
  <c r="C85" i="52"/>
  <c r="B85" i="52"/>
  <c r="CZ85" i="52" s="1"/>
  <c r="DY84" i="52"/>
  <c r="DX84" i="52"/>
  <c r="DW84" i="52"/>
  <c r="DV84" i="52"/>
  <c r="DU84" i="52"/>
  <c r="DT84" i="52"/>
  <c r="DS84" i="52"/>
  <c r="DR84" i="52"/>
  <c r="DQ84" i="52"/>
  <c r="DP84" i="52"/>
  <c r="DO84" i="52"/>
  <c r="DN84" i="52"/>
  <c r="DM84" i="52"/>
  <c r="DL84" i="52"/>
  <c r="DK84" i="52"/>
  <c r="DJ84" i="52"/>
  <c r="DI84" i="52"/>
  <c r="DH84" i="52"/>
  <c r="DG84" i="52"/>
  <c r="DF84" i="52"/>
  <c r="CY84" i="52"/>
  <c r="CX84" i="52"/>
  <c r="CW84" i="52"/>
  <c r="CV84" i="52"/>
  <c r="CU84" i="52"/>
  <c r="CT84" i="52"/>
  <c r="CS84" i="52"/>
  <c r="CR84" i="52"/>
  <c r="CQ84" i="52"/>
  <c r="CP84" i="52"/>
  <c r="CO84" i="52"/>
  <c r="CN84" i="52"/>
  <c r="CM84" i="52"/>
  <c r="CL84" i="52"/>
  <c r="CK84" i="52"/>
  <c r="CJ84" i="52"/>
  <c r="CI84" i="52"/>
  <c r="CH84" i="52"/>
  <c r="CG84" i="52"/>
  <c r="CF84" i="52"/>
  <c r="C84" i="52"/>
  <c r="B84" i="52"/>
  <c r="DD84" i="52" s="1"/>
  <c r="DY83" i="52"/>
  <c r="DX83" i="52"/>
  <c r="DW83" i="52"/>
  <c r="DV83" i="52"/>
  <c r="DU83" i="52"/>
  <c r="DT83" i="52"/>
  <c r="DS83" i="52"/>
  <c r="DR83" i="52"/>
  <c r="DQ83" i="52"/>
  <c r="DP83" i="52"/>
  <c r="DO83" i="52"/>
  <c r="DN83" i="52"/>
  <c r="DM83" i="52"/>
  <c r="DL83" i="52"/>
  <c r="DK83" i="52"/>
  <c r="DJ83" i="52"/>
  <c r="DI83" i="52"/>
  <c r="DH83" i="52"/>
  <c r="DG83" i="52"/>
  <c r="DF83" i="52"/>
  <c r="CY83" i="52"/>
  <c r="CX83" i="52"/>
  <c r="CW83" i="52"/>
  <c r="CV83" i="52"/>
  <c r="CU83" i="52"/>
  <c r="CT83" i="52"/>
  <c r="CS83" i="52"/>
  <c r="CR83" i="52"/>
  <c r="CQ83" i="52"/>
  <c r="CP83" i="52"/>
  <c r="CO83" i="52"/>
  <c r="CN83" i="52"/>
  <c r="CM83" i="52"/>
  <c r="CL83" i="52"/>
  <c r="CK83" i="52"/>
  <c r="CJ83" i="52"/>
  <c r="CI83" i="52"/>
  <c r="CH83" i="52"/>
  <c r="CG83" i="52"/>
  <c r="CF83" i="52"/>
  <c r="C83" i="52"/>
  <c r="B83" i="52"/>
  <c r="DD83" i="52" s="1"/>
  <c r="DY82" i="52"/>
  <c r="DX82" i="52"/>
  <c r="DW82" i="52"/>
  <c r="DV82" i="52"/>
  <c r="DU82" i="52"/>
  <c r="DT82" i="52"/>
  <c r="DS82" i="52"/>
  <c r="DR82" i="52"/>
  <c r="DQ82" i="52"/>
  <c r="DP82" i="52"/>
  <c r="DO82" i="52"/>
  <c r="DN82" i="52"/>
  <c r="DM82" i="52"/>
  <c r="DL82" i="52"/>
  <c r="DK82" i="52"/>
  <c r="DJ82" i="52"/>
  <c r="DI82" i="52"/>
  <c r="DH82" i="52"/>
  <c r="DG82" i="52"/>
  <c r="DF82" i="52"/>
  <c r="CY82" i="52"/>
  <c r="CX82" i="52"/>
  <c r="CW82" i="52"/>
  <c r="CV82" i="52"/>
  <c r="CU82" i="52"/>
  <c r="CT82" i="52"/>
  <c r="CS82" i="52"/>
  <c r="CR82" i="52"/>
  <c r="CQ82" i="52"/>
  <c r="CP82" i="52"/>
  <c r="CO82" i="52"/>
  <c r="CN82" i="52"/>
  <c r="CM82" i="52"/>
  <c r="CL82" i="52"/>
  <c r="CK82" i="52"/>
  <c r="CJ82" i="52"/>
  <c r="CI82" i="52"/>
  <c r="CH82" i="52"/>
  <c r="CG82" i="52"/>
  <c r="CF82" i="52"/>
  <c r="C82" i="52"/>
  <c r="B82" i="52"/>
  <c r="DE82" i="52" s="1"/>
  <c r="DY81" i="52"/>
  <c r="DX81" i="52"/>
  <c r="DW81" i="52"/>
  <c r="DV81" i="52"/>
  <c r="DU81" i="52"/>
  <c r="DT81" i="52"/>
  <c r="DS81" i="52"/>
  <c r="DR81" i="52"/>
  <c r="DQ81" i="52"/>
  <c r="DP81" i="52"/>
  <c r="DO81" i="52"/>
  <c r="DN81" i="52"/>
  <c r="DM81" i="52"/>
  <c r="DL81" i="52"/>
  <c r="DK81" i="52"/>
  <c r="DJ81" i="52"/>
  <c r="DI81" i="52"/>
  <c r="DH81" i="52"/>
  <c r="DG81" i="52"/>
  <c r="DF81" i="52"/>
  <c r="CY81" i="52"/>
  <c r="CX81" i="52"/>
  <c r="CW81" i="52"/>
  <c r="CV81" i="52"/>
  <c r="CU81" i="52"/>
  <c r="CT81" i="52"/>
  <c r="CS81" i="52"/>
  <c r="CR81" i="52"/>
  <c r="CQ81" i="52"/>
  <c r="CP81" i="52"/>
  <c r="CO81" i="52"/>
  <c r="CN81" i="52"/>
  <c r="CM81" i="52"/>
  <c r="CL81" i="52"/>
  <c r="CK81" i="52"/>
  <c r="CJ81" i="52"/>
  <c r="CI81" i="52"/>
  <c r="CH81" i="52"/>
  <c r="CG81" i="52"/>
  <c r="CF81" i="52"/>
  <c r="C81" i="52"/>
  <c r="B81" i="52"/>
  <c r="CZ81" i="52" s="1"/>
  <c r="DY80" i="52"/>
  <c r="DX80" i="52"/>
  <c r="DW80" i="52"/>
  <c r="DV80" i="52"/>
  <c r="DU80" i="52"/>
  <c r="DT80" i="52"/>
  <c r="DS80" i="52"/>
  <c r="DR80" i="52"/>
  <c r="DQ80" i="52"/>
  <c r="DP80" i="52"/>
  <c r="DO80" i="52"/>
  <c r="DN80" i="52"/>
  <c r="DM80" i="52"/>
  <c r="DL80" i="52"/>
  <c r="DK80" i="52"/>
  <c r="DJ80" i="52"/>
  <c r="DI80" i="52"/>
  <c r="DH80" i="52"/>
  <c r="DG80" i="52"/>
  <c r="DF80" i="52"/>
  <c r="CY80" i="52"/>
  <c r="CX80" i="52"/>
  <c r="CW80" i="52"/>
  <c r="CV80" i="52"/>
  <c r="CU80" i="52"/>
  <c r="CT80" i="52"/>
  <c r="CS80" i="52"/>
  <c r="CR80" i="52"/>
  <c r="CQ80" i="52"/>
  <c r="CP80" i="52"/>
  <c r="CO80" i="52"/>
  <c r="CN80" i="52"/>
  <c r="CM80" i="52"/>
  <c r="CL80" i="52"/>
  <c r="CK80" i="52"/>
  <c r="CJ80" i="52"/>
  <c r="CI80" i="52"/>
  <c r="CH80" i="52"/>
  <c r="CG80" i="52"/>
  <c r="CF80" i="52"/>
  <c r="C80" i="52"/>
  <c r="B80" i="52"/>
  <c r="DD80" i="52" s="1"/>
  <c r="DY79" i="52"/>
  <c r="DX79" i="52"/>
  <c r="DW79" i="52"/>
  <c r="DV79" i="52"/>
  <c r="DU79" i="52"/>
  <c r="DT79" i="52"/>
  <c r="DS79" i="52"/>
  <c r="DR79" i="52"/>
  <c r="DQ79" i="52"/>
  <c r="DP79" i="52"/>
  <c r="DO79" i="52"/>
  <c r="DN79" i="52"/>
  <c r="DM79" i="52"/>
  <c r="DL79" i="52"/>
  <c r="DK79" i="52"/>
  <c r="DJ79" i="52"/>
  <c r="DI79" i="52"/>
  <c r="DH79" i="52"/>
  <c r="DG79" i="52"/>
  <c r="DF79" i="52"/>
  <c r="CY79" i="52"/>
  <c r="CX79" i="52"/>
  <c r="CW79" i="52"/>
  <c r="CV79" i="52"/>
  <c r="CU79" i="52"/>
  <c r="CT79" i="52"/>
  <c r="CS79" i="52"/>
  <c r="CR79" i="52"/>
  <c r="CQ79" i="52"/>
  <c r="CP79" i="52"/>
  <c r="CO79" i="52"/>
  <c r="CN79" i="52"/>
  <c r="CM79" i="52"/>
  <c r="CL79" i="52"/>
  <c r="CK79" i="52"/>
  <c r="CJ79" i="52"/>
  <c r="CI79" i="52"/>
  <c r="CH79" i="52"/>
  <c r="CG79" i="52"/>
  <c r="CF79" i="52"/>
  <c r="C79" i="52"/>
  <c r="B79" i="52"/>
  <c r="DD79" i="52" s="1"/>
  <c r="DY78" i="52"/>
  <c r="DX78" i="52"/>
  <c r="DW78" i="52"/>
  <c r="DV78" i="52"/>
  <c r="DU78" i="52"/>
  <c r="DT78" i="52"/>
  <c r="DS78" i="52"/>
  <c r="DR78" i="52"/>
  <c r="DQ78" i="52"/>
  <c r="DP78" i="52"/>
  <c r="DO78" i="52"/>
  <c r="DN78" i="52"/>
  <c r="DM78" i="52"/>
  <c r="DL78" i="52"/>
  <c r="DK78" i="52"/>
  <c r="DJ78" i="52"/>
  <c r="DI78" i="52"/>
  <c r="DH78" i="52"/>
  <c r="DG78" i="52"/>
  <c r="DF78" i="52"/>
  <c r="CY78" i="52"/>
  <c r="CX78" i="52"/>
  <c r="CW78" i="52"/>
  <c r="CV78" i="52"/>
  <c r="CU78" i="52"/>
  <c r="CT78" i="52"/>
  <c r="CS78" i="52"/>
  <c r="CR78" i="52"/>
  <c r="CQ78" i="52"/>
  <c r="CP78" i="52"/>
  <c r="CO78" i="52"/>
  <c r="CN78" i="52"/>
  <c r="CM78" i="52"/>
  <c r="CL78" i="52"/>
  <c r="CK78" i="52"/>
  <c r="CJ78" i="52"/>
  <c r="CI78" i="52"/>
  <c r="CH78" i="52"/>
  <c r="CG78" i="52"/>
  <c r="CF78" i="52"/>
  <c r="C78" i="52"/>
  <c r="B78" i="52"/>
  <c r="DE78" i="52" s="1"/>
  <c r="DY73" i="52"/>
  <c r="DX73" i="52"/>
  <c r="DW73" i="52"/>
  <c r="DV73" i="52"/>
  <c r="DU73" i="52"/>
  <c r="DT73" i="52"/>
  <c r="DS73" i="52"/>
  <c r="DR73" i="52"/>
  <c r="DQ73" i="52"/>
  <c r="DP73" i="52"/>
  <c r="DO73" i="52"/>
  <c r="DN73" i="52"/>
  <c r="DM73" i="52"/>
  <c r="DL73" i="52"/>
  <c r="DK73" i="52"/>
  <c r="DJ73" i="52"/>
  <c r="DI73" i="52"/>
  <c r="DH73" i="52"/>
  <c r="DG73" i="52"/>
  <c r="DF73" i="52"/>
  <c r="CY73" i="52"/>
  <c r="CX73" i="52"/>
  <c r="CW73" i="52"/>
  <c r="CV73" i="52"/>
  <c r="CU73" i="52"/>
  <c r="CT73" i="52"/>
  <c r="CS73" i="52"/>
  <c r="CR73" i="52"/>
  <c r="CQ73" i="52"/>
  <c r="CP73" i="52"/>
  <c r="CO73" i="52"/>
  <c r="CN73" i="52"/>
  <c r="CM73" i="52"/>
  <c r="CL73" i="52"/>
  <c r="CK73" i="52"/>
  <c r="CJ73" i="52"/>
  <c r="CI73" i="52"/>
  <c r="CH73" i="52"/>
  <c r="CG73" i="52"/>
  <c r="CF73" i="52"/>
  <c r="C73" i="52"/>
  <c r="B73" i="52"/>
  <c r="CZ73" i="52" s="1"/>
  <c r="DY72" i="52"/>
  <c r="DX72" i="52"/>
  <c r="DW72" i="52"/>
  <c r="DV72" i="52"/>
  <c r="DU72" i="52"/>
  <c r="DT72" i="52"/>
  <c r="DS72" i="52"/>
  <c r="DR72" i="52"/>
  <c r="DQ72" i="52"/>
  <c r="DP72" i="52"/>
  <c r="DO72" i="52"/>
  <c r="DN72" i="52"/>
  <c r="DM72" i="52"/>
  <c r="DL72" i="52"/>
  <c r="DK72" i="52"/>
  <c r="DJ72" i="52"/>
  <c r="DI72" i="52"/>
  <c r="DH72" i="52"/>
  <c r="DG72" i="52"/>
  <c r="DF72" i="52"/>
  <c r="CY72" i="52"/>
  <c r="CX72" i="52"/>
  <c r="CW72" i="52"/>
  <c r="CV72" i="52"/>
  <c r="CU72" i="52"/>
  <c r="CT72" i="52"/>
  <c r="CS72" i="52"/>
  <c r="CR72" i="52"/>
  <c r="CQ72" i="52"/>
  <c r="CP72" i="52"/>
  <c r="CO72" i="52"/>
  <c r="CN72" i="52"/>
  <c r="CM72" i="52"/>
  <c r="CL72" i="52"/>
  <c r="CK72" i="52"/>
  <c r="CJ72" i="52"/>
  <c r="CI72" i="52"/>
  <c r="CH72" i="52"/>
  <c r="CG72" i="52"/>
  <c r="CF72" i="52"/>
  <c r="C72" i="52"/>
  <c r="B72" i="52"/>
  <c r="DD72" i="52" s="1"/>
  <c r="DY71" i="52"/>
  <c r="DX71" i="52"/>
  <c r="DW71" i="52"/>
  <c r="DV71" i="52"/>
  <c r="DU71" i="52"/>
  <c r="DT71" i="52"/>
  <c r="DS71" i="52"/>
  <c r="DR71" i="52"/>
  <c r="DQ71" i="52"/>
  <c r="DP71" i="52"/>
  <c r="DO71" i="52"/>
  <c r="DN71" i="52"/>
  <c r="DM71" i="52"/>
  <c r="DL71" i="52"/>
  <c r="DK71" i="52"/>
  <c r="DJ71" i="52"/>
  <c r="DI71" i="52"/>
  <c r="DH71" i="52"/>
  <c r="DG71" i="52"/>
  <c r="DF71" i="52"/>
  <c r="CY71" i="52"/>
  <c r="CX71" i="52"/>
  <c r="CW71" i="52"/>
  <c r="CV71" i="52"/>
  <c r="CU71" i="52"/>
  <c r="CT71" i="52"/>
  <c r="CS71" i="52"/>
  <c r="CR71" i="52"/>
  <c r="CQ71" i="52"/>
  <c r="CP71" i="52"/>
  <c r="CO71" i="52"/>
  <c r="CN71" i="52"/>
  <c r="CM71" i="52"/>
  <c r="CL71" i="52"/>
  <c r="CK71" i="52"/>
  <c r="CJ71" i="52"/>
  <c r="CI71" i="52"/>
  <c r="CH71" i="52"/>
  <c r="CG71" i="52"/>
  <c r="CF71" i="52"/>
  <c r="C71" i="52"/>
  <c r="B71" i="52"/>
  <c r="DD71" i="52" s="1"/>
  <c r="DY70" i="52"/>
  <c r="DX70" i="52"/>
  <c r="DW70" i="52"/>
  <c r="DV70" i="52"/>
  <c r="DU70" i="52"/>
  <c r="DT70" i="52"/>
  <c r="DS70" i="52"/>
  <c r="DR70" i="52"/>
  <c r="DQ70" i="52"/>
  <c r="DP70" i="52"/>
  <c r="DO70" i="52"/>
  <c r="DN70" i="52"/>
  <c r="DM70" i="52"/>
  <c r="DL70" i="52"/>
  <c r="DK70" i="52"/>
  <c r="DJ70" i="52"/>
  <c r="DI70" i="52"/>
  <c r="DH70" i="52"/>
  <c r="DG70" i="52"/>
  <c r="DF70" i="52"/>
  <c r="CY70" i="52"/>
  <c r="CX70" i="52"/>
  <c r="CW70" i="52"/>
  <c r="CV70" i="52"/>
  <c r="CU70" i="52"/>
  <c r="CT70" i="52"/>
  <c r="CS70" i="52"/>
  <c r="CR70" i="52"/>
  <c r="CQ70" i="52"/>
  <c r="CP70" i="52"/>
  <c r="CO70" i="52"/>
  <c r="CN70" i="52"/>
  <c r="CM70" i="52"/>
  <c r="CL70" i="52"/>
  <c r="CK70" i="52"/>
  <c r="CJ70" i="52"/>
  <c r="CI70" i="52"/>
  <c r="CH70" i="52"/>
  <c r="CG70" i="52"/>
  <c r="CF70" i="52"/>
  <c r="C70" i="52"/>
  <c r="B70" i="52"/>
  <c r="DE70" i="52" s="1"/>
  <c r="DY69" i="52"/>
  <c r="DX69" i="52"/>
  <c r="DW69" i="52"/>
  <c r="DV69" i="52"/>
  <c r="DU69" i="52"/>
  <c r="DT69" i="52"/>
  <c r="DS69" i="52"/>
  <c r="DR69" i="52"/>
  <c r="DQ69" i="52"/>
  <c r="DP69" i="52"/>
  <c r="DO69" i="52"/>
  <c r="DN69" i="52"/>
  <c r="DM69" i="52"/>
  <c r="DL69" i="52"/>
  <c r="DK69" i="52"/>
  <c r="DJ69" i="52"/>
  <c r="DI69" i="52"/>
  <c r="DH69" i="52"/>
  <c r="DG69" i="52"/>
  <c r="DF69" i="52"/>
  <c r="CY69" i="52"/>
  <c r="CX69" i="52"/>
  <c r="CW69" i="52"/>
  <c r="CV69" i="52"/>
  <c r="CU69" i="52"/>
  <c r="CT69" i="52"/>
  <c r="CS69" i="52"/>
  <c r="CR69" i="52"/>
  <c r="CQ69" i="52"/>
  <c r="CP69" i="52"/>
  <c r="CO69" i="52"/>
  <c r="CN69" i="52"/>
  <c r="CM69" i="52"/>
  <c r="CL69" i="52"/>
  <c r="CK69" i="52"/>
  <c r="CJ69" i="52"/>
  <c r="CI69" i="52"/>
  <c r="CH69" i="52"/>
  <c r="CG69" i="52"/>
  <c r="CF69" i="52"/>
  <c r="C69" i="52"/>
  <c r="B69" i="52"/>
  <c r="CB69" i="52" s="1"/>
  <c r="DY68" i="52"/>
  <c r="DX68" i="52"/>
  <c r="DW68" i="52"/>
  <c r="DV68" i="52"/>
  <c r="DU68" i="52"/>
  <c r="DT68" i="52"/>
  <c r="DS68" i="52"/>
  <c r="DR68" i="52"/>
  <c r="DQ68" i="52"/>
  <c r="DP68" i="52"/>
  <c r="DO68" i="52"/>
  <c r="DN68" i="52"/>
  <c r="DM68" i="52"/>
  <c r="DL68" i="52"/>
  <c r="DK68" i="52"/>
  <c r="DJ68" i="52"/>
  <c r="DI68" i="52"/>
  <c r="DH68" i="52"/>
  <c r="DG68" i="52"/>
  <c r="DF68" i="52"/>
  <c r="CY68" i="52"/>
  <c r="CX68" i="52"/>
  <c r="CW68" i="52"/>
  <c r="CV68" i="52"/>
  <c r="CU68" i="52"/>
  <c r="CT68" i="52"/>
  <c r="CS68" i="52"/>
  <c r="CR68" i="52"/>
  <c r="CQ68" i="52"/>
  <c r="CP68" i="52"/>
  <c r="CO68" i="52"/>
  <c r="CN68" i="52"/>
  <c r="CM68" i="52"/>
  <c r="CL68" i="52"/>
  <c r="CK68" i="52"/>
  <c r="CJ68" i="52"/>
  <c r="CI68" i="52"/>
  <c r="CH68" i="52"/>
  <c r="CG68" i="52"/>
  <c r="CF68" i="52"/>
  <c r="C68" i="52"/>
  <c r="B68" i="52"/>
  <c r="DD68" i="52" s="1"/>
  <c r="DY67" i="52"/>
  <c r="DX67" i="52"/>
  <c r="DW67" i="52"/>
  <c r="DV67" i="52"/>
  <c r="DU67" i="52"/>
  <c r="DT67" i="52"/>
  <c r="DS67" i="52"/>
  <c r="DR67" i="52"/>
  <c r="DQ67" i="52"/>
  <c r="DP67" i="52"/>
  <c r="DO67" i="52"/>
  <c r="DN67" i="52"/>
  <c r="DM67" i="52"/>
  <c r="DL67" i="52"/>
  <c r="DK67" i="52"/>
  <c r="DJ67" i="52"/>
  <c r="DI67" i="52"/>
  <c r="DH67" i="52"/>
  <c r="DG67" i="52"/>
  <c r="DF67" i="52"/>
  <c r="CY67" i="52"/>
  <c r="CX67" i="52"/>
  <c r="CW67" i="52"/>
  <c r="CV67" i="52"/>
  <c r="CU67" i="52"/>
  <c r="CT67" i="52"/>
  <c r="CS67" i="52"/>
  <c r="CR67" i="52"/>
  <c r="CQ67" i="52"/>
  <c r="CP67" i="52"/>
  <c r="CO67" i="52"/>
  <c r="CN67" i="52"/>
  <c r="CM67" i="52"/>
  <c r="CL67" i="52"/>
  <c r="CK67" i="52"/>
  <c r="CJ67" i="52"/>
  <c r="CI67" i="52"/>
  <c r="CH67" i="52"/>
  <c r="CG67" i="52"/>
  <c r="CF67" i="52"/>
  <c r="C67" i="52"/>
  <c r="B67" i="52"/>
  <c r="DD67" i="52" s="1"/>
  <c r="DY66" i="52"/>
  <c r="DX66" i="52"/>
  <c r="DW66" i="52"/>
  <c r="DV66" i="52"/>
  <c r="DU66" i="52"/>
  <c r="DT66" i="52"/>
  <c r="DS66" i="52"/>
  <c r="DR66" i="52"/>
  <c r="DQ66" i="52"/>
  <c r="DP66" i="52"/>
  <c r="DO66" i="52"/>
  <c r="DN66" i="52"/>
  <c r="DM66" i="52"/>
  <c r="DL66" i="52"/>
  <c r="DK66" i="52"/>
  <c r="DJ66" i="52"/>
  <c r="DI66" i="52"/>
  <c r="DH66" i="52"/>
  <c r="DG66" i="52"/>
  <c r="DF66" i="52"/>
  <c r="CY66" i="52"/>
  <c r="CX66" i="52"/>
  <c r="CW66" i="52"/>
  <c r="CV66" i="52"/>
  <c r="CU66" i="52"/>
  <c r="CT66" i="52"/>
  <c r="CS66" i="52"/>
  <c r="CR66" i="52"/>
  <c r="CQ66" i="52"/>
  <c r="CP66" i="52"/>
  <c r="CO66" i="52"/>
  <c r="CN66" i="52"/>
  <c r="CM66" i="52"/>
  <c r="CL66" i="52"/>
  <c r="CK66" i="52"/>
  <c r="CJ66" i="52"/>
  <c r="CI66" i="52"/>
  <c r="CH66" i="52"/>
  <c r="CG66" i="52"/>
  <c r="CF66" i="52"/>
  <c r="C66" i="52"/>
  <c r="B66" i="52"/>
  <c r="CB66" i="52" s="1"/>
  <c r="DY65" i="52"/>
  <c r="DX65" i="52"/>
  <c r="DW65" i="52"/>
  <c r="DV65" i="52"/>
  <c r="DU65" i="52"/>
  <c r="DT65" i="52"/>
  <c r="DS65" i="52"/>
  <c r="DR65" i="52"/>
  <c r="DQ65" i="52"/>
  <c r="DP65" i="52"/>
  <c r="DO65" i="52"/>
  <c r="DN65" i="52"/>
  <c r="DM65" i="52"/>
  <c r="DL65" i="52"/>
  <c r="DK65" i="52"/>
  <c r="DJ65" i="52"/>
  <c r="DI65" i="52"/>
  <c r="DH65" i="52"/>
  <c r="DG65" i="52"/>
  <c r="DF65" i="52"/>
  <c r="CY65" i="52"/>
  <c r="CX65" i="52"/>
  <c r="CW65" i="52"/>
  <c r="CV65" i="52"/>
  <c r="CU65" i="52"/>
  <c r="CT65" i="52"/>
  <c r="CS65" i="52"/>
  <c r="CR65" i="52"/>
  <c r="CQ65" i="52"/>
  <c r="CP65" i="52"/>
  <c r="CO65" i="52"/>
  <c r="CN65" i="52"/>
  <c r="CM65" i="52"/>
  <c r="CL65" i="52"/>
  <c r="CK65" i="52"/>
  <c r="CJ65" i="52"/>
  <c r="CI65" i="52"/>
  <c r="CH65" i="52"/>
  <c r="CG65" i="52"/>
  <c r="CF65" i="52"/>
  <c r="C65" i="52"/>
  <c r="B65" i="52"/>
  <c r="CZ65" i="52" s="1"/>
  <c r="DY64" i="52"/>
  <c r="DX64" i="52"/>
  <c r="DW64" i="52"/>
  <c r="DV64" i="52"/>
  <c r="DU64" i="52"/>
  <c r="DT64" i="52"/>
  <c r="DS64" i="52"/>
  <c r="DR64" i="52"/>
  <c r="DQ64" i="52"/>
  <c r="DP64" i="52"/>
  <c r="DO64" i="52"/>
  <c r="DN64" i="52"/>
  <c r="DM64" i="52"/>
  <c r="DL64" i="52"/>
  <c r="DK64" i="52"/>
  <c r="DJ64" i="52"/>
  <c r="DI64" i="52"/>
  <c r="DH64" i="52"/>
  <c r="DG64" i="52"/>
  <c r="DF64" i="52"/>
  <c r="CY64" i="52"/>
  <c r="CX64" i="52"/>
  <c r="CW64" i="52"/>
  <c r="CV64" i="52"/>
  <c r="CU64" i="52"/>
  <c r="CT64" i="52"/>
  <c r="CS64" i="52"/>
  <c r="CR64" i="52"/>
  <c r="CQ64" i="52"/>
  <c r="CP64" i="52"/>
  <c r="CO64" i="52"/>
  <c r="CN64" i="52"/>
  <c r="CM64" i="52"/>
  <c r="CL64" i="52"/>
  <c r="CK64" i="52"/>
  <c r="CJ64" i="52"/>
  <c r="CI64" i="52"/>
  <c r="CH64" i="52"/>
  <c r="CG64" i="52"/>
  <c r="CF64" i="52"/>
  <c r="C64" i="52"/>
  <c r="B64" i="52"/>
  <c r="DD64" i="52" s="1"/>
  <c r="DY63" i="52"/>
  <c r="DX63" i="52"/>
  <c r="DW63" i="52"/>
  <c r="DV63" i="52"/>
  <c r="DU63" i="52"/>
  <c r="DT63" i="52"/>
  <c r="DS63" i="52"/>
  <c r="DR63" i="52"/>
  <c r="DQ63" i="52"/>
  <c r="DP63" i="52"/>
  <c r="DO63" i="52"/>
  <c r="DN63" i="52"/>
  <c r="DM63" i="52"/>
  <c r="DL63" i="52"/>
  <c r="DK63" i="52"/>
  <c r="DJ63" i="52"/>
  <c r="DI63" i="52"/>
  <c r="DH63" i="52"/>
  <c r="DG63" i="52"/>
  <c r="DF63" i="52"/>
  <c r="CY63" i="52"/>
  <c r="CX63" i="52"/>
  <c r="CW63" i="52"/>
  <c r="CV63" i="52"/>
  <c r="CU63" i="52"/>
  <c r="CT63" i="52"/>
  <c r="CS63" i="52"/>
  <c r="CR63" i="52"/>
  <c r="CQ63" i="52"/>
  <c r="CP63" i="52"/>
  <c r="CO63" i="52"/>
  <c r="CN63" i="52"/>
  <c r="CM63" i="52"/>
  <c r="CL63" i="52"/>
  <c r="CK63" i="52"/>
  <c r="CJ63" i="52"/>
  <c r="CI63" i="52"/>
  <c r="CH63" i="52"/>
  <c r="CG63" i="52"/>
  <c r="CF63" i="52"/>
  <c r="C63" i="52"/>
  <c r="B63" i="52"/>
  <c r="DZ63" i="52" s="1"/>
  <c r="DY62" i="52"/>
  <c r="DX62" i="52"/>
  <c r="DW62" i="52"/>
  <c r="DV62" i="52"/>
  <c r="DU62" i="52"/>
  <c r="DT62" i="52"/>
  <c r="DS62" i="52"/>
  <c r="DR62" i="52"/>
  <c r="DQ62" i="52"/>
  <c r="DP62" i="52"/>
  <c r="DO62" i="52"/>
  <c r="DN62" i="52"/>
  <c r="DM62" i="52"/>
  <c r="DL62" i="52"/>
  <c r="DK62" i="52"/>
  <c r="DJ62" i="52"/>
  <c r="DI62" i="52"/>
  <c r="DH62" i="52"/>
  <c r="DG62" i="52"/>
  <c r="DF62" i="52"/>
  <c r="CY62" i="52"/>
  <c r="CX62" i="52"/>
  <c r="CW62" i="52"/>
  <c r="CV62" i="52"/>
  <c r="CU62" i="52"/>
  <c r="CT62" i="52"/>
  <c r="CS62" i="52"/>
  <c r="CR62" i="52"/>
  <c r="CQ62" i="52"/>
  <c r="CP62" i="52"/>
  <c r="CO62" i="52"/>
  <c r="CN62" i="52"/>
  <c r="CM62" i="52"/>
  <c r="CL62" i="52"/>
  <c r="CK62" i="52"/>
  <c r="CJ62" i="52"/>
  <c r="CI62" i="52"/>
  <c r="CH62" i="52"/>
  <c r="CG62" i="52"/>
  <c r="CF62" i="52"/>
  <c r="C62" i="52"/>
  <c r="B62" i="52"/>
  <c r="DD62" i="52" s="1"/>
  <c r="DY61" i="52"/>
  <c r="DX61" i="52"/>
  <c r="DW61" i="52"/>
  <c r="DV61" i="52"/>
  <c r="DU61" i="52"/>
  <c r="DT61" i="52"/>
  <c r="DS61" i="52"/>
  <c r="DR61" i="52"/>
  <c r="DQ61" i="52"/>
  <c r="DP61" i="52"/>
  <c r="DO61" i="52"/>
  <c r="DN61" i="52"/>
  <c r="DM61" i="52"/>
  <c r="DL61" i="52"/>
  <c r="DK61" i="52"/>
  <c r="DJ61" i="52"/>
  <c r="DI61" i="52"/>
  <c r="DH61" i="52"/>
  <c r="DG61" i="52"/>
  <c r="DF61" i="52"/>
  <c r="CY61" i="52"/>
  <c r="CX61" i="52"/>
  <c r="CW61" i="52"/>
  <c r="CV61" i="52"/>
  <c r="CU61" i="52"/>
  <c r="CT61" i="52"/>
  <c r="CS61" i="52"/>
  <c r="CR61" i="52"/>
  <c r="CQ61" i="52"/>
  <c r="CP61" i="52"/>
  <c r="CO61" i="52"/>
  <c r="CN61" i="52"/>
  <c r="CM61" i="52"/>
  <c r="CL61" i="52"/>
  <c r="CK61" i="52"/>
  <c r="CJ61" i="52"/>
  <c r="CI61" i="52"/>
  <c r="CH61" i="52"/>
  <c r="CG61" i="52"/>
  <c r="CF61" i="52"/>
  <c r="C61" i="52"/>
  <c r="B61" i="52"/>
  <c r="DC61" i="52" s="1"/>
  <c r="DY60" i="52"/>
  <c r="DX60" i="52"/>
  <c r="DW60" i="52"/>
  <c r="DV60" i="52"/>
  <c r="DU60" i="52"/>
  <c r="DT60" i="52"/>
  <c r="DS60" i="52"/>
  <c r="DR60" i="52"/>
  <c r="DQ60" i="52"/>
  <c r="DP60" i="52"/>
  <c r="DO60" i="52"/>
  <c r="DN60" i="52"/>
  <c r="DM60" i="52"/>
  <c r="DL60" i="52"/>
  <c r="DK60" i="52"/>
  <c r="DJ60" i="52"/>
  <c r="DI60" i="52"/>
  <c r="DH60" i="52"/>
  <c r="DG60" i="52"/>
  <c r="DF60" i="52"/>
  <c r="CY60" i="52"/>
  <c r="CX60" i="52"/>
  <c r="CW60" i="52"/>
  <c r="CV60" i="52"/>
  <c r="CU60" i="52"/>
  <c r="CT60" i="52"/>
  <c r="CS60" i="52"/>
  <c r="CR60" i="52"/>
  <c r="CQ60" i="52"/>
  <c r="CP60" i="52"/>
  <c r="CO60" i="52"/>
  <c r="CN60" i="52"/>
  <c r="CM60" i="52"/>
  <c r="CL60" i="52"/>
  <c r="CK60" i="52"/>
  <c r="CJ60" i="52"/>
  <c r="CI60" i="52"/>
  <c r="CH60" i="52"/>
  <c r="CG60" i="52"/>
  <c r="CF60" i="52"/>
  <c r="C60" i="52"/>
  <c r="B60" i="52"/>
  <c r="DD60" i="52" s="1"/>
  <c r="DY59" i="52"/>
  <c r="DX59" i="52"/>
  <c r="DW59" i="52"/>
  <c r="DV59" i="52"/>
  <c r="DU59" i="52"/>
  <c r="DT59" i="52"/>
  <c r="DS59" i="52"/>
  <c r="DR59" i="52"/>
  <c r="DQ59" i="52"/>
  <c r="DP59" i="52"/>
  <c r="DO59" i="52"/>
  <c r="DN59" i="52"/>
  <c r="DM59" i="52"/>
  <c r="DL59" i="52"/>
  <c r="DK59" i="52"/>
  <c r="DJ59" i="52"/>
  <c r="DI59" i="52"/>
  <c r="DH59" i="52"/>
  <c r="DG59" i="52"/>
  <c r="DF59" i="52"/>
  <c r="CY59" i="52"/>
  <c r="CX59" i="52"/>
  <c r="CW59" i="52"/>
  <c r="CV59" i="52"/>
  <c r="CU59" i="52"/>
  <c r="CT59" i="52"/>
  <c r="CS59" i="52"/>
  <c r="CR59" i="52"/>
  <c r="CQ59" i="52"/>
  <c r="CP59" i="52"/>
  <c r="CO59" i="52"/>
  <c r="CN59" i="52"/>
  <c r="CM59" i="52"/>
  <c r="CL59" i="52"/>
  <c r="CK59" i="52"/>
  <c r="CJ59" i="52"/>
  <c r="CI59" i="52"/>
  <c r="CH59" i="52"/>
  <c r="CG59" i="52"/>
  <c r="CF59" i="52"/>
  <c r="C59" i="52"/>
  <c r="B59" i="52"/>
  <c r="DC59" i="52" s="1"/>
  <c r="DY58" i="52"/>
  <c r="DX58" i="52"/>
  <c r="DW58" i="52"/>
  <c r="DV58" i="52"/>
  <c r="DU58" i="52"/>
  <c r="DT58" i="52"/>
  <c r="DS58" i="52"/>
  <c r="DR58" i="52"/>
  <c r="DQ58" i="52"/>
  <c r="DP58" i="52"/>
  <c r="DO58" i="52"/>
  <c r="DN58" i="52"/>
  <c r="DM58" i="52"/>
  <c r="DL58" i="52"/>
  <c r="DK58" i="52"/>
  <c r="DJ58" i="52"/>
  <c r="DI58" i="52"/>
  <c r="DH58" i="52"/>
  <c r="DG58" i="52"/>
  <c r="DF58" i="52"/>
  <c r="CY58" i="52"/>
  <c r="CX58" i="52"/>
  <c r="CW58" i="52"/>
  <c r="CV58" i="52"/>
  <c r="CU58" i="52"/>
  <c r="CT58" i="52"/>
  <c r="CS58" i="52"/>
  <c r="CR58" i="52"/>
  <c r="CQ58" i="52"/>
  <c r="CP58" i="52"/>
  <c r="CO58" i="52"/>
  <c r="CN58" i="52"/>
  <c r="CM58" i="52"/>
  <c r="CL58" i="52"/>
  <c r="CK58" i="52"/>
  <c r="CJ58" i="52"/>
  <c r="CI58" i="52"/>
  <c r="CH58" i="52"/>
  <c r="CG58" i="52"/>
  <c r="CF58" i="52"/>
  <c r="C58" i="52"/>
  <c r="B58" i="52"/>
  <c r="DE58" i="52" s="1"/>
  <c r="DY57" i="52"/>
  <c r="DX57" i="52"/>
  <c r="DW57" i="52"/>
  <c r="DV57" i="52"/>
  <c r="DU57" i="52"/>
  <c r="DT57" i="52"/>
  <c r="DS57" i="52"/>
  <c r="DR57" i="52"/>
  <c r="DQ57" i="52"/>
  <c r="DP57" i="52"/>
  <c r="DO57" i="52"/>
  <c r="DN57" i="52"/>
  <c r="DM57" i="52"/>
  <c r="DL57" i="52"/>
  <c r="DK57" i="52"/>
  <c r="DJ57" i="52"/>
  <c r="DI57" i="52"/>
  <c r="DH57" i="52"/>
  <c r="DG57" i="52"/>
  <c r="DF57" i="52"/>
  <c r="CY57" i="52"/>
  <c r="CX57" i="52"/>
  <c r="CW57" i="52"/>
  <c r="CV57" i="52"/>
  <c r="CU57" i="52"/>
  <c r="CT57" i="52"/>
  <c r="CS57" i="52"/>
  <c r="CR57" i="52"/>
  <c r="CQ57" i="52"/>
  <c r="CP57" i="52"/>
  <c r="CO57" i="52"/>
  <c r="CN57" i="52"/>
  <c r="CM57" i="52"/>
  <c r="CL57" i="52"/>
  <c r="CK57" i="52"/>
  <c r="CJ57" i="52"/>
  <c r="CI57" i="52"/>
  <c r="CH57" i="52"/>
  <c r="CG57" i="52"/>
  <c r="CF57" i="52"/>
  <c r="C57" i="52"/>
  <c r="B57" i="52"/>
  <c r="DD57" i="52" s="1"/>
  <c r="DY56" i="52"/>
  <c r="DX56" i="52"/>
  <c r="DW56" i="52"/>
  <c r="DV56" i="52"/>
  <c r="DU56" i="52"/>
  <c r="DT56" i="52"/>
  <c r="DS56" i="52"/>
  <c r="DR56" i="52"/>
  <c r="DQ56" i="52"/>
  <c r="DP56" i="52"/>
  <c r="DO56" i="52"/>
  <c r="DN56" i="52"/>
  <c r="DM56" i="52"/>
  <c r="DL56" i="52"/>
  <c r="DK56" i="52"/>
  <c r="DJ56" i="52"/>
  <c r="DI56" i="52"/>
  <c r="DH56" i="52"/>
  <c r="DG56" i="52"/>
  <c r="DF56" i="52"/>
  <c r="CY56" i="52"/>
  <c r="CX56" i="52"/>
  <c r="CW56" i="52"/>
  <c r="CV56" i="52"/>
  <c r="CU56" i="52"/>
  <c r="CT56" i="52"/>
  <c r="CS56" i="52"/>
  <c r="CR56" i="52"/>
  <c r="CQ56" i="52"/>
  <c r="CP56" i="52"/>
  <c r="CO56" i="52"/>
  <c r="CN56" i="52"/>
  <c r="CM56" i="52"/>
  <c r="CL56" i="52"/>
  <c r="CK56" i="52"/>
  <c r="CJ56" i="52"/>
  <c r="CI56" i="52"/>
  <c r="CH56" i="52"/>
  <c r="CG56" i="52"/>
  <c r="CF56" i="52"/>
  <c r="C56" i="52"/>
  <c r="B56" i="52"/>
  <c r="DC56" i="52" s="1"/>
  <c r="DY51" i="52"/>
  <c r="DX51" i="52"/>
  <c r="DW51" i="52"/>
  <c r="DV51" i="52"/>
  <c r="DU51" i="52"/>
  <c r="DT51" i="52"/>
  <c r="DS51" i="52"/>
  <c r="DR51" i="52"/>
  <c r="DQ51" i="52"/>
  <c r="DP51" i="52"/>
  <c r="DO51" i="52"/>
  <c r="DN51" i="52"/>
  <c r="DM51" i="52"/>
  <c r="DL51" i="52"/>
  <c r="DK51" i="52"/>
  <c r="DJ51" i="52"/>
  <c r="DI51" i="52"/>
  <c r="DH51" i="52"/>
  <c r="DG51" i="52"/>
  <c r="DF51" i="52"/>
  <c r="CY51" i="52"/>
  <c r="CX51" i="52"/>
  <c r="CW51" i="52"/>
  <c r="CV51" i="52"/>
  <c r="CU51" i="52"/>
  <c r="CT51" i="52"/>
  <c r="CS51" i="52"/>
  <c r="CR51" i="52"/>
  <c r="CQ51" i="52"/>
  <c r="CP51" i="52"/>
  <c r="CO51" i="52"/>
  <c r="CN51" i="52"/>
  <c r="CM51" i="52"/>
  <c r="CL51" i="52"/>
  <c r="CK51" i="52"/>
  <c r="CJ51" i="52"/>
  <c r="CI51" i="52"/>
  <c r="CH51" i="52"/>
  <c r="CG51" i="52"/>
  <c r="CF51" i="52"/>
  <c r="C51" i="52"/>
  <c r="B51" i="52"/>
  <c r="DZ51" i="52" s="1"/>
  <c r="DY50" i="52"/>
  <c r="DX50" i="52"/>
  <c r="DW50" i="52"/>
  <c r="DV50" i="52"/>
  <c r="DU50" i="52"/>
  <c r="DT50" i="52"/>
  <c r="DS50" i="52"/>
  <c r="DR50" i="52"/>
  <c r="DQ50" i="52"/>
  <c r="DP50" i="52"/>
  <c r="DO50" i="52"/>
  <c r="DN50" i="52"/>
  <c r="DM50" i="52"/>
  <c r="DL50" i="52"/>
  <c r="DK50" i="52"/>
  <c r="DJ50" i="52"/>
  <c r="DI50" i="52"/>
  <c r="DH50" i="52"/>
  <c r="DG50" i="52"/>
  <c r="DF50" i="52"/>
  <c r="CY50" i="52"/>
  <c r="CX50" i="52"/>
  <c r="CW50" i="52"/>
  <c r="CV50" i="52"/>
  <c r="CU50" i="52"/>
  <c r="CT50" i="52"/>
  <c r="CS50" i="52"/>
  <c r="CR50" i="52"/>
  <c r="CQ50" i="52"/>
  <c r="CP50" i="52"/>
  <c r="CO50" i="52"/>
  <c r="CN50" i="52"/>
  <c r="CM50" i="52"/>
  <c r="CL50" i="52"/>
  <c r="CK50" i="52"/>
  <c r="CJ50" i="52"/>
  <c r="CI50" i="52"/>
  <c r="CH50" i="52"/>
  <c r="CG50" i="52"/>
  <c r="CF50" i="52"/>
  <c r="C50" i="52"/>
  <c r="B50" i="52"/>
  <c r="DE50" i="52" s="1"/>
  <c r="DY49" i="52"/>
  <c r="DX49" i="52"/>
  <c r="DW49" i="52"/>
  <c r="DV49" i="52"/>
  <c r="DU49" i="52"/>
  <c r="DT49" i="52"/>
  <c r="DS49" i="52"/>
  <c r="DR49" i="52"/>
  <c r="DQ49" i="52"/>
  <c r="DP49" i="52"/>
  <c r="DO49" i="52"/>
  <c r="DN49" i="52"/>
  <c r="DM49" i="52"/>
  <c r="DL49" i="52"/>
  <c r="DK49" i="52"/>
  <c r="DJ49" i="52"/>
  <c r="DI49" i="52"/>
  <c r="DH49" i="52"/>
  <c r="DG49" i="52"/>
  <c r="DF49" i="52"/>
  <c r="CY49" i="52"/>
  <c r="CX49" i="52"/>
  <c r="CW49" i="52"/>
  <c r="CV49" i="52"/>
  <c r="CU49" i="52"/>
  <c r="CT49" i="52"/>
  <c r="CS49" i="52"/>
  <c r="CR49" i="52"/>
  <c r="CQ49" i="52"/>
  <c r="CP49" i="52"/>
  <c r="CO49" i="52"/>
  <c r="CN49" i="52"/>
  <c r="CM49" i="52"/>
  <c r="CL49" i="52"/>
  <c r="CK49" i="52"/>
  <c r="CJ49" i="52"/>
  <c r="CI49" i="52"/>
  <c r="CH49" i="52"/>
  <c r="CG49" i="52"/>
  <c r="CF49" i="52"/>
  <c r="C49" i="52"/>
  <c r="B49" i="52"/>
  <c r="DD49" i="52" s="1"/>
  <c r="DY48" i="52"/>
  <c r="DX48" i="52"/>
  <c r="DW48" i="52"/>
  <c r="DV48" i="52"/>
  <c r="DU48" i="52"/>
  <c r="DT48" i="52"/>
  <c r="DS48" i="52"/>
  <c r="DR48" i="52"/>
  <c r="DQ48" i="52"/>
  <c r="DP48" i="52"/>
  <c r="DO48" i="52"/>
  <c r="DN48" i="52"/>
  <c r="DM48" i="52"/>
  <c r="DL48" i="52"/>
  <c r="DK48" i="52"/>
  <c r="DJ48" i="52"/>
  <c r="DI48" i="52"/>
  <c r="DH48" i="52"/>
  <c r="DG48" i="52"/>
  <c r="DF48" i="52"/>
  <c r="CY48" i="52"/>
  <c r="CX48" i="52"/>
  <c r="CW48" i="52"/>
  <c r="CV48" i="52"/>
  <c r="CU48" i="52"/>
  <c r="CT48" i="52"/>
  <c r="CS48" i="52"/>
  <c r="CR48" i="52"/>
  <c r="CQ48" i="52"/>
  <c r="CP48" i="52"/>
  <c r="CO48" i="52"/>
  <c r="CN48" i="52"/>
  <c r="CM48" i="52"/>
  <c r="CL48" i="52"/>
  <c r="CK48" i="52"/>
  <c r="CJ48" i="52"/>
  <c r="CI48" i="52"/>
  <c r="CH48" i="52"/>
  <c r="CG48" i="52"/>
  <c r="CF48" i="52"/>
  <c r="C48" i="52"/>
  <c r="B48" i="52"/>
  <c r="DC48" i="52" s="1"/>
  <c r="DY47" i="52"/>
  <c r="DX47" i="52"/>
  <c r="DW47" i="52"/>
  <c r="DV47" i="52"/>
  <c r="DU47" i="52"/>
  <c r="DT47" i="52"/>
  <c r="DS47" i="52"/>
  <c r="DR47" i="52"/>
  <c r="DQ47" i="52"/>
  <c r="DP47" i="52"/>
  <c r="DO47" i="52"/>
  <c r="DN47" i="52"/>
  <c r="DM47" i="52"/>
  <c r="DL47" i="52"/>
  <c r="DK47" i="52"/>
  <c r="DJ47" i="52"/>
  <c r="DI47" i="52"/>
  <c r="DH47" i="52"/>
  <c r="DG47" i="52"/>
  <c r="DF47" i="52"/>
  <c r="CY47" i="52"/>
  <c r="CX47" i="52"/>
  <c r="CW47" i="52"/>
  <c r="CV47" i="52"/>
  <c r="CU47" i="52"/>
  <c r="CT47" i="52"/>
  <c r="CS47" i="52"/>
  <c r="CR47" i="52"/>
  <c r="CQ47" i="52"/>
  <c r="CP47" i="52"/>
  <c r="CO47" i="52"/>
  <c r="CN47" i="52"/>
  <c r="CM47" i="52"/>
  <c r="CL47" i="52"/>
  <c r="CK47" i="52"/>
  <c r="CJ47" i="52"/>
  <c r="CI47" i="52"/>
  <c r="CH47" i="52"/>
  <c r="CG47" i="52"/>
  <c r="CF47" i="52"/>
  <c r="C47" i="52"/>
  <c r="B47" i="52"/>
  <c r="DZ47" i="52" s="1"/>
  <c r="DY46" i="52"/>
  <c r="DX46" i="52"/>
  <c r="DW46" i="52"/>
  <c r="DV46" i="52"/>
  <c r="DU46" i="52"/>
  <c r="DT46" i="52"/>
  <c r="DS46" i="52"/>
  <c r="DR46" i="52"/>
  <c r="DQ46" i="52"/>
  <c r="DP46" i="52"/>
  <c r="DO46" i="52"/>
  <c r="DN46" i="52"/>
  <c r="DM46" i="52"/>
  <c r="DL46" i="52"/>
  <c r="DK46" i="52"/>
  <c r="DJ46" i="52"/>
  <c r="DI46" i="52"/>
  <c r="DH46" i="52"/>
  <c r="DG46" i="52"/>
  <c r="DF46" i="52"/>
  <c r="CY46" i="52"/>
  <c r="CX46" i="52"/>
  <c r="CW46" i="52"/>
  <c r="CV46" i="52"/>
  <c r="CU46" i="52"/>
  <c r="CT46" i="52"/>
  <c r="CS46" i="52"/>
  <c r="CR46" i="52"/>
  <c r="CQ46" i="52"/>
  <c r="CP46" i="52"/>
  <c r="CO46" i="52"/>
  <c r="CN46" i="52"/>
  <c r="CM46" i="52"/>
  <c r="CL46" i="52"/>
  <c r="CK46" i="52"/>
  <c r="CJ46" i="52"/>
  <c r="CI46" i="52"/>
  <c r="CH46" i="52"/>
  <c r="CG46" i="52"/>
  <c r="CF46" i="52"/>
  <c r="C46" i="52"/>
  <c r="B46" i="52"/>
  <c r="DE46" i="52" s="1"/>
  <c r="DY45" i="52"/>
  <c r="DX45" i="52"/>
  <c r="DW45" i="52"/>
  <c r="DV45" i="52"/>
  <c r="DU45" i="52"/>
  <c r="DT45" i="52"/>
  <c r="DS45" i="52"/>
  <c r="DR45" i="52"/>
  <c r="DQ45" i="52"/>
  <c r="DP45" i="52"/>
  <c r="DO45" i="52"/>
  <c r="DN45" i="52"/>
  <c r="DM45" i="52"/>
  <c r="DL45" i="52"/>
  <c r="DK45" i="52"/>
  <c r="DJ45" i="52"/>
  <c r="DI45" i="52"/>
  <c r="DH45" i="52"/>
  <c r="DG45" i="52"/>
  <c r="DF45" i="52"/>
  <c r="CY45" i="52"/>
  <c r="CX45" i="52"/>
  <c r="CW45" i="52"/>
  <c r="CV45" i="52"/>
  <c r="CU45" i="52"/>
  <c r="CT45" i="52"/>
  <c r="CS45" i="52"/>
  <c r="CR45" i="52"/>
  <c r="CQ45" i="52"/>
  <c r="CP45" i="52"/>
  <c r="CO45" i="52"/>
  <c r="CN45" i="52"/>
  <c r="CM45" i="52"/>
  <c r="CL45" i="52"/>
  <c r="CK45" i="52"/>
  <c r="CJ45" i="52"/>
  <c r="CI45" i="52"/>
  <c r="CH45" i="52"/>
  <c r="CG45" i="52"/>
  <c r="CF45" i="52"/>
  <c r="C45" i="52"/>
  <c r="B45" i="52"/>
  <c r="DD45" i="52" s="1"/>
  <c r="DY44" i="52"/>
  <c r="DX44" i="52"/>
  <c r="DW44" i="52"/>
  <c r="DV44" i="52"/>
  <c r="DU44" i="52"/>
  <c r="DT44" i="52"/>
  <c r="DS44" i="52"/>
  <c r="DR44" i="52"/>
  <c r="DQ44" i="52"/>
  <c r="DP44" i="52"/>
  <c r="DO44" i="52"/>
  <c r="DN44" i="52"/>
  <c r="DM44" i="52"/>
  <c r="DL44" i="52"/>
  <c r="DK44" i="52"/>
  <c r="DJ44" i="52"/>
  <c r="DI44" i="52"/>
  <c r="DH44" i="52"/>
  <c r="DG44" i="52"/>
  <c r="DF44" i="52"/>
  <c r="CY44" i="52"/>
  <c r="CX44" i="52"/>
  <c r="CW44" i="52"/>
  <c r="CV44" i="52"/>
  <c r="CU44" i="52"/>
  <c r="CT44" i="52"/>
  <c r="CS44" i="52"/>
  <c r="CR44" i="52"/>
  <c r="CQ44" i="52"/>
  <c r="CP44" i="52"/>
  <c r="CO44" i="52"/>
  <c r="CN44" i="52"/>
  <c r="CM44" i="52"/>
  <c r="CL44" i="52"/>
  <c r="CK44" i="52"/>
  <c r="CJ44" i="52"/>
  <c r="CI44" i="52"/>
  <c r="CH44" i="52"/>
  <c r="CG44" i="52"/>
  <c r="CF44" i="52"/>
  <c r="C44" i="52"/>
  <c r="B44" i="52"/>
  <c r="DC44" i="52" s="1"/>
  <c r="DY43" i="52"/>
  <c r="DX43" i="52"/>
  <c r="DW43" i="52"/>
  <c r="DV43" i="52"/>
  <c r="DU43" i="52"/>
  <c r="DT43" i="52"/>
  <c r="DS43" i="52"/>
  <c r="DR43" i="52"/>
  <c r="DQ43" i="52"/>
  <c r="DP43" i="52"/>
  <c r="DO43" i="52"/>
  <c r="DN43" i="52"/>
  <c r="DM43" i="52"/>
  <c r="DL43" i="52"/>
  <c r="DK43" i="52"/>
  <c r="DJ43" i="52"/>
  <c r="DI43" i="52"/>
  <c r="DH43" i="52"/>
  <c r="DG43" i="52"/>
  <c r="DF43" i="52"/>
  <c r="CY43" i="52"/>
  <c r="CX43" i="52"/>
  <c r="CW43" i="52"/>
  <c r="CV43" i="52"/>
  <c r="CU43" i="52"/>
  <c r="CT43" i="52"/>
  <c r="CS43" i="52"/>
  <c r="CR43" i="52"/>
  <c r="CQ43" i="52"/>
  <c r="CP43" i="52"/>
  <c r="CO43" i="52"/>
  <c r="CN43" i="52"/>
  <c r="CM43" i="52"/>
  <c r="CL43" i="52"/>
  <c r="CK43" i="52"/>
  <c r="CJ43" i="52"/>
  <c r="CI43" i="52"/>
  <c r="CH43" i="52"/>
  <c r="CG43" i="52"/>
  <c r="CF43" i="52"/>
  <c r="C43" i="52"/>
  <c r="B43" i="52"/>
  <c r="DZ43" i="52" s="1"/>
  <c r="DY42" i="52"/>
  <c r="DX42" i="52"/>
  <c r="DW42" i="52"/>
  <c r="DV42" i="52"/>
  <c r="DU42" i="52"/>
  <c r="DT42" i="52"/>
  <c r="DS42" i="52"/>
  <c r="DR42" i="52"/>
  <c r="DQ42" i="52"/>
  <c r="DP42" i="52"/>
  <c r="DO42" i="52"/>
  <c r="DN42" i="52"/>
  <c r="DM42" i="52"/>
  <c r="DL42" i="52"/>
  <c r="DK42" i="52"/>
  <c r="DJ42" i="52"/>
  <c r="DI42" i="52"/>
  <c r="DH42" i="52"/>
  <c r="DG42" i="52"/>
  <c r="DF42" i="52"/>
  <c r="CY42" i="52"/>
  <c r="CX42" i="52"/>
  <c r="CW42" i="52"/>
  <c r="CV42" i="52"/>
  <c r="CU42" i="52"/>
  <c r="CT42" i="52"/>
  <c r="CS42" i="52"/>
  <c r="CR42" i="52"/>
  <c r="CQ42" i="52"/>
  <c r="CP42" i="52"/>
  <c r="CO42" i="52"/>
  <c r="CN42" i="52"/>
  <c r="CM42" i="52"/>
  <c r="CL42" i="52"/>
  <c r="CK42" i="52"/>
  <c r="CJ42" i="52"/>
  <c r="CI42" i="52"/>
  <c r="CH42" i="52"/>
  <c r="CG42" i="52"/>
  <c r="CF42" i="52"/>
  <c r="C42" i="52"/>
  <c r="B42" i="52"/>
  <c r="DE42" i="52" s="1"/>
  <c r="DY41" i="52"/>
  <c r="DX41" i="52"/>
  <c r="DW41" i="52"/>
  <c r="DV41" i="52"/>
  <c r="DU41" i="52"/>
  <c r="DT41" i="52"/>
  <c r="DS41" i="52"/>
  <c r="DR41" i="52"/>
  <c r="DQ41" i="52"/>
  <c r="DP41" i="52"/>
  <c r="DO41" i="52"/>
  <c r="DN41" i="52"/>
  <c r="DM41" i="52"/>
  <c r="DL41" i="52"/>
  <c r="DK41" i="52"/>
  <c r="DJ41" i="52"/>
  <c r="DI41" i="52"/>
  <c r="DH41" i="52"/>
  <c r="DG41" i="52"/>
  <c r="DF41" i="52"/>
  <c r="CY41" i="52"/>
  <c r="CX41" i="52"/>
  <c r="CW41" i="52"/>
  <c r="CV41" i="52"/>
  <c r="CU41" i="52"/>
  <c r="CT41" i="52"/>
  <c r="CS41" i="52"/>
  <c r="CR41" i="52"/>
  <c r="CQ41" i="52"/>
  <c r="CP41" i="52"/>
  <c r="CO41" i="52"/>
  <c r="CN41" i="52"/>
  <c r="CM41" i="52"/>
  <c r="CL41" i="52"/>
  <c r="CK41" i="52"/>
  <c r="CJ41" i="52"/>
  <c r="CI41" i="52"/>
  <c r="CH41" i="52"/>
  <c r="CG41" i="52"/>
  <c r="CF41" i="52"/>
  <c r="C41" i="52"/>
  <c r="B41" i="52"/>
  <c r="DD41" i="52" s="1"/>
  <c r="DY40" i="52"/>
  <c r="DX40" i="52"/>
  <c r="DW40" i="52"/>
  <c r="DV40" i="52"/>
  <c r="DU40" i="52"/>
  <c r="DT40" i="52"/>
  <c r="DS40" i="52"/>
  <c r="DR40" i="52"/>
  <c r="DQ40" i="52"/>
  <c r="DP40" i="52"/>
  <c r="DO40" i="52"/>
  <c r="DN40" i="52"/>
  <c r="DM40" i="52"/>
  <c r="DL40" i="52"/>
  <c r="DK40" i="52"/>
  <c r="DJ40" i="52"/>
  <c r="DI40" i="52"/>
  <c r="DH40" i="52"/>
  <c r="DG40" i="52"/>
  <c r="DF40" i="52"/>
  <c r="CY40" i="52"/>
  <c r="CX40" i="52"/>
  <c r="CW40" i="52"/>
  <c r="CV40" i="52"/>
  <c r="CU40" i="52"/>
  <c r="CT40" i="52"/>
  <c r="CS40" i="52"/>
  <c r="CR40" i="52"/>
  <c r="CQ40" i="52"/>
  <c r="CP40" i="52"/>
  <c r="CO40" i="52"/>
  <c r="CN40" i="52"/>
  <c r="CM40" i="52"/>
  <c r="CL40" i="52"/>
  <c r="CK40" i="52"/>
  <c r="CJ40" i="52"/>
  <c r="CI40" i="52"/>
  <c r="CH40" i="52"/>
  <c r="CG40" i="52"/>
  <c r="CF40" i="52"/>
  <c r="C40" i="52"/>
  <c r="B40" i="52"/>
  <c r="DC40" i="52" s="1"/>
  <c r="DY39" i="52"/>
  <c r="DX39" i="52"/>
  <c r="DW39" i="52"/>
  <c r="DV39" i="52"/>
  <c r="DU39" i="52"/>
  <c r="DT39" i="52"/>
  <c r="DS39" i="52"/>
  <c r="DR39" i="52"/>
  <c r="DQ39" i="52"/>
  <c r="DP39" i="52"/>
  <c r="DO39" i="52"/>
  <c r="DN39" i="52"/>
  <c r="DM39" i="52"/>
  <c r="DL39" i="52"/>
  <c r="DK39" i="52"/>
  <c r="DJ39" i="52"/>
  <c r="DI39" i="52"/>
  <c r="DH39" i="52"/>
  <c r="DG39" i="52"/>
  <c r="DF39" i="52"/>
  <c r="CY39" i="52"/>
  <c r="CX39" i="52"/>
  <c r="CW39" i="52"/>
  <c r="CV39" i="52"/>
  <c r="CU39" i="52"/>
  <c r="CT39" i="52"/>
  <c r="CS39" i="52"/>
  <c r="CR39" i="52"/>
  <c r="CQ39" i="52"/>
  <c r="CP39" i="52"/>
  <c r="CO39" i="52"/>
  <c r="CN39" i="52"/>
  <c r="CM39" i="52"/>
  <c r="CL39" i="52"/>
  <c r="CK39" i="52"/>
  <c r="CJ39" i="52"/>
  <c r="CI39" i="52"/>
  <c r="CH39" i="52"/>
  <c r="CG39" i="52"/>
  <c r="CF39" i="52"/>
  <c r="C39" i="52"/>
  <c r="B39" i="52"/>
  <c r="DZ39" i="52" s="1"/>
  <c r="DY38" i="52"/>
  <c r="DX38" i="52"/>
  <c r="DW38" i="52"/>
  <c r="DV38" i="52"/>
  <c r="DU38" i="52"/>
  <c r="DT38" i="52"/>
  <c r="DS38" i="52"/>
  <c r="DR38" i="52"/>
  <c r="DQ38" i="52"/>
  <c r="DP38" i="52"/>
  <c r="DO38" i="52"/>
  <c r="DN38" i="52"/>
  <c r="DM38" i="52"/>
  <c r="DL38" i="52"/>
  <c r="DK38" i="52"/>
  <c r="DJ38" i="52"/>
  <c r="DI38" i="52"/>
  <c r="DH38" i="52"/>
  <c r="DG38" i="52"/>
  <c r="DF38" i="52"/>
  <c r="CY38" i="52"/>
  <c r="CX38" i="52"/>
  <c r="CW38" i="52"/>
  <c r="CV38" i="52"/>
  <c r="CU38" i="52"/>
  <c r="CT38" i="52"/>
  <c r="CS38" i="52"/>
  <c r="CR38" i="52"/>
  <c r="CQ38" i="52"/>
  <c r="CP38" i="52"/>
  <c r="CO38" i="52"/>
  <c r="CN38" i="52"/>
  <c r="CM38" i="52"/>
  <c r="CL38" i="52"/>
  <c r="CK38" i="52"/>
  <c r="CJ38" i="52"/>
  <c r="CI38" i="52"/>
  <c r="CH38" i="52"/>
  <c r="CG38" i="52"/>
  <c r="CF38" i="52"/>
  <c r="C38" i="52"/>
  <c r="B38" i="52"/>
  <c r="DE38" i="52" s="1"/>
  <c r="DY37" i="52"/>
  <c r="DX37" i="52"/>
  <c r="DW37" i="52"/>
  <c r="DV37" i="52"/>
  <c r="DU37" i="52"/>
  <c r="DT37" i="52"/>
  <c r="DS37" i="52"/>
  <c r="DR37" i="52"/>
  <c r="DQ37" i="52"/>
  <c r="DP37" i="52"/>
  <c r="DO37" i="52"/>
  <c r="DN37" i="52"/>
  <c r="DM37" i="52"/>
  <c r="DL37" i="52"/>
  <c r="DK37" i="52"/>
  <c r="DJ37" i="52"/>
  <c r="DI37" i="52"/>
  <c r="DH37" i="52"/>
  <c r="DG37" i="52"/>
  <c r="DF37" i="52"/>
  <c r="CY37" i="52"/>
  <c r="CX37" i="52"/>
  <c r="CW37" i="52"/>
  <c r="CV37" i="52"/>
  <c r="CU37" i="52"/>
  <c r="CT37" i="52"/>
  <c r="CS37" i="52"/>
  <c r="CR37" i="52"/>
  <c r="CQ37" i="52"/>
  <c r="CP37" i="52"/>
  <c r="CO37" i="52"/>
  <c r="CN37" i="52"/>
  <c r="CM37" i="52"/>
  <c r="CL37" i="52"/>
  <c r="CK37" i="52"/>
  <c r="CJ37" i="52"/>
  <c r="CI37" i="52"/>
  <c r="CH37" i="52"/>
  <c r="CG37" i="52"/>
  <c r="CF37" i="52"/>
  <c r="C37" i="52"/>
  <c r="B37" i="52"/>
  <c r="DD37" i="52" s="1"/>
  <c r="DY36" i="52"/>
  <c r="DX36" i="52"/>
  <c r="DW36" i="52"/>
  <c r="DV36" i="52"/>
  <c r="DU36" i="52"/>
  <c r="DT36" i="52"/>
  <c r="DS36" i="52"/>
  <c r="DR36" i="52"/>
  <c r="DQ36" i="52"/>
  <c r="DP36" i="52"/>
  <c r="DO36" i="52"/>
  <c r="DN36" i="52"/>
  <c r="DM36" i="52"/>
  <c r="DL36" i="52"/>
  <c r="DK36" i="52"/>
  <c r="DJ36" i="52"/>
  <c r="DI36" i="52"/>
  <c r="DH36" i="52"/>
  <c r="DG36" i="52"/>
  <c r="DF36" i="52"/>
  <c r="CY36" i="52"/>
  <c r="CX36" i="52"/>
  <c r="CW36" i="52"/>
  <c r="CV36" i="52"/>
  <c r="CU36" i="52"/>
  <c r="CT36" i="52"/>
  <c r="CS36" i="52"/>
  <c r="CR36" i="52"/>
  <c r="CQ36" i="52"/>
  <c r="CP36" i="52"/>
  <c r="CO36" i="52"/>
  <c r="CN36" i="52"/>
  <c r="CM36" i="52"/>
  <c r="CL36" i="52"/>
  <c r="CK36" i="52"/>
  <c r="CJ36" i="52"/>
  <c r="CI36" i="52"/>
  <c r="CH36" i="52"/>
  <c r="CG36" i="52"/>
  <c r="CF36" i="52"/>
  <c r="C36" i="52"/>
  <c r="B36" i="52"/>
  <c r="DC36" i="52" s="1"/>
  <c r="DY35" i="52"/>
  <c r="DX35" i="52"/>
  <c r="DW35" i="52"/>
  <c r="DV35" i="52"/>
  <c r="DU35" i="52"/>
  <c r="DT35" i="52"/>
  <c r="DS35" i="52"/>
  <c r="DR35" i="52"/>
  <c r="DQ35" i="52"/>
  <c r="DP35" i="52"/>
  <c r="DO35" i="52"/>
  <c r="DN35" i="52"/>
  <c r="DM35" i="52"/>
  <c r="DL35" i="52"/>
  <c r="DK35" i="52"/>
  <c r="DJ35" i="52"/>
  <c r="DI35" i="52"/>
  <c r="DH35" i="52"/>
  <c r="DG35" i="52"/>
  <c r="DF35" i="52"/>
  <c r="CY35" i="52"/>
  <c r="CX35" i="52"/>
  <c r="CW35" i="52"/>
  <c r="CV35" i="52"/>
  <c r="CU35" i="52"/>
  <c r="CT35" i="52"/>
  <c r="CS35" i="52"/>
  <c r="CR35" i="52"/>
  <c r="CQ35" i="52"/>
  <c r="CP35" i="52"/>
  <c r="CO35" i="52"/>
  <c r="CN35" i="52"/>
  <c r="CM35" i="52"/>
  <c r="CL35" i="52"/>
  <c r="CK35" i="52"/>
  <c r="CJ35" i="52"/>
  <c r="CI35" i="52"/>
  <c r="CH35" i="52"/>
  <c r="CG35" i="52"/>
  <c r="CF35" i="52"/>
  <c r="C35" i="52"/>
  <c r="B35" i="52"/>
  <c r="DZ35" i="52" s="1"/>
  <c r="DY34" i="52"/>
  <c r="DX34" i="52"/>
  <c r="DW34" i="52"/>
  <c r="DV34" i="52"/>
  <c r="DU34" i="52"/>
  <c r="DT34" i="52"/>
  <c r="DS34" i="52"/>
  <c r="DR34" i="52"/>
  <c r="DQ34" i="52"/>
  <c r="DP34" i="52"/>
  <c r="DO34" i="52"/>
  <c r="DN34" i="52"/>
  <c r="DM34" i="52"/>
  <c r="DL34" i="52"/>
  <c r="DK34" i="52"/>
  <c r="DJ34" i="52"/>
  <c r="DI34" i="52"/>
  <c r="DH34" i="52"/>
  <c r="DG34" i="52"/>
  <c r="DF34" i="52"/>
  <c r="CY34" i="52"/>
  <c r="CX34" i="52"/>
  <c r="CW34" i="52"/>
  <c r="CV34" i="52"/>
  <c r="CU34" i="52"/>
  <c r="CT34" i="52"/>
  <c r="CS34" i="52"/>
  <c r="CR34" i="52"/>
  <c r="CQ34" i="52"/>
  <c r="CP34" i="52"/>
  <c r="CO34" i="52"/>
  <c r="CN34" i="52"/>
  <c r="CM34" i="52"/>
  <c r="CL34" i="52"/>
  <c r="CK34" i="52"/>
  <c r="CJ34" i="52"/>
  <c r="CI34" i="52"/>
  <c r="CH34" i="52"/>
  <c r="CG34" i="52"/>
  <c r="CF34" i="52"/>
  <c r="C34" i="52"/>
  <c r="B34" i="52"/>
  <c r="DE34" i="52" s="1"/>
  <c r="DY29" i="52"/>
  <c r="DX29" i="52"/>
  <c r="DW29" i="52"/>
  <c r="DV29" i="52"/>
  <c r="DU29" i="52"/>
  <c r="DT29" i="52"/>
  <c r="DS29" i="52"/>
  <c r="DR29" i="52"/>
  <c r="DQ29" i="52"/>
  <c r="DP29" i="52"/>
  <c r="DO29" i="52"/>
  <c r="DN29" i="52"/>
  <c r="DM29" i="52"/>
  <c r="DL29" i="52"/>
  <c r="DK29" i="52"/>
  <c r="DJ29" i="52"/>
  <c r="DI29" i="52"/>
  <c r="DH29" i="52"/>
  <c r="DG29" i="52"/>
  <c r="DF29" i="52"/>
  <c r="CY29" i="52"/>
  <c r="CX29" i="52"/>
  <c r="CW29" i="52"/>
  <c r="CV29" i="52"/>
  <c r="CU29" i="52"/>
  <c r="CT29" i="52"/>
  <c r="CS29" i="52"/>
  <c r="CR29" i="52"/>
  <c r="CQ29" i="52"/>
  <c r="CP29" i="52"/>
  <c r="CO29" i="52"/>
  <c r="CN29" i="52"/>
  <c r="CM29" i="52"/>
  <c r="CL29" i="52"/>
  <c r="CK29" i="52"/>
  <c r="CJ29" i="52"/>
  <c r="CI29" i="52"/>
  <c r="CH29" i="52"/>
  <c r="CG29" i="52"/>
  <c r="CF29" i="52"/>
  <c r="C29" i="52"/>
  <c r="B29" i="52"/>
  <c r="DD29" i="52" s="1"/>
  <c r="DY28" i="52"/>
  <c r="DX28" i="52"/>
  <c r="DW28" i="52"/>
  <c r="DV28" i="52"/>
  <c r="DU28" i="52"/>
  <c r="DT28" i="52"/>
  <c r="DS28" i="52"/>
  <c r="DR28" i="52"/>
  <c r="DQ28" i="52"/>
  <c r="DP28" i="52"/>
  <c r="DO28" i="52"/>
  <c r="DN28" i="52"/>
  <c r="DM28" i="52"/>
  <c r="DL28" i="52"/>
  <c r="DK28" i="52"/>
  <c r="DJ28" i="52"/>
  <c r="DI28" i="52"/>
  <c r="DH28" i="52"/>
  <c r="DG28" i="52"/>
  <c r="DF28" i="52"/>
  <c r="CY28" i="52"/>
  <c r="CX28" i="52"/>
  <c r="CW28" i="52"/>
  <c r="CV28" i="52"/>
  <c r="CU28" i="52"/>
  <c r="CT28" i="52"/>
  <c r="CS28" i="52"/>
  <c r="CR28" i="52"/>
  <c r="CQ28" i="52"/>
  <c r="CP28" i="52"/>
  <c r="CO28" i="52"/>
  <c r="CN28" i="52"/>
  <c r="CM28" i="52"/>
  <c r="CL28" i="52"/>
  <c r="CK28" i="52"/>
  <c r="CJ28" i="52"/>
  <c r="CI28" i="52"/>
  <c r="CH28" i="52"/>
  <c r="CG28" i="52"/>
  <c r="CF28" i="52"/>
  <c r="C28" i="52"/>
  <c r="B28" i="52"/>
  <c r="DC28" i="52" s="1"/>
  <c r="DY27" i="52"/>
  <c r="DX27" i="52"/>
  <c r="DW27" i="52"/>
  <c r="DV27" i="52"/>
  <c r="DU27" i="52"/>
  <c r="DT27" i="52"/>
  <c r="DS27" i="52"/>
  <c r="DR27" i="52"/>
  <c r="DQ27" i="52"/>
  <c r="DP27" i="52"/>
  <c r="DO27" i="52"/>
  <c r="DN27" i="52"/>
  <c r="DM27" i="52"/>
  <c r="DL27" i="52"/>
  <c r="DK27" i="52"/>
  <c r="DJ27" i="52"/>
  <c r="DI27" i="52"/>
  <c r="DH27" i="52"/>
  <c r="DG27" i="52"/>
  <c r="DF27" i="52"/>
  <c r="CY27" i="52"/>
  <c r="CX27" i="52"/>
  <c r="CW27" i="52"/>
  <c r="CV27" i="52"/>
  <c r="CU27" i="52"/>
  <c r="CT27" i="52"/>
  <c r="CS27" i="52"/>
  <c r="CR27" i="52"/>
  <c r="CQ27" i="52"/>
  <c r="CP27" i="52"/>
  <c r="CO27" i="52"/>
  <c r="CN27" i="52"/>
  <c r="CM27" i="52"/>
  <c r="CL27" i="52"/>
  <c r="CK27" i="52"/>
  <c r="CJ27" i="52"/>
  <c r="CI27" i="52"/>
  <c r="CH27" i="52"/>
  <c r="CG27" i="52"/>
  <c r="CF27" i="52"/>
  <c r="C27" i="52"/>
  <c r="B27" i="52"/>
  <c r="DZ27" i="52" s="1"/>
  <c r="DY26" i="52"/>
  <c r="DX26" i="52"/>
  <c r="DW26" i="52"/>
  <c r="DV26" i="52"/>
  <c r="DU26" i="52"/>
  <c r="DT26" i="52"/>
  <c r="DS26" i="52"/>
  <c r="DR26" i="52"/>
  <c r="DQ26" i="52"/>
  <c r="DP26" i="52"/>
  <c r="DO26" i="52"/>
  <c r="DN26" i="52"/>
  <c r="DM26" i="52"/>
  <c r="DL26" i="52"/>
  <c r="DK26" i="52"/>
  <c r="DJ26" i="52"/>
  <c r="DI26" i="52"/>
  <c r="DH26" i="52"/>
  <c r="DG26" i="52"/>
  <c r="DF26" i="52"/>
  <c r="CY26" i="52"/>
  <c r="CX26" i="52"/>
  <c r="CW26" i="52"/>
  <c r="CV26" i="52"/>
  <c r="CU26" i="52"/>
  <c r="CT26" i="52"/>
  <c r="CS26" i="52"/>
  <c r="CR26" i="52"/>
  <c r="CQ26" i="52"/>
  <c r="CP26" i="52"/>
  <c r="CO26" i="52"/>
  <c r="CN26" i="52"/>
  <c r="CM26" i="52"/>
  <c r="CL26" i="52"/>
  <c r="CK26" i="52"/>
  <c r="CJ26" i="52"/>
  <c r="CI26" i="52"/>
  <c r="CH26" i="52"/>
  <c r="CG26" i="52"/>
  <c r="CF26" i="52"/>
  <c r="C26" i="52"/>
  <c r="B26" i="52"/>
  <c r="DE26" i="52" s="1"/>
  <c r="DY25" i="52"/>
  <c r="DX25" i="52"/>
  <c r="DW25" i="52"/>
  <c r="DV25" i="52"/>
  <c r="DU25" i="52"/>
  <c r="DT25" i="52"/>
  <c r="DS25" i="52"/>
  <c r="DR25" i="52"/>
  <c r="DQ25" i="52"/>
  <c r="DP25" i="52"/>
  <c r="DO25" i="52"/>
  <c r="DN25" i="52"/>
  <c r="DM25" i="52"/>
  <c r="DL25" i="52"/>
  <c r="DK25" i="52"/>
  <c r="DJ25" i="52"/>
  <c r="DI25" i="52"/>
  <c r="DH25" i="52"/>
  <c r="DG25" i="52"/>
  <c r="DF25" i="52"/>
  <c r="CY25" i="52"/>
  <c r="CX25" i="52"/>
  <c r="CW25" i="52"/>
  <c r="CV25" i="52"/>
  <c r="CU25" i="52"/>
  <c r="CT25" i="52"/>
  <c r="CS25" i="52"/>
  <c r="CR25" i="52"/>
  <c r="CQ25" i="52"/>
  <c r="CP25" i="52"/>
  <c r="CO25" i="52"/>
  <c r="CN25" i="52"/>
  <c r="CM25" i="52"/>
  <c r="CL25" i="52"/>
  <c r="CK25" i="52"/>
  <c r="CJ25" i="52"/>
  <c r="CI25" i="52"/>
  <c r="CH25" i="52"/>
  <c r="CG25" i="52"/>
  <c r="CF25" i="52"/>
  <c r="C25" i="52"/>
  <c r="B25" i="52"/>
  <c r="DD25" i="52" s="1"/>
  <c r="DY24" i="52"/>
  <c r="DX24" i="52"/>
  <c r="DW24" i="52"/>
  <c r="DV24" i="52"/>
  <c r="DU24" i="52"/>
  <c r="DT24" i="52"/>
  <c r="DS24" i="52"/>
  <c r="DR24" i="52"/>
  <c r="DQ24" i="52"/>
  <c r="DP24" i="52"/>
  <c r="DO24" i="52"/>
  <c r="DN24" i="52"/>
  <c r="DM24" i="52"/>
  <c r="DL24" i="52"/>
  <c r="DK24" i="52"/>
  <c r="DJ24" i="52"/>
  <c r="DI24" i="52"/>
  <c r="DH24" i="52"/>
  <c r="DG24" i="52"/>
  <c r="DF24" i="52"/>
  <c r="CY24" i="52"/>
  <c r="CX24" i="52"/>
  <c r="CW24" i="52"/>
  <c r="CV24" i="52"/>
  <c r="CU24" i="52"/>
  <c r="CT24" i="52"/>
  <c r="CS24" i="52"/>
  <c r="CR24" i="52"/>
  <c r="CQ24" i="52"/>
  <c r="CP24" i="52"/>
  <c r="CO24" i="52"/>
  <c r="CN24" i="52"/>
  <c r="CM24" i="52"/>
  <c r="CL24" i="52"/>
  <c r="CK24" i="52"/>
  <c r="CJ24" i="52"/>
  <c r="CI24" i="52"/>
  <c r="CH24" i="52"/>
  <c r="CG24" i="52"/>
  <c r="CF24" i="52"/>
  <c r="C24" i="52"/>
  <c r="B24" i="52"/>
  <c r="DC24" i="52" s="1"/>
  <c r="DY23" i="52"/>
  <c r="DX23" i="52"/>
  <c r="DW23" i="52"/>
  <c r="DV23" i="52"/>
  <c r="DU23" i="52"/>
  <c r="DT23" i="52"/>
  <c r="DS23" i="52"/>
  <c r="DR23" i="52"/>
  <c r="DQ23" i="52"/>
  <c r="DP23" i="52"/>
  <c r="DO23" i="52"/>
  <c r="DN23" i="52"/>
  <c r="DM23" i="52"/>
  <c r="DL23" i="52"/>
  <c r="DK23" i="52"/>
  <c r="DJ23" i="52"/>
  <c r="DI23" i="52"/>
  <c r="DH23" i="52"/>
  <c r="DG23" i="52"/>
  <c r="DF23" i="52"/>
  <c r="CY23" i="52"/>
  <c r="CX23" i="52"/>
  <c r="CW23" i="52"/>
  <c r="CV23" i="52"/>
  <c r="CU23" i="52"/>
  <c r="CT23" i="52"/>
  <c r="CS23" i="52"/>
  <c r="CR23" i="52"/>
  <c r="CQ23" i="52"/>
  <c r="CP23" i="52"/>
  <c r="CO23" i="52"/>
  <c r="CN23" i="52"/>
  <c r="CM23" i="52"/>
  <c r="CL23" i="52"/>
  <c r="CK23" i="52"/>
  <c r="CJ23" i="52"/>
  <c r="CI23" i="52"/>
  <c r="CH23" i="52"/>
  <c r="CG23" i="52"/>
  <c r="CF23" i="52"/>
  <c r="C23" i="52"/>
  <c r="B23" i="52"/>
  <c r="DZ23" i="52" s="1"/>
  <c r="DY22" i="52"/>
  <c r="DX22" i="52"/>
  <c r="DW22" i="52"/>
  <c r="DV22" i="52"/>
  <c r="DU22" i="52"/>
  <c r="DT22" i="52"/>
  <c r="DS22" i="52"/>
  <c r="DR22" i="52"/>
  <c r="DQ22" i="52"/>
  <c r="DP22" i="52"/>
  <c r="DO22" i="52"/>
  <c r="DN22" i="52"/>
  <c r="DM22" i="52"/>
  <c r="DL22" i="52"/>
  <c r="DK22" i="52"/>
  <c r="DJ22" i="52"/>
  <c r="DI22" i="52"/>
  <c r="DH22" i="52"/>
  <c r="DG22" i="52"/>
  <c r="DF22" i="52"/>
  <c r="CY22" i="52"/>
  <c r="CX22" i="52"/>
  <c r="CW22" i="52"/>
  <c r="CV22" i="52"/>
  <c r="CU22" i="52"/>
  <c r="CT22" i="52"/>
  <c r="CS22" i="52"/>
  <c r="CR22" i="52"/>
  <c r="CQ22" i="52"/>
  <c r="CP22" i="52"/>
  <c r="CO22" i="52"/>
  <c r="CN22" i="52"/>
  <c r="CM22" i="52"/>
  <c r="CL22" i="52"/>
  <c r="CK22" i="52"/>
  <c r="CJ22" i="52"/>
  <c r="CI22" i="52"/>
  <c r="CH22" i="52"/>
  <c r="CG22" i="52"/>
  <c r="CF22" i="52"/>
  <c r="C22" i="52"/>
  <c r="B22" i="52"/>
  <c r="DE22" i="52" s="1"/>
  <c r="DY21" i="52"/>
  <c r="DX21" i="52"/>
  <c r="DW21" i="52"/>
  <c r="DV21" i="52"/>
  <c r="DU21" i="52"/>
  <c r="DT21" i="52"/>
  <c r="DS21" i="52"/>
  <c r="DR21" i="52"/>
  <c r="DQ21" i="52"/>
  <c r="DP21" i="52"/>
  <c r="DO21" i="52"/>
  <c r="DN21" i="52"/>
  <c r="DM21" i="52"/>
  <c r="DL21" i="52"/>
  <c r="DK21" i="52"/>
  <c r="DJ21" i="52"/>
  <c r="DI21" i="52"/>
  <c r="DH21" i="52"/>
  <c r="DG21" i="52"/>
  <c r="DF21" i="52"/>
  <c r="CY21" i="52"/>
  <c r="CX21" i="52"/>
  <c r="CW21" i="52"/>
  <c r="CV21" i="52"/>
  <c r="CU21" i="52"/>
  <c r="CT21" i="52"/>
  <c r="CS21" i="52"/>
  <c r="CR21" i="52"/>
  <c r="CQ21" i="52"/>
  <c r="CP21" i="52"/>
  <c r="CO21" i="52"/>
  <c r="CN21" i="52"/>
  <c r="CM21" i="52"/>
  <c r="CL21" i="52"/>
  <c r="CK21" i="52"/>
  <c r="CJ21" i="52"/>
  <c r="CI21" i="52"/>
  <c r="CH21" i="52"/>
  <c r="CG21" i="52"/>
  <c r="CF21" i="52"/>
  <c r="C21" i="52"/>
  <c r="B21" i="52"/>
  <c r="DD21" i="52" s="1"/>
  <c r="DY20" i="52"/>
  <c r="DX20" i="52"/>
  <c r="DW20" i="52"/>
  <c r="DV20" i="52"/>
  <c r="DU20" i="52"/>
  <c r="DT20" i="52"/>
  <c r="DS20" i="52"/>
  <c r="DR20" i="52"/>
  <c r="DQ20" i="52"/>
  <c r="DP20" i="52"/>
  <c r="DO20" i="52"/>
  <c r="DN20" i="52"/>
  <c r="DM20" i="52"/>
  <c r="DL20" i="52"/>
  <c r="DK20" i="52"/>
  <c r="DJ20" i="52"/>
  <c r="DI20" i="52"/>
  <c r="DH20" i="52"/>
  <c r="DG20" i="52"/>
  <c r="DF20" i="52"/>
  <c r="CY20" i="52"/>
  <c r="CX20" i="52"/>
  <c r="CW20" i="52"/>
  <c r="CV20" i="52"/>
  <c r="CU20" i="52"/>
  <c r="CT20" i="52"/>
  <c r="CS20" i="52"/>
  <c r="CR20" i="52"/>
  <c r="CQ20" i="52"/>
  <c r="CP20" i="52"/>
  <c r="CO20" i="52"/>
  <c r="CN20" i="52"/>
  <c r="CM20" i="52"/>
  <c r="CL20" i="52"/>
  <c r="CK20" i="52"/>
  <c r="CJ20" i="52"/>
  <c r="CI20" i="52"/>
  <c r="CH20" i="52"/>
  <c r="CG20" i="52"/>
  <c r="CF20" i="52"/>
  <c r="C20" i="52"/>
  <c r="B20" i="52"/>
  <c r="DC20" i="52" s="1"/>
  <c r="DY19" i="52"/>
  <c r="DX19" i="52"/>
  <c r="DW19" i="52"/>
  <c r="DV19" i="52"/>
  <c r="DU19" i="52"/>
  <c r="DT19" i="52"/>
  <c r="DS19" i="52"/>
  <c r="DR19" i="52"/>
  <c r="DQ19" i="52"/>
  <c r="DP19" i="52"/>
  <c r="DO19" i="52"/>
  <c r="DN19" i="52"/>
  <c r="DM19" i="52"/>
  <c r="DL19" i="52"/>
  <c r="DK19" i="52"/>
  <c r="DJ19" i="52"/>
  <c r="DI19" i="52"/>
  <c r="DH19" i="52"/>
  <c r="DG19" i="52"/>
  <c r="DF19" i="52"/>
  <c r="CY19" i="52"/>
  <c r="CX19" i="52"/>
  <c r="CW19" i="52"/>
  <c r="CV19" i="52"/>
  <c r="CU19" i="52"/>
  <c r="CT19" i="52"/>
  <c r="CS19" i="52"/>
  <c r="CR19" i="52"/>
  <c r="CQ19" i="52"/>
  <c r="CP19" i="52"/>
  <c r="CO19" i="52"/>
  <c r="CN19" i="52"/>
  <c r="CM19" i="52"/>
  <c r="CL19" i="52"/>
  <c r="CK19" i="52"/>
  <c r="CJ19" i="52"/>
  <c r="CI19" i="52"/>
  <c r="CH19" i="52"/>
  <c r="CG19" i="52"/>
  <c r="CF19" i="52"/>
  <c r="C19" i="52"/>
  <c r="B19" i="52"/>
  <c r="DZ19" i="52" s="1"/>
  <c r="DY18" i="52"/>
  <c r="DX18" i="52"/>
  <c r="DW18" i="52"/>
  <c r="DV18" i="52"/>
  <c r="DU18" i="52"/>
  <c r="DT18" i="52"/>
  <c r="DS18" i="52"/>
  <c r="DR18" i="52"/>
  <c r="DQ18" i="52"/>
  <c r="DP18" i="52"/>
  <c r="DO18" i="52"/>
  <c r="DN18" i="52"/>
  <c r="DM18" i="52"/>
  <c r="DL18" i="52"/>
  <c r="DK18" i="52"/>
  <c r="DJ18" i="52"/>
  <c r="DI18" i="52"/>
  <c r="DH18" i="52"/>
  <c r="DG18" i="52"/>
  <c r="DF18" i="52"/>
  <c r="CY18" i="52"/>
  <c r="CX18" i="52"/>
  <c r="CW18" i="52"/>
  <c r="CV18" i="52"/>
  <c r="CU18" i="52"/>
  <c r="CT18" i="52"/>
  <c r="CS18" i="52"/>
  <c r="CR18" i="52"/>
  <c r="CQ18" i="52"/>
  <c r="CP18" i="52"/>
  <c r="CO18" i="52"/>
  <c r="CN18" i="52"/>
  <c r="CM18" i="52"/>
  <c r="CL18" i="52"/>
  <c r="CK18" i="52"/>
  <c r="CJ18" i="52"/>
  <c r="CI18" i="52"/>
  <c r="CH18" i="52"/>
  <c r="CG18" i="52"/>
  <c r="CF18" i="52"/>
  <c r="C18" i="52"/>
  <c r="B18" i="52"/>
  <c r="DE18" i="52" s="1"/>
  <c r="DY17" i="52"/>
  <c r="DX17" i="52"/>
  <c r="DW17" i="52"/>
  <c r="DV17" i="52"/>
  <c r="DU17" i="52"/>
  <c r="DT17" i="52"/>
  <c r="DS17" i="52"/>
  <c r="DR17" i="52"/>
  <c r="DQ17" i="52"/>
  <c r="DP17" i="52"/>
  <c r="DO17" i="52"/>
  <c r="DN17" i="52"/>
  <c r="DM17" i="52"/>
  <c r="DL17" i="52"/>
  <c r="DK17" i="52"/>
  <c r="DJ17" i="52"/>
  <c r="DI17" i="52"/>
  <c r="DH17" i="52"/>
  <c r="DG17" i="52"/>
  <c r="DF17" i="52"/>
  <c r="CY17" i="52"/>
  <c r="CX17" i="52"/>
  <c r="CW17" i="52"/>
  <c r="CV17" i="52"/>
  <c r="CU17" i="52"/>
  <c r="CT17" i="52"/>
  <c r="CS17" i="52"/>
  <c r="CR17" i="52"/>
  <c r="CQ17" i="52"/>
  <c r="CP17" i="52"/>
  <c r="CO17" i="52"/>
  <c r="CN17" i="52"/>
  <c r="CM17" i="52"/>
  <c r="CL17" i="52"/>
  <c r="CK17" i="52"/>
  <c r="CJ17" i="52"/>
  <c r="CI17" i="52"/>
  <c r="CH17" i="52"/>
  <c r="CG17" i="52"/>
  <c r="CF17" i="52"/>
  <c r="C17" i="52"/>
  <c r="B17" i="52"/>
  <c r="DD17" i="52" s="1"/>
  <c r="DY16" i="52"/>
  <c r="DX16" i="52"/>
  <c r="DW16" i="52"/>
  <c r="DV16" i="52"/>
  <c r="DU16" i="52"/>
  <c r="DT16" i="52"/>
  <c r="DS16" i="52"/>
  <c r="DR16" i="52"/>
  <c r="DQ16" i="52"/>
  <c r="DP16" i="52"/>
  <c r="DO16" i="52"/>
  <c r="DN16" i="52"/>
  <c r="DM16" i="52"/>
  <c r="DL16" i="52"/>
  <c r="DK16" i="52"/>
  <c r="DJ16" i="52"/>
  <c r="DI16" i="52"/>
  <c r="DH16" i="52"/>
  <c r="DG16" i="52"/>
  <c r="DF16" i="52"/>
  <c r="CY16" i="52"/>
  <c r="CX16" i="52"/>
  <c r="CW16" i="52"/>
  <c r="CV16" i="52"/>
  <c r="CU16" i="52"/>
  <c r="CT16" i="52"/>
  <c r="CS16" i="52"/>
  <c r="CR16" i="52"/>
  <c r="CQ16" i="52"/>
  <c r="CP16" i="52"/>
  <c r="CO16" i="52"/>
  <c r="CN16" i="52"/>
  <c r="CM16" i="52"/>
  <c r="CL16" i="52"/>
  <c r="CK16" i="52"/>
  <c r="CJ16" i="52"/>
  <c r="CI16" i="52"/>
  <c r="CH16" i="52"/>
  <c r="CG16" i="52"/>
  <c r="CF16" i="52"/>
  <c r="C16" i="52"/>
  <c r="B16" i="52"/>
  <c r="DC16" i="52" s="1"/>
  <c r="DY15" i="52"/>
  <c r="DX15" i="52"/>
  <c r="DW15" i="52"/>
  <c r="DV15" i="52"/>
  <c r="DU15" i="52"/>
  <c r="DT15" i="52"/>
  <c r="DS15" i="52"/>
  <c r="DR15" i="52"/>
  <c r="DQ15" i="52"/>
  <c r="DP15" i="52"/>
  <c r="DO15" i="52"/>
  <c r="DN15" i="52"/>
  <c r="DM15" i="52"/>
  <c r="DL15" i="52"/>
  <c r="DK15" i="52"/>
  <c r="DJ15" i="52"/>
  <c r="DI15" i="52"/>
  <c r="DH15" i="52"/>
  <c r="DG15" i="52"/>
  <c r="DF15" i="52"/>
  <c r="CY15" i="52"/>
  <c r="CX15" i="52"/>
  <c r="CW15" i="52"/>
  <c r="CV15" i="52"/>
  <c r="CU15" i="52"/>
  <c r="CT15" i="52"/>
  <c r="CS15" i="52"/>
  <c r="CR15" i="52"/>
  <c r="CQ15" i="52"/>
  <c r="CP15" i="52"/>
  <c r="CO15" i="52"/>
  <c r="CN15" i="52"/>
  <c r="CM15" i="52"/>
  <c r="CL15" i="52"/>
  <c r="CK15" i="52"/>
  <c r="CJ15" i="52"/>
  <c r="CI15" i="52"/>
  <c r="CH15" i="52"/>
  <c r="CG15" i="52"/>
  <c r="CF15" i="52"/>
  <c r="C15" i="52"/>
  <c r="B15" i="52"/>
  <c r="DZ15" i="52" s="1"/>
  <c r="DY14" i="52"/>
  <c r="DX14" i="52"/>
  <c r="DW14" i="52"/>
  <c r="DV14" i="52"/>
  <c r="DU14" i="52"/>
  <c r="DT14" i="52"/>
  <c r="DS14" i="52"/>
  <c r="DR14" i="52"/>
  <c r="DQ14" i="52"/>
  <c r="DP14" i="52"/>
  <c r="DO14" i="52"/>
  <c r="DN14" i="52"/>
  <c r="DM14" i="52"/>
  <c r="DL14" i="52"/>
  <c r="DK14" i="52"/>
  <c r="DJ14" i="52"/>
  <c r="DI14" i="52"/>
  <c r="DH14" i="52"/>
  <c r="DG14" i="52"/>
  <c r="DF14" i="52"/>
  <c r="CY14" i="52"/>
  <c r="CX14" i="52"/>
  <c r="CW14" i="52"/>
  <c r="CV14" i="52"/>
  <c r="CU14" i="52"/>
  <c r="CT14" i="52"/>
  <c r="CS14" i="52"/>
  <c r="CR14" i="52"/>
  <c r="CQ14" i="52"/>
  <c r="CP14" i="52"/>
  <c r="CO14" i="52"/>
  <c r="CN14" i="52"/>
  <c r="CM14" i="52"/>
  <c r="CL14" i="52"/>
  <c r="CK14" i="52"/>
  <c r="CJ14" i="52"/>
  <c r="CI14" i="52"/>
  <c r="CH14" i="52"/>
  <c r="CG14" i="52"/>
  <c r="CF14" i="52"/>
  <c r="C14" i="52"/>
  <c r="B14" i="52"/>
  <c r="DE14" i="52" s="1"/>
  <c r="DY13" i="52"/>
  <c r="DX13" i="52"/>
  <c r="DW13" i="52"/>
  <c r="DV13" i="52"/>
  <c r="DU13" i="52"/>
  <c r="DT13" i="52"/>
  <c r="DS13" i="52"/>
  <c r="DR13" i="52"/>
  <c r="DQ13" i="52"/>
  <c r="DP13" i="52"/>
  <c r="DO13" i="52"/>
  <c r="DN13" i="52"/>
  <c r="DM13" i="52"/>
  <c r="DL13" i="52"/>
  <c r="DK13" i="52"/>
  <c r="DJ13" i="52"/>
  <c r="DI13" i="52"/>
  <c r="DH13" i="52"/>
  <c r="DG13" i="52"/>
  <c r="DF13" i="52"/>
  <c r="CY13" i="52"/>
  <c r="CX13" i="52"/>
  <c r="CW13" i="52"/>
  <c r="CV13" i="52"/>
  <c r="CU13" i="52"/>
  <c r="CT13" i="52"/>
  <c r="CS13" i="52"/>
  <c r="CR13" i="52"/>
  <c r="CQ13" i="52"/>
  <c r="CP13" i="52"/>
  <c r="CO13" i="52"/>
  <c r="CN13" i="52"/>
  <c r="CM13" i="52"/>
  <c r="CL13" i="52"/>
  <c r="CK13" i="52"/>
  <c r="CJ13" i="52"/>
  <c r="CI13" i="52"/>
  <c r="CH13" i="52"/>
  <c r="CG13" i="52"/>
  <c r="CF13" i="52"/>
  <c r="C13" i="52"/>
  <c r="B13" i="52"/>
  <c r="DD13" i="52" s="1"/>
  <c r="DY12" i="52"/>
  <c r="DX12" i="52"/>
  <c r="DW12" i="52"/>
  <c r="DV12" i="52"/>
  <c r="DU12" i="52"/>
  <c r="DT12" i="52"/>
  <c r="DS12" i="52"/>
  <c r="DR12" i="52"/>
  <c r="DQ12" i="52"/>
  <c r="DP12" i="52"/>
  <c r="DO12" i="52"/>
  <c r="DN12" i="52"/>
  <c r="DM12" i="52"/>
  <c r="DL12" i="52"/>
  <c r="DK12" i="52"/>
  <c r="DJ12" i="52"/>
  <c r="DI12" i="52"/>
  <c r="DH12" i="52"/>
  <c r="DG12" i="52"/>
  <c r="DF12" i="52"/>
  <c r="CY12" i="52"/>
  <c r="CX12" i="52"/>
  <c r="CW12" i="52"/>
  <c r="CV12" i="52"/>
  <c r="CU12" i="52"/>
  <c r="CT12" i="52"/>
  <c r="CS12" i="52"/>
  <c r="CR12" i="52"/>
  <c r="CQ12" i="52"/>
  <c r="CP12" i="52"/>
  <c r="CO12" i="52"/>
  <c r="CN12" i="52"/>
  <c r="CM12" i="52"/>
  <c r="CL12" i="52"/>
  <c r="CK12" i="52"/>
  <c r="CJ12" i="52"/>
  <c r="CI12" i="52"/>
  <c r="CH12" i="52"/>
  <c r="CG12" i="52"/>
  <c r="CF12" i="52"/>
  <c r="C12" i="52"/>
  <c r="B12" i="52"/>
  <c r="D9" i="28"/>
  <c r="D25" i="51"/>
  <c r="C25" i="51"/>
  <c r="D24" i="51"/>
  <c r="C24" i="51"/>
  <c r="D23" i="51"/>
  <c r="C23" i="51"/>
  <c r="AF21" i="51"/>
  <c r="AE21" i="51"/>
  <c r="AD21" i="51"/>
  <c r="AC21" i="51"/>
  <c r="AB21" i="51"/>
  <c r="AA21" i="51"/>
  <c r="Z21" i="51"/>
  <c r="Y21" i="51"/>
  <c r="X21" i="51"/>
  <c r="W21" i="51"/>
  <c r="V21" i="51"/>
  <c r="U21" i="51"/>
  <c r="T21" i="51"/>
  <c r="S21" i="51"/>
  <c r="R21" i="51"/>
  <c r="Q21" i="51"/>
  <c r="P21" i="51"/>
  <c r="O21" i="51"/>
  <c r="N21" i="51"/>
  <c r="M21" i="51"/>
  <c r="L21" i="51"/>
  <c r="K21" i="51"/>
  <c r="J21" i="51"/>
  <c r="I21" i="51"/>
  <c r="H21" i="51"/>
  <c r="G21" i="51"/>
  <c r="F21" i="51"/>
  <c r="B17" i="51"/>
  <c r="B16" i="51"/>
  <c r="B15" i="51"/>
  <c r="B14" i="51"/>
  <c r="C21" i="51" l="1"/>
  <c r="CE214" i="52"/>
  <c r="DE214" i="52"/>
  <c r="CD214" i="52"/>
  <c r="DC214" i="52"/>
  <c r="CB214" i="52"/>
  <c r="DB214" i="52"/>
  <c r="CA214" i="52"/>
  <c r="DA214" i="52"/>
  <c r="DD214" i="52"/>
  <c r="CC214" i="52"/>
  <c r="DD215" i="52"/>
  <c r="CC215" i="52"/>
  <c r="DC215" i="52"/>
  <c r="CB215" i="52"/>
  <c r="DA215" i="52"/>
  <c r="CE215" i="52"/>
  <c r="DE215" i="52"/>
  <c r="CD215" i="52"/>
  <c r="DB215" i="52"/>
  <c r="CA215" i="52"/>
  <c r="CE226" i="52"/>
  <c r="CD226" i="52"/>
  <c r="CC226" i="52"/>
  <c r="CB226" i="52"/>
  <c r="CA226" i="52"/>
  <c r="E15" i="55"/>
  <c r="F15" i="55"/>
  <c r="CA225" i="52"/>
  <c r="CE225" i="52"/>
  <c r="CD225" i="52"/>
  <c r="CC225" i="52"/>
  <c r="CB225" i="52"/>
  <c r="D21" i="51"/>
  <c r="B11" i="51"/>
  <c r="L44" i="53"/>
  <c r="A195" i="53" s="1"/>
  <c r="A308" i="52"/>
  <c r="F17" i="28" s="1"/>
  <c r="CE227" i="52"/>
  <c r="CD227" i="52"/>
  <c r="CC227" i="52"/>
  <c r="CB227" i="52"/>
  <c r="CA227" i="52"/>
  <c r="CE228" i="52"/>
  <c r="CD228" i="52"/>
  <c r="CC228" i="52"/>
  <c r="CB228" i="52"/>
  <c r="CA228" i="52"/>
  <c r="DE236" i="52"/>
  <c r="DX236" i="52"/>
  <c r="CX236" i="52" s="1"/>
  <c r="DC236" i="52"/>
  <c r="CB236" i="52"/>
  <c r="DD236" i="52"/>
  <c r="CC236" i="52"/>
  <c r="CD236" i="52"/>
  <c r="CE236" i="52"/>
  <c r="DW236" i="52"/>
  <c r="CW236" i="52" s="1"/>
  <c r="DA236" i="52"/>
  <c r="CA236" i="52" s="1"/>
  <c r="DB236" i="52"/>
  <c r="DX161" i="52"/>
  <c r="CX161" i="52" s="1"/>
  <c r="DE161" i="52"/>
  <c r="CE161" i="52" s="1"/>
  <c r="DG161" i="52"/>
  <c r="CG161" i="52" s="1"/>
  <c r="DI161" i="52"/>
  <c r="CI161" i="52" s="1"/>
  <c r="DC161" i="52"/>
  <c r="CC161" i="52" s="1"/>
  <c r="DX165" i="52"/>
  <c r="CX165" i="52" s="1"/>
  <c r="DG165" i="52"/>
  <c r="CG165" i="52" s="1"/>
  <c r="DE165" i="52"/>
  <c r="CE165" i="52" s="1"/>
  <c r="DI165" i="52"/>
  <c r="CI165" i="52" s="1"/>
  <c r="DC165" i="52"/>
  <c r="CC165" i="52" s="1"/>
  <c r="DX169" i="52"/>
  <c r="CX169" i="52" s="1"/>
  <c r="DI169" i="52"/>
  <c r="CI169" i="52" s="1"/>
  <c r="DG169" i="52"/>
  <c r="CG169" i="52" s="1"/>
  <c r="DE169" i="52"/>
  <c r="CE169" i="52" s="1"/>
  <c r="DC169" i="52"/>
  <c r="CC169" i="52" s="1"/>
  <c r="DX173" i="52"/>
  <c r="CX173" i="52" s="1"/>
  <c r="DG173" i="52"/>
  <c r="CG173" i="52" s="1"/>
  <c r="DE173" i="52"/>
  <c r="CE173" i="52" s="1"/>
  <c r="DI173" i="52"/>
  <c r="CI173" i="52" s="1"/>
  <c r="DC173" i="52"/>
  <c r="CC173" i="52" s="1"/>
  <c r="DX177" i="52"/>
  <c r="CX177" i="52" s="1"/>
  <c r="DI177" i="52"/>
  <c r="CI177" i="52" s="1"/>
  <c r="DG177" i="52"/>
  <c r="CG177" i="52" s="1"/>
  <c r="DE177" i="52"/>
  <c r="CE177" i="52" s="1"/>
  <c r="DC177" i="52"/>
  <c r="CC177" i="52" s="1"/>
  <c r="DX181" i="52"/>
  <c r="CX181" i="52" s="1"/>
  <c r="DG181" i="52"/>
  <c r="CG181" i="52" s="1"/>
  <c r="DE181" i="52"/>
  <c r="CE181" i="52" s="1"/>
  <c r="DI181" i="52"/>
  <c r="CI181" i="52" s="1"/>
  <c r="DC181" i="52"/>
  <c r="CC181" i="52" s="1"/>
  <c r="DX189" i="52"/>
  <c r="CX189" i="52" s="1"/>
  <c r="DI189" i="52"/>
  <c r="CI189" i="52" s="1"/>
  <c r="DG189" i="52"/>
  <c r="CG189" i="52" s="1"/>
  <c r="DE189" i="52"/>
  <c r="CE189" i="52" s="1"/>
  <c r="DC189" i="52"/>
  <c r="CC189" i="52" s="1"/>
  <c r="DX193" i="52"/>
  <c r="CX193" i="52" s="1"/>
  <c r="DE193" i="52"/>
  <c r="CE193" i="52" s="1"/>
  <c r="DC193" i="52"/>
  <c r="CC193" i="52" s="1"/>
  <c r="DI193" i="52"/>
  <c r="CI193" i="52" s="1"/>
  <c r="DG193" i="52"/>
  <c r="CG193" i="52" s="1"/>
  <c r="DX197" i="52"/>
  <c r="CX197" i="52" s="1"/>
  <c r="DI197" i="52"/>
  <c r="CI197" i="52" s="1"/>
  <c r="DG197" i="52"/>
  <c r="CG197" i="52" s="1"/>
  <c r="DC197" i="52"/>
  <c r="CC197" i="52" s="1"/>
  <c r="DE197" i="52"/>
  <c r="CE197" i="52" s="1"/>
  <c r="DX201" i="52"/>
  <c r="CX201" i="52" s="1"/>
  <c r="DE201" i="52"/>
  <c r="CE201" i="52" s="1"/>
  <c r="DC201" i="52"/>
  <c r="CC201" i="52" s="1"/>
  <c r="DG201" i="52"/>
  <c r="CG201" i="52" s="1"/>
  <c r="DI201" i="52"/>
  <c r="CI201" i="52" s="1"/>
  <c r="DW205" i="52"/>
  <c r="CW205" i="52" s="1"/>
  <c r="DB205" i="52"/>
  <c r="CB205" i="52" s="1"/>
  <c r="DA205" i="52"/>
  <c r="CA205" i="52" s="1"/>
  <c r="DH205" i="52"/>
  <c r="CH205" i="52" s="1"/>
  <c r="DF205" i="52"/>
  <c r="CF205" i="52" s="1"/>
  <c r="DD205" i="52"/>
  <c r="CD205" i="52" s="1"/>
  <c r="DW209" i="52"/>
  <c r="CW209" i="52" s="1"/>
  <c r="DF209" i="52"/>
  <c r="CF209" i="52" s="1"/>
  <c r="DD209" i="52"/>
  <c r="CD209" i="52" s="1"/>
  <c r="DB209" i="52"/>
  <c r="CB209" i="52" s="1"/>
  <c r="DH209" i="52"/>
  <c r="CH209" i="52" s="1"/>
  <c r="DA209" i="52"/>
  <c r="CA209" i="52" s="1"/>
  <c r="CB242" i="52"/>
  <c r="DB242" i="52"/>
  <c r="DW247" i="52"/>
  <c r="CW247" i="52" s="1"/>
  <c r="CB247" i="52"/>
  <c r="DB247" i="52"/>
  <c r="CB251" i="52"/>
  <c r="DB251" i="52"/>
  <c r="DB254" i="52"/>
  <c r="CB254" i="52"/>
  <c r="DW162" i="52"/>
  <c r="CW162" i="52" s="1"/>
  <c r="DF162" i="52"/>
  <c r="CF162" i="52" s="1"/>
  <c r="DH162" i="52"/>
  <c r="CH162" i="52" s="1"/>
  <c r="DB162" i="52"/>
  <c r="CB162" i="52" s="1"/>
  <c r="DA162" i="52"/>
  <c r="CA162" i="52" s="1"/>
  <c r="DD162" i="52"/>
  <c r="CD162" i="52" s="1"/>
  <c r="DW166" i="52"/>
  <c r="CW166" i="52" s="1"/>
  <c r="DH166" i="52"/>
  <c r="CH166" i="52" s="1"/>
  <c r="DD166" i="52"/>
  <c r="CD166" i="52" s="1"/>
  <c r="DB166" i="52"/>
  <c r="CB166" i="52" s="1"/>
  <c r="DF166" i="52"/>
  <c r="CF166" i="52" s="1"/>
  <c r="DA166" i="52"/>
  <c r="CA166" i="52" s="1"/>
  <c r="DW170" i="52"/>
  <c r="CW170" i="52" s="1"/>
  <c r="DD170" i="52"/>
  <c r="CD170" i="52" s="1"/>
  <c r="DF170" i="52"/>
  <c r="CF170" i="52" s="1"/>
  <c r="DB170" i="52"/>
  <c r="CB170" i="52" s="1"/>
  <c r="DA170" i="52"/>
  <c r="CA170" i="52" s="1"/>
  <c r="DH170" i="52"/>
  <c r="CH170" i="52" s="1"/>
  <c r="DW174" i="52"/>
  <c r="CW174" i="52" s="1"/>
  <c r="DF174" i="52"/>
  <c r="CF174" i="52" s="1"/>
  <c r="DH174" i="52"/>
  <c r="CH174" i="52" s="1"/>
  <c r="DB174" i="52"/>
  <c r="CB174" i="52" s="1"/>
  <c r="DD174" i="52"/>
  <c r="CD174" i="52" s="1"/>
  <c r="DA174" i="52"/>
  <c r="CA174" i="52" s="1"/>
  <c r="DW178" i="52"/>
  <c r="CW178" i="52" s="1"/>
  <c r="DD178" i="52"/>
  <c r="CD178" i="52" s="1"/>
  <c r="DB178" i="52"/>
  <c r="CB178" i="52" s="1"/>
  <c r="DA178" i="52"/>
  <c r="CA178" i="52" s="1"/>
  <c r="DF178" i="52"/>
  <c r="CF178" i="52" s="1"/>
  <c r="DH178" i="52"/>
  <c r="CH178" i="52" s="1"/>
  <c r="DW182" i="52"/>
  <c r="CW182" i="52" s="1"/>
  <c r="DF182" i="52"/>
  <c r="CF182" i="52" s="1"/>
  <c r="DH182" i="52"/>
  <c r="CH182" i="52" s="1"/>
  <c r="DB182" i="52"/>
  <c r="CB182" i="52" s="1"/>
  <c r="DD182" i="52"/>
  <c r="CD182" i="52" s="1"/>
  <c r="DA182" i="52"/>
  <c r="CA182" i="52" s="1"/>
  <c r="DW190" i="52"/>
  <c r="CW190" i="52" s="1"/>
  <c r="DA190" i="52"/>
  <c r="CA190" i="52" s="1"/>
  <c r="DH190" i="52"/>
  <c r="CH190" i="52" s="1"/>
  <c r="DF190" i="52"/>
  <c r="CF190" i="52" s="1"/>
  <c r="DB190" i="52"/>
  <c r="CB190" i="52" s="1"/>
  <c r="DD190" i="52"/>
  <c r="CD190" i="52" s="1"/>
  <c r="DW194" i="52"/>
  <c r="CW194" i="52" s="1"/>
  <c r="DD194" i="52"/>
  <c r="CD194" i="52" s="1"/>
  <c r="DB194" i="52"/>
  <c r="CB194" i="52" s="1"/>
  <c r="DA194" i="52"/>
  <c r="CA194" i="52" s="1"/>
  <c r="DF194" i="52"/>
  <c r="CF194" i="52" s="1"/>
  <c r="DH194" i="52"/>
  <c r="CH194" i="52" s="1"/>
  <c r="DW198" i="52"/>
  <c r="CW198" i="52" s="1"/>
  <c r="DA198" i="52"/>
  <c r="CA198" i="52" s="1"/>
  <c r="DH198" i="52"/>
  <c r="CH198" i="52" s="1"/>
  <c r="DF198" i="52"/>
  <c r="CF198" i="52" s="1"/>
  <c r="DD198" i="52"/>
  <c r="CD198" i="52" s="1"/>
  <c r="DB198" i="52"/>
  <c r="CB198" i="52" s="1"/>
  <c r="DX205" i="52"/>
  <c r="CX205" i="52" s="1"/>
  <c r="DI205" i="52"/>
  <c r="CI205" i="52" s="1"/>
  <c r="DG205" i="52"/>
  <c r="CG205" i="52" s="1"/>
  <c r="DE205" i="52"/>
  <c r="CE205" i="52" s="1"/>
  <c r="DC205" i="52"/>
  <c r="CC205" i="52" s="1"/>
  <c r="DX209" i="52"/>
  <c r="CX209" i="52" s="1"/>
  <c r="DE209" i="52"/>
  <c r="CE209" i="52" s="1"/>
  <c r="DC209" i="52"/>
  <c r="CC209" i="52" s="1"/>
  <c r="DI209" i="52"/>
  <c r="CI209" i="52" s="1"/>
  <c r="DG209" i="52"/>
  <c r="CG209" i="52" s="1"/>
  <c r="CB244" i="52"/>
  <c r="DB244" i="52"/>
  <c r="CB256" i="52"/>
  <c r="DB256" i="52"/>
  <c r="B23" i="51"/>
  <c r="CA116" i="52"/>
  <c r="DX162" i="52"/>
  <c r="CX162" i="52" s="1"/>
  <c r="DE162" i="52"/>
  <c r="CE162" i="52" s="1"/>
  <c r="DI162" i="52"/>
  <c r="CI162" i="52" s="1"/>
  <c r="DC162" i="52"/>
  <c r="CC162" i="52" s="1"/>
  <c r="DG162" i="52"/>
  <c r="CG162" i="52" s="1"/>
  <c r="DX166" i="52"/>
  <c r="CX166" i="52" s="1"/>
  <c r="DG166" i="52"/>
  <c r="CG166" i="52" s="1"/>
  <c r="DI166" i="52"/>
  <c r="CI166" i="52" s="1"/>
  <c r="DC166" i="52"/>
  <c r="CC166" i="52" s="1"/>
  <c r="DE166" i="52"/>
  <c r="CE166" i="52" s="1"/>
  <c r="DX170" i="52"/>
  <c r="CX170" i="52" s="1"/>
  <c r="DE170" i="52"/>
  <c r="CE170" i="52" s="1"/>
  <c r="DC170" i="52"/>
  <c r="CC170" i="52" s="1"/>
  <c r="DG170" i="52"/>
  <c r="CG170" i="52" s="1"/>
  <c r="DI170" i="52"/>
  <c r="CI170" i="52" s="1"/>
  <c r="DX174" i="52"/>
  <c r="CX174" i="52" s="1"/>
  <c r="DG174" i="52"/>
  <c r="CG174" i="52" s="1"/>
  <c r="DI174" i="52"/>
  <c r="CI174" i="52" s="1"/>
  <c r="DC174" i="52"/>
  <c r="CC174" i="52" s="1"/>
  <c r="DE174" i="52"/>
  <c r="CE174" i="52" s="1"/>
  <c r="DX178" i="52"/>
  <c r="CX178" i="52" s="1"/>
  <c r="DE178" i="52"/>
  <c r="CE178" i="52" s="1"/>
  <c r="DG178" i="52"/>
  <c r="CG178" i="52" s="1"/>
  <c r="DC178" i="52"/>
  <c r="CC178" i="52" s="1"/>
  <c r="DI178" i="52"/>
  <c r="CI178" i="52" s="1"/>
  <c r="DX182" i="52"/>
  <c r="CX182" i="52" s="1"/>
  <c r="DE182" i="52"/>
  <c r="CE182" i="52" s="1"/>
  <c r="DG182" i="52"/>
  <c r="CG182" i="52" s="1"/>
  <c r="DI182" i="52"/>
  <c r="CI182" i="52" s="1"/>
  <c r="DC182" i="52"/>
  <c r="CC182" i="52" s="1"/>
  <c r="DX190" i="52"/>
  <c r="CX190" i="52" s="1"/>
  <c r="DI190" i="52"/>
  <c r="CI190" i="52" s="1"/>
  <c r="DG190" i="52"/>
  <c r="CG190" i="52" s="1"/>
  <c r="DE190" i="52"/>
  <c r="CE190" i="52" s="1"/>
  <c r="DC190" i="52"/>
  <c r="CC190" i="52" s="1"/>
  <c r="DX194" i="52"/>
  <c r="CX194" i="52" s="1"/>
  <c r="DE194" i="52"/>
  <c r="CE194" i="52" s="1"/>
  <c r="DC194" i="52"/>
  <c r="CC194" i="52" s="1"/>
  <c r="DI194" i="52"/>
  <c r="CI194" i="52" s="1"/>
  <c r="DG194" i="52"/>
  <c r="CG194" i="52" s="1"/>
  <c r="DX198" i="52"/>
  <c r="CX198" i="52" s="1"/>
  <c r="DI198" i="52"/>
  <c r="CI198" i="52" s="1"/>
  <c r="DG198" i="52"/>
  <c r="CG198" i="52" s="1"/>
  <c r="DE198" i="52"/>
  <c r="CE198" i="52" s="1"/>
  <c r="DC198" i="52"/>
  <c r="CC198" i="52" s="1"/>
  <c r="DW202" i="52"/>
  <c r="CW202" i="52" s="1"/>
  <c r="DD202" i="52"/>
  <c r="CD202" i="52" s="1"/>
  <c r="DB202" i="52"/>
  <c r="CB202" i="52" s="1"/>
  <c r="DA202" i="52"/>
  <c r="CA202" i="52" s="1"/>
  <c r="DH202" i="52"/>
  <c r="CH202" i="52" s="1"/>
  <c r="DF202" i="52"/>
  <c r="CF202" i="52" s="1"/>
  <c r="DW206" i="52"/>
  <c r="CW206" i="52" s="1"/>
  <c r="DA206" i="52"/>
  <c r="CA206" i="52" s="1"/>
  <c r="DH206" i="52"/>
  <c r="CH206" i="52" s="1"/>
  <c r="DF206" i="52"/>
  <c r="CF206" i="52" s="1"/>
  <c r="DD206" i="52"/>
  <c r="CD206" i="52" s="1"/>
  <c r="DB206" i="52"/>
  <c r="CB206" i="52" s="1"/>
  <c r="DB238" i="52"/>
  <c r="CB238" i="52"/>
  <c r="DW246" i="52"/>
  <c r="CW246" i="52" s="1"/>
  <c r="DB246" i="52"/>
  <c r="CB246" i="52"/>
  <c r="DB253" i="52"/>
  <c r="CB253" i="52"/>
  <c r="CB258" i="52"/>
  <c r="DB258" i="52"/>
  <c r="DW163" i="52"/>
  <c r="CW163" i="52" s="1"/>
  <c r="DH163" i="52"/>
  <c r="CH163" i="52" s="1"/>
  <c r="DF163" i="52"/>
  <c r="CF163" i="52" s="1"/>
  <c r="DB163" i="52"/>
  <c r="CB163" i="52" s="1"/>
  <c r="DA163" i="52"/>
  <c r="CA163" i="52" s="1"/>
  <c r="DD163" i="52"/>
  <c r="CD163" i="52" s="1"/>
  <c r="DW167" i="52"/>
  <c r="CW167" i="52" s="1"/>
  <c r="DD167" i="52"/>
  <c r="CD167" i="52" s="1"/>
  <c r="DF167" i="52"/>
  <c r="CF167" i="52" s="1"/>
  <c r="DA167" i="52"/>
  <c r="CA167" i="52" s="1"/>
  <c r="DB167" i="52"/>
  <c r="CB167" i="52" s="1"/>
  <c r="DH167" i="52"/>
  <c r="CH167" i="52" s="1"/>
  <c r="DW171" i="52"/>
  <c r="CW171" i="52" s="1"/>
  <c r="DF171" i="52"/>
  <c r="CF171" i="52" s="1"/>
  <c r="DH171" i="52"/>
  <c r="CH171" i="52" s="1"/>
  <c r="DB171" i="52"/>
  <c r="CB171" i="52" s="1"/>
  <c r="DA171" i="52"/>
  <c r="CA171" i="52" s="1"/>
  <c r="DD171" i="52"/>
  <c r="CD171" i="52" s="1"/>
  <c r="DW175" i="52"/>
  <c r="CW175" i="52" s="1"/>
  <c r="DD175" i="52"/>
  <c r="CD175" i="52" s="1"/>
  <c r="DH175" i="52"/>
  <c r="CH175" i="52" s="1"/>
  <c r="DA175" i="52"/>
  <c r="CA175" i="52" s="1"/>
  <c r="DB175" i="52"/>
  <c r="CB175" i="52" s="1"/>
  <c r="DF175" i="52"/>
  <c r="CF175" i="52" s="1"/>
  <c r="DW179" i="52"/>
  <c r="CW179" i="52" s="1"/>
  <c r="DD179" i="52"/>
  <c r="CD179" i="52" s="1"/>
  <c r="DF179" i="52"/>
  <c r="CF179" i="52" s="1"/>
  <c r="DH179" i="52"/>
  <c r="CH179" i="52" s="1"/>
  <c r="DB179" i="52"/>
  <c r="CB179" i="52" s="1"/>
  <c r="DA179" i="52"/>
  <c r="CA179" i="52" s="1"/>
  <c r="DW187" i="52"/>
  <c r="CW187" i="52" s="1"/>
  <c r="DD187" i="52"/>
  <c r="CD187" i="52" s="1"/>
  <c r="DB187" i="52"/>
  <c r="CB187" i="52" s="1"/>
  <c r="DA187" i="52"/>
  <c r="CA187" i="52" s="1"/>
  <c r="DH187" i="52"/>
  <c r="CH187" i="52" s="1"/>
  <c r="DF187" i="52"/>
  <c r="CF187" i="52" s="1"/>
  <c r="DW191" i="52"/>
  <c r="CW191" i="52" s="1"/>
  <c r="DH191" i="52"/>
  <c r="CH191" i="52" s="1"/>
  <c r="DF191" i="52"/>
  <c r="CF191" i="52" s="1"/>
  <c r="DD191" i="52"/>
  <c r="CD191" i="52" s="1"/>
  <c r="DB191" i="52"/>
  <c r="CB191" i="52" s="1"/>
  <c r="DA191" i="52"/>
  <c r="CA191" i="52" s="1"/>
  <c r="DW195" i="52"/>
  <c r="CW195" i="52" s="1"/>
  <c r="DD195" i="52"/>
  <c r="CD195" i="52" s="1"/>
  <c r="DB195" i="52"/>
  <c r="CB195" i="52" s="1"/>
  <c r="DA195" i="52"/>
  <c r="CA195" i="52" s="1"/>
  <c r="DH195" i="52"/>
  <c r="CH195" i="52" s="1"/>
  <c r="DF195" i="52"/>
  <c r="CF195" i="52" s="1"/>
  <c r="DW199" i="52"/>
  <c r="CW199" i="52" s="1"/>
  <c r="DH199" i="52"/>
  <c r="CH199" i="52" s="1"/>
  <c r="DF199" i="52"/>
  <c r="CF199" i="52" s="1"/>
  <c r="DD199" i="52"/>
  <c r="CD199" i="52" s="1"/>
  <c r="DB199" i="52"/>
  <c r="CB199" i="52" s="1"/>
  <c r="DA199" i="52"/>
  <c r="CA199" i="52" s="1"/>
  <c r="DX202" i="52"/>
  <c r="CX202" i="52" s="1"/>
  <c r="DE202" i="52"/>
  <c r="CE202" i="52" s="1"/>
  <c r="DC202" i="52"/>
  <c r="CC202" i="52" s="1"/>
  <c r="DI202" i="52"/>
  <c r="CI202" i="52" s="1"/>
  <c r="DG202" i="52"/>
  <c r="CG202" i="52" s="1"/>
  <c r="DX206" i="52"/>
  <c r="CX206" i="52" s="1"/>
  <c r="DI206" i="52"/>
  <c r="CI206" i="52" s="1"/>
  <c r="DG206" i="52"/>
  <c r="CG206" i="52" s="1"/>
  <c r="DE206" i="52"/>
  <c r="CE206" i="52" s="1"/>
  <c r="DC206" i="52"/>
  <c r="CC206" i="52" s="1"/>
  <c r="DX163" i="52"/>
  <c r="CX163" i="52" s="1"/>
  <c r="DI163" i="52"/>
  <c r="CI163" i="52" s="1"/>
  <c r="DG163" i="52"/>
  <c r="CG163" i="52" s="1"/>
  <c r="DC163" i="52"/>
  <c r="CC163" i="52" s="1"/>
  <c r="DE163" i="52"/>
  <c r="CE163" i="52" s="1"/>
  <c r="DX167" i="52"/>
  <c r="CX167" i="52" s="1"/>
  <c r="DG167" i="52"/>
  <c r="CG167" i="52" s="1"/>
  <c r="DE167" i="52"/>
  <c r="CE167" i="52" s="1"/>
  <c r="DI167" i="52"/>
  <c r="CI167" i="52" s="1"/>
  <c r="DC167" i="52"/>
  <c r="CC167" i="52" s="1"/>
  <c r="DX171" i="52"/>
  <c r="CX171" i="52" s="1"/>
  <c r="DE171" i="52"/>
  <c r="CE171" i="52" s="1"/>
  <c r="DI171" i="52"/>
  <c r="CI171" i="52" s="1"/>
  <c r="DC171" i="52"/>
  <c r="CC171" i="52" s="1"/>
  <c r="DG171" i="52"/>
  <c r="CG171" i="52" s="1"/>
  <c r="DX175" i="52"/>
  <c r="CX175" i="52" s="1"/>
  <c r="DI175" i="52"/>
  <c r="CI175" i="52" s="1"/>
  <c r="DG175" i="52"/>
  <c r="CG175" i="52" s="1"/>
  <c r="DC175" i="52"/>
  <c r="CC175" i="52" s="1"/>
  <c r="DE175" i="52"/>
  <c r="CE175" i="52" s="1"/>
  <c r="DX179" i="52"/>
  <c r="CX179" i="52" s="1"/>
  <c r="DE179" i="52"/>
  <c r="CE179" i="52" s="1"/>
  <c r="DI179" i="52"/>
  <c r="CI179" i="52" s="1"/>
  <c r="DG179" i="52"/>
  <c r="CG179" i="52" s="1"/>
  <c r="DC179" i="52"/>
  <c r="CC179" i="52" s="1"/>
  <c r="DX187" i="52"/>
  <c r="CX187" i="52" s="1"/>
  <c r="DC187" i="52"/>
  <c r="CC187" i="52" s="1"/>
  <c r="DI187" i="52"/>
  <c r="CI187" i="52" s="1"/>
  <c r="DE187" i="52"/>
  <c r="CE187" i="52" s="1"/>
  <c r="DG187" i="52"/>
  <c r="CG187" i="52" s="1"/>
  <c r="DX191" i="52"/>
  <c r="CX191" i="52" s="1"/>
  <c r="DG191" i="52"/>
  <c r="CG191" i="52" s="1"/>
  <c r="DE191" i="52"/>
  <c r="CE191" i="52" s="1"/>
  <c r="DI191" i="52"/>
  <c r="CI191" i="52" s="1"/>
  <c r="DC191" i="52"/>
  <c r="CC191" i="52" s="1"/>
  <c r="DX195" i="52"/>
  <c r="CX195" i="52" s="1"/>
  <c r="DC195" i="52"/>
  <c r="CC195" i="52" s="1"/>
  <c r="DI195" i="52"/>
  <c r="CI195" i="52" s="1"/>
  <c r="DG195" i="52"/>
  <c r="CG195" i="52" s="1"/>
  <c r="DE195" i="52"/>
  <c r="CE195" i="52" s="1"/>
  <c r="DX199" i="52"/>
  <c r="CX199" i="52" s="1"/>
  <c r="DG199" i="52"/>
  <c r="CG199" i="52" s="1"/>
  <c r="DE199" i="52"/>
  <c r="CE199" i="52" s="1"/>
  <c r="DC199" i="52"/>
  <c r="CC199" i="52" s="1"/>
  <c r="DI199" i="52"/>
  <c r="CI199" i="52" s="1"/>
  <c r="DW203" i="52"/>
  <c r="CW203" i="52" s="1"/>
  <c r="DD203" i="52"/>
  <c r="CD203" i="52" s="1"/>
  <c r="DB203" i="52"/>
  <c r="CB203" i="52" s="1"/>
  <c r="DA203" i="52"/>
  <c r="CA203" i="52" s="1"/>
  <c r="DH203" i="52"/>
  <c r="CH203" i="52" s="1"/>
  <c r="DF203" i="52"/>
  <c r="CF203" i="52" s="1"/>
  <c r="DW207" i="52"/>
  <c r="CW207" i="52" s="1"/>
  <c r="DH207" i="52"/>
  <c r="CH207" i="52" s="1"/>
  <c r="DF207" i="52"/>
  <c r="CF207" i="52" s="1"/>
  <c r="DD207" i="52"/>
  <c r="CD207" i="52" s="1"/>
  <c r="DB207" i="52"/>
  <c r="CB207" i="52" s="1"/>
  <c r="DA207" i="52"/>
  <c r="CA207" i="52" s="1"/>
  <c r="CB240" i="52"/>
  <c r="DB240" i="52"/>
  <c r="CB241" i="52"/>
  <c r="DB241" i="52"/>
  <c r="CB250" i="52"/>
  <c r="DB250" i="52"/>
  <c r="DA90" i="52"/>
  <c r="DW160" i="52"/>
  <c r="CW160" i="52" s="1"/>
  <c r="DH160" i="52"/>
  <c r="CH160" i="52" s="1"/>
  <c r="DA160" i="52"/>
  <c r="CA160" i="52" s="1"/>
  <c r="DF160" i="52"/>
  <c r="CF160" i="52" s="1"/>
  <c r="DB160" i="52"/>
  <c r="CB160" i="52" s="1"/>
  <c r="DD160" i="52"/>
  <c r="CD160" i="52" s="1"/>
  <c r="DW164" i="52"/>
  <c r="CW164" i="52" s="1"/>
  <c r="DD164" i="52"/>
  <c r="CD164" i="52" s="1"/>
  <c r="DF164" i="52"/>
  <c r="CF164" i="52" s="1"/>
  <c r="DH164" i="52"/>
  <c r="CH164" i="52" s="1"/>
  <c r="DB164" i="52"/>
  <c r="CB164" i="52" s="1"/>
  <c r="DA164" i="52"/>
  <c r="CA164" i="52" s="1"/>
  <c r="DW168" i="52"/>
  <c r="CW168" i="52" s="1"/>
  <c r="DF168" i="52"/>
  <c r="CF168" i="52" s="1"/>
  <c r="DH168" i="52"/>
  <c r="CH168" i="52" s="1"/>
  <c r="DD168" i="52"/>
  <c r="CD168" i="52" s="1"/>
  <c r="DA168" i="52"/>
  <c r="CA168" i="52" s="1"/>
  <c r="DB168" i="52"/>
  <c r="CB168" i="52" s="1"/>
  <c r="DW172" i="52"/>
  <c r="CW172" i="52" s="1"/>
  <c r="DD172" i="52"/>
  <c r="CD172" i="52" s="1"/>
  <c r="DF172" i="52"/>
  <c r="CF172" i="52" s="1"/>
  <c r="DH172" i="52"/>
  <c r="CH172" i="52" s="1"/>
  <c r="DB172" i="52"/>
  <c r="CB172" i="52" s="1"/>
  <c r="DA172" i="52"/>
  <c r="CA172" i="52" s="1"/>
  <c r="DW176" i="52"/>
  <c r="CW176" i="52" s="1"/>
  <c r="DD176" i="52"/>
  <c r="CD176" i="52" s="1"/>
  <c r="DF176" i="52"/>
  <c r="CF176" i="52" s="1"/>
  <c r="DH176" i="52"/>
  <c r="CH176" i="52" s="1"/>
  <c r="DA176" i="52"/>
  <c r="CA176" i="52" s="1"/>
  <c r="DB176" i="52"/>
  <c r="CB176" i="52" s="1"/>
  <c r="DW180" i="52"/>
  <c r="CW180" i="52" s="1"/>
  <c r="DH180" i="52"/>
  <c r="CH180" i="52" s="1"/>
  <c r="DF180" i="52"/>
  <c r="CF180" i="52" s="1"/>
  <c r="DB180" i="52"/>
  <c r="CB180" i="52" s="1"/>
  <c r="DA180" i="52"/>
  <c r="CA180" i="52" s="1"/>
  <c r="DD180" i="52"/>
  <c r="CD180" i="52" s="1"/>
  <c r="DW188" i="52"/>
  <c r="CW188" i="52" s="1"/>
  <c r="DB188" i="52"/>
  <c r="CB188" i="52" s="1"/>
  <c r="DA188" i="52"/>
  <c r="CA188" i="52" s="1"/>
  <c r="DH188" i="52"/>
  <c r="CH188" i="52" s="1"/>
  <c r="DF188" i="52"/>
  <c r="CF188" i="52" s="1"/>
  <c r="DD188" i="52"/>
  <c r="CD188" i="52" s="1"/>
  <c r="DW192" i="52"/>
  <c r="CW192" i="52" s="1"/>
  <c r="DF192" i="52"/>
  <c r="CF192" i="52" s="1"/>
  <c r="DD192" i="52"/>
  <c r="CD192" i="52" s="1"/>
  <c r="DB192" i="52"/>
  <c r="CB192" i="52" s="1"/>
  <c r="DA192" i="52"/>
  <c r="CA192" i="52" s="1"/>
  <c r="DH192" i="52"/>
  <c r="CH192" i="52" s="1"/>
  <c r="DW196" i="52"/>
  <c r="CW196" i="52" s="1"/>
  <c r="DB196" i="52"/>
  <c r="CB196" i="52" s="1"/>
  <c r="DA196" i="52"/>
  <c r="CA196" i="52" s="1"/>
  <c r="DH196" i="52"/>
  <c r="CH196" i="52" s="1"/>
  <c r="DF196" i="52"/>
  <c r="CF196" i="52" s="1"/>
  <c r="DD196" i="52"/>
  <c r="CD196" i="52" s="1"/>
  <c r="DW200" i="52"/>
  <c r="CW200" i="52" s="1"/>
  <c r="DF200" i="52"/>
  <c r="CF200" i="52" s="1"/>
  <c r="DD200" i="52"/>
  <c r="CD200" i="52" s="1"/>
  <c r="DH200" i="52"/>
  <c r="CH200" i="52" s="1"/>
  <c r="DB200" i="52"/>
  <c r="CB200" i="52" s="1"/>
  <c r="DA200" i="52"/>
  <c r="CA200" i="52" s="1"/>
  <c r="DX203" i="52"/>
  <c r="CX203" i="52" s="1"/>
  <c r="DC203" i="52"/>
  <c r="CC203" i="52" s="1"/>
  <c r="DI203" i="52"/>
  <c r="CI203" i="52" s="1"/>
  <c r="DG203" i="52"/>
  <c r="CG203" i="52" s="1"/>
  <c r="DE203" i="52"/>
  <c r="CE203" i="52" s="1"/>
  <c r="DX207" i="52"/>
  <c r="CX207" i="52" s="1"/>
  <c r="DG207" i="52"/>
  <c r="CG207" i="52" s="1"/>
  <c r="DE207" i="52"/>
  <c r="CE207" i="52" s="1"/>
  <c r="DI207" i="52"/>
  <c r="CI207" i="52" s="1"/>
  <c r="DC207" i="52"/>
  <c r="CC207" i="52" s="1"/>
  <c r="CB243" i="52"/>
  <c r="DB243" i="52"/>
  <c r="DB245" i="52"/>
  <c r="CB245" i="52"/>
  <c r="DW248" i="52"/>
  <c r="CW248" i="52" s="1"/>
  <c r="CB248" i="52"/>
  <c r="DB248" i="52"/>
  <c r="CB252" i="52"/>
  <c r="DB252" i="52"/>
  <c r="CB255" i="52"/>
  <c r="DB255" i="52"/>
  <c r="DW257" i="52"/>
  <c r="CW257" i="52" s="1"/>
  <c r="CB257" i="52"/>
  <c r="DB257" i="52"/>
  <c r="DX160" i="52"/>
  <c r="CX160" i="52" s="1"/>
  <c r="DI160" i="52"/>
  <c r="CI160" i="52" s="1"/>
  <c r="DG160" i="52"/>
  <c r="CG160" i="52" s="1"/>
  <c r="DC160" i="52"/>
  <c r="CC160" i="52" s="1"/>
  <c r="DE160" i="52"/>
  <c r="CE160" i="52" s="1"/>
  <c r="DX164" i="52"/>
  <c r="CX164" i="52" s="1"/>
  <c r="DE164" i="52"/>
  <c r="CE164" i="52" s="1"/>
  <c r="DI164" i="52"/>
  <c r="CI164" i="52" s="1"/>
  <c r="DG164" i="52"/>
  <c r="CG164" i="52" s="1"/>
  <c r="DC164" i="52"/>
  <c r="CC164" i="52" s="1"/>
  <c r="DX168" i="52"/>
  <c r="CX168" i="52" s="1"/>
  <c r="DE168" i="52"/>
  <c r="CE168" i="52" s="1"/>
  <c r="DG168" i="52"/>
  <c r="CG168" i="52" s="1"/>
  <c r="DI168" i="52"/>
  <c r="CI168" i="52" s="1"/>
  <c r="DC168" i="52"/>
  <c r="CC168" i="52" s="1"/>
  <c r="DX172" i="52"/>
  <c r="CX172" i="52" s="1"/>
  <c r="DI172" i="52"/>
  <c r="CI172" i="52" s="1"/>
  <c r="DE172" i="52"/>
  <c r="CE172" i="52" s="1"/>
  <c r="DC172" i="52"/>
  <c r="CC172" i="52" s="1"/>
  <c r="DG172" i="52"/>
  <c r="CG172" i="52" s="1"/>
  <c r="DX176" i="52"/>
  <c r="CX176" i="52" s="1"/>
  <c r="DE176" i="52"/>
  <c r="CE176" i="52" s="1"/>
  <c r="DG176" i="52"/>
  <c r="CG176" i="52" s="1"/>
  <c r="DI176" i="52"/>
  <c r="CI176" i="52" s="1"/>
  <c r="DC176" i="52"/>
  <c r="CC176" i="52" s="1"/>
  <c r="DX180" i="52"/>
  <c r="CX180" i="52" s="1"/>
  <c r="DI180" i="52"/>
  <c r="CI180" i="52" s="1"/>
  <c r="DE180" i="52"/>
  <c r="CE180" i="52" s="1"/>
  <c r="DG180" i="52"/>
  <c r="CG180" i="52" s="1"/>
  <c r="DC180" i="52"/>
  <c r="CC180" i="52" s="1"/>
  <c r="DX188" i="52"/>
  <c r="CX188" i="52" s="1"/>
  <c r="DC188" i="52"/>
  <c r="CC188" i="52" s="1"/>
  <c r="DI188" i="52"/>
  <c r="CI188" i="52" s="1"/>
  <c r="DG188" i="52"/>
  <c r="CG188" i="52" s="1"/>
  <c r="DE188" i="52"/>
  <c r="CE188" i="52" s="1"/>
  <c r="DX192" i="52"/>
  <c r="CX192" i="52" s="1"/>
  <c r="DG192" i="52"/>
  <c r="CG192" i="52" s="1"/>
  <c r="DE192" i="52"/>
  <c r="CE192" i="52" s="1"/>
  <c r="DC192" i="52"/>
  <c r="CC192" i="52" s="1"/>
  <c r="DI192" i="52"/>
  <c r="CI192" i="52" s="1"/>
  <c r="DX196" i="52"/>
  <c r="CX196" i="52" s="1"/>
  <c r="DC196" i="52"/>
  <c r="CC196" i="52" s="1"/>
  <c r="DI196" i="52"/>
  <c r="CI196" i="52" s="1"/>
  <c r="DG196" i="52"/>
  <c r="CG196" i="52" s="1"/>
  <c r="DE196" i="52"/>
  <c r="CE196" i="52" s="1"/>
  <c r="DX200" i="52"/>
  <c r="CX200" i="52" s="1"/>
  <c r="DG200" i="52"/>
  <c r="CG200" i="52" s="1"/>
  <c r="DE200" i="52"/>
  <c r="CE200" i="52" s="1"/>
  <c r="DC200" i="52"/>
  <c r="CC200" i="52" s="1"/>
  <c r="DI200" i="52"/>
  <c r="CI200" i="52" s="1"/>
  <c r="DW204" i="52"/>
  <c r="CW204" i="52" s="1"/>
  <c r="DB204" i="52"/>
  <c r="CB204" i="52" s="1"/>
  <c r="DA204" i="52"/>
  <c r="CA204" i="52" s="1"/>
  <c r="DH204" i="52"/>
  <c r="CH204" i="52" s="1"/>
  <c r="DD204" i="52"/>
  <c r="CD204" i="52" s="1"/>
  <c r="DF204" i="52"/>
  <c r="CF204" i="52" s="1"/>
  <c r="DW208" i="52"/>
  <c r="CW208" i="52" s="1"/>
  <c r="DF208" i="52"/>
  <c r="CF208" i="52" s="1"/>
  <c r="DD208" i="52"/>
  <c r="CD208" i="52" s="1"/>
  <c r="DH208" i="52"/>
  <c r="CH208" i="52" s="1"/>
  <c r="DB208" i="52"/>
  <c r="CB208" i="52" s="1"/>
  <c r="DA208" i="52"/>
  <c r="CA208" i="52" s="1"/>
  <c r="DB237" i="52"/>
  <c r="CB237" i="52"/>
  <c r="DW239" i="52"/>
  <c r="CW239" i="52" s="1"/>
  <c r="CB239" i="52"/>
  <c r="DB239" i="52"/>
  <c r="DD139" i="52"/>
  <c r="CB139" i="52"/>
  <c r="DW161" i="52"/>
  <c r="CW161" i="52" s="1"/>
  <c r="DD161" i="52"/>
  <c r="CD161" i="52" s="1"/>
  <c r="DF161" i="52"/>
  <c r="CF161" i="52" s="1"/>
  <c r="DA161" i="52"/>
  <c r="CA161" i="52" s="1"/>
  <c r="DH161" i="52"/>
  <c r="CH161" i="52" s="1"/>
  <c r="DB161" i="52"/>
  <c r="CB161" i="52" s="1"/>
  <c r="DW165" i="52"/>
  <c r="CW165" i="52" s="1"/>
  <c r="DF165" i="52"/>
  <c r="CF165" i="52" s="1"/>
  <c r="DH165" i="52"/>
  <c r="CH165" i="52" s="1"/>
  <c r="DD165" i="52"/>
  <c r="CD165" i="52" s="1"/>
  <c r="DB165" i="52"/>
  <c r="CB165" i="52" s="1"/>
  <c r="DA165" i="52"/>
  <c r="CA165" i="52" s="1"/>
  <c r="DW169" i="52"/>
  <c r="CW169" i="52" s="1"/>
  <c r="DD169" i="52"/>
  <c r="CD169" i="52" s="1"/>
  <c r="DA169" i="52"/>
  <c r="CA169" i="52" s="1"/>
  <c r="DF169" i="52"/>
  <c r="CF169" i="52" s="1"/>
  <c r="DH169" i="52"/>
  <c r="CH169" i="52" s="1"/>
  <c r="DB169" i="52"/>
  <c r="CB169" i="52" s="1"/>
  <c r="DW173" i="52"/>
  <c r="CW173" i="52" s="1"/>
  <c r="DD173" i="52"/>
  <c r="CD173" i="52" s="1"/>
  <c r="DF173" i="52"/>
  <c r="CF173" i="52" s="1"/>
  <c r="DH173" i="52"/>
  <c r="CH173" i="52" s="1"/>
  <c r="DA173" i="52"/>
  <c r="CA173" i="52" s="1"/>
  <c r="DB173" i="52"/>
  <c r="CB173" i="52" s="1"/>
  <c r="DW177" i="52"/>
  <c r="CW177" i="52" s="1"/>
  <c r="DF177" i="52"/>
  <c r="CF177" i="52" s="1"/>
  <c r="DH177" i="52"/>
  <c r="CH177" i="52" s="1"/>
  <c r="DD177" i="52"/>
  <c r="CD177" i="52" s="1"/>
  <c r="DA177" i="52"/>
  <c r="CA177" i="52" s="1"/>
  <c r="DB177" i="52"/>
  <c r="CB177" i="52" s="1"/>
  <c r="DW181" i="52"/>
  <c r="CW181" i="52" s="1"/>
  <c r="DD181" i="52"/>
  <c r="CD181" i="52" s="1"/>
  <c r="DF181" i="52"/>
  <c r="CF181" i="52" s="1"/>
  <c r="DH181" i="52"/>
  <c r="CH181" i="52" s="1"/>
  <c r="DB181" i="52"/>
  <c r="CB181" i="52" s="1"/>
  <c r="DA181" i="52"/>
  <c r="CA181" i="52" s="1"/>
  <c r="DW189" i="52"/>
  <c r="CW189" i="52" s="1"/>
  <c r="DB189" i="52"/>
  <c r="CB189" i="52" s="1"/>
  <c r="DA189" i="52"/>
  <c r="CA189" i="52" s="1"/>
  <c r="DH189" i="52"/>
  <c r="CH189" i="52" s="1"/>
  <c r="DF189" i="52"/>
  <c r="CF189" i="52" s="1"/>
  <c r="DD189" i="52"/>
  <c r="CD189" i="52" s="1"/>
  <c r="DW193" i="52"/>
  <c r="CW193" i="52" s="1"/>
  <c r="DF193" i="52"/>
  <c r="CF193" i="52" s="1"/>
  <c r="DD193" i="52"/>
  <c r="CD193" i="52" s="1"/>
  <c r="DB193" i="52"/>
  <c r="CB193" i="52" s="1"/>
  <c r="DH193" i="52"/>
  <c r="CH193" i="52" s="1"/>
  <c r="DA193" i="52"/>
  <c r="CA193" i="52" s="1"/>
  <c r="DW197" i="52"/>
  <c r="CW197" i="52" s="1"/>
  <c r="DB197" i="52"/>
  <c r="CB197" i="52" s="1"/>
  <c r="DA197" i="52"/>
  <c r="CA197" i="52" s="1"/>
  <c r="DH197" i="52"/>
  <c r="CH197" i="52" s="1"/>
  <c r="DF197" i="52"/>
  <c r="CF197" i="52" s="1"/>
  <c r="DD197" i="52"/>
  <c r="CD197" i="52" s="1"/>
  <c r="DW201" i="52"/>
  <c r="CW201" i="52" s="1"/>
  <c r="DF201" i="52"/>
  <c r="CF201" i="52" s="1"/>
  <c r="DD201" i="52"/>
  <c r="CD201" i="52" s="1"/>
  <c r="DB201" i="52"/>
  <c r="CB201" i="52" s="1"/>
  <c r="DH201" i="52"/>
  <c r="CH201" i="52" s="1"/>
  <c r="DA201" i="52"/>
  <c r="CA201" i="52" s="1"/>
  <c r="DX204" i="52"/>
  <c r="CX204" i="52" s="1"/>
  <c r="DC204" i="52"/>
  <c r="CC204" i="52" s="1"/>
  <c r="DI204" i="52"/>
  <c r="CI204" i="52" s="1"/>
  <c r="DG204" i="52"/>
  <c r="CG204" i="52" s="1"/>
  <c r="DE204" i="52"/>
  <c r="CE204" i="52" s="1"/>
  <c r="DX208" i="52"/>
  <c r="CX208" i="52" s="1"/>
  <c r="DG208" i="52"/>
  <c r="CG208" i="52" s="1"/>
  <c r="DE208" i="52"/>
  <c r="CE208" i="52" s="1"/>
  <c r="DC208" i="52"/>
  <c r="CC208" i="52" s="1"/>
  <c r="DI208" i="52"/>
  <c r="CI208" i="52" s="1"/>
  <c r="B35" i="51"/>
  <c r="CC82" i="52"/>
  <c r="CD126" i="52"/>
  <c r="DD243" i="52"/>
  <c r="CC111" i="52"/>
  <c r="CA23" i="52"/>
  <c r="CA43" i="52"/>
  <c r="CA46" i="52"/>
  <c r="CA58" i="52"/>
  <c r="CE43" i="52"/>
  <c r="CA59" i="52"/>
  <c r="CC79" i="52"/>
  <c r="CA18" i="52"/>
  <c r="CD22" i="52"/>
  <c r="CA34" i="52"/>
  <c r="CA38" i="52"/>
  <c r="CC45" i="52"/>
  <c r="CC123" i="52"/>
  <c r="CD229" i="52"/>
  <c r="CA15" i="52"/>
  <c r="DB34" i="52"/>
  <c r="DZ58" i="52"/>
  <c r="CC80" i="52"/>
  <c r="DA124" i="52"/>
  <c r="CE15" i="52"/>
  <c r="CE47" i="52"/>
  <c r="DB68" i="52"/>
  <c r="CD216" i="52"/>
  <c r="CE88" i="52"/>
  <c r="CA108" i="52"/>
  <c r="CZ126" i="52"/>
  <c r="CC255" i="52"/>
  <c r="DC17" i="52"/>
  <c r="CD34" i="52"/>
  <c r="CD115" i="52"/>
  <c r="DE116" i="52"/>
  <c r="DD73" i="52"/>
  <c r="CC112" i="52"/>
  <c r="DA219" i="52"/>
  <c r="CC254" i="52"/>
  <c r="CC17" i="52"/>
  <c r="DE131" i="52"/>
  <c r="CA14" i="52"/>
  <c r="CA35" i="52"/>
  <c r="CD38" i="52"/>
  <c r="CA42" i="52"/>
  <c r="DE49" i="52"/>
  <c r="CA51" i="52"/>
  <c r="CD58" i="52"/>
  <c r="CB73" i="52"/>
  <c r="CD91" i="52"/>
  <c r="DA95" i="52"/>
  <c r="CE124" i="52"/>
  <c r="Q151" i="52"/>
  <c r="CE220" i="52"/>
  <c r="DD238" i="52"/>
  <c r="CD14" i="52"/>
  <c r="DZ26" i="52"/>
  <c r="CC29" i="52"/>
  <c r="DE37" i="52"/>
  <c r="CD42" i="52"/>
  <c r="CE51" i="52"/>
  <c r="CD61" i="52"/>
  <c r="DE90" i="52"/>
  <c r="CD95" i="52"/>
  <c r="CC131" i="52"/>
  <c r="CD241" i="52"/>
  <c r="CE245" i="52"/>
  <c r="CA27" i="52"/>
  <c r="CZ63" i="52"/>
  <c r="CA65" i="52"/>
  <c r="CD71" i="52"/>
  <c r="DA84" i="52"/>
  <c r="DD105" i="52"/>
  <c r="DA107" i="52"/>
  <c r="DE114" i="52"/>
  <c r="DA217" i="52"/>
  <c r="CE257" i="52"/>
  <c r="DC84" i="52"/>
  <c r="DB22" i="52"/>
  <c r="CE27" i="52"/>
  <c r="DZ65" i="52"/>
  <c r="CC78" i="52"/>
  <c r="CA84" i="52"/>
  <c r="DB88" i="52"/>
  <c r="CC107" i="52"/>
  <c r="DZ14" i="52"/>
  <c r="CE131" i="52"/>
  <c r="DB58" i="52"/>
  <c r="CC84" i="52"/>
  <c r="DZ107" i="52"/>
  <c r="DZ139" i="52"/>
  <c r="CD246" i="52"/>
  <c r="DZ42" i="52"/>
  <c r="CD18" i="52"/>
  <c r="CA22" i="52"/>
  <c r="DE29" i="52"/>
  <c r="CA47" i="52"/>
  <c r="DD61" i="52"/>
  <c r="DA70" i="52"/>
  <c r="CB105" i="52"/>
  <c r="CA216" i="52"/>
  <c r="DC239" i="52"/>
  <c r="DC50" i="52"/>
  <c r="DE62" i="52"/>
  <c r="DC104" i="52"/>
  <c r="B25" i="51"/>
  <c r="DC13" i="52"/>
  <c r="DZ22" i="52"/>
  <c r="CC25" i="52"/>
  <c r="CD29" i="52"/>
  <c r="DZ34" i="52"/>
  <c r="CC37" i="52"/>
  <c r="DE41" i="52"/>
  <c r="DC45" i="52"/>
  <c r="CD46" i="52"/>
  <c r="CA50" i="52"/>
  <c r="DC58" i="52"/>
  <c r="CE59" i="52"/>
  <c r="DD65" i="52"/>
  <c r="CA66" i="52"/>
  <c r="CA68" i="52"/>
  <c r="DA83" i="52"/>
  <c r="DA104" i="52"/>
  <c r="DE106" i="52"/>
  <c r="CD107" i="52"/>
  <c r="DC112" i="52"/>
  <c r="DZ124" i="52"/>
  <c r="DD125" i="52"/>
  <c r="DA135" i="52"/>
  <c r="DB138" i="52"/>
  <c r="CE139" i="52"/>
  <c r="DB216" i="52"/>
  <c r="CB231" i="52"/>
  <c r="DD241" i="52"/>
  <c r="DX241" i="52"/>
  <c r="CX241" i="52" s="1"/>
  <c r="DC135" i="52"/>
  <c r="DZ18" i="52"/>
  <c r="CC21" i="52"/>
  <c r="DB26" i="52"/>
  <c r="CD37" i="52"/>
  <c r="DZ38" i="52"/>
  <c r="CC41" i="52"/>
  <c r="DE45" i="52"/>
  <c r="DC49" i="52"/>
  <c r="CD50" i="52"/>
  <c r="CB62" i="52"/>
  <c r="DA67" i="52"/>
  <c r="CC68" i="52"/>
  <c r="CC83" i="52"/>
  <c r="DA88" i="52"/>
  <c r="CC104" i="52"/>
  <c r="DB127" i="52"/>
  <c r="DB134" i="52"/>
  <c r="CC135" i="52"/>
  <c r="DE138" i="52"/>
  <c r="DC216" i="52"/>
  <c r="CA218" i="52"/>
  <c r="CE231" i="52"/>
  <c r="DC238" i="52"/>
  <c r="DE243" i="52"/>
  <c r="DE246" i="52"/>
  <c r="CC13" i="52"/>
  <c r="DB18" i="52"/>
  <c r="CA19" i="52"/>
  <c r="DC22" i="52"/>
  <c r="CE23" i="52"/>
  <c r="CA26" i="52"/>
  <c r="DC34" i="52"/>
  <c r="CE35" i="52"/>
  <c r="DB38" i="52"/>
  <c r="CA39" i="52"/>
  <c r="CD45" i="52"/>
  <c r="DZ46" i="52"/>
  <c r="CC49" i="52"/>
  <c r="DE57" i="52"/>
  <c r="CE65" i="52"/>
  <c r="DD69" i="52"/>
  <c r="CD79" i="52"/>
  <c r="CB81" i="52"/>
  <c r="DZ83" i="52"/>
  <c r="DD89" i="52"/>
  <c r="DA102" i="52"/>
  <c r="CC110" i="52"/>
  <c r="CE112" i="52"/>
  <c r="DE115" i="52"/>
  <c r="DC124" i="52"/>
  <c r="CB125" i="52"/>
  <c r="DZ131" i="52"/>
  <c r="CC138" i="52"/>
  <c r="CE218" i="52"/>
  <c r="DW238" i="52"/>
  <c r="CW238" i="52" s="1"/>
  <c r="DC41" i="52"/>
  <c r="DC26" i="52"/>
  <c r="CD41" i="52"/>
  <c r="CE104" i="52"/>
  <c r="CE135" i="52"/>
  <c r="CB218" i="52"/>
  <c r="DB14" i="52"/>
  <c r="DC18" i="52"/>
  <c r="CE19" i="52"/>
  <c r="CD26" i="52"/>
  <c r="DC38" i="52"/>
  <c r="CE39" i="52"/>
  <c r="DB42" i="52"/>
  <c r="CD49" i="52"/>
  <c r="DZ50" i="52"/>
  <c r="CC57" i="52"/>
  <c r="DZ68" i="52"/>
  <c r="DZ79" i="52"/>
  <c r="DC80" i="52"/>
  <c r="DB84" i="52"/>
  <c r="DZ88" i="52"/>
  <c r="DZ104" i="52"/>
  <c r="DD113" i="52"/>
  <c r="CD127" i="52"/>
  <c r="CD134" i="52"/>
  <c r="DZ135" i="52"/>
  <c r="Q154" i="52"/>
  <c r="CC247" i="52"/>
  <c r="DC57" i="52"/>
  <c r="B24" i="51"/>
  <c r="B34" i="51"/>
  <c r="DC14" i="52"/>
  <c r="DC25" i="52"/>
  <c r="DC29" i="52"/>
  <c r="DC42" i="52"/>
  <c r="DB46" i="52"/>
  <c r="CD57" i="52"/>
  <c r="DE107" i="52"/>
  <c r="DZ112" i="52"/>
  <c r="DA115" i="52"/>
  <c r="CC124" i="52"/>
  <c r="DE126" i="52"/>
  <c r="DB131" i="52"/>
  <c r="DA133" i="52"/>
  <c r="DB139" i="52"/>
  <c r="Q143" i="52"/>
  <c r="Q144" i="52"/>
  <c r="Q147" i="52"/>
  <c r="CB216" i="52"/>
  <c r="DB218" i="52"/>
  <c r="CE62" i="52"/>
  <c r="DE127" i="52"/>
  <c r="DC21" i="52"/>
  <c r="DC37" i="52"/>
  <c r="DC46" i="52"/>
  <c r="DB50" i="52"/>
  <c r="DA66" i="52"/>
  <c r="DE66" i="52"/>
  <c r="DA68" i="52"/>
  <c r="DE83" i="52"/>
  <c r="DZ134" i="52"/>
  <c r="DD218" i="52"/>
  <c r="DE237" i="52"/>
  <c r="CD254" i="52"/>
  <c r="DC257" i="52"/>
  <c r="CE60" i="52"/>
  <c r="CD72" i="52"/>
  <c r="DE72" i="52"/>
  <c r="CE100" i="52"/>
  <c r="DB103" i="52"/>
  <c r="DA129" i="52"/>
  <c r="CZ129" i="52"/>
  <c r="DE129" i="52"/>
  <c r="DA130" i="52"/>
  <c r="DE130" i="52"/>
  <c r="CD130" i="52"/>
  <c r="CD13" i="52"/>
  <c r="DE13" i="52"/>
  <c r="CD17" i="52"/>
  <c r="DE17" i="52"/>
  <c r="CD21" i="52"/>
  <c r="DE21" i="52"/>
  <c r="CD25" i="52"/>
  <c r="DE25" i="52"/>
  <c r="DA60" i="52"/>
  <c r="DB60" i="52"/>
  <c r="CE61" i="52"/>
  <c r="DZ61" i="52"/>
  <c r="DA63" i="52"/>
  <c r="CE64" i="52"/>
  <c r="DE64" i="52"/>
  <c r="DZ67" i="52"/>
  <c r="DB71" i="52"/>
  <c r="DA72" i="52"/>
  <c r="CE72" i="52"/>
  <c r="DZ72" i="52"/>
  <c r="CD80" i="52"/>
  <c r="DE80" i="52"/>
  <c r="DA87" i="52"/>
  <c r="DE87" i="52"/>
  <c r="CA88" i="52"/>
  <c r="DB91" i="52"/>
  <c r="DA92" i="52"/>
  <c r="DA100" i="52"/>
  <c r="DB100" i="52"/>
  <c r="CZ117" i="52"/>
  <c r="DD117" i="52"/>
  <c r="DZ130" i="52"/>
  <c r="CZ132" i="52"/>
  <c r="CD132" i="52"/>
  <c r="DD132" i="52"/>
  <c r="DE219" i="52"/>
  <c r="CC219" i="52"/>
  <c r="DB219" i="52"/>
  <c r="CD252" i="52"/>
  <c r="CE252" i="52"/>
  <c r="DD252" i="52"/>
  <c r="DC252" i="52"/>
  <c r="DA256" i="52"/>
  <c r="CA256" i="52" s="1"/>
  <c r="DX256" i="52"/>
  <c r="CX256" i="52" s="1"/>
  <c r="DZ60" i="52"/>
  <c r="DB87" i="52"/>
  <c r="DD92" i="52"/>
  <c r="DE92" i="52"/>
  <c r="DA94" i="52"/>
  <c r="CC94" i="52"/>
  <c r="DD103" i="52"/>
  <c r="DE103" i="52"/>
  <c r="DA112" i="52"/>
  <c r="CA112" i="52"/>
  <c r="DD130" i="52"/>
  <c r="CE17" i="52"/>
  <c r="DZ17" i="52"/>
  <c r="CE21" i="52"/>
  <c r="CE29" i="52"/>
  <c r="DZ29" i="52"/>
  <c r="CE37" i="52"/>
  <c r="DZ37" i="52"/>
  <c r="CE41" i="52"/>
  <c r="DZ41" i="52"/>
  <c r="CE45" i="52"/>
  <c r="DZ45" i="52"/>
  <c r="CE49" i="52"/>
  <c r="DZ49" i="52"/>
  <c r="CE57" i="52"/>
  <c r="DZ57" i="52"/>
  <c r="CC60" i="52"/>
  <c r="DC60" i="52"/>
  <c r="CZ61" i="52"/>
  <c r="CZ62" i="52"/>
  <c r="DE63" i="52"/>
  <c r="CA64" i="52"/>
  <c r="DA64" i="52"/>
  <c r="DZ64" i="52"/>
  <c r="CZ66" i="52"/>
  <c r="CD68" i="52"/>
  <c r="DC68" i="52"/>
  <c r="DA71" i="52"/>
  <c r="DE71" i="52"/>
  <c r="CA72" i="52"/>
  <c r="DB72" i="52"/>
  <c r="DB79" i="52"/>
  <c r="DA80" i="52"/>
  <c r="CE80" i="52"/>
  <c r="DZ80" i="52"/>
  <c r="DD81" i="52"/>
  <c r="CD83" i="52"/>
  <c r="CD84" i="52"/>
  <c r="DE84" i="52"/>
  <c r="CB85" i="52"/>
  <c r="CC86" i="52"/>
  <c r="CC87" i="52"/>
  <c r="DZ87" i="52"/>
  <c r="CC88" i="52"/>
  <c r="DC88" i="52"/>
  <c r="DA91" i="52"/>
  <c r="DE91" i="52"/>
  <c r="CA92" i="52"/>
  <c r="DB92" i="52"/>
  <c r="DE94" i="52"/>
  <c r="CA100" i="52"/>
  <c r="CB101" i="52"/>
  <c r="CC102" i="52"/>
  <c r="CC103" i="52"/>
  <c r="DD108" i="52"/>
  <c r="DZ108" i="52"/>
  <c r="CE108" i="52"/>
  <c r="DC108" i="52"/>
  <c r="CC108" i="52"/>
  <c r="DB108" i="52"/>
  <c r="CB109" i="52"/>
  <c r="DD111" i="52"/>
  <c r="CD111" i="52"/>
  <c r="DE111" i="52"/>
  <c r="DZ111" i="52"/>
  <c r="CC122" i="52"/>
  <c r="CE129" i="52"/>
  <c r="CB130" i="52"/>
  <c r="DA139" i="52"/>
  <c r="CA139" i="52"/>
  <c r="DE250" i="52"/>
  <c r="CC250" i="52"/>
  <c r="DD250" i="52"/>
  <c r="CD64" i="52"/>
  <c r="DC64" i="52"/>
  <c r="CD92" i="52"/>
  <c r="DZ92" i="52"/>
  <c r="DD100" i="52"/>
  <c r="DC100" i="52"/>
  <c r="CC100" i="52"/>
  <c r="DZ128" i="52"/>
  <c r="DD128" i="52"/>
  <c r="CE128" i="52"/>
  <c r="Q146" i="52"/>
  <c r="CE13" i="52"/>
  <c r="DZ13" i="52"/>
  <c r="DZ21" i="52"/>
  <c r="CE25" i="52"/>
  <c r="DZ25" i="52"/>
  <c r="B22" i="51"/>
  <c r="DA13" i="52"/>
  <c r="DB13" i="52"/>
  <c r="CE14" i="52"/>
  <c r="DC15" i="52"/>
  <c r="CA17" i="52"/>
  <c r="DB17" i="52"/>
  <c r="CE18" i="52"/>
  <c r="DC19" i="52"/>
  <c r="CA21" i="52"/>
  <c r="DB21" i="52"/>
  <c r="CE22" i="52"/>
  <c r="DC23" i="52"/>
  <c r="DA25" i="52"/>
  <c r="DB25" i="52"/>
  <c r="CE26" i="52"/>
  <c r="DC27" i="52"/>
  <c r="DA29" i="52"/>
  <c r="DB29" i="52"/>
  <c r="CE34" i="52"/>
  <c r="DC35" i="52"/>
  <c r="DA37" i="52"/>
  <c r="DB37" i="52"/>
  <c r="CE38" i="52"/>
  <c r="DC39" i="52"/>
  <c r="CA41" i="52"/>
  <c r="DB41" i="52"/>
  <c r="CE42" i="52"/>
  <c r="DC43" i="52"/>
  <c r="CA45" i="52"/>
  <c r="DB45" i="52"/>
  <c r="CE46" i="52"/>
  <c r="DC47" i="52"/>
  <c r="CA49" i="52"/>
  <c r="DB49" i="52"/>
  <c r="CE50" i="52"/>
  <c r="DC51" i="52"/>
  <c r="DA57" i="52"/>
  <c r="DB57" i="52"/>
  <c r="CE58" i="52"/>
  <c r="DD59" i="52"/>
  <c r="CD60" i="52"/>
  <c r="DE60" i="52"/>
  <c r="CA61" i="52"/>
  <c r="DA62" i="52"/>
  <c r="CB63" i="52"/>
  <c r="CC64" i="52"/>
  <c r="DB64" i="52"/>
  <c r="CB67" i="52"/>
  <c r="CE68" i="52"/>
  <c r="DE68" i="52"/>
  <c r="CC70" i="52"/>
  <c r="CC71" i="52"/>
  <c r="DZ71" i="52"/>
  <c r="CC72" i="52"/>
  <c r="DC72" i="52"/>
  <c r="DA79" i="52"/>
  <c r="DE79" i="52"/>
  <c r="CA80" i="52"/>
  <c r="DB80" i="52"/>
  <c r="DB83" i="52"/>
  <c r="CE84" i="52"/>
  <c r="DZ84" i="52"/>
  <c r="DD85" i="52"/>
  <c r="CD87" i="52"/>
  <c r="CD88" i="52"/>
  <c r="DE88" i="52"/>
  <c r="CC90" i="52"/>
  <c r="CC91" i="52"/>
  <c r="DZ91" i="52"/>
  <c r="CC92" i="52"/>
  <c r="DC92" i="52"/>
  <c r="DD93" i="52"/>
  <c r="DD95" i="52"/>
  <c r="DZ95" i="52"/>
  <c r="CC95" i="52"/>
  <c r="DE95" i="52"/>
  <c r="CD100" i="52"/>
  <c r="DZ100" i="52"/>
  <c r="DE102" i="52"/>
  <c r="CD103" i="52"/>
  <c r="DE108" i="52"/>
  <c r="DD116" i="52"/>
  <c r="DC116" i="52"/>
  <c r="CC116" i="52"/>
  <c r="DZ116" i="52"/>
  <c r="CE116" i="52"/>
  <c r="DB116" i="52"/>
  <c r="CB117" i="52"/>
  <c r="DD123" i="52"/>
  <c r="DE123" i="52"/>
  <c r="CD123" i="52"/>
  <c r="DZ123" i="52"/>
  <c r="DC128" i="52"/>
  <c r="DD129" i="52"/>
  <c r="CZ130" i="52"/>
  <c r="DA131" i="52"/>
  <c r="CA131" i="52"/>
  <c r="CA132" i="52"/>
  <c r="DX244" i="52"/>
  <c r="CX244" i="52" s="1"/>
  <c r="DC244" i="52"/>
  <c r="DX249" i="52"/>
  <c r="CX249" i="52" s="1"/>
  <c r="CD249" i="52"/>
  <c r="DE249" i="52"/>
  <c r="DA249" i="52"/>
  <c r="CA249" i="52" s="1"/>
  <c r="CD104" i="52"/>
  <c r="DE104" i="52"/>
  <c r="DA111" i="52"/>
  <c r="DB112" i="52"/>
  <c r="DB115" i="52"/>
  <c r="DA116" i="52"/>
  <c r="CD124" i="52"/>
  <c r="DE124" i="52"/>
  <c r="CE127" i="52"/>
  <c r="DZ127" i="52"/>
  <c r="CA129" i="52"/>
  <c r="DA134" i="52"/>
  <c r="CD135" i="52"/>
  <c r="DE135" i="52"/>
  <c r="CE216" i="52"/>
  <c r="DD216" i="52"/>
  <c r="CC217" i="52"/>
  <c r="CD218" i="52"/>
  <c r="DC218" i="52"/>
  <c r="CA220" i="52"/>
  <c r="DD239" i="52"/>
  <c r="DA239" i="52"/>
  <c r="CA239" i="52" s="1"/>
  <c r="CE239" i="52"/>
  <c r="CC242" i="52"/>
  <c r="CE243" i="52"/>
  <c r="CD245" i="52"/>
  <c r="DC245" i="52"/>
  <c r="DD245" i="52"/>
  <c r="DE248" i="52"/>
  <c r="DX248" i="52"/>
  <c r="CX248" i="52" s="1"/>
  <c r="DC248" i="52"/>
  <c r="DD255" i="52"/>
  <c r="CD138" i="52"/>
  <c r="DZ138" i="52"/>
  <c r="CC139" i="52"/>
  <c r="DC139" i="52"/>
  <c r="Q155" i="52"/>
  <c r="CB220" i="52"/>
  <c r="DX243" i="52"/>
  <c r="CX243" i="52" s="1"/>
  <c r="DC253" i="52"/>
  <c r="CD253" i="52"/>
  <c r="DW253" i="52"/>
  <c r="CW253" i="52" s="1"/>
  <c r="DA103" i="52"/>
  <c r="CA104" i="52"/>
  <c r="DB104" i="52"/>
  <c r="DA106" i="52"/>
  <c r="DB107" i="52"/>
  <c r="DA108" i="52"/>
  <c r="CD112" i="52"/>
  <c r="DE112" i="52"/>
  <c r="CC115" i="52"/>
  <c r="DZ115" i="52"/>
  <c r="DA123" i="52"/>
  <c r="CA124" i="52"/>
  <c r="DB124" i="52"/>
  <c r="DD126" i="52"/>
  <c r="CC127" i="52"/>
  <c r="DC127" i="52"/>
  <c r="CD131" i="52"/>
  <c r="DC131" i="52"/>
  <c r="CC134" i="52"/>
  <c r="DE134" i="52"/>
  <c r="CA135" i="52"/>
  <c r="DB135" i="52"/>
  <c r="DA138" i="52"/>
  <c r="CD139" i="52"/>
  <c r="DE139" i="52"/>
  <c r="Q152" i="52"/>
  <c r="DB217" i="52"/>
  <c r="DE220" i="52"/>
  <c r="DB220" i="52"/>
  <c r="CD220" i="52"/>
  <c r="DD220" i="52"/>
  <c r="DE241" i="52"/>
  <c r="CC241" i="52"/>
  <c r="CA231" i="52"/>
  <c r="DD246" i="52"/>
  <c r="CC248" i="52"/>
  <c r="DA248" i="52"/>
  <c r="CA248" i="52" s="1"/>
  <c r="DE252" i="52"/>
  <c r="DE255" i="52"/>
  <c r="DE257" i="52"/>
  <c r="CD231" i="52"/>
  <c r="DE238" i="52"/>
  <c r="DE239" i="52"/>
  <c r="CC243" i="52"/>
  <c r="DA243" i="52"/>
  <c r="CA243" i="52" s="1"/>
  <c r="DE245" i="52"/>
  <c r="DA246" i="52"/>
  <c r="CA246" i="52" s="1"/>
  <c r="CD248" i="52"/>
  <c r="DD248" i="52"/>
  <c r="DD249" i="52"/>
  <c r="DW249" i="52"/>
  <c r="CW249" i="52" s="1"/>
  <c r="CC256" i="52"/>
  <c r="CB12" i="52"/>
  <c r="CZ12" i="52"/>
  <c r="DD16" i="52"/>
  <c r="DA17" i="52"/>
  <c r="CB20" i="52"/>
  <c r="CZ20" i="52"/>
  <c r="DD20" i="52"/>
  <c r="DA21" i="52"/>
  <c r="DD24" i="52"/>
  <c r="CB28" i="52"/>
  <c r="CZ28" i="52"/>
  <c r="DD36" i="52"/>
  <c r="DA41" i="52"/>
  <c r="CB44" i="52"/>
  <c r="CZ44" i="52"/>
  <c r="DA45" i="52"/>
  <c r="CB48" i="52"/>
  <c r="DA49" i="52"/>
  <c r="CZ56" i="52"/>
  <c r="DZ136" i="52"/>
  <c r="DB136" i="52"/>
  <c r="CD136" i="52"/>
  <c r="DE136" i="52"/>
  <c r="DA136" i="52"/>
  <c r="CC136" i="52"/>
  <c r="DD136" i="52"/>
  <c r="CB136" i="52"/>
  <c r="DC136" i="52"/>
  <c r="CA136" i="52"/>
  <c r="CC12" i="52"/>
  <c r="DA12" i="52"/>
  <c r="DD15" i="52"/>
  <c r="DA16" i="52"/>
  <c r="CB19" i="52"/>
  <c r="CZ19" i="52"/>
  <c r="DD19" i="52"/>
  <c r="DA20" i="52"/>
  <c r="CB23" i="52"/>
  <c r="CZ23" i="52"/>
  <c r="DD23" i="52"/>
  <c r="DE24" i="52"/>
  <c r="CB27" i="52"/>
  <c r="CZ27" i="52"/>
  <c r="CC28" i="52"/>
  <c r="DA28" i="52"/>
  <c r="CZ35" i="52"/>
  <c r="DE36" i="52"/>
  <c r="DD39" i="52"/>
  <c r="DE40" i="52"/>
  <c r="CC44" i="52"/>
  <c r="DA44" i="52"/>
  <c r="CB47" i="52"/>
  <c r="CZ47" i="52"/>
  <c r="DD47" i="52"/>
  <c r="CC48" i="52"/>
  <c r="DA48" i="52"/>
  <c r="DE48" i="52"/>
  <c r="CC56" i="52"/>
  <c r="DA56" i="52"/>
  <c r="DE59" i="52"/>
  <c r="CA62" i="52"/>
  <c r="DB67" i="52"/>
  <c r="DZ69" i="52"/>
  <c r="DB69" i="52"/>
  <c r="CD69" i="52"/>
  <c r="DE69" i="52"/>
  <c r="DA69" i="52"/>
  <c r="CC69" i="52"/>
  <c r="CE73" i="52"/>
  <c r="DC78" i="52"/>
  <c r="CE78" i="52"/>
  <c r="CA78" i="52"/>
  <c r="DZ78" i="52"/>
  <c r="DB78" i="52"/>
  <c r="CD78" i="52"/>
  <c r="CZ78" i="52"/>
  <c r="DC82" i="52"/>
  <c r="CE82" i="52"/>
  <c r="CA82" i="52"/>
  <c r="DZ82" i="52"/>
  <c r="DB82" i="52"/>
  <c r="CD82" i="52"/>
  <c r="CZ82" i="52"/>
  <c r="DC86" i="52"/>
  <c r="CE86" i="52"/>
  <c r="CA86" i="52"/>
  <c r="DZ86" i="52"/>
  <c r="DB86" i="52"/>
  <c r="CD86" i="52"/>
  <c r="CZ86" i="52"/>
  <c r="DZ89" i="52"/>
  <c r="DB89" i="52"/>
  <c r="CD89" i="52"/>
  <c r="DE89" i="52"/>
  <c r="DA89" i="52"/>
  <c r="CC89" i="52"/>
  <c r="CE89" i="52"/>
  <c r="DZ93" i="52"/>
  <c r="DB93" i="52"/>
  <c r="CD93" i="52"/>
  <c r="DE93" i="52"/>
  <c r="DA93" i="52"/>
  <c r="CC93" i="52"/>
  <c r="CE93" i="52"/>
  <c r="DZ101" i="52"/>
  <c r="DB101" i="52"/>
  <c r="CD101" i="52"/>
  <c r="DE101" i="52"/>
  <c r="DA101" i="52"/>
  <c r="CC101" i="52"/>
  <c r="CE101" i="52"/>
  <c r="DZ109" i="52"/>
  <c r="DB109" i="52"/>
  <c r="CD109" i="52"/>
  <c r="DE109" i="52"/>
  <c r="DA109" i="52"/>
  <c r="CC109" i="52"/>
  <c r="DC110" i="52"/>
  <c r="CE110" i="52"/>
  <c r="CA110" i="52"/>
  <c r="DZ110" i="52"/>
  <c r="DB110" i="52"/>
  <c r="CD110" i="52"/>
  <c r="CZ110" i="52"/>
  <c r="DZ113" i="52"/>
  <c r="DB113" i="52"/>
  <c r="CD113" i="52"/>
  <c r="DE113" i="52"/>
  <c r="DA113" i="52"/>
  <c r="CC113" i="52"/>
  <c r="CE113" i="52"/>
  <c r="DC114" i="52"/>
  <c r="CE114" i="52"/>
  <c r="CA114" i="52"/>
  <c r="DZ114" i="52"/>
  <c r="DB114" i="52"/>
  <c r="CD114" i="52"/>
  <c r="CZ114" i="52"/>
  <c r="DC122" i="52"/>
  <c r="CE122" i="52"/>
  <c r="CA122" i="52"/>
  <c r="DZ122" i="52"/>
  <c r="DB122" i="52"/>
  <c r="CD122" i="52"/>
  <c r="CZ122" i="52"/>
  <c r="DA127" i="52"/>
  <c r="CA127" i="52"/>
  <c r="CD12" i="52"/>
  <c r="DZ12" i="52"/>
  <c r="CA13" i="52"/>
  <c r="CB14" i="52"/>
  <c r="CZ14" i="52"/>
  <c r="DD14" i="52"/>
  <c r="CC15" i="52"/>
  <c r="DA15" i="52"/>
  <c r="DE15" i="52"/>
  <c r="CD16" i="52"/>
  <c r="DB16" i="52"/>
  <c r="DZ16" i="52"/>
  <c r="CB18" i="52"/>
  <c r="CZ18" i="52"/>
  <c r="DD18" i="52"/>
  <c r="CC19" i="52"/>
  <c r="DA19" i="52"/>
  <c r="DE19" i="52"/>
  <c r="CD20" i="52"/>
  <c r="DB20" i="52"/>
  <c r="DZ20" i="52"/>
  <c r="CB22" i="52"/>
  <c r="CZ22" i="52"/>
  <c r="DD22" i="52"/>
  <c r="CC23" i="52"/>
  <c r="DA23" i="52"/>
  <c r="DE23" i="52"/>
  <c r="CD24" i="52"/>
  <c r="DB24" i="52"/>
  <c r="DZ24" i="52"/>
  <c r="CA25" i="52"/>
  <c r="CB26" i="52"/>
  <c r="CZ26" i="52"/>
  <c r="DD26" i="52"/>
  <c r="CC27" i="52"/>
  <c r="DA27" i="52"/>
  <c r="DE27" i="52"/>
  <c r="CD28" i="52"/>
  <c r="DB28" i="52"/>
  <c r="DZ28" i="52"/>
  <c r="CA29" i="52"/>
  <c r="CB34" i="52"/>
  <c r="CZ34" i="52"/>
  <c r="DD34" i="52"/>
  <c r="CC35" i="52"/>
  <c r="DA35" i="52"/>
  <c r="DE35" i="52"/>
  <c r="CD36" i="52"/>
  <c r="DB36" i="52"/>
  <c r="DZ36" i="52"/>
  <c r="CA37" i="52"/>
  <c r="CB38" i="52"/>
  <c r="CZ38" i="52"/>
  <c r="DD38" i="52"/>
  <c r="CC39" i="52"/>
  <c r="DA39" i="52"/>
  <c r="DE39" i="52"/>
  <c r="CD40" i="52"/>
  <c r="DB40" i="52"/>
  <c r="DZ40" i="52"/>
  <c r="CB42" i="52"/>
  <c r="CZ42" i="52"/>
  <c r="DD42" i="52"/>
  <c r="CC43" i="52"/>
  <c r="DA43" i="52"/>
  <c r="DE43" i="52"/>
  <c r="CD44" i="52"/>
  <c r="DB44" i="52"/>
  <c r="DZ44" i="52"/>
  <c r="CB46" i="52"/>
  <c r="CZ46" i="52"/>
  <c r="DD46" i="52"/>
  <c r="CC47" i="52"/>
  <c r="DA47" i="52"/>
  <c r="DE47" i="52"/>
  <c r="CD48" i="52"/>
  <c r="DB48" i="52"/>
  <c r="DZ48" i="52"/>
  <c r="CB50" i="52"/>
  <c r="CZ50" i="52"/>
  <c r="DD50" i="52"/>
  <c r="CC51" i="52"/>
  <c r="DA51" i="52"/>
  <c r="DE51" i="52"/>
  <c r="CD56" i="52"/>
  <c r="DB56" i="52"/>
  <c r="DZ56" i="52"/>
  <c r="CA57" i="52"/>
  <c r="CB58" i="52"/>
  <c r="CZ58" i="52"/>
  <c r="DD58" i="52"/>
  <c r="CC59" i="52"/>
  <c r="DA59" i="52"/>
  <c r="DZ59" i="52"/>
  <c r="CA60" i="52"/>
  <c r="DC63" i="52"/>
  <c r="CE63" i="52"/>
  <c r="CA63" i="52"/>
  <c r="CC63" i="52"/>
  <c r="DB63" i="52"/>
  <c r="DE65" i="52"/>
  <c r="DA65" i="52"/>
  <c r="CC65" i="52"/>
  <c r="CB65" i="52"/>
  <c r="DB65" i="52"/>
  <c r="DZ66" i="52"/>
  <c r="DB66" i="52"/>
  <c r="CD66" i="52"/>
  <c r="CC66" i="52"/>
  <c r="DC66" i="52"/>
  <c r="CD67" i="52"/>
  <c r="CZ69" i="52"/>
  <c r="DA78" i="52"/>
  <c r="DA82" i="52"/>
  <c r="DA86" i="52"/>
  <c r="CZ89" i="52"/>
  <c r="CZ93" i="52"/>
  <c r="CZ101" i="52"/>
  <c r="CZ109" i="52"/>
  <c r="DA110" i="52"/>
  <c r="CZ113" i="52"/>
  <c r="DA114" i="52"/>
  <c r="DA122" i="52"/>
  <c r="DC133" i="52"/>
  <c r="CE133" i="52"/>
  <c r="CA133" i="52"/>
  <c r="DZ133" i="52"/>
  <c r="DB133" i="52"/>
  <c r="CD133" i="52"/>
  <c r="DE133" i="52"/>
  <c r="CC133" i="52"/>
  <c r="DD133" i="52"/>
  <c r="CB133" i="52"/>
  <c r="CE136" i="52"/>
  <c r="DD240" i="52"/>
  <c r="DE251" i="52"/>
  <c r="DX251" i="52"/>
  <c r="CX251" i="52" s="1"/>
  <c r="DD251" i="52"/>
  <c r="DD12" i="52"/>
  <c r="CB16" i="52"/>
  <c r="CZ16" i="52"/>
  <c r="CB24" i="52"/>
  <c r="CZ24" i="52"/>
  <c r="DD28" i="52"/>
  <c r="CB36" i="52"/>
  <c r="CZ36" i="52"/>
  <c r="CB40" i="52"/>
  <c r="CZ40" i="52"/>
  <c r="DD40" i="52"/>
  <c r="DD44" i="52"/>
  <c r="CZ48" i="52"/>
  <c r="DD48" i="52"/>
  <c r="CB56" i="52"/>
  <c r="DD56" i="52"/>
  <c r="DC137" i="52"/>
  <c r="CE137" i="52"/>
  <c r="CA137" i="52"/>
  <c r="DZ137" i="52"/>
  <c r="DB137" i="52"/>
  <c r="CD137" i="52"/>
  <c r="DE137" i="52"/>
  <c r="CC137" i="52"/>
  <c r="DD137" i="52"/>
  <c r="CB137" i="52"/>
  <c r="DE12" i="52"/>
  <c r="CB15" i="52"/>
  <c r="CZ15" i="52"/>
  <c r="CC16" i="52"/>
  <c r="DE16" i="52"/>
  <c r="CC20" i="52"/>
  <c r="DE20" i="52"/>
  <c r="CC24" i="52"/>
  <c r="DA24" i="52"/>
  <c r="DD27" i="52"/>
  <c r="DE28" i="52"/>
  <c r="CB35" i="52"/>
  <c r="DD35" i="52"/>
  <c r="CC36" i="52"/>
  <c r="DA36" i="52"/>
  <c r="CB39" i="52"/>
  <c r="CZ39" i="52"/>
  <c r="CC40" i="52"/>
  <c r="DA40" i="52"/>
  <c r="CB43" i="52"/>
  <c r="CZ43" i="52"/>
  <c r="DD43" i="52"/>
  <c r="DE44" i="52"/>
  <c r="CB51" i="52"/>
  <c r="CZ51" i="52"/>
  <c r="DD51" i="52"/>
  <c r="DE56" i="52"/>
  <c r="CB59" i="52"/>
  <c r="CZ59" i="52"/>
  <c r="DC67" i="52"/>
  <c r="CE67" i="52"/>
  <c r="CA67" i="52"/>
  <c r="CC67" i="52"/>
  <c r="CE69" i="52"/>
  <c r="DC70" i="52"/>
  <c r="CE70" i="52"/>
  <c r="CA70" i="52"/>
  <c r="DZ70" i="52"/>
  <c r="DB70" i="52"/>
  <c r="CD70" i="52"/>
  <c r="CZ70" i="52"/>
  <c r="DZ73" i="52"/>
  <c r="DB73" i="52"/>
  <c r="CD73" i="52"/>
  <c r="DE73" i="52"/>
  <c r="DA73" i="52"/>
  <c r="CC73" i="52"/>
  <c r="DZ81" i="52"/>
  <c r="DB81" i="52"/>
  <c r="CD81" i="52"/>
  <c r="DE81" i="52"/>
  <c r="DA81" i="52"/>
  <c r="CC81" i="52"/>
  <c r="CE81" i="52"/>
  <c r="DZ85" i="52"/>
  <c r="DB85" i="52"/>
  <c r="CD85" i="52"/>
  <c r="DE85" i="52"/>
  <c r="DA85" i="52"/>
  <c r="CC85" i="52"/>
  <c r="CE85" i="52"/>
  <c r="DC90" i="52"/>
  <c r="CE90" i="52"/>
  <c r="CA90" i="52"/>
  <c r="DZ90" i="52"/>
  <c r="DB90" i="52"/>
  <c r="CD90" i="52"/>
  <c r="CZ90" i="52"/>
  <c r="DC94" i="52"/>
  <c r="CE94" i="52"/>
  <c r="CA94" i="52"/>
  <c r="DZ94" i="52"/>
  <c r="DB94" i="52"/>
  <c r="CD94" i="52"/>
  <c r="CZ94" i="52"/>
  <c r="DC102" i="52"/>
  <c r="CE102" i="52"/>
  <c r="CA102" i="52"/>
  <c r="DZ102" i="52"/>
  <c r="DB102" i="52"/>
  <c r="CD102" i="52"/>
  <c r="CZ102" i="52"/>
  <c r="DZ105" i="52"/>
  <c r="DB105" i="52"/>
  <c r="CD105" i="52"/>
  <c r="DE105" i="52"/>
  <c r="DA105" i="52"/>
  <c r="CC105" i="52"/>
  <c r="CE105" i="52"/>
  <c r="DC106" i="52"/>
  <c r="CE106" i="52"/>
  <c r="CA106" i="52"/>
  <c r="DZ106" i="52"/>
  <c r="DB106" i="52"/>
  <c r="CD106" i="52"/>
  <c r="CZ106" i="52"/>
  <c r="CE109" i="52"/>
  <c r="DZ117" i="52"/>
  <c r="DB117" i="52"/>
  <c r="CD117" i="52"/>
  <c r="DE117" i="52"/>
  <c r="DA117" i="52"/>
  <c r="CC117" i="52"/>
  <c r="CE117" i="52"/>
  <c r="DZ125" i="52"/>
  <c r="DB125" i="52"/>
  <c r="CD125" i="52"/>
  <c r="DE125" i="52"/>
  <c r="DA125" i="52"/>
  <c r="CC125" i="52"/>
  <c r="CE125" i="52"/>
  <c r="DB12" i="52"/>
  <c r="CA12" i="52"/>
  <c r="CE12" i="52"/>
  <c r="DC12" i="52"/>
  <c r="CB13" i="52"/>
  <c r="CZ13" i="52"/>
  <c r="CC14" i="52"/>
  <c r="DA14" i="52"/>
  <c r="CD15" i="52"/>
  <c r="DB15" i="52"/>
  <c r="CA16" i="52"/>
  <c r="CE16" i="52"/>
  <c r="CB17" i="52"/>
  <c r="CZ17" i="52"/>
  <c r="CC18" i="52"/>
  <c r="DA18" i="52"/>
  <c r="CD19" i="52"/>
  <c r="DB19" i="52"/>
  <c r="CA20" i="52"/>
  <c r="CE20" i="52"/>
  <c r="CB21" i="52"/>
  <c r="CZ21" i="52"/>
  <c r="CC22" i="52"/>
  <c r="DA22" i="52"/>
  <c r="CD23" i="52"/>
  <c r="DB23" i="52"/>
  <c r="CA24" i="52"/>
  <c r="CE24" i="52"/>
  <c r="CB25" i="52"/>
  <c r="CZ25" i="52"/>
  <c r="CC26" i="52"/>
  <c r="DA26" i="52"/>
  <c r="CD27" i="52"/>
  <c r="DB27" i="52"/>
  <c r="CA28" i="52"/>
  <c r="CE28" i="52"/>
  <c r="CB29" i="52"/>
  <c r="CZ29" i="52"/>
  <c r="CC34" i="52"/>
  <c r="DA34" i="52"/>
  <c r="CD35" i="52"/>
  <c r="DB35" i="52"/>
  <c r="CA36" i="52"/>
  <c r="CE36" i="52"/>
  <c r="CB37" i="52"/>
  <c r="CZ37" i="52"/>
  <c r="CC38" i="52"/>
  <c r="DA38" i="52"/>
  <c r="CD39" i="52"/>
  <c r="DB39" i="52"/>
  <c r="CA40" i="52"/>
  <c r="CE40" i="52"/>
  <c r="CB41" i="52"/>
  <c r="CZ41" i="52"/>
  <c r="CC42" i="52"/>
  <c r="DA42" i="52"/>
  <c r="CD43" i="52"/>
  <c r="DB43" i="52"/>
  <c r="CA44" i="52"/>
  <c r="CE44" i="52"/>
  <c r="CB45" i="52"/>
  <c r="CZ45" i="52"/>
  <c r="CC46" i="52"/>
  <c r="DA46" i="52"/>
  <c r="CD47" i="52"/>
  <c r="DB47" i="52"/>
  <c r="CA48" i="52"/>
  <c r="CE48" i="52"/>
  <c r="CB49" i="52"/>
  <c r="CZ49" i="52"/>
  <c r="CC50" i="52"/>
  <c r="DA50" i="52"/>
  <c r="CD51" i="52"/>
  <c r="DB51" i="52"/>
  <c r="CA56" i="52"/>
  <c r="CE56" i="52"/>
  <c r="CB57" i="52"/>
  <c r="CZ57" i="52"/>
  <c r="CC58" i="52"/>
  <c r="DA58" i="52"/>
  <c r="CD59" i="52"/>
  <c r="DB59" i="52"/>
  <c r="DE61" i="52"/>
  <c r="DA61" i="52"/>
  <c r="CC61" i="52"/>
  <c r="CB61" i="52"/>
  <c r="DB61" i="52"/>
  <c r="DZ62" i="52"/>
  <c r="DB62" i="52"/>
  <c r="CD62" i="52"/>
  <c r="CC62" i="52"/>
  <c r="DC62" i="52"/>
  <c r="CD63" i="52"/>
  <c r="DD63" i="52"/>
  <c r="CD65" i="52"/>
  <c r="DC65" i="52"/>
  <c r="CE66" i="52"/>
  <c r="DD66" i="52"/>
  <c r="CZ67" i="52"/>
  <c r="DE67" i="52"/>
  <c r="CA69" i="52"/>
  <c r="DC69" i="52"/>
  <c r="CB70" i="52"/>
  <c r="DD70" i="52"/>
  <c r="CA73" i="52"/>
  <c r="DC73" i="52"/>
  <c r="CB78" i="52"/>
  <c r="DD78" i="52"/>
  <c r="CA81" i="52"/>
  <c r="DC81" i="52"/>
  <c r="CB82" i="52"/>
  <c r="DD82" i="52"/>
  <c r="CA85" i="52"/>
  <c r="DC85" i="52"/>
  <c r="CB86" i="52"/>
  <c r="DD86" i="52"/>
  <c r="CA89" i="52"/>
  <c r="DC89" i="52"/>
  <c r="CB90" i="52"/>
  <c r="DD90" i="52"/>
  <c r="CA93" i="52"/>
  <c r="DC93" i="52"/>
  <c r="CB94" i="52"/>
  <c r="DD94" i="52"/>
  <c r="CA101" i="52"/>
  <c r="DC101" i="52"/>
  <c r="CB102" i="52"/>
  <c r="DD102" i="52"/>
  <c r="CA105" i="52"/>
  <c r="DC105" i="52"/>
  <c r="CB106" i="52"/>
  <c r="DD106" i="52"/>
  <c r="CA109" i="52"/>
  <c r="DC109" i="52"/>
  <c r="CB110" i="52"/>
  <c r="DD110" i="52"/>
  <c r="CA113" i="52"/>
  <c r="DC113" i="52"/>
  <c r="CB114" i="52"/>
  <c r="DD114" i="52"/>
  <c r="CA117" i="52"/>
  <c r="DC117" i="52"/>
  <c r="CB122" i="52"/>
  <c r="DD122" i="52"/>
  <c r="CA125" i="52"/>
  <c r="DC125" i="52"/>
  <c r="CZ136" i="52"/>
  <c r="DA137" i="52"/>
  <c r="DX240" i="52"/>
  <c r="CX240" i="52" s="1"/>
  <c r="DA240" i="52"/>
  <c r="CA240" i="52" s="1"/>
  <c r="CD240" i="52"/>
  <c r="DE240" i="52"/>
  <c r="CE240" i="52"/>
  <c r="CB60" i="52"/>
  <c r="CZ60" i="52"/>
  <c r="CB64" i="52"/>
  <c r="CZ64" i="52"/>
  <c r="CB68" i="52"/>
  <c r="CZ68" i="52"/>
  <c r="CA71" i="52"/>
  <c r="CE71" i="52"/>
  <c r="DC71" i="52"/>
  <c r="CB72" i="52"/>
  <c r="CZ72" i="52"/>
  <c r="CA79" i="52"/>
  <c r="CE79" i="52"/>
  <c r="DC79" i="52"/>
  <c r="CB80" i="52"/>
  <c r="CZ80" i="52"/>
  <c r="CA83" i="52"/>
  <c r="CE83" i="52"/>
  <c r="DC83" i="52"/>
  <c r="CB84" i="52"/>
  <c r="CZ84" i="52"/>
  <c r="CA87" i="52"/>
  <c r="CE87" i="52"/>
  <c r="DC87" i="52"/>
  <c r="CB88" i="52"/>
  <c r="CZ88" i="52"/>
  <c r="CA91" i="52"/>
  <c r="CE91" i="52"/>
  <c r="DC91" i="52"/>
  <c r="CB92" i="52"/>
  <c r="CZ92" i="52"/>
  <c r="CA95" i="52"/>
  <c r="CE95" i="52"/>
  <c r="DC95" i="52"/>
  <c r="CB100" i="52"/>
  <c r="CZ100" i="52"/>
  <c r="CA103" i="52"/>
  <c r="CE103" i="52"/>
  <c r="DC103" i="52"/>
  <c r="CB104" i="52"/>
  <c r="CZ104" i="52"/>
  <c r="CA107" i="52"/>
  <c r="CE107" i="52"/>
  <c r="DC107" i="52"/>
  <c r="CB108" i="52"/>
  <c r="CZ108" i="52"/>
  <c r="CA111" i="52"/>
  <c r="CE111" i="52"/>
  <c r="DC111" i="52"/>
  <c r="CB112" i="52"/>
  <c r="CZ112" i="52"/>
  <c r="CA115" i="52"/>
  <c r="CE115" i="52"/>
  <c r="DC115" i="52"/>
  <c r="CB116" i="52"/>
  <c r="CZ116" i="52"/>
  <c r="CA123" i="52"/>
  <c r="CE123" i="52"/>
  <c r="DC123" i="52"/>
  <c r="CB124" i="52"/>
  <c r="CZ124" i="52"/>
  <c r="CB126" i="52"/>
  <c r="DA126" i="52"/>
  <c r="CA128" i="52"/>
  <c r="CZ128" i="52"/>
  <c r="CB129" i="52"/>
  <c r="DC130" i="52"/>
  <c r="CE130" i="52"/>
  <c r="CA130" i="52"/>
  <c r="CC130" i="52"/>
  <c r="DB130" i="52"/>
  <c r="DZ132" i="52"/>
  <c r="DB132" i="52"/>
  <c r="DE132" i="52"/>
  <c r="DA132" i="52"/>
  <c r="CC132" i="52"/>
  <c r="CB132" i="52"/>
  <c r="DC132" i="52"/>
  <c r="Q145" i="52"/>
  <c r="Q153" i="52"/>
  <c r="CE230" i="52"/>
  <c r="CA230" i="52"/>
  <c r="CD230" i="52"/>
  <c r="CC230" i="52"/>
  <c r="CB230" i="52"/>
  <c r="DW237" i="52"/>
  <c r="CW237" i="52" s="1"/>
  <c r="DC237" i="52"/>
  <c r="DA237" i="52"/>
  <c r="CA237" i="52" s="1"/>
  <c r="CE237" i="52"/>
  <c r="DD237" i="52"/>
  <c r="CD237" i="52"/>
  <c r="CC237" i="52"/>
  <c r="DA258" i="52"/>
  <c r="CA258" i="52" s="1"/>
  <c r="CE258" i="52"/>
  <c r="DW258" i="52"/>
  <c r="CW258" i="52" s="1"/>
  <c r="DC258" i="52"/>
  <c r="DD258" i="52"/>
  <c r="CD258" i="52"/>
  <c r="CC258" i="52"/>
  <c r="CB71" i="52"/>
  <c r="CZ71" i="52"/>
  <c r="CB79" i="52"/>
  <c r="CZ79" i="52"/>
  <c r="CB83" i="52"/>
  <c r="CZ83" i="52"/>
  <c r="CB87" i="52"/>
  <c r="CZ87" i="52"/>
  <c r="CB91" i="52"/>
  <c r="CZ91" i="52"/>
  <c r="CB95" i="52"/>
  <c r="CZ95" i="52"/>
  <c r="CB103" i="52"/>
  <c r="CZ103" i="52"/>
  <c r="CB107" i="52"/>
  <c r="CZ107" i="52"/>
  <c r="CB111" i="52"/>
  <c r="CZ111" i="52"/>
  <c r="CB115" i="52"/>
  <c r="CZ115" i="52"/>
  <c r="CB123" i="52"/>
  <c r="CZ123" i="52"/>
  <c r="DC126" i="52"/>
  <c r="CE126" i="52"/>
  <c r="CA126" i="52"/>
  <c r="CC126" i="52"/>
  <c r="DB126" i="52"/>
  <c r="DE128" i="52"/>
  <c r="DA128" i="52"/>
  <c r="CC128" i="52"/>
  <c r="CB128" i="52"/>
  <c r="DB128" i="52"/>
  <c r="DZ129" i="52"/>
  <c r="DB129" i="52"/>
  <c r="CD129" i="52"/>
  <c r="CC129" i="52"/>
  <c r="DC129" i="52"/>
  <c r="DD242" i="52"/>
  <c r="DC242" i="52"/>
  <c r="CE242" i="52"/>
  <c r="DW242" i="52"/>
  <c r="CW242" i="52" s="1"/>
  <c r="DA242" i="52"/>
  <c r="CA242" i="52" s="1"/>
  <c r="CD242" i="52"/>
  <c r="DE242" i="52"/>
  <c r="DA244" i="52"/>
  <c r="CA244" i="52" s="1"/>
  <c r="CE244" i="52"/>
  <c r="DE244" i="52"/>
  <c r="DD244" i="52"/>
  <c r="CD244" i="52"/>
  <c r="DW244" i="52"/>
  <c r="CW244" i="52" s="1"/>
  <c r="CC244" i="52"/>
  <c r="CB127" i="52"/>
  <c r="CZ127" i="52"/>
  <c r="CB131" i="52"/>
  <c r="CZ131" i="52"/>
  <c r="CA134" i="52"/>
  <c r="CE134" i="52"/>
  <c r="DC134" i="52"/>
  <c r="CB135" i="52"/>
  <c r="CZ135" i="52"/>
  <c r="CA138" i="52"/>
  <c r="CE138" i="52"/>
  <c r="DC138" i="52"/>
  <c r="CZ139" i="52"/>
  <c r="CD217" i="52"/>
  <c r="CD219" i="52"/>
  <c r="CB229" i="52"/>
  <c r="CE229" i="52"/>
  <c r="CA229" i="52"/>
  <c r="CC238" i="52"/>
  <c r="DW241" i="52"/>
  <c r="CW241" i="52" s="1"/>
  <c r="DC241" i="52"/>
  <c r="DA241" i="52"/>
  <c r="CA241" i="52" s="1"/>
  <c r="CE241" i="52"/>
  <c r="DX258" i="52"/>
  <c r="CX258" i="52" s="1"/>
  <c r="DE258" i="52"/>
  <c r="CB134" i="52"/>
  <c r="CZ134" i="52"/>
  <c r="CB138" i="52"/>
  <c r="CZ138" i="52"/>
  <c r="DD217" i="52"/>
  <c r="CB217" i="52"/>
  <c r="DC217" i="52"/>
  <c r="CE217" i="52"/>
  <c r="CA217" i="52"/>
  <c r="DD219" i="52"/>
  <c r="CB219" i="52"/>
  <c r="DC219" i="52"/>
  <c r="CE219" i="52"/>
  <c r="CA219" i="52"/>
  <c r="DA238" i="52"/>
  <c r="CA238" i="52" s="1"/>
  <c r="CE238" i="52"/>
  <c r="CD238" i="52"/>
  <c r="DA251" i="52"/>
  <c r="CA251" i="52" s="1"/>
  <c r="CE251" i="52"/>
  <c r="DW251" i="52"/>
  <c r="CW251" i="52" s="1"/>
  <c r="CD251" i="52"/>
  <c r="CC251" i="52"/>
  <c r="DC251" i="52"/>
  <c r="DX253" i="52"/>
  <c r="CX253" i="52" s="1"/>
  <c r="DE253" i="52"/>
  <c r="DA253" i="52"/>
  <c r="CA253" i="52" s="1"/>
  <c r="CE253" i="52"/>
  <c r="CC216" i="52"/>
  <c r="DA216" i="52"/>
  <c r="CC218" i="52"/>
  <c r="DA218" i="52"/>
  <c r="CC220" i="52"/>
  <c r="DA220" i="52"/>
  <c r="CC239" i="52"/>
  <c r="DX239" i="52"/>
  <c r="CX239" i="52" s="1"/>
  <c r="DC240" i="52"/>
  <c r="DW240" i="52"/>
  <c r="CW240" i="52" s="1"/>
  <c r="CE246" i="52"/>
  <c r="DC246" i="52"/>
  <c r="DA247" i="52"/>
  <c r="CA247" i="52" s="1"/>
  <c r="DD247" i="52"/>
  <c r="CD247" i="52"/>
  <c r="DC247" i="52"/>
  <c r="CE248" i="52"/>
  <c r="CE250" i="52"/>
  <c r="DX257" i="52"/>
  <c r="CX257" i="52" s="1"/>
  <c r="DA257" i="52"/>
  <c r="CA257" i="52" s="1"/>
  <c r="CD257" i="52"/>
  <c r="CD239" i="52"/>
  <c r="CC240" i="52"/>
  <c r="DW243" i="52"/>
  <c r="CW243" i="52" s="1"/>
  <c r="DC243" i="52"/>
  <c r="CD243" i="52"/>
  <c r="CC245" i="52"/>
  <c r="DA245" i="52"/>
  <c r="CA245" i="52" s="1"/>
  <c r="DW245" i="52"/>
  <c r="CW245" i="52" s="1"/>
  <c r="CE247" i="52"/>
  <c r="DE247" i="52"/>
  <c r="DA250" i="52"/>
  <c r="CA250" i="52" s="1"/>
  <c r="DD253" i="52"/>
  <c r="DW254" i="52"/>
  <c r="CW254" i="52" s="1"/>
  <c r="DC254" i="52"/>
  <c r="DD254" i="52"/>
  <c r="DA254" i="52"/>
  <c r="CA254" i="52" s="1"/>
  <c r="CE254" i="52"/>
  <c r="DE254" i="52"/>
  <c r="CD256" i="52"/>
  <c r="DD256" i="52"/>
  <c r="DC256" i="52"/>
  <c r="CE256" i="52"/>
  <c r="DW256" i="52"/>
  <c r="CW256" i="52" s="1"/>
  <c r="CC246" i="52"/>
  <c r="CE249" i="52"/>
  <c r="DC249" i="52"/>
  <c r="DW250" i="52"/>
  <c r="CW250" i="52" s="1"/>
  <c r="DC250" i="52"/>
  <c r="CD250" i="52"/>
  <c r="CC252" i="52"/>
  <c r="DA252" i="52"/>
  <c r="CA252" i="52" s="1"/>
  <c r="DW252" i="52"/>
  <c r="CW252" i="52" s="1"/>
  <c r="DE256" i="52"/>
  <c r="DA255" i="52"/>
  <c r="CA255" i="52" s="1"/>
  <c r="CE255" i="52"/>
  <c r="CD255" i="52"/>
  <c r="DC255" i="52"/>
  <c r="DW255" i="52"/>
  <c r="CW255" i="52" s="1"/>
  <c r="DD257" i="52"/>
  <c r="CC249" i="52"/>
  <c r="CC253" i="52"/>
  <c r="CC257" i="52"/>
  <c r="B21" i="51" l="1"/>
  <c r="A195" i="51" s="1"/>
  <c r="F9" i="28" s="1"/>
  <c r="D15" i="55"/>
  <c r="B308" i="52"/>
  <c r="D17" i="28" s="1"/>
  <c r="AY162" i="52"/>
  <c r="AY191" i="52"/>
  <c r="AY204" i="52"/>
  <c r="AY177" i="52"/>
  <c r="AY161" i="52"/>
  <c r="AY203" i="52"/>
  <c r="AY168" i="52"/>
  <c r="AY198" i="52"/>
  <c r="AY178" i="52"/>
  <c r="AY209" i="52"/>
  <c r="AY189" i="52"/>
  <c r="AY208" i="52"/>
  <c r="AY197" i="52"/>
  <c r="AY181" i="52"/>
  <c r="AY173" i="52"/>
  <c r="AY165" i="52"/>
  <c r="AY207" i="52"/>
  <c r="AY200" i="52"/>
  <c r="AY196" i="52"/>
  <c r="AY192" i="52"/>
  <c r="AY180" i="52"/>
  <c r="AY176" i="52"/>
  <c r="AY172" i="52"/>
  <c r="AY164" i="52"/>
  <c r="AY160" i="52"/>
  <c r="AY199" i="52"/>
  <c r="AY171" i="52"/>
  <c r="AY195" i="52"/>
  <c r="AY187" i="52"/>
  <c r="AY179" i="52"/>
  <c r="AY175" i="52"/>
  <c r="AY167" i="52"/>
  <c r="AY163" i="52"/>
  <c r="AY206" i="52"/>
  <c r="AY202" i="52"/>
  <c r="AY166" i="52"/>
  <c r="AY190" i="52"/>
  <c r="AY182" i="52"/>
  <c r="AY174" i="52"/>
  <c r="AY170" i="52"/>
  <c r="AY205" i="52"/>
  <c r="AY193" i="52"/>
  <c r="AY201" i="52"/>
  <c r="AY169" i="52"/>
  <c r="AY188" i="52"/>
  <c r="AY194" i="52"/>
  <c r="AX100" i="52"/>
  <c r="AX27" i="52"/>
  <c r="F20" i="28"/>
  <c r="AX64" i="52"/>
  <c r="AY246" i="52"/>
  <c r="AY248" i="52"/>
  <c r="AX49" i="52"/>
  <c r="AX45" i="52"/>
  <c r="AX21" i="52"/>
  <c r="AY247" i="52"/>
  <c r="AY249" i="52"/>
  <c r="AY254" i="52"/>
  <c r="AY236" i="52"/>
  <c r="AX116" i="52"/>
  <c r="AX80" i="52"/>
  <c r="AX56" i="52"/>
  <c r="AX48" i="52"/>
  <c r="AX44" i="52"/>
  <c r="AX40" i="52"/>
  <c r="AX36" i="52"/>
  <c r="AX28" i="52"/>
  <c r="AX24" i="52"/>
  <c r="AX132" i="52"/>
  <c r="AX68" i="52"/>
  <c r="AX105" i="52"/>
  <c r="AX85" i="52"/>
  <c r="AY243" i="52"/>
  <c r="AY239" i="52"/>
  <c r="AX131" i="52"/>
  <c r="AX59" i="52"/>
  <c r="AX51" i="52"/>
  <c r="AX39" i="52"/>
  <c r="AX35" i="52"/>
  <c r="AX23" i="52"/>
  <c r="AY253" i="52"/>
  <c r="AX138" i="52"/>
  <c r="AX20" i="52"/>
  <c r="AX16" i="52"/>
  <c r="AX19" i="52"/>
  <c r="AY241" i="52"/>
  <c r="AY256" i="52"/>
  <c r="AX139" i="52"/>
  <c r="AX135" i="52"/>
  <c r="AX129" i="52"/>
  <c r="AX112" i="52"/>
  <c r="AX92" i="52"/>
  <c r="AX72" i="52"/>
  <c r="AX61" i="52"/>
  <c r="AX41" i="52"/>
  <c r="AX17" i="52"/>
  <c r="AX15" i="52"/>
  <c r="AX66" i="52"/>
  <c r="AX57" i="52"/>
  <c r="AX43" i="52"/>
  <c r="AX47" i="52"/>
  <c r="AX87" i="52"/>
  <c r="AX65" i="52"/>
  <c r="AX110" i="52"/>
  <c r="AY252" i="52"/>
  <c r="AY250" i="52"/>
  <c r="AY258" i="52"/>
  <c r="AX123" i="52"/>
  <c r="AX102" i="52"/>
  <c r="AX37" i="52"/>
  <c r="AX13" i="52"/>
  <c r="AX127" i="52"/>
  <c r="AX82" i="52"/>
  <c r="AY255" i="52"/>
  <c r="AY257" i="52"/>
  <c r="AY244" i="52"/>
  <c r="AY242" i="52"/>
  <c r="AX126" i="52"/>
  <c r="AY237" i="52"/>
  <c r="AX128" i="52"/>
  <c r="AX124" i="52"/>
  <c r="AX115" i="52"/>
  <c r="AX104" i="52"/>
  <c r="AX95" i="52"/>
  <c r="AX84" i="52"/>
  <c r="AX79" i="52"/>
  <c r="AY240" i="52"/>
  <c r="AX125" i="52"/>
  <c r="AX117" i="52"/>
  <c r="AX113" i="52"/>
  <c r="AX109" i="52"/>
  <c r="AX101" i="52"/>
  <c r="AX93" i="52"/>
  <c r="AX89" i="52"/>
  <c r="AX81" i="52"/>
  <c r="AX73" i="52"/>
  <c r="AX69" i="52"/>
  <c r="AX70" i="52"/>
  <c r="AX137" i="52"/>
  <c r="AX133" i="52"/>
  <c r="AX63" i="52"/>
  <c r="AX46" i="52"/>
  <c r="AX34" i="52"/>
  <c r="AX22" i="52"/>
  <c r="AX114" i="52"/>
  <c r="AX86" i="52"/>
  <c r="AY251" i="52"/>
  <c r="AX107" i="52"/>
  <c r="AX94" i="52"/>
  <c r="AX38" i="52"/>
  <c r="AX26" i="52"/>
  <c r="AX14" i="52"/>
  <c r="AX78" i="52"/>
  <c r="AY245" i="52"/>
  <c r="AX134" i="52"/>
  <c r="AX130" i="52"/>
  <c r="AX108" i="52"/>
  <c r="AX103" i="52"/>
  <c r="AX88" i="52"/>
  <c r="AX83" i="52"/>
  <c r="AX12" i="52"/>
  <c r="AX60" i="52"/>
  <c r="AX50" i="52"/>
  <c r="AX25" i="52"/>
  <c r="AY238" i="52"/>
  <c r="AX111" i="52"/>
  <c r="AX91" i="52"/>
  <c r="AX71" i="52"/>
  <c r="AX106" i="52"/>
  <c r="AX90" i="52"/>
  <c r="AX67" i="52"/>
  <c r="AX58" i="52"/>
  <c r="AX42" i="52"/>
  <c r="AX29" i="52"/>
  <c r="AX18" i="52"/>
  <c r="AX122" i="52"/>
  <c r="AX62" i="52"/>
  <c r="AX136" i="52"/>
  <c r="A335" i="55" l="1"/>
  <c r="F24" i="28" s="1"/>
  <c r="F22" i="28"/>
  <c r="D61" i="31"/>
  <c r="CG61" i="31" s="1"/>
  <c r="CA61" i="31" s="1"/>
  <c r="J61" i="31" s="1"/>
  <c r="B17" i="50" l="1"/>
  <c r="C17" i="50"/>
  <c r="D17" i="50"/>
  <c r="E17" i="50"/>
  <c r="J17" i="50"/>
  <c r="K17" i="50"/>
  <c r="L17" i="50"/>
  <c r="M17" i="50"/>
  <c r="T17" i="50"/>
  <c r="U17" i="50"/>
  <c r="V17" i="50"/>
  <c r="Y17" i="50"/>
  <c r="Z17" i="50"/>
  <c r="AA17" i="50"/>
  <c r="AB17" i="50"/>
  <c r="AC17" i="50"/>
  <c r="AD17" i="50"/>
  <c r="AE17" i="50"/>
  <c r="AH17" i="50"/>
  <c r="AI17" i="50"/>
  <c r="AJ17" i="50"/>
  <c r="AK17" i="50"/>
  <c r="C90" i="50"/>
  <c r="D90" i="50"/>
  <c r="E90" i="50"/>
  <c r="H90" i="50"/>
  <c r="I90" i="50"/>
  <c r="J90" i="50"/>
  <c r="M90" i="50"/>
  <c r="N90" i="50"/>
  <c r="O90" i="50"/>
  <c r="P90" i="50"/>
  <c r="Q90" i="50"/>
  <c r="R90" i="50"/>
  <c r="S90" i="50"/>
  <c r="CB10" i="49"/>
  <c r="Q10" i="49" s="1"/>
  <c r="CB11" i="49"/>
  <c r="Q11" i="49" s="1"/>
  <c r="CB12" i="49"/>
  <c r="Q12" i="49" s="1"/>
  <c r="CB13" i="49"/>
  <c r="Q13" i="49" s="1"/>
  <c r="CB14" i="49"/>
  <c r="Q14" i="49" s="1"/>
  <c r="CB15" i="49"/>
  <c r="Q15" i="49" s="1"/>
  <c r="CB16" i="49"/>
  <c r="Q16" i="49" s="1"/>
  <c r="CB17" i="49"/>
  <c r="Q17" i="49" s="1"/>
  <c r="CB18" i="49"/>
  <c r="Q18" i="49" s="1"/>
  <c r="CB19" i="49"/>
  <c r="Q19" i="49" s="1"/>
  <c r="CB20" i="49"/>
  <c r="Q20" i="49" s="1"/>
  <c r="CB21" i="49"/>
  <c r="Q21" i="49" s="1"/>
  <c r="CB23" i="49"/>
  <c r="Q23" i="49" s="1"/>
  <c r="CB24" i="49"/>
  <c r="Q24" i="49" s="1"/>
  <c r="CB25" i="49"/>
  <c r="Q25" i="49" s="1"/>
  <c r="CB26" i="49"/>
  <c r="Q26" i="49" s="1"/>
  <c r="CB27" i="49"/>
  <c r="Q27" i="49" s="1"/>
  <c r="CB28" i="49"/>
  <c r="Q28" i="49" s="1"/>
  <c r="CB29" i="49"/>
  <c r="Q29" i="49" s="1"/>
  <c r="CB30" i="49"/>
  <c r="Q30" i="49" s="1"/>
  <c r="CB31" i="49"/>
  <c r="Q31" i="49" s="1"/>
  <c r="C53" i="49"/>
  <c r="C54" i="49"/>
  <c r="C55" i="49"/>
  <c r="C56" i="49"/>
  <c r="C57" i="49"/>
  <c r="C58" i="49"/>
  <c r="E61" i="49"/>
  <c r="F61" i="49"/>
  <c r="H61" i="49"/>
  <c r="I61" i="49"/>
  <c r="J61" i="49"/>
  <c r="B94" i="49"/>
  <c r="B95" i="49"/>
  <c r="B13" i="48"/>
  <c r="C13" i="48"/>
  <c r="D13" i="48"/>
  <c r="E13" i="48"/>
  <c r="F13" i="48"/>
  <c r="H13" i="48"/>
  <c r="I13" i="48"/>
  <c r="J13" i="48"/>
  <c r="L13" i="48"/>
  <c r="M13" i="48"/>
  <c r="N13" i="48"/>
  <c r="O13" i="48"/>
  <c r="Q13" i="48"/>
  <c r="R13" i="48"/>
  <c r="S13" i="48"/>
  <c r="T13" i="48"/>
  <c r="V13" i="48"/>
  <c r="W13" i="48"/>
  <c r="X13" i="48"/>
  <c r="Y13" i="48"/>
  <c r="G14" i="48"/>
  <c r="K14" i="48"/>
  <c r="P14" i="48"/>
  <c r="U14" i="48"/>
  <c r="Z14" i="48"/>
  <c r="G15" i="48"/>
  <c r="P15" i="48"/>
  <c r="U15" i="48"/>
  <c r="Z15" i="48"/>
  <c r="G17" i="48"/>
  <c r="K17" i="48"/>
  <c r="P17" i="48"/>
  <c r="U17" i="48"/>
  <c r="Z17" i="48"/>
  <c r="B21" i="48"/>
  <c r="B22" i="48"/>
  <c r="B23" i="48"/>
  <c r="B24" i="48"/>
  <c r="B25" i="48"/>
  <c r="CA30" i="48"/>
  <c r="M30" i="48" s="1"/>
  <c r="C31" i="48"/>
  <c r="CG31" i="48" s="1"/>
  <c r="CA31" i="48" s="1"/>
  <c r="M31" i="48" s="1"/>
  <c r="C32" i="48"/>
  <c r="CG32" i="48" s="1"/>
  <c r="CA32" i="48" s="1"/>
  <c r="M32" i="48" s="1"/>
  <c r="C33" i="48"/>
  <c r="CG33" i="48" s="1"/>
  <c r="CA33" i="48" s="1"/>
  <c r="M33" i="48" s="1"/>
  <c r="C34" i="48"/>
  <c r="CG34" i="48" s="1"/>
  <c r="CA34" i="48" s="1"/>
  <c r="M34" i="48" s="1"/>
  <c r="C35" i="48"/>
  <c r="CG35" i="48" s="1"/>
  <c r="CA35" i="48" s="1"/>
  <c r="M35" i="48" s="1"/>
  <c r="CG36" i="48"/>
  <c r="CA36" i="48" s="1"/>
  <c r="M36" i="48" s="1"/>
  <c r="D14" i="46"/>
  <c r="E14" i="46"/>
  <c r="D15" i="46"/>
  <c r="E15" i="46"/>
  <c r="D16" i="46"/>
  <c r="E16" i="46"/>
  <c r="D17" i="46"/>
  <c r="E17" i="46"/>
  <c r="D18" i="46"/>
  <c r="E18" i="46"/>
  <c r="D19" i="46"/>
  <c r="E19" i="46"/>
  <c r="D20" i="46"/>
  <c r="E20" i="46"/>
  <c r="D21" i="46"/>
  <c r="E21" i="46"/>
  <c r="D22" i="46"/>
  <c r="E22" i="46"/>
  <c r="G23" i="46"/>
  <c r="H23" i="46"/>
  <c r="I23" i="46"/>
  <c r="J23" i="46"/>
  <c r="K23" i="46"/>
  <c r="L23" i="46"/>
  <c r="M23" i="46"/>
  <c r="N23" i="46"/>
  <c r="O23" i="46"/>
  <c r="P23" i="46"/>
  <c r="Q23" i="46"/>
  <c r="R23" i="46"/>
  <c r="S23" i="46"/>
  <c r="T23" i="46"/>
  <c r="U23" i="46"/>
  <c r="V23" i="46"/>
  <c r="W23" i="46"/>
  <c r="X23" i="46"/>
  <c r="Y23" i="46"/>
  <c r="Z23" i="46"/>
  <c r="AA23" i="46"/>
  <c r="AB23" i="46"/>
  <c r="AC23" i="46"/>
  <c r="AD23" i="46"/>
  <c r="AE23" i="46"/>
  <c r="AF23" i="46"/>
  <c r="AG23" i="46"/>
  <c r="AH23" i="46"/>
  <c r="AI23" i="46"/>
  <c r="AJ23" i="46"/>
  <c r="AK23" i="46"/>
  <c r="AL23" i="46"/>
  <c r="AM23" i="46"/>
  <c r="AN23" i="46"/>
  <c r="AO23" i="46"/>
  <c r="AQ23" i="46"/>
  <c r="AR23" i="46"/>
  <c r="AS23" i="46"/>
  <c r="D24" i="46"/>
  <c r="E24" i="46"/>
  <c r="D25" i="46"/>
  <c r="E25" i="46"/>
  <c r="D26" i="46"/>
  <c r="E26" i="46"/>
  <c r="D27" i="46"/>
  <c r="E27" i="46"/>
  <c r="E58" i="46"/>
  <c r="E59" i="46"/>
  <c r="E60" i="46"/>
  <c r="E61" i="46"/>
  <c r="E62" i="46"/>
  <c r="E64" i="46"/>
  <c r="E65" i="46"/>
  <c r="E66" i="46"/>
  <c r="E67" i="46"/>
  <c r="E68" i="46"/>
  <c r="D70" i="46"/>
  <c r="E70" i="46"/>
  <c r="D71" i="46"/>
  <c r="E71" i="46"/>
  <c r="D72" i="46"/>
  <c r="E72" i="46"/>
  <c r="D73" i="46"/>
  <c r="E73" i="46"/>
  <c r="D74" i="46"/>
  <c r="E74" i="46"/>
  <c r="D75" i="46"/>
  <c r="E75" i="46"/>
  <c r="D76" i="46"/>
  <c r="E76" i="46"/>
  <c r="D77" i="46"/>
  <c r="E77" i="46"/>
  <c r="D78" i="46"/>
  <c r="E78" i="46"/>
  <c r="D132" i="46"/>
  <c r="E132" i="46"/>
  <c r="D133" i="46"/>
  <c r="E133" i="46"/>
  <c r="G134" i="46"/>
  <c r="H134" i="46"/>
  <c r="I134" i="46"/>
  <c r="J134" i="46"/>
  <c r="K134" i="46"/>
  <c r="L134" i="46"/>
  <c r="M134" i="46"/>
  <c r="N134" i="46"/>
  <c r="O134" i="46"/>
  <c r="P134" i="46"/>
  <c r="Q134" i="46"/>
  <c r="R134" i="46"/>
  <c r="S134" i="46"/>
  <c r="T134" i="46"/>
  <c r="U134" i="46"/>
  <c r="V134" i="46"/>
  <c r="W134" i="46"/>
  <c r="X134" i="46"/>
  <c r="Y134" i="46"/>
  <c r="Z134" i="46"/>
  <c r="AA134" i="46"/>
  <c r="AB134" i="46"/>
  <c r="AC134" i="46"/>
  <c r="AD134" i="46"/>
  <c r="AE134" i="46"/>
  <c r="AF134" i="46"/>
  <c r="AG134" i="46"/>
  <c r="AH134" i="46"/>
  <c r="AI134" i="46"/>
  <c r="AJ134" i="46"/>
  <c r="AK134" i="46"/>
  <c r="AL134" i="46"/>
  <c r="AM134" i="46"/>
  <c r="AN134" i="46"/>
  <c r="AO134" i="46"/>
  <c r="AQ134" i="46"/>
  <c r="AR134" i="46"/>
  <c r="D14" i="45"/>
  <c r="D20" i="45"/>
  <c r="C20" i="45" s="1"/>
  <c r="D21" i="45"/>
  <c r="D22" i="45"/>
  <c r="D23" i="45"/>
  <c r="D24" i="45"/>
  <c r="D25" i="45"/>
  <c r="D26" i="45"/>
  <c r="D36" i="45"/>
  <c r="D37" i="45"/>
  <c r="D38" i="45"/>
  <c r="D39" i="45"/>
  <c r="D40" i="45"/>
  <c r="E53" i="45"/>
  <c r="F53" i="45"/>
  <c r="G53" i="45"/>
  <c r="H53" i="45"/>
  <c r="C54" i="45"/>
  <c r="D54" i="45"/>
  <c r="C56" i="45"/>
  <c r="D56" i="45"/>
  <c r="G96" i="45"/>
  <c r="H96" i="45"/>
  <c r="I96" i="45"/>
  <c r="E97" i="45"/>
  <c r="D98" i="45"/>
  <c r="E98" i="45"/>
  <c r="D99" i="45"/>
  <c r="E99" i="45"/>
  <c r="D100" i="45"/>
  <c r="E100" i="45"/>
  <c r="D101" i="45"/>
  <c r="E101" i="45"/>
  <c r="D121" i="45"/>
  <c r="E121" i="45"/>
  <c r="D122" i="45"/>
  <c r="E122" i="45"/>
  <c r="D123" i="45"/>
  <c r="E123" i="45"/>
  <c r="D124" i="45"/>
  <c r="E124" i="45"/>
  <c r="D125" i="45"/>
  <c r="E125" i="45"/>
  <c r="D126" i="45"/>
  <c r="E126" i="45"/>
  <c r="D127" i="45"/>
  <c r="E127" i="45"/>
  <c r="D128" i="45"/>
  <c r="E128" i="45"/>
  <c r="D129" i="45"/>
  <c r="E129" i="45"/>
  <c r="D130" i="45"/>
  <c r="E130" i="45"/>
  <c r="D131" i="45"/>
  <c r="E131" i="45"/>
  <c r="D132" i="45"/>
  <c r="E132" i="45"/>
  <c r="D133" i="45"/>
  <c r="E133" i="45"/>
  <c r="D134" i="45"/>
  <c r="E134" i="45"/>
  <c r="D135" i="45"/>
  <c r="E135" i="45"/>
  <c r="D136" i="45"/>
  <c r="E136" i="45"/>
  <c r="D137" i="45"/>
  <c r="E137" i="45"/>
  <c r="D138" i="45"/>
  <c r="E138" i="45"/>
  <c r="D139" i="45"/>
  <c r="E139" i="45"/>
  <c r="D140" i="45"/>
  <c r="E140" i="45"/>
  <c r="D141" i="45"/>
  <c r="E141" i="45"/>
  <c r="D142" i="45"/>
  <c r="E142" i="45"/>
  <c r="D143" i="45"/>
  <c r="E143" i="45"/>
  <c r="D144" i="45"/>
  <c r="E144" i="45"/>
  <c r="D145" i="45"/>
  <c r="E145" i="45"/>
  <c r="D146" i="45"/>
  <c r="E146" i="45"/>
  <c r="D147" i="45"/>
  <c r="E147" i="45"/>
  <c r="D148" i="45"/>
  <c r="E148" i="45"/>
  <c r="D149" i="45"/>
  <c r="E149" i="45"/>
  <c r="G150" i="45"/>
  <c r="H150" i="45"/>
  <c r="I150" i="45"/>
  <c r="J150" i="45"/>
  <c r="K150" i="45"/>
  <c r="L150" i="45"/>
  <c r="M150" i="45"/>
  <c r="N150" i="45"/>
  <c r="O150" i="45"/>
  <c r="P150" i="45"/>
  <c r="Q150" i="45"/>
  <c r="R150" i="45"/>
  <c r="S150" i="45"/>
  <c r="T150" i="45"/>
  <c r="U150" i="45"/>
  <c r="V150" i="45"/>
  <c r="W150" i="45"/>
  <c r="X150" i="45"/>
  <c r="Y150" i="45"/>
  <c r="Z150" i="45"/>
  <c r="AA150" i="45"/>
  <c r="E151" i="45"/>
  <c r="D152" i="45"/>
  <c r="E152" i="45"/>
  <c r="D153" i="45"/>
  <c r="E153" i="45"/>
  <c r="D154" i="45"/>
  <c r="E154" i="45"/>
  <c r="D155" i="45"/>
  <c r="E155" i="45"/>
  <c r="D156" i="45"/>
  <c r="E156" i="45"/>
  <c r="D157" i="45"/>
  <c r="E157" i="45"/>
  <c r="D158" i="45"/>
  <c r="E158" i="45"/>
  <c r="D159" i="45"/>
  <c r="E159" i="45"/>
  <c r="D160" i="45"/>
  <c r="E160" i="45"/>
  <c r="G161" i="45"/>
  <c r="H161" i="45"/>
  <c r="I161" i="45"/>
  <c r="J161" i="45"/>
  <c r="K161" i="45"/>
  <c r="L161" i="45"/>
  <c r="M161" i="45"/>
  <c r="N161" i="45"/>
  <c r="O161" i="45"/>
  <c r="P161" i="45"/>
  <c r="Q161" i="45"/>
  <c r="R161" i="45"/>
  <c r="S161" i="45"/>
  <c r="T161" i="45"/>
  <c r="U161" i="45"/>
  <c r="V161" i="45"/>
  <c r="W161" i="45"/>
  <c r="X161" i="45"/>
  <c r="Y161" i="45"/>
  <c r="Z161" i="45"/>
  <c r="AA161" i="45"/>
  <c r="D167" i="45"/>
  <c r="E167" i="45"/>
  <c r="D168" i="45"/>
  <c r="E168" i="45"/>
  <c r="D169" i="45"/>
  <c r="E169" i="45"/>
  <c r="D170" i="45"/>
  <c r="E170" i="45"/>
  <c r="E176" i="45"/>
  <c r="D177" i="45"/>
  <c r="E177" i="45"/>
  <c r="D178" i="45"/>
  <c r="E178" i="45"/>
  <c r="D179" i="45"/>
  <c r="E179" i="45"/>
  <c r="D180" i="45"/>
  <c r="E180" i="45"/>
  <c r="D181" i="45"/>
  <c r="E186" i="45"/>
  <c r="D187" i="45"/>
  <c r="E187" i="45"/>
  <c r="D188" i="45"/>
  <c r="E188" i="45"/>
  <c r="E196" i="45"/>
  <c r="F10" i="28"/>
  <c r="D150" i="45" l="1"/>
  <c r="DA56" i="49"/>
  <c r="CA56" i="49" s="1"/>
  <c r="DD56" i="49"/>
  <c r="CD56" i="49" s="1"/>
  <c r="DC56" i="49"/>
  <c r="CC56" i="49" s="1"/>
  <c r="DB56" i="49"/>
  <c r="CB56" i="49" s="1"/>
  <c r="DA55" i="49"/>
  <c r="CA55" i="49" s="1"/>
  <c r="DD55" i="49"/>
  <c r="CD55" i="49" s="1"/>
  <c r="DC55" i="49"/>
  <c r="CC55" i="49" s="1"/>
  <c r="DB55" i="49"/>
  <c r="CB55" i="49" s="1"/>
  <c r="DA58" i="49"/>
  <c r="CA58" i="49" s="1"/>
  <c r="DD58" i="49"/>
  <c r="CD58" i="49" s="1"/>
  <c r="DC58" i="49"/>
  <c r="CC58" i="49" s="1"/>
  <c r="DB58" i="49"/>
  <c r="CB58" i="49" s="1"/>
  <c r="DA54" i="49"/>
  <c r="CA54" i="49" s="1"/>
  <c r="DD54" i="49"/>
  <c r="CD54" i="49" s="1"/>
  <c r="DC54" i="49"/>
  <c r="CC54" i="49" s="1"/>
  <c r="DB54" i="49"/>
  <c r="CB54" i="49" s="1"/>
  <c r="DA57" i="49"/>
  <c r="CA57" i="49" s="1"/>
  <c r="DD57" i="49"/>
  <c r="CD57" i="49" s="1"/>
  <c r="DC57" i="49"/>
  <c r="CC57" i="49" s="1"/>
  <c r="DB57" i="49"/>
  <c r="CB57" i="49" s="1"/>
  <c r="DA53" i="49"/>
  <c r="DD53" i="49"/>
  <c r="CD53" i="49" s="1"/>
  <c r="DC53" i="49"/>
  <c r="CC53" i="49" s="1"/>
  <c r="DB53" i="49"/>
  <c r="CB53" i="49" s="1"/>
  <c r="C132" i="46"/>
  <c r="E199" i="45"/>
  <c r="C133" i="46"/>
  <c r="D134" i="46"/>
  <c r="E134" i="46"/>
  <c r="D199" i="45"/>
  <c r="D53" i="45"/>
  <c r="C53" i="45"/>
  <c r="Z13" i="48"/>
  <c r="D189" i="45"/>
  <c r="E189" i="45"/>
  <c r="C151" i="45"/>
  <c r="E161" i="45"/>
  <c r="E150" i="45"/>
  <c r="B54" i="45"/>
  <c r="D161" i="45"/>
  <c r="C101" i="45"/>
  <c r="B56" i="45"/>
  <c r="C186" i="45"/>
  <c r="C126" i="45"/>
  <c r="B55" i="45"/>
  <c r="C40" i="45"/>
  <c r="C29" i="45"/>
  <c r="C25" i="45"/>
  <c r="C21" i="45"/>
  <c r="C13" i="45"/>
  <c r="C28" i="45"/>
  <c r="C39" i="45"/>
  <c r="C180" i="45"/>
  <c r="C176" i="45"/>
  <c r="C132" i="45"/>
  <c r="C128" i="45"/>
  <c r="C112" i="45"/>
  <c r="C73" i="46"/>
  <c r="C61" i="46"/>
  <c r="C153" i="45"/>
  <c r="C131" i="45"/>
  <c r="C27" i="45"/>
  <c r="C71" i="46"/>
  <c r="C63" i="46"/>
  <c r="C59" i="46"/>
  <c r="C171" i="45"/>
  <c r="C123" i="45"/>
  <c r="C127" i="45"/>
  <c r="C135" i="45"/>
  <c r="C137" i="45"/>
  <c r="C157" i="45"/>
  <c r="C99" i="45"/>
  <c r="C115" i="45"/>
  <c r="C114" i="45"/>
  <c r="C110" i="45"/>
  <c r="B111" i="46"/>
  <c r="C158" i="45"/>
  <c r="C179" i="45"/>
  <c r="C139" i="45"/>
  <c r="C108" i="45"/>
  <c r="C38" i="45"/>
  <c r="C24" i="45"/>
  <c r="C22" i="45"/>
  <c r="Q17" i="50"/>
  <c r="C170" i="45"/>
  <c r="C147" i="45"/>
  <c r="C143" i="45"/>
  <c r="C195" i="45"/>
  <c r="C187" i="45"/>
  <c r="C196" i="45"/>
  <c r="C167" i="45"/>
  <c r="C144" i="45"/>
  <c r="C140" i="45"/>
  <c r="C121" i="45"/>
  <c r="C30" i="45"/>
  <c r="R17" i="50"/>
  <c r="C75" i="46"/>
  <c r="B122" i="46"/>
  <c r="C65" i="46"/>
  <c r="B109" i="46"/>
  <c r="C67" i="46"/>
  <c r="C69" i="46"/>
  <c r="C177" i="45"/>
  <c r="C148" i="45"/>
  <c r="C134" i="45"/>
  <c r="C168" i="45"/>
  <c r="C136" i="45"/>
  <c r="C129" i="45"/>
  <c r="E23" i="46"/>
  <c r="U13" i="48"/>
  <c r="CB22" i="49"/>
  <c r="Q22" i="49" s="1"/>
  <c r="C178" i="45"/>
  <c r="C154" i="45"/>
  <c r="C142" i="45"/>
  <c r="C124" i="45"/>
  <c r="C109" i="45"/>
  <c r="C36" i="45"/>
  <c r="C145" i="45"/>
  <c r="C120" i="45"/>
  <c r="C100" i="45"/>
  <c r="C188" i="45"/>
  <c r="C169" i="45"/>
  <c r="C97" i="45"/>
  <c r="D96" i="45"/>
  <c r="D23" i="46"/>
  <c r="C181" i="45"/>
  <c r="C159" i="45"/>
  <c r="C156" i="45"/>
  <c r="C24" i="46"/>
  <c r="C160" i="45"/>
  <c r="C155" i="45"/>
  <c r="C152" i="45"/>
  <c r="E96" i="45"/>
  <c r="C78" i="46"/>
  <c r="C77" i="46"/>
  <c r="C76" i="46"/>
  <c r="C74" i="46"/>
  <c r="C72" i="46"/>
  <c r="C70" i="46"/>
  <c r="C68" i="46"/>
  <c r="C66" i="46"/>
  <c r="C64" i="46"/>
  <c r="C62" i="46"/>
  <c r="C60" i="46"/>
  <c r="C58" i="46"/>
  <c r="C27" i="46"/>
  <c r="C25" i="46"/>
  <c r="S17" i="50"/>
  <c r="C26" i="46"/>
  <c r="C149" i="45"/>
  <c r="C146" i="45"/>
  <c r="C141" i="45"/>
  <c r="C138" i="45"/>
  <c r="C133" i="45"/>
  <c r="C130" i="45"/>
  <c r="C125" i="45"/>
  <c r="C122" i="45"/>
  <c r="C113" i="45"/>
  <c r="C111" i="45"/>
  <c r="C98" i="45"/>
  <c r="C37" i="45"/>
  <c r="C31" i="45"/>
  <c r="C26" i="45"/>
  <c r="C23" i="45"/>
  <c r="C14" i="45"/>
  <c r="B121" i="46"/>
  <c r="C22" i="46"/>
  <c r="C21" i="46"/>
  <c r="C20" i="46"/>
  <c r="C19" i="46"/>
  <c r="C18" i="46"/>
  <c r="C17" i="46"/>
  <c r="C16" i="46"/>
  <c r="C15" i="46"/>
  <c r="C14" i="46"/>
  <c r="C13" i="46"/>
  <c r="G13" i="48"/>
  <c r="C61" i="49"/>
  <c r="A198" i="49" s="1"/>
  <c r="P13" i="48"/>
  <c r="K13" i="48"/>
  <c r="A180" i="50" l="1"/>
  <c r="A162" i="48"/>
  <c r="F21" i="28" s="1"/>
  <c r="DR22" i="46"/>
  <c r="CR22" i="46" s="1"/>
  <c r="DL22" i="46"/>
  <c r="CL22" i="46" s="1"/>
  <c r="DQ22" i="46"/>
  <c r="CQ22" i="46" s="1"/>
  <c r="DK22" i="46"/>
  <c r="CK22" i="46" s="1"/>
  <c r="DO22" i="46"/>
  <c r="CO22" i="46" s="1"/>
  <c r="DP22" i="46"/>
  <c r="CP22" i="46" s="1"/>
  <c r="DJ22" i="46"/>
  <c r="CJ22" i="46" s="1"/>
  <c r="DN22" i="46"/>
  <c r="CN22" i="46" s="1"/>
  <c r="DM22" i="46"/>
  <c r="CM22" i="46" s="1"/>
  <c r="CA26" i="46"/>
  <c r="DR26" i="46"/>
  <c r="CR26" i="46" s="1"/>
  <c r="DL26" i="46"/>
  <c r="CL26" i="46" s="1"/>
  <c r="CF26" i="46"/>
  <c r="DQ26" i="46"/>
  <c r="CQ26" i="46" s="1"/>
  <c r="DK26" i="46"/>
  <c r="CK26" i="46" s="1"/>
  <c r="CD26" i="46"/>
  <c r="DO26" i="46"/>
  <c r="CO26" i="46" s="1"/>
  <c r="CE26" i="46"/>
  <c r="DP26" i="46"/>
  <c r="CP26" i="46" s="1"/>
  <c r="DJ26" i="46"/>
  <c r="CJ26" i="46" s="1"/>
  <c r="CI26" i="46"/>
  <c r="CC26" i="46"/>
  <c r="DN26" i="46"/>
  <c r="CN26" i="46" s="1"/>
  <c r="CH26" i="46"/>
  <c r="CB26" i="46"/>
  <c r="DM26" i="46"/>
  <c r="CM26" i="46" s="1"/>
  <c r="CA111" i="46"/>
  <c r="CB111" i="46"/>
  <c r="DR18" i="46"/>
  <c r="CR18" i="46" s="1"/>
  <c r="DL18" i="46"/>
  <c r="CL18" i="46" s="1"/>
  <c r="CC18" i="46"/>
  <c r="CI18" i="46"/>
  <c r="DQ18" i="46"/>
  <c r="CQ18" i="46" s="1"/>
  <c r="DK18" i="46"/>
  <c r="CK18" i="46" s="1"/>
  <c r="CD18" i="46"/>
  <c r="DO18" i="46"/>
  <c r="CO18" i="46" s="1"/>
  <c r="CF18" i="46"/>
  <c r="DN18" i="46"/>
  <c r="CN18" i="46" s="1"/>
  <c r="CA18" i="46"/>
  <c r="DM18" i="46"/>
  <c r="CM18" i="46" s="1"/>
  <c r="CB18" i="46"/>
  <c r="CH18" i="46"/>
  <c r="DP18" i="46"/>
  <c r="CP18" i="46" s="1"/>
  <c r="DJ18" i="46"/>
  <c r="CJ18" i="46" s="1"/>
  <c r="CE18" i="46"/>
  <c r="CA25" i="46"/>
  <c r="DO25" i="46"/>
  <c r="CO25" i="46" s="1"/>
  <c r="CF25" i="46"/>
  <c r="DN25" i="46"/>
  <c r="CN25" i="46" s="1"/>
  <c r="CD25" i="46"/>
  <c r="DR25" i="46"/>
  <c r="CR25" i="46" s="1"/>
  <c r="DL25" i="46"/>
  <c r="CL25" i="46" s="1"/>
  <c r="CE25" i="46"/>
  <c r="DM25" i="46"/>
  <c r="CM25" i="46" s="1"/>
  <c r="CI25" i="46"/>
  <c r="CC25" i="46"/>
  <c r="DQ25" i="46"/>
  <c r="CQ25" i="46" s="1"/>
  <c r="DK25" i="46"/>
  <c r="CK25" i="46" s="1"/>
  <c r="CH25" i="46"/>
  <c r="CB25" i="46"/>
  <c r="DP25" i="46"/>
  <c r="CP25" i="46" s="1"/>
  <c r="DJ25" i="46"/>
  <c r="CJ25" i="46" s="1"/>
  <c r="DR16" i="46"/>
  <c r="CR16" i="46" s="1"/>
  <c r="DL16" i="46"/>
  <c r="CL16" i="46" s="1"/>
  <c r="CC16" i="46"/>
  <c r="CI16" i="46"/>
  <c r="DQ16" i="46"/>
  <c r="CQ16" i="46" s="1"/>
  <c r="DK16" i="46"/>
  <c r="CK16" i="46" s="1"/>
  <c r="CD16" i="46"/>
  <c r="DO16" i="46"/>
  <c r="CO16" i="46" s="1"/>
  <c r="CF16" i="46"/>
  <c r="DN16" i="46"/>
  <c r="CN16" i="46" s="1"/>
  <c r="CA16" i="46"/>
  <c r="DM16" i="46"/>
  <c r="CM16" i="46" s="1"/>
  <c r="CB16" i="46"/>
  <c r="CH16" i="46"/>
  <c r="DJ16" i="46"/>
  <c r="CJ16" i="46" s="1"/>
  <c r="DP16" i="46"/>
  <c r="CP16" i="46" s="1"/>
  <c r="CE16" i="46"/>
  <c r="DO19" i="46"/>
  <c r="CO19" i="46" s="1"/>
  <c r="CF19" i="46"/>
  <c r="DN19" i="46"/>
  <c r="CN19" i="46" s="1"/>
  <c r="CA19" i="46"/>
  <c r="DR19" i="46"/>
  <c r="CR19" i="46" s="1"/>
  <c r="DL19" i="46"/>
  <c r="CL19" i="46" s="1"/>
  <c r="CC19" i="46"/>
  <c r="CI19" i="46"/>
  <c r="DQ19" i="46"/>
  <c r="CQ19" i="46" s="1"/>
  <c r="DK19" i="46"/>
  <c r="CK19" i="46" s="1"/>
  <c r="CD19" i="46"/>
  <c r="DP19" i="46"/>
  <c r="CP19" i="46" s="1"/>
  <c r="DJ19" i="46"/>
  <c r="CJ19" i="46" s="1"/>
  <c r="CE19" i="46"/>
  <c r="CB19" i="46"/>
  <c r="CH19" i="46"/>
  <c r="DM19" i="46"/>
  <c r="CM19" i="46" s="1"/>
  <c r="CA27" i="46"/>
  <c r="DO27" i="46"/>
  <c r="CO27" i="46" s="1"/>
  <c r="CF27" i="46"/>
  <c r="DN27" i="46"/>
  <c r="CN27" i="46" s="1"/>
  <c r="CD27" i="46"/>
  <c r="DR27" i="46"/>
  <c r="CR27" i="46" s="1"/>
  <c r="DL27" i="46"/>
  <c r="CL27" i="46" s="1"/>
  <c r="CE27" i="46"/>
  <c r="DM27" i="46"/>
  <c r="CM27" i="46" s="1"/>
  <c r="CI27" i="46"/>
  <c r="CC27" i="46"/>
  <c r="DQ27" i="46"/>
  <c r="CQ27" i="46" s="1"/>
  <c r="DK27" i="46"/>
  <c r="CK27" i="46" s="1"/>
  <c r="CH27" i="46"/>
  <c r="CB27" i="46"/>
  <c r="DP27" i="46"/>
  <c r="CP27" i="46" s="1"/>
  <c r="DJ27" i="46"/>
  <c r="CJ27" i="46" s="1"/>
  <c r="DO17" i="46"/>
  <c r="CO17" i="46" s="1"/>
  <c r="CF17" i="46"/>
  <c r="DN17" i="46"/>
  <c r="CN17" i="46" s="1"/>
  <c r="CA17" i="46"/>
  <c r="DR17" i="46"/>
  <c r="CR17" i="46" s="1"/>
  <c r="DL17" i="46"/>
  <c r="CL17" i="46" s="1"/>
  <c r="CC17" i="46"/>
  <c r="CI17" i="46"/>
  <c r="DQ17" i="46"/>
  <c r="CQ17" i="46" s="1"/>
  <c r="DK17" i="46"/>
  <c r="CK17" i="46" s="1"/>
  <c r="CD17" i="46"/>
  <c r="DP17" i="46"/>
  <c r="CP17" i="46" s="1"/>
  <c r="DJ17" i="46"/>
  <c r="CJ17" i="46" s="1"/>
  <c r="CE17" i="46"/>
  <c r="CB17" i="46"/>
  <c r="CH17" i="46"/>
  <c r="DM17" i="46"/>
  <c r="CM17" i="46" s="1"/>
  <c r="DR14" i="46"/>
  <c r="CR14" i="46" s="1"/>
  <c r="DL14" i="46"/>
  <c r="CL14" i="46" s="1"/>
  <c r="CC14" i="46"/>
  <c r="CI14" i="46"/>
  <c r="DQ14" i="46"/>
  <c r="CQ14" i="46" s="1"/>
  <c r="DK14" i="46"/>
  <c r="CK14" i="46" s="1"/>
  <c r="CD14" i="46"/>
  <c r="DO14" i="46"/>
  <c r="CO14" i="46" s="1"/>
  <c r="CF14" i="46"/>
  <c r="DN14" i="46"/>
  <c r="CN14" i="46" s="1"/>
  <c r="CA14" i="46"/>
  <c r="DM14" i="46"/>
  <c r="CM14" i="46" s="1"/>
  <c r="CB14" i="46"/>
  <c r="CH14" i="46"/>
  <c r="DP14" i="46"/>
  <c r="CP14" i="46" s="1"/>
  <c r="DJ14" i="46"/>
  <c r="CJ14" i="46" s="1"/>
  <c r="CE14" i="46"/>
  <c r="DR20" i="46"/>
  <c r="CR20" i="46" s="1"/>
  <c r="DL20" i="46"/>
  <c r="CL20" i="46" s="1"/>
  <c r="CC20" i="46"/>
  <c r="CI20" i="46"/>
  <c r="DQ20" i="46"/>
  <c r="CQ20" i="46" s="1"/>
  <c r="DK20" i="46"/>
  <c r="CK20" i="46" s="1"/>
  <c r="CD20" i="46"/>
  <c r="DO20" i="46"/>
  <c r="CO20" i="46" s="1"/>
  <c r="CF20" i="46"/>
  <c r="DN20" i="46"/>
  <c r="CN20" i="46" s="1"/>
  <c r="CA20" i="46"/>
  <c r="DM20" i="46"/>
  <c r="CM20" i="46" s="1"/>
  <c r="CB20" i="46"/>
  <c r="CH20" i="46"/>
  <c r="DP20" i="46"/>
  <c r="CP20" i="46" s="1"/>
  <c r="DJ20" i="46"/>
  <c r="CJ20" i="46" s="1"/>
  <c r="CE20" i="46"/>
  <c r="DO15" i="46"/>
  <c r="CO15" i="46" s="1"/>
  <c r="CF15" i="46"/>
  <c r="DN15" i="46"/>
  <c r="CN15" i="46" s="1"/>
  <c r="CA15" i="46"/>
  <c r="DR15" i="46"/>
  <c r="CR15" i="46" s="1"/>
  <c r="DL15" i="46"/>
  <c r="CL15" i="46" s="1"/>
  <c r="CC15" i="46"/>
  <c r="CI15" i="46"/>
  <c r="DQ15" i="46"/>
  <c r="CQ15" i="46" s="1"/>
  <c r="DK15" i="46"/>
  <c r="CK15" i="46" s="1"/>
  <c r="CD15" i="46"/>
  <c r="DP15" i="46"/>
  <c r="CP15" i="46" s="1"/>
  <c r="DJ15" i="46"/>
  <c r="CJ15" i="46" s="1"/>
  <c r="CE15" i="46"/>
  <c r="CB15" i="46"/>
  <c r="CH15" i="46"/>
  <c r="DM15" i="46"/>
  <c r="CM15" i="46" s="1"/>
  <c r="DO21" i="46"/>
  <c r="CO21" i="46" s="1"/>
  <c r="CF21" i="46"/>
  <c r="DN21" i="46"/>
  <c r="CN21" i="46" s="1"/>
  <c r="CA21" i="46"/>
  <c r="DR21" i="46"/>
  <c r="CR21" i="46" s="1"/>
  <c r="DL21" i="46"/>
  <c r="CL21" i="46" s="1"/>
  <c r="CC21" i="46"/>
  <c r="CI21" i="46"/>
  <c r="DQ21" i="46"/>
  <c r="CQ21" i="46" s="1"/>
  <c r="DK21" i="46"/>
  <c r="CK21" i="46" s="1"/>
  <c r="CD21" i="46"/>
  <c r="DP21" i="46"/>
  <c r="CP21" i="46" s="1"/>
  <c r="DJ21" i="46"/>
  <c r="CJ21" i="46" s="1"/>
  <c r="CE21" i="46"/>
  <c r="CB21" i="46"/>
  <c r="CH21" i="46"/>
  <c r="DM21" i="46"/>
  <c r="CM21" i="46" s="1"/>
  <c r="C199" i="45"/>
  <c r="DM13" i="46"/>
  <c r="CM13" i="46" s="1"/>
  <c r="CB13" i="46"/>
  <c r="CD13" i="46"/>
  <c r="DN13" i="46"/>
  <c r="CN13" i="46" s="1"/>
  <c r="CC13" i="46"/>
  <c r="DO13" i="46"/>
  <c r="CO13" i="46" s="1"/>
  <c r="DP13" i="46"/>
  <c r="CP13" i="46" s="1"/>
  <c r="CE13" i="46"/>
  <c r="DQ13" i="46"/>
  <c r="CQ13" i="46" s="1"/>
  <c r="CF13" i="46"/>
  <c r="DK13" i="46"/>
  <c r="CK13" i="46" s="1"/>
  <c r="CA13" i="46"/>
  <c r="CI13" i="46"/>
  <c r="CH13" i="46"/>
  <c r="DR13" i="46"/>
  <c r="CR13" i="46" s="1"/>
  <c r="DJ13" i="46"/>
  <c r="DL13" i="46"/>
  <c r="CL13" i="46" s="1"/>
  <c r="CA109" i="46"/>
  <c r="CB109" i="46"/>
  <c r="CH24" i="46"/>
  <c r="CF24" i="46"/>
  <c r="CE24" i="46"/>
  <c r="CB24" i="46"/>
  <c r="CD24" i="46"/>
  <c r="CC24" i="46"/>
  <c r="CI24" i="46"/>
  <c r="CA24" i="46"/>
  <c r="DO24" i="46"/>
  <c r="CO24" i="46" s="1"/>
  <c r="DM24" i="46"/>
  <c r="CM24" i="46" s="1"/>
  <c r="DN24" i="46"/>
  <c r="CN24" i="46" s="1"/>
  <c r="DL24" i="46"/>
  <c r="CL24" i="46" s="1"/>
  <c r="DK24" i="46"/>
  <c r="CK24" i="46" s="1"/>
  <c r="DQ24" i="46"/>
  <c r="CQ24" i="46" s="1"/>
  <c r="DR24" i="46"/>
  <c r="CR24" i="46" s="1"/>
  <c r="DJ24" i="46"/>
  <c r="DP24" i="46"/>
  <c r="CP24" i="46" s="1"/>
  <c r="CA22" i="46"/>
  <c r="CI22" i="46"/>
  <c r="CB22" i="46"/>
  <c r="CC22" i="46"/>
  <c r="CD22" i="46"/>
  <c r="CE22" i="46"/>
  <c r="CF22" i="46"/>
  <c r="CH22" i="46"/>
  <c r="C150" i="45"/>
  <c r="F29" i="28"/>
  <c r="DB58" i="46"/>
  <c r="CB58" i="46" s="1"/>
  <c r="DA58" i="46"/>
  <c r="CA58" i="46" s="1"/>
  <c r="DC58" i="46"/>
  <c r="CC58" i="46" s="1"/>
  <c r="DC66" i="46"/>
  <c r="CC66" i="46" s="1"/>
  <c r="DB66" i="46"/>
  <c r="CB66" i="46" s="1"/>
  <c r="DA66" i="46"/>
  <c r="CA66" i="46" s="1"/>
  <c r="DC74" i="46"/>
  <c r="CC74" i="46" s="1"/>
  <c r="DB74" i="46"/>
  <c r="CB74" i="46" s="1"/>
  <c r="DA74" i="46"/>
  <c r="CA74" i="46" s="1"/>
  <c r="DA69" i="46"/>
  <c r="CA69" i="46" s="1"/>
  <c r="DC69" i="46"/>
  <c r="CC69" i="46" s="1"/>
  <c r="DB69" i="46"/>
  <c r="CB69" i="46" s="1"/>
  <c r="DA71" i="46"/>
  <c r="CA71" i="46" s="1"/>
  <c r="DC71" i="46"/>
  <c r="CC71" i="46" s="1"/>
  <c r="DB71" i="46"/>
  <c r="CB71" i="46" s="1"/>
  <c r="DC61" i="46"/>
  <c r="CC61" i="46" s="1"/>
  <c r="DB61" i="46"/>
  <c r="CB61" i="46" s="1"/>
  <c r="DA61" i="46"/>
  <c r="CA61" i="46" s="1"/>
  <c r="DC132" i="46"/>
  <c r="CC132" i="46" s="1"/>
  <c r="DF132" i="46"/>
  <c r="CF132" i="46" s="1"/>
  <c r="DB132" i="46"/>
  <c r="CB132" i="46" s="1"/>
  <c r="DE132" i="46"/>
  <c r="CE132" i="46" s="1"/>
  <c r="DA132" i="46"/>
  <c r="CA132" i="46" s="1"/>
  <c r="DD132" i="46"/>
  <c r="CD132" i="46" s="1"/>
  <c r="DC60" i="46"/>
  <c r="CC60" i="46" s="1"/>
  <c r="DB60" i="46"/>
  <c r="CB60" i="46" s="1"/>
  <c r="DA60" i="46"/>
  <c r="CA60" i="46" s="1"/>
  <c r="DA68" i="46"/>
  <c r="CA68" i="46" s="1"/>
  <c r="DB68" i="46"/>
  <c r="CB68" i="46" s="1"/>
  <c r="DC68" i="46"/>
  <c r="CC68" i="46" s="1"/>
  <c r="DA76" i="46"/>
  <c r="CA76" i="46" s="1"/>
  <c r="DC76" i="46"/>
  <c r="CC76" i="46" s="1"/>
  <c r="DB76" i="46"/>
  <c r="CB76" i="46" s="1"/>
  <c r="DA67" i="46"/>
  <c r="CA67" i="46" s="1"/>
  <c r="DC67" i="46"/>
  <c r="CC67" i="46" s="1"/>
  <c r="DB67" i="46"/>
  <c r="CB67" i="46" s="1"/>
  <c r="DA75" i="46"/>
  <c r="CA75" i="46" s="1"/>
  <c r="DC75" i="46"/>
  <c r="CC75" i="46" s="1"/>
  <c r="DB75" i="46"/>
  <c r="CB75" i="46" s="1"/>
  <c r="DC73" i="46"/>
  <c r="CC73" i="46" s="1"/>
  <c r="DB73" i="46"/>
  <c r="CB73" i="46" s="1"/>
  <c r="DA73" i="46"/>
  <c r="CA73" i="46" s="1"/>
  <c r="CA53" i="49"/>
  <c r="N53" i="49" s="1"/>
  <c r="B198" i="49"/>
  <c r="D25" i="28" s="1"/>
  <c r="N57" i="49"/>
  <c r="N54" i="49"/>
  <c r="N58" i="49"/>
  <c r="DA62" i="46"/>
  <c r="CA62" i="46" s="1"/>
  <c r="DC62" i="46"/>
  <c r="CC62" i="46" s="1"/>
  <c r="DB62" i="46"/>
  <c r="CB62" i="46" s="1"/>
  <c r="DA70" i="46"/>
  <c r="CA70" i="46" s="1"/>
  <c r="DC70" i="46"/>
  <c r="CC70" i="46" s="1"/>
  <c r="DB70" i="46"/>
  <c r="CB70" i="46" s="1"/>
  <c r="DC77" i="46"/>
  <c r="CC77" i="46" s="1"/>
  <c r="DB77" i="46"/>
  <c r="CB77" i="46" s="1"/>
  <c r="DA77" i="46"/>
  <c r="CA77" i="46" s="1"/>
  <c r="DA59" i="46"/>
  <c r="CA59" i="46" s="1"/>
  <c r="DC59" i="46"/>
  <c r="CC59" i="46" s="1"/>
  <c r="DB59" i="46"/>
  <c r="CB59" i="46" s="1"/>
  <c r="DA133" i="46"/>
  <c r="CA133" i="46" s="1"/>
  <c r="DD133" i="46"/>
  <c r="CD133" i="46" s="1"/>
  <c r="DC133" i="46"/>
  <c r="CC133" i="46" s="1"/>
  <c r="DF133" i="46"/>
  <c r="CF133" i="46" s="1"/>
  <c r="DB133" i="46"/>
  <c r="CB133" i="46" s="1"/>
  <c r="DE133" i="46"/>
  <c r="CE133" i="46" s="1"/>
  <c r="N55" i="49"/>
  <c r="N56" i="49"/>
  <c r="DB64" i="46"/>
  <c r="CB64" i="46" s="1"/>
  <c r="DC64" i="46"/>
  <c r="CC64" i="46" s="1"/>
  <c r="DA64" i="46"/>
  <c r="CA64" i="46" s="1"/>
  <c r="DB72" i="46"/>
  <c r="CB72" i="46" s="1"/>
  <c r="DC72" i="46"/>
  <c r="CC72" i="46" s="1"/>
  <c r="DA72" i="46"/>
  <c r="CA72" i="46" s="1"/>
  <c r="DB78" i="46"/>
  <c r="CB78" i="46" s="1"/>
  <c r="DA78" i="46"/>
  <c r="CA78" i="46" s="1"/>
  <c r="DC78" i="46"/>
  <c r="CC78" i="46" s="1"/>
  <c r="DC65" i="46"/>
  <c r="CC65" i="46" s="1"/>
  <c r="DB65" i="46"/>
  <c r="CB65" i="46" s="1"/>
  <c r="DA65" i="46"/>
  <c r="CA65" i="46" s="1"/>
  <c r="DB111" i="46"/>
  <c r="CC111" i="46" s="1"/>
  <c r="DC111" i="46"/>
  <c r="CD111" i="46" s="1"/>
  <c r="DA63" i="46"/>
  <c r="CA63" i="46" s="1"/>
  <c r="DC63" i="46"/>
  <c r="CC63" i="46" s="1"/>
  <c r="DB63" i="46"/>
  <c r="CB63" i="46" s="1"/>
  <c r="B162" i="48"/>
  <c r="D21" i="28" s="1"/>
  <c r="DC109" i="46"/>
  <c r="CD109" i="46" s="1"/>
  <c r="DB109" i="46"/>
  <c r="CC109" i="46" s="1"/>
  <c r="C134" i="46"/>
  <c r="C161" i="45"/>
  <c r="B53" i="45"/>
  <c r="C189" i="45"/>
  <c r="C96" i="45"/>
  <c r="F25" i="28"/>
  <c r="C23" i="46"/>
  <c r="A171" i="46" l="1"/>
  <c r="F13" i="28" s="1"/>
  <c r="CJ13" i="46"/>
  <c r="B171" i="46"/>
  <c r="AW19" i="46"/>
  <c r="AW20" i="46"/>
  <c r="AW16" i="46"/>
  <c r="AW22" i="46"/>
  <c r="AW14" i="46"/>
  <c r="AW18" i="46"/>
  <c r="Q111" i="46"/>
  <c r="AW25" i="46"/>
  <c r="AW15" i="46"/>
  <c r="AW17" i="46"/>
  <c r="AW21" i="46"/>
  <c r="AW27" i="46"/>
  <c r="AW26" i="46"/>
  <c r="AW13" i="46"/>
  <c r="AS133" i="46"/>
  <c r="AS132" i="46"/>
  <c r="Q109" i="46"/>
  <c r="CJ24" i="46"/>
  <c r="AW24" i="46" s="1"/>
  <c r="AP73" i="46"/>
  <c r="AP64" i="46"/>
  <c r="AP68" i="46"/>
  <c r="AP60" i="46"/>
  <c r="AP77" i="46"/>
  <c r="AP62" i="46"/>
  <c r="AP63" i="46"/>
  <c r="AP65" i="46"/>
  <c r="AP78" i="46"/>
  <c r="AP70" i="46"/>
  <c r="AP76" i="46"/>
  <c r="AP67" i="46"/>
  <c r="AP61" i="46"/>
  <c r="AP69" i="46"/>
  <c r="AP66" i="46"/>
  <c r="AP58" i="46"/>
  <c r="AP72" i="46"/>
  <c r="AP59" i="46"/>
  <c r="AP75" i="46"/>
  <c r="AP71" i="46"/>
  <c r="AP74" i="46"/>
  <c r="D13" i="28" l="1"/>
  <c r="C12" i="44"/>
  <c r="D12" i="44"/>
  <c r="D13" i="44"/>
  <c r="C17" i="44"/>
  <c r="D17" i="44"/>
  <c r="D18" i="44"/>
  <c r="C19" i="44"/>
  <c r="D19" i="44"/>
  <c r="C20" i="44"/>
  <c r="D20" i="44"/>
  <c r="C21" i="44"/>
  <c r="D21" i="44"/>
  <c r="C22" i="44"/>
  <c r="D22" i="44"/>
  <c r="C24" i="44"/>
  <c r="D24" i="44"/>
  <c r="C25" i="44"/>
  <c r="D25" i="44"/>
  <c r="C27" i="44"/>
  <c r="D27" i="44"/>
  <c r="C28" i="44"/>
  <c r="D28" i="44"/>
  <c r="C32" i="44"/>
  <c r="C34" i="44"/>
  <c r="C35" i="44"/>
  <c r="C36" i="44"/>
  <c r="C37" i="44"/>
  <c r="C38" i="44"/>
  <c r="C39" i="44"/>
  <c r="C40" i="44"/>
  <c r="C41" i="44"/>
  <c r="C42" i="44"/>
  <c r="C43" i="44"/>
  <c r="C44" i="44"/>
  <c r="C45" i="44"/>
  <c r="C49" i="44"/>
  <c r="C50" i="44"/>
  <c r="C51" i="44"/>
  <c r="C52" i="44"/>
  <c r="C53" i="44"/>
  <c r="C54" i="44"/>
  <c r="C55" i="44"/>
  <c r="C56" i="44"/>
  <c r="C57" i="44"/>
  <c r="E60" i="44"/>
  <c r="F60" i="44"/>
  <c r="G60" i="44"/>
  <c r="H60" i="44"/>
  <c r="I60" i="44"/>
  <c r="J60" i="44"/>
  <c r="K60" i="44"/>
  <c r="L60" i="44"/>
  <c r="K70" i="43"/>
  <c r="L70" i="43"/>
  <c r="M94" i="43"/>
  <c r="CJ14" i="42"/>
  <c r="CD14" i="42" s="1"/>
  <c r="CJ15" i="42"/>
  <c r="CD15" i="42" s="1"/>
  <c r="CJ16" i="42"/>
  <c r="CD16" i="42" s="1"/>
  <c r="CJ17" i="42"/>
  <c r="CD17" i="42" s="1"/>
  <c r="CJ18" i="42"/>
  <c r="CD18" i="42" s="1"/>
  <c r="CJ19" i="42"/>
  <c r="CD19" i="42" s="1"/>
  <c r="CJ20" i="42"/>
  <c r="CD20" i="42" s="1"/>
  <c r="CJ21" i="42"/>
  <c r="CD21" i="42" s="1"/>
  <c r="CJ22" i="42"/>
  <c r="CD22" i="42" s="1"/>
  <c r="CJ23" i="42"/>
  <c r="CD23" i="42" s="1"/>
  <c r="CJ24" i="42"/>
  <c r="CD24" i="42" s="1"/>
  <c r="CJ25" i="42"/>
  <c r="CD25" i="42" s="1"/>
  <c r="CJ26" i="42"/>
  <c r="CD26" i="42" s="1"/>
  <c r="CJ27" i="42"/>
  <c r="CD27" i="42" s="1"/>
  <c r="CJ28" i="42"/>
  <c r="CD28" i="42" s="1"/>
  <c r="CJ29" i="42"/>
  <c r="CD29" i="42" s="1"/>
  <c r="CJ30" i="42"/>
  <c r="CD30" i="42" s="1"/>
  <c r="CJ31" i="42"/>
  <c r="CD31" i="42" s="1"/>
  <c r="CJ32" i="42"/>
  <c r="CD32" i="42" s="1"/>
  <c r="CJ33" i="42"/>
  <c r="CD33" i="42" s="1"/>
  <c r="CJ34" i="42"/>
  <c r="CD34" i="42" s="1"/>
  <c r="CJ35" i="42"/>
  <c r="CD35" i="42" s="1"/>
  <c r="CJ36" i="42"/>
  <c r="CD36" i="42" s="1"/>
  <c r="CJ37" i="42"/>
  <c r="CD37" i="42" s="1"/>
  <c r="CJ38" i="42"/>
  <c r="CD38" i="42" s="1"/>
  <c r="CJ39" i="42"/>
  <c r="CD39" i="42" s="1"/>
  <c r="CJ40" i="42"/>
  <c r="CD40" i="42" s="1"/>
  <c r="CJ41" i="42"/>
  <c r="CD41" i="42" s="1"/>
  <c r="CJ42" i="42"/>
  <c r="CD42" i="42" s="1"/>
  <c r="CJ43" i="42"/>
  <c r="CD43" i="42" s="1"/>
  <c r="CJ44" i="42"/>
  <c r="CD44" i="42" s="1"/>
  <c r="CJ45" i="42"/>
  <c r="CD45" i="42" s="1"/>
  <c r="CJ46" i="42"/>
  <c r="CD46" i="42" s="1"/>
  <c r="CJ47" i="42"/>
  <c r="CD47" i="42" s="1"/>
  <c r="CJ48" i="42"/>
  <c r="CD48" i="42" s="1"/>
  <c r="CJ49" i="42"/>
  <c r="CD49" i="42" s="1"/>
  <c r="CJ50" i="42"/>
  <c r="CD50" i="42" s="1"/>
  <c r="CJ51" i="42"/>
  <c r="CD51" i="42" s="1"/>
  <c r="CJ52" i="42"/>
  <c r="CD52" i="42" s="1"/>
  <c r="CJ53" i="42"/>
  <c r="CD53" i="42" s="1"/>
  <c r="CJ54" i="42"/>
  <c r="CD54" i="42" s="1"/>
  <c r="CJ55" i="42"/>
  <c r="CD55" i="42" s="1"/>
  <c r="CJ56" i="42"/>
  <c r="CD56" i="42" s="1"/>
  <c r="CJ57" i="42"/>
  <c r="CD57" i="42" s="1"/>
  <c r="CJ58" i="42"/>
  <c r="CD58" i="42" s="1"/>
  <c r="CJ59" i="42"/>
  <c r="CD59" i="42" s="1"/>
  <c r="CJ60" i="42"/>
  <c r="CD60" i="42" s="1"/>
  <c r="CJ61" i="42"/>
  <c r="CD61" i="42" s="1"/>
  <c r="CJ62" i="42"/>
  <c r="CD62" i="42" s="1"/>
  <c r="CJ63" i="42"/>
  <c r="CD63" i="42" s="1"/>
  <c r="CJ64" i="42"/>
  <c r="CD64" i="42" s="1"/>
  <c r="CJ65" i="42"/>
  <c r="CD65" i="42" s="1"/>
  <c r="CJ66" i="42"/>
  <c r="CD66" i="42" s="1"/>
  <c r="CJ67" i="42"/>
  <c r="CD67" i="42" s="1"/>
  <c r="CJ68" i="42"/>
  <c r="CD68" i="42" s="1"/>
  <c r="CJ69" i="42"/>
  <c r="CD69" i="42" s="1"/>
  <c r="CA88" i="42"/>
  <c r="E88" i="42" s="1"/>
  <c r="CG88" i="42"/>
  <c r="CA89" i="42"/>
  <c r="E89" i="42" s="1"/>
  <c r="CG89" i="42"/>
  <c r="CA90" i="42"/>
  <c r="E90" i="42" s="1"/>
  <c r="CG90" i="42"/>
  <c r="CA93" i="42"/>
  <c r="E93" i="42" s="1"/>
  <c r="CG93" i="42"/>
  <c r="CA94" i="42"/>
  <c r="E94" i="42" s="1"/>
  <c r="CG94" i="42"/>
  <c r="CA95" i="42"/>
  <c r="E95" i="42" s="1"/>
  <c r="CG95" i="42"/>
  <c r="CA96" i="42"/>
  <c r="E96" i="42" s="1"/>
  <c r="CG96" i="42"/>
  <c r="C109" i="42"/>
  <c r="C110" i="42"/>
  <c r="C111" i="42"/>
  <c r="C112" i="42"/>
  <c r="C113" i="42"/>
  <c r="C114" i="42"/>
  <c r="C115" i="42"/>
  <c r="C116" i="42"/>
  <c r="C117" i="42"/>
  <c r="C118" i="42"/>
  <c r="C119" i="42"/>
  <c r="C120" i="42"/>
  <c r="C121" i="42"/>
  <c r="C122" i="42"/>
  <c r="C123" i="42"/>
  <c r="C41" i="40"/>
  <c r="D41" i="40"/>
  <c r="C42" i="40"/>
  <c r="D42" i="40"/>
  <c r="C43" i="40"/>
  <c r="D43" i="40"/>
  <c r="C44" i="40"/>
  <c r="D44" i="40"/>
  <c r="C45" i="40"/>
  <c r="D45" i="40"/>
  <c r="C61" i="40"/>
  <c r="D61" i="40"/>
  <c r="C62" i="40"/>
  <c r="D62" i="40"/>
  <c r="C63" i="40"/>
  <c r="D63" i="40"/>
  <c r="C64" i="40"/>
  <c r="D64" i="40"/>
  <c r="C65" i="40"/>
  <c r="D65" i="40"/>
  <c r="E66" i="40"/>
  <c r="F66" i="40"/>
  <c r="G66" i="40"/>
  <c r="H66" i="40"/>
  <c r="I66" i="40"/>
  <c r="J66" i="40"/>
  <c r="K66" i="40"/>
  <c r="L66" i="40"/>
  <c r="M66" i="40"/>
  <c r="N66" i="40"/>
  <c r="O66" i="40"/>
  <c r="P66" i="40"/>
  <c r="Q66" i="40"/>
  <c r="R66" i="40"/>
  <c r="S66" i="40"/>
  <c r="T66" i="40"/>
  <c r="U66" i="40"/>
  <c r="V66" i="40"/>
  <c r="W66" i="40"/>
  <c r="X66" i="40"/>
  <c r="Y66" i="40"/>
  <c r="Z66" i="40"/>
  <c r="AA66" i="40"/>
  <c r="AB66" i="40"/>
  <c r="AC66" i="40"/>
  <c r="AD66" i="40"/>
  <c r="AE66" i="40"/>
  <c r="AF66" i="40"/>
  <c r="AG66" i="40"/>
  <c r="AH66" i="40"/>
  <c r="AI66" i="40"/>
  <c r="AJ66" i="40"/>
  <c r="AK66" i="40"/>
  <c r="AL66" i="40"/>
  <c r="AM66" i="40"/>
  <c r="AN66" i="40"/>
  <c r="B70" i="40"/>
  <c r="B71" i="40"/>
  <c r="B72" i="40"/>
  <c r="B73" i="40"/>
  <c r="B74" i="40"/>
  <c r="B75" i="40"/>
  <c r="B76" i="40"/>
  <c r="B77" i="40"/>
  <c r="B78" i="40"/>
  <c r="B79" i="40"/>
  <c r="B80" i="40"/>
  <c r="B81" i="40"/>
  <c r="B82" i="40"/>
  <c r="B83" i="40"/>
  <c r="B84" i="40"/>
  <c r="B85" i="40"/>
  <c r="B86" i="40"/>
  <c r="F94" i="40"/>
  <c r="G94" i="40"/>
  <c r="H94" i="40"/>
  <c r="I94" i="40"/>
  <c r="J94" i="40"/>
  <c r="K94" i="40"/>
  <c r="L94" i="40"/>
  <c r="M94" i="40"/>
  <c r="N94" i="40"/>
  <c r="O94" i="40"/>
  <c r="P94" i="40"/>
  <c r="Q94" i="40"/>
  <c r="R94" i="40"/>
  <c r="S94" i="40"/>
  <c r="T94" i="40"/>
  <c r="U94" i="40"/>
  <c r="V94" i="40"/>
  <c r="W94" i="40"/>
  <c r="X94" i="40"/>
  <c r="Y94" i="40"/>
  <c r="Z94" i="40"/>
  <c r="AA94" i="40"/>
  <c r="AB94" i="40"/>
  <c r="AC94" i="40"/>
  <c r="AD94" i="40"/>
  <c r="AE94" i="40"/>
  <c r="AF94" i="40"/>
  <c r="AG94" i="40"/>
  <c r="AH94" i="40"/>
  <c r="AI94" i="40"/>
  <c r="AJ94" i="40"/>
  <c r="AK94" i="40"/>
  <c r="AL94" i="40"/>
  <c r="AM94" i="40"/>
  <c r="AN94" i="40"/>
  <c r="AO94" i="40"/>
  <c r="C95" i="40"/>
  <c r="D96" i="40"/>
  <c r="D97" i="40"/>
  <c r="C97" i="40" s="1"/>
  <c r="E98" i="40"/>
  <c r="D99" i="40"/>
  <c r="E99" i="40"/>
  <c r="D100" i="40"/>
  <c r="E100" i="40"/>
  <c r="C182" i="40"/>
  <c r="C183" i="40"/>
  <c r="E198" i="40"/>
  <c r="F198" i="40"/>
  <c r="G198" i="40"/>
  <c r="H198" i="40"/>
  <c r="I198" i="40"/>
  <c r="J198" i="40"/>
  <c r="K198" i="40"/>
  <c r="L198" i="40"/>
  <c r="M198" i="40"/>
  <c r="N198" i="40"/>
  <c r="O198" i="40"/>
  <c r="C200" i="40"/>
  <c r="D200" i="40"/>
  <c r="C201" i="40"/>
  <c r="D201" i="40"/>
  <c r="C202" i="40"/>
  <c r="D202" i="40"/>
  <c r="C203" i="40"/>
  <c r="D203" i="40"/>
  <c r="C12" i="39"/>
  <c r="C13" i="39"/>
  <c r="D91" i="39"/>
  <c r="E91" i="39"/>
  <c r="D92" i="39"/>
  <c r="E92" i="39"/>
  <c r="D93" i="39"/>
  <c r="E93" i="39"/>
  <c r="D99" i="39"/>
  <c r="E99" i="39"/>
  <c r="E100" i="39"/>
  <c r="D101" i="39"/>
  <c r="E101" i="39"/>
  <c r="D144" i="39"/>
  <c r="E144" i="39"/>
  <c r="D145" i="39"/>
  <c r="E145" i="39"/>
  <c r="D146" i="39"/>
  <c r="E146" i="39"/>
  <c r="F147" i="39"/>
  <c r="F153" i="39" s="1"/>
  <c r="G147" i="39"/>
  <c r="H147" i="39"/>
  <c r="I147" i="39"/>
  <c r="J147" i="39"/>
  <c r="K147" i="39"/>
  <c r="L147" i="39"/>
  <c r="M147" i="39"/>
  <c r="D148" i="39"/>
  <c r="E148" i="39"/>
  <c r="D149" i="39"/>
  <c r="E149" i="39"/>
  <c r="D150" i="39"/>
  <c r="E150" i="39"/>
  <c r="D151" i="39"/>
  <c r="E151" i="39"/>
  <c r="G152" i="39"/>
  <c r="H152" i="39"/>
  <c r="I152" i="39"/>
  <c r="J152" i="39"/>
  <c r="K152" i="39"/>
  <c r="L152" i="39"/>
  <c r="M152" i="39"/>
  <c r="D158" i="39"/>
  <c r="E158" i="39"/>
  <c r="D159" i="39"/>
  <c r="E159" i="39"/>
  <c r="G160" i="39"/>
  <c r="H160" i="39"/>
  <c r="I160" i="39"/>
  <c r="J160" i="39"/>
  <c r="K160" i="39"/>
  <c r="L160" i="39"/>
  <c r="M160" i="39"/>
  <c r="N160" i="39"/>
  <c r="O160" i="39"/>
  <c r="P160" i="39"/>
  <c r="D162" i="39"/>
  <c r="E162" i="39"/>
  <c r="D163" i="39"/>
  <c r="E163" i="39"/>
  <c r="D164" i="39"/>
  <c r="E164" i="39"/>
  <c r="G165" i="39"/>
  <c r="H165" i="39"/>
  <c r="I165" i="39"/>
  <c r="J165" i="39"/>
  <c r="K165" i="39"/>
  <c r="L165" i="39"/>
  <c r="M165" i="39"/>
  <c r="N165" i="39"/>
  <c r="O165" i="39"/>
  <c r="P165" i="39"/>
  <c r="D171" i="39"/>
  <c r="E171" i="39"/>
  <c r="D172" i="39"/>
  <c r="E172" i="39"/>
  <c r="G173" i="39"/>
  <c r="H173" i="39"/>
  <c r="I173" i="39"/>
  <c r="J173" i="39"/>
  <c r="K173" i="39"/>
  <c r="L173" i="39"/>
  <c r="M173" i="39"/>
  <c r="N173" i="39"/>
  <c r="O173" i="39"/>
  <c r="D175" i="39"/>
  <c r="E175" i="39"/>
  <c r="D176" i="39"/>
  <c r="E176" i="39"/>
  <c r="D177" i="39"/>
  <c r="E177" i="39"/>
  <c r="E183" i="39"/>
  <c r="D185" i="39"/>
  <c r="E185" i="39"/>
  <c r="D186" i="39"/>
  <c r="E186" i="39"/>
  <c r="D187" i="39"/>
  <c r="E187" i="39"/>
  <c r="D188" i="39"/>
  <c r="E188" i="39"/>
  <c r="D189" i="39"/>
  <c r="E189" i="39"/>
  <c r="D190" i="39"/>
  <c r="E190" i="39"/>
  <c r="D191" i="39"/>
  <c r="E191" i="39"/>
  <c r="D192" i="39"/>
  <c r="E192" i="39"/>
  <c r="D193" i="39"/>
  <c r="E193" i="39"/>
  <c r="D195" i="39"/>
  <c r="E195" i="39"/>
  <c r="D196" i="39"/>
  <c r="E196" i="39"/>
  <c r="D197" i="39"/>
  <c r="E197" i="39"/>
  <c r="D198" i="39"/>
  <c r="E198" i="39"/>
  <c r="D199" i="39"/>
  <c r="E199" i="39"/>
  <c r="E200" i="39"/>
  <c r="E203" i="39"/>
  <c r="E204" i="39"/>
  <c r="E205" i="39"/>
  <c r="D206" i="39"/>
  <c r="E206" i="39"/>
  <c r="D207" i="39"/>
  <c r="E207" i="39"/>
  <c r="D208" i="39"/>
  <c r="E208" i="39"/>
  <c r="D209" i="39"/>
  <c r="E209" i="39"/>
  <c r="D210" i="39"/>
  <c r="E210" i="39"/>
  <c r="D211" i="39"/>
  <c r="E211" i="39"/>
  <c r="D212" i="39"/>
  <c r="E212" i="39"/>
  <c r="D213" i="39"/>
  <c r="E213" i="39"/>
  <c r="E214" i="39"/>
  <c r="D215" i="39"/>
  <c r="E215" i="39"/>
  <c r="D218" i="39"/>
  <c r="E218" i="39"/>
  <c r="D219" i="39"/>
  <c r="E219" i="39"/>
  <c r="D220" i="39"/>
  <c r="E220" i="39"/>
  <c r="D221" i="39"/>
  <c r="E221" i="39"/>
  <c r="D226" i="39"/>
  <c r="E226" i="39"/>
  <c r="D227" i="39"/>
  <c r="E227" i="39"/>
  <c r="D233" i="39"/>
  <c r="E233" i="39"/>
  <c r="D234" i="39"/>
  <c r="E234" i="39"/>
  <c r="D235" i="39"/>
  <c r="E235" i="39"/>
  <c r="D236" i="39"/>
  <c r="E236" i="39"/>
  <c r="D237" i="39"/>
  <c r="E237" i="39"/>
  <c r="D238" i="39"/>
  <c r="E238" i="39"/>
  <c r="D239" i="39"/>
  <c r="E239" i="39"/>
  <c r="D240" i="39"/>
  <c r="E240" i="39"/>
  <c r="D241" i="39"/>
  <c r="D243" i="39"/>
  <c r="E243" i="39"/>
  <c r="D244" i="39"/>
  <c r="E244" i="39"/>
  <c r="D245" i="39"/>
  <c r="E245" i="39"/>
  <c r="D246" i="39"/>
  <c r="E246" i="39"/>
  <c r="D247" i="39"/>
  <c r="E247" i="39"/>
  <c r="D248" i="39"/>
  <c r="E248" i="39"/>
  <c r="D251" i="39"/>
  <c r="E251" i="39"/>
  <c r="D253" i="39"/>
  <c r="E253" i="39"/>
  <c r="D254" i="39"/>
  <c r="E254" i="39"/>
  <c r="D255" i="39"/>
  <c r="E255" i="39"/>
  <c r="D256" i="39"/>
  <c r="C256" i="39" s="1"/>
  <c r="D257" i="39"/>
  <c r="E257" i="39"/>
  <c r="D258" i="39"/>
  <c r="E258" i="39"/>
  <c r="D259" i="39"/>
  <c r="E259" i="39"/>
  <c r="D260" i="39"/>
  <c r="E260" i="39"/>
  <c r="D261" i="39"/>
  <c r="E261" i="39"/>
  <c r="D262" i="39"/>
  <c r="E262" i="39"/>
  <c r="D263" i="39"/>
  <c r="E263" i="39"/>
  <c r="D266" i="39"/>
  <c r="E266" i="39"/>
  <c r="D267" i="39"/>
  <c r="E267" i="39"/>
  <c r="D268" i="39"/>
  <c r="E268" i="39"/>
  <c r="D269" i="39"/>
  <c r="E269" i="39"/>
  <c r="D274" i="39"/>
  <c r="E274" i="39"/>
  <c r="E275" i="39"/>
  <c r="C275" i="39" s="1"/>
  <c r="D281" i="39"/>
  <c r="E281" i="39"/>
  <c r="D282" i="39"/>
  <c r="E282" i="39"/>
  <c r="D283" i="39"/>
  <c r="E283" i="39"/>
  <c r="F288" i="39"/>
  <c r="H288" i="39"/>
  <c r="J288" i="39"/>
  <c r="K288" i="39"/>
  <c r="L288" i="39"/>
  <c r="M288" i="39"/>
  <c r="N288" i="39"/>
  <c r="O288" i="39"/>
  <c r="P288" i="39"/>
  <c r="Q288" i="39"/>
  <c r="R288" i="39"/>
  <c r="S288" i="39"/>
  <c r="T288" i="39"/>
  <c r="U288" i="39"/>
  <c r="V288" i="39"/>
  <c r="W288" i="39"/>
  <c r="X288" i="39"/>
  <c r="Y288" i="39"/>
  <c r="Z288" i="39"/>
  <c r="AB288" i="39"/>
  <c r="AD288" i="39"/>
  <c r="AE288" i="39"/>
  <c r="AF288" i="39"/>
  <c r="AG288" i="39"/>
  <c r="AH288" i="39"/>
  <c r="AI288" i="39"/>
  <c r="AJ288" i="39"/>
  <c r="AK288" i="39"/>
  <c r="AM288" i="39"/>
  <c r="AN288" i="39"/>
  <c r="AO288" i="39"/>
  <c r="AP288" i="39"/>
  <c r="AQ288" i="39"/>
  <c r="AR288" i="39"/>
  <c r="AS288" i="39"/>
  <c r="AT288" i="39"/>
  <c r="AU288" i="39"/>
  <c r="D299" i="39"/>
  <c r="E299" i="39"/>
  <c r="D300" i="39"/>
  <c r="E300" i="39"/>
  <c r="D301" i="39"/>
  <c r="E301" i="39"/>
  <c r="D302" i="39"/>
  <c r="E302" i="39"/>
  <c r="D303" i="39"/>
  <c r="E303" i="39"/>
  <c r="D304" i="39"/>
  <c r="E304" i="39"/>
  <c r="D305" i="39"/>
  <c r="E305" i="39"/>
  <c r="D306" i="39"/>
  <c r="E306" i="39"/>
  <c r="D327" i="39"/>
  <c r="E327" i="39"/>
  <c r="D328" i="39"/>
  <c r="E328" i="39"/>
  <c r="C334" i="39"/>
  <c r="B334" i="39" s="1"/>
  <c r="E49" i="38"/>
  <c r="E51" i="38"/>
  <c r="E52" i="38"/>
  <c r="E55" i="38"/>
  <c r="E56" i="38"/>
  <c r="E57" i="38"/>
  <c r="E58" i="38"/>
  <c r="D59" i="38"/>
  <c r="E59" i="38"/>
  <c r="D60" i="38"/>
  <c r="E60" i="38"/>
  <c r="D61" i="38"/>
  <c r="E61" i="38"/>
  <c r="D62" i="38"/>
  <c r="E62" i="38"/>
  <c r="C72" i="38"/>
  <c r="C73" i="38"/>
  <c r="C74" i="38"/>
  <c r="B81" i="38"/>
  <c r="B82" i="38"/>
  <c r="B83" i="38"/>
  <c r="A266" i="43" l="1"/>
  <c r="B89" i="40"/>
  <c r="CQ52" i="44"/>
  <c r="CP52" i="44"/>
  <c r="CQ51" i="44"/>
  <c r="CP51" i="44"/>
  <c r="CQ40" i="44"/>
  <c r="CP40" i="44"/>
  <c r="CQ41" i="44"/>
  <c r="CP41" i="44"/>
  <c r="CQ50" i="44"/>
  <c r="CP50" i="44"/>
  <c r="CP39" i="44"/>
  <c r="CQ39" i="44"/>
  <c r="CQ56" i="44"/>
  <c r="CP56" i="44"/>
  <c r="CQ45" i="44"/>
  <c r="CP45" i="44"/>
  <c r="CQ37" i="44"/>
  <c r="CP37" i="44"/>
  <c r="CQ55" i="44"/>
  <c r="CP55" i="44"/>
  <c r="CQ44" i="44"/>
  <c r="CP44" i="44"/>
  <c r="CQ36" i="44"/>
  <c r="CP36" i="44"/>
  <c r="CQ49" i="44"/>
  <c r="CP49" i="44"/>
  <c r="CP38" i="44"/>
  <c r="CQ38" i="44"/>
  <c r="CP54" i="44"/>
  <c r="CQ54" i="44"/>
  <c r="CQ43" i="44"/>
  <c r="CP43" i="44"/>
  <c r="CQ35" i="44"/>
  <c r="CP35" i="44"/>
  <c r="CQ57" i="44"/>
  <c r="CP57" i="44"/>
  <c r="CQ53" i="44"/>
  <c r="CP53" i="44"/>
  <c r="CQ42" i="44"/>
  <c r="CP42" i="44"/>
  <c r="CQ34" i="44"/>
  <c r="CP34" i="44"/>
  <c r="CP32" i="44"/>
  <c r="CQ32" i="44"/>
  <c r="CA32" i="44"/>
  <c r="CB32" i="44"/>
  <c r="CB57" i="44"/>
  <c r="CA57" i="44"/>
  <c r="CB56" i="44"/>
  <c r="CA56" i="44"/>
  <c r="CB55" i="44"/>
  <c r="CA55" i="44"/>
  <c r="CB54" i="44"/>
  <c r="CA54" i="44"/>
  <c r="CB53" i="44"/>
  <c r="CA53" i="44"/>
  <c r="CB52" i="44"/>
  <c r="CA52" i="44"/>
  <c r="CB51" i="44"/>
  <c r="CA51" i="44"/>
  <c r="CB50" i="44"/>
  <c r="CA50" i="44"/>
  <c r="CB49" i="44"/>
  <c r="CA49" i="44"/>
  <c r="CB45" i="44"/>
  <c r="CA45" i="44"/>
  <c r="CB44" i="44"/>
  <c r="CA44" i="44"/>
  <c r="CB43" i="44"/>
  <c r="CA43" i="44"/>
  <c r="CB42" i="44"/>
  <c r="CA42" i="44"/>
  <c r="CA41" i="44"/>
  <c r="CB41" i="44"/>
  <c r="CB40" i="44"/>
  <c r="CA40" i="44"/>
  <c r="CB39" i="44"/>
  <c r="CA39" i="44"/>
  <c r="CB38" i="44"/>
  <c r="CA38" i="44"/>
  <c r="CB37" i="44"/>
  <c r="CA37" i="44"/>
  <c r="CB36" i="44"/>
  <c r="CA36" i="44"/>
  <c r="CB35" i="44"/>
  <c r="CA35" i="44"/>
  <c r="CB34" i="44"/>
  <c r="CA34" i="44"/>
  <c r="D147" i="39"/>
  <c r="E147" i="39"/>
  <c r="B17" i="44"/>
  <c r="E94" i="40"/>
  <c r="D94" i="40"/>
  <c r="D198" i="40"/>
  <c r="C198" i="40"/>
  <c r="F112" i="43"/>
  <c r="CN56" i="44"/>
  <c r="CO56" i="44"/>
  <c r="CN50" i="44"/>
  <c r="CO50" i="44"/>
  <c r="CN44" i="44"/>
  <c r="CO44" i="44"/>
  <c r="CN41" i="44"/>
  <c r="CO41" i="44"/>
  <c r="C269" i="39"/>
  <c r="D160" i="39"/>
  <c r="E160" i="39"/>
  <c r="C248" i="39"/>
  <c r="C244" i="39"/>
  <c r="C239" i="39"/>
  <c r="D173" i="39"/>
  <c r="E173" i="39"/>
  <c r="C267" i="39"/>
  <c r="C75" i="38"/>
  <c r="C253" i="39"/>
  <c r="C246" i="39"/>
  <c r="C241" i="39"/>
  <c r="C235" i="39"/>
  <c r="C251" i="39"/>
  <c r="C245" i="39"/>
  <c r="C247" i="39"/>
  <c r="C243" i="39"/>
  <c r="C262" i="39"/>
  <c r="C260" i="39"/>
  <c r="C258" i="39"/>
  <c r="C257" i="39"/>
  <c r="C274" i="39"/>
  <c r="C268" i="39"/>
  <c r="C266" i="39"/>
  <c r="C263" i="39"/>
  <c r="C261" i="39"/>
  <c r="C259" i="39"/>
  <c r="C254" i="39"/>
  <c r="C255" i="39"/>
  <c r="C240" i="39"/>
  <c r="C236" i="39"/>
  <c r="C238" i="39"/>
  <c r="C237" i="39"/>
  <c r="C194" i="39"/>
  <c r="C203" i="39"/>
  <c r="C199" i="39"/>
  <c r="C197" i="39"/>
  <c r="C195" i="39"/>
  <c r="C227" i="39"/>
  <c r="C219" i="39"/>
  <c r="C214" i="39"/>
  <c r="C210" i="39"/>
  <c r="C205" i="39"/>
  <c r="C204" i="39"/>
  <c r="C221" i="39"/>
  <c r="C212" i="39"/>
  <c r="C209" i="39"/>
  <c r="C207" i="39"/>
  <c r="C226" i="39"/>
  <c r="C220" i="39"/>
  <c r="C218" i="39"/>
  <c r="C215" i="39"/>
  <c r="C213" i="39"/>
  <c r="C211" i="39"/>
  <c r="C208" i="39"/>
  <c r="C206" i="39"/>
  <c r="C200" i="39"/>
  <c r="C198" i="39"/>
  <c r="C196" i="39"/>
  <c r="C192" i="39"/>
  <c r="C188" i="39"/>
  <c r="C190" i="39"/>
  <c r="C193" i="39"/>
  <c r="C191" i="39"/>
  <c r="C189" i="39"/>
  <c r="C187" i="39"/>
  <c r="C183" i="39"/>
  <c r="E165" i="39"/>
  <c r="D165" i="39"/>
  <c r="M153" i="39"/>
  <c r="C144" i="39"/>
  <c r="H153" i="39"/>
  <c r="E152" i="39"/>
  <c r="G153" i="39"/>
  <c r="D152" i="39"/>
  <c r="CD112" i="43"/>
  <c r="C140" i="39"/>
  <c r="C170" i="39"/>
  <c r="C48" i="38"/>
  <c r="C151" i="39"/>
  <c r="C33" i="42"/>
  <c r="CI33" i="42" s="1"/>
  <c r="CC33" i="42" s="1"/>
  <c r="C19" i="42"/>
  <c r="CG19" i="42" s="1"/>
  <c r="CA19" i="42" s="1"/>
  <c r="O166" i="39"/>
  <c r="G166" i="39"/>
  <c r="C46" i="38"/>
  <c r="B45" i="40"/>
  <c r="B61" i="40"/>
  <c r="B41" i="40"/>
  <c r="B199" i="40"/>
  <c r="B27" i="44"/>
  <c r="C99" i="40"/>
  <c r="C158" i="39"/>
  <c r="C100" i="39"/>
  <c r="C52" i="42"/>
  <c r="CI52" i="42" s="1"/>
  <c r="CC52" i="42" s="1"/>
  <c r="C37" i="42"/>
  <c r="CI37" i="42" s="1"/>
  <c r="CC37" i="42" s="1"/>
  <c r="C29" i="42"/>
  <c r="CI29" i="42" s="1"/>
  <c r="CC29" i="42" s="1"/>
  <c r="C16" i="42"/>
  <c r="CG16" i="42" s="1"/>
  <c r="CA16" i="42" s="1"/>
  <c r="C98" i="40"/>
  <c r="C21" i="42"/>
  <c r="CG21" i="42" s="1"/>
  <c r="CA21" i="42" s="1"/>
  <c r="B12" i="44"/>
  <c r="C281" i="39"/>
  <c r="C301" i="39"/>
  <c r="C303" i="39"/>
  <c r="C185" i="39"/>
  <c r="C327" i="39"/>
  <c r="P166" i="39"/>
  <c r="C186" i="39"/>
  <c r="C304" i="39"/>
  <c r="C305" i="39"/>
  <c r="C161" i="39"/>
  <c r="C83" i="42"/>
  <c r="CI83" i="42" s="1"/>
  <c r="CC83" i="42" s="1"/>
  <c r="CI79" i="42"/>
  <c r="CC79" i="42" s="1"/>
  <c r="L166" i="39"/>
  <c r="C22" i="42"/>
  <c r="CH22" i="42" s="1"/>
  <c r="CB22" i="42" s="1"/>
  <c r="C17" i="42"/>
  <c r="CG17" i="42" s="1"/>
  <c r="CA17" i="42" s="1"/>
  <c r="C24" i="42"/>
  <c r="CG24" i="42" s="1"/>
  <c r="CA24" i="42" s="1"/>
  <c r="C14" i="42"/>
  <c r="J166" i="39"/>
  <c r="C93" i="39"/>
  <c r="C41" i="42"/>
  <c r="CI41" i="42" s="1"/>
  <c r="CC41" i="42" s="1"/>
  <c r="B203" i="40"/>
  <c r="B25" i="44"/>
  <c r="B20" i="44"/>
  <c r="C65" i="38"/>
  <c r="C60" i="38"/>
  <c r="C56" i="38"/>
  <c r="C51" i="38"/>
  <c r="C328" i="39"/>
  <c r="C280" i="39"/>
  <c r="H166" i="39"/>
  <c r="C146" i="39"/>
  <c r="B40" i="40"/>
  <c r="C299" i="39"/>
  <c r="C177" i="39"/>
  <c r="I166" i="39"/>
  <c r="I153" i="39"/>
  <c r="C101" i="39"/>
  <c r="C23" i="42"/>
  <c r="CG23" i="42" s="1"/>
  <c r="CA23" i="42" s="1"/>
  <c r="B22" i="44"/>
  <c r="B21" i="44"/>
  <c r="C68" i="42"/>
  <c r="CI68" i="42" s="1"/>
  <c r="CC68" i="42" s="1"/>
  <c r="C67" i="42"/>
  <c r="CH67" i="42" s="1"/>
  <c r="CB67" i="42" s="1"/>
  <c r="C51" i="42"/>
  <c r="CH51" i="42" s="1"/>
  <c r="CB51" i="42" s="1"/>
  <c r="C48" i="42"/>
  <c r="CH48" i="42" s="1"/>
  <c r="CB48" i="42" s="1"/>
  <c r="C44" i="42"/>
  <c r="CH44" i="42" s="1"/>
  <c r="CB44" i="42" s="1"/>
  <c r="C27" i="42"/>
  <c r="CH27" i="42" s="1"/>
  <c r="CB27" i="42" s="1"/>
  <c r="C26" i="42"/>
  <c r="CI26" i="42" s="1"/>
  <c r="CC26" i="42" s="1"/>
  <c r="C20" i="42"/>
  <c r="CG20" i="42" s="1"/>
  <c r="CA20" i="42" s="1"/>
  <c r="C18" i="42"/>
  <c r="CI18" i="42" s="1"/>
  <c r="CC18" i="42" s="1"/>
  <c r="C15" i="42"/>
  <c r="CG15" i="42" s="1"/>
  <c r="CA15" i="42" s="1"/>
  <c r="C67" i="38"/>
  <c r="C326" i="39"/>
  <c r="C100" i="40"/>
  <c r="C66" i="38"/>
  <c r="C61" i="38"/>
  <c r="C57" i="38"/>
  <c r="C139" i="39"/>
  <c r="B201" i="40"/>
  <c r="C282" i="39"/>
  <c r="C176" i="39"/>
  <c r="K153" i="39"/>
  <c r="C64" i="38"/>
  <c r="C49" i="38"/>
  <c r="C234" i="39"/>
  <c r="C164" i="39"/>
  <c r="B65" i="40"/>
  <c r="C174" i="39"/>
  <c r="N166" i="39"/>
  <c r="F166" i="39"/>
  <c r="L153" i="39"/>
  <c r="B202" i="40"/>
  <c r="K166" i="39"/>
  <c r="C150" i="39"/>
  <c r="J153" i="39"/>
  <c r="C92" i="39"/>
  <c r="B43" i="40"/>
  <c r="C172" i="39"/>
  <c r="C163" i="39"/>
  <c r="C157" i="39"/>
  <c r="B200" i="40"/>
  <c r="M166" i="39"/>
  <c r="C91" i="39"/>
  <c r="B42" i="40"/>
  <c r="C300" i="39"/>
  <c r="C233" i="39"/>
  <c r="C175" i="39"/>
  <c r="C137" i="39"/>
  <c r="B64" i="40"/>
  <c r="C81" i="42"/>
  <c r="CI81" i="42" s="1"/>
  <c r="CC81" i="42" s="1"/>
  <c r="C63" i="42"/>
  <c r="CH63" i="42" s="1"/>
  <c r="CB63" i="42" s="1"/>
  <c r="C32" i="42"/>
  <c r="CG32" i="42" s="1"/>
  <c r="CA32" i="42" s="1"/>
  <c r="B28" i="44"/>
  <c r="B19" i="44"/>
  <c r="C55" i="42"/>
  <c r="CH55" i="42" s="1"/>
  <c r="CB55" i="42" s="1"/>
  <c r="B18" i="44"/>
  <c r="C59" i="42"/>
  <c r="CH59" i="42" s="1"/>
  <c r="CB59" i="42" s="1"/>
  <c r="C25" i="42"/>
  <c r="CH25" i="42" s="1"/>
  <c r="CB25" i="42" s="1"/>
  <c r="B13" i="44"/>
  <c r="C54" i="38"/>
  <c r="C62" i="38"/>
  <c r="C52" i="38"/>
  <c r="C59" i="38"/>
  <c r="C145" i="39"/>
  <c r="C58" i="38"/>
  <c r="C55" i="38"/>
  <c r="C162" i="39"/>
  <c r="C148" i="39"/>
  <c r="C96" i="40"/>
  <c r="C47" i="38"/>
  <c r="C306" i="39"/>
  <c r="C302" i="39"/>
  <c r="C298" i="39"/>
  <c r="E288" i="39"/>
  <c r="C283" i="39"/>
  <c r="C171" i="39"/>
  <c r="C159" i="39"/>
  <c r="C149" i="39"/>
  <c r="C138" i="39"/>
  <c r="C99" i="39"/>
  <c r="C66" i="40"/>
  <c r="B62" i="40"/>
  <c r="D288" i="39"/>
  <c r="D66" i="40"/>
  <c r="C101" i="40"/>
  <c r="B63" i="40"/>
  <c r="B60" i="40"/>
  <c r="DA60" i="40" s="1"/>
  <c r="B44" i="40"/>
  <c r="C49" i="42"/>
  <c r="C56" i="42"/>
  <c r="C60" i="42"/>
  <c r="C45" i="42"/>
  <c r="C85" i="42"/>
  <c r="C28" i="42"/>
  <c r="C66" i="42"/>
  <c r="C62" i="42"/>
  <c r="C58" i="42"/>
  <c r="C54" i="42"/>
  <c r="C50" i="42"/>
  <c r="C47" i="42"/>
  <c r="C43" i="42"/>
  <c r="C36" i="42"/>
  <c r="C60" i="44"/>
  <c r="C84" i="42"/>
  <c r="C82" i="42"/>
  <c r="C80" i="42"/>
  <c r="C65" i="42"/>
  <c r="C61" i="42"/>
  <c r="C57" i="42"/>
  <c r="C53" i="42"/>
  <c r="C46" i="42"/>
  <c r="C40" i="42"/>
  <c r="C42" i="42"/>
  <c r="C38" i="42"/>
  <c r="C34" i="42"/>
  <c r="C30" i="42"/>
  <c r="C39" i="42"/>
  <c r="C35" i="42"/>
  <c r="C31" i="42"/>
  <c r="B24" i="44"/>
  <c r="A225" i="44" l="1"/>
  <c r="F28" i="28" s="1"/>
  <c r="A193" i="38"/>
  <c r="CH17" i="42"/>
  <c r="CB17" i="42" s="1"/>
  <c r="CQ24" i="44"/>
  <c r="CD24" i="44" s="1"/>
  <c r="CP24" i="44"/>
  <c r="CC24" i="44" s="1"/>
  <c r="CQ21" i="44"/>
  <c r="CD21" i="44" s="1"/>
  <c r="CP21" i="44"/>
  <c r="CC21" i="44" s="1"/>
  <c r="CQ12" i="44"/>
  <c r="CD12" i="44" s="1"/>
  <c r="CP12" i="44"/>
  <c r="CQ18" i="44"/>
  <c r="CD18" i="44" s="1"/>
  <c r="CP18" i="44"/>
  <c r="CC18" i="44" s="1"/>
  <c r="CQ22" i="44"/>
  <c r="CD22" i="44" s="1"/>
  <c r="CP22" i="44"/>
  <c r="CC22" i="44" s="1"/>
  <c r="CQ20" i="44"/>
  <c r="CP20" i="44"/>
  <c r="CC20" i="44" s="1"/>
  <c r="CP25" i="44"/>
  <c r="CC25" i="44" s="1"/>
  <c r="CQ25" i="44"/>
  <c r="CD25" i="44" s="1"/>
  <c r="CP27" i="44"/>
  <c r="CC27" i="44" s="1"/>
  <c r="CQ27" i="44"/>
  <c r="CD27" i="44" s="1"/>
  <c r="CQ60" i="44"/>
  <c r="CD60" i="44" s="1"/>
  <c r="CP60" i="44"/>
  <c r="CQ19" i="44"/>
  <c r="CP19" i="44"/>
  <c r="CC19" i="44" s="1"/>
  <c r="CP17" i="44"/>
  <c r="CC17" i="44" s="1"/>
  <c r="CQ17" i="44"/>
  <c r="CQ28" i="44"/>
  <c r="CD28" i="44" s="1"/>
  <c r="CP28" i="44"/>
  <c r="CC28" i="44" s="1"/>
  <c r="CP13" i="44"/>
  <c r="CC13" i="44" s="1"/>
  <c r="CQ13" i="44"/>
  <c r="CD13" i="44" s="1"/>
  <c r="DA47" i="45"/>
  <c r="CA47" i="45"/>
  <c r="CA22" i="44"/>
  <c r="CB22" i="44"/>
  <c r="CB21" i="44"/>
  <c r="CA21" i="44"/>
  <c r="CB25" i="44"/>
  <c r="CA25" i="44"/>
  <c r="CB28" i="44"/>
  <c r="CA28" i="44"/>
  <c r="CA27" i="44"/>
  <c r="CB27" i="44"/>
  <c r="DA46" i="45"/>
  <c r="CA46" i="45"/>
  <c r="CA48" i="45"/>
  <c r="DA48" i="45"/>
  <c r="CB24" i="44"/>
  <c r="CA24" i="44"/>
  <c r="CB60" i="44"/>
  <c r="CA60" i="44"/>
  <c r="CB33" i="44"/>
  <c r="CA33" i="44"/>
  <c r="CB20" i="44"/>
  <c r="CA20" i="44"/>
  <c r="CB19" i="44"/>
  <c r="CA19" i="44"/>
  <c r="CB18" i="44"/>
  <c r="CA18" i="44"/>
  <c r="CB17" i="44"/>
  <c r="CA17" i="44"/>
  <c r="CB13" i="44"/>
  <c r="CA13" i="44"/>
  <c r="CB12" i="44"/>
  <c r="CA12" i="44"/>
  <c r="C173" i="39"/>
  <c r="C147" i="39"/>
  <c r="CH14" i="42"/>
  <c r="CB14" i="42" s="1"/>
  <c r="A207" i="42"/>
  <c r="F19" i="28" s="1"/>
  <c r="DA61" i="40"/>
  <c r="CA61" i="40" s="1"/>
  <c r="AO61" i="40" s="1"/>
  <c r="CA60" i="40"/>
  <c r="AO60" i="40" s="1"/>
  <c r="DA64" i="40"/>
  <c r="CA64" i="40" s="1"/>
  <c r="AO64" i="40" s="1"/>
  <c r="DA63" i="40"/>
  <c r="CA63" i="40" s="1"/>
  <c r="AO63" i="40" s="1"/>
  <c r="DA62" i="40"/>
  <c r="CA62" i="40" s="1"/>
  <c r="AO62" i="40" s="1"/>
  <c r="CD64" i="44"/>
  <c r="CD62" i="44"/>
  <c r="CD58" i="44"/>
  <c r="CD56" i="44"/>
  <c r="CD54" i="44"/>
  <c r="CD52" i="44"/>
  <c r="CD50" i="44"/>
  <c r="CD48" i="44"/>
  <c r="CD46" i="44"/>
  <c r="CC63" i="44"/>
  <c r="CC60" i="44"/>
  <c r="CD57" i="44"/>
  <c r="CC55" i="44"/>
  <c r="CC52" i="44"/>
  <c r="CD49" i="44"/>
  <c r="CC47" i="44"/>
  <c r="CD44" i="44"/>
  <c r="CD42" i="44"/>
  <c r="CD40" i="44"/>
  <c r="CD38" i="44"/>
  <c r="CD36" i="44"/>
  <c r="CD34" i="44"/>
  <c r="CD32" i="44"/>
  <c r="CC26" i="44"/>
  <c r="CC16" i="44"/>
  <c r="CC14" i="44"/>
  <c r="CC62" i="44"/>
  <c r="CD59" i="44"/>
  <c r="CC57" i="44"/>
  <c r="CC54" i="44"/>
  <c r="CD51" i="44"/>
  <c r="CC49" i="44"/>
  <c r="CC46" i="44"/>
  <c r="CC44" i="44"/>
  <c r="CC42" i="44"/>
  <c r="CC40" i="44"/>
  <c r="CC38" i="44"/>
  <c r="CC36" i="44"/>
  <c r="CC34" i="44"/>
  <c r="CC32" i="44"/>
  <c r="CD23" i="44"/>
  <c r="CD19" i="44"/>
  <c r="CD17" i="44"/>
  <c r="CD15" i="44"/>
  <c r="CC64" i="44"/>
  <c r="CD61" i="44"/>
  <c r="CC59" i="44"/>
  <c r="CC56" i="44"/>
  <c r="CD53" i="44"/>
  <c r="CC51" i="44"/>
  <c r="CC48" i="44"/>
  <c r="CD45" i="44"/>
  <c r="CD43" i="44"/>
  <c r="CD41" i="44"/>
  <c r="CD39" i="44"/>
  <c r="CD37" i="44"/>
  <c r="CD35" i="44"/>
  <c r="CD33" i="44"/>
  <c r="CC23" i="44"/>
  <c r="CC15" i="44"/>
  <c r="CD63" i="44"/>
  <c r="CC61" i="44"/>
  <c r="CC58" i="44"/>
  <c r="CD55" i="44"/>
  <c r="CC53" i="44"/>
  <c r="CC50" i="44"/>
  <c r="R50" i="44" s="1"/>
  <c r="CD47" i="44"/>
  <c r="CC45" i="44"/>
  <c r="CC43" i="44"/>
  <c r="CC41" i="44"/>
  <c r="CC39" i="44"/>
  <c r="CC37" i="44"/>
  <c r="CC35" i="44"/>
  <c r="CC33" i="44"/>
  <c r="CD26" i="44"/>
  <c r="CD20" i="44"/>
  <c r="CD16" i="44"/>
  <c r="CD14" i="44"/>
  <c r="F8" i="28"/>
  <c r="C94" i="40"/>
  <c r="B198" i="40"/>
  <c r="CG51" i="42"/>
  <c r="CA51" i="42" s="1"/>
  <c r="CG18" i="42"/>
  <c r="CA18" i="42" s="1"/>
  <c r="CH18" i="42"/>
  <c r="CB18" i="42" s="1"/>
  <c r="CN60" i="44"/>
  <c r="CO60" i="44"/>
  <c r="CN33" i="44"/>
  <c r="CO33" i="44"/>
  <c r="C288" i="39"/>
  <c r="CG29" i="42"/>
  <c r="CA29" i="42" s="1"/>
  <c r="E153" i="39"/>
  <c r="CI51" i="42"/>
  <c r="CC51" i="42" s="1"/>
  <c r="CH26" i="42"/>
  <c r="CB26" i="42" s="1"/>
  <c r="C152" i="39"/>
  <c r="D153" i="39"/>
  <c r="C160" i="39"/>
  <c r="C165" i="39"/>
  <c r="CH19" i="42"/>
  <c r="CB19" i="42" s="1"/>
  <c r="CI19" i="42"/>
  <c r="CC19" i="42" s="1"/>
  <c r="D8" i="28"/>
  <c r="CI32" i="42"/>
  <c r="CC32" i="42" s="1"/>
  <c r="CG52" i="42"/>
  <c r="CA52" i="42" s="1"/>
  <c r="CI21" i="42"/>
  <c r="CC21" i="42" s="1"/>
  <c r="CI27" i="42"/>
  <c r="CC27" i="42" s="1"/>
  <c r="CG48" i="42"/>
  <c r="CA48" i="42" s="1"/>
  <c r="CG27" i="42"/>
  <c r="CA27" i="42" s="1"/>
  <c r="CI48" i="42"/>
  <c r="CC48" i="42" s="1"/>
  <c r="CG26" i="42"/>
  <c r="CA26" i="42" s="1"/>
  <c r="CH29" i="42"/>
  <c r="CB29" i="42" s="1"/>
  <c r="CG59" i="42"/>
  <c r="CA59" i="42" s="1"/>
  <c r="T112" i="43"/>
  <c r="CH21" i="42"/>
  <c r="CB21" i="42" s="1"/>
  <c r="CG33" i="42"/>
  <c r="CA33" i="42" s="1"/>
  <c r="CI15" i="42"/>
  <c r="CC15" i="42" s="1"/>
  <c r="T111" i="43"/>
  <c r="CH79" i="42"/>
  <c r="CB79" i="42" s="1"/>
  <c r="AT79" i="42" s="1"/>
  <c r="CH52" i="42"/>
  <c r="CB52" i="42" s="1"/>
  <c r="CI14" i="42"/>
  <c r="CC14" i="42" s="1"/>
  <c r="CH68" i="42"/>
  <c r="CB68" i="42" s="1"/>
  <c r="CI17" i="42"/>
  <c r="CC17" i="42" s="1"/>
  <c r="CH33" i="42"/>
  <c r="CB33" i="42" s="1"/>
  <c r="CH15" i="42"/>
  <c r="CB15" i="42" s="1"/>
  <c r="E166" i="39"/>
  <c r="CI22" i="42"/>
  <c r="CC22" i="42" s="1"/>
  <c r="CH41" i="42"/>
  <c r="CB41" i="42" s="1"/>
  <c r="CH81" i="42"/>
  <c r="CB81" i="42" s="1"/>
  <c r="AT81" i="42" s="1"/>
  <c r="CG41" i="42"/>
  <c r="CA41" i="42" s="1"/>
  <c r="CG25" i="42"/>
  <c r="CA25" i="42" s="1"/>
  <c r="CG68" i="42"/>
  <c r="CA68" i="42" s="1"/>
  <c r="CH16" i="42"/>
  <c r="CB16" i="42" s="1"/>
  <c r="CG14" i="42"/>
  <c r="CA14" i="42" s="1"/>
  <c r="CI25" i="42"/>
  <c r="CC25" i="42" s="1"/>
  <c r="CI16" i="42"/>
  <c r="CC16" i="42" s="1"/>
  <c r="CG67" i="42"/>
  <c r="CA67" i="42" s="1"/>
  <c r="CG37" i="42"/>
  <c r="CA37" i="42" s="1"/>
  <c r="CH20" i="42"/>
  <c r="CB20" i="42" s="1"/>
  <c r="CH83" i="42"/>
  <c r="CB83" i="42" s="1"/>
  <c r="AT83" i="42" s="1"/>
  <c r="CG22" i="42"/>
  <c r="CA22" i="42" s="1"/>
  <c r="CI59" i="42"/>
  <c r="CC59" i="42" s="1"/>
  <c r="CH37" i="42"/>
  <c r="CB37" i="42" s="1"/>
  <c r="CI23" i="42"/>
  <c r="CC23" i="42" s="1"/>
  <c r="CG44" i="42"/>
  <c r="CA44" i="42" s="1"/>
  <c r="CH23" i="42"/>
  <c r="CB23" i="42" s="1"/>
  <c r="CH32" i="42"/>
  <c r="CB32" i="42" s="1"/>
  <c r="CI20" i="42"/>
  <c r="CC20" i="42" s="1"/>
  <c r="CH24" i="42"/>
  <c r="CB24" i="42" s="1"/>
  <c r="F23" i="28"/>
  <c r="CI24" i="42"/>
  <c r="CC24" i="42" s="1"/>
  <c r="CI44" i="42"/>
  <c r="CC44" i="42" s="1"/>
  <c r="CI67" i="42"/>
  <c r="CC67" i="42" s="1"/>
  <c r="CG63" i="42"/>
  <c r="CA63" i="42" s="1"/>
  <c r="CG55" i="42"/>
  <c r="CA55" i="42" s="1"/>
  <c r="CI63" i="42"/>
  <c r="CC63" i="42" s="1"/>
  <c r="B66" i="40"/>
  <c r="A220" i="40" s="1"/>
  <c r="CI55" i="42"/>
  <c r="CC55" i="42" s="1"/>
  <c r="CG30" i="42"/>
  <c r="CA30" i="42" s="1"/>
  <c r="CH30" i="42"/>
  <c r="CB30" i="42" s="1"/>
  <c r="CI30" i="42"/>
  <c r="CC30" i="42" s="1"/>
  <c r="CG40" i="42"/>
  <c r="CA40" i="42" s="1"/>
  <c r="CI40" i="42"/>
  <c r="CC40" i="42" s="1"/>
  <c r="CH40" i="42"/>
  <c r="CB40" i="42" s="1"/>
  <c r="CH82" i="42"/>
  <c r="CB82" i="42" s="1"/>
  <c r="CI82" i="42"/>
  <c r="CC82" i="42" s="1"/>
  <c r="CG62" i="42"/>
  <c r="CA62" i="42" s="1"/>
  <c r="CI62" i="42"/>
  <c r="CC62" i="42" s="1"/>
  <c r="CH62" i="42"/>
  <c r="CB62" i="42" s="1"/>
  <c r="CG45" i="42"/>
  <c r="CA45" i="42" s="1"/>
  <c r="CH45" i="42"/>
  <c r="CB45" i="42" s="1"/>
  <c r="CI45" i="42"/>
  <c r="CC45" i="42" s="1"/>
  <c r="CG35" i="42"/>
  <c r="CA35" i="42" s="1"/>
  <c r="CI35" i="42"/>
  <c r="CC35" i="42" s="1"/>
  <c r="CH35" i="42"/>
  <c r="CB35" i="42" s="1"/>
  <c r="CG34" i="42"/>
  <c r="CA34" i="42" s="1"/>
  <c r="CI34" i="42"/>
  <c r="CC34" i="42" s="1"/>
  <c r="CH34" i="42"/>
  <c r="CB34" i="42" s="1"/>
  <c r="CG46" i="42"/>
  <c r="CA46" i="42" s="1"/>
  <c r="CH46" i="42"/>
  <c r="CB46" i="42" s="1"/>
  <c r="CI46" i="42"/>
  <c r="CC46" i="42" s="1"/>
  <c r="CI84" i="42"/>
  <c r="CC84" i="42" s="1"/>
  <c r="CH84" i="42"/>
  <c r="CB84" i="42" s="1"/>
  <c r="CG50" i="42"/>
  <c r="CA50" i="42" s="1"/>
  <c r="CI50" i="42"/>
  <c r="CC50" i="42" s="1"/>
  <c r="CH50" i="42"/>
  <c r="CB50" i="42" s="1"/>
  <c r="CG28" i="42"/>
  <c r="CA28" i="42" s="1"/>
  <c r="CI28" i="42"/>
  <c r="CC28" i="42" s="1"/>
  <c r="CH28" i="42"/>
  <c r="CB28" i="42" s="1"/>
  <c r="CI85" i="42"/>
  <c r="CC85" i="42" s="1"/>
  <c r="CH85" i="42"/>
  <c r="CB85" i="42" s="1"/>
  <c r="D166" i="39"/>
  <c r="CG38" i="42"/>
  <c r="CA38" i="42" s="1"/>
  <c r="CI38" i="42"/>
  <c r="CC38" i="42" s="1"/>
  <c r="CH38" i="42"/>
  <c r="CB38" i="42" s="1"/>
  <c r="CG42" i="42"/>
  <c r="CA42" i="42" s="1"/>
  <c r="CH42" i="42"/>
  <c r="CB42" i="42" s="1"/>
  <c r="CI42" i="42"/>
  <c r="CC42" i="42" s="1"/>
  <c r="CG53" i="42"/>
  <c r="CA53" i="42" s="1"/>
  <c r="CH53" i="42"/>
  <c r="CB53" i="42" s="1"/>
  <c r="CI53" i="42"/>
  <c r="CC53" i="42" s="1"/>
  <c r="CG69" i="42"/>
  <c r="CA69" i="42" s="1"/>
  <c r="CH69" i="42"/>
  <c r="CB69" i="42" s="1"/>
  <c r="CI69" i="42"/>
  <c r="CC69" i="42" s="1"/>
  <c r="CH80" i="42"/>
  <c r="CB80" i="42" s="1"/>
  <c r="CI80" i="42"/>
  <c r="CC80" i="42" s="1"/>
  <c r="CG43" i="42"/>
  <c r="CA43" i="42" s="1"/>
  <c r="CI43" i="42"/>
  <c r="CC43" i="42" s="1"/>
  <c r="CH43" i="42"/>
  <c r="CB43" i="42" s="1"/>
  <c r="CG58" i="42"/>
  <c r="CA58" i="42" s="1"/>
  <c r="CI58" i="42"/>
  <c r="CC58" i="42" s="1"/>
  <c r="CH58" i="42"/>
  <c r="CB58" i="42" s="1"/>
  <c r="CI77" i="42"/>
  <c r="CC77" i="42" s="1"/>
  <c r="CH77" i="42"/>
  <c r="CB77" i="42" s="1"/>
  <c r="CG49" i="42"/>
  <c r="CA49" i="42" s="1"/>
  <c r="CH49" i="42"/>
  <c r="CB49" i="42" s="1"/>
  <c r="CI49" i="42"/>
  <c r="CC49" i="42" s="1"/>
  <c r="CG31" i="42"/>
  <c r="CA31" i="42" s="1"/>
  <c r="CI31" i="42"/>
  <c r="CC31" i="42" s="1"/>
  <c r="CH31" i="42"/>
  <c r="CB31" i="42" s="1"/>
  <c r="CG57" i="42"/>
  <c r="CA57" i="42" s="1"/>
  <c r="CH57" i="42"/>
  <c r="CB57" i="42" s="1"/>
  <c r="CI57" i="42"/>
  <c r="CC57" i="42" s="1"/>
  <c r="CG47" i="42"/>
  <c r="CA47" i="42" s="1"/>
  <c r="CI47" i="42"/>
  <c r="CC47" i="42" s="1"/>
  <c r="CH47" i="42"/>
  <c r="CB47" i="42" s="1"/>
  <c r="CI74" i="42"/>
  <c r="CC74" i="42" s="1"/>
  <c r="CH74" i="42"/>
  <c r="CB74" i="42" s="1"/>
  <c r="CG56" i="42"/>
  <c r="CA56" i="42" s="1"/>
  <c r="CH56" i="42"/>
  <c r="CB56" i="42" s="1"/>
  <c r="CI56" i="42"/>
  <c r="CC56" i="42" s="1"/>
  <c r="CG64" i="42"/>
  <c r="CA64" i="42" s="1"/>
  <c r="CH64" i="42"/>
  <c r="CB64" i="42" s="1"/>
  <c r="CI64" i="42"/>
  <c r="CC64" i="42" s="1"/>
  <c r="CG61" i="42"/>
  <c r="CA61" i="42" s="1"/>
  <c r="CH61" i="42"/>
  <c r="CB61" i="42" s="1"/>
  <c r="CI61" i="42"/>
  <c r="CC61" i="42" s="1"/>
  <c r="CG66" i="42"/>
  <c r="CA66" i="42" s="1"/>
  <c r="CI66" i="42"/>
  <c r="CC66" i="42" s="1"/>
  <c r="CH66" i="42"/>
  <c r="CB66" i="42" s="1"/>
  <c r="CI75" i="42"/>
  <c r="CC75" i="42" s="1"/>
  <c r="CH75" i="42"/>
  <c r="CB75" i="42" s="1"/>
  <c r="CG60" i="42"/>
  <c r="CA60" i="42" s="1"/>
  <c r="CH60" i="42"/>
  <c r="CB60" i="42" s="1"/>
  <c r="CI60" i="42"/>
  <c r="CC60" i="42" s="1"/>
  <c r="CG39" i="42"/>
  <c r="CA39" i="42" s="1"/>
  <c r="CI39" i="42"/>
  <c r="CC39" i="42" s="1"/>
  <c r="CH39" i="42"/>
  <c r="CB39" i="42" s="1"/>
  <c r="CG65" i="42"/>
  <c r="CA65" i="42" s="1"/>
  <c r="CH65" i="42"/>
  <c r="CB65" i="42" s="1"/>
  <c r="CI65" i="42"/>
  <c r="CC65" i="42" s="1"/>
  <c r="CH78" i="42"/>
  <c r="CB78" i="42" s="1"/>
  <c r="CI78" i="42"/>
  <c r="CC78" i="42" s="1"/>
  <c r="CG36" i="42"/>
  <c r="CA36" i="42" s="1"/>
  <c r="CI36" i="42"/>
  <c r="CC36" i="42" s="1"/>
  <c r="CH36" i="42"/>
  <c r="CB36" i="42" s="1"/>
  <c r="CG54" i="42"/>
  <c r="CA54" i="42" s="1"/>
  <c r="CI54" i="42"/>
  <c r="CC54" i="42" s="1"/>
  <c r="CH54" i="42"/>
  <c r="CB54" i="42" s="1"/>
  <c r="CI76" i="42"/>
  <c r="CC76" i="42" s="1"/>
  <c r="CH76" i="42"/>
  <c r="CB76" i="42" s="1"/>
  <c r="R54" i="44" l="1"/>
  <c r="R41" i="44"/>
  <c r="R48" i="44"/>
  <c r="R62" i="44"/>
  <c r="R64" i="44"/>
  <c r="B346" i="45"/>
  <c r="D10" i="28" s="1"/>
  <c r="U25" i="44"/>
  <c r="F15" i="28"/>
  <c r="R32" i="44"/>
  <c r="U27" i="44"/>
  <c r="U17" i="44"/>
  <c r="R60" i="44"/>
  <c r="R56" i="44"/>
  <c r="R40" i="44"/>
  <c r="R53" i="44"/>
  <c r="U22" i="44"/>
  <c r="U18" i="44"/>
  <c r="R57" i="44"/>
  <c r="R44" i="44"/>
  <c r="R52" i="44"/>
  <c r="R58" i="44"/>
  <c r="R35" i="44"/>
  <c r="R46" i="44"/>
  <c r="R49" i="44"/>
  <c r="R43" i="44"/>
  <c r="U19" i="44"/>
  <c r="R38" i="44"/>
  <c r="R61" i="44"/>
  <c r="U16" i="44"/>
  <c r="U24" i="44"/>
  <c r="R63" i="44"/>
  <c r="B220" i="40"/>
  <c r="D15" i="28" s="1"/>
  <c r="R59" i="44"/>
  <c r="R34" i="44"/>
  <c r="R42" i="44"/>
  <c r="U26" i="44"/>
  <c r="R55" i="44"/>
  <c r="R37" i="44"/>
  <c r="R45" i="44"/>
  <c r="U13" i="44"/>
  <c r="U21" i="44"/>
  <c r="R51" i="44"/>
  <c r="R36" i="44"/>
  <c r="CC12" i="44"/>
  <c r="U12" i="44" s="1"/>
  <c r="B225" i="44"/>
  <c r="D28" i="28" s="1"/>
  <c r="U20" i="44"/>
  <c r="U28" i="44"/>
  <c r="R47" i="44"/>
  <c r="R39" i="44"/>
  <c r="U15" i="44"/>
  <c r="U23" i="44"/>
  <c r="U14" i="44"/>
  <c r="C153" i="39"/>
  <c r="R33" i="44"/>
  <c r="C166" i="39"/>
  <c r="D23" i="28"/>
  <c r="AT76" i="42"/>
  <c r="AT77" i="42"/>
  <c r="AT85" i="42"/>
  <c r="AT84" i="42"/>
  <c r="AT75" i="42"/>
  <c r="AT74" i="42"/>
  <c r="AT78" i="42"/>
  <c r="AT80" i="42"/>
  <c r="AT82" i="42"/>
  <c r="A411" i="39" l="1"/>
  <c r="F12" i="28" s="1"/>
  <c r="F74" i="36"/>
  <c r="F75" i="36"/>
  <c r="F76" i="36"/>
  <c r="F77" i="36"/>
  <c r="F78" i="36"/>
  <c r="F79" i="36"/>
  <c r="F80" i="36"/>
  <c r="F81" i="36"/>
  <c r="F82" i="36"/>
  <c r="F83" i="36"/>
  <c r="F84" i="36"/>
  <c r="F85" i="36"/>
  <c r="F86" i="36"/>
  <c r="F73" i="36"/>
  <c r="E74" i="36"/>
  <c r="E75" i="36"/>
  <c r="E76" i="36"/>
  <c r="E77" i="36"/>
  <c r="E78" i="36"/>
  <c r="E79" i="36"/>
  <c r="E80" i="36"/>
  <c r="E81" i="36"/>
  <c r="E82" i="36"/>
  <c r="E83" i="36"/>
  <c r="E84" i="36"/>
  <c r="E85" i="36"/>
  <c r="E86" i="36"/>
  <c r="E73" i="36"/>
  <c r="B34" i="36" l="1"/>
  <c r="D73" i="36" l="1"/>
  <c r="W37" i="8"/>
  <c r="T87" i="36"/>
  <c r="R87" i="36"/>
  <c r="Q87" i="36"/>
  <c r="P87" i="36"/>
  <c r="O87" i="36"/>
  <c r="N87" i="36"/>
  <c r="M87" i="36"/>
  <c r="L87" i="36"/>
  <c r="K87" i="36"/>
  <c r="J87" i="36"/>
  <c r="I87" i="36"/>
  <c r="H87" i="36"/>
  <c r="F87" i="36"/>
  <c r="E87" i="36"/>
  <c r="D86" i="36"/>
  <c r="D85" i="36"/>
  <c r="D84" i="36"/>
  <c r="D83" i="36"/>
  <c r="D82" i="36"/>
  <c r="D81" i="36"/>
  <c r="D80" i="36"/>
  <c r="D79" i="36"/>
  <c r="D78" i="36"/>
  <c r="D77" i="36"/>
  <c r="D76" i="36"/>
  <c r="D75" i="36"/>
  <c r="D74" i="36"/>
  <c r="AF68" i="36"/>
  <c r="AE68" i="36"/>
  <c r="AD68" i="36"/>
  <c r="AC68" i="36"/>
  <c r="AB68" i="36"/>
  <c r="AA68" i="36"/>
  <c r="Z68" i="36"/>
  <c r="Y68" i="36"/>
  <c r="X68" i="36"/>
  <c r="W68" i="36"/>
  <c r="V68" i="36"/>
  <c r="U68" i="36"/>
  <c r="T68" i="36"/>
  <c r="S68" i="36"/>
  <c r="R68" i="36"/>
  <c r="Q68" i="36"/>
  <c r="P68" i="36"/>
  <c r="O68" i="36"/>
  <c r="N68" i="36"/>
  <c r="M68" i="36"/>
  <c r="L68" i="36"/>
  <c r="K68" i="36"/>
  <c r="J68" i="36"/>
  <c r="I68" i="36"/>
  <c r="H68" i="36"/>
  <c r="G68" i="36"/>
  <c r="F68" i="36"/>
  <c r="E68" i="36"/>
  <c r="D68" i="36"/>
  <c r="C67" i="36"/>
  <c r="C66" i="36"/>
  <c r="C65" i="36"/>
  <c r="C64" i="36"/>
  <c r="C63" i="36"/>
  <c r="C62" i="36"/>
  <c r="C61" i="36"/>
  <c r="C60" i="36"/>
  <c r="C59" i="36"/>
  <c r="C58" i="36"/>
  <c r="C57" i="36"/>
  <c r="C56" i="36"/>
  <c r="C55" i="36"/>
  <c r="C54" i="36"/>
  <c r="C53" i="36"/>
  <c r="AE48" i="36"/>
  <c r="AD48" i="36"/>
  <c r="AC48" i="36"/>
  <c r="AB48" i="36"/>
  <c r="AA48" i="36"/>
  <c r="Z48" i="36"/>
  <c r="Y48" i="36"/>
  <c r="X48" i="36"/>
  <c r="W48" i="36"/>
  <c r="V48" i="36"/>
  <c r="U48" i="36"/>
  <c r="T48" i="36"/>
  <c r="S48" i="36"/>
  <c r="R48" i="36"/>
  <c r="Q48" i="36"/>
  <c r="P48" i="36"/>
  <c r="O48" i="36"/>
  <c r="N48" i="36"/>
  <c r="M48" i="36"/>
  <c r="L48" i="36"/>
  <c r="K48" i="36"/>
  <c r="J48" i="36"/>
  <c r="H48" i="36"/>
  <c r="G48" i="36"/>
  <c r="F48" i="36"/>
  <c r="E48" i="36"/>
  <c r="D48" i="36"/>
  <c r="C48" i="36"/>
  <c r="B47" i="36"/>
  <c r="B46" i="36"/>
  <c r="B45" i="36"/>
  <c r="B44" i="36"/>
  <c r="B43" i="36"/>
  <c r="B42" i="36"/>
  <c r="B41" i="36"/>
  <c r="B40" i="36"/>
  <c r="B39" i="36"/>
  <c r="B38" i="36"/>
  <c r="B37" i="36"/>
  <c r="B36" i="36"/>
  <c r="AW30" i="36"/>
  <c r="AT30" i="36"/>
  <c r="AS30" i="36"/>
  <c r="AR30" i="36"/>
  <c r="AQ30" i="36"/>
  <c r="AP30" i="36"/>
  <c r="AO30" i="36"/>
  <c r="AN30" i="36"/>
  <c r="AM30" i="36"/>
  <c r="AK30" i="36"/>
  <c r="AJ30" i="36"/>
  <c r="AI30" i="36"/>
  <c r="AH30" i="36"/>
  <c r="AG30" i="36"/>
  <c r="AF30" i="36"/>
  <c r="AE30" i="36"/>
  <c r="AD30" i="36"/>
  <c r="AC30" i="36"/>
  <c r="AB30" i="36"/>
  <c r="AA30" i="36"/>
  <c r="Z30" i="36"/>
  <c r="Y30" i="36"/>
  <c r="X30" i="36"/>
  <c r="W30" i="36"/>
  <c r="V30" i="36"/>
  <c r="U30" i="36"/>
  <c r="T30" i="36"/>
  <c r="S30" i="36"/>
  <c r="R30" i="36"/>
  <c r="Q30" i="36"/>
  <c r="P30" i="36"/>
  <c r="O30" i="36"/>
  <c r="N30" i="36"/>
  <c r="M30" i="36"/>
  <c r="L30" i="36"/>
  <c r="K30" i="36"/>
  <c r="J30" i="36"/>
  <c r="I30" i="36"/>
  <c r="H30" i="36"/>
  <c r="G30" i="36"/>
  <c r="F30" i="36"/>
  <c r="E29" i="36"/>
  <c r="D29" i="36"/>
  <c r="E28" i="36"/>
  <c r="D28" i="36"/>
  <c r="E27" i="36"/>
  <c r="D27" i="36"/>
  <c r="E26" i="36"/>
  <c r="D26" i="36"/>
  <c r="E25" i="36"/>
  <c r="D25" i="36"/>
  <c r="E24" i="36"/>
  <c r="D24" i="36"/>
  <c r="E23" i="36"/>
  <c r="D23" i="36"/>
  <c r="E22" i="36"/>
  <c r="D22" i="36"/>
  <c r="E21" i="36"/>
  <c r="D21" i="36"/>
  <c r="E20" i="36"/>
  <c r="D20" i="36"/>
  <c r="E19" i="36"/>
  <c r="E18" i="36"/>
  <c r="D18" i="36"/>
  <c r="E17" i="36"/>
  <c r="D17" i="36"/>
  <c r="E16" i="36"/>
  <c r="D16" i="36"/>
  <c r="E15" i="36"/>
  <c r="D15" i="36"/>
  <c r="E14" i="36"/>
  <c r="D14" i="36"/>
  <c r="E86" i="32"/>
  <c r="D86" i="32"/>
  <c r="E85" i="32"/>
  <c r="D85" i="32"/>
  <c r="E84" i="32"/>
  <c r="D84" i="32"/>
  <c r="V58" i="32"/>
  <c r="U58" i="32"/>
  <c r="T58" i="32"/>
  <c r="S58" i="32"/>
  <c r="R58" i="32"/>
  <c r="Q58" i="32"/>
  <c r="P58" i="32"/>
  <c r="O58" i="32"/>
  <c r="N58" i="32"/>
  <c r="M58" i="32"/>
  <c r="L58" i="32"/>
  <c r="K58" i="32"/>
  <c r="J58" i="32"/>
  <c r="I58" i="32"/>
  <c r="H58" i="32"/>
  <c r="G58" i="32"/>
  <c r="F58" i="32"/>
  <c r="E58" i="32"/>
  <c r="D58" i="32"/>
  <c r="V55" i="32"/>
  <c r="U55" i="32"/>
  <c r="T55" i="32"/>
  <c r="S55" i="32"/>
  <c r="R55" i="32"/>
  <c r="Q55" i="32"/>
  <c r="P55" i="32"/>
  <c r="O55" i="32"/>
  <c r="N55" i="32"/>
  <c r="M55" i="32"/>
  <c r="L55" i="32"/>
  <c r="K55" i="32"/>
  <c r="J55" i="32"/>
  <c r="I55" i="32"/>
  <c r="H55" i="32"/>
  <c r="G55" i="32"/>
  <c r="F55" i="32"/>
  <c r="E55" i="32"/>
  <c r="D55" i="32"/>
  <c r="D45" i="32"/>
  <c r="C45" i="32"/>
  <c r="D44" i="32"/>
  <c r="C44" i="32"/>
  <c r="D43" i="32"/>
  <c r="C43" i="32"/>
  <c r="D42" i="32"/>
  <c r="C42" i="32"/>
  <c r="D41" i="32"/>
  <c r="C41" i="32"/>
  <c r="D40" i="32"/>
  <c r="C40" i="32"/>
  <c r="D39" i="32"/>
  <c r="C39" i="32"/>
  <c r="D38" i="32"/>
  <c r="C38" i="32"/>
  <c r="C35" i="32"/>
  <c r="D32" i="32"/>
  <c r="C32" i="32"/>
  <c r="B20" i="32"/>
  <c r="B19" i="32"/>
  <c r="AQ12" i="32"/>
  <c r="AP12" i="32"/>
  <c r="AO12" i="32"/>
  <c r="AN12" i="32"/>
  <c r="AM12" i="32"/>
  <c r="AL12" i="32"/>
  <c r="AK12" i="32"/>
  <c r="AJ12" i="32"/>
  <c r="AI12" i="32"/>
  <c r="AH12" i="32"/>
  <c r="AG12" i="32"/>
  <c r="AF12" i="32"/>
  <c r="AE12" i="32"/>
  <c r="AD12" i="32"/>
  <c r="AC12" i="32"/>
  <c r="AB12" i="32"/>
  <c r="AA12" i="32"/>
  <c r="Z12" i="32"/>
  <c r="Y12" i="32"/>
  <c r="X12" i="32"/>
  <c r="W12" i="32"/>
  <c r="V12" i="32"/>
  <c r="U12" i="32"/>
  <c r="T12" i="32"/>
  <c r="S12" i="32"/>
  <c r="R12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CJ131" i="31"/>
  <c r="CD131" i="31" s="1"/>
  <c r="CI131" i="31"/>
  <c r="CC131" i="31" s="1"/>
  <c r="CH131" i="31"/>
  <c r="CB131" i="31" s="1"/>
  <c r="CG131" i="31"/>
  <c r="CA131" i="31" s="1"/>
  <c r="B122" i="31"/>
  <c r="CG114" i="31"/>
  <c r="CA114" i="31" s="1"/>
  <c r="M114" i="31" s="1"/>
  <c r="D114" i="31"/>
  <c r="CG113" i="31"/>
  <c r="CA113" i="31" s="1"/>
  <c r="M113" i="31" s="1"/>
  <c r="CG112" i="31"/>
  <c r="CA112" i="31" s="1"/>
  <c r="M112" i="31" s="1"/>
  <c r="D112" i="31"/>
  <c r="CG111" i="31"/>
  <c r="CA111" i="31" s="1"/>
  <c r="M111" i="31" s="1"/>
  <c r="D111" i="31"/>
  <c r="CG110" i="31"/>
  <c r="CA110" i="31" s="1"/>
  <c r="M110" i="31" s="1"/>
  <c r="D110" i="31"/>
  <c r="CG109" i="31"/>
  <c r="CA109" i="31" s="1"/>
  <c r="M109" i="31" s="1"/>
  <c r="D109" i="31"/>
  <c r="CG108" i="31"/>
  <c r="CA108" i="31" s="1"/>
  <c r="M108" i="31" s="1"/>
  <c r="D108" i="31"/>
  <c r="CG107" i="31"/>
  <c r="CA107" i="31" s="1"/>
  <c r="M107" i="31" s="1"/>
  <c r="D107" i="31"/>
  <c r="CG106" i="31"/>
  <c r="CA106" i="31" s="1"/>
  <c r="M106" i="31" s="1"/>
  <c r="E102" i="31"/>
  <c r="I85" i="31"/>
  <c r="H85" i="31"/>
  <c r="G85" i="31"/>
  <c r="F85" i="31"/>
  <c r="E85" i="31"/>
  <c r="D84" i="31"/>
  <c r="D83" i="31"/>
  <c r="D82" i="31"/>
  <c r="CG82" i="31" s="1"/>
  <c r="D78" i="31"/>
  <c r="CG78" i="31" s="1"/>
  <c r="D77" i="31"/>
  <c r="CG77" i="31" s="1"/>
  <c r="D76" i="31"/>
  <c r="CG76" i="31" s="1"/>
  <c r="D75" i="31"/>
  <c r="D74" i="31"/>
  <c r="D73" i="31"/>
  <c r="D72" i="31"/>
  <c r="D71" i="31"/>
  <c r="D70" i="31"/>
  <c r="CG70" i="31" s="1"/>
  <c r="CA70" i="31" s="1"/>
  <c r="J70" i="31" s="1"/>
  <c r="D69" i="31"/>
  <c r="CG69" i="31" s="1"/>
  <c r="CA69" i="31" s="1"/>
  <c r="J69" i="31" s="1"/>
  <c r="D68" i="31"/>
  <c r="CG68" i="31" s="1"/>
  <c r="CA68" i="31" s="1"/>
  <c r="J68" i="31" s="1"/>
  <c r="D67" i="31"/>
  <c r="CG67" i="31" s="1"/>
  <c r="CA67" i="31" s="1"/>
  <c r="J67" i="31" s="1"/>
  <c r="D66" i="31"/>
  <c r="CG66" i="31" s="1"/>
  <c r="CA66" i="31" s="1"/>
  <c r="J66" i="31" s="1"/>
  <c r="D65" i="31"/>
  <c r="CG65" i="31" s="1"/>
  <c r="CA65" i="31" s="1"/>
  <c r="J65" i="31" s="1"/>
  <c r="D64" i="31"/>
  <c r="CG64" i="31" s="1"/>
  <c r="CA64" i="31" s="1"/>
  <c r="J64" i="31" s="1"/>
  <c r="D62" i="31"/>
  <c r="CG62" i="31" s="1"/>
  <c r="CA62" i="31" s="1"/>
  <c r="J62" i="31" s="1"/>
  <c r="D60" i="31"/>
  <c r="CG60" i="31" s="1"/>
  <c r="CA60" i="31" s="1"/>
  <c r="J60" i="31" s="1"/>
  <c r="D59" i="31"/>
  <c r="D58" i="31"/>
  <c r="D57" i="31"/>
  <c r="D56" i="31"/>
  <c r="D55" i="31"/>
  <c r="D54" i="31"/>
  <c r="D53" i="31"/>
  <c r="D52" i="31"/>
  <c r="CG52" i="31" s="1"/>
  <c r="CA52" i="31" s="1"/>
  <c r="J52" i="31" s="1"/>
  <c r="CG51" i="31"/>
  <c r="CA51" i="31" s="1"/>
  <c r="J51" i="31" s="1"/>
  <c r="AB48" i="31"/>
  <c r="Z48" i="31"/>
  <c r="X48" i="31"/>
  <c r="W48" i="31"/>
  <c r="V48" i="31"/>
  <c r="U48" i="31"/>
  <c r="T48" i="31"/>
  <c r="S48" i="31"/>
  <c r="R48" i="31"/>
  <c r="Q48" i="31"/>
  <c r="P48" i="31"/>
  <c r="O48" i="31"/>
  <c r="N48" i="31"/>
  <c r="M48" i="31"/>
  <c r="L48" i="31"/>
  <c r="K48" i="31"/>
  <c r="J48" i="31"/>
  <c r="I48" i="31"/>
  <c r="H48" i="31"/>
  <c r="G48" i="31"/>
  <c r="F48" i="31"/>
  <c r="E48" i="31"/>
  <c r="D42" i="31"/>
  <c r="E163" i="8"/>
  <c r="E160" i="8"/>
  <c r="AA66" i="8"/>
  <c r="W66" i="8"/>
  <c r="CE70" i="8"/>
  <c r="CE69" i="8"/>
  <c r="CE68" i="8"/>
  <c r="CE67" i="8"/>
  <c r="CE66" i="8"/>
  <c r="CE65" i="8"/>
  <c r="CE64" i="8"/>
  <c r="CE63" i="8"/>
  <c r="CE62" i="8"/>
  <c r="CE61" i="8"/>
  <c r="CE60" i="8"/>
  <c r="CE59" i="8"/>
  <c r="CE58" i="8"/>
  <c r="CE57" i="8"/>
  <c r="CE56" i="8"/>
  <c r="CE55" i="8"/>
  <c r="CE54" i="8"/>
  <c r="CE53" i="8"/>
  <c r="CE52" i="8"/>
  <c r="CE51" i="8"/>
  <c r="CE50" i="8"/>
  <c r="CE49" i="8"/>
  <c r="CE48" i="8"/>
  <c r="CE47" i="8"/>
  <c r="CE46" i="8"/>
  <c r="CE45" i="8"/>
  <c r="CE44" i="8"/>
  <c r="CE43" i="8"/>
  <c r="CE42" i="8"/>
  <c r="CE41" i="8"/>
  <c r="CE40" i="8"/>
  <c r="CE39" i="8"/>
  <c r="CE38" i="8"/>
  <c r="CE37" i="8"/>
  <c r="CE36" i="8"/>
  <c r="CE35" i="8"/>
  <c r="CE34" i="8"/>
  <c r="CE33" i="8"/>
  <c r="CE32" i="8"/>
  <c r="CE31" i="8"/>
  <c r="CE30" i="8"/>
  <c r="CE29" i="8"/>
  <c r="CE28" i="8"/>
  <c r="CE27" i="8"/>
  <c r="CE26" i="8"/>
  <c r="CE25" i="8"/>
  <c r="CE24" i="8"/>
  <c r="CE23" i="8"/>
  <c r="CE22" i="8"/>
  <c r="CE21" i="8"/>
  <c r="CE20" i="8"/>
  <c r="CE19" i="8"/>
  <c r="CE18" i="8"/>
  <c r="CE17" i="8"/>
  <c r="CE16" i="8"/>
  <c r="CE15" i="8"/>
  <c r="CE14" i="8"/>
  <c r="CE12" i="8"/>
  <c r="CE13" i="8"/>
  <c r="CE11" i="8"/>
  <c r="DB69" i="8"/>
  <c r="D71" i="8"/>
  <c r="G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F71" i="8"/>
  <c r="E71" i="8"/>
  <c r="Z71" i="8"/>
  <c r="Y71" i="8"/>
  <c r="X71" i="8"/>
  <c r="AD71" i="8"/>
  <c r="AC71" i="8"/>
  <c r="AB71" i="8"/>
  <c r="AA70" i="8"/>
  <c r="AA69" i="8"/>
  <c r="W70" i="8"/>
  <c r="W69" i="8"/>
  <c r="W68" i="8"/>
  <c r="DB68" i="8"/>
  <c r="AA12" i="8"/>
  <c r="AA13" i="8"/>
  <c r="E178" i="8"/>
  <c r="AA37" i="8"/>
  <c r="AA36" i="8"/>
  <c r="W36" i="8"/>
  <c r="DB36" i="8"/>
  <c r="AA35" i="8"/>
  <c r="AA34" i="8"/>
  <c r="W34" i="8"/>
  <c r="AA33" i="8"/>
  <c r="W33" i="8"/>
  <c r="AA32" i="8"/>
  <c r="W32" i="8"/>
  <c r="DB32" i="8"/>
  <c r="AA31" i="8"/>
  <c r="W31" i="8"/>
  <c r="AA30" i="8"/>
  <c r="W30" i="8"/>
  <c r="DB30" i="8"/>
  <c r="AA29" i="8"/>
  <c r="W29" i="8"/>
  <c r="DB29" i="8"/>
  <c r="AA28" i="8"/>
  <c r="W28" i="8"/>
  <c r="DB28" i="8"/>
  <c r="AA27" i="8"/>
  <c r="W27" i="8"/>
  <c r="AA26" i="8"/>
  <c r="W26" i="8"/>
  <c r="AA25" i="8"/>
  <c r="W25" i="8"/>
  <c r="AA24" i="8"/>
  <c r="W24" i="8"/>
  <c r="DB24" i="8"/>
  <c r="AA23" i="8"/>
  <c r="W23" i="8"/>
  <c r="AA22" i="8"/>
  <c r="W22" i="8"/>
  <c r="DB22" i="8"/>
  <c r="AA21" i="8"/>
  <c r="W21" i="8"/>
  <c r="DB21" i="8"/>
  <c r="AA20" i="8"/>
  <c r="W20" i="8"/>
  <c r="DB20" i="8"/>
  <c r="AA19" i="8"/>
  <c r="W19" i="8"/>
  <c r="AA18" i="8"/>
  <c r="W18" i="8"/>
  <c r="AA17" i="8"/>
  <c r="W17" i="8"/>
  <c r="AA16" i="8"/>
  <c r="W16" i="8"/>
  <c r="AA15" i="8"/>
  <c r="W15" i="8"/>
  <c r="CA15" i="8"/>
  <c r="AA14" i="8"/>
  <c r="W14" i="8"/>
  <c r="W13" i="8"/>
  <c r="CA13" i="8"/>
  <c r="W12" i="8"/>
  <c r="DB12" i="8"/>
  <c r="E186" i="8"/>
  <c r="D186" i="8"/>
  <c r="E185" i="8"/>
  <c r="D185" i="8"/>
  <c r="E184" i="8"/>
  <c r="D184" i="8"/>
  <c r="E183" i="8"/>
  <c r="D183" i="8"/>
  <c r="E182" i="8"/>
  <c r="D182" i="8"/>
  <c r="E181" i="8"/>
  <c r="D181" i="8"/>
  <c r="E180" i="8"/>
  <c r="D180" i="8"/>
  <c r="E179" i="8"/>
  <c r="D179" i="8"/>
  <c r="D178" i="8"/>
  <c r="E177" i="8"/>
  <c r="D177" i="8"/>
  <c r="E176" i="8"/>
  <c r="D176" i="8"/>
  <c r="AQ171" i="8"/>
  <c r="AP171" i="8"/>
  <c r="AO171" i="8"/>
  <c r="AN171" i="8"/>
  <c r="AM171" i="8"/>
  <c r="AL171" i="8"/>
  <c r="AK171" i="8"/>
  <c r="AJ171" i="8"/>
  <c r="AI171" i="8"/>
  <c r="AH171" i="8"/>
  <c r="AG171" i="8"/>
  <c r="AF171" i="8"/>
  <c r="AE171" i="8"/>
  <c r="AD171" i="8"/>
  <c r="AC171" i="8"/>
  <c r="AB171" i="8"/>
  <c r="AA171" i="8"/>
  <c r="Z171" i="8"/>
  <c r="Y171" i="8"/>
  <c r="X171" i="8"/>
  <c r="W171" i="8"/>
  <c r="V171" i="8"/>
  <c r="U171" i="8"/>
  <c r="T171" i="8"/>
  <c r="S171" i="8"/>
  <c r="R171" i="8"/>
  <c r="Q171" i="8"/>
  <c r="P171" i="8"/>
  <c r="O171" i="8"/>
  <c r="N171" i="8"/>
  <c r="M171" i="8"/>
  <c r="L171" i="8"/>
  <c r="K171" i="8"/>
  <c r="J171" i="8"/>
  <c r="I171" i="8"/>
  <c r="H171" i="8"/>
  <c r="G171" i="8"/>
  <c r="F171" i="8"/>
  <c r="E170" i="8"/>
  <c r="D170" i="8"/>
  <c r="E168" i="8"/>
  <c r="D168" i="8"/>
  <c r="E167" i="8"/>
  <c r="D167" i="8"/>
  <c r="E166" i="8"/>
  <c r="D166" i="8"/>
  <c r="E165" i="8"/>
  <c r="D165" i="8"/>
  <c r="D163" i="8"/>
  <c r="D160" i="8"/>
  <c r="AA68" i="8"/>
  <c r="AA67" i="8"/>
  <c r="W67" i="8"/>
  <c r="DB67" i="8"/>
  <c r="AA65" i="8"/>
  <c r="W65" i="8"/>
  <c r="DB65" i="8"/>
  <c r="AA64" i="8"/>
  <c r="W64" i="8"/>
  <c r="AA63" i="8"/>
  <c r="W63" i="8"/>
  <c r="AA62" i="8"/>
  <c r="W62" i="8"/>
  <c r="AA61" i="8"/>
  <c r="AA60" i="8"/>
  <c r="W60" i="8"/>
  <c r="DB60" i="8"/>
  <c r="AA59" i="8"/>
  <c r="W59" i="8"/>
  <c r="DB59" i="8"/>
  <c r="AA58" i="8"/>
  <c r="W58" i="8"/>
  <c r="AA57" i="8"/>
  <c r="W57" i="8"/>
  <c r="AA56" i="8"/>
  <c r="W56" i="8"/>
  <c r="AA55" i="8"/>
  <c r="W55" i="8"/>
  <c r="AA54" i="8"/>
  <c r="W54" i="8"/>
  <c r="DB54" i="8"/>
  <c r="AA53" i="8"/>
  <c r="W53" i="8"/>
  <c r="DB53" i="8"/>
  <c r="AA52" i="8"/>
  <c r="W52" i="8"/>
  <c r="AA51" i="8"/>
  <c r="W51" i="8"/>
  <c r="DB51" i="8"/>
  <c r="AA50" i="8"/>
  <c r="W50" i="8"/>
  <c r="AA49" i="8"/>
  <c r="W49" i="8"/>
  <c r="DB49" i="8"/>
  <c r="AA48" i="8"/>
  <c r="W48" i="8"/>
  <c r="DB48" i="8"/>
  <c r="AA47" i="8"/>
  <c r="W47" i="8"/>
  <c r="AA46" i="8"/>
  <c r="W46" i="8"/>
  <c r="AA45" i="8"/>
  <c r="W45" i="8"/>
  <c r="DB45" i="8"/>
  <c r="AA44" i="8"/>
  <c r="W44" i="8"/>
  <c r="AA43" i="8"/>
  <c r="W43" i="8"/>
  <c r="AA42" i="8"/>
  <c r="W42" i="8"/>
  <c r="AA41" i="8"/>
  <c r="AA40" i="8"/>
  <c r="W40" i="8"/>
  <c r="AA39" i="8"/>
  <c r="W39" i="8"/>
  <c r="AA38" i="8"/>
  <c r="DB38" i="8"/>
  <c r="B152" i="8"/>
  <c r="B151" i="8"/>
  <c r="B150" i="8"/>
  <c r="B149" i="8"/>
  <c r="B148" i="8"/>
  <c r="B147" i="8"/>
  <c r="B146" i="8"/>
  <c r="B145" i="8"/>
  <c r="B144" i="8"/>
  <c r="B142" i="8"/>
  <c r="B141" i="8"/>
  <c r="B140" i="8"/>
  <c r="W41" i="8"/>
  <c r="W38" i="8"/>
  <c r="A3" i="29"/>
  <c r="I2" i="27"/>
  <c r="AG2" i="27" s="1"/>
  <c r="I3" i="27"/>
  <c r="AG3" i="27" s="1"/>
  <c r="I5" i="27"/>
  <c r="AG5" i="27" s="1"/>
  <c r="I6" i="27"/>
  <c r="AG6" i="27" s="1"/>
  <c r="DC161" i="8"/>
  <c r="CC161" i="8" s="1"/>
  <c r="CA14" i="8"/>
  <c r="CA38" i="8"/>
  <c r="CA35" i="8"/>
  <c r="CA30" i="8"/>
  <c r="CA22" i="8"/>
  <c r="CA51" i="8"/>
  <c r="CA12" i="8"/>
  <c r="CA21" i="8"/>
  <c r="CA29" i="8"/>
  <c r="CA16" i="8"/>
  <c r="CA32" i="8"/>
  <c r="DA146" i="8" l="1"/>
  <c r="CA146" i="8" s="1"/>
  <c r="DB146" i="8"/>
  <c r="CB146" i="8" s="1"/>
  <c r="DC146" i="8"/>
  <c r="CC146" i="8" s="1"/>
  <c r="DD146" i="8"/>
  <c r="CD146" i="8" s="1"/>
  <c r="V146" i="8" s="1"/>
  <c r="DA148" i="8"/>
  <c r="CA148" i="8" s="1"/>
  <c r="DD148" i="8"/>
  <c r="CD148" i="8" s="1"/>
  <c r="DB148" i="8"/>
  <c r="CB148" i="8" s="1"/>
  <c r="DC148" i="8"/>
  <c r="CC148" i="8" s="1"/>
  <c r="DA149" i="8"/>
  <c r="CA149" i="8" s="1"/>
  <c r="DB149" i="8"/>
  <c r="CB149" i="8" s="1"/>
  <c r="DC149" i="8"/>
  <c r="CC149" i="8" s="1"/>
  <c r="DD149" i="8"/>
  <c r="CD149" i="8" s="1"/>
  <c r="V149" i="8" s="1"/>
  <c r="DA150" i="8"/>
  <c r="CA150" i="8" s="1"/>
  <c r="DB150" i="8"/>
  <c r="CB150" i="8" s="1"/>
  <c r="DC150" i="8"/>
  <c r="CC150" i="8" s="1"/>
  <c r="DD150" i="8"/>
  <c r="CD150" i="8" s="1"/>
  <c r="DA142" i="8"/>
  <c r="CA142" i="8" s="1"/>
  <c r="DB142" i="8"/>
  <c r="CB142" i="8" s="1"/>
  <c r="DC142" i="8"/>
  <c r="CC142" i="8" s="1"/>
  <c r="DD142" i="8"/>
  <c r="CD142" i="8" s="1"/>
  <c r="DA151" i="8"/>
  <c r="CA151" i="8" s="1"/>
  <c r="DB151" i="8"/>
  <c r="CB151" i="8" s="1"/>
  <c r="DC151" i="8"/>
  <c r="CC151" i="8" s="1"/>
  <c r="DD151" i="8"/>
  <c r="CD151" i="8" s="1"/>
  <c r="DA145" i="8"/>
  <c r="CA145" i="8" s="1"/>
  <c r="DB145" i="8"/>
  <c r="CB145" i="8" s="1"/>
  <c r="DC145" i="8"/>
  <c r="CC145" i="8" s="1"/>
  <c r="DD145" i="8"/>
  <c r="CD145" i="8" s="1"/>
  <c r="V145" i="8" s="1"/>
  <c r="DA141" i="8"/>
  <c r="CA141" i="8" s="1"/>
  <c r="DB141" i="8"/>
  <c r="CB141" i="8" s="1"/>
  <c r="DC141" i="8"/>
  <c r="CC141" i="8" s="1"/>
  <c r="DD141" i="8"/>
  <c r="CD141" i="8" s="1"/>
  <c r="DA144" i="8"/>
  <c r="CA144" i="8" s="1"/>
  <c r="DB144" i="8"/>
  <c r="CB144" i="8" s="1"/>
  <c r="DC144" i="8"/>
  <c r="CC144" i="8" s="1"/>
  <c r="DD144" i="8"/>
  <c r="CD144" i="8" s="1"/>
  <c r="DA152" i="8"/>
  <c r="CA152" i="8" s="1"/>
  <c r="DB152" i="8"/>
  <c r="CB152" i="8" s="1"/>
  <c r="DD152" i="8"/>
  <c r="CD152" i="8" s="1"/>
  <c r="DC152" i="8"/>
  <c r="CC152" i="8" s="1"/>
  <c r="DA140" i="8"/>
  <c r="CA140" i="8" s="1"/>
  <c r="DB140" i="8"/>
  <c r="CB140" i="8" s="1"/>
  <c r="DC140" i="8"/>
  <c r="CC140" i="8" s="1"/>
  <c r="DD140" i="8"/>
  <c r="CD140" i="8" s="1"/>
  <c r="DA147" i="8"/>
  <c r="CA147" i="8" s="1"/>
  <c r="DB147" i="8"/>
  <c r="CB147" i="8" s="1"/>
  <c r="DC147" i="8"/>
  <c r="CC147" i="8" s="1"/>
  <c r="DD147" i="8"/>
  <c r="CD147" i="8" s="1"/>
  <c r="C22" i="36"/>
  <c r="C28" i="36"/>
  <c r="C25" i="36"/>
  <c r="C26" i="36"/>
  <c r="C29" i="36"/>
  <c r="C21" i="36"/>
  <c r="C24" i="36"/>
  <c r="D87" i="36"/>
  <c r="CG79" i="31"/>
  <c r="CA79" i="31" s="1"/>
  <c r="J79" i="31" s="1"/>
  <c r="CD42" i="31"/>
  <c r="CC42" i="31"/>
  <c r="A216" i="31"/>
  <c r="C23" i="36"/>
  <c r="C27" i="36"/>
  <c r="D48" i="31"/>
  <c r="D85" i="31"/>
  <c r="CG72" i="31"/>
  <c r="CA72" i="31" s="1"/>
  <c r="J72" i="31" s="1"/>
  <c r="CG83" i="31"/>
  <c r="CA83" i="31" s="1"/>
  <c r="J83" i="31" s="1"/>
  <c r="CG73" i="31"/>
  <c r="CA73" i="31" s="1"/>
  <c r="J73" i="31" s="1"/>
  <c r="CG74" i="31"/>
  <c r="CA74" i="31" s="1"/>
  <c r="J74" i="31" s="1"/>
  <c r="CG71" i="31"/>
  <c r="CA71" i="31" s="1"/>
  <c r="J71" i="31" s="1"/>
  <c r="CG75" i="31"/>
  <c r="CA75" i="31" s="1"/>
  <c r="J75" i="31" s="1"/>
  <c r="CG84" i="31"/>
  <c r="CA84" i="31" s="1"/>
  <c r="J84" i="31" s="1"/>
  <c r="CA82" i="31"/>
  <c r="J82" i="31" s="1"/>
  <c r="CA78" i="31"/>
  <c r="J78" i="31" s="1"/>
  <c r="CA77" i="31"/>
  <c r="J77" i="31" s="1"/>
  <c r="CA76" i="31"/>
  <c r="J76" i="31" s="1"/>
  <c r="CG59" i="31"/>
  <c r="CA59" i="31" s="1"/>
  <c r="J59" i="31" s="1"/>
  <c r="CG58" i="31"/>
  <c r="CA58" i="31" s="1"/>
  <c r="J58" i="31" s="1"/>
  <c r="CG57" i="31"/>
  <c r="CA57" i="31" s="1"/>
  <c r="J57" i="31" s="1"/>
  <c r="CG56" i="31"/>
  <c r="CA56" i="31" s="1"/>
  <c r="J56" i="31" s="1"/>
  <c r="CG55" i="31"/>
  <c r="CA55" i="31" s="1"/>
  <c r="J55" i="31" s="1"/>
  <c r="CG54" i="31"/>
  <c r="CA54" i="31" s="1"/>
  <c r="J54" i="31" s="1"/>
  <c r="CG53" i="31"/>
  <c r="CA53" i="31" s="1"/>
  <c r="J53" i="31" s="1"/>
  <c r="V144" i="8"/>
  <c r="B155" i="8"/>
  <c r="C85" i="32"/>
  <c r="C86" i="32"/>
  <c r="C84" i="32"/>
  <c r="DD11" i="8"/>
  <c r="CD11" i="8" s="1"/>
  <c r="B25" i="32"/>
  <c r="B48" i="36"/>
  <c r="CA64" i="8"/>
  <c r="DB64" i="8"/>
  <c r="CB64" i="8" s="1"/>
  <c r="CA63" i="8"/>
  <c r="DB63" i="8"/>
  <c r="CB63" i="8" s="1"/>
  <c r="CA44" i="8"/>
  <c r="DB44" i="8"/>
  <c r="CB44" i="8" s="1"/>
  <c r="CA23" i="8"/>
  <c r="DB23" i="8"/>
  <c r="CB23" i="8" s="1"/>
  <c r="CA31" i="8"/>
  <c r="DB31" i="8"/>
  <c r="CB31" i="8" s="1"/>
  <c r="CA37" i="8"/>
  <c r="DB37" i="8"/>
  <c r="CB37" i="8" s="1"/>
  <c r="CA70" i="8"/>
  <c r="DB70" i="8"/>
  <c r="CB70" i="8" s="1"/>
  <c r="CA56" i="8"/>
  <c r="DB56" i="8"/>
  <c r="CB56" i="8" s="1"/>
  <c r="CA25" i="8"/>
  <c r="DB25" i="8"/>
  <c r="CB25" i="8" s="1"/>
  <c r="CA41" i="8"/>
  <c r="DB41" i="8"/>
  <c r="CB41" i="8" s="1"/>
  <c r="CA52" i="8"/>
  <c r="DB52" i="8"/>
  <c r="CB52" i="8" s="1"/>
  <c r="CA47" i="8"/>
  <c r="DB47" i="8"/>
  <c r="CB47" i="8" s="1"/>
  <c r="CA55" i="8"/>
  <c r="DB55" i="8"/>
  <c r="CB55" i="8" s="1"/>
  <c r="CA58" i="8"/>
  <c r="DB58" i="8"/>
  <c r="CB58" i="8" s="1"/>
  <c r="CA18" i="8"/>
  <c r="DB18" i="8"/>
  <c r="CB18" i="8" s="1"/>
  <c r="CA26" i="8"/>
  <c r="DB26" i="8"/>
  <c r="CB26" i="8" s="1"/>
  <c r="CA34" i="8"/>
  <c r="DB34" i="8"/>
  <c r="CB34" i="8" s="1"/>
  <c r="CA57" i="8"/>
  <c r="DB57" i="8"/>
  <c r="CB57" i="8" s="1"/>
  <c r="CA39" i="8"/>
  <c r="DB39" i="8"/>
  <c r="CB39" i="8" s="1"/>
  <c r="CA42" i="8"/>
  <c r="DB42" i="8"/>
  <c r="CB42" i="8" s="1"/>
  <c r="CA50" i="8"/>
  <c r="DB50" i="8"/>
  <c r="CB50" i="8" s="1"/>
  <c r="CA61" i="8"/>
  <c r="DB61" i="8"/>
  <c r="CB61" i="8" s="1"/>
  <c r="CA46" i="8"/>
  <c r="DB46" i="8"/>
  <c r="CB46" i="8" s="1"/>
  <c r="CA33" i="8"/>
  <c r="DB33" i="8"/>
  <c r="CB33" i="8" s="1"/>
  <c r="CA19" i="8"/>
  <c r="DB19" i="8"/>
  <c r="CB19" i="8" s="1"/>
  <c r="CA27" i="8"/>
  <c r="DB27" i="8"/>
  <c r="CB27" i="8" s="1"/>
  <c r="CA17" i="8"/>
  <c r="DB17" i="8"/>
  <c r="CB17" i="8" s="1"/>
  <c r="CA40" i="8"/>
  <c r="DB40" i="8"/>
  <c r="CB40" i="8" s="1"/>
  <c r="CA43" i="8"/>
  <c r="DB43" i="8"/>
  <c r="CB43" i="8" s="1"/>
  <c r="CA62" i="8"/>
  <c r="DB62" i="8"/>
  <c r="CB62" i="8" s="1"/>
  <c r="B33" i="32"/>
  <c r="DD56" i="8"/>
  <c r="CD56" i="8" s="1"/>
  <c r="C166" i="8"/>
  <c r="DA166" i="8" s="1"/>
  <c r="CA166" i="8" s="1"/>
  <c r="DD41" i="8"/>
  <c r="CD41" i="8" s="1"/>
  <c r="DD38" i="8"/>
  <c r="CD38" i="8" s="1"/>
  <c r="DD63" i="8"/>
  <c r="CD63" i="8" s="1"/>
  <c r="C177" i="8"/>
  <c r="C168" i="8"/>
  <c r="DD168" i="8" s="1"/>
  <c r="CD168" i="8" s="1"/>
  <c r="CG102" i="31"/>
  <c r="CA102" i="31" s="1"/>
  <c r="CH102" i="31"/>
  <c r="CB102" i="31" s="1"/>
  <c r="CG101" i="31"/>
  <c r="CA101" i="31" s="1"/>
  <c r="CH101" i="31"/>
  <c r="CB101" i="31" s="1"/>
  <c r="CH74" i="36"/>
  <c r="CB74" i="36" s="1"/>
  <c r="CI74" i="36"/>
  <c r="CC74" i="36" s="1"/>
  <c r="CH82" i="36"/>
  <c r="CB82" i="36" s="1"/>
  <c r="CI82" i="36"/>
  <c r="CC82" i="36" s="1"/>
  <c r="CH75" i="36"/>
  <c r="CB75" i="36" s="1"/>
  <c r="CI75" i="36"/>
  <c r="CC75" i="36" s="1"/>
  <c r="DD64" i="8"/>
  <c r="CD64" i="8" s="1"/>
  <c r="CH76" i="36"/>
  <c r="CB76" i="36" s="1"/>
  <c r="CI76" i="36"/>
  <c r="CC76" i="36" s="1"/>
  <c r="CH84" i="36"/>
  <c r="CB84" i="36" s="1"/>
  <c r="CI84" i="36"/>
  <c r="CC84" i="36" s="1"/>
  <c r="DD48" i="8"/>
  <c r="CD48" i="8" s="1"/>
  <c r="DD65" i="8"/>
  <c r="CD65" i="8" s="1"/>
  <c r="CH77" i="36"/>
  <c r="CB77" i="36" s="1"/>
  <c r="CI77" i="36"/>
  <c r="CC77" i="36" s="1"/>
  <c r="CH85" i="36"/>
  <c r="CB85" i="36" s="1"/>
  <c r="CI85" i="36"/>
  <c r="CC85" i="36" s="1"/>
  <c r="C184" i="8"/>
  <c r="CI78" i="36"/>
  <c r="CC78" i="36" s="1"/>
  <c r="CH78" i="36"/>
  <c r="CB78" i="36" s="1"/>
  <c r="CI86" i="36"/>
  <c r="CC86" i="36" s="1"/>
  <c r="CH86" i="36"/>
  <c r="CB86" i="36" s="1"/>
  <c r="CI79" i="36"/>
  <c r="CC79" i="36" s="1"/>
  <c r="CH79" i="36"/>
  <c r="CB79" i="36" s="1"/>
  <c r="DD13" i="8"/>
  <c r="CD13" i="8" s="1"/>
  <c r="DD16" i="8"/>
  <c r="CD16" i="8" s="1"/>
  <c r="B45" i="32"/>
  <c r="CI80" i="36"/>
  <c r="CC80" i="36" s="1"/>
  <c r="CH80" i="36"/>
  <c r="CB80" i="36" s="1"/>
  <c r="CH83" i="36"/>
  <c r="CB83" i="36" s="1"/>
  <c r="CI83" i="36"/>
  <c r="CC83" i="36" s="1"/>
  <c r="DA164" i="8"/>
  <c r="CA164" i="8" s="1"/>
  <c r="CG100" i="31"/>
  <c r="CA100" i="31" s="1"/>
  <c r="CH100" i="31"/>
  <c r="CB100" i="31" s="1"/>
  <c r="CH81" i="36"/>
  <c r="CB81" i="36" s="1"/>
  <c r="CI81" i="36"/>
  <c r="CC81" i="36" s="1"/>
  <c r="CI73" i="36"/>
  <c r="CC73" i="36" s="1"/>
  <c r="CH73" i="36"/>
  <c r="CB73" i="36" s="1"/>
  <c r="C178" i="8"/>
  <c r="B18" i="32"/>
  <c r="DD47" i="8"/>
  <c r="CD47" i="8" s="1"/>
  <c r="DD53" i="8"/>
  <c r="CD53" i="8" s="1"/>
  <c r="DD58" i="8"/>
  <c r="CD58" i="8" s="1"/>
  <c r="DD25" i="8"/>
  <c r="CD25" i="8" s="1"/>
  <c r="B16" i="32"/>
  <c r="DD24" i="8"/>
  <c r="CD24" i="8" s="1"/>
  <c r="CA11" i="8"/>
  <c r="CA53" i="8"/>
  <c r="DD161" i="8"/>
  <c r="CD161" i="8" s="1"/>
  <c r="C179" i="8"/>
  <c r="C183" i="8"/>
  <c r="E171" i="8"/>
  <c r="B17" i="32"/>
  <c r="B34" i="32"/>
  <c r="CA65" i="8"/>
  <c r="C5" i="28"/>
  <c r="DD37" i="8"/>
  <c r="CD37" i="8" s="1"/>
  <c r="CA48" i="8"/>
  <c r="DD44" i="8"/>
  <c r="CD44" i="8" s="1"/>
  <c r="DD52" i="8"/>
  <c r="CD52" i="8" s="1"/>
  <c r="C182" i="8"/>
  <c r="C186" i="8"/>
  <c r="DD17" i="8"/>
  <c r="CD17" i="8" s="1"/>
  <c r="DD22" i="8"/>
  <c r="CD22" i="8" s="1"/>
  <c r="DD30" i="8"/>
  <c r="CD30" i="8" s="1"/>
  <c r="DD33" i="8"/>
  <c r="CD33" i="8" s="1"/>
  <c r="B38" i="32"/>
  <c r="B42" i="32"/>
  <c r="DB161" i="8"/>
  <c r="CB161" i="8" s="1"/>
  <c r="C160" i="8"/>
  <c r="DA161" i="8"/>
  <c r="CA161" i="8" s="1"/>
  <c r="C180" i="8"/>
  <c r="DD21" i="8"/>
  <c r="CD21" i="8" s="1"/>
  <c r="DD29" i="8"/>
  <c r="CD29" i="8" s="1"/>
  <c r="B26" i="32"/>
  <c r="DC39" i="8"/>
  <c r="CC39" i="8" s="1"/>
  <c r="DD39" i="8"/>
  <c r="CD39" i="8" s="1"/>
  <c r="DC42" i="8"/>
  <c r="CC42" i="8" s="1"/>
  <c r="DD42" i="8"/>
  <c r="CD42" i="8" s="1"/>
  <c r="DC46" i="8"/>
  <c r="CC46" i="8" s="1"/>
  <c r="DC50" i="8"/>
  <c r="CC50" i="8" s="1"/>
  <c r="DD50" i="8"/>
  <c r="CD50" i="8" s="1"/>
  <c r="DC54" i="8"/>
  <c r="CC54" i="8" s="1"/>
  <c r="CB54" i="8"/>
  <c r="CA54" i="8"/>
  <c r="DC57" i="8"/>
  <c r="CC57" i="8" s="1"/>
  <c r="DC61" i="8"/>
  <c r="CC61" i="8" s="1"/>
  <c r="CB13" i="8"/>
  <c r="DC13" i="8"/>
  <c r="CC13" i="8" s="1"/>
  <c r="DC16" i="8"/>
  <c r="CC16" i="8" s="1"/>
  <c r="CB16" i="8"/>
  <c r="DC20" i="8"/>
  <c r="CC20" i="8" s="1"/>
  <c r="CB20" i="8"/>
  <c r="DD20" i="8"/>
  <c r="CD20" i="8" s="1"/>
  <c r="CA20" i="8"/>
  <c r="DC24" i="8"/>
  <c r="CC24" i="8" s="1"/>
  <c r="CB24" i="8"/>
  <c r="CA24" i="8"/>
  <c r="DC28" i="8"/>
  <c r="CC28" i="8" s="1"/>
  <c r="CB28" i="8"/>
  <c r="DD28" i="8"/>
  <c r="CD28" i="8" s="1"/>
  <c r="CA28" i="8"/>
  <c r="DC32" i="8"/>
  <c r="CC32" i="8" s="1"/>
  <c r="CB32" i="8"/>
  <c r="DD32" i="8"/>
  <c r="CD32" i="8" s="1"/>
  <c r="DD61" i="8"/>
  <c r="CD61" i="8" s="1"/>
  <c r="DC36" i="8"/>
  <c r="CC36" i="8" s="1"/>
  <c r="CB36" i="8"/>
  <c r="CB69" i="8"/>
  <c r="DC69" i="8"/>
  <c r="CC69" i="8" s="1"/>
  <c r="DC66" i="8"/>
  <c r="CC66" i="8" s="1"/>
  <c r="CB66" i="8"/>
  <c r="CB45" i="8"/>
  <c r="DC45" i="8"/>
  <c r="CC45" i="8" s="1"/>
  <c r="DD46" i="8"/>
  <c r="CD46" i="8" s="1"/>
  <c r="DC49" i="8"/>
  <c r="CC49" i="8" s="1"/>
  <c r="CB53" i="8"/>
  <c r="DC53" i="8"/>
  <c r="CC53" i="8" s="1"/>
  <c r="DD54" i="8"/>
  <c r="CD54" i="8" s="1"/>
  <c r="DD57" i="8"/>
  <c r="CD57" i="8" s="1"/>
  <c r="DC60" i="8"/>
  <c r="CC60" i="8" s="1"/>
  <c r="DD62" i="8"/>
  <c r="CD62" i="8" s="1"/>
  <c r="DC67" i="8"/>
  <c r="CC67" i="8" s="1"/>
  <c r="CB67" i="8"/>
  <c r="DC11" i="8"/>
  <c r="DC15" i="8"/>
  <c r="CC15" i="8" s="1"/>
  <c r="CB15" i="8"/>
  <c r="DC19" i="8"/>
  <c r="CC19" i="8" s="1"/>
  <c r="DC23" i="8"/>
  <c r="CC23" i="8" s="1"/>
  <c r="DC27" i="8"/>
  <c r="CC27" i="8" s="1"/>
  <c r="DC31" i="8"/>
  <c r="CC31" i="8" s="1"/>
  <c r="DC35" i="8"/>
  <c r="CC35" i="8" s="1"/>
  <c r="CB35" i="8"/>
  <c r="DC68" i="8"/>
  <c r="CC68" i="8" s="1"/>
  <c r="CB68" i="8"/>
  <c r="DC64" i="8"/>
  <c r="CC64" i="8" s="1"/>
  <c r="B21" i="32"/>
  <c r="B23" i="32"/>
  <c r="B31" i="32"/>
  <c r="B35" i="32"/>
  <c r="B40" i="32"/>
  <c r="DD36" i="8"/>
  <c r="CD36" i="8" s="1"/>
  <c r="DC38" i="8"/>
  <c r="CC38" i="8" s="1"/>
  <c r="CB38" i="8"/>
  <c r="DC41" i="8"/>
  <c r="CC41" i="8" s="1"/>
  <c r="DC44" i="8"/>
  <c r="CC44" i="8" s="1"/>
  <c r="DC48" i="8"/>
  <c r="CC48" i="8" s="1"/>
  <c r="CB48" i="8"/>
  <c r="DC52" i="8"/>
  <c r="CC52" i="8" s="1"/>
  <c r="DC59" i="8"/>
  <c r="CC59" i="8" s="1"/>
  <c r="CB59" i="8"/>
  <c r="CB65" i="8"/>
  <c r="DC65" i="8"/>
  <c r="CC65" i="8" s="1"/>
  <c r="C181" i="8"/>
  <c r="DG181" i="8" s="1"/>
  <c r="CG181" i="8" s="1"/>
  <c r="C185" i="8"/>
  <c r="DG185" i="8" s="1"/>
  <c r="CG185" i="8" s="1"/>
  <c r="DC12" i="8"/>
  <c r="CC12" i="8" s="1"/>
  <c r="CB12" i="8"/>
  <c r="DC14" i="8"/>
  <c r="CC14" i="8" s="1"/>
  <c r="CB14" i="8"/>
  <c r="DC18" i="8"/>
  <c r="CC18" i="8" s="1"/>
  <c r="DC22" i="8"/>
  <c r="CC22" i="8" s="1"/>
  <c r="CB22" i="8"/>
  <c r="DC26" i="8"/>
  <c r="CC26" i="8" s="1"/>
  <c r="DC30" i="8"/>
  <c r="CC30" i="8" s="1"/>
  <c r="CB30" i="8"/>
  <c r="DC34" i="8"/>
  <c r="CC34" i="8" s="1"/>
  <c r="DC70" i="8"/>
  <c r="CC70" i="8" s="1"/>
  <c r="DD66" i="8"/>
  <c r="CD66" i="8" s="1"/>
  <c r="DC63" i="8"/>
  <c r="CC63" i="8" s="1"/>
  <c r="B41" i="32"/>
  <c r="B43" i="32"/>
  <c r="CA36" i="8"/>
  <c r="CA45" i="8"/>
  <c r="DC40" i="8"/>
  <c r="CC40" i="8" s="1"/>
  <c r="DC43" i="8"/>
  <c r="CC43" i="8" s="1"/>
  <c r="DD45" i="8"/>
  <c r="CD45" i="8" s="1"/>
  <c r="DC47" i="8"/>
  <c r="CC47" i="8" s="1"/>
  <c r="DC51" i="8"/>
  <c r="CC51" i="8" s="1"/>
  <c r="CB51" i="8"/>
  <c r="DC55" i="8"/>
  <c r="CC55" i="8" s="1"/>
  <c r="DC58" i="8"/>
  <c r="CC58" i="8" s="1"/>
  <c r="DC62" i="8"/>
  <c r="CC62" i="8" s="1"/>
  <c r="DC17" i="8"/>
  <c r="CC17" i="8" s="1"/>
  <c r="DD18" i="8"/>
  <c r="CD18" i="8" s="1"/>
  <c r="CB21" i="8"/>
  <c r="DC21" i="8"/>
  <c r="CC21" i="8" s="1"/>
  <c r="DC25" i="8"/>
  <c r="CC25" i="8" s="1"/>
  <c r="DD26" i="8"/>
  <c r="CD26" i="8" s="1"/>
  <c r="DD27" i="8"/>
  <c r="CD27" i="8" s="1"/>
  <c r="CB29" i="8"/>
  <c r="DC29" i="8"/>
  <c r="CC29" i="8" s="1"/>
  <c r="DC33" i="8"/>
  <c r="CC33" i="8" s="1"/>
  <c r="DD34" i="8"/>
  <c r="CD34" i="8" s="1"/>
  <c r="DD35" i="8"/>
  <c r="CD35" i="8" s="1"/>
  <c r="DC37" i="8"/>
  <c r="CC37" i="8" s="1"/>
  <c r="CA66" i="8"/>
  <c r="DC56" i="8"/>
  <c r="CC56" i="8" s="1"/>
  <c r="B14" i="32"/>
  <c r="CG77" i="36"/>
  <c r="CA77" i="36" s="1"/>
  <c r="CG81" i="36"/>
  <c r="CA81" i="36" s="1"/>
  <c r="CG85" i="36"/>
  <c r="CA85" i="36" s="1"/>
  <c r="C14" i="36"/>
  <c r="C16" i="36"/>
  <c r="C18" i="36"/>
  <c r="C20" i="36"/>
  <c r="CG74" i="36"/>
  <c r="CA74" i="36" s="1"/>
  <c r="CG78" i="36"/>
  <c r="CA78" i="36" s="1"/>
  <c r="CG82" i="36"/>
  <c r="CA82" i="36" s="1"/>
  <c r="CG86" i="36"/>
  <c r="CA86" i="36" s="1"/>
  <c r="CG75" i="36"/>
  <c r="CA75" i="36" s="1"/>
  <c r="CG79" i="36"/>
  <c r="CA79" i="36" s="1"/>
  <c r="CG83" i="36"/>
  <c r="CA83" i="36" s="1"/>
  <c r="C15" i="36"/>
  <c r="C17" i="36"/>
  <c r="C19" i="36"/>
  <c r="CG76" i="36"/>
  <c r="CA76" i="36" s="1"/>
  <c r="CG80" i="36"/>
  <c r="CA80" i="36" s="1"/>
  <c r="CG84" i="36"/>
  <c r="CA84" i="36" s="1"/>
  <c r="CG73" i="36"/>
  <c r="CA73" i="36" s="1"/>
  <c r="AG7" i="27"/>
  <c r="D7" i="28" s="1"/>
  <c r="DD69" i="8"/>
  <c r="CD69" i="8" s="1"/>
  <c r="CA69" i="8"/>
  <c r="DD49" i="8"/>
  <c r="CD49" i="8" s="1"/>
  <c r="B71" i="8"/>
  <c r="CA49" i="8"/>
  <c r="DD60" i="8"/>
  <c r="CD60" i="8" s="1"/>
  <c r="CB60" i="8"/>
  <c r="CA60" i="8"/>
  <c r="DD67" i="8"/>
  <c r="CD67" i="8" s="1"/>
  <c r="CA67" i="8"/>
  <c r="C167" i="8"/>
  <c r="DD167" i="8" s="1"/>
  <c r="CD167" i="8" s="1"/>
  <c r="D171" i="8"/>
  <c r="CB49" i="8"/>
  <c r="B15" i="32"/>
  <c r="I131" i="31"/>
  <c r="B44" i="32"/>
  <c r="D11" i="28"/>
  <c r="DD40" i="8"/>
  <c r="CD40" i="8" s="1"/>
  <c r="DD43" i="8"/>
  <c r="CD43" i="8" s="1"/>
  <c r="DD51" i="8"/>
  <c r="CD51" i="8" s="1"/>
  <c r="B32" i="32"/>
  <c r="DD15" i="8"/>
  <c r="CD15" i="8" s="1"/>
  <c r="DD23" i="8"/>
  <c r="CD23" i="8" s="1"/>
  <c r="DD31" i="8"/>
  <c r="CD31" i="8" s="1"/>
  <c r="C163" i="8"/>
  <c r="B22" i="32"/>
  <c r="DD55" i="8"/>
  <c r="CD55" i="8" s="1"/>
  <c r="C165" i="8"/>
  <c r="C170" i="8"/>
  <c r="C176" i="8"/>
  <c r="DD14" i="8"/>
  <c r="CD14" i="8" s="1"/>
  <c r="DD19" i="8"/>
  <c r="CD19" i="8" s="1"/>
  <c r="DD70" i="8"/>
  <c r="CD70" i="8" s="1"/>
  <c r="D30" i="36"/>
  <c r="B39" i="32"/>
  <c r="W71" i="8"/>
  <c r="DD12" i="8"/>
  <c r="CD12" i="8" s="1"/>
  <c r="AA71" i="8"/>
  <c r="DD164" i="8"/>
  <c r="CD164" i="8" s="1"/>
  <c r="CA68" i="8"/>
  <c r="DD68" i="8"/>
  <c r="CD68" i="8" s="1"/>
  <c r="CA59" i="8"/>
  <c r="DD59" i="8"/>
  <c r="CD59" i="8" s="1"/>
  <c r="B24" i="32"/>
  <c r="B36" i="32"/>
  <c r="C68" i="36"/>
  <c r="E30" i="36"/>
  <c r="AG36" i="8" l="1"/>
  <c r="V152" i="8"/>
  <c r="AG21" i="8"/>
  <c r="AG38" i="8"/>
  <c r="AG29" i="8"/>
  <c r="V141" i="8"/>
  <c r="V148" i="8"/>
  <c r="AG53" i="8"/>
  <c r="V150" i="8"/>
  <c r="AG14" i="8"/>
  <c r="AG15" i="8"/>
  <c r="V151" i="8"/>
  <c r="AG35" i="8"/>
  <c r="AG32" i="8"/>
  <c r="AG13" i="8"/>
  <c r="AG69" i="8"/>
  <c r="AG60" i="8"/>
  <c r="AG51" i="8"/>
  <c r="AG16" i="8"/>
  <c r="AG30" i="8"/>
  <c r="AG66" i="8"/>
  <c r="AG22" i="8"/>
  <c r="V140" i="8"/>
  <c r="V142" i="8"/>
  <c r="V147" i="8"/>
  <c r="AG20" i="8"/>
  <c r="AG65" i="8"/>
  <c r="AG62" i="8"/>
  <c r="AG40" i="8"/>
  <c r="AG27" i="8"/>
  <c r="AG33" i="8"/>
  <c r="AG61" i="8"/>
  <c r="AG42" i="8"/>
  <c r="AG57" i="8"/>
  <c r="AG26" i="8"/>
  <c r="AG58" i="8"/>
  <c r="AG47" i="8"/>
  <c r="AG41" i="8"/>
  <c r="AG56" i="8"/>
  <c r="AG37" i="8"/>
  <c r="AG23" i="8"/>
  <c r="AG63" i="8"/>
  <c r="AG67" i="8"/>
  <c r="AG28" i="8"/>
  <c r="AG24" i="8"/>
  <c r="AG48" i="8"/>
  <c r="AG59" i="8"/>
  <c r="AG68" i="8"/>
  <c r="AG49" i="8"/>
  <c r="AG45" i="8"/>
  <c r="AG54" i="8"/>
  <c r="AG43" i="8"/>
  <c r="AG17" i="8"/>
  <c r="AG19" i="8"/>
  <c r="AG46" i="8"/>
  <c r="AG50" i="8"/>
  <c r="AG39" i="8"/>
  <c r="AG34" i="8"/>
  <c r="AG18" i="8"/>
  <c r="AG55" i="8"/>
  <c r="AG52" i="8"/>
  <c r="AG25" i="8"/>
  <c r="AG70" i="8"/>
  <c r="AG31" i="8"/>
  <c r="AG44" i="8"/>
  <c r="AG64" i="8"/>
  <c r="AG12" i="8"/>
  <c r="B12" i="32"/>
  <c r="A186" i="32" s="1"/>
  <c r="F11" i="28" s="1"/>
  <c r="B216" i="31"/>
  <c r="D26" i="28" s="1"/>
  <c r="C30" i="36"/>
  <c r="F26" i="28"/>
  <c r="DE178" i="8"/>
  <c r="CE178" i="8" s="1"/>
  <c r="DG178" i="8"/>
  <c r="CG178" i="8" s="1"/>
  <c r="CC11" i="8"/>
  <c r="DD186" i="8"/>
  <c r="CD186" i="8" s="1"/>
  <c r="DG186" i="8"/>
  <c r="CG186" i="8" s="1"/>
  <c r="DC183" i="8"/>
  <c r="CC183" i="8" s="1"/>
  <c r="DG183" i="8"/>
  <c r="CG183" i="8" s="1"/>
  <c r="DA177" i="8"/>
  <c r="CA177" i="8" s="1"/>
  <c r="DG177" i="8"/>
  <c r="CG177" i="8" s="1"/>
  <c r="DB182" i="8"/>
  <c r="CB182" i="8" s="1"/>
  <c r="DG182" i="8"/>
  <c r="CG182" i="8" s="1"/>
  <c r="DD179" i="8"/>
  <c r="CD179" i="8" s="1"/>
  <c r="DG179" i="8"/>
  <c r="CG179" i="8" s="1"/>
  <c r="DD184" i="8"/>
  <c r="CD184" i="8" s="1"/>
  <c r="DG184" i="8"/>
  <c r="CG184" i="8" s="1"/>
  <c r="DF180" i="8"/>
  <c r="CF180" i="8" s="1"/>
  <c r="DG180" i="8"/>
  <c r="CG180" i="8" s="1"/>
  <c r="DC176" i="8"/>
  <c r="CC176" i="8" s="1"/>
  <c r="DG176" i="8"/>
  <c r="CG176" i="8" s="1"/>
  <c r="DE177" i="8"/>
  <c r="CE177" i="8" s="1"/>
  <c r="DD178" i="8"/>
  <c r="CD178" i="8" s="1"/>
  <c r="DB178" i="8"/>
  <c r="CB178" i="8" s="1"/>
  <c r="DC178" i="8"/>
  <c r="CC178" i="8" s="1"/>
  <c r="DA178" i="8"/>
  <c r="CA178" i="8" s="1"/>
  <c r="DF178" i="8"/>
  <c r="CF178" i="8" s="1"/>
  <c r="AR161" i="8"/>
  <c r="DB166" i="8"/>
  <c r="CB166" i="8" s="1"/>
  <c r="DC186" i="8"/>
  <c r="CC186" i="8" s="1"/>
  <c r="DE184" i="8"/>
  <c r="CE184" i="8" s="1"/>
  <c r="V85" i="36"/>
  <c r="DE186" i="8"/>
  <c r="CE186" i="8" s="1"/>
  <c r="V81" i="36"/>
  <c r="DC182" i="8"/>
  <c r="CC182" i="8" s="1"/>
  <c r="DB177" i="8"/>
  <c r="CB177" i="8" s="1"/>
  <c r="DA186" i="8"/>
  <c r="CA186" i="8" s="1"/>
  <c r="DF186" i="8"/>
  <c r="CF186" i="8" s="1"/>
  <c r="DD166" i="8"/>
  <c r="CD166" i="8" s="1"/>
  <c r="DC166" i="8"/>
  <c r="CC166" i="8" s="1"/>
  <c r="DF177" i="8"/>
  <c r="CF177" i="8" s="1"/>
  <c r="DD177" i="8"/>
  <c r="CD177" i="8" s="1"/>
  <c r="DB186" i="8"/>
  <c r="CB186" i="8" s="1"/>
  <c r="DC164" i="8"/>
  <c r="CC164" i="8" s="1"/>
  <c r="DB164" i="8"/>
  <c r="CB164" i="8" s="1"/>
  <c r="V79" i="36"/>
  <c r="DE183" i="8"/>
  <c r="CE183" i="8" s="1"/>
  <c r="DF183" i="8"/>
  <c r="CF183" i="8" s="1"/>
  <c r="V84" i="36"/>
  <c r="V82" i="36"/>
  <c r="DD182" i="8"/>
  <c r="CD182" i="8" s="1"/>
  <c r="V78" i="36"/>
  <c r="DE182" i="8"/>
  <c r="CE182" i="8" s="1"/>
  <c r="DF182" i="8"/>
  <c r="CF182" i="8" s="1"/>
  <c r="V80" i="36"/>
  <c r="DA182" i="8"/>
  <c r="CA182" i="8" s="1"/>
  <c r="V75" i="36"/>
  <c r="DB183" i="8"/>
  <c r="CB183" i="8" s="1"/>
  <c r="V76" i="36"/>
  <c r="DA168" i="8"/>
  <c r="CA168" i="8" s="1"/>
  <c r="DF176" i="8"/>
  <c r="CF176" i="8" s="1"/>
  <c r="DB168" i="8"/>
  <c r="CB168" i="8" s="1"/>
  <c r="V77" i="36"/>
  <c r="DC184" i="8"/>
  <c r="CC184" i="8" s="1"/>
  <c r="DA184" i="8"/>
  <c r="CA184" i="8" s="1"/>
  <c r="DB184" i="8"/>
  <c r="CB184" i="8" s="1"/>
  <c r="DC177" i="8"/>
  <c r="CC177" i="8" s="1"/>
  <c r="DA183" i="8"/>
  <c r="CA183" i="8" s="1"/>
  <c r="X100" i="31"/>
  <c r="V83" i="36"/>
  <c r="V86" i="36"/>
  <c r="DC168" i="8"/>
  <c r="CC168" i="8" s="1"/>
  <c r="DA176" i="8"/>
  <c r="CA176" i="8" s="1"/>
  <c r="DF184" i="8"/>
  <c r="CF184" i="8" s="1"/>
  <c r="V73" i="36"/>
  <c r="V74" i="36"/>
  <c r="DD183" i="8"/>
  <c r="CD183" i="8" s="1"/>
  <c r="CH15" i="36"/>
  <c r="CB15" i="36" s="1"/>
  <c r="CH26" i="36"/>
  <c r="CB26" i="36" s="1"/>
  <c r="CG24" i="36"/>
  <c r="CA24" i="36" s="1"/>
  <c r="CG22" i="36"/>
  <c r="CA22" i="36" s="1"/>
  <c r="CH29" i="36"/>
  <c r="CB29" i="36" s="1"/>
  <c r="CG20" i="36"/>
  <c r="CA20" i="36" s="1"/>
  <c r="CG23" i="36"/>
  <c r="CA23" i="36" s="1"/>
  <c r="CG18" i="36"/>
  <c r="CA18" i="36" s="1"/>
  <c r="CG21" i="36"/>
  <c r="CA21" i="36" s="1"/>
  <c r="CG16" i="36"/>
  <c r="CA16" i="36" s="1"/>
  <c r="CG27" i="36"/>
  <c r="CA27" i="36" s="1"/>
  <c r="X101" i="31"/>
  <c r="CG19" i="36"/>
  <c r="CA19" i="36" s="1"/>
  <c r="CH14" i="36"/>
  <c r="CB14" i="36" s="1"/>
  <c r="CG17" i="36"/>
  <c r="CA17" i="36" s="1"/>
  <c r="X102" i="31"/>
  <c r="DB179" i="8"/>
  <c r="CB179" i="8" s="1"/>
  <c r="DC179" i="8"/>
  <c r="CC179" i="8" s="1"/>
  <c r="DA179" i="8"/>
  <c r="CA179" i="8" s="1"/>
  <c r="DF179" i="8"/>
  <c r="CF179" i="8" s="1"/>
  <c r="DE179" i="8"/>
  <c r="CE179" i="8" s="1"/>
  <c r="DB180" i="8"/>
  <c r="CB180" i="8" s="1"/>
  <c r="DB160" i="8"/>
  <c r="CB160" i="8" s="1"/>
  <c r="DD160" i="8"/>
  <c r="CD160" i="8" s="1"/>
  <c r="DC160" i="8"/>
  <c r="CC160" i="8" s="1"/>
  <c r="DA160" i="8"/>
  <c r="CA160" i="8" s="1"/>
  <c r="DE180" i="8"/>
  <c r="CE180" i="8" s="1"/>
  <c r="DC180" i="8"/>
  <c r="CC180" i="8" s="1"/>
  <c r="DA180" i="8"/>
  <c r="CA180" i="8" s="1"/>
  <c r="DD180" i="8"/>
  <c r="CD180" i="8" s="1"/>
  <c r="CH27" i="36"/>
  <c r="CB27" i="36" s="1"/>
  <c r="C171" i="8"/>
  <c r="A262" i="8" s="1"/>
  <c r="DD185" i="8"/>
  <c r="CD185" i="8" s="1"/>
  <c r="DA185" i="8"/>
  <c r="CA185" i="8" s="1"/>
  <c r="DF185" i="8"/>
  <c r="CF185" i="8" s="1"/>
  <c r="DC185" i="8"/>
  <c r="CC185" i="8" s="1"/>
  <c r="DE185" i="8"/>
  <c r="CE185" i="8" s="1"/>
  <c r="DB185" i="8"/>
  <c r="CB185" i="8" s="1"/>
  <c r="CB11" i="8"/>
  <c r="DD181" i="8"/>
  <c r="CD181" i="8" s="1"/>
  <c r="DB181" i="8"/>
  <c r="CB181" i="8" s="1"/>
  <c r="DE181" i="8"/>
  <c r="CE181" i="8" s="1"/>
  <c r="DC181" i="8"/>
  <c r="CC181" i="8" s="1"/>
  <c r="DA181" i="8"/>
  <c r="CA181" i="8" s="1"/>
  <c r="DF181" i="8"/>
  <c r="CF181" i="8" s="1"/>
  <c r="CH23" i="36"/>
  <c r="CB23" i="36" s="1"/>
  <c r="CG14" i="36"/>
  <c r="CA14" i="36" s="1"/>
  <c r="CH21" i="36"/>
  <c r="CB21" i="36" s="1"/>
  <c r="CH24" i="36"/>
  <c r="CB24" i="36" s="1"/>
  <c r="CH22" i="36"/>
  <c r="CB22" i="36" s="1"/>
  <c r="CH18" i="36"/>
  <c r="CB18" i="36" s="1"/>
  <c r="CG29" i="36"/>
  <c r="CA29" i="36" s="1"/>
  <c r="CG26" i="36"/>
  <c r="CA26" i="36" s="1"/>
  <c r="CH16" i="36"/>
  <c r="CB16" i="36" s="1"/>
  <c r="CG15" i="36"/>
  <c r="CA15" i="36" s="1"/>
  <c r="CH19" i="36"/>
  <c r="CB19" i="36" s="1"/>
  <c r="CH17" i="36"/>
  <c r="CB17" i="36" s="1"/>
  <c r="CH20" i="36"/>
  <c r="CB20" i="36" s="1"/>
  <c r="DE176" i="8"/>
  <c r="CE176" i="8" s="1"/>
  <c r="DD170" i="8"/>
  <c r="CD170" i="8" s="1"/>
  <c r="DB170" i="8"/>
  <c r="CB170" i="8" s="1"/>
  <c r="DC170" i="8"/>
  <c r="CC170" i="8" s="1"/>
  <c r="DA170" i="8"/>
  <c r="CA170" i="8" s="1"/>
  <c r="DC163" i="8"/>
  <c r="CC163" i="8" s="1"/>
  <c r="DA163" i="8"/>
  <c r="CA163" i="8" s="1"/>
  <c r="DB163" i="8"/>
  <c r="CB163" i="8" s="1"/>
  <c r="DD163" i="8"/>
  <c r="CD163" i="8" s="1"/>
  <c r="DD176" i="8"/>
  <c r="CD176" i="8" s="1"/>
  <c r="DC165" i="8"/>
  <c r="CC165" i="8" s="1"/>
  <c r="DA165" i="8"/>
  <c r="CA165" i="8" s="1"/>
  <c r="DD165" i="8"/>
  <c r="CD165" i="8" s="1"/>
  <c r="DB165" i="8"/>
  <c r="CB165" i="8" s="1"/>
  <c r="CH25" i="36"/>
  <c r="CB25" i="36" s="1"/>
  <c r="CG25" i="36"/>
  <c r="CA25" i="36" s="1"/>
  <c r="DB176" i="8"/>
  <c r="DA167" i="8"/>
  <c r="CA167" i="8" s="1"/>
  <c r="DC167" i="8"/>
  <c r="CC167" i="8" s="1"/>
  <c r="DB167" i="8"/>
  <c r="CB167" i="8" s="1"/>
  <c r="CG28" i="36"/>
  <c r="CA28" i="36" s="1"/>
  <c r="CH28" i="36"/>
  <c r="CB28" i="36" s="1"/>
  <c r="AR160" i="8" l="1"/>
  <c r="AG11" i="8"/>
  <c r="F14" i="28"/>
  <c r="AU183" i="8"/>
  <c r="AU178" i="8"/>
  <c r="AU185" i="8"/>
  <c r="AU184" i="8"/>
  <c r="AU182" i="8"/>
  <c r="AU186" i="8"/>
  <c r="AU180" i="8"/>
  <c r="AU179" i="8"/>
  <c r="CB176" i="8"/>
  <c r="AU176" i="8" s="1"/>
  <c r="AU181" i="8"/>
  <c r="AU177" i="8"/>
  <c r="AR168" i="8"/>
  <c r="AR164" i="8"/>
  <c r="AR163" i="8"/>
  <c r="AR166" i="8"/>
  <c r="AR170" i="8"/>
  <c r="AR165" i="8"/>
  <c r="AR167" i="8"/>
  <c r="AX14" i="36"/>
  <c r="AX15" i="36"/>
  <c r="AX29" i="36"/>
  <c r="AX26" i="36"/>
  <c r="AX19" i="36"/>
  <c r="AX27" i="36"/>
  <c r="AX25" i="36"/>
  <c r="AX16" i="36"/>
  <c r="AX18" i="36"/>
  <c r="AX20" i="36"/>
  <c r="AX22" i="36"/>
  <c r="AX28" i="36"/>
  <c r="AX17" i="36"/>
  <c r="AX21" i="36"/>
  <c r="AX23" i="36"/>
  <c r="AX24" i="36"/>
  <c r="S87" i="36"/>
  <c r="B176" i="36"/>
  <c r="D31" i="28" s="1"/>
  <c r="AU30" i="36"/>
  <c r="A176" i="36" s="1"/>
  <c r="F31" i="28" s="1"/>
  <c r="CA131" i="46" l="1"/>
  <c r="AS131" i="46" s="1"/>
  <c r="CC107" i="43"/>
  <c r="F107" i="43" s="1"/>
  <c r="B60" i="37"/>
  <c r="A346" i="37" s="1"/>
  <c r="F27" i="28" s="1"/>
  <c r="D60" i="37"/>
  <c r="E60" i="37"/>
  <c r="C60" i="37"/>
  <c r="CA30" i="37"/>
  <c r="AR30" i="37" s="1"/>
  <c r="CA38" i="37"/>
  <c r="AR38" i="37" s="1"/>
  <c r="CA33" i="37"/>
  <c r="AR33" i="37" s="1"/>
  <c r="CA46" i="37"/>
  <c r="AR46" i="37" s="1"/>
  <c r="CA43" i="37"/>
  <c r="AR43" i="37" s="1"/>
  <c r="CA35" i="37"/>
  <c r="AR35" i="37" s="1"/>
  <c r="CA42" i="37"/>
  <c r="AR42" i="37" s="1"/>
  <c r="CA40" i="37"/>
  <c r="AR40" i="37" s="1"/>
  <c r="CA50" i="37"/>
  <c r="AR50" i="37" s="1"/>
  <c r="CA47" i="37"/>
  <c r="AR47" i="37" s="1"/>
  <c r="CA44" i="37"/>
  <c r="AR44" i="37" s="1"/>
  <c r="CA41" i="37"/>
  <c r="AR41" i="37" s="1"/>
  <c r="CA48" i="37"/>
  <c r="AR48" i="37" s="1"/>
  <c r="CA37" i="37"/>
  <c r="AR37" i="37" s="1"/>
  <c r="CA36" i="37"/>
  <c r="AR36" i="37" s="1"/>
  <c r="CA39" i="37"/>
  <c r="AR39" i="37" s="1"/>
  <c r="CA32" i="37"/>
  <c r="AR32" i="37" s="1"/>
  <c r="CA31" i="37"/>
  <c r="AR31" i="37" s="1"/>
  <c r="D27" i="28"/>
  <c r="CA45" i="37"/>
  <c r="AR45" i="37" s="1"/>
  <c r="CA49" i="37"/>
  <c r="AR49" i="37" s="1"/>
  <c r="CA34" i="37"/>
  <c r="AR34" i="37" s="1"/>
  <c r="U123" i="58" l="1"/>
  <c r="CB139" i="8"/>
  <c r="CD139" i="8"/>
  <c r="B262" i="8"/>
  <c r="D14" i="28" s="1"/>
  <c r="D34" i="28" s="1"/>
  <c r="B7" i="29" s="1"/>
  <c r="V139" i="8" l="1"/>
</calcChain>
</file>

<file path=xl/sharedStrings.xml><?xml version="1.0" encoding="utf-8"?>
<sst xmlns="http://schemas.openxmlformats.org/spreadsheetml/2006/main" count="14028" uniqueCount="4023">
  <si>
    <t>PROFESIONAL</t>
  </si>
  <si>
    <t xml:space="preserve">TOTAL      </t>
  </si>
  <si>
    <t>POR EDAD</t>
  </si>
  <si>
    <t>15 a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</si>
  <si>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</si>
  <si>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</si>
  <si>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</si>
  <si>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</si>
  <si>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</si>
  <si>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</si>
  <si>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</si>
  <si>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</si>
  <si>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</si>
  <si>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</si>
  <si>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</si>
  <si>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</si>
  <si>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y mas</t>
  </si>
  <si>
    <t>Hombres</t>
  </si>
  <si>
    <t>Mujeres</t>
  </si>
  <si>
    <t>MÉDICO</t>
  </si>
  <si>
    <t>MATRONA /ÓN</t>
  </si>
  <si>
    <t>GRUPO DE EDAD</t>
  </si>
  <si>
    <t>SEXO</t>
  </si>
  <si>
    <t>ENFERMERA /O</t>
  </si>
  <si>
    <t>TOTAL</t>
  </si>
  <si>
    <t xml:space="preserve">POR EDAD </t>
  </si>
  <si>
    <t>NUTRICIONISTA</t>
  </si>
  <si>
    <t>TÉCNICO PARAMÉDICO</t>
  </si>
  <si>
    <t>OTRAS</t>
  </si>
  <si>
    <t>INGRESOS</t>
  </si>
  <si>
    <t>COMPONENTE</t>
  </si>
  <si>
    <t>CONCEPTO</t>
  </si>
  <si>
    <t>10 a 14 años</t>
  </si>
  <si>
    <t>15 a 19 años</t>
  </si>
  <si>
    <t>CIRUGÍA CARDIOVASCULAR</t>
  </si>
  <si>
    <t>CIRUGÍA TÓRAX</t>
  </si>
  <si>
    <t>NEUROCIRUGÍA</t>
  </si>
  <si>
    <t>OTORRINOLARINGOLOGÍA</t>
  </si>
  <si>
    <t>OFTALMOLOGÍA</t>
  </si>
  <si>
    <t xml:space="preserve">TOTAL </t>
  </si>
  <si>
    <t>20 a 24 años</t>
  </si>
  <si>
    <t>ACTIVIDAD</t>
  </si>
  <si>
    <t>Ambos Sexos</t>
  </si>
  <si>
    <t>POR SEXO</t>
  </si>
  <si>
    <t>Total</t>
  </si>
  <si>
    <t xml:space="preserve"> </t>
  </si>
  <si>
    <t>Nutricionista</t>
  </si>
  <si>
    <t>TIPO</t>
  </si>
  <si>
    <t>10-14 años</t>
  </si>
  <si>
    <t>15-19 años</t>
  </si>
  <si>
    <t>20-24 años</t>
  </si>
  <si>
    <t>25-44 años</t>
  </si>
  <si>
    <t>45-64 años</t>
  </si>
  <si>
    <t>65 o más</t>
  </si>
  <si>
    <t>5 - 9 años</t>
  </si>
  <si>
    <t>POR DE EDAD (en años)</t>
  </si>
  <si>
    <t>NEUMONÍA</t>
  </si>
  <si>
    <t>ASMA</t>
  </si>
  <si>
    <t>ENFERMEDAD PULMONAR OBSTRUCTIVA CRÓNICA</t>
  </si>
  <si>
    <t>OTRAS RESPIRATORIAS</t>
  </si>
  <si>
    <t>PSICÓLOGO/A</t>
  </si>
  <si>
    <t>FONOAUDIÓLOGO</t>
  </si>
  <si>
    <t>TERAPEUTA OCUPACIONAL</t>
  </si>
  <si>
    <t>OTROS PROFESIONALES</t>
  </si>
  <si>
    <t>SÁBADO, DOMINGO o FESTIVO</t>
  </si>
  <si>
    <t>MATRONA</t>
  </si>
  <si>
    <t>Médico</t>
  </si>
  <si>
    <t>Psicólogo</t>
  </si>
  <si>
    <t xml:space="preserve">15 - 19 </t>
  </si>
  <si>
    <t>Mujer</t>
  </si>
  <si>
    <t>OTROS</t>
  </si>
  <si>
    <t>15 - 19</t>
  </si>
  <si>
    <t>DIABETES MELLITUS</t>
  </si>
  <si>
    <t>EGRESOS</t>
  </si>
  <si>
    <t>CAUSAL</t>
  </si>
  <si>
    <t>0 - 4</t>
  </si>
  <si>
    <t>5 - 9</t>
  </si>
  <si>
    <t>10 - 14</t>
  </si>
  <si>
    <t>Gestantes</t>
  </si>
  <si>
    <t>10 - 14 años</t>
  </si>
  <si>
    <t>15 - 19 años</t>
  </si>
  <si>
    <t>20 - 24 años</t>
  </si>
  <si>
    <t>25 - 29 años</t>
  </si>
  <si>
    <t>30 - 34 años</t>
  </si>
  <si>
    <t>GRUPOS DE EDAD (en años)</t>
  </si>
  <si>
    <t>GESTANTES</t>
  </si>
  <si>
    <t xml:space="preserve">TOTAL               </t>
  </si>
  <si>
    <t>PSICÓLOGO</t>
  </si>
  <si>
    <t xml:space="preserve">REM-07.  ATENCIÓN  DE ESPECIALIDADES </t>
  </si>
  <si>
    <t>ESPECIALIDADES   Y  SUB-ESPECIALIDADES</t>
  </si>
  <si>
    <t>CONSULTAS NUEVAS SEGÚN ORIGEN(*)</t>
  </si>
  <si>
    <t>Menos 15 años</t>
  </si>
  <si>
    <t>De 15 y más años</t>
  </si>
  <si>
    <t>Menos 
15 años</t>
  </si>
  <si>
    <t>15 y más 
años</t>
  </si>
  <si>
    <t>APS</t>
  </si>
  <si>
    <t>URGENCIA</t>
  </si>
  <si>
    <t>15 y más años</t>
  </si>
  <si>
    <t>POR EDAD (en años)</t>
  </si>
  <si>
    <t>ENFERMERA</t>
  </si>
  <si>
    <t>ARO</t>
  </si>
  <si>
    <t>GINECOLOGÍA Y OTROS</t>
  </si>
  <si>
    <t>INFERTILIDAD</t>
  </si>
  <si>
    <t>KINESIÓLOGO</t>
  </si>
  <si>
    <t>Hombre</t>
  </si>
  <si>
    <t>CONSULTAS  INFECCIÓN TRANSMISIÓN SEXUAL  (ITS) (excluir VIH/SIDA)</t>
  </si>
  <si>
    <t>CONSULTAS VIH/SIDA</t>
  </si>
  <si>
    <t>CONTROL VIH CON TAR</t>
  </si>
  <si>
    <t>CONTROL VIH SIN TAR</t>
  </si>
  <si>
    <t>CONTROLES DE SALUD A PERSONAS QUE EJERCEN COMERCIO SEXUAL</t>
  </si>
  <si>
    <t>MEDICINA INTERNA</t>
  </si>
  <si>
    <t>PEDIATRÍA</t>
  </si>
  <si>
    <t>Embarazadas</t>
  </si>
  <si>
    <t>TERRESTRE</t>
  </si>
  <si>
    <t>20-64 años</t>
  </si>
  <si>
    <t>25 a 29 años</t>
  </si>
  <si>
    <t>30 a 34 años</t>
  </si>
  <si>
    <t>35 a 39 años</t>
  </si>
  <si>
    <t>40 a 44 años</t>
  </si>
  <si>
    <t>45 a 49 años</t>
  </si>
  <si>
    <t>50 a 54 años</t>
  </si>
  <si>
    <t>FAMILIA</t>
  </si>
  <si>
    <t>COMUNAS, COMUNIDADES.</t>
  </si>
  <si>
    <t>COMUNAS, COMUNIDADES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</si>
  <si>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</si>
  <si>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</si>
  <si>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</si>
  <si>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</si>
  <si>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</si>
  <si>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</si>
  <si>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</si>
  <si>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</si>
  <si>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TEMAS</t>
  </si>
  <si>
    <t>UN PROFESIONAL</t>
  </si>
  <si>
    <t>NEONATOLOGÍA</t>
  </si>
  <si>
    <t>Otros</t>
  </si>
  <si>
    <t>ONCOLÓGICOS</t>
  </si>
  <si>
    <t>Menores de 1 año</t>
  </si>
  <si>
    <t>AUTOCUIDADO SEGÚN PATOLOGÍA</t>
  </si>
  <si>
    <t>TIPO DE INGRESO</t>
  </si>
  <si>
    <t>INGRESOS CON PTI CUIDADOR</t>
  </si>
  <si>
    <t xml:space="preserve">TIPO DE ESTRATEGIA </t>
  </si>
  <si>
    <t xml:space="preserve">20 - 24 </t>
  </si>
  <si>
    <t>25-29</t>
  </si>
  <si>
    <t>30-34</t>
  </si>
  <si>
    <t>45- 49</t>
  </si>
  <si>
    <t>Rehabilitación Base Comunitaria (RBC)</t>
  </si>
  <si>
    <t>Rehabilitación Integral(RI)</t>
  </si>
  <si>
    <t>Rehabilitación Rural (RR)</t>
  </si>
  <si>
    <t>INGRESOS CON PLAN DE TRATAMIENTO INTEGRAL (PTI)</t>
  </si>
  <si>
    <t>INGRESOS CON PLAN DE TRATAMIENTO INTEGRAL (PTI) CON OBJETIVOS PARA EL TRABAJO</t>
  </si>
  <si>
    <t xml:space="preserve">INGRESOS  DE USUARIOS CON CUIDADOR </t>
  </si>
  <si>
    <t>EGRESOS POR ALTA</t>
  </si>
  <si>
    <t>EGRESOS POR ABANDONO</t>
  </si>
  <si>
    <t>EGRESOS POR FALLECIMIENTO</t>
  </si>
  <si>
    <t>CONDICIÓN DE SALUD</t>
  </si>
  <si>
    <t>Rehabilitación Integral (RI)</t>
  </si>
  <si>
    <t>TOTAL INGRESO (N° DE PERSONAS)</t>
  </si>
  <si>
    <t>ENFERMEDAD DE PARKINSON</t>
  </si>
  <si>
    <t>CONDICIÓN SENSORIAL VISUAL</t>
  </si>
  <si>
    <t>CONDICIÓN SENSORIAL AUDITIVO</t>
  </si>
  <si>
    <t>CUIDADORES</t>
  </si>
  <si>
    <t>Total Rehabilitacion Base Comunitaria</t>
  </si>
  <si>
    <t>Total Rehabilitación Integral</t>
  </si>
  <si>
    <t xml:space="preserve">Total Rehabilitacion  Rural </t>
  </si>
  <si>
    <t>ÁREA TEMÁTICA DE PREVENCIÓN Y TRATAMIENTO</t>
  </si>
  <si>
    <t>NÙMERO DE SESIONES</t>
  </si>
  <si>
    <t>COMPONENTE (Nº PERSONAS)</t>
  </si>
  <si>
    <t>LABORAL</t>
  </si>
  <si>
    <t>MODALIDADES DE INTERVENCIÓN</t>
  </si>
  <si>
    <t>GRUPO OBJETIVO</t>
  </si>
  <si>
    <t xml:space="preserve"> Actividades </t>
  </si>
  <si>
    <t xml:space="preserve">Participantes </t>
  </si>
  <si>
    <t>ORGANIZACIONES ASOCIADAS A DISCAPACIDAD</t>
  </si>
  <si>
    <t>ORGANIZACIONES COMUNITARIAS</t>
  </si>
  <si>
    <t>COMUNIDAD EDUCATIVA</t>
  </si>
  <si>
    <t>ACTIVIDADES DE PROMOCIÓN DE LA SALUD</t>
  </si>
  <si>
    <t>EMPLEADORES Y COMPAÑEROS DE TRABAJO</t>
  </si>
  <si>
    <t>RED DE APOYO</t>
  </si>
  <si>
    <t>ACTIVIDADES PARA FORTALECER LOS CONOCIMIENTOS Y DESTREZAS PERSONALES</t>
  </si>
  <si>
    <t>PROFESIONALES DE SALUD</t>
  </si>
  <si>
    <t>MONITORES</t>
  </si>
  <si>
    <t>ASESORÍA A GRUPOS COMUNITARIOS</t>
  </si>
  <si>
    <t>UPC</t>
  </si>
  <si>
    <t>Cuidados Medios y Básicos</t>
  </si>
  <si>
    <t>EGRESOS ACV REFERIDO A APS</t>
  </si>
  <si>
    <t>DERIVACIÓN</t>
  </si>
  <si>
    <t>A OTRO HOSPITAL (hospitalizado)</t>
  </si>
  <si>
    <t>A NIVEL SECUNDARIO (ambulatorio)</t>
  </si>
  <si>
    <t>A NIVEL PRIMARIO</t>
  </si>
  <si>
    <t>SOLICITADAS</t>
  </si>
  <si>
    <t>NANEAS</t>
  </si>
  <si>
    <t>ATENCIONES</t>
  </si>
  <si>
    <t>ITS</t>
  </si>
  <si>
    <t>VIH/SIDA</t>
  </si>
  <si>
    <t>SECCIÓN C: CONSULTAS Y CONTROLES POR OTROS PROFESIONALES EN ESPECIALIDAD (NIVEL SECUNDARIO)</t>
  </si>
  <si>
    <t xml:space="preserve">   </t>
  </si>
  <si>
    <t>EGRESOS CON PTI CUIDADOR</t>
  </si>
  <si>
    <t>SECCIÓN A.3: EVALUACIÓN INICIAL</t>
  </si>
  <si>
    <t>SECCIÓN A.5: SESIONES DE REHABILITACIÓN</t>
  </si>
  <si>
    <t>SECCIÓN A.7: CONSEJERÍA INDIVIDUAL AGENDADA</t>
  </si>
  <si>
    <t>SECCIÓN A.8: CONSEJERÍA FAMILIAR AGENDADA</t>
  </si>
  <si>
    <t>SECCIÓN B.2: EVALUACIÓN INICIAL</t>
  </si>
  <si>
    <t>SECCIÓN B.4: SESIONES DE REHABILITACIÓN</t>
  </si>
  <si>
    <t>SERIE A</t>
  </si>
  <si>
    <t>MINSAL - DEIS</t>
  </si>
  <si>
    <t>SERVICIO DE SALUD</t>
  </si>
  <si>
    <t>AÑO:</t>
  </si>
  <si>
    <t>MES:</t>
  </si>
  <si>
    <t>DEPENDENCIA</t>
  </si>
  <si>
    <t>TIPO DE ESTABLECIMIENTO/ESTRATEGIA</t>
  </si>
  <si>
    <t>NOMBRE ESTABLECIMIENTO/ESTRATEGIA</t>
  </si>
  <si>
    <t>NOMBRE DE COMUNA</t>
  </si>
  <si>
    <t>CÓDIGOS</t>
  </si>
  <si>
    <t>REMA28</t>
  </si>
  <si>
    <t>REMA27</t>
  </si>
  <si>
    <t>REMA26</t>
  </si>
  <si>
    <t>REMA25</t>
  </si>
  <si>
    <t>REMA24</t>
  </si>
  <si>
    <t>REMA23</t>
  </si>
  <si>
    <t>REMA21</t>
  </si>
  <si>
    <t>REMA19-b</t>
  </si>
  <si>
    <t>REMA19-a</t>
  </si>
  <si>
    <t>REMA11</t>
  </si>
  <si>
    <t>REMA09</t>
  </si>
  <si>
    <t>REMA08</t>
  </si>
  <si>
    <t>REMA07</t>
  </si>
  <si>
    <t>REMA06</t>
  </si>
  <si>
    <t>REMA05</t>
  </si>
  <si>
    <t>Otra causa justificada</t>
  </si>
  <si>
    <t>REMA04</t>
  </si>
  <si>
    <t>No corresponde REM</t>
  </si>
  <si>
    <t>REMA03</t>
  </si>
  <si>
    <t>No hubo profesional</t>
  </si>
  <si>
    <t>REMA02</t>
  </si>
  <si>
    <t>Feriado Legal</t>
  </si>
  <si>
    <t>REMA01</t>
  </si>
  <si>
    <t>Licencia médica</t>
  </si>
  <si>
    <t>HOJA NOMBRE</t>
  </si>
  <si>
    <t>OTRA CAUSAL (indicar)</t>
  </si>
  <si>
    <t>REM
SIN DATOS</t>
  </si>
  <si>
    <t>JUSTIFICAR ERRORES (indicar)</t>
  </si>
  <si>
    <t>Nº ERRORES</t>
  </si>
  <si>
    <t>REM</t>
  </si>
  <si>
    <t>C.- ENTRE EVALUACIONES Y RESULTADOS, INGRESOS A PROGRAMAS Y APLICACIÓN DE INSTRUMENTOS, ETC.</t>
  </si>
  <si>
    <t>B.- ENTRE TOTAL Y DESGLOSE SEGÚN SEXO</t>
  </si>
  <si>
    <t xml:space="preserve">A.- DIFERENCIAS ENTRE TOTAL Y BENEFICIARIO </t>
  </si>
  <si>
    <t>NUMERO DE ERRORES  SEGÚN:</t>
  </si>
  <si>
    <t>Contraseña para copia del archivo :DEIS</t>
  </si>
  <si>
    <t>CREA UNA COPIA  DEL ARCHIVO  (TRANFORMA HOJAS A VALORES)</t>
  </si>
  <si>
    <t>Hoja de Macros y Utilidades</t>
  </si>
  <si>
    <t>REMA29</t>
  </si>
  <si>
    <t>REMA30</t>
  </si>
  <si>
    <t>DIABETES</t>
  </si>
  <si>
    <t>ENFERMEDAD RESPIRATORIA PEDIÁTRICA (BRONCOPULMONAR INFANTIL)</t>
  </si>
  <si>
    <t>ENFERMEDAD RESPIRATORIA DE ADULTO (BRONCOPULMONAR)</t>
  </si>
  <si>
    <t>CARDIOLOGÍA PEDIÁTRICA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</si>
  <si>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</si>
  <si>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</si>
  <si>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</si>
  <si>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</si>
  <si>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</si>
  <si>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HEMATO-ONCOLOGÍA INFANTIL</t>
  </si>
  <si>
    <t>NEFROLOGÍA PEDIÁTRICA</t>
  </si>
  <si>
    <t>NEFROLOGÍA ADULTO</t>
  </si>
  <si>
    <t>NUTRIÓLOGO PEDIÁTRICO</t>
  </si>
  <si>
    <t>REUMATOLOGÍA PEDIÁTRICA</t>
  </si>
  <si>
    <t>DERMATOLOGÍA</t>
  </si>
  <si>
    <t>INFECTOLOGÍA PEDIÁTRICA</t>
  </si>
  <si>
    <t>INMUNOLOGÍA</t>
  </si>
  <si>
    <t>GERIATRÍA</t>
  </si>
  <si>
    <t>MEDICINA FÍSICA Y REHABILITACIÓN PEDIÁTRICA (FISIATRÍA PEDIÁTRICA)</t>
  </si>
  <si>
    <t>MEDICINA FÍSICA Y REHABILITACIÓN ADULTO (FISIATRÍA ADULTO)</t>
  </si>
  <si>
    <t>NEUROLOGÍA PEDIÁTRICA</t>
  </si>
  <si>
    <t>ONCOLOGÍA MÉDICA</t>
  </si>
  <si>
    <t>PSIQUIATRÍA PEDIÁTRICA Y DE LA ADOLESCENCIA</t>
  </si>
  <si>
    <t>CIRUGÍA PEDIÁTRICA</t>
  </si>
  <si>
    <t>CIRUGÍA DE CABEZA, CUELLO Y MAXILOFACIAL</t>
  </si>
  <si>
    <t>CIRUGÍA PLÁSTICA Y REPARADORA PEDIÁTRICA</t>
  </si>
  <si>
    <t>CIRUGÍA VASCULAR PERIFÉRICA</t>
  </si>
  <si>
    <t>ANESTESIOLOGÍA</t>
  </si>
  <si>
    <t>OBSTETRICIA</t>
  </si>
  <si>
    <t>GINECOLOGÍA PEDIÁTRICA Y DE LA ADOLESCENCIA</t>
  </si>
  <si>
    <t>TRAUMATOLOGÍA Y ORTOPEDIA PEDIÁTRICA</t>
  </si>
  <si>
    <t>UROLOGÍA PEDIÁTRICA</t>
  </si>
  <si>
    <t>MEDICINA FAMILIAR</t>
  </si>
  <si>
    <t>DIABETOLOGÍA</t>
  </si>
  <si>
    <t>MEDICINA NUCLEAR (EXCLUYE INFORMES)</t>
  </si>
  <si>
    <t>Nº Consultorías</t>
  </si>
  <si>
    <t>Nº de casos revisados por el equipo</t>
  </si>
  <si>
    <t>Nº de casos atendidos</t>
  </si>
  <si>
    <t>ARRITMIAS</t>
  </si>
  <si>
    <t>CIRUGÍA DE MAMAS</t>
  </si>
  <si>
    <t>ALTO RIESGO OBSTÉTRICO</t>
  </si>
  <si>
    <t>TRATAMIENTO ANTICOAGULANTE</t>
  </si>
  <si>
    <t>CUIDADOS PALIATIVOS</t>
  </si>
  <si>
    <t>PATOLOGÍA CERVICAL</t>
  </si>
  <si>
    <t>PATOLOGÍA DE MAMAS</t>
  </si>
  <si>
    <t>ADOLESCENCIA</t>
  </si>
  <si>
    <t>MEDICINAL OCUPACIONAL (SALUD DEL PERSONAL)</t>
  </si>
  <si>
    <t>CONDICIÓN FÍSICA</t>
  </si>
  <si>
    <t>SECCIÓN A.4: EVALUACIÓN INTERMEDIA</t>
  </si>
  <si>
    <t>FISIOTERAPIA</t>
  </si>
  <si>
    <t>EJERCICIOS TERAPÉUTICOS</t>
  </si>
  <si>
    <t>CONFECCIÓN ÓRTESIS Y/O ADAPTACIONES</t>
  </si>
  <si>
    <t>ADAPTACIÓN DEL HOGAR</t>
  </si>
  <si>
    <t>ACTIVIDADES TERAPÉUTICAS</t>
  </si>
  <si>
    <t>ORIENTACIÓN Y MOVILIDAD</t>
  </si>
  <si>
    <t>Trabajo con objetivos de habilitación y rehabilitación</t>
  </si>
  <si>
    <t>Trabajo sin objetivos de habilitación y rehabilitación</t>
  </si>
  <si>
    <t>Dueña/o de casa</t>
  </si>
  <si>
    <t xml:space="preserve">DIAGNÓSTICO O PLANIFICACIÓN PARTICIPATIVA </t>
  </si>
  <si>
    <t>PARÁLISIS CEREBRAL</t>
  </si>
  <si>
    <t>SENSORIALES AUDITIVOS</t>
  </si>
  <si>
    <t>SENSORIALES VISUALES</t>
  </si>
  <si>
    <t>TRAUMATOLÓGICOS</t>
  </si>
  <si>
    <t>CARDIOVASCULAR</t>
  </si>
  <si>
    <t>NEUROMUSCULARES AGUDAS</t>
  </si>
  <si>
    <t>NEUROMUSCULARES CRÓNICAS</t>
  </si>
  <si>
    <t>CERRADA</t>
  </si>
  <si>
    <t>TRATAMIENTO COMPRESIVO</t>
  </si>
  <si>
    <t>ESTIMULACIÓN COGNITIVA</t>
  </si>
  <si>
    <t>HABILITACIÓN Y REHABILITACIÓN EDUCACIONAL</t>
  </si>
  <si>
    <t>INTEGRACIÓN SENSORIAL</t>
  </si>
  <si>
    <t>SECCIÓN B: NIVEL HOSPITALARIO</t>
  </si>
  <si>
    <t>ESTADO MACROS:</t>
  </si>
  <si>
    <t>Para habilitar el contenido de las celdas "Tipo de Establecimiento", "Dependencia" y "Mes", presione el boton "Verificar Habilitacion de Macros".                                   Para poder tener un 100% de funcionalidad debe hablitar la opcion Macros en esta planilla.</t>
  </si>
  <si>
    <t>De 3 meses a 5 meses 29 días</t>
  </si>
  <si>
    <t>De 1 mes a 2 meses 29 días</t>
  </si>
  <si>
    <t xml:space="preserve"> De 0 a 29 días</t>
  </si>
  <si>
    <t>De 6 meses a 11 meses 29 días</t>
  </si>
  <si>
    <t>POR RANGO ETARIO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</si>
  <si>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</si>
  <si>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</si>
  <si>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</si>
  <si>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</si>
  <si>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</si>
  <si>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</si>
  <si>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</si>
  <si>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</si>
  <si>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</si>
  <si>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</si>
  <si>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</si>
  <si>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</si>
  <si>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Establecimiento de Mayor Complejidad (EMAYC)</t>
  </si>
  <si>
    <t>Establecimiento de Mediana Complejidad (EMEDC)</t>
  </si>
  <si>
    <t>Establecimiento de Menor Complejidad (EMENC)</t>
  </si>
  <si>
    <t>Centro de Referencia de Salud (CRS)</t>
  </si>
  <si>
    <t>Consultorio General Urbano (CGU)</t>
  </si>
  <si>
    <t>Consultorio General Urbano(CGU) con SAPU/SUR/SAR</t>
  </si>
  <si>
    <t>Consultorio General Rural (CGR)</t>
  </si>
  <si>
    <t>Consultorio General Rural (CGR) con SAPU/SAR/SUR</t>
  </si>
  <si>
    <t>Posta de Salud Rural (PSR)</t>
  </si>
  <si>
    <t>Consultorio de Salud Mental (COSAM)</t>
  </si>
  <si>
    <t>MUNICIPAL</t>
  </si>
  <si>
    <t>EGRESOS POR OTRAS CAUSAS</t>
  </si>
  <si>
    <t>Masculino</t>
  </si>
  <si>
    <t>Femenino</t>
  </si>
  <si>
    <t>Beneficiarios</t>
  </si>
  <si>
    <t>Migrantes</t>
  </si>
  <si>
    <t>Pueblos Originarios</t>
  </si>
  <si>
    <t>Trans</t>
  </si>
  <si>
    <t>Total Controles (incluidos en grupo de edad)</t>
  </si>
  <si>
    <t>SECCIÓN D: CONSULTAS INFECCIÓN TRANSMISIÓN SEXUAL (ITS) Y CONTROLES DE SALUD SEXUAL EN EL NIVEL SECUNDARIO (Incluidas en Sección C)</t>
  </si>
  <si>
    <t>Abierta</t>
  </si>
  <si>
    <t>Educativa</t>
  </si>
  <si>
    <t>Comunitario</t>
  </si>
  <si>
    <t xml:space="preserve">PERFIL PROFESIONAL </t>
  </si>
  <si>
    <t>Acupuntura</t>
  </si>
  <si>
    <t>Homeopatía</t>
  </si>
  <si>
    <t>Naturopatía</t>
  </si>
  <si>
    <t>Otras</t>
  </si>
  <si>
    <t>Pacientes</t>
  </si>
  <si>
    <t>Funcionarios</t>
  </si>
  <si>
    <t>Odontólogo</t>
  </si>
  <si>
    <t>Paramédico</t>
  </si>
  <si>
    <t>Asistente Social</t>
  </si>
  <si>
    <t>Kinesiólogo</t>
  </si>
  <si>
    <t>Terapeuta Complementario</t>
  </si>
  <si>
    <t>Paciente Hospitalizado</t>
  </si>
  <si>
    <t>Consulta Espontánea</t>
  </si>
  <si>
    <t>Derivado desde Morbilidad</t>
  </si>
  <si>
    <t>Derivado desde Especialidad</t>
  </si>
  <si>
    <t>No reguladas</t>
  </si>
  <si>
    <t>Terapia Neural</t>
  </si>
  <si>
    <t>Terapia Floral</t>
  </si>
  <si>
    <t>Reiki</t>
  </si>
  <si>
    <t>Yoga</t>
  </si>
  <si>
    <t>Biomagnetismo</t>
  </si>
  <si>
    <t>Matrona (on)</t>
  </si>
  <si>
    <t>Enfermera (o)</t>
  </si>
  <si>
    <t>Fonoaudiólogo</t>
  </si>
  <si>
    <t>Terapeuta Ocupacional</t>
  </si>
  <si>
    <t>Tecnólogo Médico</t>
  </si>
  <si>
    <t>Atenciones realizadas durante otras consultas</t>
  </si>
  <si>
    <t>REMA31</t>
  </si>
  <si>
    <t>HABILITADO</t>
  </si>
  <si>
    <t>0 - 4 años</t>
  </si>
  <si>
    <t>35 - 39 años</t>
  </si>
  <si>
    <t>80  años y mas</t>
  </si>
  <si>
    <t>NUEVAS</t>
  </si>
  <si>
    <t>CONTROLES</t>
  </si>
  <si>
    <t xml:space="preserve">ONCOLÓGICOS </t>
  </si>
  <si>
    <t>ORTOPROTESISTA</t>
  </si>
  <si>
    <t>AYUDAS TÉCNICAS</t>
  </si>
  <si>
    <t>COLCHÓN ANTI ESCARAS</t>
  </si>
  <si>
    <t>BASTONES</t>
  </si>
  <si>
    <t>ANDADORES</t>
  </si>
  <si>
    <t>AYUDA TÉCNICA VISUALES LENTES</t>
  </si>
  <si>
    <t>SISTEMA COMPRESIVO</t>
  </si>
  <si>
    <t>NÚMERO DE PERSONAS CON AYUDA TÉCNICA ENTREGADA</t>
  </si>
  <si>
    <t>SENSORIAL AUDITIVO</t>
  </si>
  <si>
    <t>SENSORIAL VISUAL</t>
  </si>
  <si>
    <t>OTRAS CONDICIONES DE SALUD</t>
  </si>
  <si>
    <t>EVALUACIÓN</t>
  </si>
  <si>
    <t>Espacios Amigables</t>
  </si>
  <si>
    <t>IMAGENOLOGÍA</t>
  </si>
  <si>
    <t>RADIOTERAPIA ONCOLÓGICA</t>
  </si>
  <si>
    <t>REHABILITACIÓN AUDITIVA INDIVIDUAL</t>
  </si>
  <si>
    <t>REHABILITACIÓN AUDITIVA GRUPAL</t>
  </si>
  <si>
    <t>Apiterapia</t>
  </si>
  <si>
    <t>Aurículoterapia</t>
  </si>
  <si>
    <t xml:space="preserve">Fitoterapia </t>
  </si>
  <si>
    <t>Masoterapia</t>
  </si>
  <si>
    <t>Medicina Antroposófica</t>
  </si>
  <si>
    <t>Quiropraxia</t>
  </si>
  <si>
    <t>Controles</t>
  </si>
  <si>
    <t>Niños, Niñas, Adolescentes y Jóvenes población SENAME</t>
  </si>
  <si>
    <t>Familiares / Cuidadores de los pacientes</t>
  </si>
  <si>
    <t>Arte terapia</t>
  </si>
  <si>
    <t>Biodanza</t>
  </si>
  <si>
    <t>Fitoterapia</t>
  </si>
  <si>
    <t xml:space="preserve">Meditación </t>
  </si>
  <si>
    <t>Sanación Pránica</t>
  </si>
  <si>
    <t>Sintergética</t>
  </si>
  <si>
    <t>Sonoterapia</t>
  </si>
  <si>
    <t>Circulos de escucha</t>
  </si>
  <si>
    <t>ORIGEN DE LA ATENCIÓN</t>
  </si>
  <si>
    <t>Huertos Medicinales o Alimenticio/Medicinales</t>
  </si>
  <si>
    <t>Meditación</t>
  </si>
  <si>
    <t>Tai Chi</t>
  </si>
  <si>
    <t>Constelaciones familiares</t>
  </si>
  <si>
    <t>Musicoterapia</t>
  </si>
  <si>
    <t>Dramaterapia</t>
  </si>
  <si>
    <t>Reguladas</t>
  </si>
  <si>
    <t>Danzaterapia</t>
  </si>
  <si>
    <t>Otras Individuales</t>
  </si>
  <si>
    <t>Constelaciones Familiares</t>
  </si>
  <si>
    <t>Otras Grupales</t>
  </si>
  <si>
    <t>SECCIÓN A.6: PROCEDIMIENTOS Y ACTIVIDADES</t>
  </si>
  <si>
    <t>MEDICINA FAMILIAR ADULTO</t>
  </si>
  <si>
    <t xml:space="preserve">Sanación Pránica </t>
  </si>
  <si>
    <t>Chile Crece Contigo/Programa Infantil</t>
  </si>
  <si>
    <t>CARDIOLOGÍA ADULTO</t>
  </si>
  <si>
    <t>HEMATOLOGÍA ADULTO</t>
  </si>
  <si>
    <t>NUTRIÓLOGO ADULTO</t>
  </si>
  <si>
    <t>REUMATOLOGÍA ADULTO</t>
  </si>
  <si>
    <t>INFECTOLOGÍA ADULTO</t>
  </si>
  <si>
    <t>NEUROLOGÍA ADULTO</t>
  </si>
  <si>
    <t>PSIQUIATRÍA ADULTO</t>
  </si>
  <si>
    <t>CIRUGÍA GENERAL ADULTO</t>
  </si>
  <si>
    <t>CIRUGÍA PLÁSTICA Y REPARADORA ADULTO</t>
  </si>
  <si>
    <t>GINECOLOGÍA ADULTO</t>
  </si>
  <si>
    <t>TRAUMATOLOGÍA Y ORTOPEDIA ADULTO</t>
  </si>
  <si>
    <t>UROLOGÍA ADULTO</t>
  </si>
  <si>
    <t xml:space="preserve">SECCIÓN A:  NIVEL PRIMARIO </t>
  </si>
  <si>
    <t>ZAPATO ORTOPÉDICO</t>
  </si>
  <si>
    <t>BAÑO PORTÁTIL</t>
  </si>
  <si>
    <t>EQUIPO VENTILADOR MECÁNICO NO INVASIVO</t>
  </si>
  <si>
    <t>ASPIRADOR DE SECRECIONES</t>
  </si>
  <si>
    <t>TERAPIA RESPIRATORIA Y FUNCIONAL PULMONAR</t>
  </si>
  <si>
    <t>REM-27.  EDUCACIÓN PARA LA SALUD</t>
  </si>
  <si>
    <t>SECCIÓN A: PERSONAS QUE INGRESAN A EDUCACIÓN GRUPAL SEGÚN ÁREAS TEMÁTICAS Y EDAD</t>
  </si>
  <si>
    <t>ÁREAS TEMÁTICAS DE PREVENCIÓN</t>
  </si>
  <si>
    <t>MADRE, PADRE O CUIDADOR DE :</t>
  </si>
  <si>
    <t>GRUPO DE EDAD (en años)</t>
  </si>
  <si>
    <t>Niños 12 a 23 meses</t>
  </si>
  <si>
    <t>Niños de 2 a 5 años</t>
  </si>
  <si>
    <t>Niños de 6 a 9 años</t>
  </si>
  <si>
    <t>EDUCACIÓN DE GRUPO</t>
  </si>
  <si>
    <t>ESTIMULACIÓN DESARROLLO PSICOMOTOR</t>
  </si>
  <si>
    <t>NUTRICIÓN</t>
  </si>
  <si>
    <t>RIESGO DE MALNUTRICIÓN POR EXCESO</t>
  </si>
  <si>
    <t>MALNUTRICIÓN POR EXCESO</t>
  </si>
  <si>
    <t>MALNUTRICIÓN DE DÉFICIT</t>
  </si>
  <si>
    <t>SIN RIESGO DE MALNUTRICIÓN</t>
  </si>
  <si>
    <t>PREVENCIÓN DE IRA - ERA</t>
  </si>
  <si>
    <t>PREVENCIÓN DE ACCIDENTES</t>
  </si>
  <si>
    <t>SALUD BUCO-DENTAL</t>
  </si>
  <si>
    <t>PREVENCIÓN VIOLENCIA DE GÉNERO</t>
  </si>
  <si>
    <t>SALUD SEXUAL Y REPRODUCTIVA</t>
  </si>
  <si>
    <t>EDUCACIÓN PRENATAL (NUTRICIÓN - LACTANCIA - CRIANZA - AUTOCUIDADO - PREPARACIÓN PARTO Y OTROS)</t>
  </si>
  <si>
    <t>PROMOCIÓN DE SALUD MENTAL</t>
  </si>
  <si>
    <t>PROMOCIÓN DEL DESARROLLO INFANTIL TEMPRANO</t>
  </si>
  <si>
    <t>DEL LENGUAJE</t>
  </si>
  <si>
    <t>MOTOR</t>
  </si>
  <si>
    <t>HABILIDADES PARENTALES</t>
  </si>
  <si>
    <t>NADIE ES PERFECTO</t>
  </si>
  <si>
    <t>FAMILIAS FUERTES</t>
  </si>
  <si>
    <t>APOYO MADRE A MADRE</t>
  </si>
  <si>
    <t xml:space="preserve">PREVENCIÓN DE SALUD MENTAL </t>
  </si>
  <si>
    <t>PREVENCIÓN SUICIDIO</t>
  </si>
  <si>
    <t>PREVENCIÓN TRASTORNO MENTAL</t>
  </si>
  <si>
    <t>ANTITABÁQUICA (excluye REM 23)</t>
  </si>
  <si>
    <t>PREVENCIÓN DE LA TRANSMISIÓN VERTICAL DE VIH-SÍFILIS</t>
  </si>
  <si>
    <t>OTRAS ÁREAS TEMÁTICAS</t>
  </si>
  <si>
    <t>EDUCACIÓN ESPECIAL EN ADULTO MAYOR</t>
  </si>
  <si>
    <t>ESTIMULACIÓN DE MEMORIA</t>
  </si>
  <si>
    <t>PREVENCIÓN CAÍDAS</t>
  </si>
  <si>
    <t>ESTIMULACIÓN DE ACTIVIDAD FÍSICA</t>
  </si>
  <si>
    <t>USO RACIONAL DE MEDICAMENTOS</t>
  </si>
  <si>
    <t>RESISTENCIA ANTIMICROBIANOS</t>
  </si>
  <si>
    <t>SECCIÓN B: ACTIVIDADES DE EDUCACIÓN PARA LA SALUD SEGÚN PERSONAL QUE LAS REALIZA (SESIONES)</t>
  </si>
  <si>
    <t>DOS O MÁS PROFESIO- NALES</t>
  </si>
  <si>
    <t>UN PROFESIONAL Y UN TÉCNICO PARAMÉDICO</t>
  </si>
  <si>
    <t>TÉCNICO 
PARAMÉ-
DICO</t>
  </si>
  <si>
    <t>FACILITADOR/A INTERCULTURAL PUEBLOS ORIGINARIOS</t>
  </si>
  <si>
    <t>TOTAL 
SESIONES</t>
  </si>
  <si>
    <t>PREPARACIÓN PARA EL PARTO</t>
  </si>
  <si>
    <t>TALLER DE EDUCACIÓN PRENATAL</t>
  </si>
  <si>
    <t>TALLER</t>
  </si>
  <si>
    <t>Nº DE SESIONES</t>
  </si>
  <si>
    <t>ESTIMULACIÓN DE FUNCIONES MOTORAS Y PREVENCIÓN DE CAÍDAS</t>
  </si>
  <si>
    <t>ESTIMULACIÓN DE FUNCIONES  COGNITIVA</t>
  </si>
  <si>
    <t>AUTOCUIDADO Y ESTILOS DE VIDA SALUDABLE</t>
  </si>
  <si>
    <t>Post Parto</t>
  </si>
  <si>
    <t>menor de 2 años</t>
  </si>
  <si>
    <t>CIRCULO DE VIDA SANA</t>
  </si>
  <si>
    <t>ACTIVIDADES MASIVAS</t>
  </si>
  <si>
    <t>TIPO DE INTERVENCIÓN</t>
  </si>
  <si>
    <t>INTERVENCIÓN MÍNIMA
(BAJO RIESGO)</t>
  </si>
  <si>
    <t xml:space="preserve"> ALCOHOL</t>
  </si>
  <si>
    <t xml:space="preserve"> TABACO</t>
  </si>
  <si>
    <t xml:space="preserve"> DROGAS</t>
  </si>
  <si>
    <t>INTERVENCIÓN REFERENCIA ASISTIDA
(PERJUDICIAL O DEPENDENCIA)</t>
  </si>
  <si>
    <t>POR TIPO DE ORGANIZACIÓN</t>
  </si>
  <si>
    <t>POR TIPO DE SERVICIO</t>
  </si>
  <si>
    <t>Nº DE TALLERES</t>
  </si>
  <si>
    <t>GRUPO DE EDAD (En años)</t>
  </si>
  <si>
    <t>REM-A04.   CONSULTAS Y OTRAS ATENCIONES EN LA RED</t>
  </si>
  <si>
    <t xml:space="preserve">SECCIÓN A: CONSULTAS MÉDICAS </t>
  </si>
  <si>
    <t>TIPO DE CONSULTA</t>
  </si>
  <si>
    <t>IRA ALTA</t>
  </si>
  <si>
    <t xml:space="preserve">SÍNDROME BRONQUIAL OBSTRUCTIVO </t>
  </si>
  <si>
    <t>GINECOLÓGICA</t>
  </si>
  <si>
    <t>GINECOLÓGICA  POR INFERTILIDAD</t>
  </si>
  <si>
    <t>INFECCIÓN TRANSMISIÓN SEXUAL</t>
  </si>
  <si>
    <t>VIH-SIDA</t>
  </si>
  <si>
    <t>SALUD MENTAL</t>
  </si>
  <si>
    <t>OTRAS MORBILIDADES</t>
  </si>
  <si>
    <t xml:space="preserve">SECCIÓN B: CONSULTAS DE PROFESIONALES NO MÉDICOS </t>
  </si>
  <si>
    <t>MATRONA /ÓN (MORB.GINECOLÓGICA)</t>
  </si>
  <si>
    <t>MATRONA /ÓN (ITS)</t>
  </si>
  <si>
    <t>MATRONA /ÓN (INFERTILIDAD)</t>
  </si>
  <si>
    <t>MATRONA /ÓN (OTRAS CONSULTAS)</t>
  </si>
  <si>
    <t>MATRONA /ÓN (SALUD SEXUAL)</t>
  </si>
  <si>
    <t>NUTRICIONISTA (OTRAS CONSULTAS)</t>
  </si>
  <si>
    <t>NUTRICIONISTA MAULNUTRICIÓN POR EXCESO</t>
  </si>
  <si>
    <t>CON ENTREGA ANTICONCEPCIÓN EMERGENCIA</t>
  </si>
  <si>
    <t>SIN ENTREGA ANTICONCEPCIÓN EMERGENCIA</t>
  </si>
  <si>
    <t>25 y más años</t>
  </si>
  <si>
    <t>TIPO JORNADA</t>
  </si>
  <si>
    <t>HORARIO CONTINUADO</t>
  </si>
  <si>
    <t>Menor de 2 años</t>
  </si>
  <si>
    <t>CONSULTA NUTRICIONAL</t>
  </si>
  <si>
    <t>CONSULTA NUTRICIONAL DE SEGUIMIENTO</t>
  </si>
  <si>
    <t>CONSULTA</t>
  </si>
  <si>
    <t>ATENCIÓN FARMACÉUTICA</t>
  </si>
  <si>
    <t>REVISIÓN DE LA MEDICACIÓN SIN ENTREVISTA</t>
  </si>
  <si>
    <t>REVISIÓN DE LA MEDICACIÓN CON ENTREVISTA</t>
  </si>
  <si>
    <t>CONCILIACIÓN FARMACÉUTICA</t>
  </si>
  <si>
    <t>EDUCACIÓN FARMACÉUTICA</t>
  </si>
  <si>
    <t>SEGUIMIENTO FARMACOTERAPÉUTICO</t>
  </si>
  <si>
    <t>FARMACOVIGILANCIA</t>
  </si>
  <si>
    <t>REPORTE REACCIÓN ADVERSA A MEDICAMENTOS</t>
  </si>
  <si>
    <t>REPORTE FALLA DE CALIDAD</t>
  </si>
  <si>
    <t>REPORTE DE EVENTOS ADVERSOS ASOCIADOS A MEDICAMENTOS</t>
  </si>
  <si>
    <t>TIPO DE RECETA</t>
  </si>
  <si>
    <t>RECETAS DESPACHADAS</t>
  </si>
  <si>
    <t>RECETAS DESPACHADAS CON OPORTUNIDAD  (Entregado el mismo día)</t>
  </si>
  <si>
    <t>DESPACHO TOTAL</t>
  </si>
  <si>
    <t>DESPACHO
PARCIAL</t>
  </si>
  <si>
    <t>CRÓNICA</t>
  </si>
  <si>
    <t>MORBILIDAD</t>
  </si>
  <si>
    <t>BAJO CONTROL LEGAL</t>
  </si>
  <si>
    <t>TIPO DE RONDA</t>
  </si>
  <si>
    <t>Nº Rondas</t>
  </si>
  <si>
    <t>TOTAL DE PROFESIONALES QUE PARTICIPARON EN RONDAS, SEGÚN TIPO DE PROFESIONAL</t>
  </si>
  <si>
    <t>Compra de Servicio - Nº Traslados profesionales en Ronda</t>
  </si>
  <si>
    <t>Dentista</t>
  </si>
  <si>
    <t>Enfermera</t>
  </si>
  <si>
    <t>Matrona</t>
  </si>
  <si>
    <t>AÉREA</t>
  </si>
  <si>
    <t>MARÍTIMA</t>
  </si>
  <si>
    <t>De 1 a 2 años</t>
  </si>
  <si>
    <t>CONSULTA DE LACTANCIA</t>
  </si>
  <si>
    <t>CONSULTA DE LACTANCIA POR PROFESIONAL</t>
  </si>
  <si>
    <t>MATRÓN/A</t>
  </si>
  <si>
    <t>TALLERES DE CLIMATERIO</t>
  </si>
  <si>
    <t>Qi Gong</t>
  </si>
  <si>
    <t>Mayor de 64 años</t>
  </si>
  <si>
    <t>10-19 años</t>
  </si>
  <si>
    <t>Menor de 10 años</t>
  </si>
  <si>
    <t xml:space="preserve">PARTICIPANTES POR EDAD </t>
  </si>
  <si>
    <t>Nº de participantes</t>
  </si>
  <si>
    <t>Programa de Cuidados Paliativos y Manejo del Dolor</t>
  </si>
  <si>
    <t>Programa de Salud Oral</t>
  </si>
  <si>
    <t>Programa de Salud Mental</t>
  </si>
  <si>
    <t>Otros programas de crónicos</t>
  </si>
  <si>
    <t xml:space="preserve">Tai Chi </t>
  </si>
  <si>
    <t>RECETAS DESPACHADAS A PACIENTES DEL PROGRAMA DE SALUD CARDIOVASCULAR</t>
  </si>
  <si>
    <t>PRESCRIPCIONES A PACIENTES DEL PROGRAMA DE SALUD CARDIOVASCULAR</t>
  </si>
  <si>
    <t>TIPO DE MEDICINA COMPLEMENTARIA O PRÁCTICA DE BIENESTAR DE LA SALUD</t>
  </si>
  <si>
    <t>OBSTÉTRICA</t>
  </si>
  <si>
    <t>NUTRICIONISTA MALNUTRICIÓN POR DÉFICIT</t>
  </si>
  <si>
    <t>ATENCIONES POR AGENTE MEDICINA INDÍGENA</t>
  </si>
  <si>
    <t>PRESTACIÓN</t>
  </si>
  <si>
    <t>PROFESIONAL DE LA ACTIVIDAD FÍSICA</t>
  </si>
  <si>
    <t xml:space="preserve">ATENCIÓN ABIERTA </t>
  </si>
  <si>
    <t>ATENCIÓN CERRADA</t>
  </si>
  <si>
    <t>RECHAZADAS</t>
  </si>
  <si>
    <t>CONSULTA ABREVIADA (Confección de recetas o lectura de exámenes)</t>
  </si>
  <si>
    <t>PREVENCIÓN ALCOHOL Y DROGAS</t>
  </si>
  <si>
    <t>CIRCULO DE ACTIVIDAD FÍSICA</t>
  </si>
  <si>
    <t>Nº DE INTERVENCIONES</t>
  </si>
  <si>
    <t>Nº DE PARTICIPANTES</t>
  </si>
  <si>
    <t>SECCIÓN B.3: EVALUACIÓN INTERMEDIA</t>
  </si>
  <si>
    <t>SECCIÓN B.5: DERIVACIONES Y CONTINUIDAD EN LOS CUIDADOS</t>
  </si>
  <si>
    <t>SECCIÓN B.6: PROCEDIMIENTOS Y ACTIVIDADES</t>
  </si>
  <si>
    <t>SECCIÓN C: AYUDAS TÉCNICAS DE SALUD, NIVEL APS Y HOSPITALARIO</t>
  </si>
  <si>
    <t>SECCIÓN C.1: NÚMERO DE PERSONAS QUE RECIBEN AYUDAS TÉCNICAS</t>
  </si>
  <si>
    <t>SECCIÓN C.2: NÚMERO DE  AYUDAS TÉCNICAS ENTREGADAS POR TIPO</t>
  </si>
  <si>
    <t>TOTAL DE AYUDAS TÉCNICAS ENTREGADAS</t>
  </si>
  <si>
    <t>SILLAS DE RUEDAS ESTÁNDAR</t>
  </si>
  <si>
    <t>SILLA DE RUEDAS NEUROLÓGICA</t>
  </si>
  <si>
    <t>COJÍN ANTI ESCARAS</t>
  </si>
  <si>
    <t>PRÓTESIS EXTREMIDAD SUPERIOR</t>
  </si>
  <si>
    <t>AYUDA TÉCNICA AUDITIVAS AUDÍFONOS</t>
  </si>
  <si>
    <t>PLANTILLA ORTOPÉDICA</t>
  </si>
  <si>
    <t>BOTA O BOTÍN DE DESCARGA</t>
  </si>
  <si>
    <t>TECNOLOGÍAS DE LA COMUNICACIÓN AUMENTATIVA Y ALTERNATIVAS</t>
  </si>
  <si>
    <t>SECCIÓN C.3: AYUDAS TÉCNICAS POR CONDICIÓN DE SALUD</t>
  </si>
  <si>
    <t>SECCIÓN A.2: INGRESOS POR CONDICIÓN DE SALUD</t>
  </si>
  <si>
    <t xml:space="preserve">NÚMERO DE PERSONAS </t>
  </si>
  <si>
    <t>TIPO ATENCIÓN</t>
  </si>
  <si>
    <t>Huertos Medicinales o Alimenticio/ Medicinales</t>
  </si>
  <si>
    <t>RIESGO ALTO (G3)</t>
  </si>
  <si>
    <t>RIESGO MODERADO (G2)</t>
  </si>
  <si>
    <t>RIESGO LEVE (G1)</t>
  </si>
  <si>
    <t>RIESGO</t>
  </si>
  <si>
    <t>TIPO DE CONTROL</t>
  </si>
  <si>
    <t>CUARTO BÁSICO</t>
  </si>
  <si>
    <t>TERCERO BÁSICO</t>
  </si>
  <si>
    <t>SEGUNDO BÁSICO</t>
  </si>
  <si>
    <t xml:space="preserve">PRIMERO BÁSICO </t>
  </si>
  <si>
    <t>KÍNDER</t>
  </si>
  <si>
    <t>CURSO</t>
  </si>
  <si>
    <t>EN OTROS LUGARES FUERA DEL ESTABLECIMIENTO DE SALUD</t>
  </si>
  <si>
    <t>EN ESTABLECIMIENTOS EDUCACIONALES</t>
  </si>
  <si>
    <t>EN OTROS ESPACIOS DEL ESTABLECIMIENTO DE SALUD</t>
  </si>
  <si>
    <t>EN ESPACIO AMIGABLE</t>
  </si>
  <si>
    <t>15 A 19 AÑOS</t>
  </si>
  <si>
    <t>10 A 14 AÑOS</t>
  </si>
  <si>
    <t>LUGAR DEL CONTROL, SEGÚN EDAD</t>
  </si>
  <si>
    <t>SECCIÓN D: CONTROL DE SALUD INTEGRAL DE ADOLESCENTES (incluidos en sección B)</t>
  </si>
  <si>
    <t>NIÑOS CON NECESIDADES ESPECIALES</t>
  </si>
  <si>
    <t>OTROS PROBLEMAS DE SALUD</t>
  </si>
  <si>
    <t>DE  INFECCIÓN TRANSMISIÓN SEXUAL</t>
  </si>
  <si>
    <t>SEGUIMIENTO RIESGO DEPENDENCIA</t>
  </si>
  <si>
    <t>SEGUIMIENTO AUTOVALENTE CON RIESGO</t>
  </si>
  <si>
    <t>DE SALUD CARDIOVASCULAR</t>
  </si>
  <si>
    <t>SECCIÓN C: CONTROLES SEGÚN PROBLEMA DE SALUD</t>
  </si>
  <si>
    <t>DE SALUD</t>
  </si>
  <si>
    <t>1 año a 3 años 11 meses 29 días</t>
  </si>
  <si>
    <t>menor 1 año</t>
  </si>
  <si>
    <t xml:space="preserve"> 10 - 14 </t>
  </si>
  <si>
    <t xml:space="preserve"> 6  -  9 </t>
  </si>
  <si>
    <t>60  - 71  meses</t>
  </si>
  <si>
    <t>48  - 59  meses</t>
  </si>
  <si>
    <t>24  - 47  meses</t>
  </si>
  <si>
    <t>18  - 23  meses</t>
  </si>
  <si>
    <t>12 a 17 meses</t>
  </si>
  <si>
    <t xml:space="preserve"> 7  -  11 meses</t>
  </si>
  <si>
    <t>6 meses</t>
  </si>
  <si>
    <t xml:space="preserve"> 5 meses</t>
  </si>
  <si>
    <t>4 meses</t>
  </si>
  <si>
    <t>3 meses</t>
  </si>
  <si>
    <t>2 meses</t>
  </si>
  <si>
    <t>1 mes</t>
  </si>
  <si>
    <t>Menor de 1 mes</t>
  </si>
  <si>
    <t>SECCIÓN B: CONTROLES DE SALUD SEGÚN CICLO VITAL</t>
  </si>
  <si>
    <t>REGULACIÓN DE FECUNDIDAD</t>
  </si>
  <si>
    <t xml:space="preserve">CLIMATERIO </t>
  </si>
  <si>
    <t xml:space="preserve">GINECOLÓGICO </t>
  </si>
  <si>
    <t>PUÉRPERA CON RECIÉN NACIDO ENTRE 11 y 28 DÍAS</t>
  </si>
  <si>
    <t>PUÉRPERA CON RECIÉN NACIDO HASTA 10 DÍAS DE VIDA</t>
  </si>
  <si>
    <t>PRENATAL</t>
  </si>
  <si>
    <t xml:space="preserve"> PRE-
CONCEPCIONAL </t>
  </si>
  <si>
    <t>MUJERES</t>
  </si>
  <si>
    <t>HOMBRES</t>
  </si>
  <si>
    <t xml:space="preserve"> 10 - 14</t>
  </si>
  <si>
    <t>Control de diada con presencia del padre</t>
  </si>
  <si>
    <t>Control con pareja familiar u otro</t>
  </si>
  <si>
    <t>SECCIÓN A: CONTROLES DE SALUD SEXUAL Y REPRODUCTIVA</t>
  </si>
  <si>
    <t>REM-A01.   CONTROLES DE SALUD</t>
  </si>
  <si>
    <t>PLAN DE CUIDADO ELABORADO</t>
  </si>
  <si>
    <t xml:space="preserve">Hombres </t>
  </si>
  <si>
    <t>GRUPOS DE EDAD  (en años)</t>
  </si>
  <si>
    <t>INASISTENTES</t>
  </si>
  <si>
    <t>TOTAL EGRESOS</t>
  </si>
  <si>
    <t>INGRESOS AL PROGRAMA</t>
  </si>
  <si>
    <t>TRANS</t>
  </si>
  <si>
    <t>ABANDONO DE LA ATENCION</t>
  </si>
  <si>
    <t>ABANDONO TRATAMIENTO</t>
  </si>
  <si>
    <t>ABANDONO CONTROLES</t>
  </si>
  <si>
    <t>EVALUACIÓN MOVILIDAD PROGRAMA</t>
  </si>
  <si>
    <t>EGRESOS POR ALTA HIJO VIH (-) DE MADRE VIH +INCLUÍDO EN TOTAL EGRESOS</t>
  </si>
  <si>
    <t>EGRESOS POR FALLECIMIENTO (INCLUÍDO EN TOTAL EGRESOS)</t>
  </si>
  <si>
    <t>NO GESTANTES</t>
  </si>
  <si>
    <t>3 a 4</t>
  </si>
  <si>
    <t>12-24 meses</t>
  </si>
  <si>
    <t>6 a 11 meses</t>
  </si>
  <si>
    <t>Menor de 6 meses</t>
  </si>
  <si>
    <t>POR EDAD (en meses - años)</t>
  </si>
  <si>
    <t>OTRAS ITS</t>
  </si>
  <si>
    <t>CHANCROIDE</t>
  </si>
  <si>
    <t>LINFOGRANULOMA</t>
  </si>
  <si>
    <t>URETRITIS NO GONOCÓCICA</t>
  </si>
  <si>
    <t>CHLAMYDIAS</t>
  </si>
  <si>
    <t>HERPES</t>
  </si>
  <si>
    <t>CONDILOMA</t>
  </si>
  <si>
    <t>GONORREA</t>
  </si>
  <si>
    <t>SÍFILIS</t>
  </si>
  <si>
    <t>TOTAL DE INGRESOS</t>
  </si>
  <si>
    <t>Por abandono</t>
  </si>
  <si>
    <t>Por alta</t>
  </si>
  <si>
    <t>INGRESOS POR EDAD</t>
  </si>
  <si>
    <t>PATOLOGÍAS</t>
  </si>
  <si>
    <t>PROGRAMA DE REHABILITACIÓN TIPO II</t>
  </si>
  <si>
    <t>PROGRAMA DE REHABILITACIÓN TIPO I</t>
  </si>
  <si>
    <t>RUBRO</t>
  </si>
  <si>
    <t>TIPO DE PROGRAMA</t>
  </si>
  <si>
    <t>INGRESO</t>
  </si>
  <si>
    <t>EPILEPSIA</t>
  </si>
  <si>
    <t>TRASTORNO GENERALIZADOS DEL DESARROLLO</t>
  </si>
  <si>
    <t>TRASTORNO DE PERSONALIDAD</t>
  </si>
  <si>
    <t>RETRASO MENTAL</t>
  </si>
  <si>
    <t>TRASTORNOS DE LA CONDUCTA ALIMENTARIA</t>
  </si>
  <si>
    <t>AVANZADO</t>
  </si>
  <si>
    <t>MODERADO</t>
  </si>
  <si>
    <t>LEVE</t>
  </si>
  <si>
    <t>DEMENCIAS (INCLUYE ALZHEIMER)</t>
  </si>
  <si>
    <t>OTROS TRASTORNOS DE ANSIEDAD</t>
  </si>
  <si>
    <t>TRASTORNOS DE ANSIEDAD GENERALIZADA</t>
  </si>
  <si>
    <t>FOBIAS SOCIALES</t>
  </si>
  <si>
    <t>TRASTORNO DE ESTRÉS POST TRAUMÁTICO</t>
  </si>
  <si>
    <t>TRASTORNOS DE ANSIEDAD</t>
  </si>
  <si>
    <t>OTROS TRASTORNOS DEL COMPORTAMIENTO Y DE LAS EMOCIONES DE COMIENZO HABITUAL EN LA INFANCIA Y ADOLESCENCIA</t>
  </si>
  <si>
    <t>TRASTORNO DE ANSIEDAD DE SEPARACIÓN EN LA INFANCIA</t>
  </si>
  <si>
    <t>TRASTORNO DISOCIAL DESAFIANTE Y OPOSICIONISTA</t>
  </si>
  <si>
    <t>TRASTORNO HIPERCINÉTICOS</t>
  </si>
  <si>
    <t>TRASTORNOS DEL COMPORTAMIENTO Y DE LAS EMOCIONES DE COMIENZO HABITUAL EN LA INFANCIA Y ADOLESCENCIA</t>
  </si>
  <si>
    <t>TRASTORNOS MENTALES Y DEL COMPORTAMIENTO DEBIDO A CONSUMO SUSTANCIAS PSICOTRÓPICAS</t>
  </si>
  <si>
    <t>DEPRESIÓN  CON ALTO RIESGO SUICIDA</t>
  </si>
  <si>
    <t>DEPRESIÓN GRAVE CON PSICOSIS</t>
  </si>
  <si>
    <t>DEPRESIÓN REFRACTARIA</t>
  </si>
  <si>
    <t>TRASTORNO BIPOLAR</t>
  </si>
  <si>
    <t>DEPRESIÓN POST PARTO</t>
  </si>
  <si>
    <t>DEPRESIÓN GRAVE</t>
  </si>
  <si>
    <t>DEPRESIÓN MODERADA</t>
  </si>
  <si>
    <t>DEPRESIÓN LEVE</t>
  </si>
  <si>
    <t>TRASTORNOS DEL HUMOR
(AFECTIVOS)</t>
  </si>
  <si>
    <t xml:space="preserve">PERSONAS CON DIAGNÓSTICOS DE TRASTORNOS MENTALES </t>
  </si>
  <si>
    <t>INTENTO</t>
  </si>
  <si>
    <t>IDEACIÓN</t>
  </si>
  <si>
    <t>SUICIDIO</t>
  </si>
  <si>
    <t>ABUSO SEXUAL</t>
  </si>
  <si>
    <t>AGRESOR / A</t>
  </si>
  <si>
    <t>VÍCTIMA</t>
  </si>
  <si>
    <t xml:space="preserve">VIOLENCIA </t>
  </si>
  <si>
    <t>FACTORES DE RIESGO Y CONDICIONANTES DE LA SALUD MENTAL</t>
  </si>
  <si>
    <t>EGRESOS DEL PROGRAMA</t>
  </si>
  <si>
    <t>Traslado</t>
  </si>
  <si>
    <t>Fallecimiento</t>
  </si>
  <si>
    <t>Abandono</t>
  </si>
  <si>
    <t>MOTIVO DE EGRESO</t>
  </si>
  <si>
    <t>SECCIÓN O: EGRESOS DEL PROGRAMA DE SALUD  MENTAL POR ALTAS CLÍNICAS EN APS /ESPECIALIDAD</t>
  </si>
  <si>
    <t>TRASTORNO DE ESTRÉS POST TRAUMATICO</t>
  </si>
  <si>
    <t>VICTIMA</t>
  </si>
  <si>
    <t>VIOLENCIA</t>
  </si>
  <si>
    <t>MOTIVO DE INGRESO</t>
  </si>
  <si>
    <t>SECCIÓN N: INGRESOS AL PROGRAMA DE SALUD  MENTAL EN APS /ESPECIALIDAD</t>
  </si>
  <si>
    <t>** Para la desagregación por funcionalidad se contabiliza desde 65 y mas años.Sólo para el cálculo del total de los ingresos se contabiliza el rango de 60 - 64 años.</t>
  </si>
  <si>
    <t>* Los pacientes de 60 a 64 años, no debe desagregarse por condición de funcionalidad, por ello sólo se registran en la primera fila (Autovalente sin riesgo).</t>
  </si>
  <si>
    <t>FALLECIMIENTO</t>
  </si>
  <si>
    <t xml:space="preserve">TRASLADO </t>
  </si>
  <si>
    <t>ABANDONO</t>
  </si>
  <si>
    <t>COMPLETA CICLO</t>
  </si>
  <si>
    <t>EGRESO</t>
  </si>
  <si>
    <t>TOTAL INGRESOS</t>
  </si>
  <si>
    <t xml:space="preserve">RIESGO DE DEPENDENCIA </t>
  </si>
  <si>
    <t>AUTOVALENTE CON RIESGO</t>
  </si>
  <si>
    <t>AUTOVALENTE SIN RIESGO</t>
  </si>
  <si>
    <t>CONDICIÓN</t>
  </si>
  <si>
    <t>SECCIÓN M: INGRESOS Y EGRESOS DEL  PROGRAMA MÁS ADULTOS MAYORES AUTOVALENTES</t>
  </si>
  <si>
    <t xml:space="preserve">TOTAL  </t>
  </si>
  <si>
    <t>SUBTOTAL</t>
  </si>
  <si>
    <t>DEPENDIENTE TOTAL</t>
  </si>
  <si>
    <t xml:space="preserve">DEPENDIENTE GRAVE </t>
  </si>
  <si>
    <t>DEPENDIENTE MODERADO</t>
  </si>
  <si>
    <t>DEPENDIENTE LEVE</t>
  </si>
  <si>
    <t>BARTHEL</t>
  </si>
  <si>
    <t>CAUSAL DE EGRESO</t>
  </si>
  <si>
    <t>SECCIÓN L: EGRESOS DEL PROGRAMA DEL ADULTO MAYOR SEGÚN CONDICIÓN DE FUNCIONALIDAD Y DEPENDENCIA</t>
  </si>
  <si>
    <t>SECCIÓN K: INGRESOS AL PROGRAMA DEL ADULTO MAYOR SEGÚN CONDICIÓN DE FUNCIONALIDAD Y DEPENDENCIA</t>
  </si>
  <si>
    <t xml:space="preserve">DEPENDENCIA SEVERA CON  ESCARAS </t>
  </si>
  <si>
    <t>NO ONCOLÓGICO</t>
  </si>
  <si>
    <t>ONCOLÓGICO</t>
  </si>
  <si>
    <t>DEPENDENCIA MODERADA</t>
  </si>
  <si>
    <t>DEPENDENCIA LEVE</t>
  </si>
  <si>
    <t>Abandono/
Traslado</t>
  </si>
  <si>
    <t>Altas</t>
  </si>
  <si>
    <t>TABAQUISMO</t>
  </si>
  <si>
    <t>DISLIPIDEMIA</t>
  </si>
  <si>
    <t>HIPERTENSIÓN ARTERIAL</t>
  </si>
  <si>
    <t>PROGRAMA DE SALUD CARDIOVASCULAR</t>
  </si>
  <si>
    <t>EGRESOS DEL PSCV</t>
  </si>
  <si>
    <t>SECCIÓN I: EGRESOS  DEL PSCV</t>
  </si>
  <si>
    <t>INGRESOS AL PSCV</t>
  </si>
  <si>
    <t>SECCIÓN H: INGRESOS AL PSCV</t>
  </si>
  <si>
    <t>OTRA VULNERABILIDAD</t>
  </si>
  <si>
    <t>RETRASO</t>
  </si>
  <si>
    <t>NORMAL CON REZAGO</t>
  </si>
  <si>
    <t>No Recuperado</t>
  </si>
  <si>
    <t>Recuperado</t>
  </si>
  <si>
    <t>Cumplimiento de tratamiento</t>
  </si>
  <si>
    <t>RESULTADO DE REEVALUACIÓN</t>
  </si>
  <si>
    <t>MOTIVO EGRESO</t>
  </si>
  <si>
    <t>48 - 59 meses</t>
  </si>
  <si>
    <t>24 - 47 meses</t>
  </si>
  <si>
    <t>18 - 23 meses</t>
  </si>
  <si>
    <t>12 - 17 meses</t>
  </si>
  <si>
    <t xml:space="preserve"> 7 - 11 meses</t>
  </si>
  <si>
    <t>Menor 7 meses</t>
  </si>
  <si>
    <t xml:space="preserve"> EGRESOS POR SEGUNDA VEZ Y RESULTADOS DE LA REEVALUACIÓN POST EGRESO </t>
  </si>
  <si>
    <t>REINGRESOS A MODALIDAD DE ESTIMULACIÓN  EN CENTRO DE SALUD</t>
  </si>
  <si>
    <t xml:space="preserve">TOTAL    </t>
  </si>
  <si>
    <t xml:space="preserve">NIÑO / A (CON) </t>
  </si>
  <si>
    <t>SECCIÓN F.1: REINGRESOS Y EGRESOS POR SEGUNDA VEZ A MODALIDAD DE ESTIMULACIÓN EN EL CENTRO DE SALUD</t>
  </si>
  <si>
    <t>7 a 59 meses</t>
  </si>
  <si>
    <t xml:space="preserve"> 7 a 59 meses</t>
  </si>
  <si>
    <t xml:space="preserve">INGRESOS SALA DE ESTIMULACIÓN  </t>
  </si>
  <si>
    <t xml:space="preserve">SECCIÓN F:  INGRESOS Y EGRESOS A SALA DE ESTIMULACIÓN SERVICIO ITINERANTE Y ATENCIÓN DOMICILIARIA </t>
  </si>
  <si>
    <t>MENORES DE 28 DÍAS</t>
  </si>
  <si>
    <t>NIÑAS</t>
  </si>
  <si>
    <t>NIÑOS</t>
  </si>
  <si>
    <t>EDAD</t>
  </si>
  <si>
    <t>SECCIÓN E:  INGRESOS  A CONTROL DE SALUD DE RECIÉN NACIDOS</t>
  </si>
  <si>
    <t xml:space="preserve">SECCIÓN D: INGRESOS A PROGRAMA CONTROL DE CLIMATERIO </t>
  </si>
  <si>
    <t>CONDÓN FEMENINO</t>
  </si>
  <si>
    <t>LUBRICANTES</t>
  </si>
  <si>
    <t>Gestantes que reciben preservativo</t>
  </si>
  <si>
    <t xml:space="preserve"> Método de Regulación de Fertilidad más Preservativos</t>
  </si>
  <si>
    <t>ESTERILIZACIÓN QUIRÚRGICA</t>
  </si>
  <si>
    <t>Implante Levonorgestrel (5 años)</t>
  </si>
  <si>
    <t>Implante Etonogestrel (3 años)</t>
  </si>
  <si>
    <t>Inyectable Progestágeno</t>
  </si>
  <si>
    <t>Inyectable Combinado</t>
  </si>
  <si>
    <t>Oral Progestágeno</t>
  </si>
  <si>
    <t>Oral Combinado</t>
  </si>
  <si>
    <t>HORMONAL</t>
  </si>
  <si>
    <t>D . I . U con Levonorgestrel</t>
  </si>
  <si>
    <t>D . I . U T con Cobre</t>
  </si>
  <si>
    <t>TOTAL REGULACIÓN DE FERTILIDAD</t>
  </si>
  <si>
    <t>MÉTODOS</t>
  </si>
  <si>
    <t>OTRAS PATOLOGÍAS DEL EMBARAZO</t>
  </si>
  <si>
    <t>MALFORMACIÓN CONGÉNITA</t>
  </si>
  <si>
    <t>CESÁREA ANTERIOR</t>
  </si>
  <si>
    <t>VIH</t>
  </si>
  <si>
    <t>RETARDO CRECIMIENTO INTRAUTERINO (RCIU)</t>
  </si>
  <si>
    <t>FACTORES DE RIESGO Y CONDICIONANTES DE PARTO PREMATURO</t>
  </si>
  <si>
    <t>SÍNDROME HIPERTENSIVO DEL EMBARAZO (SHE)</t>
  </si>
  <si>
    <t>PREECLAMPSIA (PE)</t>
  </si>
  <si>
    <t>Nº DE GESTANTES INGRESADAS</t>
  </si>
  <si>
    <t>Victima de violencia de género</t>
  </si>
  <si>
    <t>Nº de Ingreso a ARO</t>
  </si>
  <si>
    <t>PATOLOGÍA</t>
  </si>
  <si>
    <t>SECCIÓN B: INGRESO DE GESTANTES CON PATOLOGÍA DE ALTO RIESGO OBSTÉTRICO A LA UNIDAD DE ARO  (Nivel Secundario)</t>
  </si>
  <si>
    <t>GESTANTES CON EMBARAZO NO PLANIFICADO</t>
  </si>
  <si>
    <t>GESTANTES INGRESADAS ANTES DE LAS 14 SEMANAS</t>
  </si>
  <si>
    <t>PRIMIGESTAS INGRESADAS</t>
  </si>
  <si>
    <t>GESTANTES INGRESADAS</t>
  </si>
  <si>
    <t>SECCIÓN A: INGRESOS DE GESTANTES A PROGRAMA PRENATAL</t>
  </si>
  <si>
    <t>REM-A05.   INGRESOS Y EGRESOS POR CONDICIÓN Y PROBLEMAS DE SALUD</t>
  </si>
  <si>
    <t>ROEDOR O ANIMAL DE ABASTO</t>
  </si>
  <si>
    <t>EXPOSICIÓN A MURCIÉLAGO</t>
  </si>
  <si>
    <t xml:space="preserve">ANIMAL SILVESTRE </t>
  </si>
  <si>
    <t>GATO</t>
  </si>
  <si>
    <t>PERRO</t>
  </si>
  <si>
    <t>Múltiple</t>
  </si>
  <si>
    <t>Única</t>
  </si>
  <si>
    <t>Mayor 15 años</t>
  </si>
  <si>
    <t xml:space="preserve">INDICACIÓN  DE VACUNA  </t>
  </si>
  <si>
    <t>TIPO DE MORDEDURA</t>
  </si>
  <si>
    <t>IDENTIFICACIÓN DEL ANIMAL MORDEDOR</t>
  </si>
  <si>
    <t xml:space="preserve">Nº DE ATENCIONES </t>
  </si>
  <si>
    <t>ATENCIÓN OTROS MÉDICOS</t>
  </si>
  <si>
    <t>ATENCIÓN POR  MÉDICO PERITO</t>
  </si>
  <si>
    <t>DE LLAMADA</t>
  </si>
  <si>
    <t>DE TURNO</t>
  </si>
  <si>
    <t>TIPO DE ATENCIÓN</t>
  </si>
  <si>
    <t>después de 72 horas</t>
  </si>
  <si>
    <t>72 horas o menos</t>
  </si>
  <si>
    <t>VIOLENCIA SEXUAL</t>
  </si>
  <si>
    <t>Desconocido/a</t>
  </si>
  <si>
    <t>Conocido/a</t>
  </si>
  <si>
    <t>Familiar</t>
  </si>
  <si>
    <t>Pareja/ Ex pareja</t>
  </si>
  <si>
    <t>VICTIMARIO/A</t>
  </si>
  <si>
    <t>Con profilaxis ITS</t>
  </si>
  <si>
    <t xml:space="preserve">Con profilaxis VIH </t>
  </si>
  <si>
    <t>Sin entrega de anticoncepción de emergencia</t>
  </si>
  <si>
    <t>Con entrega de anticoncepción de emergencia</t>
  </si>
  <si>
    <t xml:space="preserve">GRUPOS DE EDAD (en años)  Y CONDICIÓN
</t>
  </si>
  <si>
    <t>POLITRAUMATISMO</t>
  </si>
  <si>
    <t>PARO CARDIORESPIRATORIO</t>
  </si>
  <si>
    <t>SÍNDROME CORONARIO AGUDO</t>
  </si>
  <si>
    <t>TOTALES</t>
  </si>
  <si>
    <t>CAUSAS DE LA INTERVENCIÓN</t>
  </si>
  <si>
    <t>MARÍTIMO</t>
  </si>
  <si>
    <t>AÉREO</t>
  </si>
  <si>
    <t>NO CRÍTICO</t>
  </si>
  <si>
    <t>CRÍTICO</t>
  </si>
  <si>
    <t>NO SAMU</t>
  </si>
  <si>
    <t>SAMU</t>
  </si>
  <si>
    <t>Ambos</t>
  </si>
  <si>
    <t>TOTAL DE TRASLADOS</t>
  </si>
  <si>
    <t>TIPO DE ACCIÓN</t>
  </si>
  <si>
    <t>BÁSICO</t>
  </si>
  <si>
    <t>ENRUTADO</t>
  </si>
  <si>
    <t xml:space="preserve">TOTAL        </t>
  </si>
  <si>
    <t>INTERVENCIÓN DE MÓVIL AVANZADO</t>
  </si>
  <si>
    <t>INTERVENCIÓN DE MÓVIL BÁSICO</t>
  </si>
  <si>
    <t>INTERVENCIONES CLÍNICAS PRE HOSPITALARIAS</t>
  </si>
  <si>
    <t>Mas de 40 Min</t>
  </si>
  <si>
    <t>20-40 Min</t>
  </si>
  <si>
    <t>0-20 Min</t>
  </si>
  <si>
    <t>No Criticas</t>
  </si>
  <si>
    <t>Criticas</t>
  </si>
  <si>
    <t>TIEMPO DE LLEGADA INTERVENCIONES NO CRITICAS</t>
  </si>
  <si>
    <t>TIEMPO DE LLEGADA INTERVENCIONES CRITICAS</t>
  </si>
  <si>
    <t>N° INTERVENCIONES</t>
  </si>
  <si>
    <t>Nº LLAMADOS DE URGENCIA</t>
  </si>
  <si>
    <t>CENTRO REGULADOR</t>
  </si>
  <si>
    <t>TRABAJO DE PARTO SIN PATOLOGÍA</t>
  </si>
  <si>
    <t>OTRAS PATOLOGÍAS</t>
  </si>
  <si>
    <t>ROTURA PREMATURA DE MEMBRANA</t>
  </si>
  <si>
    <t>HEMORRAGIA III TRIMESTRE</t>
  </si>
  <si>
    <t>HEMORRAGIA II TRIMESTRE</t>
  </si>
  <si>
    <t>HEMORRAGIA I TRIMESTRE</t>
  </si>
  <si>
    <t>PARTO PREMATURO</t>
  </si>
  <si>
    <t>HELLP</t>
  </si>
  <si>
    <t>ECLAMPSIA</t>
  </si>
  <si>
    <t>PREECLAMPSIA SEVERA</t>
  </si>
  <si>
    <t>CANTIDAD</t>
  </si>
  <si>
    <t>SIN ENTREGA DE ANTICONCEPTIVO</t>
  </si>
  <si>
    <t>CON ENTREGA DE ANTICONCEPTIVO</t>
  </si>
  <si>
    <t xml:space="preserve">ATENCIÓN POR ANTICONCEPCIÓN DE EMERGENCIA </t>
  </si>
  <si>
    <t xml:space="preserve">OTRAS VIOLENCIAS </t>
  </si>
  <si>
    <t>VIOLENCIA INTRAFAMILIAR</t>
  </si>
  <si>
    <t>Por Arma</t>
  </si>
  <si>
    <t>Sin lesiones constatables</t>
  </si>
  <si>
    <t>LESIONES DE LA VÍCTIMA</t>
  </si>
  <si>
    <t>AGRESOR /A</t>
  </si>
  <si>
    <t xml:space="preserve">PACIENTES FALLECIDOS EN ESPERA DE CAMA HOSPITALARIA </t>
  </si>
  <si>
    <t>PACIENTES FALLECIDOS EN PROCESO DE ATENCIÓN</t>
  </si>
  <si>
    <t>PACIENTES FALLECIDOS EN ESPERA DE ATENCIÓN MÉDICA</t>
  </si>
  <si>
    <t>TIPO DE PACIENTES</t>
  </si>
  <si>
    <t>MAYOR A 6 HORAS</t>
  </si>
  <si>
    <t>2 A 6 HORAS</t>
  </si>
  <si>
    <t>MENOS DE 2 HORAS</t>
  </si>
  <si>
    <t xml:space="preserve">PACIENTES QUE PERMANECEN EN OBSERVACIÓN     </t>
  </si>
  <si>
    <t>PACIENTES CON INDICACIÓN DE OBSERVACIÓN</t>
  </si>
  <si>
    <t>PACIENTES QUE INGRESAN DIRECTAMENTE A PROCESO QUIRÚRGICO</t>
  </si>
  <si>
    <t>PACIENTES QUE PERMANECEN EN UEH</t>
  </si>
  <si>
    <t>PACIENTES DERIVADOS  A OTRO ESTABLECIMIENTO</t>
  </si>
  <si>
    <t>MAYOR A 24 HORAS</t>
  </si>
  <si>
    <t>12-24 HORAS</t>
  </si>
  <si>
    <t>MENOS DE 12 HORAS</t>
  </si>
  <si>
    <t xml:space="preserve">PACIENTES QUE INGRESAN A CAMA HOSPITALARIA SEGÚN TIEMPO DE DEMORA AL INGRESO                               </t>
  </si>
  <si>
    <t>TOTAL DE PACIENTES CON INDICACIÓN DE HOSPITALIZACIÓN</t>
  </si>
  <si>
    <t>Hospitalización Domiciliaria</t>
  </si>
  <si>
    <t>CARDIOLOGÍA</t>
  </si>
  <si>
    <t>CIRUGÍA GENERAL</t>
  </si>
  <si>
    <t>URGENCIÓLOGO</t>
  </si>
  <si>
    <t>UROLOGÍA</t>
  </si>
  <si>
    <t>PSIQUIATRÍA PEDIÁTRICA  Y ADOLESCENTES</t>
  </si>
  <si>
    <t>PSIQUIATRÍA ADULTOS</t>
  </si>
  <si>
    <t>TRAUMATOLOGÍA Y ORTOPEDIA</t>
  </si>
  <si>
    <t>OBSTETRICIA Y GINECOLOGÍA</t>
  </si>
  <si>
    <t>NEUROLOGÍA ADULTOS</t>
  </si>
  <si>
    <t>CONSULTOR LLAMADA</t>
  </si>
  <si>
    <t>ESPECIALIDADES</t>
  </si>
  <si>
    <t>SECCIÓN C: ATENCIONES REALIZADAS POR MÉDICOS ESPECIALISTAS EN LAS UNIDADES DE URGENCIA HOSPITALARIA</t>
  </si>
  <si>
    <t>SIN CATEGORIZACIÓN</t>
  </si>
  <si>
    <t>C5</t>
  </si>
  <si>
    <t>C4</t>
  </si>
  <si>
    <t>C3</t>
  </si>
  <si>
    <t>C2</t>
  </si>
  <si>
    <t>C1</t>
  </si>
  <si>
    <t>Estructurado (ESI)</t>
  </si>
  <si>
    <t>Discrecional</t>
  </si>
  <si>
    <t>Herramientas de Categorización</t>
  </si>
  <si>
    <t>CATEGORÍAS</t>
  </si>
  <si>
    <t>KINESIÓLOGO/A</t>
  </si>
  <si>
    <t>Demanda de Urgencia</t>
  </si>
  <si>
    <t>ATENCIÓN MÉDICA NIÑO Y ADULTO</t>
  </si>
  <si>
    <t>Otros Establecimientos de la  Red</t>
  </si>
  <si>
    <t>Hospital Mediana/Alta Complejidad</t>
  </si>
  <si>
    <t>Hospital Baja Complejidad</t>
  </si>
  <si>
    <t>SAPU/ SAR / SUR</t>
  </si>
  <si>
    <t>Establecimientos de otra Red</t>
  </si>
  <si>
    <t>ORIGEN DE LA PROCEDENCIA (Sólo pacientes derivados de establecimientos de la Red)</t>
  </si>
  <si>
    <t>SECCIÓN A: ATENCIONES REALIZADAS EN UNIDADES DE URGENCIA DE LA RED</t>
  </si>
  <si>
    <t>REM-A08.  ATENCIÓN DE URGENCIA</t>
  </si>
  <si>
    <t>CIRUGÍA Y TRAUMATOLOGÍA MAXILOFACIAL</t>
  </si>
  <si>
    <t>IMPLANTOLOGÍA BUCO MAXILOFACIAL</t>
  </si>
  <si>
    <t>PATOLOGÍA ORAL</t>
  </si>
  <si>
    <t>TRASTORNOS TEMPOROMANDIBULARES Y DOLOR OROFACIAL</t>
  </si>
  <si>
    <t>REHABILITACIÓN ORAL</t>
  </si>
  <si>
    <t>PERIODONCIA</t>
  </si>
  <si>
    <t>ODONTOPEDIATRÍA</t>
  </si>
  <si>
    <t>ORTODONCIA</t>
  </si>
  <si>
    <t xml:space="preserve">IMAGENOLOGÍA ORAL Y MAXILOFACIAL </t>
  </si>
  <si>
    <t>ENDODONCIA</t>
  </si>
  <si>
    <t>Nº DE CASOS ATENDIDOS</t>
  </si>
  <si>
    <t>Nº DE CASOS REVISADOS POR EL EQUIPO</t>
  </si>
  <si>
    <t>Nº CONSULTORÍAS</t>
  </si>
  <si>
    <t>CONSULTAS</t>
  </si>
  <si>
    <t>RADIOGRAFÍAS INTRAORALES (RETROALVEOLARES Y BITEWING)</t>
  </si>
  <si>
    <t>EDUCACIÓN INDIVIDUAL CON INSTRUCCIÓN DE TÉCNICA DE CEPILLADO</t>
  </si>
  <si>
    <t xml:space="preserve">FLUORURACIÓN TÓPICA </t>
  </si>
  <si>
    <t>PULIDO CORONARIO Y DESTARTRAJE SUPRAGINGIVAL</t>
  </si>
  <si>
    <t>APLICACIÓN DE SELLANTES</t>
  </si>
  <si>
    <t>7 años</t>
  </si>
  <si>
    <t>6 años</t>
  </si>
  <si>
    <t>Según grupos de edad o de riesgo</t>
  </si>
  <si>
    <t>TIPO DE ACTIVIDAD</t>
  </si>
  <si>
    <t>ALTAS ADMINISTRATIVAS</t>
  </si>
  <si>
    <t>ALTAS DE TRATAMIENTO</t>
  </si>
  <si>
    <t>INGRESOS A TRATAMIENTO</t>
  </si>
  <si>
    <t xml:space="preserve">CONTROL </t>
  </si>
  <si>
    <t xml:space="preserve">CONSULTA NUEVA </t>
  </si>
  <si>
    <t>REHABILITACIÓN: PRÓTESIS IMPLANTOASISTIDA</t>
  </si>
  <si>
    <t>REHABILITACIÓN: PRÓTESIS REMOVIBLE</t>
  </si>
  <si>
    <t>REHABILITACIÓN: PRÓTESIS FIJA</t>
  </si>
  <si>
    <t>ORTODONCIA Y ORTOPEDIA DENTO MAXILOFACIAL: APARATOLOGÍA REMOVIBLE</t>
  </si>
  <si>
    <t>CIRUGÍA BUCAL</t>
  </si>
  <si>
    <t>Según condición clínica</t>
  </si>
  <si>
    <t>Según Protocolo de Referencia</t>
  </si>
  <si>
    <t>CONSULTAS PERTINENTES</t>
  </si>
  <si>
    <t>SEGÚN GRUPOS DE EDAD O DE RIESGO</t>
  </si>
  <si>
    <t xml:space="preserve">TOTAL   </t>
  </si>
  <si>
    <t>ESPECIALIDAD Y TIPO DE INGRESO O EGRESO.</t>
  </si>
  <si>
    <t>ATENCIÓN BAJO SEDACIÓN ORAL</t>
  </si>
  <si>
    <t>ATENCIÓN BAJO ANESTESIA GENERAL</t>
  </si>
  <si>
    <t>SEDACIÓN ENDOVENOSA</t>
  </si>
  <si>
    <t>ATENCIÓN BAJO SEDACIÓN INHALATORIA (CON ÓXIDO NITROSO)</t>
  </si>
  <si>
    <t>SECCIÓN H: SEDACIÓN Y ANESTESIA</t>
  </si>
  <si>
    <t>EDUCACIÓN GRUPAL EN ESTABLECIMIENTO DE EDUCACIÓN</t>
  </si>
  <si>
    <t>Nº DE APLICACIONES FLÚOR BARNIZ</t>
  </si>
  <si>
    <t>SET DE HIGIENE ORAL ENTREGADOS</t>
  </si>
  <si>
    <t>Nº DE NIÑOS CON ÍNDICE ceod=0 AL INGRESO</t>
  </si>
  <si>
    <t>EXAMEN DE SALUD</t>
  </si>
  <si>
    <t>5 años</t>
  </si>
  <si>
    <t>4 años</t>
  </si>
  <si>
    <t>2 años</t>
  </si>
  <si>
    <t>1 año</t>
  </si>
  <si>
    <t>MINEDUC</t>
  </si>
  <si>
    <t>INTEGRA</t>
  </si>
  <si>
    <t>JUNJI</t>
  </si>
  <si>
    <t>SECCIÓN G.1: PROGRAMA SEMBRANDO SONRISAS</t>
  </si>
  <si>
    <t>N° DE CONSULTAS DE MORBILIDAD REALIZADAS EN &gt;20 AÑOS, EN EXTENSIÓN HORARIA</t>
  </si>
  <si>
    <t>N° TOTAL DE ACTIVIDAD RECUPERATIVA REALIZADA EN &gt;20 AÑOS, EN EXTENSIÓN HORARIA</t>
  </si>
  <si>
    <t>MORBILIDAD ADULTO</t>
  </si>
  <si>
    <t>PROGRAMA MEJORAMIENTO DEL ACCESO, ESTRATEGIA MORBILIDAD ADULTO</t>
  </si>
  <si>
    <t>ALTA INTEGRAL EN ESTABLECIMIENTO EDUCACIONAL</t>
  </si>
  <si>
    <t>ALTA INTEGRAL EN UNIDAD DENTAL MÓVIL O PORTÁTIL</t>
  </si>
  <si>
    <t>ALTA INTEGRAL EN CENTRO DE SALUD</t>
  </si>
  <si>
    <t>N° PRÓTESIS</t>
  </si>
  <si>
    <t>N° PACIENTES</t>
  </si>
  <si>
    <t>PRÓTESIS REMOVIBLES</t>
  </si>
  <si>
    <t>N° DIENTES</t>
  </si>
  <si>
    <t>TRATAMIENTO ENDODONCIA</t>
  </si>
  <si>
    <t>ALTAS INTEGRALES</t>
  </si>
  <si>
    <t>PROGRAMA GES ODONTOLÓGICO ADULTO DE 60 AÑOS.</t>
  </si>
  <si>
    <t>TRATAMIENTO DE PERIODONCIA</t>
  </si>
  <si>
    <t>PROGRAMA MEJORAMIENTO DEL ACCESO, ESTRATEGIA RESOLUCIÓN DE ESPECIALIDAD EN APS</t>
  </si>
  <si>
    <t>ALTAS CUIDADORES PERSONAS CON DEPENDENCIA</t>
  </si>
  <si>
    <t>ALTAS PERSONAS CON DEPENDENCIA SEVERA</t>
  </si>
  <si>
    <t xml:space="preserve">TOTAL ALTAS </t>
  </si>
  <si>
    <t>ALTAS ODONTOLOGICAS</t>
  </si>
  <si>
    <t>PROGRAMA ODONTOLÓGICO INTEGRAL, ESTRATEGIA ATENCION ODONTOLOGICA EN DOMICILIO</t>
  </si>
  <si>
    <t>REPARACIÓN DE PROTESIS</t>
  </si>
  <si>
    <t>Nº DE AUDITORIAS CLÍNICAS REALIZADAS</t>
  </si>
  <si>
    <t>TOTAL ALTAS INTEGRALES</t>
  </si>
  <si>
    <t>ALTAS INTEGRALES/ACTIVIDADES</t>
  </si>
  <si>
    <t xml:space="preserve">PROGRAMA ODONTOLÓGICO INTEGRAL, ESTRATEGIA HOMBRES DE ESCASOS RECURSOS </t>
  </si>
  <si>
    <t>DEMANDA LOCAL</t>
  </si>
  <si>
    <t>MINVU</t>
  </si>
  <si>
    <t xml:space="preserve">CHILE SOLIDARIO </t>
  </si>
  <si>
    <t>PRODEMU</t>
  </si>
  <si>
    <t>SERNAM</t>
  </si>
  <si>
    <t>JUNJI-INTEGRA-MINEDUC</t>
  </si>
  <si>
    <t>REPARACIÓN DE PRÓTESIS</t>
  </si>
  <si>
    <t>N°AUDITORÍAS CLÍNICAS REALIZADAS</t>
  </si>
  <si>
    <t>PROGRAMA ODONTOLÓGICO INTEGRAL, ESTRATEGIA MÁS SONRISAS PARA CHILE</t>
  </si>
  <si>
    <t>PROGRAMA - ACTIVIDAD</t>
  </si>
  <si>
    <t>SECCIÓN G: PROGRAMAS ESPECIALES Y GES (Actividades incluidas en Sección B)</t>
  </si>
  <si>
    <t>PROCEDIMIENTO IMAGENOLÓGICO COMPLEJO (POR PROCEDIMIENTO)</t>
  </si>
  <si>
    <t>RADIOGRAFÍA PANORÁMICA (POR PLACA)</t>
  </si>
  <si>
    <t>RADIOGRAFÍA OCLUSAL (POR PLACA)</t>
  </si>
  <si>
    <t>RADIOGRAFÍA EXTRAORAL (POR PLACA)</t>
  </si>
  <si>
    <t>ACTIVIDADES DE APOYO</t>
  </si>
  <si>
    <t>ACTIVIDADES SOMATOPRÓTESIS</t>
  </si>
  <si>
    <t>DESGASTE SELECTIVO</t>
  </si>
  <si>
    <t>TERAPIA BIOCONDUCTUAL</t>
  </si>
  <si>
    <t>ARTROCENTESIS EN ATM</t>
  </si>
  <si>
    <t>BLOQUEO ANESTÉSICO Y/O MEDICAMENTOSO EN TTM Y DOF</t>
  </si>
  <si>
    <t>INFILTRACIÓN EN ARTICULACIÓN TEMPORO MANDIBULAR (ATM)</t>
  </si>
  <si>
    <t>SIALOMETRÍA</t>
  </si>
  <si>
    <t>ESTUDIO HISTOPATOLÓGICO</t>
  </si>
  <si>
    <t>TOMA DE BIOPSIA</t>
  </si>
  <si>
    <t>IMPLANTOLOGÍA QUIRÚRGICA</t>
  </si>
  <si>
    <t>FERULIZACIÓN</t>
  </si>
  <si>
    <t>PROCEDIMIENTO QUIRÚRGICO PERIIMPLANTAR (PERIODONCIA)</t>
  </si>
  <si>
    <t>PROCEDIMIENTO QUIRÚRGICO (PERIODONCIA)</t>
  </si>
  <si>
    <t>DESTARTRAJE SUPRAGINGIVAL O PULIDO CORONARIO</t>
  </si>
  <si>
    <t>CIRUGÍA AMBULATORIA (ODONTOPEDIATRÍA)</t>
  </si>
  <si>
    <t>PROCEDIMIENTO RESTAURADOR (ODONTOPEDIATRÍA)</t>
  </si>
  <si>
    <t xml:space="preserve">ADAPTACIÓN A LA ATENCIÓN ODONTOLÓGICA </t>
  </si>
  <si>
    <t>CIRUGÍA APICAL</t>
  </si>
  <si>
    <t>INDUCCIÓN AL CIERRE APICAL</t>
  </si>
  <si>
    <t>TRATAMIENTO ENDODONCIA MULTIRRADICULAR</t>
  </si>
  <si>
    <t>TRATAMIENTO ENDODONCIA BIRRADICULAR</t>
  </si>
  <si>
    <t>TRATAMIENTO ENDODONCIA UNIRRADICULAR</t>
  </si>
  <si>
    <t>ORTODONCIA PREVENTIVA E INTERCEPTIVA (OPI)</t>
  </si>
  <si>
    <t>ORTOPEDIA PREQUIRÚRGICA</t>
  </si>
  <si>
    <t>RETIRO APARATOLOGÍA DE ORTODONCIA</t>
  </si>
  <si>
    <t>OBTURACIÓN INDIRECTA (INLAYS U ONLAYS)</t>
  </si>
  <si>
    <t>OBTURACIÓN DIRECTA</t>
  </si>
  <si>
    <t>TRATAMIENTO TRAUMATISMO DENTOALVEOLAR</t>
  </si>
  <si>
    <t>CIRUGÍA MENOR AMBULATORIA</t>
  </si>
  <si>
    <t>CIRUGÍA TERCER MOLAR</t>
  </si>
  <si>
    <t>CONTRALORÍA CLÍNICA</t>
  </si>
  <si>
    <t>VISITA A SALA</t>
  </si>
  <si>
    <t>EDUCACIÓN EN SALUD BUCAL</t>
  </si>
  <si>
    <t>EXAMEN Y DIAGNÓSTICO DE ESPECIALIDAD</t>
  </si>
  <si>
    <t>ACTIVIDADES DE ESPECIALIDADES</t>
  </si>
  <si>
    <t>VESPERTINA (LUNES-VIERNES)</t>
  </si>
  <si>
    <t xml:space="preserve"> HORARIO CONTINUADO</t>
  </si>
  <si>
    <t xml:space="preserve">CONSULTAS  </t>
  </si>
  <si>
    <t>JORNADA</t>
  </si>
  <si>
    <t xml:space="preserve">ODONTOPEDIATRÍA </t>
  </si>
  <si>
    <t>PRÓTESIS FIJA</t>
  </si>
  <si>
    <t>ESPECIALIDAD</t>
  </si>
  <si>
    <t>4 y *</t>
  </si>
  <si>
    <t>1,2,3</t>
  </si>
  <si>
    <t>CÓDIGO EXAMEN PERIODONTAL BASICO (EPB) EN PACIENTES INGRESADOS</t>
  </si>
  <si>
    <t>9 o más</t>
  </si>
  <si>
    <t>7 a 8</t>
  </si>
  <si>
    <t>5 a 6</t>
  </si>
  <si>
    <t>1 a 2</t>
  </si>
  <si>
    <t xml:space="preserve">ÍNDICE ceod O COPD EN PACIENTES INGRESADOS (Índice ceod se usa en menores de 7 años, para resto se utiliza COPD) </t>
  </si>
  <si>
    <t>ALTAS ODONTOLÓGICAS TOTALES</t>
  </si>
  <si>
    <t>ALTAS ODONTOLÓGICAS INTEGRALES (EXCLUYE SECCIÓN G)</t>
  </si>
  <si>
    <t>ALTAS ODONTOLÓGICAS PREVENTIVAS</t>
  </si>
  <si>
    <t>EGRESO CONTROL CON ENFOQUE RIESGO ODONTOLÓGICO (CERO)</t>
  </si>
  <si>
    <t>INGRESO CONTROL CON ENFOQUE RIESGO ODONTOLÓGICO (CERO)</t>
  </si>
  <si>
    <t>INGRESOS A TRATAMIENTO ODONTOLOGÍA GENERAL</t>
  </si>
  <si>
    <t>TIPO DE INGRESO O EGRESO</t>
  </si>
  <si>
    <t>RADIOGRAFÍA INTRAORAL (RETROALVEOLARES, BITE WING Y OCLUSALES)</t>
  </si>
  <si>
    <t>PROCEDIMIENTOS MÉDICO-QUIRÚRGICOS</t>
  </si>
  <si>
    <t>DESTARTRAJE SUBGINGIVAL Y PULIDO RADICULAR POR SEXTANTE</t>
  </si>
  <si>
    <t>RESTAURACIÓN DE AMALGAMAS</t>
  </si>
  <si>
    <t>RESTAURACIÓN ESTÉTICA</t>
  </si>
  <si>
    <t>EXODONCIA</t>
  </si>
  <si>
    <t>ACTIVIDAD INTERCEPTIVA DE ANOMALÍAS DENTO MAXILARES (OPI)</t>
  </si>
  <si>
    <t>FLUORURACIÓN TÓPICA BARNIZ</t>
  </si>
  <si>
    <t>EXAMEN DE SALUD ORAL</t>
  </si>
  <si>
    <t>CONSEJERÍA BREVE EN TABACO</t>
  </si>
  <si>
    <t>INASISTENCIA A CONSULTA</t>
  </si>
  <si>
    <t>CONSULTA DE URGENCIA (GES)</t>
  </si>
  <si>
    <t>CONTROL ODONTOLÓGICO</t>
  </si>
  <si>
    <t>CONSULTA DE MORBILIDAD</t>
  </si>
  <si>
    <t xml:space="preserve">ACTIVIDAD </t>
  </si>
  <si>
    <t>CENTROS DE SALUD</t>
  </si>
  <si>
    <t>ESTABLECIMIENTOS EDUCACIONALES</t>
  </si>
  <si>
    <t>ESPACIOS COMUNITARIOS</t>
  </si>
  <si>
    <t>TOTAL TALLERES</t>
  </si>
  <si>
    <t>ESPACIOS DE ACCIÓN</t>
  </si>
  <si>
    <t xml:space="preserve">SECCIÓN B.4: TALLERES GRUPALES SEGÚN TEMÁTICA Y NUMERO DE PARTICIPANTES EN PROGRAMA ESPACIOS AMIGABLES </t>
  </si>
  <si>
    <t>OFICINA INTERCULTURAL</t>
  </si>
  <si>
    <t>ESTABLECIMIENTOS 
EDUCACIONALES</t>
  </si>
  <si>
    <t>LUGARES DE TRABAJO</t>
  </si>
  <si>
    <t>ESPACIOS AMIGABLES EN APS</t>
  </si>
  <si>
    <t>INVESTIGACIÓN Y CAPACITACIÓN DE RRHH</t>
  </si>
  <si>
    <t>ENTREVISTAS</t>
  </si>
  <si>
    <t>PREPARACIÓN ACTIVIDADES EDUCATIVAS</t>
  </si>
  <si>
    <t>ACCIONES DE COMUNICACIÓN Y DIFUSIÓN</t>
  </si>
  <si>
    <t>REUNIONES  MASIVAS DE GESTIÓN</t>
  </si>
  <si>
    <t xml:space="preserve">REUNIONES DE GESTIÓN </t>
  </si>
  <si>
    <t>TOTAL ACTIVIDADES</t>
  </si>
  <si>
    <t>SECCIÓN B.3: ACTIVIDADES DE GESTIÓN SEGÚN TIPO, POR ESPACIOS DE ACCIÓN</t>
  </si>
  <si>
    <t>OTROS TIPO DE TALLERES</t>
  </si>
  <si>
    <t>CONTROL DEL TABACO</t>
  </si>
  <si>
    <t>TOTAL  TALLERES</t>
  </si>
  <si>
    <t>SECCIÓN B.2: TALLERES GRUPALES DE VIDA SANA SEGÚN TIPO, POR ESPACIOS DE ACCIÓN</t>
  </si>
  <si>
    <t>ESTABLECIMIENTOS EDUCACIÓN</t>
  </si>
  <si>
    <t xml:space="preserve">EDUCACIÓN GRUPAL </t>
  </si>
  <si>
    <t xml:space="preserve">
JORNADAS Y  
SEMINARIOS</t>
  </si>
  <si>
    <t>REUNIONES DE PLANIFICACIÓN PARTICIPATIVA</t>
  </si>
  <si>
    <t xml:space="preserve">EVENTOS  MASIVOS </t>
  </si>
  <si>
    <t>Salud sexual y prevención de VIH/SIDA e ITS</t>
  </si>
  <si>
    <t>Derechos humanos</t>
  </si>
  <si>
    <t>Factores protectores ambientales</t>
  </si>
  <si>
    <t>Factores protectores psicosociales</t>
  </si>
  <si>
    <t>Ambiente libre de humo de tabaco</t>
  </si>
  <si>
    <t xml:space="preserve">Alimentación </t>
  </si>
  <si>
    <t>Actividad física</t>
  </si>
  <si>
    <t xml:space="preserve">TOTAL PARTICIPANTES </t>
  </si>
  <si>
    <t>DETERMINANTES SOCIALES DE LA SALUD ABORDADAS - CHILE CRECE CONTIGO</t>
  </si>
  <si>
    <t>CONDICIONANTES ABORDADAS</t>
  </si>
  <si>
    <t xml:space="preserve">ESTRATEGIA, ESPACIOS  O LÍNEAS DE ACCIÓN </t>
  </si>
  <si>
    <t>ACTIVIDADES</t>
  </si>
  <si>
    <t>SECCIÓN B.1: ACTIVIDADES DE PROMOCIÓN SEGÚN ESTRATEGIAS Y CONDICIONANTES ABORDADAS Y NÚMERO DE PARTICIPANTES</t>
  </si>
  <si>
    <t>SECCIÓN B: ACTIVIDADES DE PROMOCIÓN</t>
  </si>
  <si>
    <t>AMBOS SEXOS</t>
  </si>
  <si>
    <t>55-59</t>
  </si>
  <si>
    <t xml:space="preserve">45-49 </t>
  </si>
  <si>
    <t>35-39</t>
  </si>
  <si>
    <t>CON ADOLESCENTE VIH (+)</t>
  </si>
  <si>
    <t>OTRAS ÁREAS DE INTERVENCIÓN</t>
  </si>
  <si>
    <t>CON INTEGRANTE DEPENDIENTE SEVERO</t>
  </si>
  <si>
    <t>CON INTEGRANTE CON ENFERMEDAD TERMINAL</t>
  </si>
  <si>
    <t>CON ADULTO MAYOR CON DEMENCIA</t>
  </si>
  <si>
    <t>CON ADULTO MAYOR DEPENDIENTE</t>
  </si>
  <si>
    <t>CON INTEGRANTE CON PROBLEMA DE SALUD MENTAL</t>
  </si>
  <si>
    <t>CON INTEGRANTE DE PATOLOGÍA CRÓNICA</t>
  </si>
  <si>
    <t>CON RIESGO PSICOSOCIAL</t>
  </si>
  <si>
    <t>ESPACIOS AMIGABLES</t>
  </si>
  <si>
    <t>TEMAS PRIORIDAD</t>
  </si>
  <si>
    <t>SECCIÓN A.3: CONSEJERÍAS FAMILIARES</t>
  </si>
  <si>
    <t>EN OTRAS INSTANCIAS</t>
  </si>
  <si>
    <t>EN APS - ESPACIOS AMIGABLES</t>
  </si>
  <si>
    <t>EN APS</t>
  </si>
  <si>
    <t>EN CDT - CRS</t>
  </si>
  <si>
    <t>HOSPITALIZACIÓN</t>
  </si>
  <si>
    <t>CONSEJERÍAS POST TEST VIH</t>
  </si>
  <si>
    <t xml:space="preserve">TOTAL              </t>
  </si>
  <si>
    <t>ÁREA O NIVEL</t>
  </si>
  <si>
    <t>CONSEJERÍAS</t>
  </si>
  <si>
    <t>SECCIÓN A.2: CONSEJERÍAS INDIVIDUALES POR VIH (NO INCLUIDAS EN LA SECCIÓN A.1)</t>
  </si>
  <si>
    <t>OTRO PROFESIONAL</t>
  </si>
  <si>
    <t>FACILITADOR/A INTERCULTURAL</t>
  </si>
  <si>
    <t>PSICÓLOGO /A</t>
  </si>
  <si>
    <t>DESARROLLO INFANTIL INTEGRAL</t>
  </si>
  <si>
    <t>MATRONA /ÓN POST TEST</t>
  </si>
  <si>
    <t>CONSUMO DE DROGAS</t>
  </si>
  <si>
    <t>14-18 años</t>
  </si>
  <si>
    <t>Espacios Amigables / adolescentes</t>
  </si>
  <si>
    <t>ACTIVIDADES Y ÁREAS TEMÁTICAS</t>
  </si>
  <si>
    <t>SECCIÓN A.1: CONSEJERÍAS INDIVIDUALES</t>
  </si>
  <si>
    <t>SECCIÓN A: CONSEJERÍAS</t>
  </si>
  <si>
    <t>REM-19a.   ACTIVIDADES DE PROMOCIÓN Y PREVENCIÓN DE LA SALUD</t>
  </si>
  <si>
    <t>LACTANCIA MATERNA EXCLUSIVA</t>
  </si>
  <si>
    <t>TIPO DE ALIMENTACIÓN</t>
  </si>
  <si>
    <t xml:space="preserve">EGRESADOS CON LACTANCIA MATERNA EXCLUSIVA </t>
  </si>
  <si>
    <t>TOTAL DE EGRESOS</t>
  </si>
  <si>
    <t>MUJER</t>
  </si>
  <si>
    <t>EDAD (en años)</t>
  </si>
  <si>
    <t>NACIDOS VIVOS</t>
  </si>
  <si>
    <t>Primeras Muestras</t>
  </si>
  <si>
    <t>4.000 y 
más</t>
  </si>
  <si>
    <t>3.000 a 
3.999</t>
  </si>
  <si>
    <t>2.500 a 
2.999</t>
  </si>
  <si>
    <t>2.000 a 
2.499</t>
  </si>
  <si>
    <t>1.500 a 
1.999</t>
  </si>
  <si>
    <t>1.000 a 
1.499</t>
  </si>
  <si>
    <t>500 a 999</t>
  </si>
  <si>
    <t>Menos de 500</t>
  </si>
  <si>
    <t>PROGRAMA FENILQUETONURIA (PKU) E HIPOTIROIDISMO CONGÉNITO (HC)</t>
  </si>
  <si>
    <t>PESO AL NACER (EN GRAMOS)</t>
  </si>
  <si>
    <t>CAUSAL N° 3: POR VIOLACIÓN</t>
  </si>
  <si>
    <t>CAUSAL N° 2: INVIABILIDAD FETAL DE CARÁCTER LETAL</t>
  </si>
  <si>
    <t xml:space="preserve">CAUSAL N° 1: MUJER EMBARAZADA CON RIESGO VITAL </t>
  </si>
  <si>
    <t>Cesáreas</t>
  </si>
  <si>
    <t>Partos vaginales inducidos</t>
  </si>
  <si>
    <t>de 14 hasta 21 semanas y 6 días</t>
  </si>
  <si>
    <t>12 semanas y un día hasta 14 semanas y cero días</t>
  </si>
  <si>
    <t>Hasta 12 semanas y cero días</t>
  </si>
  <si>
    <t>55 y más años</t>
  </si>
  <si>
    <t>14 a 19 años</t>
  </si>
  <si>
    <t>Menor de 14 años</t>
  </si>
  <si>
    <t>Beneficiarias</t>
  </si>
  <si>
    <t xml:space="preserve">Partos </t>
  </si>
  <si>
    <t>Abortos</t>
  </si>
  <si>
    <t>Grupos de edad en años</t>
  </si>
  <si>
    <t>CAUSALES</t>
  </si>
  <si>
    <t>EMBARAZO NO CONTROLADO</t>
  </si>
  <si>
    <t>ABORTOS</t>
  </si>
  <si>
    <t>CESÁREA URGENCIA</t>
  </si>
  <si>
    <t>CESÁREA ELECTIVA</t>
  </si>
  <si>
    <t>TOTAL PARTOS</t>
  </si>
  <si>
    <t>Lactancia materna en los primeros  60 minutos de vida  (RN con peso de 2.500 grs. o más)</t>
  </si>
  <si>
    <t>Local</t>
  </si>
  <si>
    <t>General</t>
  </si>
  <si>
    <t>Partos prematuros de 33 a 36 semanas</t>
  </si>
  <si>
    <t>Partos prematuros de 29 a 32 semanas</t>
  </si>
  <si>
    <t>Partos prematuros de 24 a 28 semanas</t>
  </si>
  <si>
    <t>Partos prematuros menos de 24 semanas</t>
  </si>
  <si>
    <t>AUDÍFONOS (Entregados)</t>
  </si>
  <si>
    <t>LENTES (Entregados)</t>
  </si>
  <si>
    <t>&lt; 65 Años</t>
  </si>
  <si>
    <t>SECCIÓN D: ENTREGA DE AYUDAS TÉCNICAS</t>
  </si>
  <si>
    <t>INFORMADAS</t>
  </si>
  <si>
    <t xml:space="preserve">RADIOGRAFÍA DE CADERAS 3-6 MESES (SCREENING) </t>
  </si>
  <si>
    <t>ANTERO POSTERIOR  Y LATERAL</t>
  </si>
  <si>
    <t>ANTERO POSTERIOR (FRONTAL)</t>
  </si>
  <si>
    <t>REALIZADAS</t>
  </si>
  <si>
    <t>RADIOGRAFÍA TÓRAX POR SOSPECHA NEUMONÍA Y SOSPECHA DE OTRA PATOLOGÍA RESPIRATORIA CRÓNICA</t>
  </si>
  <si>
    <t>N° BIOPSIAS DE CIRUGÍA MENOR CON INFORME DE SOSPECHA DE MALIGNIDAD</t>
  </si>
  <si>
    <t>BIOPSIAS DE CIRUGÍA MENOR ENVIADAS A ANATOMÍA PATOLÓGICA</t>
  </si>
  <si>
    <t>TEST DE UREASA POSITIVAS (+) H PYLORI</t>
  </si>
  <si>
    <t>TEST DE UREASA SOLICITADAS</t>
  </si>
  <si>
    <t>CON INFORME DE SOSPECHA DE MALIGNIDAD</t>
  </si>
  <si>
    <t>ENDOSCOPIA DIGESTIVA ALTA</t>
  </si>
  <si>
    <t>CON RESULTADO LITIASIS BILIAR</t>
  </si>
  <si>
    <t>ECOTOMOGRAFÍA ABDOMINAL</t>
  </si>
  <si>
    <t>ECOTOMOGRAFÍA MAMARIA</t>
  </si>
  <si>
    <t>SIN INFORME BIRADS</t>
  </si>
  <si>
    <t>CON BIRADS  4, 5 o 6</t>
  </si>
  <si>
    <t>CON BIRADS  3</t>
  </si>
  <si>
    <t>CON BIRADS 1 o 2</t>
  </si>
  <si>
    <t>CON BIRADS 0</t>
  </si>
  <si>
    <t>MAMOGRAFÍA</t>
  </si>
  <si>
    <t>COMPRA EXTRASISTEMA</t>
  </si>
  <si>
    <t>COMPRA AL SISTEMA</t>
  </si>
  <si>
    <t>INSTITUCIONAL</t>
  </si>
  <si>
    <t>MODALIDAD</t>
  </si>
  <si>
    <t>POR EDAD (EN AÑOS)</t>
  </si>
  <si>
    <t>TIPO DE EXAMEN Y PROCEDIMIENTO DIAGNOSTICO</t>
  </si>
  <si>
    <t xml:space="preserve">SECCIÓN B: PROCEDIMIENTOS DE IMÁGENES DIAGNOSTICAS Y PROGRAMA DE RESOLUTIVIDAD EN APS  </t>
  </si>
  <si>
    <t>CONTROLES DE GLAUCOMA UAPO</t>
  </si>
  <si>
    <t>EGRESOS GLAUCOMA UAPO</t>
  </si>
  <si>
    <t>INGRESOS GLAUCOMA UAPO</t>
  </si>
  <si>
    <t>INGRESOS Y EGRESOS GLAUCOMA UAPO</t>
  </si>
  <si>
    <t xml:space="preserve">TERAPEUTA OCUPACIONAL </t>
  </si>
  <si>
    <t>CONSULTA DE CALIFICACIÓN DE URGENCIA POR TECNÓLOGO MÉDICO (UAPO)</t>
  </si>
  <si>
    <t>TECNÓLOGO MÉDICO O FONOAUDIÓLOGO CONSULTAS (UAPORRINO)</t>
  </si>
  <si>
    <t>TECNÓLOGO MÉDICO O FONOAUDIÓLOGO POR HIPOACUSIA (UAPORRINO)</t>
  </si>
  <si>
    <t>CONSULTAS OTROS PROFESIONALES</t>
  </si>
  <si>
    <t>OTORRINOLARINGOLOGÍA/UAPORRINO</t>
  </si>
  <si>
    <t>CONSULTAS MÉDICAS DE ESPECIALIDADES</t>
  </si>
  <si>
    <t>SECCIÓN A: PROGRAMA DE RESOLUTIVIDAD ATENCIÓN PRIMARIA DE SALUD</t>
  </si>
  <si>
    <t>REM-29.  PROGRAMA DE IMÁGENES DIAGNÓSTICAS Y/O RESOLUTIVIDAD EN ATENCIÓN PRIMARIA</t>
  </si>
  <si>
    <t>Niños/as con alteración de área Lenguaje y/o Social en Control de los 18 meses</t>
  </si>
  <si>
    <t>Niños/as con Control a los 18 meses</t>
  </si>
  <si>
    <t>ESCALA DE  RIESGO PSICOSOCIAL EN CONTROL DE SALUD INFANTIL</t>
  </si>
  <si>
    <t>Ambos sexos</t>
  </si>
  <si>
    <t>Derivado a Salud Mental 5 a 9 años</t>
  </si>
  <si>
    <t>Derivadas a equipos de cabecera</t>
  </si>
  <si>
    <t>Riesgo</t>
  </si>
  <si>
    <t>24- 48 meses</t>
  </si>
  <si>
    <t>12 - 23 meses</t>
  </si>
  <si>
    <t>7 - 11 meses</t>
  </si>
  <si>
    <t>Pueblo originarios</t>
  </si>
  <si>
    <t>SECCION E: APLICACIÓN DE PAUTA DETECCIÓN DE FACTORES DE RIESGO PSICOSOCIAL INFANTIL</t>
  </si>
  <si>
    <t>ALTO RIESGO</t>
  </si>
  <si>
    <t xml:space="preserve">BAJO RIESGO </t>
  </si>
  <si>
    <t>EVALUACIÓN DE RIESGO</t>
  </si>
  <si>
    <t xml:space="preserve">3 años </t>
  </si>
  <si>
    <t>&lt;1 año</t>
  </si>
  <si>
    <t xml:space="preserve">PAUTA CERO </t>
  </si>
  <si>
    <t>SECCIÓN D.7: APLICACIÓN Y RESULTADOS DE PAUTA DE EVALUACIÓN CON ENFOQUE DE RIESGO ODONTOLÓGICO (CERO)</t>
  </si>
  <si>
    <t>TOTAL CUIDADORES EVALUADOS</t>
  </si>
  <si>
    <t>ESCALA DE SOBRECARGA DEL CUIDADOR "ZARIT ABREVIADO"</t>
  </si>
  <si>
    <t>DISMINUYE PUNTUACIÓN ÍNDICE DE BARTHEL</t>
  </si>
  <si>
    <t>MANTIENE PUNTUACIÓN ÍNDICE DE BARTHEL</t>
  </si>
  <si>
    <t>MEJORA PUNTUACIÓN ÍNDICE DE BARTHEL</t>
  </si>
  <si>
    <t>90 y mas años</t>
  </si>
  <si>
    <t>85 a 89 años</t>
  </si>
  <si>
    <t>80 a 84 años</t>
  </si>
  <si>
    <t>75 a 79 años</t>
  </si>
  <si>
    <t>70 a 74 años</t>
  </si>
  <si>
    <t>65 a 69 años</t>
  </si>
  <si>
    <t>ÍNDICE DE BARTHEL</t>
  </si>
  <si>
    <t>SECCIÓN D.5: VARIACIÓN  DE RESULTADO DE APLICACIÓN DEL ÍNDICE DE BARTHEL ENTRE EL INGRESO Y EGRESO HOSPITALARIO</t>
  </si>
  <si>
    <t>DISMINUYE</t>
  </si>
  <si>
    <t>MANTIENE</t>
  </si>
  <si>
    <t>MEJORA</t>
  </si>
  <si>
    <t xml:space="preserve">CUESTIONARIO </t>
  </si>
  <si>
    <t>TIMED UP AND GO</t>
  </si>
  <si>
    <t>80 y más años</t>
  </si>
  <si>
    <t>60 a 64 años</t>
  </si>
  <si>
    <t>RESULTADO</t>
  </si>
  <si>
    <t>SECCIÓN D.4: RESULTADO DE APLICACIÓN DE CONDICIÓN DE FUNCIONALIDAD AL EGRESO PROGRAMA "MÁS ADULTOS MAYORES AUTOVALENTES"</t>
  </si>
  <si>
    <t>ALTO</t>
  </si>
  <si>
    <t>MEDIO</t>
  </si>
  <si>
    <t>BAJO</t>
  </si>
  <si>
    <t>EVALUACION AL EGRESO</t>
  </si>
  <si>
    <t>EVALUACION AL INGRESO</t>
  </si>
  <si>
    <t>55 a 59 años</t>
  </si>
  <si>
    <t>5 a 9 años</t>
  </si>
  <si>
    <t>0 a 4 años</t>
  </si>
  <si>
    <t>RESULTADOS</t>
  </si>
  <si>
    <t>SECCION D.3: APLICACIÓN Y RESULTADO DE PAUTA DE EVALUACIÓN Y SALUD MENTAL</t>
  </si>
  <si>
    <t>TOTAL DE EVALUACIONES</t>
  </si>
  <si>
    <t>DISCAPACIDAD PROFUNDA</t>
  </si>
  <si>
    <t>DISCAPACIDAD SEVERA</t>
  </si>
  <si>
    <t>DISCAPACIDAD MODERADA</t>
  </si>
  <si>
    <t>DISCAPACIDAD LEVE</t>
  </si>
  <si>
    <t>SIN DISCAPACIDAD</t>
  </si>
  <si>
    <t>EVALUACIÓN EGRESO</t>
  </si>
  <si>
    <t>EVALUACIÓN INGRESO</t>
  </si>
  <si>
    <t>ORIGEN MÚLTIPLE</t>
  </si>
  <si>
    <t>ORIGEN MENTAL INTELECTUAL</t>
  </si>
  <si>
    <t>ORIGEN MENTAL PSÍQUICO</t>
  </si>
  <si>
    <t>ORIGEN SENSORIAL AUDITIVO</t>
  </si>
  <si>
    <t>ORIGEN SENSORIAL VISUAL</t>
  </si>
  <si>
    <t>ORIGEN FÍSICO</t>
  </si>
  <si>
    <t>70 a 79 años</t>
  </si>
  <si>
    <t>25 a 64 años</t>
  </si>
  <si>
    <t>2 - 4 años</t>
  </si>
  <si>
    <t>6 -11 meses</t>
  </si>
  <si>
    <t>SECCIÓN D.2: RESULTADOS DE LA APLICACIÓN DE INSTRUMENTO DE VALORACIÓN DE DESEMPEÑO EN COMUNIDAD (IVADEC-CIF)</t>
  </si>
  <si>
    <t xml:space="preserve">POSIBLE CONSUMO PERJUDICIAL O DEPENDENCIA </t>
  </si>
  <si>
    <t>CONSUMO RIESGOSO / INTERMEDIO</t>
  </si>
  <si>
    <t>RESULTADOS DE EVALUACIÓN</t>
  </si>
  <si>
    <t>N° DE CRAFFT APLICADO</t>
  </si>
  <si>
    <t xml:space="preserve">N° DE CRAFFT EN CONTROL DE SALUD INTEGRAL DEL ADOLESCENTE </t>
  </si>
  <si>
    <t>N° DE ASSIST APLICADO</t>
  </si>
  <si>
    <t>Nº DE ASSIST (EMP/EMPAM)</t>
  </si>
  <si>
    <t>Nº DE AUDIT APLICADO</t>
  </si>
  <si>
    <t>Nº DE AUDIT (EMP/EMPAM)</t>
  </si>
  <si>
    <t>SECCIÓN D.1: APLICACIÓN DE TAMIZAJE PARA EVALUAR EL NIVEL DE RIESGO DE CONSUMO DE  ALCOHOL, TABACO Y OTRAS DROGAS</t>
  </si>
  <si>
    <t>SECCIÓN D: OTRAS EVALUACIONES, APLICACIONES Y RESULTADOS DE ESCALAS EN TODAS LAS EDADES</t>
  </si>
  <si>
    <t>OBESOS SEVEROS</t>
  </si>
  <si>
    <t>OBESOS</t>
  </si>
  <si>
    <t>SOBREPESO</t>
  </si>
  <si>
    <t>BAJO PESO</t>
  </si>
  <si>
    <t>NORMAL</t>
  </si>
  <si>
    <t>ESTADO 
NUTRICIONAL</t>
  </si>
  <si>
    <t>SECCIÓN C: RESULTADOS DE LA EVALUACIÓN DEL ESTADO NUTRICIONAL DEL ADOLESCENTE CON CONTROL SALUD INTEGRAL</t>
  </si>
  <si>
    <t>A los 6 meses</t>
  </si>
  <si>
    <t>A los 2 meses</t>
  </si>
  <si>
    <t>EVALUACIÓN A MUJERES POST PARTO O SÍNTOMAS DE DEPRESIÓN</t>
  </si>
  <si>
    <t>REEVALUACIÓN (con puntaje elevado en la primera evaluación)</t>
  </si>
  <si>
    <t>PRIMERA EVALUACIÓN (2º control prenatal)</t>
  </si>
  <si>
    <t>EVALUACIÓN A GESTANTES</t>
  </si>
  <si>
    <t>TOTAL DE CASOS ALTERADOS DERIVADOS A SALUD MENTAL</t>
  </si>
  <si>
    <t>RESULTADOS  
13 O MÁS PTOS O RESULTADO DISTINTO DE 0 EN PREG 10. (GESTANTES)</t>
  </si>
  <si>
    <t>RESULTADOS  
10 O MÁS PTOS. O RESULTADO DISTINTO DE 0 EN PREG 10 . (PUERPERAS)</t>
  </si>
  <si>
    <t>TOTAL DE APLICACIONES</t>
  </si>
  <si>
    <t>SECCIÓN B.3: APLICACIÓN DE ESCALA DE EDIMBURGO A GESTANTES Y MUJERES POST PARTO</t>
  </si>
  <si>
    <t>EVALUACIÓN AL INGRESO</t>
  </si>
  <si>
    <t>SECCIÓN B.2: APLICACIÓN DE ESCALA SEGÚN EVALUACIÓN DE RIESGO PSICOSOCIAL ABREVIADA A GESTANTES</t>
  </si>
  <si>
    <t>OBESA</t>
  </si>
  <si>
    <t>ESTADO NUTRICIONAL</t>
  </si>
  <si>
    <t>SECCIÓN B.1: EVALUACIÓN DEL ESTADO NUTRICIONAL A MUJERES CONTROLADAS AL OCTAVO MES POST PARTO</t>
  </si>
  <si>
    <t>SECCION B: EVALUACIÓN, APLICACIÓN Y RESULTADOS DE ESCALAS EN  LA MUJER</t>
  </si>
  <si>
    <t>FORMULA LÁCTEA</t>
  </si>
  <si>
    <t>LACTANCIA MATERNA / FORMULA LÁCTEA</t>
  </si>
  <si>
    <t>Del 24° mes</t>
  </si>
  <si>
    <t>Del 12° mes</t>
  </si>
  <si>
    <t>Del 6° mes</t>
  </si>
  <si>
    <t>Del 3° mes</t>
  </si>
  <si>
    <t>Del 1° mes</t>
  </si>
  <si>
    <t>SEGÚN CONTROL PROGRAMÁTICO</t>
  </si>
  <si>
    <t>MUY ANORMAL</t>
  </si>
  <si>
    <t>ANORMAL</t>
  </si>
  <si>
    <t>APLICACIÓN DE PROTOCOLO NEUROSENSORIAL (1-2 MESES)</t>
  </si>
  <si>
    <t>SECCIÓN A.4: RESULTADOS DE LA APLICACIÓN DE PROTOCOLO NEUROSENSORIAL</t>
  </si>
  <si>
    <t>NIÑO / A</t>
  </si>
  <si>
    <t>SECCIÓN A.3: NIÑOS Y NIÑAS CON REZAGO, DÉFICIT U OTRA VULNERABILIDAD DERIVADOS A ALGUNA MODALIDAD DE ESTIMULACIÓN EN LA PRIMERA EVALUACIÓN</t>
  </si>
  <si>
    <t>TRASLADO DE ESTABLECIMIENTO</t>
  </si>
  <si>
    <t>DERIVADOS A ESPECIALIDAD</t>
  </si>
  <si>
    <t>RIESGO (desde retraso)</t>
  </si>
  <si>
    <t>NORMAL CON REZAGO (desde retraso)</t>
  </si>
  <si>
    <t>NORMAL CON REZAGO (desde riesgo)</t>
  </si>
  <si>
    <t>NORMAL (desde retraso)</t>
  </si>
  <si>
    <t>NORMAL (desde riesgo)</t>
  </si>
  <si>
    <t>NORMAL (desde normal con rezago)</t>
  </si>
  <si>
    <t>REEVALUACIÓN</t>
  </si>
  <si>
    <t>PRIMERA EVALUACIÓN</t>
  </si>
  <si>
    <t>APLICACIÓN TEST DE DESARROLLO PSICOMOTOR</t>
  </si>
  <si>
    <t>SECCIÓN A.2: RESULTADOS DE LA APLICACIÓN DE ESCALA DE EVALUACIÓN DEL DESARROLLO PSICOMOTOR</t>
  </si>
  <si>
    <t>ALTERADO</t>
  </si>
  <si>
    <t>APLICACIÓN PAUTA BREVE</t>
  </si>
  <si>
    <t>18 - 24 meses</t>
  </si>
  <si>
    <t>EVALUACIONES POR EDAD DEL NIÑO</t>
  </si>
  <si>
    <t>SECCIÓN A.1: APLICACIÓN Y RESULTADOS DE PAUTA BREVE</t>
  </si>
  <si>
    <t>SECCIÓN A: APLICACIÓN DE INSTRUMENTO Y RESULTADO EN EL NIÑO (A)</t>
  </si>
  <si>
    <t xml:space="preserve">REM-A03.   APLICACIÓN Y RESULTADOS DE ESCALAS DE EVALUACIÓN </t>
  </si>
  <si>
    <t>MULTIPROFESIONAL</t>
  </si>
  <si>
    <t>DOS PROFESIONALES</t>
  </si>
  <si>
    <t>UNIPROFESIONAL</t>
  </si>
  <si>
    <t>CONSULTA NUEVA SALUD MENTAL (INGRESO)</t>
  </si>
  <si>
    <t>TÉCNICO REHABILITACIÓN ALCOHOL Y DROGAS</t>
  </si>
  <si>
    <t>GESTOR COMUNITARIO</t>
  </si>
  <si>
    <t>No Requiere tratamiento</t>
  </si>
  <si>
    <t>Requiere tratamiento en nivel secundario</t>
  </si>
  <si>
    <t>Requiere tratamiento en APS</t>
  </si>
  <si>
    <t>Equipo psicosocial</t>
  </si>
  <si>
    <t>Equipo biopsicosocial</t>
  </si>
  <si>
    <t>Cumplimiento de criterios diagnósticos según  Evaluación Diagnóstica Integral (EDI)</t>
  </si>
  <si>
    <t>Evaluadores</t>
  </si>
  <si>
    <t>GRUPOS DE EDAD 5 A 9 AÑOS</t>
  </si>
  <si>
    <t>CUIDADORES DE PERSONAS CON DEMENCIA CON EVALUACIÓN DE SATISFACCIÓN USARIA DEL PROCESO DE INTERVENCIÓN</t>
  </si>
  <si>
    <t>CUIDADORES PERSONAS CON DEMENCIA CON REEVALUACIÓN SOBRECARGA DEL CUIDADO</t>
  </si>
  <si>
    <t>PERSONAS CON DEMENCIA CON  REEVALUACIÓN DETERIORO GLOGAL GDS REISBERG</t>
  </si>
  <si>
    <t>DISMINUCIÓN</t>
  </si>
  <si>
    <t>MANTENCIÓN</t>
  </si>
  <si>
    <t>AUMENTO</t>
  </si>
  <si>
    <t>3 PROFESIONALES</t>
  </si>
  <si>
    <t>2 PROFESIONALES</t>
  </si>
  <si>
    <t>1 PROFESIONAL</t>
  </si>
  <si>
    <t>N° CONFIRMACIONES DIAGNÓSTICAS</t>
  </si>
  <si>
    <t>REALIZADA POR</t>
  </si>
  <si>
    <t>EVALUACIONES PARTICIPATIVAS REALIZADAS AL EGRESO DEL PROGRAMA</t>
  </si>
  <si>
    <t>PLAN DE ACOMPAÑAMIENTO ELABORADOS</t>
  </si>
  <si>
    <t>SECCIÓN D: PLANES Y EVALUACIONES PROGRAMA DE ACOMPAÑAMIENTO PSICOSOCIAL EN ATENCIÓN PRIMARIA</t>
  </si>
  <si>
    <t>LABORALES</t>
  </si>
  <si>
    <t>POLICÍA LOCAL</t>
  </si>
  <si>
    <t>CIVILES</t>
  </si>
  <si>
    <t>PENALES</t>
  </si>
  <si>
    <t>DE FAMILIA</t>
  </si>
  <si>
    <t>Nº de veces</t>
  </si>
  <si>
    <t>Nº de profesionales</t>
  </si>
  <si>
    <t>ASISTENCIA A TRIBUNALES</t>
  </si>
  <si>
    <t>Nº INFORMES</t>
  </si>
  <si>
    <t>TRIBUNALES</t>
  </si>
  <si>
    <t>SECCIÓN C.2: INFORMES A TRIBUNALES</t>
  </si>
  <si>
    <t>REUNIONES CON ORGANIZACIONES COMUNITARIAS ACOMPAÑAMIENTO PSICOSOCIAL</t>
  </si>
  <si>
    <t>REUNIONES CON INSTITUCIONES DEL INTERSECTOR ACOMPAÑAMIENTO PSICOSOCIAL</t>
  </si>
  <si>
    <t>REUNIONES CON INSTITUCIONES DEL SECTOR SALUD PROGRAMA ACOMPAÑAMIENTO PSICOSOCIAL</t>
  </si>
  <si>
    <t>COLABORACIÓN CON GRUPO DE AUTOAYUDA</t>
  </si>
  <si>
    <t>TRABAJO CON ORGANIZACIONES DE USUARIOS Y FAMILIARES</t>
  </si>
  <si>
    <t>TRABAJO CON ORGANIZACIONES COMUNITARIAS DE BASE</t>
  </si>
  <si>
    <t>TRABAJO INTERSECTORIAL</t>
  </si>
  <si>
    <t>Nº INSTITUCIONES,  ORGANIZACIONES  PARTICIPANTES</t>
  </si>
  <si>
    <t>Nº REUNIONES / SESIONES</t>
  </si>
  <si>
    <t>TOTAL DE PARTICIPANTES</t>
  </si>
  <si>
    <t>SECCIÓN C.1: ACTIVIDADES DE COORDINACION SECTORIAL, INTERSECTORIAL Y COMUNITARIA</t>
  </si>
  <si>
    <t>CENTRO PRIVATIVO DE LIBERTAD (SENAME)</t>
  </si>
  <si>
    <t>HOSPITAL PSIQUIÁTRICO DIURNO</t>
  </si>
  <si>
    <t>RESIDENCIA PROTEGIDA</t>
  </si>
  <si>
    <t xml:space="preserve">HOGAR PROTEGIDO  </t>
  </si>
  <si>
    <t>20 y más años</t>
  </si>
  <si>
    <t>Menos de 20 años</t>
  </si>
  <si>
    <t>Nº DE PERSONAS EN LISTA DE ESPERA</t>
  </si>
  <si>
    <t>Nº DE EGRESOS</t>
  </si>
  <si>
    <t>DÍAS DE ESTADA DE PERSONAS ATENDIDAS EN EL MES</t>
  </si>
  <si>
    <t>Nº DE PERSONAS ATENDIDAS</t>
  </si>
  <si>
    <t>TIPO DE DISPOSITIVO</t>
  </si>
  <si>
    <t>SECCIÓN B.4: DISPOSITIVOS DE SALUD MENTAL</t>
  </si>
  <si>
    <t>ENFERMERO/A</t>
  </si>
  <si>
    <t>ATENCIÓN A AGRESORES DERIVADOS DE TRIBUNALES (LEY DE VIOLENCIA INTRAFAMILIAR</t>
  </si>
  <si>
    <t>PERITAJE DROGAS</t>
  </si>
  <si>
    <t>EXAMEN MENTAL PRELIMINAR A PERSONAS IMPUTADAS</t>
  </si>
  <si>
    <t>EVALUACIÓN CLÍNICA PARA ADOLESCENTES IMPUTADOS CON CONSUMO DE DROGAS</t>
  </si>
  <si>
    <t xml:space="preserve">EXAMEN PRELIMINAR EN DROGAS PARA ADOLESCENTES IMPUTADOS / CONDENADOS </t>
  </si>
  <si>
    <t>PERITAJE PSIQUIÁTRICO JUDICIAL</t>
  </si>
  <si>
    <t>SECCIÓN B.3: ACTIVIDADES DE PSIQUIATRÍA FORENSE PARA PERSONAS EN CONFLICTO CON LA JUSTICIA (En lo Penal, Civil, Familiar, etc.)</t>
  </si>
  <si>
    <t>DÍAS PERSONA</t>
  </si>
  <si>
    <t>SECCIÓN B.2:  PROGRAMA DE REHABILITACIÓN (PERSONAS CON TRASTORNOS PSIQUIÁTRICOS)</t>
  </si>
  <si>
    <t>PSICOTERAPIA FAMILIAR</t>
  </si>
  <si>
    <t>PSICOTERAPIA  GRUPAL</t>
  </si>
  <si>
    <t>SECCIÓN B.1: ACTIVIDADES GRUPALES (NÚMERO DE SESIONES)</t>
  </si>
  <si>
    <t>CONSULTORÍAS DE SALUD MENTAL</t>
  </si>
  <si>
    <t>Dos profesionales</t>
  </si>
  <si>
    <t>Médico Psiquiatría más dos Profesionales</t>
  </si>
  <si>
    <t>Médico Psiquiatría más un profesional</t>
  </si>
  <si>
    <t>PARTICIPANTES</t>
  </si>
  <si>
    <t>TOTAL Nº DE CASOS REVISADOS</t>
  </si>
  <si>
    <t>SECCIÓN A.3: CONSULTORÍAS DE SALUD MENTAL OTORGADA POR EL NIVEL DE ESPECIALIDAD</t>
  </si>
  <si>
    <t>SECCIÓN A.2: CONSULTORÍAS DE SALUD MENTAL EN APS</t>
  </si>
  <si>
    <t>PSICOTERAPIA INDIVIDUAL</t>
  </si>
  <si>
    <t>PSICODIAGNOSTICO</t>
  </si>
  <si>
    <t>CONTROLES SALUD MENTAL</t>
  </si>
  <si>
    <t>Demencia</t>
  </si>
  <si>
    <t>SECCIÓN A.1: CONTROLES DE ATENCIÓN PRIMARIA / ESPECIALIDADES</t>
  </si>
  <si>
    <t>REM-06.   PROGRAMA DE SALUD MENTAL ATENCIÓN PRIMARIA Y ESPECIALIDADES</t>
  </si>
  <si>
    <t>GREMIALES</t>
  </si>
  <si>
    <t>EMERGENCIAS</t>
  </si>
  <si>
    <t>INFRAESTRUCTURA</t>
  </si>
  <si>
    <t>EQUIPO QUIRÚRGICO</t>
  </si>
  <si>
    <t>UNIDAD DE APOYO CLÍNICO</t>
  </si>
  <si>
    <t>ADMINISTRATIVAS</t>
  </si>
  <si>
    <t>PACIENTE</t>
  </si>
  <si>
    <t>Beneficiarios MLE</t>
  </si>
  <si>
    <t>Beneficiarios MAI</t>
  </si>
  <si>
    <t>15 años y más</t>
  </si>
  <si>
    <t>Menores de 15 años</t>
  </si>
  <si>
    <t>Nº DE PERSONAS</t>
  </si>
  <si>
    <t xml:space="preserve">CAUSAS DE SUSPENSIÓN ATRIBUIBLES A:
</t>
  </si>
  <si>
    <t>RESTO ESPECIALIDADES</t>
  </si>
  <si>
    <t>GINECOLOGÍA</t>
  </si>
  <si>
    <t>TRAUMATOLOGÍA</t>
  </si>
  <si>
    <t>CIRUGÍA MÁXILOFACIAL</t>
  </si>
  <si>
    <t>PACIENTES SUSPENDIDOS</t>
  </si>
  <si>
    <t>PACIENTES PROGRAMADOS</t>
  </si>
  <si>
    <t>PROGRAMACIÓN DE TABLA QUIRÚRGICA (N° DE PACIENTES)</t>
  </si>
  <si>
    <t>PACIENTES INTERVENIDOS</t>
  </si>
  <si>
    <t>DÍAS DE ESTADA PREQUIRÚRGICOS</t>
  </si>
  <si>
    <t>Nº DE ATENCIONES (en el mes)</t>
  </si>
  <si>
    <t>EGRESADOS CON APOYO PSICOSOCIAL (en el período)</t>
  </si>
  <si>
    <t>TOTAL DE EGRESOS (en el período)</t>
  </si>
  <si>
    <t>1 a 4 años</t>
  </si>
  <si>
    <t xml:space="preserve">29 días hasta menor de 1 año </t>
  </si>
  <si>
    <t>Hasta 28 días</t>
  </si>
  <si>
    <t>INTERVENCIÓN</t>
  </si>
  <si>
    <t>NÚMERO DE CUPOS DISPONIBLES</t>
  </si>
  <si>
    <t>NÚMERO CUPOS UTILIZADOS</t>
  </si>
  <si>
    <t>NÚMERO CUPOS PROGRAMADOS</t>
  </si>
  <si>
    <t>N° de cupos CAM INV Adicionales</t>
  </si>
  <si>
    <t>N° de Cupos</t>
  </si>
  <si>
    <t>COMPONENTES</t>
  </si>
  <si>
    <t>TRABAJADOR SOCIAL</t>
  </si>
  <si>
    <t>REINGRESOS A HOSPITALIZACIÓN TRADICIONAL</t>
  </si>
  <si>
    <t xml:space="preserve">No esperados </t>
  </si>
  <si>
    <t>Esperados</t>
  </si>
  <si>
    <t>FALLECIDOS</t>
  </si>
  <si>
    <t>ALTAS</t>
  </si>
  <si>
    <t>DÍAS PERSONAS ATENDIDAS</t>
  </si>
  <si>
    <t>PERSONAS ATENDIDAS</t>
  </si>
  <si>
    <t>UGCC</t>
  </si>
  <si>
    <t>Ley de Urgencia</t>
  </si>
  <si>
    <t>Ambulatorio</t>
  </si>
  <si>
    <t>Hospitalización</t>
  </si>
  <si>
    <t>Urgencia</t>
  </si>
  <si>
    <t>ORIGEN DE LA DERIVACIÓN</t>
  </si>
  <si>
    <t>RECURSO DISPONIBLE</t>
  </si>
  <si>
    <t>SECCIÓN B:  PROCEDIMIENTOS COMPLEJOS AMBULATORIOS</t>
  </si>
  <si>
    <t>INDIFERENCIADO</t>
  </si>
  <si>
    <t>OBSTÉTRICO</t>
  </si>
  <si>
    <t>DE URGENCIA</t>
  </si>
  <si>
    <t>DE CIRUGÍA ELECTIVA</t>
  </si>
  <si>
    <t>TOTAL QUIRÓFANOS</t>
  </si>
  <si>
    <t>Otros Procedimientos</t>
  </si>
  <si>
    <t>Cirugía Menor</t>
  </si>
  <si>
    <t>Totales</t>
  </si>
  <si>
    <t>De preparación</t>
  </si>
  <si>
    <t>TOTAL DE HORAS MENSUALES DE QUIRÓFANOS EN TRABAJO</t>
  </si>
  <si>
    <t>TOTAL  DE HORAS MENSUALES DE QUIRÓFANOS HABILITADOS (HORARIO HÁBIL)</t>
  </si>
  <si>
    <t>PROMEDIO MENSUAL  DE QUIRÓFANOS EN TRABAJO</t>
  </si>
  <si>
    <t>PROMEDIO MENSUAL DE QUIRÓFANOS HABILITADOS</t>
  </si>
  <si>
    <t>TIPO DE QUIRÓFANOS</t>
  </si>
  <si>
    <t>SECCIÓN A:  CAPACIDAD INSTALADA Y UTILIZACIÓN DE LOS QUIRÓFANOS</t>
  </si>
  <si>
    <t>REM-21.   QUIRÓFANOS Y OTROS RECURSOS HOSPITALARIOS</t>
  </si>
  <si>
    <t>ESTABLECIMIENTO EDUCACIONAL</t>
  </si>
  <si>
    <t>NÚMERO DE NIÑOS/AS VISITADOS
5 A 9 AÑOS</t>
  </si>
  <si>
    <t>TOTAL VISITAS
5 A 9 AÑOS</t>
  </si>
  <si>
    <t>ACCIONES TELEFÓNICAS REALIZADAS (LLAMADAS O MENSAJERÍA)</t>
  </si>
  <si>
    <t>NÚMERO DE ACCIONES DE ACOMPAÑAMIENTO TELEFÓNICO</t>
  </si>
  <si>
    <t>TOTAL ACCIONES</t>
  </si>
  <si>
    <t>GRUPOS</t>
  </si>
  <si>
    <t>A LUGAR DE TRABAJO</t>
  </si>
  <si>
    <t>NÚMERO DE OTRAS VISITAS SEGÚN RANGO ETARIO</t>
  </si>
  <si>
    <t>TOTAL VISITAS</t>
  </si>
  <si>
    <t>SECCIÓN E: OTRAS VISITAS PROGRAMA DE ACOMPAÑAMIENTO PSICOSOCIAL EN ATENCIÓN PRIMARIA</t>
  </si>
  <si>
    <t>* No incluidas como producción del establecimiento.</t>
  </si>
  <si>
    <t>Compra de servicio (*)</t>
  </si>
  <si>
    <t>Desde el establecimiento</t>
  </si>
  <si>
    <t>Otro</t>
  </si>
  <si>
    <t>Administrativo</t>
  </si>
  <si>
    <t>COMPRA DE SERVICIO (*)</t>
  </si>
  <si>
    <t>FUNCIONARIO</t>
  </si>
  <si>
    <t>RESCATE TELEFÓNICO</t>
  </si>
  <si>
    <t>RESCATE EN DOMICILIO</t>
  </si>
  <si>
    <t>GRUPO ETARIO</t>
  </si>
  <si>
    <t>SECCIÓN D: RESCATE DE PACIENTES INASISTENTES</t>
  </si>
  <si>
    <t>NO ONCOLÓGICOS</t>
  </si>
  <si>
    <t>ONCOLÓGICOS (Excluye cuidados paliativos)</t>
  </si>
  <si>
    <t xml:space="preserve"> A PERSONAS CON DEPENDENCIA SEVERA</t>
  </si>
  <si>
    <t>A PERSONAS CON DEPENDENCIA MODERADA</t>
  </si>
  <si>
    <t>A PERSONAS CON DEPENDENCIA LEVE</t>
  </si>
  <si>
    <t>CONCEPTOS</t>
  </si>
  <si>
    <t>(*) Excluye visita integral de salud mental</t>
  </si>
  <si>
    <t>EN SECTOR RURAL</t>
  </si>
  <si>
    <t>A ESTABLECIMIENTOS EDUCACIONALES</t>
  </si>
  <si>
    <t>A DOMICILIO (NIVEL SECUNDARIO)</t>
  </si>
  <si>
    <t>VISITA INTEGRAL DE SALUD MENTAL</t>
  </si>
  <si>
    <t>A GRUPO COMUNITARIO</t>
  </si>
  <si>
    <t>A COLEGIO, SALAS CUNA, JARDÍN INFANTIL (*)</t>
  </si>
  <si>
    <t>A LUGAR DE TRABAJO (*)</t>
  </si>
  <si>
    <t>VISITA EPIDEMIOLÓGICA</t>
  </si>
  <si>
    <t>AGENTE COMUNITARIO</t>
  </si>
  <si>
    <t>DOS O MÁS 
PROFESIONALES</t>
  </si>
  <si>
    <t>SECCIÓN B: OTRAS VISITAS INTEGRALES</t>
  </si>
  <si>
    <t>SEGUNDA VISITA</t>
  </si>
  <si>
    <t>PRIMERA VISITA</t>
  </si>
  <si>
    <t>FAMILIA CON NIÑOS/AS DE 5 A 9 AÑOS CON PROBLEMAS Y/O TRASTORNOS DE SALUD MENTAL</t>
  </si>
  <si>
    <t>FAMILIA CON ADULTO MAYOR DEPENDIENTE SEVERO</t>
  </si>
  <si>
    <t>FAMILIA CON INTEGRANTE CON PROBLEMA DE SALUD MENTAL</t>
  </si>
  <si>
    <t>FAMILIA CON OTRO RIESGO PSICOSOCIAL</t>
  </si>
  <si>
    <t>FAMILIA CON INTEGRANTE CON DEPENDENCIA SEVERA (excluye adulto mayor)</t>
  </si>
  <si>
    <t>FAMILIA CON INTEGRANTE ALTA HOSPITALIZACIÓN PRECOZ</t>
  </si>
  <si>
    <t>FAMILIA CON GESTANTE EN RIESGO BIOMÉDICO</t>
  </si>
  <si>
    <t>FAMILIA CON ADULTO CON PROBLEMA RESPIRATORIO CRÓNICO O NO CONTROLADO</t>
  </si>
  <si>
    <t>FAMILIA CON ADOLESCENTE CON PROBLEMA RESPIRATORIO CRÓNICO O NO CONTROLADO</t>
  </si>
  <si>
    <t>FAMILIA CON GESTANTE ADOLESCENTE EN RIESGO PSICOSOCIAL 15 A 19 AÑOS</t>
  </si>
  <si>
    <t>FAMILIA CON GESTANTE ADOLESCENTE 10 A 14 AÑOS</t>
  </si>
  <si>
    <t>FAMILIA CON GESTANTE &gt;20 AÑOS EN RIESGO PSICOSOCIAL</t>
  </si>
  <si>
    <t>FAMILIA CON ADULTO MAYOR EN RIESGO PSICOSOCIAL</t>
  </si>
  <si>
    <t>FAMILIA CON ADULTO MAYOR DEPENDEDIENTE (EXCLUYE DEPENDIENTE SEVERO)</t>
  </si>
  <si>
    <t>FAMILIA CON INTEGRANTE CON PATOLOGÍA CRÓNICA DESCOMPENSADA</t>
  </si>
  <si>
    <t>FAMILIA CON ADOLESCENTE EN RIESGO O PROBLEMA PSICOSOCIAL</t>
  </si>
  <si>
    <t>FAMILIA CON NIÑO CON RIESGO PSICOSOCIAL (EXCLUYE VINCULAR AFECTIVO)</t>
  </si>
  <si>
    <t>FAMILIA CON NIÑO MALNUTRIDO</t>
  </si>
  <si>
    <t>FAMILIA CON NIÑO CON PROBLEMA RESPIRATORIO CRÓNICO O NO CONTROLADO</t>
  </si>
  <si>
    <t>FAMILIA CON NIÑO &lt; 7 MESES CON SCORE DE RIESGO GRAVE DE MORIR POR NEUMONÍA</t>
  </si>
  <si>
    <t>FAMILIA CON NIÑO &lt; 7 MESES CON SCORE DE RIESGO MODERADO DE MORIR POR NEUMONÍA</t>
  </si>
  <si>
    <t>FAMILIA CON NIÑO EN RIESGO VINCULAR AFECTIVO</t>
  </si>
  <si>
    <t>FAMILIA CON NIÑO CON DÉFICIT DEL DSM</t>
  </si>
  <si>
    <t>FAMILIA CON NIÑO RECIÉN NACIDO</t>
  </si>
  <si>
    <t>FAMILIA CON NIÑO PREMATURO</t>
  </si>
  <si>
    <t>PROGRAMA DE ACOMPAÑAMIENTO PSICOSOCIAL EN APS</t>
  </si>
  <si>
    <t>DOS O MÁS PROFESIONALES</t>
  </si>
  <si>
    <t>SECCIÓN A: VISITAS DOMICILIARIAS INTEGRALES A FAMILIAS (ESTABLECIMIENTOS APS)</t>
  </si>
  <si>
    <t>REM-26.  ACTIVIDADES EN DOMICILIO Y OTROS ESPACIOS</t>
  </si>
  <si>
    <t xml:space="preserve">TRATAMIENTO ANTICOAGULANTE ORAL </t>
  </si>
  <si>
    <t>Extrasistema</t>
  </si>
  <si>
    <t>Sistema</t>
  </si>
  <si>
    <t>Establecimiento de la Red</t>
  </si>
  <si>
    <t>Compra de Servicio</t>
  </si>
  <si>
    <t>Institucional</t>
  </si>
  <si>
    <t>ECOGRAFÍA GINECO-OBSTÉTRICA</t>
  </si>
  <si>
    <t>TROMBOLISIS INTRACORONARIA (IAM)</t>
  </si>
  <si>
    <t>TROMBOLISIS DE URGENCIA INFARTO CEREBRAL (ACV)</t>
  </si>
  <si>
    <t>ECOCARDIOGRAMA</t>
  </si>
  <si>
    <t>ESTABLECIMIENTOS DE NIVEL SECUNDARIO Y TERCIARIO</t>
  </si>
  <si>
    <t>TELEPROCEDIMIENTOS</t>
  </si>
  <si>
    <t>SECCIÓN E: TELEPROCEDIMIENTOS EN ATENCIÓN SECUNDARIA Y TERCIARIA</t>
  </si>
  <si>
    <t>N° DE MAMOGRAFÍAS</t>
  </si>
  <si>
    <t>N° DE INFORMES ECOGRAFÍAS ABDOMINAL</t>
  </si>
  <si>
    <t>N° DE INFORMES DE RESONANCIA MAGNÉTICA NUCLEAR</t>
  </si>
  <si>
    <t>N° DE INFORMES DE TOMOGRAFÍA AXIAL COMPUTARIZADA</t>
  </si>
  <si>
    <t>N° DE INFORMES RADIOGRAFÍAS DENTALES</t>
  </si>
  <si>
    <t>N° DE INFORMES RADIOGRAFÍAS SIMPLES</t>
  </si>
  <si>
    <t>N° DE INFORMES TEST DE ESFUERZO</t>
  </si>
  <si>
    <t>N° DE INFORMES HOLTER DE PRESIÓN ARTERIAL</t>
  </si>
  <si>
    <t>N° DE INFORMES ESPIROMETRÍAS</t>
  </si>
  <si>
    <t>N° DE INFORMES ELECTROENCEFALOGRAMA</t>
  </si>
  <si>
    <t>N° DE INFORMES ELECTROCARDIOGRAMA</t>
  </si>
  <si>
    <t>N° DE INFORMES ECOGRAFÍAS OBSTETRICA</t>
  </si>
  <si>
    <t>TOTAL EMISIONES DE INFORMES</t>
  </si>
  <si>
    <t>ESTABLECIMIENTOS DE NIVEL PRIMARIO DE SALUD</t>
  </si>
  <si>
    <t>SECCIÓN C : TELEINFORMES  EN ESTABLECIMIENTOS DE ATENCIÓN PRIMARIA, SECUNDARIA Y TERCIARIA</t>
  </si>
  <si>
    <t>QUEMADOS</t>
  </si>
  <si>
    <t>ACCIDENTE CEREBRO VASCULAR (ACV)</t>
  </si>
  <si>
    <t>CONSULTA URGENCIA OTROS</t>
  </si>
  <si>
    <t xml:space="preserve">Institucional </t>
  </si>
  <si>
    <t xml:space="preserve">ESPECIALIDADES  </t>
  </si>
  <si>
    <t>REM-30: ATENCIONES POR TELEMEDICINA EN LA RED ASISTENCIAL</t>
  </si>
  <si>
    <t xml:space="preserve">RESULTADOS DE LA REEVALUACIÓN POST EGRESO </t>
  </si>
  <si>
    <t>Con profilaxis Hepatitis B</t>
  </si>
  <si>
    <t>REM-A02.   EXAMEN DE MEDICINA PREVENTIVA EN MAYORES DE 15 AÑOS</t>
  </si>
  <si>
    <t>SECCIÓN A: EMP REALIZADO POR PROFESIONAL</t>
  </si>
  <si>
    <t xml:space="preserve">NUTRICIONISTA </t>
  </si>
  <si>
    <t>SECCIÓN B: EMP SEGÚN RESULTADO DEL ESTADO NUTRICIONAL</t>
  </si>
  <si>
    <t>SECCIÓN C: RESULTADOS DE EMP SEGÚN ESTADO DE SALUD</t>
  </si>
  <si>
    <t>ESTADO 
DE SALUD</t>
  </si>
  <si>
    <t>SECCIÓN D: RESULTADOS DE EMP SEGÚN ESTADO DE SALUD (EXÁMENES DE LABORATORIO)</t>
  </si>
  <si>
    <t>GLICEMIA ALTERADA (= &gt; a 100 mg/dl)</t>
  </si>
  <si>
    <t>COLESTEROL ELEVADO (= &gt; 200 mg/dl)</t>
  </si>
  <si>
    <t xml:space="preserve">REM-A11.  EXÁMENES DE PESQUISA DE ENFERMEDADES TRASMISIBLES </t>
  </si>
  <si>
    <t>SECCION A: EXÁMENES DE SÍFILIS</t>
  </si>
  <si>
    <t>GRUPO DE PESQUISA</t>
  </si>
  <si>
    <t>POR SEXO
(Procesados)</t>
  </si>
  <si>
    <t>Procesados</t>
  </si>
  <si>
    <t>Reactivos</t>
  </si>
  <si>
    <t>GESTANTES PRIMER TRIMESTRE EMBARAZO</t>
  </si>
  <si>
    <t>GESTANTES SEGUNDO TRIMESTRE EMBARAZO</t>
  </si>
  <si>
    <t>GESTANTES TERCER TRIMESTRE EMBARAZO</t>
  </si>
  <si>
    <t>GESTANTES TRIMESTRE EMBARAZO IGNORADO</t>
  </si>
  <si>
    <t>GESTANTES EN SEGUIMIENTO POR DIAGNÓSTICO SÍFILIS</t>
  </si>
  <si>
    <t>PAREJA DE GESTANTE CON SEROLOGÍA REACTIVA</t>
  </si>
  <si>
    <t>MUJERES QUE INGRESAN A MATERNIDAD POR PARTO</t>
  </si>
  <si>
    <t>MUJERES QUE INGRESAN POR ABORTO</t>
  </si>
  <si>
    <t>MUJERES EN CONTROL GINECOLÓGICO</t>
  </si>
  <si>
    <t>RECIÉN NACIDO Y LACTANTE PARA DETECCIÓN DE SÍFILIS CONGÉNITA</t>
  </si>
  <si>
    <t>PERSONAS EN CONTROL POR COMERCIO SEXUAL</t>
  </si>
  <si>
    <t>PERSONAS EN CONTROL FECUNDIDAD</t>
  </si>
  <si>
    <t>CONSULTANTES POR ITS</t>
  </si>
  <si>
    <t>DONANTES DE SANGRE</t>
  </si>
  <si>
    <t>DONANTES DE ÓRGANOS Y/O TEJIDOS</t>
  </si>
  <si>
    <t>PACIENTES EN DIÁLISIS</t>
  </si>
  <si>
    <t>VÍCTIMA DE VIOLENCIA SEXUAL</t>
  </si>
  <si>
    <t>SECCIÓN A.2: EXAMEN VDRL POR GRUPO DE USUARIOS (Uso exclusivo de establecimientos que Compran Servicio)</t>
  </si>
  <si>
    <t>SECCIÓN A.4: EXAMEN RPR POR GRUPO DE USUARIOS (Uso exclusivo de establecimientos que Compran Servicio)</t>
  </si>
  <si>
    <t xml:space="preserve">                   </t>
  </si>
  <si>
    <t>SECCIÓN A.6: EXAMEN MHA-TP POR GRUPO DE USUARIOS (Uso exclusivo de establecimientos que Compran Servicio)</t>
  </si>
  <si>
    <t>SECCIÓN B.1: EXÁMENES SEGÚN GRUPOS DE USUARIOS POR CONDICIÓN DE HEPATITIS B, HEPATITIS C, CHAGAS, HTLV 1 Y SIFILIS (Uso exclusivo de establecimientos con Laboratorio que procesan)</t>
  </si>
  <si>
    <t>GRUPO DE USUARIOS</t>
  </si>
  <si>
    <t>HEPATITIS  B</t>
  </si>
  <si>
    <t>HEPATITIS  C</t>
  </si>
  <si>
    <t>CHAGAS</t>
  </si>
  <si>
    <t>HTLV1</t>
  </si>
  <si>
    <t>Confirmados</t>
  </si>
  <si>
    <t>USUARIOS</t>
  </si>
  <si>
    <t>DONANTES</t>
  </si>
  <si>
    <t>ALTRUISTA NUEVO</t>
  </si>
  <si>
    <t>ALTRUISTA REPETIDO</t>
  </si>
  <si>
    <t>FAMILIAR O REPOSICIÓN</t>
  </si>
  <si>
    <t>SECCIÓN B.2: EXÁMENES SEGÚN GRUPOS DE USUARIOS POR CONDICIÓN DE HEPATITIS B, HEPATITIS C, CHAGAS, HTLV 1 Y SIFILIS (Uso exclusivo de establecimientos que Compran Servicio)</t>
  </si>
  <si>
    <t xml:space="preserve">DONANTES DE ÓRGANOS Y/O TEJIDOS </t>
  </si>
  <si>
    <t>SECCIÓN C.1: EXÁMENES  DE  VIH POR GRUPOS DE USUARIOS (Uso exclusivo de establecimientos con Laboratorio que procesan)</t>
  </si>
  <si>
    <t>Pueblos originarios</t>
  </si>
  <si>
    <t>Menor de 12 meses</t>
  </si>
  <si>
    <t>3 a 4 años</t>
  </si>
  <si>
    <t xml:space="preserve"> 65 y más años</t>
  </si>
  <si>
    <t>Confirmados positivos por ISP</t>
  </si>
  <si>
    <t>GESTANTES PRIMER EXAMEN</t>
  </si>
  <si>
    <t>GESTANTES SEGUNDO EXAMEN</t>
  </si>
  <si>
    <t>MUJER EN TRABAJO DE PRE PARTO O PARTO</t>
  </si>
  <si>
    <t>POR CONSULTA ITS</t>
  </si>
  <si>
    <t>PERSONAS EN CONTROL DE REGULACIÓN FECUNDIDAD, GINECOLOGICO, CLIMATERIO</t>
  </si>
  <si>
    <t>PERSONAS EN CONTROL DE SALUD SEGÚN CICLO VITAL</t>
  </si>
  <si>
    <t>PERSONA EN CONTROL POR TBC</t>
  </si>
  <si>
    <t>PAREJA SERODISCORDANTE</t>
  </si>
  <si>
    <t>PAREJA DE GESTANTE VIH POSITIVO</t>
  </si>
  <si>
    <t>PERSONAL DE SALUD EXPUESTO A ACCIDENTE CORTOPUNZANTE</t>
  </si>
  <si>
    <t>PACIENTES FUENTE DE ACCIDENTE CORTOPUNZANTE</t>
  </si>
  <si>
    <t>PERSONA EN CONTROL POR HEPATITIS B</t>
  </si>
  <si>
    <t>PERSONA EN CONTROL POR HEPATITIS C</t>
  </si>
  <si>
    <t>CONSULTANTES POR MORBILIDAD</t>
  </si>
  <si>
    <t>POR CONSULTA ESPONTÁNEA</t>
  </si>
  <si>
    <t>SECCIÓN C.2: EXÁMENES  DE  VIH POR GRUPOS DE USUARIOS (Uso exclusivo de establecimientos que Compran Servicio)</t>
  </si>
  <si>
    <t>COMERCIO SEXUAL</t>
  </si>
  <si>
    <t>PERSONAS VIH (+)</t>
  </si>
  <si>
    <t>CONSULTANTE ITS AMBULATORIO (nivel1º y 2º)</t>
  </si>
  <si>
    <t>CONSULTANTE ITS HOSPITALARIO (nivel 3º y urgencia)</t>
  </si>
  <si>
    <t>VICTIMA DE VIOLENCIA SEXUAL</t>
  </si>
  <si>
    <t>GRUPOS DE USUARIOS POR INSTANCIA</t>
  </si>
  <si>
    <t>65 y Mas años</t>
  </si>
  <si>
    <t>INTERIOR ESTABLECIMIENTO SALUD (INTRAMURO)</t>
  </si>
  <si>
    <t>EXTERIOR ESTABLECIMIENTO DE SALUD (EXTRAMURO)</t>
  </si>
  <si>
    <t>CENTROS PENITENCIARIOS</t>
  </si>
  <si>
    <t>CENTROS SENAME</t>
  </si>
  <si>
    <t>CENTROS EDUCACIONALES</t>
  </si>
  <si>
    <t xml:space="preserve">OTROS </t>
  </si>
  <si>
    <t>REM-19b.   ACTIVIDADES DE PARTICIPACIÓN SOCIAL</t>
  </si>
  <si>
    <t>SECCIÓN A: ATENCIÓN OFICINAS DE INFORMACIONES (SISTEMA INTEGRAL DE ATENCIÓN A USUARIOS)</t>
  </si>
  <si>
    <t>TIPO DE ATENCION</t>
  </si>
  <si>
    <t>Nº DE ATENCIONES EN EL MES</t>
  </si>
  <si>
    <t>RESPUESTAS DEL MES DENTRO DE PLAZOS LEGALES ( 15 DIAS HÁBILES)</t>
  </si>
  <si>
    <t>RECLAMOS RESPONDIDOS FUERA DE PLAZOS LEGALES</t>
  </si>
  <si>
    <t>RECLAMOS PENDIENTES</t>
  </si>
  <si>
    <t>Reclamos generados en el mes</t>
  </si>
  <si>
    <t>Reclamos generados en el mes anterior</t>
  </si>
  <si>
    <t>Respuestas pendientes dentro del plazo legal</t>
  </si>
  <si>
    <t>Respuestas pendientes fuera del plazo legal</t>
  </si>
  <si>
    <t xml:space="preserve">TOTAL DE RECLAMOS </t>
  </si>
  <si>
    <t>TRATO</t>
  </si>
  <si>
    <t>COMPETENCIA TÉCNICA</t>
  </si>
  <si>
    <t>TIEMPO DE ESPERA (EN SALA DE ESPERA)</t>
  </si>
  <si>
    <t>TIEMPO DE ESPERA, POR CONSULTA ESPECIALIDAD (POR LISTA DE ESPERA)</t>
  </si>
  <si>
    <t>TIEMPO DE ESPERA, POR PROCEDIMIENTO (LISTA DE ESPERA)</t>
  </si>
  <si>
    <t>TIEMPO DE ESPERA , POR CIRUGÍA (LISTA DE ESPERA)</t>
  </si>
  <si>
    <t>INFORMACIÓN</t>
  </si>
  <si>
    <t>PROCEDIMIENTOS ADMINISTRATIVOS</t>
  </si>
  <si>
    <t>PROBIDAD ADMINISTRATIVA</t>
  </si>
  <si>
    <t>INCUMPLIMIENTO GARANTÍAS EXPLÍCITAS EN SALUD (GES)</t>
  </si>
  <si>
    <t>INCUMPLIMIENTO DE GARANTÍAS LEY RICARTE SOTO</t>
  </si>
  <si>
    <t>INCUMPLIMIENTO DE GARANTÍAS FOFAR</t>
  </si>
  <si>
    <t>SUGERENCIAS</t>
  </si>
  <si>
    <t>FELICITACIONES</t>
  </si>
  <si>
    <t>SOLICITUDES</t>
  </si>
  <si>
    <t>SOLICITUDES LEY 20.285 (Ley de Transparencia)</t>
  </si>
  <si>
    <t>SECCIÓN B: ACTIVIDADES POR ESTRATEGIA/LÍNEA DE ACCIÓN O ESPACIO / INSTANCIA DE PARTICIPACIÓN SOCIAL</t>
  </si>
  <si>
    <t>TIPO DE ACTIVIDADES</t>
  </si>
  <si>
    <t xml:space="preserve">ESPACIOS/INSTANCIAS </t>
  </si>
  <si>
    <t>ESTRATEGIAS/LÍNEAS DE ACCIÓN</t>
  </si>
  <si>
    <t>Consultas Ciudadanas</t>
  </si>
  <si>
    <t>Consejo de la Sociedad Civil, Consejos consultivos, de desarrollo y comités locales</t>
  </si>
  <si>
    <t xml:space="preserve"> Consejos consultivos de Adolescentes y Jóvenes</t>
  </si>
  <si>
    <t>Mesas: Territoriales, diálogos ciudadanos, mesa salud intercultural</t>
  </si>
  <si>
    <t>Cuentas públicas participativas</t>
  </si>
  <si>
    <t>Presupuestos participativos</t>
  </si>
  <si>
    <t>Estrategias de satisfacción usuaria</t>
  </si>
  <si>
    <t>Planificación local participativa (Diagnósticos, programación y evaluación)</t>
  </si>
  <si>
    <t>Total participantes</t>
  </si>
  <si>
    <t>Total hombres</t>
  </si>
  <si>
    <t>Total mujeres</t>
  </si>
  <si>
    <t>ADMINISTRACIÓN Y GESTIÓN</t>
  </si>
  <si>
    <t>REUNIONES INTRASECTOR</t>
  </si>
  <si>
    <t>REUNIONES INTERSECTOR</t>
  </si>
  <si>
    <t>ACTIVIDADES DE MONITOREO</t>
  </si>
  <si>
    <t>ASESORÍA TÉCNICA</t>
  </si>
  <si>
    <t>JORNADAS DE INTERCAMBIO DE EXPERIENCIAS</t>
  </si>
  <si>
    <t>ACTIVIDADES DE DIFUSIÓN Y COMUNICACIÓN</t>
  </si>
  <si>
    <t>EDUCACIÓN Y CAPACITACIÓN COMUNITARIA</t>
  </si>
  <si>
    <t>EVENTOS MASIVOS (ASAMBLEAS, CABILDOS, OTROS)</t>
  </si>
  <si>
    <t>ACTIVIDADES A PUEBLOS INDÍGENAS</t>
  </si>
  <si>
    <t>TOTAL DE ACTIVIDADES</t>
  </si>
  <si>
    <t>ACTIVIDADES DE PARTICIPACIÓN SOCIAL POR TEC. PARAMÉDICO</t>
  </si>
  <si>
    <t>REM-23.   SALAS: IRA, ERA Y MIXTAS EN APS</t>
  </si>
  <si>
    <t>DIAGNÓSTICOS</t>
  </si>
  <si>
    <t>Menos 
1 año</t>
  </si>
  <si>
    <t>1 - 4 
años</t>
  </si>
  <si>
    <t>5 - 9 
años</t>
  </si>
  <si>
    <t>10 - 14
años</t>
  </si>
  <si>
    <t>15 - 19
años</t>
  </si>
  <si>
    <t xml:space="preserve">20 a 24 años
</t>
  </si>
  <si>
    <t>25 a 39 años</t>
  </si>
  <si>
    <t>80 y mas años</t>
  </si>
  <si>
    <t>I.R.A. ALTA</t>
  </si>
  <si>
    <t>INFLUENZA</t>
  </si>
  <si>
    <t xml:space="preserve">NEUMONÍA </t>
  </si>
  <si>
    <t>COQUELUCHE</t>
  </si>
  <si>
    <t>BRONQUITIS OBSTRUCTIVA AGUDA</t>
  </si>
  <si>
    <t>OTRAS IRAS  BAJAS</t>
  </si>
  <si>
    <t>EXACERBACIÓN SÍNDROME BRONQUIAL OBSTRUCTIVO RECURRENTE (SBOR)</t>
  </si>
  <si>
    <t>EXACERBACIÓN ASMA</t>
  </si>
  <si>
    <t>EXACERBACIÓN DE ENFERMEDAD PULMONAR OBSTRUCTIVA CRÓNICA (EPOC)</t>
  </si>
  <si>
    <t>EXACERBACIÓN FIBROSIS QUÍSTICA</t>
  </si>
  <si>
    <t>EXACERBACIÓN OTRAS RESPIRATORIAS CRÓNICAS</t>
  </si>
  <si>
    <t>SECCIÓN B: INGRESO CRÓNICO SEGÚN DIAGNÓSTICO (SOLO MÉDICO)</t>
  </si>
  <si>
    <t>SÍNDROME BRONQUIAL OBSTRUCTIVO RECURRENTE (SBOR)</t>
  </si>
  <si>
    <t>Leve</t>
  </si>
  <si>
    <t>Moderado</t>
  </si>
  <si>
    <t>Severo</t>
  </si>
  <si>
    <t>ASMA BRONQUIAL</t>
  </si>
  <si>
    <t>ENFERMEDAD PULMONAR OBSTRUCTIVA CRÓNICA (EPOC)</t>
  </si>
  <si>
    <t>Tipo A</t>
  </si>
  <si>
    <t>Tipo B</t>
  </si>
  <si>
    <t>DISPLASIA BRONCOPULMONAR</t>
  </si>
  <si>
    <t>FIBROSIS QUÍSTICA</t>
  </si>
  <si>
    <t>OXIGENO DEPENDIENTE</t>
  </si>
  <si>
    <t xml:space="preserve">ASISTENCIA VENTILATORIA NO INVASIVA O INVASIVA </t>
  </si>
  <si>
    <t>OTRAS RESPIRATORIAS CRÓNICAS</t>
  </si>
  <si>
    <t>PROGRAMAS</t>
  </si>
  <si>
    <t>SÍNDROME BRONQUIAL OBSTRUCTIVA RECURRENTE (SBOR)</t>
  </si>
  <si>
    <t>OXÍGENO DEPENDIENTE</t>
  </si>
  <si>
    <t>SECCIÓN G: INASISTENTES A CONTROL DE CRÓNICOS</t>
  </si>
  <si>
    <t>S.B.O. RECURRENTE</t>
  </si>
  <si>
    <t>PROCEDIMIENTO</t>
  </si>
  <si>
    <t xml:space="preserve">ESPIROMETRÍA BASAL </t>
  </si>
  <si>
    <t>ESPIROMETRÍA POST BD</t>
  </si>
  <si>
    <t xml:space="preserve">FLUJOMETRÍA BASAL </t>
  </si>
  <si>
    <t>FLUJOMETRÍA POST BD</t>
  </si>
  <si>
    <t>PIMOMETRÍA</t>
  </si>
  <si>
    <t>TEST DE PROVOCACIÓN CON EJERCICIO</t>
  </si>
  <si>
    <t>TEST DE MARCHA 6 MINUTOS</t>
  </si>
  <si>
    <t>SESIONES DE KINESIOTERAPIA RESPIRATORIA</t>
  </si>
  <si>
    <t>DESTINO</t>
  </si>
  <si>
    <t>UNIDAD EMERGENCIA HOSPITALARIA</t>
  </si>
  <si>
    <t>SAPU, SUR O SAR</t>
  </si>
  <si>
    <t>CAE / CDT / CRS</t>
  </si>
  <si>
    <t>SAPU , SUR O SAR</t>
  </si>
  <si>
    <t>EXTRASISTEMA</t>
  </si>
  <si>
    <t>BRONQUITIS OBSTRUCTIVA</t>
  </si>
  <si>
    <t>REAGUDIZACIÓN DE SBOR</t>
  </si>
  <si>
    <t>REAGUDIZACIÓN DE ASMA</t>
  </si>
  <si>
    <t>REAGUDIZACIÓN DE EPOC</t>
  </si>
  <si>
    <t>ANTITABACO</t>
  </si>
  <si>
    <t>USO DE TERAPIA INHALATORIA</t>
  </si>
  <si>
    <t xml:space="preserve">EDUCACION INTEGRAL EN SALUD RESPIRATORIA </t>
  </si>
  <si>
    <t>ESTILO DE VIDA SALUDABLES</t>
  </si>
  <si>
    <t>PACIENTES, PADRES O CUIDADORES</t>
  </si>
  <si>
    <t>SALAS CUNAS Y JARDINES INFANTILES</t>
  </si>
  <si>
    <t>INTERSECTOR</t>
  </si>
  <si>
    <t>REHABILITACION PULMONAR</t>
  </si>
  <si>
    <t>HOGAR LIBRE DEL HUMO DEL TABACO</t>
  </si>
  <si>
    <t>POR MUERTE DE NEUMONÍA EN DOMICILIO</t>
  </si>
  <si>
    <t>PROGRAMA OXIGENOTERAPIA AMBULATORIA, AVNI, AVI, AVNIA, AVIA</t>
  </si>
  <si>
    <t>OTRAS VISITAS</t>
  </si>
  <si>
    <t>CG5:CN157</t>
  </si>
  <si>
    <t>REM-25.  SERVICIOS DE SANGRE</t>
  </si>
  <si>
    <t>SECCIÓN A.1: POBLACIÓN DONANTE (CS-UMT-BS)</t>
  </si>
  <si>
    <t>DESCRIPCIÓN</t>
  </si>
  <si>
    <t>60-64</t>
  </si>
  <si>
    <t>ALTRUISTAS</t>
  </si>
  <si>
    <t>NUEVOS</t>
  </si>
  <si>
    <t>Aceptados</t>
  </si>
  <si>
    <t>REPETIDOS</t>
  </si>
  <si>
    <t>FAMILIARES O REPOSICIÓN</t>
  </si>
  <si>
    <t>TOTAL DÍAS ATENCIÓN OTORGADOS</t>
  </si>
  <si>
    <t>TOTAL COLECTAS MÓVILES REALIZADAS</t>
  </si>
  <si>
    <t>SECCIÓN A.3: REACCIONES ADVERSAS A LA DONACIÓN (CS - UMT - BS)</t>
  </si>
  <si>
    <t>UNIDADES DE SANGRE</t>
  </si>
  <si>
    <t>APTAS</t>
  </si>
  <si>
    <t>NO APTAS</t>
  </si>
  <si>
    <t>SECCIÓN C: PRODUCCIÓN DE COMPONENTES SANGUÍNEOS (CS-BS)</t>
  </si>
  <si>
    <t>PRODUCCIÓN</t>
  </si>
  <si>
    <t>GLÓBULOS ROJOS</t>
  </si>
  <si>
    <t>DESPLAMATIZADOS</t>
  </si>
  <si>
    <t>LEUCOREDUCIDOS</t>
  </si>
  <si>
    <t>PLAQUETAS</t>
  </si>
  <si>
    <t>ESTÁNDAR</t>
  </si>
  <si>
    <t>LEUCORREDUCIDA POOL</t>
  </si>
  <si>
    <t>LEUCODEPLETADA POOL</t>
  </si>
  <si>
    <t>AFÉRESIS</t>
  </si>
  <si>
    <t>PLASMAS</t>
  </si>
  <si>
    <t>PLASMA FRESCO CONGELADO TERAPÉUTICO</t>
  </si>
  <si>
    <t>PLASMA USO NO TERAPÉUTICO</t>
  </si>
  <si>
    <t>CRIOPRECIPITADOS</t>
  </si>
  <si>
    <t>SECCIÓN C.1: COMPONENTES SANGUÍNEOS ELIMINADOS (CS-BS )</t>
  </si>
  <si>
    <t>CAUSA</t>
  </si>
  <si>
    <t>GLOBULOS ROJOS*</t>
  </si>
  <si>
    <t>PLASMAS*</t>
  </si>
  <si>
    <t>CRIOPRECIPI-TADOS</t>
  </si>
  <si>
    <t>Estándar</t>
  </si>
  <si>
    <t>Pool*</t>
  </si>
  <si>
    <t>Aféresis</t>
  </si>
  <si>
    <t>CALIFICACIÓN MICROBIOLÓGICA REACTIVA</t>
  </si>
  <si>
    <t>OBSOLESCENCIA</t>
  </si>
  <si>
    <t>* Cualquier tipo</t>
  </si>
  <si>
    <t>FALLA POR CADENA DE FRÍO</t>
  </si>
  <si>
    <t>DEVOLUCIONES POR PRODUCTO POR NO CUMPLIR ESTÁNDAR</t>
  </si>
  <si>
    <t>DESCONGELAMIENTO SIN USO</t>
  </si>
  <si>
    <t>SECCIÓN C.3 : COMPONENTES SANGUÍNEOS TRANSFORMACIONES (CS-BS-UMT)</t>
  </si>
  <si>
    <t>POOL*</t>
  </si>
  <si>
    <t>SECCIÓN C.4: COMPONENTES SANGUÍNEOS DISTRIBUÍBLES (CS)</t>
  </si>
  <si>
    <t>GR</t>
  </si>
  <si>
    <t>NÚMERO DÍAS BAJO STOCK ÓPTIMO</t>
  </si>
  <si>
    <t>O +</t>
  </si>
  <si>
    <t>A +</t>
  </si>
  <si>
    <t>B +</t>
  </si>
  <si>
    <t>O ( - )</t>
  </si>
  <si>
    <t>A ( - )</t>
  </si>
  <si>
    <t>SECCIÓN D: COMPONENTES SANGUINEOS DISTRIBUIDOS (CS) O TRANSFERIDOS (BS Y UMT)</t>
  </si>
  <si>
    <t>PÚBLICO</t>
  </si>
  <si>
    <t>PRIVADO**</t>
  </si>
  <si>
    <t>F.F.A.A.</t>
  </si>
  <si>
    <t>ESTANDAR</t>
  </si>
  <si>
    <t>AFERESIS</t>
  </si>
  <si>
    <t>**Universitarios, Clínicas Privadas, Otros</t>
  </si>
  <si>
    <t>SECCIÓN D.1: TRANSFUSIONES (UMT - BS )</t>
  </si>
  <si>
    <t>TRANSFUSIONES                                                   (Nº DE UNIDADES)</t>
  </si>
  <si>
    <t>MENORES DE 15 AÑOS</t>
  </si>
  <si>
    <t>DE 15 Y MAS AÑOS</t>
  </si>
  <si>
    <t>Irradiados</t>
  </si>
  <si>
    <t>SECCIÓN E: DEMANDA GLÓBULOS ROJOS PARA TRANSFUSIÓN (UMT-BS)</t>
  </si>
  <si>
    <t>UNIDADES</t>
  </si>
  <si>
    <t>DESPACHADAS</t>
  </si>
  <si>
    <t xml:space="preserve"> REM-A9. ATENCIÓN DE SALUD BUCAL EN LA RED ASISTENCIAL </t>
  </si>
  <si>
    <t xml:space="preserve">SECCIÓN F:  ACTIVIDADES DE ATENCIÓN EN ESPECIALIDADES ODONTOLÓGICAS. </t>
  </si>
  <si>
    <t xml:space="preserve">Total </t>
  </si>
  <si>
    <t xml:space="preserve">SECCIÓN I:  CONSULTAS, INGRESOS Y EGRESOS EN ESPECIALIDADES ODONTOLÓGICAS REALIZADOS EN NIVEL PRIMARIO Y SECUNDARIO DE SALUD. </t>
  </si>
  <si>
    <t xml:space="preserve">SECCIÓN J: ACTIVIDADES EFECTUADAS POR TÉCNICO PARAMÉDICO DENTAL Y/O HIGIENISTAS DENTALES  </t>
  </si>
  <si>
    <t xml:space="preserve">PACIENTES QUE RECHAZAN HOSPITALIZACIÓN </t>
  </si>
  <si>
    <t>TERCERA O MÁS VISITAS DE SEGUIMIENTO</t>
  </si>
  <si>
    <t>TIPO DE  MEDICINA COMPLEMENTARIA O PRÁCTICA DE BIENESTAR DE LA SALUD</t>
  </si>
  <si>
    <t>Intervención Psicosocial</t>
  </si>
  <si>
    <t>Estimulación del Desarrollo</t>
  </si>
  <si>
    <t>SECCIÓN E: CONSULTAS ODONTOLÓGICAS  EN HORARIO CONTINUADO (incluidas en  Secciones A y B. Excluye extensiones horarias de Sección G )</t>
  </si>
  <si>
    <t>EMITIDAS</t>
  </si>
  <si>
    <t>CONTROL INTEGRAL CON RIESGO LEVE (G1)</t>
  </si>
  <si>
    <t>CONTROL INTEGRAL CON RIESGO MODERADO (G2)</t>
  </si>
  <si>
    <t>CONTROL INTEGRAL CON RIESGO ALTO (G3)</t>
  </si>
  <si>
    <t>SEGUIMIENTO A DISTANCIA CON RIESGO ALTO (G3)</t>
  </si>
  <si>
    <t>Ingresos a Medicina Complementaria</t>
  </si>
  <si>
    <t>Cìrculos de Escucha</t>
  </si>
  <si>
    <t>SECCIÓN F: CONTROLES INTEGRALES DE PERSONAS CON CONDICIONES CRÓNICAS (incluidos en Secciones B y C)</t>
  </si>
  <si>
    <t>REM-31.  MEDICINA COMPLEMENTARIA Y PRÁCTICAS DE BIENESTAR DE LA SALUD</t>
  </si>
  <si>
    <t>SECCIÓN A: TIPOS DE MEDICINA COMPLEMENTARIA Y PRÁCTICAS DE BIENESTAR DE LA SALUD ENTREGADAS EN ATENCIÓN INDIVIDUAL</t>
  </si>
  <si>
    <t xml:space="preserve">SECCIÓN B: MEDICINA COMPLEMENTARIA Y PRÁCTICAS DE BIENESTAR DE LA SALUD EN ATENCIONES INDIVIDUALES O GRUPALES, SEGÚN PROFESIONAL </t>
  </si>
  <si>
    <r>
      <t>Farmac</t>
    </r>
    <r>
      <rPr>
        <b/>
        <sz val="8"/>
        <rFont val="Verdana"/>
        <family val="2"/>
      </rPr>
      <t>é</t>
    </r>
    <r>
      <rPr>
        <sz val="8"/>
        <rFont val="Verdana"/>
        <family val="2"/>
      </rPr>
      <t>utico</t>
    </r>
  </si>
  <si>
    <t>SECCIÓN C: ORIGEN DE LA ATENCIÓN CON MEDICINA COMPLEMENTARIA Y PRÁCTICAS DE BIENESTAR DE LA SALUD</t>
  </si>
  <si>
    <t>Programa Crónicos Cardiovascular</t>
  </si>
  <si>
    <t xml:space="preserve">Programa de Salud sexual y reproductiva </t>
  </si>
  <si>
    <t>Programa de Cáncer (QT/RT)</t>
  </si>
  <si>
    <t>Programa de Dependencia  severa</t>
  </si>
  <si>
    <t>Programa de Hospitalización Domiciliaria</t>
  </si>
  <si>
    <t>Programa de Rehabilitación física</t>
  </si>
  <si>
    <t>Otros programas</t>
  </si>
  <si>
    <t>SECCIÓN D: TIPOS DE MEDICINA COMPLEMENTARIA Y PRÁCTICAS DE BIENESTAR DE LA SALUD ENTREGADAS EN ATENCION GRUPAL Y COMUNITARIA</t>
  </si>
  <si>
    <t xml:space="preserve">TECNÓLOGO MÉDICO (OFTALMOLOGÍA) OTRAS CONSULTAS </t>
  </si>
  <si>
    <t>TOTAL INTERCONSULTAS GENERADAS EN APS PARA RESOLUCIÓN POR ESPECIALIDAD OFTALMOLOGÍA (UAPO Y CANASTA INTEGRAL)</t>
  </si>
  <si>
    <t>TOTAL INTERCONSULTAS GENERADAS EN APS PARA RESOLUCIÓN POR ESPECIALIDAD OTORRINOLARINGOLOGÍA (UAPORRINO Y CANASTA INTEGRAL)</t>
  </si>
  <si>
    <t>OFTALMOLOGÍA /UAPO</t>
  </si>
  <si>
    <r>
      <t xml:space="preserve">HORAS MENSUALES </t>
    </r>
    <r>
      <rPr>
        <b/>
        <sz val="8"/>
        <rFont val="Verdana"/>
        <family val="2"/>
      </rPr>
      <t>OCUPADAS</t>
    </r>
    <r>
      <rPr>
        <sz val="8"/>
        <rFont val="Verdana"/>
        <family val="2"/>
      </rPr>
      <t xml:space="preserve"> DE QUIRÓFANOS EN TRABAJO HORARIO HÁBIL</t>
    </r>
  </si>
  <si>
    <r>
      <t xml:space="preserve">HORAS MENSUALES </t>
    </r>
    <r>
      <rPr>
        <b/>
        <sz val="8"/>
        <rFont val="Verdana"/>
        <family val="2"/>
      </rPr>
      <t>OCUPADAS</t>
    </r>
    <r>
      <rPr>
        <sz val="8"/>
        <rFont val="Verdana"/>
        <family val="2"/>
      </rPr>
      <t xml:space="preserve"> DE QUIRÓFANOS EN TRABAJO HORARIO INHÁBIL DE LUNES A VIERNES</t>
    </r>
  </si>
  <si>
    <r>
      <t xml:space="preserve">HORAS MENSUALES </t>
    </r>
    <r>
      <rPr>
        <b/>
        <sz val="8"/>
        <rFont val="Verdana"/>
        <family val="2"/>
      </rPr>
      <t>OCUPADAS</t>
    </r>
    <r>
      <rPr>
        <sz val="8"/>
        <rFont val="Verdana"/>
        <family val="2"/>
      </rPr>
      <t xml:space="preserve"> DE QUIRÓFANOS EN TRABAJO HORARIO SÁBADO, DOMINGO Y FESTIVO</t>
    </r>
  </si>
  <si>
    <t>INSTALACIÓN APARATO REMOVIBLE ORTODÓNCICO</t>
  </si>
  <si>
    <t>INSTALACIÓN APARATO FIJO ORTODÓNCICO</t>
  </si>
  <si>
    <t>INSTALACIÓN APARATO DE CONTENCIÓN ORTODÓNCICO</t>
  </si>
  <si>
    <t xml:space="preserve">DESTARTRAJE SUBGINGIVAL O PULIDO RADICULAR </t>
  </si>
  <si>
    <t>REHABILITACIÓN MEDIANTE PRÓTESIS REMOVIBLE ACRÍLICA PARCIAL O TOTAL</t>
  </si>
  <si>
    <t>REHABILITACIÓN MEDIANTE PRÓTESIS REMOVIBLE METÁLICA PARCIAL</t>
  </si>
  <si>
    <t>REHABILITACIÓN MEDIANTE PRÓTESIS FIJA UNITARIA O PLURAL</t>
  </si>
  <si>
    <t>TERAPIA FÍSICA EN TRASTORNOS TEMPOROMANDIBULARES (TTM) Y DOLOR OROFACIAL (DOF)</t>
  </si>
  <si>
    <t>INSTALACIÓN DE DISPOSITIVO ORTOPÉDICO</t>
  </si>
  <si>
    <t>TELERRADIOGRAFÍA (POR PLACA)</t>
  </si>
  <si>
    <t>TOMOGRAFÍA COMPUTACIONAL MAXILO FACIAL CONE BEAM (POR ADQUISICIÓN)</t>
  </si>
  <si>
    <t>SIALOGRAFÍAS (POR PROCEDIMIENTO)</t>
  </si>
  <si>
    <t>ORTODONCIA Y ORTOPEDIA DENTO MAXILOFACIAL: APARATOLOGÍA FIJA</t>
  </si>
  <si>
    <t>NORMAL CON REZAGO (desde normal con rezago)</t>
  </si>
  <si>
    <t>RIESGO (desde riesgo)</t>
  </si>
  <si>
    <t>RETRASO (desde retraso)</t>
  </si>
  <si>
    <r>
      <t xml:space="preserve">HORAS MENSUALES </t>
    </r>
    <r>
      <rPr>
        <b/>
        <sz val="8"/>
        <rFont val="Verdana"/>
        <family val="2"/>
      </rPr>
      <t>PROGRAMADAS</t>
    </r>
    <r>
      <rPr>
        <sz val="8"/>
        <rFont val="Verdana"/>
        <family val="2"/>
      </rPr>
      <t xml:space="preserve"> DE TABLA QUIRÚRGICA DE QUIRÓFANOS EN TRABAJO, HORARIO HABIL</t>
    </r>
  </si>
  <si>
    <r>
      <t xml:space="preserve">TOTAL HORAS MENSUALES </t>
    </r>
    <r>
      <rPr>
        <b/>
        <sz val="8"/>
        <rFont val="Verdana"/>
        <family val="2"/>
      </rPr>
      <t>OCUPADAS</t>
    </r>
    <r>
      <rPr>
        <sz val="8"/>
        <rFont val="Verdana"/>
        <family val="2"/>
      </rPr>
      <t xml:space="preserve"> DE QUIRÓFANOS EN TRABAJO, HORARIO HABIL</t>
    </r>
  </si>
  <si>
    <t>SEGUIMIENTO A DISTANCIA CON RIESGO MODEADO (G2)</t>
  </si>
  <si>
    <t>SEGUIMIENTO A DISTANCIA CON RIESGO LEVE (G1)</t>
  </si>
  <si>
    <t>CANASTA INTEGRAL OFTALMOLOGICA</t>
  </si>
  <si>
    <t>TIPOS DE CONSULTA</t>
  </si>
  <si>
    <t>Químico Farmacéutico</t>
  </si>
  <si>
    <t>HIPOTIROIDISMO</t>
  </si>
  <si>
    <t>DIABETES GESTACIONAL</t>
  </si>
  <si>
    <t>HIPERTENSIÓN CRONICA</t>
  </si>
  <si>
    <t xml:space="preserve">* El número de profesionales NO DEBE ser mayor al N de sesiones. </t>
  </si>
  <si>
    <t>N° DIENTES TRATADOS POR  ENDODONCISTA</t>
  </si>
  <si>
    <t>N° DIENTES TRATADOS POR ODONTOLOGO GRAL</t>
  </si>
  <si>
    <t>N° DE SEXTANTES POR PERIODONCISTA</t>
  </si>
  <si>
    <t>N° PRÓTESIS REALIZADAS POR REHABILITADORES ORALES</t>
  </si>
  <si>
    <t>N° PRÓTESIS REALIZADAS POR ODONTOLOGO GRAL</t>
  </si>
  <si>
    <t>N° DE ESTABLECIMIENTOS DE EDUCACIÓN CON PROGRAMA IMPLEMENTADO</t>
  </si>
  <si>
    <t xml:space="preserve"> N° de dientes (total de dientes en boca. En dentición mixta se suman los dientes primarios y permanentes)</t>
  </si>
  <si>
    <t>1 a 9</t>
  </si>
  <si>
    <t>10 a 19</t>
  </si>
  <si>
    <t>20 a 27</t>
  </si>
  <si>
    <t>28 y más</t>
  </si>
  <si>
    <t>8 años</t>
  </si>
  <si>
    <t>9 años</t>
  </si>
  <si>
    <t>75 y más años</t>
  </si>
  <si>
    <t>60-64 años</t>
  </si>
  <si>
    <t>65-74 años</t>
  </si>
  <si>
    <t>SECCIÓN B: ACTIVIDADES DE ODONTOLOGÍA GENERAL  REALIZADOS EN NIVEL PRIMARIO Y SECUNDARIO DE SALUD.</t>
  </si>
  <si>
    <t>SECCIÓN F.1:  ACTIVIDADES DE IMAGENOLOGÍA ORAL Y MAXILOFACIAL.</t>
  </si>
  <si>
    <t>DESTARTRAJE SUPRAGINGIVAL Y PULIDO CORONARIO</t>
  </si>
  <si>
    <t>ACCESO CAVITARIO</t>
  </si>
  <si>
    <t>TRATAMIENTO RESTAURADOR ATRAUMÁTICO (ART)</t>
  </si>
  <si>
    <t>RADIOGRAFÍA INTRAORAL MEDIANTE TÉCNICAS RETROALVEOLARES (POR PLACA)</t>
  </si>
  <si>
    <t>CONTROL DE ESPECIALIDAD POST ALTA</t>
  </si>
  <si>
    <t>RESPUESTA A INTERCONSULTA PERSONAS HOSPITALIZADOS</t>
  </si>
  <si>
    <t>RETRATAMIENTO DE ENDODONCIA</t>
  </si>
  <si>
    <t>PROCEDIMIENTO PULPAR (ODONTOPEDIATRÍA)</t>
  </si>
  <si>
    <t>REHABILITACIÓN MEDIANTE PRÓTESIS FIJA IMPLANTOASISTIDA</t>
  </si>
  <si>
    <t>REHABILITACIÓN MEDIANTE PRÓTESIS MUCO-  IMPLANTOASISTIDA</t>
  </si>
  <si>
    <t>TERAPIA FARMACOLÓGICA DE LESIONES DEL TERRITORIO ORAL Y MAXILOFACIAL</t>
  </si>
  <si>
    <t>TERAPIA NO FARMACOLÓGICA DE LESIONES DEL TERRITORIO ORAL Y MAXILOFACIAL</t>
  </si>
  <si>
    <t>ESTUDIO CLÍNICO LESIONES DEL TERRITORIO ORAL MAXILOFACIAL</t>
  </si>
  <si>
    <t>REHABILITACIÓN DE PRÓTESIS MAXILOFACIAL</t>
  </si>
  <si>
    <t>CANASTA INTEGRAL DE OTORRINOLARINGOLÓGICA</t>
  </si>
  <si>
    <t>NÚMERO DE ACCIONES POR RANGOS DE EDAD</t>
  </si>
  <si>
    <t>EN DOMICILIO</t>
  </si>
  <si>
    <t>EN CENTRO DE SALUD</t>
  </si>
  <si>
    <t>SEGUIMIENTO TELEFONICO</t>
  </si>
  <si>
    <t>EVALUACIÓN AL TERCER TRIMESTRE</t>
  </si>
  <si>
    <t>AUTISMO</t>
  </si>
  <si>
    <t>ASPERGER</t>
  </si>
  <si>
    <t>SÍNDROME DE RETT</t>
  </si>
  <si>
    <t>TRASTORNO DESINTEGRATIVO DE LA INFANCIA</t>
  </si>
  <si>
    <t>TRASTONO GENERALIZADO DEL DESARROLLO NO ESPECÍFICO</t>
  </si>
  <si>
    <t>REINGRESOS POR ABANDONO</t>
  </si>
  <si>
    <t>INGRESOS POR TRASLADO</t>
  </si>
  <si>
    <t>EGRESOS POR TRASLADO</t>
  </si>
  <si>
    <t>DIAGNÓSTICO</t>
  </si>
  <si>
    <t>ENCUESTAS REALIZADAS</t>
  </si>
  <si>
    <t>EPOC</t>
  </si>
  <si>
    <t>REEVALUACIÓN ANUAL</t>
  </si>
  <si>
    <t>SESIONES EDUCATIVAS</t>
  </si>
  <si>
    <t>SESIONES ACTIVIDAD FISICA</t>
  </si>
  <si>
    <t>ARTICULACION CONTINUIDAD CON INTERSECTOR</t>
  </si>
  <si>
    <t>PLANES DE ACTIVIDAD FISICA</t>
  </si>
  <si>
    <t>DISEÑO PLAN DE TRABAJO</t>
  </si>
  <si>
    <t>SEGUIMIENTO PRESENCIAL</t>
  </si>
  <si>
    <t xml:space="preserve">Número de ingresos </t>
  </si>
  <si>
    <t xml:space="preserve">Número de egresos </t>
  </si>
  <si>
    <t>Número de personas activas</t>
  </si>
  <si>
    <t>Número de controles médicos</t>
  </si>
  <si>
    <t>ASISTENCIA VENTILATORIA INVASIVA INFANTIL (AVI)</t>
  </si>
  <si>
    <t>ASISTENCIA VENTILATORIA INVASIVA DEL ADULTO (AVIA)</t>
  </si>
  <si>
    <t>ASISTENCIA VENTILATORIA NO INVASIVA INFANTIL (AVNI)</t>
  </si>
  <si>
    <t>ASISTENCIA VENTILATORIA NO INVASIVA ADULTO (AVNIA)</t>
  </si>
  <si>
    <t>OXIGENOTERAPIA AMBULATORIO CRÓNICO RESPIRATORIO INFANTIL</t>
  </si>
  <si>
    <t xml:space="preserve">OXIGENOTERAPIA AMBULATORIO CRÓNICO RESPIRATORIO ADULTO </t>
  </si>
  <si>
    <t xml:space="preserve">PERSONAS EMP/EMPAM </t>
  </si>
  <si>
    <t>ATENCIÓN OBSTÉTRICA POR LEY IVE</t>
  </si>
  <si>
    <t>SECCIÓN D : INTERCONSULTAS GENERADAS EN ESTABLECIMIENTOS DE APS</t>
  </si>
  <si>
    <t>TOTAL CONSULTORÍAS Y TELECONSULTORÍAS RECIBIDAS</t>
  </si>
  <si>
    <t>CONSULTORÍAS Y TELECONSULTORÍAS RECIBIDAS</t>
  </si>
  <si>
    <t>CONSULTORÍAS Y TELECONSULTORÍAS DE SALUD MENTAL INFANTO ADOLESCENTE</t>
  </si>
  <si>
    <t>CONSULTORÍAS Y TELECONSULTORÍAS DE SALUD MENTAL ADULTO</t>
  </si>
  <si>
    <t>TELECONSULTORÍAS DE SALUD MENTAL</t>
  </si>
  <si>
    <t>PRÓTESIS IMPLANTOASISTIDA</t>
  </si>
  <si>
    <t xml:space="preserve">CIRUGÍA BUCAL </t>
  </si>
  <si>
    <t>APARATOLOGÍA REMOVIBLE</t>
  </si>
  <si>
    <t>SOMATOPRÓTESIS</t>
  </si>
  <si>
    <t>SERVICIOS FARMACÉUTICOS REALIZADOS EN DOMICILIO</t>
  </si>
  <si>
    <t>SERVICIOS FARMACÉUTICOS REALIZADOS EN ESTABLECIMIENTOS DE SALUD</t>
  </si>
  <si>
    <t>65-69 años</t>
  </si>
  <si>
    <t>70-79 años</t>
  </si>
  <si>
    <t>TOTAL INTERVENCIÓNES QUIRÚRGICAS</t>
  </si>
  <si>
    <t>HORMONA FOLICULOESTIMULANTE EN SANGRE</t>
  </si>
  <si>
    <t>RIESGO (desde normal con rezago)</t>
  </si>
  <si>
    <t>RETRASO (desde riesgo)</t>
  </si>
  <si>
    <t>RETRASO (desde normal con rezago)</t>
  </si>
  <si>
    <t>SECCIÓN C1: EGRESOS DE PROGRAMA DE REGULACIÓN DE FERTILIDAD Y SALUD SEXUAL.</t>
  </si>
  <si>
    <t xml:space="preserve">POST PARTO </t>
  </si>
  <si>
    <t>POST ABORTO</t>
  </si>
  <si>
    <t xml:space="preserve">Momento y condiciones de de aplicación </t>
  </si>
  <si>
    <t xml:space="preserve">Ingreso </t>
  </si>
  <si>
    <t>MRS Control</t>
  </si>
  <si>
    <t>Control sin THM</t>
  </si>
  <si>
    <t>Control con THM</t>
  </si>
  <si>
    <t>SECCIÓN G: APLICACIÓN ESCALA MRS EN MUJERES EN EDAD DE CLIMATERIO</t>
  </si>
  <si>
    <t xml:space="preserve">
TOTAL DE APLICACIONES SEGÚN AREA DE AFECTACIÓN 
</t>
  </si>
  <si>
    <t xml:space="preserve">TOTAL APLICACIONES  </t>
  </si>
  <si>
    <t>TOTAL MRS ALTO</t>
  </si>
  <si>
    <t xml:space="preserve">AFECTACIÓN PREDOMINIO SOMÁTICO </t>
  </si>
  <si>
    <t>AFECTACIÓN PREDOMINIO PSICOLÓGICO</t>
  </si>
  <si>
    <t xml:space="preserve">AFECTACIÓN PREDOMINIO UROGENITAL </t>
  </si>
  <si>
    <t>VISITA GUIADA A LA MATERNIDAD</t>
  </si>
  <si>
    <t>Nivel Secundario</t>
  </si>
  <si>
    <t>Nivel Terciario</t>
  </si>
  <si>
    <t>TOTAL CONSULTORÍAS Y TELECONSULTORÍAS OTORGADAS</t>
  </si>
  <si>
    <t>CONSULTORÍAS Y TELECONSULTORÍAS OTORGADAS</t>
  </si>
  <si>
    <t>Participantes</t>
  </si>
  <si>
    <t>Médico psiquiatra</t>
  </si>
  <si>
    <t>Médico Psiquiatría con más de dos Profesionales</t>
  </si>
  <si>
    <t>Más de dos profesionales</t>
  </si>
  <si>
    <t>Gestantes con examen de Chagas solicitado</t>
  </si>
  <si>
    <t>Gestantes con examen de Chagas informado</t>
  </si>
  <si>
    <t>Gestantes con examen de Chagas confirmado</t>
  </si>
  <si>
    <t>Mujeres en Control Preconcepcional</t>
  </si>
  <si>
    <t xml:space="preserve"> CONDICIÓN</t>
  </si>
  <si>
    <t>Menos de 1 mes</t>
  </si>
  <si>
    <t>5 meses</t>
  </si>
  <si>
    <t>7 meses</t>
  </si>
  <si>
    <t>8 meses</t>
  </si>
  <si>
    <t>9 meses</t>
  </si>
  <si>
    <t>10 meses</t>
  </si>
  <si>
    <t>11 meses</t>
  </si>
  <si>
    <t>12 meses</t>
  </si>
  <si>
    <t>13 meses</t>
  </si>
  <si>
    <t>14 meses</t>
  </si>
  <si>
    <t>15 meses</t>
  </si>
  <si>
    <t xml:space="preserve">Hijos/as de Madre con Enfermedad de Chagas nacidos en el periodo </t>
  </si>
  <si>
    <t>Hijos/as de Madre con Enfermedad de Chagas con diagnóstico directo realizado</t>
  </si>
  <si>
    <t xml:space="preserve">Hijos/as de Madre con Enfermedad de Chagas con diagnóstico finalizado e informado (1° muestra) </t>
  </si>
  <si>
    <t xml:space="preserve">Hijos/as de Madre con Enfermedad de Chagas con diagnóstico finalizado e informado (2° muestra) </t>
  </si>
  <si>
    <t xml:space="preserve">Hijos/as de Madre con enfermedad de Chagas con diagnóstico finalizado e informado (3° muestra) </t>
  </si>
  <si>
    <t xml:space="preserve">menor 1 </t>
  </si>
  <si>
    <t>1-4</t>
  </si>
  <si>
    <t>5-9</t>
  </si>
  <si>
    <t>10-14</t>
  </si>
  <si>
    <t>65-69</t>
  </si>
  <si>
    <t>mayor 70</t>
  </si>
  <si>
    <t>Donantes confirmados con enfermedad de Chagas en el periodo</t>
  </si>
  <si>
    <t>Donantes confirmados e  informados de su condición serologica para enfermedad de Chagas</t>
  </si>
  <si>
    <t>Casos contactos familiares confirmados por Infección por T cruzi</t>
  </si>
  <si>
    <t>Personas con enfermedad de Chagas que ingresan a tratamiento farmacológico en el periodo (nifurtimox)</t>
  </si>
  <si>
    <t>Personas con enfermedad de Chagas que suspenden o rechazan tratamiento farmacológico en el periodo (nifurtimox)</t>
  </si>
  <si>
    <t>Personas con enfermedad de Chagas que finalizan tratamiento farmacológico en el periodo (nifurtimox)</t>
  </si>
  <si>
    <t>Personas con enfermedad de Chagas que ingresan a tratamiento farmacológico en el periodo (benznidazol)</t>
  </si>
  <si>
    <t>Personas con enfermedad de Chagas que suspenden o rechazan tratamiento farmacológico en el periodo (benznidazol)</t>
  </si>
  <si>
    <t>Personas con enfermedad de Chagas que finalizan tratamiento farmacológico en el periodo (benznidazol)</t>
  </si>
  <si>
    <t>Control de las personas con Chagas crónico en Atencion Primaria de Salud</t>
  </si>
  <si>
    <t>Estudio de  contactos familiares de un caso por Infección por T cruzi</t>
  </si>
  <si>
    <t>TIPOS DE ATENCION</t>
  </si>
  <si>
    <t>Tecnico Paramedico</t>
  </si>
  <si>
    <t>CONSULTA DE URGENCIA NO GES</t>
  </si>
  <si>
    <t>1-4 años</t>
  </si>
  <si>
    <t>5-9 años</t>
  </si>
  <si>
    <t>55-59 años</t>
  </si>
  <si>
    <t>mayor 70 años</t>
  </si>
  <si>
    <t>mayor a 70 años</t>
  </si>
  <si>
    <t xml:space="preserve">GRUPO DE EDAD </t>
  </si>
  <si>
    <t>GRUPO DE EDAD Y SEXO</t>
  </si>
  <si>
    <t>GRUPO DE EDAD y SEXO</t>
  </si>
  <si>
    <t>PLASTÍA DE PUNTOS LAGRIMALES</t>
  </si>
  <si>
    <t>ABSCESO, VACIAMIENTO Y/O DRENAJE DE</t>
  </si>
  <si>
    <t>TRABECULOPLASTÍA O IRIDOPLASTÍA</t>
  </si>
  <si>
    <t>IRIDOTOMÍA</t>
  </si>
  <si>
    <t>INTUBACIÓN LAGRIMAL</t>
  </si>
  <si>
    <t>ABSCESO, TRAT. QUIR. PÁRPADO O CEJA</t>
  </si>
  <si>
    <t>BIOPSIA DE PÁRPADO Y/O ANEXOS (PROC. AUT.)</t>
  </si>
  <si>
    <t>BLEFARORRAFIA CON BLEFAROTOMÍA POSTERIOR</t>
  </si>
  <si>
    <t>CANTOPLASTÍA</t>
  </si>
  <si>
    <t xml:space="preserve">CHALAZIÓN Y OTROS TUMORES BENIGNOS  </t>
  </si>
  <si>
    <t>XANTELASMA, TRAT. QUIR.</t>
  </si>
  <si>
    <t>HERIDA O DEHISCENCIA DE SUTURA DE PÁRPADO, REPARACIÓN</t>
  </si>
  <si>
    <t>SUTURA DE HERIDA O DEHISCENCIA DE LA CONJUNTIVA</t>
  </si>
  <si>
    <t>PTERIGIÓN Y/O PSEUDOPTERIGIÓN O SU RECIDIVA, EXTIRPACIÓN</t>
  </si>
  <si>
    <t>CRIOTERAPIA Y RECESIÓN CONJUNTIVAL</t>
  </si>
  <si>
    <t>EXTRACCIÓN QUIR. DE CUERPO EXTRAÑO EN CORNEA Y/O ESCLERA</t>
  </si>
  <si>
    <t>EXTIRPACIÓN DE TUMOR BENIGNO DE LA CONJUNTIVA</t>
  </si>
  <si>
    <t>SECCION A: TRATAMIENTO DE SIFILIS EN GESTANTES</t>
  </si>
  <si>
    <t>TRATAMIENTO DE SIFILIS EN GESTANTES EN ATENCIÓN PRIMARIA</t>
  </si>
  <si>
    <t>TRATAMIENTO DE  SIFILIS EN GESTANTES EN ESPECIALIDADES</t>
  </si>
  <si>
    <t>TRATAMIENTO SIFILIS EN GESTANTES AL MOMENTO DEL PARTO</t>
  </si>
  <si>
    <t>SECCIÓN B: NIÑOS Y NIÑAS EXPUESTOS A LA SIFILIS TRATADOS AL NACER</t>
  </si>
  <si>
    <t>SECCIÓN C: ABORTOS Y DEFUNCIONES FETALES ATRIBUIDAS A SIFILIS SEGÚN EDAD GESTACIONAL</t>
  </si>
  <si>
    <t>SECCION D: APLICACIÓN DE PROFILAXIS OCULAR PARA GONORREA EN RECIEN NACIDOS</t>
  </si>
  <si>
    <t xml:space="preserve">Recién nacidos vivos </t>
  </si>
  <si>
    <t>GESTANTES ESTUDIADAS PARA ESTREPTOCOCCUS GRUPO B (EGB) EN APS</t>
  </si>
  <si>
    <t>GESTANTES ESTUDIADAS PARA ESTREPTOCOCCUS GRUPO B (EGB) EN ESPECIALIDADES</t>
  </si>
  <si>
    <t>GESTANTES ESTUDIADAS PARA ESTREPTOCOCCUS GRUPO B (EGB) EN NIVEL HOSPITALARIO</t>
  </si>
  <si>
    <t>GESTANTES CON PROFILAXIS PARA ESTREPTOCOCCUS GRUPO B (EGB) AL PARTO</t>
  </si>
  <si>
    <t>GESTANTES EVALUADAS PARA HEPATITIS B EN ATENCIÓN PRIMARIA</t>
  </si>
  <si>
    <t>GESTANTES EVALUADAS PARA HEPATITIS B EN ESPECIALIDADES</t>
  </si>
  <si>
    <t>GESTANTES EVALUADAS PARA HEPATITIS B EN PARTOS</t>
  </si>
  <si>
    <t>Recién nacidos hijos de madre Hepatitis B positiva, nacidos en el periodo</t>
  </si>
  <si>
    <t>Recién nacidos hijos de madre Hepatitis B positiva que recibieron profilaxis completa, según la normativa vigente</t>
  </si>
  <si>
    <t>Niños/as  hijos de madre Hepatitis B positiva evaluados al año de vida</t>
  </si>
  <si>
    <t>Niños/as  hijos de madre Hepatitis B positiva, evaluados al año de vida, confirmado positivo de transmisión vertical para Hepatitis B</t>
  </si>
  <si>
    <t xml:space="preserve">Gestantes con Hepatitis B positivo derivada con especialista (Gastroenterólogo, hepatólogo u otro) </t>
  </si>
  <si>
    <t xml:space="preserve">Gestantes con estudio serológico positivo confirmado para Hepatitis B </t>
  </si>
  <si>
    <t xml:space="preserve">Gestantes con solicitud de estudio serológico para Hepatitis B </t>
  </si>
  <si>
    <t>Gestantes con profilaxis para  EGB (+) al parto.</t>
  </si>
  <si>
    <t xml:space="preserve">Gestantes estudiadas en nivel hospitalario con examen EGB (+) </t>
  </si>
  <si>
    <t>Gestantes estudiadas para EGB en nivel hospitalario</t>
  </si>
  <si>
    <t xml:space="preserve">Gestantes estudiadas en Especialidades con examen EGB (+) </t>
  </si>
  <si>
    <t>Gestantes estudiadas para EGB en Especialidades</t>
  </si>
  <si>
    <t xml:space="preserve">Gestantes estudiadas en APS con examen EGB (+) </t>
  </si>
  <si>
    <t>Gestantes estudiadas para EGB en APS</t>
  </si>
  <si>
    <t>Recien nacidos vivos hijos de mujer con serología VIH (+) no confirmada por el ISP</t>
  </si>
  <si>
    <t>Recien nacidos vivos hijos de mujer con serología VIH (+) no confirmada por el ISP  que recibieron leche maternizada al alta (para ser consumida en su casa)</t>
  </si>
  <si>
    <t>Recién nacidos vivos hijos de mujer VIH (+) confirmada por ISP</t>
  </si>
  <si>
    <t>Recién nacidos vivos hijos de mujer VIH (+) confirmada por ISP que recibieron leche maternizada al alta (para ser consumida en su casa)</t>
  </si>
  <si>
    <t>Recién nacidos vivos hijos de mujer con serología VIH (+) no confirmada por ISP</t>
  </si>
  <si>
    <t xml:space="preserve">Recién nacidos vivos hijos de mujer con serología VIH (+) no confirmada por ISP que iniciaron profilaxis para VIH durante las primeras 12 hrs de vida </t>
  </si>
  <si>
    <t xml:space="preserve">Recién nacidos vivos hijos de mujer VIH (+) confirmada por ISP que iniciaron profilaxis para VIH durante las primeras 12 hrs de vida </t>
  </si>
  <si>
    <t>Recién Nacidos  vivos que reciben profilaxis ocular para gonorrea al nacer</t>
  </si>
  <si>
    <t>Recién nacidos/as expuestos a sífilis (hijos de mujer con serología reactiva para sífilis al parto no tratada o inadecuadamente tratada), que reciben tratamiento para sífilis congénita al nacer</t>
  </si>
  <si>
    <t>Recién nacidos/as expuestos a sífilis (hijos de mujer con serología reactiva para sífilis al parto  no tratada o inadecuadamente tratada)</t>
  </si>
  <si>
    <t xml:space="preserve">Mujeres con aborto entre las 20 y las 21+6 semanas o mayor a 500 grs </t>
  </si>
  <si>
    <t xml:space="preserve">Mujeres con serología reactiva para sífilis con mortinato mayor o igual a 22 semanas </t>
  </si>
  <si>
    <t xml:space="preserve">Mujeres con mortinato mayor o igual a 22 semanas </t>
  </si>
  <si>
    <t xml:space="preserve">Mujeres con serología reactiva para sífilis con aborto entre las 20 y las 21+6 semanas o mayor a 500 grs </t>
  </si>
  <si>
    <t xml:space="preserve">Mujeres con aborto menor o igual a 19+6 semanas o menor a 500 grs </t>
  </si>
  <si>
    <t xml:space="preserve">Mujeres con serología reactiva para sífilis con aborto menor o igual a 19+6 semanas o menor a 500 grs </t>
  </si>
  <si>
    <t>SECCIÓN E: MUJERES VIH QUE RECIBE PROTOCOLO PREVENCIÓN TRANSMISIÓN VERTICAL  AL PARTO (PTV)</t>
  </si>
  <si>
    <t xml:space="preserve">SECCION H: GESTANTES ESTUDIADAS PARA ESTREPTOCOCCUS GRUPO B (EGB) </t>
  </si>
  <si>
    <t>SECCION I: GESTANTES EVALUADAS PARA HEPATITIS B</t>
  </si>
  <si>
    <t>SECCION J: PROFILAXIS DE TRANSMISIÓN VERTICAL APLICADA AL RECIEN NACIDO, HIJO DE MADRE HEPATITIS B POSITIVA</t>
  </si>
  <si>
    <t>REM-A11a.  TRANSMISIÓN VERTICAL MATERNO INFANTIL</t>
  </si>
  <si>
    <t>SECCÓN G: RECIEN NACIDOS EXPUESTOS AL VIH QUE RECIBEN LECHE MATERNIZADA AL ALTA</t>
  </si>
  <si>
    <t>PROCEDIMIENTO PULPAR</t>
  </si>
  <si>
    <t xml:space="preserve">OBTURACIÓN DE VIDRIO IONÓMERO </t>
  </si>
  <si>
    <t>TRANS FEMENINO</t>
  </si>
  <si>
    <t>TRANS MASCULINO</t>
  </si>
  <si>
    <t>SECCIÓN F: RECIEN NACIDOS EXPUESTOS AL VIH QUE RECIBE PROTOCOLO DE TRANSMISION VERTICAL</t>
  </si>
  <si>
    <t xml:space="preserve">SECCIÓN D: EXÁMENES DE GONORREA POR GRUPOS DE USUARIOS </t>
  </si>
  <si>
    <t xml:space="preserve">SECCIÓN E: EXÁMENES DE CHLAMYIDIA TRACHOMATIS POR GRUPOS DE USUARIOS </t>
  </si>
  <si>
    <t>SECCIÓN F: EXÁMENES  DE  VIH POR TECNICA VISUAL/RAPIDA Y GRUPOS DE USUARIOS (Uso exclusivo de establecimientos NO LABORATORIOS)</t>
  </si>
  <si>
    <t>SECCIÓN G: SCREENING ENFERMEDAD DE CHAGAS PARA EMABARAZADAS, PUERPERAS Y MUJERES EN EDAD FÉRTIL</t>
  </si>
  <si>
    <t xml:space="preserve">SECCIÓN H: DIAGNÓSTICO TRANSMISIÓN VERTICAL MADRE HIJO/A CON ENFERMEDAD DE CHAGAS </t>
  </si>
  <si>
    <t>SECCION I: TRATAMIENTOS FAMACOLÓGICOS</t>
  </si>
  <si>
    <t>SECCIÓN K: SEGUIMIENTO DE CASOS</t>
  </si>
  <si>
    <t>SECCION K: SEGUIMIENTO DE NIÑOS Y NIÑAS AL AÑO DE VIDA</t>
  </si>
  <si>
    <t>Gestantes con 1° test no treponémico reactivo en este embarazo con  penicilina administrada en Atención Primaria</t>
  </si>
  <si>
    <t xml:space="preserve">Gestantes con 1° test no treponémico reactivo </t>
  </si>
  <si>
    <t>Gestantes con 1° test no treponémico reactivo en este embarazo  con penicilina administrada en especialidades</t>
  </si>
  <si>
    <t>Gestantes con 1° test no treponémico reactivo en este embarazo</t>
  </si>
  <si>
    <t>Gestantes con 1° test no treponemico reactivo en este embarazo con  penicilina administrada al parto</t>
  </si>
  <si>
    <t>TOMA DE MUESTRA SECRECIÓN MUCOSA/BRONQUIAL</t>
  </si>
  <si>
    <t>SEGUIMIENTO TELEFÓNICO REALIZADO POR KINESIOLOGO SALA</t>
  </si>
  <si>
    <t>Total de sesiones grupales</t>
  </si>
  <si>
    <t>Estrategia de Asistencia Ventilatoria Invasiva en Domicilio</t>
  </si>
  <si>
    <t>Estrategia de Asistencia Ventilatoria no Invasiva en Domicilio</t>
  </si>
  <si>
    <t>Estrategia Oxígeno Domiciliario para pacientes Crónicos</t>
  </si>
  <si>
    <t>TIPO DE ESTRATEGIA</t>
  </si>
  <si>
    <t xml:space="preserve"> SEXO</t>
  </si>
  <si>
    <t>Hombres y Mujeres Mayor a Total</t>
  </si>
  <si>
    <t>NNA Sename Mayor a Total</t>
  </si>
  <si>
    <t>Otros Profesionales</t>
  </si>
  <si>
    <t>Medicina General</t>
  </si>
  <si>
    <t>ATENCIONES REMOTAS DE CONSULTAS TOTALES DE ESPECIALIDAD</t>
  </si>
  <si>
    <t>NO CONTESTA</t>
  </si>
  <si>
    <t>Consultorías resueltas vía remota</t>
  </si>
  <si>
    <t>CAE/CDT/CRS</t>
  </si>
  <si>
    <t>Medicina Interna</t>
  </si>
  <si>
    <t>Cirugía</t>
  </si>
  <si>
    <t>Enfermedad respiratoria de adulto (broncopulmonar)</t>
  </si>
  <si>
    <t>Cardiología adulto</t>
  </si>
  <si>
    <t>Endocrinología adulto</t>
  </si>
  <si>
    <t>Reumatología adulto</t>
  </si>
  <si>
    <t>Infectología adulto</t>
  </si>
  <si>
    <t>Diabetología</t>
  </si>
  <si>
    <t>Psiquiatría</t>
  </si>
  <si>
    <t>Oftalmología</t>
  </si>
  <si>
    <t>Otorrinolaringología</t>
  </si>
  <si>
    <t>Obstetricia y Ginecología</t>
  </si>
  <si>
    <t>Traumatología</t>
  </si>
  <si>
    <t>Otras Especialidades Adulto</t>
  </si>
  <si>
    <t>CONTROLES DE ESPECIALIDAD RESUELTOS POR VISITAS DOMICILIARIAS</t>
  </si>
  <si>
    <t>Pediatría (incluye totalidad de producción pediatrica de subespecialidades)</t>
  </si>
  <si>
    <t>Atención Remota consulta abreviada PNM : entrega de los resultados de exámenes o procedimiento (Confección de recetas o lectura de exámenes)</t>
  </si>
  <si>
    <t>Embarazadas Mayor a Total</t>
  </si>
  <si>
    <t>60 Años Mayor al Grupo 20-64</t>
  </si>
  <si>
    <t>Discapacitados Mayor al Total</t>
  </si>
  <si>
    <t>Migrantes Mayor a Total</t>
  </si>
  <si>
    <t>Beneficiarios Mayor a Total</t>
  </si>
  <si>
    <t xml:space="preserve">ACTIVIDADES </t>
  </si>
  <si>
    <t>menos de 1
año</t>
  </si>
  <si>
    <t>1 
año</t>
  </si>
  <si>
    <t>2 
años</t>
  </si>
  <si>
    <t>3 
años</t>
  </si>
  <si>
    <t>4 
años</t>
  </si>
  <si>
    <t>5 
años</t>
  </si>
  <si>
    <t>6 
años</t>
  </si>
  <si>
    <t>12 
años</t>
  </si>
  <si>
    <t>Resto 
&lt;15 años</t>
  </si>
  <si>
    <t>15-19 
años</t>
  </si>
  <si>
    <t>20-64 
años</t>
  </si>
  <si>
    <t>65 y 
más años</t>
  </si>
  <si>
    <t>Seguimiento Clínico Remoto de Pacientes</t>
  </si>
  <si>
    <t>Educación, Promoción Remota en Salud Bucal</t>
  </si>
  <si>
    <t>Pauta CERO Remota</t>
  </si>
  <si>
    <t>0-5 
años</t>
  </si>
  <si>
    <t>NÚMERO DE ACCIONES TELEFÓNICAS Y DE SEGUIMIENTO POR RANGOS DE EDAD</t>
  </si>
  <si>
    <t>Llamadas Telefónicas</t>
  </si>
  <si>
    <t>Video llamadas</t>
  </si>
  <si>
    <t>Mensajería de Texto</t>
  </si>
  <si>
    <t>NÚMERO DE CONTROLES DE SALUD MENTAL REMOTOS POR RANGOS DE EDAD</t>
  </si>
  <si>
    <t>Psicólogo/a</t>
  </si>
  <si>
    <t>Enfermera/o</t>
  </si>
  <si>
    <t>Matrona/on</t>
  </si>
  <si>
    <t>Gestor Comunitario</t>
  </si>
  <si>
    <t>Técnico Rehabilitación Alcohol y Drogas</t>
  </si>
  <si>
    <t>Llamadas telefónicas o Video llamadas</t>
  </si>
  <si>
    <t>Mensajes de texto</t>
  </si>
  <si>
    <t>GRUPAL</t>
  </si>
  <si>
    <t xml:space="preserve">Familiares/Cuidadores de los pacientes </t>
  </si>
  <si>
    <t>PROFESIONALES</t>
  </si>
  <si>
    <t>ACCIONES</t>
  </si>
  <si>
    <t>TOTAL USUARIOS</t>
  </si>
  <si>
    <t xml:space="preserve">GRUPOS DE EDAD (en meses - años) </t>
  </si>
  <si>
    <t>7 a 11 meses</t>
  </si>
  <si>
    <t>18 a 23 meses</t>
  </si>
  <si>
    <t>24 a 35 meses</t>
  </si>
  <si>
    <t>36 a 41 meses</t>
  </si>
  <si>
    <t>42 a 47 meses</t>
  </si>
  <si>
    <t>48 a 59 meses</t>
  </si>
  <si>
    <t>60 a 71 meses</t>
  </si>
  <si>
    <t>6 a 9 años 11 meses</t>
  </si>
  <si>
    <t>Médico/a</t>
  </si>
  <si>
    <t>Otro/a</t>
  </si>
  <si>
    <t>GRUPOS DE EDAD (en meses - años)</t>
  </si>
  <si>
    <t>Menor de 7 meses</t>
  </si>
  <si>
    <t>Video Llamadas</t>
  </si>
  <si>
    <t>Trabajador/a Social</t>
  </si>
  <si>
    <t>TIPO DE ACCION PARA GENERAR ATENCIONES</t>
  </si>
  <si>
    <t>NÚMERO DE ACCIONES DE ATENCIONES POR RANGOS DE EDAD</t>
  </si>
  <si>
    <t>7-11 MESES</t>
  </si>
  <si>
    <t>12- 17 MESES</t>
  </si>
  <si>
    <t>18-23 MESES</t>
  </si>
  <si>
    <t>24-47 MESES</t>
  </si>
  <si>
    <t>48-59 MESES</t>
  </si>
  <si>
    <t>Intervenciones de seguimiento efectivas</t>
  </si>
  <si>
    <t>Intervenciones de otro tipo</t>
  </si>
  <si>
    <t>ÁREAS TEMÁTICAS DE PROMOCIÓN Y PREVENCIÓN</t>
  </si>
  <si>
    <t>MADRE, PADRE O CUIDADOR DE:</t>
  </si>
  <si>
    <t>Acompañante de gestante</t>
  </si>
  <si>
    <t>Menores de 12 meses</t>
  </si>
  <si>
    <t>Niños de 12 a 23 meses</t>
  </si>
  <si>
    <t>Niños de 5 a 9 años</t>
  </si>
  <si>
    <t>Nadie es Perfecto Remoto A</t>
  </si>
  <si>
    <t>Nadie es Perfecto Remoto B</t>
  </si>
  <si>
    <t>Nadie es Perfecto Seminario</t>
  </si>
  <si>
    <t>Nadie es perfecto PASMI</t>
  </si>
  <si>
    <t>Nº de Mensajes</t>
  </si>
  <si>
    <t>Nº de Participantes</t>
  </si>
  <si>
    <t>Madre, Padre o Cuidador de</t>
  </si>
  <si>
    <t>N° de Participantes de Edad</t>
  </si>
  <si>
    <t>Información de actividades físicas enviadas por teléfono</t>
  </si>
  <si>
    <t>Información de Nutrición enviada por teléfono</t>
  </si>
  <si>
    <t>Información por Psicologos enviada por teléfono</t>
  </si>
  <si>
    <t>N° de Archivos Multimedia</t>
  </si>
  <si>
    <t xml:space="preserve">Madres, Padre o Cuidador de </t>
  </si>
  <si>
    <t>N° de Archivos Multimedia por Edad</t>
  </si>
  <si>
    <t>Videos de Actividad Física subido a las Redes Sociales</t>
  </si>
  <si>
    <t>Videos de Vida Sana subido a las Redes Sociales</t>
  </si>
  <si>
    <t>Reingresos</t>
  </si>
  <si>
    <t>Número de participantes de Talleres de Lactancia Materna en Atención Primaria a Menores de un año</t>
  </si>
  <si>
    <t>Número de Talleres de Lactancia Materna realziada en Atención Primaria a menores de un año</t>
  </si>
  <si>
    <t>Número de Talleres de Lactancia Materna realizada en Maternidades</t>
  </si>
  <si>
    <t>Número de Participantes de Talleres de Lactancia Materna realizada en Maternidades</t>
  </si>
  <si>
    <t xml:space="preserve">Unidad Municipal de Personas Mayores </t>
  </si>
  <si>
    <t>Unidad Municipal de Atención Social</t>
  </si>
  <si>
    <t>Unidad Municipal de Deportes</t>
  </si>
  <si>
    <t>Unidad Municipal Turismo</t>
  </si>
  <si>
    <t>Unidad Municipal Educación</t>
  </si>
  <si>
    <t>Biblioteca Municipal</t>
  </si>
  <si>
    <t>Unidad Cultural Municipal</t>
  </si>
  <si>
    <t>Otras Unidades Municipales</t>
  </si>
  <si>
    <t>Escuelas o Colegios</t>
  </si>
  <si>
    <t>Universidades</t>
  </si>
  <si>
    <t>Otras Unidades externas al Municipio</t>
  </si>
  <si>
    <t>Total de talleres</t>
  </si>
  <si>
    <t>Total de sesiones</t>
  </si>
  <si>
    <t>Total de Padres, Madres o Cuidadores de 5 a 9 años</t>
  </si>
  <si>
    <t>Taller Nadie es Perfecto (PASMI)</t>
  </si>
  <si>
    <t>Clubes de Adultos Mayores</t>
  </si>
  <si>
    <t>Centros de Madres</t>
  </si>
  <si>
    <t>Clubes Deportivos</t>
  </si>
  <si>
    <t>Uniones Comunales de Adultos Mayores</t>
  </si>
  <si>
    <t>Junta de Vecinos</t>
  </si>
  <si>
    <t>Organizaciones Informales</t>
  </si>
  <si>
    <t>Otras organizaciones Formales</t>
  </si>
  <si>
    <t>N° Total de Organizaciones</t>
  </si>
  <si>
    <t>Servicios Locales con oferta programatica para personas mayores (total o parcial)</t>
  </si>
  <si>
    <t>Servicios locales con planes intersectoriales para el fomento del autocuidado y estimulación funcionaldel desarrollo junto al programa mas adultos mayores autovalentes</t>
  </si>
  <si>
    <t>N° Total de Servicios</t>
  </si>
  <si>
    <t>Organizaciones con lideres comunitarios capcitados por el programa más adultos mayores autovalentes</t>
  </si>
  <si>
    <t xml:space="preserve">Organizaciones ingresadas al programa de estimilación funcional del programa más adultos mayores autovalentes 
</t>
  </si>
  <si>
    <t>Inasistente</t>
  </si>
  <si>
    <t>REMA11-a</t>
  </si>
  <si>
    <t>REMA32</t>
  </si>
  <si>
    <t>2 a 4 años</t>
  </si>
  <si>
    <t xml:space="preserve">SECCIÓN A: CONSULTAS Y CONTROLES ODONTOLÓGICOS REALIZADOS EN APS. </t>
  </si>
  <si>
    <t>SECCIÓN C : INGRESOS Y EGRESOS EN APS</t>
  </si>
  <si>
    <t>Total Usuarios</t>
  </si>
  <si>
    <t>Plataforma Digital</t>
  </si>
  <si>
    <t>Seminario-Radio</t>
  </si>
  <si>
    <t>Video llamada grupal</t>
  </si>
  <si>
    <t>Telefónico</t>
  </si>
  <si>
    <t>Total Acciones</t>
  </si>
  <si>
    <t>Mensajería</t>
  </si>
  <si>
    <t>OTRA INSTITUCION (Delegado)</t>
  </si>
  <si>
    <t>Control</t>
  </si>
  <si>
    <t>60 años (incluidos en grupos de 20-64 años)</t>
  </si>
  <si>
    <t>60 años (incluido en grupos de 60-64 años)</t>
  </si>
  <si>
    <t>12 años (incluidos en  grupo de 10-14 años)</t>
  </si>
  <si>
    <t>60 años incluidos en grupos de  60-64 años)</t>
  </si>
  <si>
    <t>Compra de Servicios</t>
  </si>
  <si>
    <t>60 años (incluido en grupos de  60-64 años)</t>
  </si>
  <si>
    <t>60 años</t>
  </si>
  <si>
    <t>12 años (incluido en el grupo de 10-14 años)</t>
  </si>
  <si>
    <t>ORTODONCIA Y ORTOPEDIA DENTOMAXILOFACIAL</t>
  </si>
  <si>
    <r>
      <t xml:space="preserve">SECCIÓN A.1: EXAMEN VDRL POR GRUPO DE USUARIOS </t>
    </r>
    <r>
      <rPr>
        <b/>
        <sz val="10"/>
        <rFont val="Verdana"/>
        <family val="2"/>
      </rPr>
      <t>(Uso exclusivo de establecimientos con Laboratorio que procesan)</t>
    </r>
  </si>
  <si>
    <r>
      <t xml:space="preserve">SECCIÓN A.3: EXAMEN RPR POR GRUPO DE USUARIOS </t>
    </r>
    <r>
      <rPr>
        <b/>
        <sz val="10"/>
        <rFont val="Verdana"/>
        <family val="2"/>
      </rPr>
      <t>(Uso exclusivo de establecimientos con Laboratorio que procesan)</t>
    </r>
  </si>
  <si>
    <r>
      <t xml:space="preserve">SECCIÓN A.5: EXAMEN MHA-TP POR GRUPO DE USUARIOS </t>
    </r>
    <r>
      <rPr>
        <b/>
        <sz val="10"/>
        <rFont val="Verdana"/>
        <family val="2"/>
      </rPr>
      <t>(Uso exclusivo de establecimientos con Laboratorio que procesan)</t>
    </r>
  </si>
  <si>
    <r>
      <t xml:space="preserve">Mujeres VIH (+) </t>
    </r>
    <r>
      <rPr>
        <b/>
        <sz val="11"/>
        <rFont val="Calibri"/>
        <family val="2"/>
        <scheme val="minor"/>
      </rPr>
      <t>confirmada</t>
    </r>
    <r>
      <rPr>
        <sz val="11"/>
        <rFont val="Calibri"/>
        <family val="2"/>
        <scheme val="minor"/>
      </rPr>
      <t xml:space="preserve">  por ISP que recibieron protocolo PTV completo al parto</t>
    </r>
  </si>
  <si>
    <r>
      <t xml:space="preserve">Mujeres VIH (+) </t>
    </r>
    <r>
      <rPr>
        <b/>
        <sz val="11"/>
        <rFont val="Calibri"/>
        <family val="2"/>
        <scheme val="minor"/>
      </rPr>
      <t>confirmada</t>
    </r>
    <r>
      <rPr>
        <sz val="11"/>
        <rFont val="Calibri"/>
        <family val="2"/>
        <scheme val="minor"/>
      </rPr>
      <t xml:space="preserve">  por ISP que recibieron protocolo PTV incompleto al parto</t>
    </r>
  </si>
  <si>
    <r>
      <t xml:space="preserve">Mujeres VIH (+) </t>
    </r>
    <r>
      <rPr>
        <b/>
        <sz val="11"/>
        <rFont val="Calibri"/>
        <family val="2"/>
        <scheme val="minor"/>
      </rPr>
      <t>confirmada</t>
    </r>
    <r>
      <rPr>
        <sz val="11"/>
        <rFont val="Calibri"/>
        <family val="2"/>
        <scheme val="minor"/>
      </rPr>
      <t xml:space="preserve">  por ISP que no recibieron protocolo PTV al parto</t>
    </r>
  </si>
  <si>
    <r>
      <t xml:space="preserve">Mujeres VIH (+) </t>
    </r>
    <r>
      <rPr>
        <b/>
        <sz val="11"/>
        <rFont val="Calibri"/>
        <family val="2"/>
        <scheme val="minor"/>
      </rPr>
      <t>confirmada</t>
    </r>
    <r>
      <rPr>
        <sz val="11"/>
        <rFont val="Calibri"/>
        <family val="2"/>
        <scheme val="minor"/>
      </rPr>
      <t xml:space="preserve"> por ISP atendidas por parto </t>
    </r>
  </si>
  <si>
    <r>
      <t xml:space="preserve">Mujeres con serología VIH (+) </t>
    </r>
    <r>
      <rPr>
        <b/>
        <sz val="11"/>
        <rFont val="Calibri"/>
        <family val="2"/>
        <scheme val="minor"/>
      </rPr>
      <t>no confirmada</t>
    </r>
    <r>
      <rPr>
        <sz val="11"/>
        <rFont val="Calibri"/>
        <family val="2"/>
        <scheme val="minor"/>
      </rPr>
      <t xml:space="preserve"> por ISP que recibieron protocolo PTV completo al parto</t>
    </r>
  </si>
  <si>
    <r>
      <t xml:space="preserve">Mujeres con serología VIH (+) </t>
    </r>
    <r>
      <rPr>
        <b/>
        <sz val="11"/>
        <rFont val="Calibri"/>
        <family val="2"/>
        <scheme val="minor"/>
      </rPr>
      <t>no confirmada</t>
    </r>
    <r>
      <rPr>
        <sz val="11"/>
        <rFont val="Calibri"/>
        <family val="2"/>
        <scheme val="minor"/>
      </rPr>
      <t xml:space="preserve">  por ISP que recibieron protocolo PTV incompleto al parto</t>
    </r>
  </si>
  <si>
    <r>
      <t xml:space="preserve">Mujeres con serología VIH (+) </t>
    </r>
    <r>
      <rPr>
        <b/>
        <sz val="11"/>
        <rFont val="Calibri"/>
        <family val="2"/>
        <scheme val="minor"/>
      </rPr>
      <t>no confirmada</t>
    </r>
    <r>
      <rPr>
        <sz val="11"/>
        <rFont val="Calibri"/>
        <family val="2"/>
        <scheme val="minor"/>
      </rPr>
      <t xml:space="preserve">  por ISP que No recibieron protocolo PTV al parto</t>
    </r>
  </si>
  <si>
    <r>
      <t xml:space="preserve">Mujeres con serología VIH (+) </t>
    </r>
    <r>
      <rPr>
        <b/>
        <sz val="11"/>
        <rFont val="Calibri"/>
        <family val="2"/>
        <scheme val="minor"/>
      </rPr>
      <t>no confirmada</t>
    </r>
    <r>
      <rPr>
        <sz val="11"/>
        <rFont val="Calibri"/>
        <family val="2"/>
        <scheme val="minor"/>
      </rPr>
      <t xml:space="preserve"> por ISP atendidas por parto  </t>
    </r>
  </si>
  <si>
    <t>CONSULTA DE URGENCIA GES</t>
  </si>
  <si>
    <t>Usuarios con Discapacidad</t>
  </si>
  <si>
    <t xml:space="preserve">Usuarios con Discapacidad </t>
  </si>
  <si>
    <t>Consulta nueva de especialidad odontológica (Teleconsulta)</t>
  </si>
  <si>
    <t>Control de especialidad odontológica (Teleconsulta)</t>
  </si>
  <si>
    <t>12 años</t>
  </si>
  <si>
    <t>Resto &lt; 15 años</t>
  </si>
  <si>
    <t>20-64 
 años (excluye 60 años)</t>
  </si>
  <si>
    <t>No Contesta</t>
  </si>
  <si>
    <t>** * El resultado que se consigna es la comparacion del indice de Barthel aplicado al Egreso de la Hospitalización</t>
  </si>
  <si>
    <t>PROGRAMA ODONTOLOGICO INTEGRAL, ESTRATEGIA ESTUDIANTES DE ENSEÑANZA MEDIA</t>
  </si>
  <si>
    <t>ALTAS INTEGRALES ESTUDIANTES DE ENSEÑANZA MEDIA</t>
  </si>
  <si>
    <t>Gestantes que ingresan a maternidad sin examen de enfermedad de Chagas</t>
  </si>
  <si>
    <t>18-19 años</t>
  </si>
  <si>
    <t xml:space="preserve">TIPO DE CONSULTA </t>
  </si>
  <si>
    <t>RADIOGRAFÍA INTRAORAL MEDIANTE TÉCNICAS BITE WING (POR PLACA)</t>
  </si>
  <si>
    <t>REALIZADO POR</t>
  </si>
  <si>
    <t>Profesional No Médico</t>
  </si>
  <si>
    <t>Realizado en domicilio</t>
  </si>
  <si>
    <t>FAMILIA CON INTEGRANTE CON MULTIMORBILIDAD CRONICA (excluye dependencia severa)</t>
  </si>
  <si>
    <t>Dupla (Medico + Profesional no médico)</t>
  </si>
  <si>
    <t>SECCIÓN D: CONSULTAS EN HORARIO CONTINUADO (Incluidas en las consultas de morbilidad de sección A o B)</t>
  </si>
  <si>
    <t>SECCIÓN E: CONSULTA  ABREVIADA</t>
  </si>
  <si>
    <t>No cumple criterio de inclusión</t>
  </si>
  <si>
    <t>EMPAM</t>
  </si>
  <si>
    <t>N° DE ENTREVISTAS</t>
  </si>
  <si>
    <t>ATENCIÓN MEDICA</t>
  </si>
  <si>
    <t>MATRONERÍA</t>
  </si>
  <si>
    <t>ODONTOLOGÍA</t>
  </si>
  <si>
    <t>SECCIÓN A: INGRESOS AGUDOS SEGÚN DIAGNOSTICO DERIVADOS A SALA</t>
  </si>
  <si>
    <t>UNIDAD TRAUMA OCULAR</t>
  </si>
  <si>
    <t xml:space="preserve">CONTROLES DE SALUD MENTAL POR LLAMADAS TELEFONICAS </t>
  </si>
  <si>
    <t xml:space="preserve">CONTROLES DE SALUD MENTAL POR VIDEO LLAMADAS  </t>
  </si>
  <si>
    <t>PREVENCIÓN DE LA TRANSMISIÓN VERTICAL DEL VIH (EMBARAZADAS) CON O SIN ENTREGA DE PRESERVATIVOS</t>
  </si>
  <si>
    <t>PREVENCIÓN VIH E INFECCIÓN DE TRANSMISIÓN SEXUAL (ITS) CON O SIN ENTREGA DE PRESERVATIVOS</t>
  </si>
  <si>
    <t>REGULACIÓN DE FERTILIDAD CON O SIN ENTREGA DE PRESERVATIVOS</t>
  </si>
  <si>
    <t>SALUD SEXUAL Y REPRODUCTIVA CON O SIN ENTREGA DE PRESERVATIVOS</t>
  </si>
  <si>
    <t>ACTIVIDAD FÍSICA Y ALIMENTACION SALUDABLE</t>
  </si>
  <si>
    <t>MÉDICO/A</t>
  </si>
  <si>
    <t>MATRONA/ÓN</t>
  </si>
  <si>
    <t>ENFERMERA/O</t>
  </si>
  <si>
    <t>FONOAUDIÓLOGO/A</t>
  </si>
  <si>
    <t>TECNÓLOGO/A MÉDICO/A (EXCLUYE UAPO)</t>
  </si>
  <si>
    <t>SECCIÓN C: CONSULTAS ANTICONCEPCIÓN DE EMERGENCIA (Incluidas en Sección A o B, respectivamente.)</t>
  </si>
  <si>
    <t>Método de Regulación de Fertilidad más Preservativos</t>
  </si>
  <si>
    <t>TRABAJADOR/A SOCIAL</t>
  </si>
  <si>
    <t>Familias en Riesgo</t>
  </si>
  <si>
    <t>Derivada a MADI  0 a  4 años</t>
  </si>
  <si>
    <t>MATRONA/ON</t>
  </si>
  <si>
    <t>MÉDICO/A PSIQUIATRA</t>
  </si>
  <si>
    <t>PSICÓLOGO/A (EXCLUYE SM)</t>
  </si>
  <si>
    <t>TECNÓLOGO/A MÉDICO/A</t>
  </si>
  <si>
    <t>MÉDICO/A POST TEST</t>
  </si>
  <si>
    <t>Usuarios en situación de discapacidad</t>
  </si>
  <si>
    <t>60 años (incluido en grupos de 20-64 años)</t>
  </si>
  <si>
    <t>ATENCIÓN</t>
  </si>
  <si>
    <t>ATENCIÓN POR MATRONA/ON</t>
  </si>
  <si>
    <t>ATENCIÓN POR ODONTÓLOGO/A</t>
  </si>
  <si>
    <t>Por compra de servicios</t>
  </si>
  <si>
    <t>SECCIÓN A : ATENCIONES MÉDICAS DE ESPECIALIDAD</t>
  </si>
  <si>
    <t>Técnico en Enfermería y en Salud Mental</t>
  </si>
  <si>
    <t xml:space="preserve">Técnico en Enfermería </t>
  </si>
  <si>
    <t>Niños, Niñas, Adolescentes y Jóvenes Mejor Niñez</t>
  </si>
  <si>
    <t>OTROS PROFESIONALES DEBIDAMENTE CAPACITADOS</t>
  </si>
  <si>
    <t>Niños, Niñas, Adolescentes y Jóvenes Población Mejor Niñez</t>
  </si>
  <si>
    <t>Niños, Niñas, Adolescentes y Jóvenes  Mejor Niñez</t>
  </si>
  <si>
    <t>Total de Llamadas</t>
  </si>
  <si>
    <t>Llamadas Validas</t>
  </si>
  <si>
    <t>16 - 30 meses</t>
  </si>
  <si>
    <t xml:space="preserve">SECCIÓN F: TAMIZAJE TRASTORNO ESPECTRO AUTISTA  (MCHAT-RF) </t>
  </si>
  <si>
    <t>Niños/as con sospecha del Espectro Autista en otros controles o consultas.</t>
  </si>
  <si>
    <t>Riego Bajo</t>
  </si>
  <si>
    <t>Riesgo medio</t>
  </si>
  <si>
    <t>Riego Alto</t>
  </si>
  <si>
    <t>Riesgo Alto con derivación a especialista</t>
  </si>
  <si>
    <t>No requiere derivación</t>
  </si>
  <si>
    <t>Requiere derivación</t>
  </si>
  <si>
    <t>Resultado M-CHAT R/F 1° parte</t>
  </si>
  <si>
    <t>Resultado M-CHAT R/F 2° Parte</t>
  </si>
  <si>
    <t>Riesgo Medio en 1° parte</t>
  </si>
  <si>
    <t>SECCIÓN A.5:  LACTANCIA EN  NIÑOS Y NIÑAS CONTROLADOS</t>
  </si>
  <si>
    <t>POR EDAD EN AÑOS</t>
  </si>
  <si>
    <t>Pueblos No Originarios</t>
  </si>
  <si>
    <t>Total Participantes</t>
  </si>
  <si>
    <t>HOMBRE</t>
  </si>
  <si>
    <t>Re-Tamizaje</t>
  </si>
  <si>
    <t>EXAMENES REALIZADOS</t>
  </si>
  <si>
    <t>MATERNIDAD</t>
  </si>
  <si>
    <t>EOA</t>
  </si>
  <si>
    <t>PEATa</t>
  </si>
  <si>
    <t>FAMILIA CON NIÑOS CON NECESIDADES ESPECIALES (NANEAS)</t>
  </si>
  <si>
    <t>PROYECCIÓN COMPLEMENTARIA</t>
  </si>
  <si>
    <t>Inasistente a consulta médica (NSP)</t>
  </si>
  <si>
    <t xml:space="preserve">Nuevas </t>
  </si>
  <si>
    <t>Atención Especialista en Sala</t>
  </si>
  <si>
    <t>Consultas realizadas en APS e informadas (contenidas en sección A)</t>
  </si>
  <si>
    <t>Especialistas de Hospitales</t>
  </si>
  <si>
    <t>Contratados por el Establecimiento o Dirección del Servicio</t>
  </si>
  <si>
    <t>Consultas de Especialidades resueltas por Médico General</t>
  </si>
  <si>
    <t xml:space="preserve">Consultorías de Médicos Especialistas otorgadas </t>
  </si>
  <si>
    <t>Total Interconsultas generadas en APS para derivación Especialidad</t>
  </si>
  <si>
    <t xml:space="preserve">LACTANCIA MATERNA MAS ALIMENTACIÓN COMPLEMENTARIA </t>
  </si>
  <si>
    <t>LACTANCIA MATERNA/ FÓRMULA LÁCTEA/ ALIMENTACIÓN COMPLEMENTARIA</t>
  </si>
  <si>
    <t>FORMULA LÁCTEA ALIMENTACIÓN COMPLEMENTARIA</t>
  </si>
  <si>
    <t>Diada</t>
  </si>
  <si>
    <t>NÚMERO DE NIÑOS Y NIÑAS CONTROLADOS</t>
  </si>
  <si>
    <t>CONSULTA DE LACTANCIA MATERNA DE SEGUIMIENTO</t>
  </si>
  <si>
    <t>OTRAS CONSULTAS DE LACTANCIA MATERNA</t>
  </si>
  <si>
    <t>CONSEJERÍA PRENATAL EN LACTANCIA MATERNA</t>
  </si>
  <si>
    <t>CONSEJERÍA POSTNATAL EN LACTANCIA MATERNA</t>
  </si>
  <si>
    <t>CONSULTA LACTANCIA MATERNA DE ALERTA</t>
  </si>
  <si>
    <t>CONSEJERÍA DE LACTANCIA</t>
  </si>
  <si>
    <t>PROTOCOLO HEARTS</t>
  </si>
  <si>
    <t xml:space="preserve">TRASTORNO DE PÁNICO  </t>
  </si>
  <si>
    <t xml:space="preserve">Diversidad sexual </t>
  </si>
  <si>
    <t>Niños, Niñas, Adolescentes y Jovenes Mejor Niñez</t>
  </si>
  <si>
    <t>Menor de 18 años</t>
  </si>
  <si>
    <t>18 y más años</t>
  </si>
  <si>
    <t>Otras instancias de Participación Juvenil</t>
  </si>
  <si>
    <t>FAMILIA CON NNA TRANS FEMENINO/MASCULINO</t>
  </si>
  <si>
    <t>SECCIÓN A: TELEINTERCONSULTA DE ESPECIALIDAD (ATENCION REALIZADA DE MEDICO A MEDICO)</t>
  </si>
  <si>
    <t>TIPO DE TELEINTERCONSULTA DE URGENCIA</t>
  </si>
  <si>
    <t xml:space="preserve"> TELEINTERCONSULTA  MEDICA DE URGENCIA EN HOSPITALES DE ALTA Y MEDIANA COMPLEJIDAD </t>
  </si>
  <si>
    <t xml:space="preserve">TELEINTERCONSULTAS SOLICITADAS DESDE APS O NIVEL SECUNDARIO PATRA SER RESUELTAS POR OTRO ESTABLECIMIENTO </t>
  </si>
  <si>
    <t xml:space="preserve">TELEINFORMES  REALIZADOS  </t>
  </si>
  <si>
    <t>TOTAL TELEINFORMES REALIZADOS</t>
  </si>
  <si>
    <t>ESPECIALIDADES ODONTOLÓGICAS</t>
  </si>
  <si>
    <t>ORTODONCIA Y ORTOPEDIA DENTO MAXILOFACIAL</t>
  </si>
  <si>
    <t>CONSULTA NUEVA GLAUCOMA UAPO</t>
  </si>
  <si>
    <t>15 -19</t>
  </si>
  <si>
    <t>TOTAL DE RECIEN NACIDOS TAMIZADOS</t>
  </si>
  <si>
    <t>RECIEN NACIDOS VIVOS QUE PASAN</t>
  </si>
  <si>
    <t>RECIEN NACIDOS QUE REFIEREN</t>
  </si>
  <si>
    <t>Tamizaje</t>
  </si>
  <si>
    <t>RECIEN NACIDOS VIVOS TAMIZADOS</t>
  </si>
  <si>
    <t>SERVICIO OTORRINOLARINGOLOGÍA (realizado antes de los 6 meses de vida)</t>
  </si>
  <si>
    <t>Teleinformes realizados por Inteligencia Artificial</t>
  </si>
  <si>
    <t xml:space="preserve">Teleinformes realizados por Médico Especialista </t>
  </si>
  <si>
    <t xml:space="preserve">REM-32. ACTIVIDADES DE ATENCIÓN DE SALUD REMOTA </t>
  </si>
  <si>
    <t xml:space="preserve">  </t>
  </si>
  <si>
    <t>Niños, niñas, adolescentes y jovenes Mejor Niñez</t>
  </si>
  <si>
    <t>0 a 14 años</t>
  </si>
  <si>
    <t>20 y mas años</t>
  </si>
  <si>
    <t>Contusionales</t>
  </si>
  <si>
    <t>Odontologícas</t>
  </si>
  <si>
    <t>Traumatologicas</t>
  </si>
  <si>
    <t>Presencial</t>
  </si>
  <si>
    <t>Remoto</t>
  </si>
  <si>
    <t>PSICOLOGÍA</t>
  </si>
  <si>
    <t>TRABAJO SOCIAL</t>
  </si>
  <si>
    <t>EPOC B</t>
  </si>
  <si>
    <t>AUTO CUIDADO</t>
  </si>
  <si>
    <t>OTRAS TEMATICAS</t>
  </si>
  <si>
    <t>LUGAR DE ENTREGA</t>
  </si>
  <si>
    <t>DESPACHO COMPLETO</t>
  </si>
  <si>
    <t xml:space="preserve">PRESCRIPCIONES </t>
  </si>
  <si>
    <t>SECCIÓN D.6: APLICACIÓN DE ESCALA ZARIT ABREVIADO EN CUIDADORES</t>
  </si>
  <si>
    <t>CANASTA INTEGRAL</t>
  </si>
  <si>
    <t>COMPRA SERVICIOS</t>
  </si>
  <si>
    <t>PRESENCIAL</t>
  </si>
  <si>
    <t>REMOTA</t>
  </si>
  <si>
    <t>CONSULTA MEDICA GINECOLOGICA EN CLIMATERIO</t>
  </si>
  <si>
    <t>ECOGRAFIA TRANSVAGINAL O TRANSRECTAL</t>
  </si>
  <si>
    <t>SECCIÓN C: PROCEDIMIENTOS APOYO CLÍNICO Y TERAPÉUTICO</t>
  </si>
  <si>
    <t>PROCEDIMIENTOS</t>
  </si>
  <si>
    <t>MEDICO ESPECIALISTA</t>
  </si>
  <si>
    <t>CUANTIFICACIÓN DE LAGRIMACIÓN (TEST DE SCHIMER), UNO O AMBOS OJOS</t>
  </si>
  <si>
    <t>CURVA DE TENSIÓN APLANÁTICA (POR CADA DÍA), C/OJO</t>
  </si>
  <si>
    <t>DISPLOSCOPIA CUANTITATIVA, AMBOS OJOS</t>
  </si>
  <si>
    <t>EXPLORACIÓN SENSORIOMOTORA: ESTRABISMO, ESTUDIO COMPLETO, AMBOS OJOS</t>
  </si>
  <si>
    <t>TONOMETRÍA APLANÁTICA C/OJO</t>
  </si>
  <si>
    <t>TRATAMIENTO ORTÓPTICO Y/O PLEÓPTICO (POR SESIÓN), AMBOS OJOS</t>
  </si>
  <si>
    <t>CUERPO EXTRAÑO CONJUNTIVAL Y/O CORNEAL</t>
  </si>
  <si>
    <t>CAMPIMETRÍA COMPUTARIZADA, C/OJO (EN UAPO)</t>
  </si>
  <si>
    <t>TOMOGRAFIA COHERENTE ÓPTICA, C/OJO</t>
  </si>
  <si>
    <t>AGUDEZA VISUAL AISLADA CADA OJO</t>
  </si>
  <si>
    <t>PAQUIMETRÍA</t>
  </si>
  <si>
    <t>AUTOREFRACTOMIA</t>
  </si>
  <si>
    <t>LENSOMETRIA</t>
  </si>
  <si>
    <t>EXTRACCIÓN CUERPO EXTRAÑO OJO (CONJUNTIVAL Y/O CORNEAL)</t>
  </si>
  <si>
    <t>HEMOGLUCOTEST PREVIO A CONSULTA VICIO DE REFRACCIÓN EN PACIENTE DIABÉTICO</t>
  </si>
  <si>
    <t>AUTORREFRACCIÓN BAJO CICLOPLEJIA</t>
  </si>
  <si>
    <t>IRRIGACIÓN DE LA VÍA LAGRIMAL</t>
  </si>
  <si>
    <t>PRUEBA DE PROVOCACIÓN OSCURIDAD MÁS PRONACIÓN</t>
  </si>
  <si>
    <t xml:space="preserve">OTORRINOLARINGOLOGÍA </t>
  </si>
  <si>
    <t>AUDIMETRÍAS (REALIZADAS)</t>
  </si>
  <si>
    <t>IMPEDANCIOMETRÍA</t>
  </si>
  <si>
    <t>EMISIONES OTOACUSTICAS</t>
  </si>
  <si>
    <t>EXAMEN FUNCIONAL VIII PAR</t>
  </si>
  <si>
    <t>OTROS PROCEDIMIENTOS (Lavado de Oidos u otros)</t>
  </si>
  <si>
    <t>RETINOGRAFÍA AMBOS OJOS PACIENTES SIN  DIABETES MELLITUS</t>
  </si>
  <si>
    <t>EXPLORACIÓN VITREORRETINAL PACIENTES SIN DIABETES MELLITUS</t>
  </si>
  <si>
    <t>CALIBRACION CONTROL PRUEBA DE AUDÍFONOS</t>
  </si>
  <si>
    <t>ATENCION ODONTOLOGICA</t>
  </si>
  <si>
    <t>ENTREGA FARMACOS/ALIMENTOS</t>
  </si>
  <si>
    <t>ATENCION NUTRICIONAL A PERSONAS CON INDICACION DE NED</t>
  </si>
  <si>
    <t>PODOLOGO</t>
  </si>
  <si>
    <t>MORBILIDAD MEDICA</t>
  </si>
  <si>
    <t xml:space="preserve">VISITAS CON OTROS FINES </t>
  </si>
  <si>
    <t>TELEMEDICINA/TELEASISTENCIA</t>
  </si>
  <si>
    <t>SEGUIMIENTO REMOTO</t>
  </si>
  <si>
    <t>NUMERO SESIONES TOTALES REALIZADAS</t>
  </si>
  <si>
    <t>NUMERO DE BENEFICIARIOS</t>
  </si>
  <si>
    <t>SESIONES REHABILITACION AUDITIVA INDIVIDUAL</t>
  </si>
  <si>
    <t>SESIONES REHABILITACION AUDITIVA GRUPAL</t>
  </si>
  <si>
    <t>EVALUACION ADHERENCIA</t>
  </si>
  <si>
    <t>SEGUIMIENTO ADHERENCIA</t>
  </si>
  <si>
    <t xml:space="preserve">SESIONES REHABILITACION VESTIBULAR </t>
  </si>
  <si>
    <t xml:space="preserve">SESIONES REHABILITACION DEGLUCION </t>
  </si>
  <si>
    <t>TRANS Femenino/
Masculino</t>
  </si>
  <si>
    <t>*no incluidos en REM A26 sección D.</t>
  </si>
  <si>
    <t>REHABILITACION PULMONAR POST COVID</t>
  </si>
  <si>
    <t>EPOC A</t>
  </si>
  <si>
    <t>Multimorbilidad Crónica</t>
  </si>
  <si>
    <t>Población ELEAM o Institucionalizada</t>
  </si>
  <si>
    <t>Tecnico en Enfermería</t>
  </si>
  <si>
    <t>Profesional</t>
  </si>
  <si>
    <t>TECNÓLOGO MÉDICO, FONOAUDIOLOGO O TERAPEUTA OCUPACIONAL</t>
  </si>
  <si>
    <t>PROCEDIMIENTO V-HIT</t>
  </si>
  <si>
    <t>PEATC</t>
  </si>
  <si>
    <t>MANIOBRAS DE REPOSICIÓN DE PARTÍCULAS</t>
  </si>
  <si>
    <t>NASOFIBROSCOPIA ADULTO / NIÑO</t>
  </si>
  <si>
    <t>PRUEBA DE FUNCIÓN TUBARIA</t>
  </si>
  <si>
    <t>VEMP (POTENCIALES EVOCADOS MIOGÉNICOS  VESTIBULARES)</t>
  </si>
  <si>
    <t>TOMA DE IMPRESIÓN DE MOLDE AUDITIVO</t>
  </si>
  <si>
    <t>RINOMANOMETRIA</t>
  </si>
  <si>
    <t>TELEINTERCONSULTAS SOLICITADAS</t>
  </si>
  <si>
    <t>TELEINTERCONSULTAS RESPONDIDAS</t>
  </si>
  <si>
    <t>INFORMACION ENTREGADA A USUARIO</t>
  </si>
  <si>
    <t>Hospital Digital</t>
  </si>
  <si>
    <t>Otra</t>
  </si>
  <si>
    <t>Medico interconsultor (vía de resolusión)</t>
  </si>
  <si>
    <t>Teleconsultorías</t>
  </si>
  <si>
    <t>Teleconsulta Abreviada  (Videollamada)/ Consulta Abreviada Telefónica Atención Remota: entrega de los resultados de exámenes o procedimiento (Confección de recetas o lectura de exámenes)</t>
  </si>
  <si>
    <t>TELECONSULTAS NUEVAS DE ESPECIALIDAD SEGÚN ORIGEN</t>
  </si>
  <si>
    <t>ALTA DE CONSULTA DE ESPECIALIDAD AMBULATORIA REMOTA</t>
  </si>
  <si>
    <t>GESTIÓN DE CASOS</t>
  </si>
  <si>
    <t>INGRESO INTEGRAL</t>
  </si>
  <si>
    <t>INGRESO RIESGO ALTO (G3)</t>
  </si>
  <si>
    <t>EGRESO RIESGO ALTO (G3)</t>
  </si>
  <si>
    <t xml:space="preserve">TÉCNICO EN ENFERMERÍA </t>
  </si>
  <si>
    <t>Control con Presencia del Padre</t>
  </si>
  <si>
    <t>Servicio Itinerante en  Centro de Salud</t>
  </si>
  <si>
    <t>OTROS PROFESIONALES CAPACITADOS (SALUD MENTAL)</t>
  </si>
  <si>
    <t xml:space="preserve"> CONTROL DE SALUD INTEGRAL</t>
  </si>
  <si>
    <t>Epuipo de espacio Amigable</t>
  </si>
  <si>
    <t>Otro Equipo de Salud</t>
  </si>
  <si>
    <t>CLASIFICACIÓN</t>
  </si>
  <si>
    <t>ESTADO NUTRICIONAL NORMAL</t>
  </si>
  <si>
    <t xml:space="preserve">CONSUMO PERJUDICIAL DE ALCOHOL </t>
  </si>
  <si>
    <t xml:space="preserve">CONSUMO DEPENDIENTE DEL ALCOHOL </t>
  </si>
  <si>
    <t>CONSUMO PERJUDICIAL DE DROGAS</t>
  </si>
  <si>
    <t xml:space="preserve">CONSUMO DEPENDIENTE DE DROGAS </t>
  </si>
  <si>
    <t xml:space="preserve">CONSUMO DE DROGAS Y ALCOHOL </t>
  </si>
  <si>
    <t>65 y más años</t>
  </si>
  <si>
    <t xml:space="preserve">MAL NUTRICIÓN POR RIESGO A DESNUTRIR/RIEGO BAJO PESO </t>
  </si>
  <si>
    <t>Nº Participantes</t>
  </si>
  <si>
    <t>Nº Sesiones</t>
  </si>
  <si>
    <t>OTRAS CRÓNICAS RESPIRATORIAS</t>
  </si>
  <si>
    <t>Niños, Niñas, Adolescentes y Jóvenes Población SENAME</t>
  </si>
  <si>
    <t>Personas con discapacidad (con RND)</t>
  </si>
  <si>
    <t>DOLOR CERVICAL AGUDO</t>
  </si>
  <si>
    <t>DOLOR LUMBAR AGUDO</t>
  </si>
  <si>
    <t xml:space="preserve">HOMBRO DOLOROSO AGUDO </t>
  </si>
  <si>
    <t>OTRO DOLOR MUSCULOESQUELÉTICO AGUDO</t>
  </si>
  <si>
    <t>ARTROSIS DE RODILLA Y CADERA</t>
  </si>
  <si>
    <t>ARTRITIS REUMATOIDEA</t>
  </si>
  <si>
    <t>OTRO DOLOR MUSCULOESQUELÉTICO CRÓNICO</t>
  </si>
  <si>
    <t>TRAUMATISMO ENCÉFALO CRANEANO (TEC)</t>
  </si>
  <si>
    <t>LESIÓN MEDULAR</t>
  </si>
  <si>
    <t>ENFERMEDADES NEUROMUSCULARES</t>
  </si>
  <si>
    <t>ALTERACIONES EN EL DESARROLLO PSICOMOTOR</t>
  </si>
  <si>
    <t>DISRAFIAS ESPINALES</t>
  </si>
  <si>
    <t>TRASTORNO ESPECTRO AUTISTA</t>
  </si>
  <si>
    <t xml:space="preserve">AMPUTACIÓN </t>
  </si>
  <si>
    <t>COVID-19</t>
  </si>
  <si>
    <t xml:space="preserve">Modalidad de rehabilitación </t>
  </si>
  <si>
    <t>Presencial (Establecimiento)</t>
  </si>
  <si>
    <t>A distancia</t>
  </si>
  <si>
    <t>Domiciliaria</t>
  </si>
  <si>
    <t>ACTIVIDAD FÍSICA</t>
  </si>
  <si>
    <t>INTERVENCIÓN EN ACTIVIDADES DE LA VIDA DIARIA, BÁSICAS, INSTRUMENTALES Y AVANZADAS</t>
  </si>
  <si>
    <t>REPARACIÓN DE ÓRTESIS Y/O ADAPTACIONES</t>
  </si>
  <si>
    <t>HABILITACIÓN Y REHABILITACIÓN SOCIO-LABORAL</t>
  </si>
  <si>
    <t xml:space="preserve">REHABILITACIÓN DE LA VOZ, HABLA Y/O LENGUAJE </t>
  </si>
  <si>
    <t>REHABILITACIÓN DE LA DEGLUCIÓN</t>
  </si>
  <si>
    <t xml:space="preserve">REHABILITACIÓN VESTIBULAR </t>
  </si>
  <si>
    <t>EDUCACIÓN A USUARIO/A, CUIDADOR/A Y/O FAMILIA</t>
  </si>
  <si>
    <t>ATENCIÓN PSICOTERAPÉUTICA</t>
  </si>
  <si>
    <t>OTRAS NEUROLÓGICAS</t>
  </si>
  <si>
    <t>RECIEN NACIDO DE ALTO RIESGO</t>
  </si>
  <si>
    <t>SÍNDROME POST-UCI</t>
  </si>
  <si>
    <t xml:space="preserve">ENFERMEDADES RESPIRATORIAS </t>
  </si>
  <si>
    <t>ENFERMEDADES CARDIACAS</t>
  </si>
  <si>
    <t>DOLOR MUSCULOESQUELÉTICO CRÓNICO</t>
  </si>
  <si>
    <t>OTRAS REUMATOLÓGICAS</t>
  </si>
  <si>
    <t xml:space="preserve"> OTROS PRE Y POST QUIRÚRGICOS</t>
  </si>
  <si>
    <t>GENITOURINARIAS</t>
  </si>
  <si>
    <t>INSTITUCIÓN CON CONVENIO</t>
  </si>
  <si>
    <t>CONFECCIÓN DE PRÓTESIS</t>
  </si>
  <si>
    <t>ESTIMULACIÓN SENSORIAL</t>
  </si>
  <si>
    <t xml:space="preserve">TOTAL AYUDA TÉCNICA POR CONDICIÓN DE SALUD </t>
  </si>
  <si>
    <t>ESCLEROSIS LATERAL AMIOTRÓFICA</t>
  </si>
  <si>
    <t xml:space="preserve">PERSONA MAYOR FRÁGIL </t>
  </si>
  <si>
    <t xml:space="preserve">SECCIÓN A.1: INGRESOS Y EGRESOS  A ATENCIONES DE REHABILITACIÓN EN EL NIVEL PRIMARIO </t>
  </si>
  <si>
    <t>EDUCACIÓN PERSONA USUARIO/A, CUIDADOR/A Y/O FAMILIARES</t>
  </si>
  <si>
    <t xml:space="preserve">Diversidad Sexual </t>
  </si>
  <si>
    <t>INFORME POR MEDICO LICITADO</t>
  </si>
  <si>
    <t>INFORMADA POR MEDICO HD</t>
  </si>
  <si>
    <t>EXPLORACIÓN VITREORRETINAL, AMBOS OJOS (FONDO DE OJO)</t>
  </si>
  <si>
    <t>SIN ALTERACION</t>
  </si>
  <si>
    <t>ALTERADOS</t>
  </si>
  <si>
    <t>IMÁGENES CAPTURADAS</t>
  </si>
  <si>
    <t>INFORMES RECIBIDOS SIN ALTERACION</t>
  </si>
  <si>
    <t>INFORMES RECIBIDOS CON SOSPECHA DE ALTERACION</t>
  </si>
  <si>
    <t>SUBIDAS A PLATAFORMA DE TELEINFORME LOCAL (NO CENTRALIZADA)</t>
  </si>
  <si>
    <t>ENTREGA RESULTADOS FONDO DE OJO AL USUARIO</t>
  </si>
  <si>
    <t>REMOTO</t>
  </si>
  <si>
    <t xml:space="preserve"> PROCEDIMIENTOS</t>
  </si>
  <si>
    <t>SECCIÓN E: INTERVENCIONES QUIRÚRGICAS MENORES QUE SE REALIZAN EN UAPO</t>
  </si>
  <si>
    <t>SECCION F: FONDOS DE OJO CONTROL DIABETES MELLITUS</t>
  </si>
  <si>
    <t>SECCION G: ACTIVIDADES DE REHABILITACION EN UAPORRINO</t>
  </si>
  <si>
    <t>SECCION H: CANASTA INTEGRAL DERMATOLOGIA</t>
  </si>
  <si>
    <t>SECCIÓN I : ATENCION INTEGRAL EN CLIMATERIO</t>
  </si>
  <si>
    <t xml:space="preserve">Presencial (Establecimiento) </t>
  </si>
  <si>
    <t xml:space="preserve">MODALIDAD DE REHABILITACIÓN  </t>
  </si>
  <si>
    <t xml:space="preserve">MODALIDAD DE REHABILITACIÓN   </t>
  </si>
  <si>
    <t xml:space="preserve">MODALIDAD DE REHABILITACIÓN </t>
  </si>
  <si>
    <t>Totales Rehabilitación Base Comunitaria (RBC)</t>
  </si>
  <si>
    <t>Totales Rehabilitación Integral  (RI)</t>
  </si>
  <si>
    <t>Totales Rehabilitación Rural (RR)</t>
  </si>
  <si>
    <t>Totales Rehabilitación Infantil</t>
  </si>
  <si>
    <t>NUMERO DE EVALUACIONES DE AYUDAS TÉCNICAS</t>
  </si>
  <si>
    <t>NUMERO DE ENTRENAMIENTO DE AYUDAS TÉCNICAS</t>
  </si>
  <si>
    <t>SITTING</t>
  </si>
  <si>
    <t xml:space="preserve">ÓRTESIS DE COLUMNA VERTEBRAL </t>
  </si>
  <si>
    <t xml:space="preserve">ÓRTESIS MIEMBRO INFERIOR </t>
  </si>
  <si>
    <t xml:space="preserve">OTRAS PRÓTESIS EXTREMIDAD INFERIOR </t>
  </si>
  <si>
    <t xml:space="preserve">PRÓTESIS EXTREMIDAD INFERIOR TRANSFERMORAL </t>
  </si>
  <si>
    <t xml:space="preserve">PRÓTESIS EXTREMIDAD INFERIOR TRANSTIBIAL </t>
  </si>
  <si>
    <t xml:space="preserve">ÓRTESIS MIEMBRO SUPERIOR </t>
  </si>
  <si>
    <t xml:space="preserve">COJINES Y RESPALDOS PARA LA ESTABILIZACIÓN Y POSICIONAMIENTO DEL CUERPO </t>
  </si>
  <si>
    <t xml:space="preserve">AYUDAS TÉCNICAS PARA ACTIVIDADES DE ALIMENTACIÓN, VESTUARIO E HIGIENE PERSONAL </t>
  </si>
  <si>
    <t xml:space="preserve">OTRAS NEUROLÓGICAS </t>
  </si>
  <si>
    <t>TRABADOR/A SOCIAL</t>
  </si>
  <si>
    <t xml:space="preserve">SECCIÓN A.9: INTERVENCIONES TERAPÉUTICAS GRUPALES </t>
  </si>
  <si>
    <t xml:space="preserve">SECCIÓN A.10: PERSONAS QUE LOGRAN PARTICIPACIÓN EN COMUNIDAD </t>
  </si>
  <si>
    <t>SECCIÓN A.11: ACTIVIDADES Y PARTICIPACIÓN</t>
  </si>
  <si>
    <t>Por Campaña de Invierno</t>
  </si>
  <si>
    <t>Niños, niñas, adolescentes y jóvenes Mejor Niñez</t>
  </si>
  <si>
    <t>Niños. Niñas, adolescentes y jóvenes Mejor Niñez</t>
  </si>
  <si>
    <t>Grupo de Edad</t>
  </si>
  <si>
    <t>20 - 64 años</t>
  </si>
  <si>
    <t>Recien Nacidos  Tamizados</t>
  </si>
  <si>
    <t xml:space="preserve">Recién  Nacidos referidos a Cardiología </t>
  </si>
  <si>
    <t>FIBROSIS QUISTICA</t>
  </si>
  <si>
    <t>Exámenes de 2a punción</t>
  </si>
  <si>
    <t>2a muestra en &lt;36 semanas</t>
  </si>
  <si>
    <t>Examenes alterados</t>
  </si>
  <si>
    <t>RN tamizados según piloto</t>
  </si>
  <si>
    <t>RECIEN NACIDOS TAMIZADOS</t>
  </si>
  <si>
    <t xml:space="preserve">EGRESADOS CON MADRES SEROLOGÍA POSITIVA (VIH) </t>
  </si>
  <si>
    <t>EGRESADOS CON MADRES SEROLOGÍA POSITIVA   (HTLV-1)</t>
  </si>
  <si>
    <t>EGRESADOS CON MADRES ACOGIDAS A LA LEY 21.155 (Derecho a no amamantar)</t>
  </si>
  <si>
    <t>ANOMALÍA CONGÉNITA</t>
  </si>
  <si>
    <t>ACOMPAÑAMIENTO INTEGRAL DUELO PERINATAL</t>
  </si>
  <si>
    <t>Atención en Sala Diferenciada</t>
  </si>
  <si>
    <t>Con acompañamiento psicosocial</t>
  </si>
  <si>
    <t xml:space="preserve">padre o familiar significativo </t>
  </si>
  <si>
    <t>MORTINATOS</t>
  </si>
  <si>
    <t>MORTINEONATOS</t>
  </si>
  <si>
    <t>Entrega de recuerdos de maternidad/
paternidad</t>
  </si>
  <si>
    <t>SECCIÓN D.2: ATENCION INMEDIATA DEL RECIEN NACIDO</t>
  </si>
  <si>
    <t>PROFILAXIS</t>
  </si>
  <si>
    <t xml:space="preserve">APGAR  </t>
  </si>
  <si>
    <t>SECCIÓN D: INFORMACIÓN DE RECIÉN NACIDOS</t>
  </si>
  <si>
    <t>SECCIÓN D.1: INFORMACION GENERAL DE RECIEN NACIDOS VIVOS</t>
  </si>
  <si>
    <t>INMADURA</t>
  </si>
  <si>
    <t>3 MESES</t>
  </si>
  <si>
    <t>4 MESES</t>
  </si>
  <si>
    <t>SECCIÓN A.6:  RESULTADOS RADIOGRAFÍA DE PELVIS (CADERA)</t>
  </si>
  <si>
    <t>Violencia Intrafamiliar</t>
  </si>
  <si>
    <t>Derivadas a equipo de cabecera</t>
  </si>
  <si>
    <t xml:space="preserve">Total de Aplicaciones </t>
  </si>
  <si>
    <t>EXAMENES</t>
  </si>
  <si>
    <t>SECCIÓN C: MÉTODO ANTICONCEPTIVO AL ALTA</t>
  </si>
  <si>
    <t>METODO ANTICONCEPTIVO</t>
  </si>
  <si>
    <t>POST IVE</t>
  </si>
  <si>
    <t>POST PARTO</t>
  </si>
  <si>
    <t xml:space="preserve">Edad en años </t>
  </si>
  <si>
    <t>DIU con Cobre</t>
  </si>
  <si>
    <t>DIU con Levonorgestrel</t>
  </si>
  <si>
    <t>Métodos de barrera</t>
  </si>
  <si>
    <t>Esterilización quirúrgica</t>
  </si>
  <si>
    <t>Alta sin método anticonceptivo</t>
  </si>
  <si>
    <t>TOTAL ALTAS</t>
  </si>
  <si>
    <t>50 y más años</t>
  </si>
  <si>
    <t xml:space="preserve">Presencial </t>
  </si>
  <si>
    <t>A Distancia</t>
  </si>
  <si>
    <t xml:space="preserve">Domiciliaria </t>
  </si>
  <si>
    <t>Cerrada</t>
  </si>
  <si>
    <t>Menor de 4 años</t>
  </si>
  <si>
    <t>Niños, Niñas, Adolescentes y Jóvenes SENAME</t>
  </si>
  <si>
    <t>Niños, Niñas, Adolescentes y Jóvenes  SENAME</t>
  </si>
  <si>
    <t>Niños, Niñas, Adolescentes y Jovenes SENAME</t>
  </si>
  <si>
    <t>Técnico en Enfermería</t>
  </si>
  <si>
    <t>65 a 79 años</t>
  </si>
  <si>
    <t>80  y más años</t>
  </si>
  <si>
    <t>N° de cupos Campaña de Invierno</t>
  </si>
  <si>
    <t>SECCION A.3: COMPLICACIONES</t>
  </si>
  <si>
    <t>Atención institucional</t>
  </si>
  <si>
    <t>Parto en Domicilio</t>
  </si>
  <si>
    <t>HEMORRAGIA POST PARTO</t>
  </si>
  <si>
    <t>INERCIA</t>
  </si>
  <si>
    <t>RESTOS</t>
  </si>
  <si>
    <t>TRAUMA</t>
  </si>
  <si>
    <t>DESGARROS III Y IV</t>
  </si>
  <si>
    <t>ALTERACIONES DE LA COAGULACIÓN</t>
  </si>
  <si>
    <t>SEPSIS O INFECCION SISTÉMICA GRAVE</t>
  </si>
  <si>
    <t>OTRO</t>
  </si>
  <si>
    <t>MANEJO QUIRURGICO DE LA INERCIA UTERINA</t>
  </si>
  <si>
    <t>HISTERECTOMÍA OBSTÉTRICA</t>
  </si>
  <si>
    <t>TRANSFUSION</t>
  </si>
  <si>
    <t>CLASIFICACIÓN SEGÚN MODELO DE ROBSON</t>
  </si>
  <si>
    <t>PROGRAMADA</t>
  </si>
  <si>
    <t xml:space="preserve">Total cesáreas grupo 2 </t>
  </si>
  <si>
    <t>Por requerimiento materno</t>
  </si>
  <si>
    <t>Acompañamiento durante la cesárea</t>
  </si>
  <si>
    <t>SECCION A.1: PARTOS VAGINALES*</t>
  </si>
  <si>
    <t>CARACTERISTICAS DEL MODELO DE ATENCION</t>
  </si>
  <si>
    <t>&lt;28 semanas</t>
  </si>
  <si>
    <t>28 a 37 semanas</t>
  </si>
  <si>
    <t>ESPONTANEO</t>
  </si>
  <si>
    <t>INDUCIDOS</t>
  </si>
  <si>
    <t>MECÁNICA</t>
  </si>
  <si>
    <t>FARMACOLÓGICA</t>
  </si>
  <si>
    <t>LIBERTAD DE MOVIMIENTO</t>
  </si>
  <si>
    <t>RÉGIMEN HÍDRICO AMPLIO</t>
  </si>
  <si>
    <t>POSICIÓN AL MOMENTO DEL EXPULSIVO</t>
  </si>
  <si>
    <t>LITOTOMÍA</t>
  </si>
  <si>
    <t>OTRAS POSICIONES</t>
  </si>
  <si>
    <t>EPISIOTOMIA</t>
  </si>
  <si>
    <t xml:space="preserve">ACOMPAÑAMIENTO  </t>
  </si>
  <si>
    <t>DURANTE EL TRABAJO DE PARTO</t>
  </si>
  <si>
    <t>SOLO EN EL EXPULSIVO</t>
  </si>
  <si>
    <t>(*) Partos de Término y Pre-Término</t>
  </si>
  <si>
    <t>SECCIÓN A.1: VISITAS DOMICILIARIAS INTEGRALES A PERSONAS CON DEPENDENCIA SEVERA Y SUS CUIDADORES</t>
  </si>
  <si>
    <t xml:space="preserve"> A PERSONAS CON DEPENDENCIA SEVERA EN PROGRAMA</t>
  </si>
  <si>
    <t>FAMILIA CON PERSONA CON DEMENCIA</t>
  </si>
  <si>
    <t>Niños, niñas, adolescentes y jóvenes SENAME</t>
  </si>
  <si>
    <t>Niños. Niñas, adolescentes y jóvenes SENAME</t>
  </si>
  <si>
    <t>Niños, niñas, adolescentes y jovenes SENAME</t>
  </si>
  <si>
    <t>Ocular</t>
  </si>
  <si>
    <t>Parto Vaginal</t>
  </si>
  <si>
    <t>Parto Instrumental</t>
  </si>
  <si>
    <t>Cesárea</t>
  </si>
  <si>
    <t>Parto extrahospitalario</t>
  </si>
  <si>
    <t xml:space="preserve">Apgar menor o igual a 3 al minuto </t>
  </si>
  <si>
    <t xml:space="preserve">Apgar menor o igual a 6 a los 5 minutos </t>
  </si>
  <si>
    <t>Hepatitis B</t>
  </si>
  <si>
    <t xml:space="preserve">Reanimación Básica </t>
  </si>
  <si>
    <t xml:space="preserve">Reanimación Avanzada </t>
  </si>
  <si>
    <t>EHI                Grado II y III</t>
  </si>
  <si>
    <t>Anomalía Congénita</t>
  </si>
  <si>
    <t>Tipo de Complicación</t>
  </si>
  <si>
    <t>SECCIÓN A: INFORMACIÓN GENERAL DE PARTOS</t>
  </si>
  <si>
    <t>CARACTERISTICAS DEL PARTO</t>
  </si>
  <si>
    <t>PARTOS SEGÚN EDAD DE LA MADRE</t>
  </si>
  <si>
    <t>PARTOS PREMATUROS (considerar sobre 22 semanas)</t>
  </si>
  <si>
    <t>Uso de oxitocina profiláctica</t>
  </si>
  <si>
    <t>Atención con pertinencia cultural</t>
  </si>
  <si>
    <t>Anestesia Neuroaxial</t>
  </si>
  <si>
    <t>Oxido nitroso</t>
  </si>
  <si>
    <t>Analgesia endovenosa</t>
  </si>
  <si>
    <t>Medidas no farmacológicas</t>
  </si>
  <si>
    <t>Con la Madre</t>
  </si>
  <si>
    <t>Con el padre o acompañante significativo</t>
  </si>
  <si>
    <t xml:space="preserve">RN peso menor o igual a 2.499 grs. </t>
  </si>
  <si>
    <t>RN con peso de 2.500 grs. o más</t>
  </si>
  <si>
    <t>VAGINAL</t>
  </si>
  <si>
    <t>INSTRUMENTAL</t>
  </si>
  <si>
    <t>PARTO PREHOSPITALARIO (en establecimientos salud o ambulancias)</t>
  </si>
  <si>
    <t xml:space="preserve">ENTREGA DE PLACENTA A SOLICITUD </t>
  </si>
  <si>
    <t>PARTO EN DOMICILIO</t>
  </si>
  <si>
    <t>SECCIÓN B: INTERRUPCIÓN VOLUNTARIA DEL EMBARAZO</t>
  </si>
  <si>
    <t>SECCIÓN F: CONSULTA DE LACTANCIA MATERNA EN SERVICIOS GINECO-OBSTÉTRICOS</t>
  </si>
  <si>
    <t>SECCIÓN G: TALLERES GRUPALES DE LACTANCIA MATERNA</t>
  </si>
  <si>
    <t xml:space="preserve">SECCIÓN H:  TAMIZAJES DEL RECIÉN NACIDO </t>
  </si>
  <si>
    <t>SECCION H.1: TAMIZAJE METABOLICO</t>
  </si>
  <si>
    <t>SECCIÓN H.2:  TAMIZAJE AUDITIVO</t>
  </si>
  <si>
    <t>SECCION H.3: TAMIZAJE CARDIOPATÍAS CONGÉNITAS</t>
  </si>
  <si>
    <t>Primera Visita</t>
  </si>
  <si>
    <t>Segunda Visita</t>
  </si>
  <si>
    <t xml:space="preserve">Tercera o másVisitas de Seguimiento </t>
  </si>
  <si>
    <t xml:space="preserve">Elaboración Plan de Cuidados a Personas Dependientes </t>
  </si>
  <si>
    <t>ENFERMERÍA</t>
  </si>
  <si>
    <t>Quimioterapia</t>
  </si>
  <si>
    <t>Hemodiálisis</t>
  </si>
  <si>
    <t xml:space="preserve">Coronariografía
</t>
  </si>
  <si>
    <t xml:space="preserve">Cirugía Mayor Ambulatoria
</t>
  </si>
  <si>
    <t>CDT/CAE/CRS/Hospitalizado</t>
  </si>
  <si>
    <t>Teleconsulta Nueva</t>
  </si>
  <si>
    <t>Teleconsulta Control</t>
  </si>
  <si>
    <t>SECCIÓN A1:  INGRESOS POR DIAGNÓSTICO Y EGRESO POR CAUSALES</t>
  </si>
  <si>
    <t>INGRESOS POR DIAGNÓSTICO CON PLAN DE TRATAMIENTO</t>
  </si>
  <si>
    <t>Tumores malignos</t>
  </si>
  <si>
    <t>Otros cáncer (incluye hematológicos)</t>
  </si>
  <si>
    <t>Infección causada por VIH</t>
  </si>
  <si>
    <t>Otras enfermedades infecciosas</t>
  </si>
  <si>
    <t>Trastornos mentales orgánicos</t>
  </si>
  <si>
    <t>Enfermedades extrapiramidales y/o del movimiento</t>
  </si>
  <si>
    <t>Desmielinizantes del SNC</t>
  </si>
  <si>
    <t>Neurodegenerativas</t>
  </si>
  <si>
    <t>Parálisis cerebral severa</t>
  </si>
  <si>
    <t>Cardiopatías congénitas o adquiridas</t>
  </si>
  <si>
    <t>Insuficiencia cardíaca</t>
  </si>
  <si>
    <t>Enfermedades sistema nervioso vascular o traumático (ACV-TEC)</t>
  </si>
  <si>
    <t>Otras pulmonares (restrictivas, vasculares)</t>
  </si>
  <si>
    <t>Insuficiencia hepática</t>
  </si>
  <si>
    <t>Enfermedad renal crónica</t>
  </si>
  <si>
    <t>Malformaciones congénitas, deformidades y anomalías cromosómicas</t>
  </si>
  <si>
    <t>Enfermedades autoinmunes e inmunodeficiencias severas</t>
  </si>
  <si>
    <t>Enfermedades gastrointestinales</t>
  </si>
  <si>
    <t>Prematurez</t>
  </si>
  <si>
    <t>Enfermedades endocrinas, nutricionales y metabólicas</t>
  </si>
  <si>
    <t>Alteraciones del tejido conjuntivo o musculoesquelético severos</t>
  </si>
  <si>
    <t>Fallecimiento menor a 6 meses desde ingreso</t>
  </si>
  <si>
    <t>Fallecimiento más de 6 meses y menos de un año del ingreso</t>
  </si>
  <si>
    <t>Fallecimiento posterior a 12 meses del ingreso</t>
  </si>
  <si>
    <t>Otra causal</t>
  </si>
  <si>
    <t xml:space="preserve">SECCIÓN A.2:  ACTIVIDADES NIVEL PRIMARIO </t>
  </si>
  <si>
    <t>ATENCIONES POR PROFESIONAL O TECNICO</t>
  </si>
  <si>
    <t>QF</t>
  </si>
  <si>
    <t xml:space="preserve">SECCIÓN B:  NIVEL ESPECIALIDAD  </t>
  </si>
  <si>
    <t>SECCIÓN B1:  INGRESOS POR DIAGNÓSTICO Y EGRESO POR CAUSALES</t>
  </si>
  <si>
    <t>Otras causal</t>
  </si>
  <si>
    <t xml:space="preserve">SECCIÓN B.2:  ACTIVIDADES NIVEL ESPECIALIDAD  </t>
  </si>
  <si>
    <t>SECCIÓN E:  REQUERIMIENTO DERIVACION Y/O ATENCION DE URGENCIA</t>
  </si>
  <si>
    <t>SAPU-SAR</t>
  </si>
  <si>
    <t>SUH</t>
  </si>
  <si>
    <t>SECCION C: CAPACITACIONES DE EQUIPOS (Intra y entre Equipos)</t>
  </si>
  <si>
    <t>SECCION D: TELECOMITES</t>
  </si>
  <si>
    <t>Otros profesionales</t>
  </si>
  <si>
    <t>menores de 15 años</t>
  </si>
  <si>
    <t>Entrega de resultados de exámenes</t>
  </si>
  <si>
    <t>Confección de recetas</t>
  </si>
  <si>
    <t>Renovación de licencias médicas</t>
  </si>
  <si>
    <t>SECCIÓN B: CONSULTA  ABREVIADA MEDIANTE TELESALUD</t>
  </si>
  <si>
    <t>SECCIÓN D1: ATENCIONES REMOTAS MEDICAS EN ESPECIALIDAD</t>
  </si>
  <si>
    <t>SECCIÓN D: ATENCIONES TELEFONICAS EN CONSULTAS Y CONTROLES</t>
  </si>
  <si>
    <t>SECCIÓN D.2: ATENCIONES REMOTAS CONSULTAS Y CONTROLES POR OTROS PROFESIONALES EN ESPECIALIDAD (NIVEL SECUNDARIO)</t>
  </si>
  <si>
    <t xml:space="preserve">SECCIÓN E: ATENCIÓN ODONTOLÓGICA </t>
  </si>
  <si>
    <t>SECCIÓN E1: ATENCIÓN ODONTOLÓGICA NIVEL PRIMARIO</t>
  </si>
  <si>
    <t>SECCIÓN E2: ATENCIÓN ODONTOLÓGICA ESTABLECIMIENTOS HOSPITALARIOS DE BAJA, MEDIANA Y ALTA COMPLEJIDAD</t>
  </si>
  <si>
    <t xml:space="preserve">SECCION F: ACCIONES DE SALUD MENTAL REMOTAS </t>
  </si>
  <si>
    <t>SECCIÓN F2: CONTROLES DE SALUD MENTAL REMOTOS (APS Y ESPECIALIDAD)</t>
  </si>
  <si>
    <t xml:space="preserve">SECCION G: ACCIONES DE SEGUIMIENTO REMOTO EN EL PROGRAMA DE SALUD CARDIOVASCULAR EN APS </t>
  </si>
  <si>
    <t>SECCIÓN H: ACTIVIDADES DE ACOMPAÑAMIENTO REMOTO A PERSONAS MAYORES Y SUS FAMILIAS POR PARTE DEL PROGRAMA MÁS ADULTOS MAYORES AUTOVALENTES</t>
  </si>
  <si>
    <t>SECCIÓN I: SEGUIMIENTO DE SALUD INFANTIL REMOTO</t>
  </si>
  <si>
    <t>SECCIÓN J: ATENCIÓN REMOTA ADOLESCENTE</t>
  </si>
  <si>
    <t>SECCION K: ATENCIONES REMOTAS EN MODALIDADES DE APOYO AL DESARROLLO INFANTIL (MADIS) EN APS</t>
  </si>
  <si>
    <t>SECCIÓN L:  EDUCACIÓN GRUPAL REMOTA SEGÚN ÁREAS TEMÁTICAS Y EDAD</t>
  </si>
  <si>
    <t xml:space="preserve">SECCIÓN M: ACTIVIDADES PROGRAMA ELIGE VIDA SANA POR LLAMADA TELEFÓNICA </t>
  </si>
  <si>
    <t>SECCIÓN N: ACTIVIDADES PROGRAMA ELIGE VIDA SANA POR REDES SOCIALES</t>
  </si>
  <si>
    <t>SECCIÓN O: SEGUIMIENTO DE PERSONAS CON CONDICIONES CRÓNICAS</t>
  </si>
  <si>
    <t>SECCIÓN P: APOYO TELEFÓNICO DEL PROGRAMA DE ACOMPAÑAMIENTO PSICOSOCIAL EN APS</t>
  </si>
  <si>
    <t>USUARIOS  ACREDITADOS POR PROFESIONAL/ES QUE ATIENDE/N
(Individual o en Dupla)</t>
  </si>
  <si>
    <t>ASISTENTE SOCIAL</t>
  </si>
  <si>
    <t>ASISTENTE SOCIAL, Y PSICÓLOGO/A</t>
  </si>
  <si>
    <t>CALIDAD DE LA ACREDITACIÓN DEL MES QUE REPORTA</t>
  </si>
  <si>
    <t>Art. 7° Ley 19.980</t>
  </si>
  <si>
    <t>Norma Complementaria (N°88)</t>
  </si>
  <si>
    <t xml:space="preserve">Sin ningún tipo de información </t>
  </si>
  <si>
    <t>Ley 19.123, ley 19.980, ley 20.405 (DD Y EP)</t>
  </si>
  <si>
    <t>Ley 19.992, ley 20.405 (Prisión política y tortura)</t>
  </si>
  <si>
    <t>Ley 19.965</t>
  </si>
  <si>
    <t>Trabajador DDHH</t>
  </si>
  <si>
    <t>Ingresado antes 30/08/2003</t>
  </si>
  <si>
    <t>Ex prisión política</t>
  </si>
  <si>
    <t>Exilio</t>
  </si>
  <si>
    <t>Relegación</t>
  </si>
  <si>
    <t>Clandestinidad</t>
  </si>
  <si>
    <t>Exoneración Política</t>
  </si>
  <si>
    <t>Ex preso político</t>
  </si>
  <si>
    <t>ÍNDICE</t>
  </si>
  <si>
    <t>AFECTADO DIRECTO</t>
  </si>
  <si>
    <t>BENEFICIARIO</t>
  </si>
  <si>
    <t xml:space="preserve">SIN REGISTRO DE CALIDAD DE LA ACREDITACIÓN </t>
  </si>
  <si>
    <t xml:space="preserve">SIN NINGÚN TIPO DE INFORMACIÓN </t>
  </si>
  <si>
    <t>ORIGEN DE SOLICITUD</t>
  </si>
  <si>
    <t>TOTAL SESIÓN</t>
  </si>
  <si>
    <t>MÉDICO GENERAL</t>
  </si>
  <si>
    <t>MÉDICO PSIQUIATRA</t>
  </si>
  <si>
    <t>Quimico Farmacéutico</t>
  </si>
  <si>
    <t>Kinesiólogo/a</t>
  </si>
  <si>
    <t>Fonoaudiólogo/a</t>
  </si>
  <si>
    <t>Terapeúta Ocupacional</t>
  </si>
  <si>
    <t>DERIVACIONES</t>
  </si>
  <si>
    <t>SECCIÓN E2: CONTROLES GRUPALES</t>
  </si>
  <si>
    <t>SECCIÓN E1: CONTROLES INDIVIDUALES</t>
  </si>
  <si>
    <t>TOTAL DE GRUPOS</t>
  </si>
  <si>
    <t>SECCIÓN E: CONTROLES DE SALUD EN ESTABLECIMIENTOS EDUCACIONALES</t>
  </si>
  <si>
    <t>UNIVERSO</t>
  </si>
  <si>
    <t>SECCIÓN P:  PROGRAMA DE REHABILITACIÓN (PERSONAS CON TRASTORNOS PSIQUIÁTRICOS)</t>
  </si>
  <si>
    <t>SECCIÓN Q: INGRESOS Y EGRESOS A PROGRAMA INFECCIÓN POR TRANSMISIÓN SEXUAL (Uso de establecimientos que realizan atención de ITS)</t>
  </si>
  <si>
    <t>SECCIÓN R: INGRESOS Y EGRESOS DEL PROGRAMA DE VIH/SIDA (Uso exclusivo Centros de Atención VIH-SIDA)</t>
  </si>
  <si>
    <t>SECCIÓN S: INGRESOS Y EGRESOS POR COMERCIO SEXUAL (Uso exclusivo de Unidades Control Comercio Sexual)</t>
  </si>
  <si>
    <t>SECCIÓN T. INGRESOS Y EGRESOS PROGRAMA DE ACOMPAÑAMIENTO PSICOSOCIAL EN ATENCIÓN PRIMARIA</t>
  </si>
  <si>
    <t>SECCIÓN U. INGRESOS  INTEGRALES DE PERSONAS CON CONDICIONES CRÓNICAS EN ATENCIÓN PRIMARIA</t>
  </si>
  <si>
    <t>MÉDICO/A GENERAL</t>
  </si>
  <si>
    <t>SECCIÓN A.2:  TIPO DE DONANTES CON CONTRAINDICACIÓN</t>
  </si>
  <si>
    <t>Contraindicación Transitoria</t>
  </si>
  <si>
    <t>Contraindicación Permanente</t>
  </si>
  <si>
    <t>AFÉRESIS TERAPÉUTICA</t>
  </si>
  <si>
    <t>TOTAL PACIENTES</t>
  </si>
  <si>
    <t>Procedimientos de Recambio de Glóbulos Rojos</t>
  </si>
  <si>
    <t>Procedimientos de Recambio Plasmático</t>
  </si>
  <si>
    <t>Procedimientos de Depleción de Glóbulos Rojos</t>
  </si>
  <si>
    <t>Procedimientos de Depleción de Plaquetas</t>
  </si>
  <si>
    <t>Procedimientos de Depleción de Leucocitos</t>
  </si>
  <si>
    <t>Procedimientos de Fotoféresis</t>
  </si>
  <si>
    <t>Sección:H AFÉRESIS</t>
  </si>
  <si>
    <t>AFÉRESIS DE DONACIÓN</t>
  </si>
  <si>
    <t>Procedimientos para obtención de Glóbulos Rojos</t>
  </si>
  <si>
    <t>Procedimientos para obtención de Plaquetas</t>
  </si>
  <si>
    <t>Procedimientos para obtención de Plasma</t>
  </si>
  <si>
    <t>Procedimientos para obtención de Leucocitos</t>
  </si>
  <si>
    <t>Procedimientos para obtención de Progenitores Hematopoyéticos Periféricos autólogos</t>
  </si>
  <si>
    <t>Procedimientos para obtención de Progenitores Hematopoyéticos Periféricos alogénicos</t>
  </si>
  <si>
    <t>Procedimientos para obtención de Progenitores Hematopoyéticos desde Médula Ósea autólogo</t>
  </si>
  <si>
    <t>Procedimientos para obtención de Progenitores Hematopoyéticos desde Médula Ósea alogénico</t>
  </si>
  <si>
    <t>Procedimientos para obtención de Plasma Convalesciente o hiperinmune</t>
  </si>
  <si>
    <t>TOTAL DONANTES</t>
  </si>
  <si>
    <t>SECCIÓN:G.6 PRUEBA DE ANTIGLOBULINA DIRECTA EN PACIENTES (BS-UMT)</t>
  </si>
  <si>
    <t>PRUEBA DE ANTIGLOBULINA DIRECTA</t>
  </si>
  <si>
    <t>POSITIVO</t>
  </si>
  <si>
    <t>NEGATIVO</t>
  </si>
  <si>
    <t>INDETERMINADO</t>
  </si>
  <si>
    <t>SECCIÓN:G.5 FENOTIPO ERITROCITARIO (CS-BS-UMT)</t>
  </si>
  <si>
    <t>SISTEMA</t>
  </si>
  <si>
    <t>FENOTIPO</t>
  </si>
  <si>
    <t>PACIENTES</t>
  </si>
  <si>
    <t>Rh</t>
  </si>
  <si>
    <t>DCce</t>
  </si>
  <si>
    <t>DCe</t>
  </si>
  <si>
    <t>DCcEe</t>
  </si>
  <si>
    <t>Dce</t>
  </si>
  <si>
    <t>DcEe</t>
  </si>
  <si>
    <t>DcE</t>
  </si>
  <si>
    <t>DCEe</t>
  </si>
  <si>
    <t>DCcE</t>
  </si>
  <si>
    <t>DCE</t>
  </si>
  <si>
    <t>ce</t>
  </si>
  <si>
    <t>Cce</t>
  </si>
  <si>
    <t>cEe</t>
  </si>
  <si>
    <t>CcEe</t>
  </si>
  <si>
    <t>Total Rh</t>
  </si>
  <si>
    <t>KELL</t>
  </si>
  <si>
    <t>K-k+</t>
  </si>
  <si>
    <t>K+k+</t>
  </si>
  <si>
    <t>K+k-</t>
  </si>
  <si>
    <t>Total Kell</t>
  </si>
  <si>
    <t>DUFFY</t>
  </si>
  <si>
    <t>Fy(a+b-)</t>
  </si>
  <si>
    <t>Fy(a+b+)</t>
  </si>
  <si>
    <t>Fy(a-b+)</t>
  </si>
  <si>
    <t>Fy(a-b-)</t>
  </si>
  <si>
    <t>Total Duffy</t>
  </si>
  <si>
    <t>KIDD</t>
  </si>
  <si>
    <t>Jk(a+b-)</t>
  </si>
  <si>
    <t>Jk(a+b+)</t>
  </si>
  <si>
    <t>Jk(a-b+)</t>
  </si>
  <si>
    <t>Total Kidd</t>
  </si>
  <si>
    <t>SECCIÓN:G.4 PRUEBAS CRUZADAS ERITROCITARIAS (BS - UMT)</t>
  </si>
  <si>
    <t>PRUEBAS CRUZADAS</t>
  </si>
  <si>
    <t>COMPATIBLE (NEGATIVO)</t>
  </si>
  <si>
    <t>INCOMPATIBLE (POSITIVO)</t>
  </si>
  <si>
    <t>SECCIÓN:G.3 IDENTIFICACIÓN DE ANTICUERPOS IRREGULARES (CS-BS-UMT)</t>
  </si>
  <si>
    <t>MNS</t>
  </si>
  <si>
    <t>M</t>
  </si>
  <si>
    <t>N</t>
  </si>
  <si>
    <t>S</t>
  </si>
  <si>
    <t>s</t>
  </si>
  <si>
    <t>P1PK</t>
  </si>
  <si>
    <t>P1</t>
  </si>
  <si>
    <t>D</t>
  </si>
  <si>
    <t>C</t>
  </si>
  <si>
    <t>E</t>
  </si>
  <si>
    <t>c</t>
  </si>
  <si>
    <t>e</t>
  </si>
  <si>
    <t>LUTHERAN</t>
  </si>
  <si>
    <t>LEWIS</t>
  </si>
  <si>
    <t>DIEGO</t>
  </si>
  <si>
    <t>NO CONCLUYENTE</t>
  </si>
  <si>
    <t>SECCIÓN:G.2 DETECCIÓN DE ANTICUERPOS IRREGULARES (CS-BS-UMT)</t>
  </si>
  <si>
    <t>DETECCIÓN</t>
  </si>
  <si>
    <t>SECCIÓN:G.1 CLASIFICACIÓN SANGUÍNEA ABO-RhD (CS-BS-UMT)</t>
  </si>
  <si>
    <t>O RhD+</t>
  </si>
  <si>
    <t>O RhD-</t>
  </si>
  <si>
    <t>A RhD+</t>
  </si>
  <si>
    <t>A RhD-</t>
  </si>
  <si>
    <t>B RhD+</t>
  </si>
  <si>
    <t>B RhD-</t>
  </si>
  <si>
    <t>AB RhD+</t>
  </si>
  <si>
    <t>AB RhD-</t>
  </si>
  <si>
    <t>DISCREPANTE ABO</t>
  </si>
  <si>
    <t>DISCREPANTE RhD</t>
  </si>
  <si>
    <t>SECCIÓN: G INMUNOHEMATOLOGIA</t>
  </si>
  <si>
    <t>SECCIÓN F: REACCIONES ADVERSAS POR ACTO* TRANSFUSIONAL  (UMT-BS) (NUEVA)</t>
  </si>
  <si>
    <t>Tipo Complicación</t>
  </si>
  <si>
    <t>Origen</t>
  </si>
  <si>
    <t>Tipo</t>
  </si>
  <si>
    <t>COMPLICACIONES AGUDAS</t>
  </si>
  <si>
    <t>INMUNOLÓGICO</t>
  </si>
  <si>
    <t>Reacción hemolítica aguda</t>
  </si>
  <si>
    <t>Reacción febril no hemolítica</t>
  </si>
  <si>
    <t>Reacción alérgica</t>
  </si>
  <si>
    <t>Lesión pulmonar aguda relacionada con la transfusión (TRALI)</t>
  </si>
  <si>
    <t>Aloinmunización con destrucción plaquetaria inmediata</t>
  </si>
  <si>
    <t>NO INMUNOLÓGICO</t>
  </si>
  <si>
    <t>Contaminación bacteriana</t>
  </si>
  <si>
    <t>Sobrecarga circulatoria</t>
  </si>
  <si>
    <t>Hemólisis no inmune</t>
  </si>
  <si>
    <t>COMPLICACIONES RETARDADAS</t>
  </si>
  <si>
    <t>Reacción hemolítica retardada</t>
  </si>
  <si>
    <t>Aloinmunización frente a antígenos eritrocitarios</t>
  </si>
  <si>
    <t>Púrpura postransfusional</t>
  </si>
  <si>
    <t>Enfermedad injerto contra huésped postransfusional (EICHT)</t>
  </si>
  <si>
    <t>Hemosiderosis transfusional</t>
  </si>
  <si>
    <t>Transmisión de priones</t>
  </si>
  <si>
    <t>Formación de inhibidores</t>
  </si>
  <si>
    <t>SECCIÓN C.5:INSATISFACCION OPTIMO (7 DÍAS) CS</t>
  </si>
  <si>
    <t>SECCIÓN C.6: INSATISFACCION STOCK MINIMO (3 DÍAS) UMT</t>
  </si>
  <si>
    <t>NÚMERO DÍAS BAJO STOCK MINIMO</t>
  </si>
  <si>
    <t xml:space="preserve">Anafilaxia/Hipersensibilidad </t>
  </si>
  <si>
    <t>Reacción Hemolítica aguda por inmunocompatibilidad ABO</t>
  </si>
  <si>
    <t xml:space="preserve">Reacción Hemolítica aguda por otra causa </t>
  </si>
  <si>
    <t xml:space="preserve">Septicemia </t>
  </si>
  <si>
    <t xml:space="preserve">Transmisión de VIH Post transfusional </t>
  </si>
  <si>
    <t xml:space="preserve">Transmisión de VHC post transfusional </t>
  </si>
  <si>
    <t xml:space="preserve">Transmisión de VHB post transfusional </t>
  </si>
  <si>
    <t xml:space="preserve">Transmisión de otros virus post transfusional </t>
  </si>
  <si>
    <t xml:space="preserve">Malaria/Paludismo </t>
  </si>
  <si>
    <t xml:space="preserve">Otras Infecciones Parasitarias post transfusional </t>
  </si>
  <si>
    <t>Filtrados</t>
  </si>
  <si>
    <t>FALLA POR CADENA DE FRÍO EN ALMACENAMIENTO</t>
  </si>
  <si>
    <t xml:space="preserve">FALLA POR CADENA DE FRÍO EN TRANSPORTE  </t>
  </si>
  <si>
    <t>Clasificación</t>
  </si>
  <si>
    <t>Subtipo</t>
  </si>
  <si>
    <t>A. Complicaciones con síntomas locales</t>
  </si>
  <si>
    <t>A.1 Sangre fuera de los vasos sanguíneos</t>
  </si>
  <si>
    <t>Hematoma</t>
  </si>
  <si>
    <t>Punción arterial</t>
  </si>
  <si>
    <t>Sangramiento posterior</t>
  </si>
  <si>
    <t>A.2 Dolor</t>
  </si>
  <si>
    <t>Irritación o injuria en un nervio</t>
  </si>
  <si>
    <t>Brazo doloroso</t>
  </si>
  <si>
    <t>A.3 Inflamación o infección localizada</t>
  </si>
  <si>
    <t>Tromboflebitis</t>
  </si>
  <si>
    <t>Celulitis</t>
  </si>
  <si>
    <t>A.4 Otras injurias mayores en los vasos sanguíneos</t>
  </si>
  <si>
    <t>Trombosis venosa profunda</t>
  </si>
  <si>
    <t>Fístula arteriovenosa</t>
  </si>
  <si>
    <t>Síndrome compartimental</t>
  </si>
  <si>
    <t>Pseudoaneurisma de la arteria braquial</t>
  </si>
  <si>
    <t>B. Complicaciones con síntomas generalizados</t>
  </si>
  <si>
    <t>B.1 Reacción vasovagal (RVV)</t>
  </si>
  <si>
    <t>Sin pérdida de conciencia</t>
  </si>
  <si>
    <t>Con pérdida de conciencia</t>
  </si>
  <si>
    <t>&lt;60 segundos, sin complicaciones</t>
  </si>
  <si>
    <t>Con lesión</t>
  </si>
  <si>
    <t>Sin lesión</t>
  </si>
  <si>
    <t>En el sitio de recolección</t>
  </si>
  <si>
    <t>Fuera del sitio de recolección</t>
  </si>
  <si>
    <t>C. Complicaciones relacionadas a la aféresis</t>
  </si>
  <si>
    <t>C.1 Reacción al citrato</t>
  </si>
  <si>
    <t>C.2 Hemólisis</t>
  </si>
  <si>
    <t>C.3 Embolismo aéreo</t>
  </si>
  <si>
    <t>C.4 Infiltración</t>
  </si>
  <si>
    <t>D. Reacción alérgica</t>
  </si>
  <si>
    <t>D.1 Alergia local</t>
  </si>
  <si>
    <t>D.2 Reacción alérgica generalizada (anafilaxia)</t>
  </si>
  <si>
    <t>E. Otras complicaciones serias a la donación de sangre</t>
  </si>
  <si>
    <t>Síntomas agudos cardíacos</t>
  </si>
  <si>
    <t>Infarto al miorcardio</t>
  </si>
  <si>
    <t>Paro cardiaco</t>
  </si>
  <si>
    <t>Ataque isquémico transitorio</t>
  </si>
  <si>
    <t>Accidente cerebrovascular</t>
  </si>
  <si>
    <t>Muerte</t>
  </si>
  <si>
    <t>F. Otras complicaciones</t>
  </si>
  <si>
    <t>F.1 Otras no mencionadas</t>
  </si>
  <si>
    <t xml:space="preserve">Enfermera/a  </t>
  </si>
  <si>
    <t xml:space="preserve">Médico/a del Programa </t>
  </si>
  <si>
    <t>Psicologo/a</t>
  </si>
  <si>
    <t xml:space="preserve">Fonoaudiólogo </t>
  </si>
  <si>
    <t xml:space="preserve">Terapauta Ocupacional </t>
  </si>
  <si>
    <t>0-4 años</t>
  </si>
  <si>
    <t>CONSEJERÍA EN CONTEXTO DE TAMIZAJE</t>
  </si>
  <si>
    <t>Nº DE M-CHAT-R/F</t>
  </si>
  <si>
    <t>Nº DE CUESTIONARIO PSC-17</t>
  </si>
  <si>
    <t>Nº DE CUESTIONARIO PSC-Y-17</t>
  </si>
  <si>
    <t>N° DE CUESTIONARIO PHQ-9 MODIFICADO PARA ADOLESCENTES</t>
  </si>
  <si>
    <t>N° DE CUESTIONARIO PHQ-9 PARA ADULTOS</t>
  </si>
  <si>
    <t>N° DE ESCALA CAPE-P15</t>
  </si>
  <si>
    <t>N° DE ESCALA DE DEPRESIÓN GERIÁTRICA DE YESAVAGE GDS-15</t>
  </si>
  <si>
    <t>REFERENCIA ASISTIDA EN CONTEXTO DE TAMIZAJE</t>
  </si>
  <si>
    <t>PLAN DE ACOMPAÑAMIENTO CON MEJORÍA AL EGRESO DEL PROGRAMA</t>
  </si>
  <si>
    <t>TIEMPOS DE ESPERA ENTRE:</t>
  </si>
  <si>
    <t>EVALUACIÓN AL EGRESO</t>
  </si>
  <si>
    <t>ESCALA DE COLUMBIA</t>
  </si>
  <si>
    <t>RIESGO MEDIO</t>
  </si>
  <si>
    <t>Domicilio</t>
  </si>
  <si>
    <t>Atención Cerrada</t>
  </si>
  <si>
    <t>Urgencia Hospitalaria</t>
  </si>
  <si>
    <t>Nivel Hospitalario</t>
  </si>
  <si>
    <t>Atención Primaria de Salud</t>
  </si>
  <si>
    <t>Modalidad Remota</t>
  </si>
  <si>
    <t>Modalidad Presencial</t>
  </si>
  <si>
    <t xml:space="preserve">Nº Sesiones </t>
  </si>
  <si>
    <t xml:space="preserve">Nº Participantes </t>
  </si>
  <si>
    <t>Destino Hospitalario</t>
  </si>
  <si>
    <t>Entre Especialistas</t>
  </si>
  <si>
    <t>Con la RED</t>
  </si>
  <si>
    <t>Desde Especialidad</t>
  </si>
  <si>
    <t>Desde APS (atención primaria de salud)</t>
  </si>
  <si>
    <t xml:space="preserve">Derivación desde Especialidad </t>
  </si>
  <si>
    <t xml:space="preserve">Derivación desde APS (atención primaria de salud) </t>
  </si>
  <si>
    <t xml:space="preserve">Derivación desde Urgencia </t>
  </si>
  <si>
    <t>Consulta Nueva</t>
  </si>
  <si>
    <t>Consulta Control</t>
  </si>
  <si>
    <t>Visita Domiciliaria</t>
  </si>
  <si>
    <t>Atención Farmacéutica</t>
  </si>
  <si>
    <t>Procedimientos</t>
  </si>
  <si>
    <t xml:space="preserve">Educación </t>
  </si>
  <si>
    <t xml:space="preserve">Consulta  Salud Mental Usuario </t>
  </si>
  <si>
    <t xml:space="preserve">Consulta Salud mental al Cuidador o Familiar </t>
  </si>
  <si>
    <t xml:space="preserve">Apoyo social al Usuario </t>
  </si>
  <si>
    <t xml:space="preserve">Apoyo en la Gestión de manifestación de voluntades anticipadas </t>
  </si>
  <si>
    <t>Nº de Cuestionario PSC-17</t>
  </si>
  <si>
    <t>Nº de Cuestionario PSC-Y-17</t>
  </si>
  <si>
    <t>N° de Cuestionario PHQ-9 modificado para Adolescentes</t>
  </si>
  <si>
    <t xml:space="preserve">N° de Cuestionario PHQ-9 para Adultos </t>
  </si>
  <si>
    <t>N° de Escala CAPE-P15</t>
  </si>
  <si>
    <t xml:space="preserve">N° de escala de Columbia </t>
  </si>
  <si>
    <t>N° de Escala de Depresión Geriatríca de  YESAVAGE GDS-15</t>
  </si>
  <si>
    <t xml:space="preserve">INGRESO Y EGRESO SEGÚN DIAGNÓSTICO </t>
  </si>
  <si>
    <t>SECCIÓN F: CONSULTA ABREVIADA PROFESIONALES NO MÉDICOS PRAIS</t>
  </si>
  <si>
    <t>SECCIÓN G: ATENCIONES DE MEDICINA INDÍGENA</t>
  </si>
  <si>
    <t>SECCIÓN H: INTERVENCIÓN INDIVIDUAL DEL USUARIO EN PROGRAMA ELIGE VIDA SANA</t>
  </si>
  <si>
    <t>SECCIÓN I: SERVICIOS FARMACÉUTICOS</t>
  </si>
  <si>
    <t>SECCIÓN J: DESPACHO DE RECETAS DE PACIENTES AMBULATORIOS</t>
  </si>
  <si>
    <t>SECCIÓN K: RONDAS POR TIPO Y PROFESIONAL</t>
  </si>
  <si>
    <t>SECCIÓN L: CLASIFICACIÓN DE CONSULTA NUTRICIONAL POR GRUPO DE EDAD (Incluidas en sección B)</t>
  </si>
  <si>
    <t>SECCIÓN M: CONSULTA DE LACTANCIA EN NIÑOS Y NIÑAS CONTROLADOS</t>
  </si>
  <si>
    <t xml:space="preserve">MAL NUTRICIÓN POR RIEGO OBESIDAD SOBREPESO </t>
  </si>
  <si>
    <t>ANTECEDENTES ENF. CARDIOVASCULAR (F.VENTRICULAR-IAM)</t>
  </si>
  <si>
    <t>ANTECEDENTES ENF. CEREBROVASCULAR (ACV)</t>
  </si>
  <si>
    <t>Traslado o Derivación</t>
  </si>
  <si>
    <t>TIPO DE EDUCACIÓN</t>
  </si>
  <si>
    <t>PROFESIONAL/OTROS</t>
  </si>
  <si>
    <t>INDIVIDUAL</t>
  </si>
  <si>
    <t>TALLER GRUPAL</t>
  </si>
  <si>
    <t>PODÓLOGA/O  CLINICO</t>
  </si>
  <si>
    <t>TÉCNICO EN ENFERMERÍA</t>
  </si>
  <si>
    <t>EQUIPO MULTIDISCIPLINARIO</t>
  </si>
  <si>
    <t>SECCIÓN: H.2 AFERESIS TERAPÉUTICA (UMT - BS)</t>
  </si>
  <si>
    <t>SECCIÓN: H.1 AFERESIS DE DONACIÓN (BS- UMT- CS)</t>
  </si>
  <si>
    <t>Monoespecífico IgG</t>
  </si>
  <si>
    <t>Monoespecífico  C3d</t>
  </si>
  <si>
    <t xml:space="preserve">Poliespecífico </t>
  </si>
  <si>
    <t>K</t>
  </si>
  <si>
    <t>k</t>
  </si>
  <si>
    <t>Emarazadas</t>
  </si>
  <si>
    <t>Donantes</t>
  </si>
  <si>
    <t>Anticuerpo</t>
  </si>
  <si>
    <t>Positivo</t>
  </si>
  <si>
    <t>Negativo</t>
  </si>
  <si>
    <t>Indeterminado</t>
  </si>
  <si>
    <t>Glóbulos Rojos</t>
  </si>
  <si>
    <t>Plasma</t>
  </si>
  <si>
    <t>Plaquetas</t>
  </si>
  <si>
    <t>Altruista</t>
  </si>
  <si>
    <t>Reposición</t>
  </si>
  <si>
    <t>Unidades Pediatricas</t>
  </si>
  <si>
    <t xml:space="preserve">Irradiación </t>
  </si>
  <si>
    <t xml:space="preserve">Reducción volumen </t>
  </si>
  <si>
    <t xml:space="preserve">Desplasmatización </t>
  </si>
  <si>
    <t xml:space="preserve">Filtrados </t>
  </si>
  <si>
    <t xml:space="preserve">Reconstitucón para uso pediátrico (recambio) </t>
  </si>
  <si>
    <t>SECCIÓN H: APLICACIÓN DE TAMIZAJE PARA EVALUAR RIESGO DE TRASTORNOS O PROBLEMAS DE SALUD MENTAL EN APS</t>
  </si>
  <si>
    <t>SECCIÓN I: APLICACIÓN Y RESULTADO DE PAUTA EVALUACIÓN PROGRAMA ACOMPAÑAMIENTO PSICOSOCIAL EN APS</t>
  </si>
  <si>
    <t>SECCIÓN G: INGRESOS DE NIÑOS NIÑAS Y ADOLESCENTES CON NECESIDADES ESPECIALES DE BAJA COMPLEJIDAD A CONTROL DE SALUD  EN APS</t>
  </si>
  <si>
    <t>SECCIÓN E: PERSONAS CON EVALUACIÓN Y CONFIRMACIÓN DIAGNOSTICA EN APS</t>
  </si>
  <si>
    <t>SECCIÓN F: EVALUACIONES PROGRAMA PLAN NACIONAL DE DEMENCIA</t>
  </si>
  <si>
    <t>SECCIÓN G: EVALUACIÓN PROGRAMA DE APOYO A LA SALUD MENTAL INFANTIL (PASMI)</t>
  </si>
  <si>
    <t>SECCIÓN H: CONSULTA DE SALUD MENTAL POR EL NIVEL DE ESPECIALIDAD</t>
  </si>
  <si>
    <t xml:space="preserve">SECCIÓN I: RESCATE DE PACIENTES PROGRAMA SALUD MENTAL </t>
  </si>
  <si>
    <t>SECCIÓN J: TIEMPOS DE ESPERA EN SALUD MENTAL DE APS</t>
  </si>
  <si>
    <t xml:space="preserve"> 0  -  4 años</t>
  </si>
  <si>
    <t xml:space="preserve"> 5  -  9 años</t>
  </si>
  <si>
    <t xml:space="preserve"> 10 - 14 años</t>
  </si>
  <si>
    <t>En consulta de ingreso a equipo PRAIS</t>
  </si>
  <si>
    <t xml:space="preserve">Demanda de usuario </t>
  </si>
  <si>
    <t xml:space="preserve">Solicitud de Tribunal </t>
  </si>
  <si>
    <t xml:space="preserve"> 0 - 4 años</t>
  </si>
  <si>
    <t xml:space="preserve"> 5 - 9 años</t>
  </si>
  <si>
    <t xml:space="preserve"> 10 -14 años</t>
  </si>
  <si>
    <t xml:space="preserve">Madre de hijo menor de 5 años </t>
  </si>
  <si>
    <t xml:space="preserve">Número de días </t>
  </si>
  <si>
    <t xml:space="preserve">Número de personas atendidas </t>
  </si>
  <si>
    <t xml:space="preserve">Urgencia </t>
  </si>
  <si>
    <t xml:space="preserve">CAE/CDT/CRS/Hospitalización </t>
  </si>
  <si>
    <t>Niños, Niñas, Adolescentes SENAME</t>
  </si>
  <si>
    <t>ARO por Ley IVE</t>
  </si>
  <si>
    <t xml:space="preserve">Ginecología y otros </t>
  </si>
  <si>
    <t xml:space="preserve">Infertilidad </t>
  </si>
  <si>
    <t>SECCIÓN A.1: ATRIBUTOS DE LAS ATENCIONES DE ESPECIALIDAD</t>
  </si>
  <si>
    <t xml:space="preserve">SECCIÓN K: CONSULTORÍAS DE ESPECIALIDADES ODONTOLÓGICAS. </t>
  </si>
  <si>
    <t xml:space="preserve">15-19 años </t>
  </si>
  <si>
    <t>25-29 años</t>
  </si>
  <si>
    <t>30-34 años</t>
  </si>
  <si>
    <t>35-39 años</t>
  </si>
  <si>
    <t>40-44 años</t>
  </si>
  <si>
    <t>45-49 años</t>
  </si>
  <si>
    <t>50-54 años</t>
  </si>
  <si>
    <t>70-74 años</t>
  </si>
  <si>
    <t>75- 79 años</t>
  </si>
  <si>
    <t>25 - 34 años</t>
  </si>
  <si>
    <t>35 - 44 años</t>
  </si>
  <si>
    <t>45 - 54 años</t>
  </si>
  <si>
    <t>15 - 17 años</t>
  </si>
  <si>
    <t>18 - 24 años</t>
  </si>
  <si>
    <t>25 - 44 años</t>
  </si>
  <si>
    <t>65 años y más años</t>
  </si>
  <si>
    <t>KINESIOLOGÍA</t>
  </si>
  <si>
    <t>Red Pública</t>
  </si>
  <si>
    <t>Privados</t>
  </si>
  <si>
    <t xml:space="preserve">SECCION A.2: CESÁREAS (responsabilidad del Médico Jefe del Servicio de Obstetricia) </t>
  </si>
  <si>
    <t>REINGRESO</t>
  </si>
  <si>
    <t>TRASLADO</t>
  </si>
  <si>
    <t>SECCIÓN F: VISITA A ESTABLECIMIENTO EDUCACIONAL PROGRAMA DE APOYO A LA SALUD MENTAL INFANTIL (PASMI) EN ATENCIÓN PRIMARIA</t>
  </si>
  <si>
    <t>SECCIÓN G: CONSULTAS Y CONTROLES  DE ESPECIALIDAD RESUELTAS POR VISITAS DOMICILIARIAS</t>
  </si>
  <si>
    <t>SECCIÓN A: SEGUIMIENTO EN ATENCIÓN PRIMARIA DE SALUD POR LLAMADA TELEFÓNICA O VIDEOLLAMADAS</t>
  </si>
  <si>
    <t>SECCIÓN C: CONSULTA MÉDICA EN ATENCIÓN PRIMARIA DE SALUD POR LLAMADA TELEFÓNICA O VIDEOLLAMADAS</t>
  </si>
  <si>
    <t>15 - 19  años</t>
  </si>
  <si>
    <t>Alta</t>
  </si>
  <si>
    <t>SECCIÓN C:  VISITAS CON FINES DE TRATAMIENTOS Y/O PROCEDIMIENTOS EN DOMICILIO A PERSONAS CON DEPENDENCIA</t>
  </si>
  <si>
    <t xml:space="preserve">Menor de  1 año </t>
  </si>
  <si>
    <t xml:space="preserve">10 a 14 años </t>
  </si>
  <si>
    <t xml:space="preserve">Técnico en enfermería </t>
  </si>
  <si>
    <t>SECCIÓN A.2: INGRESOS, EGRESOS Y TRASLADOS AL PROGRAMA DE ATENCION DOMICILIARIA PERSONAS CON DEPENDENCIA SEVERA</t>
  </si>
  <si>
    <t xml:space="preserve">SECCIÓN A:  ATENCIONES DE REHABILITACIÓN NIVEL PRIMARIO  </t>
  </si>
  <si>
    <t>Menor 
de 20 años</t>
  </si>
  <si>
    <t>20 - 34 años</t>
  </si>
  <si>
    <t>35 y más años</t>
  </si>
  <si>
    <t xml:space="preserve">Población Multimorbilidad Crónica </t>
  </si>
  <si>
    <t xml:space="preserve">Evaluación Zarit cuidador </t>
  </si>
  <si>
    <t xml:space="preserve">Población ELEAM o institucionalizada </t>
  </si>
  <si>
    <t xml:space="preserve">Evaluación Plan de Cuidados a Cuidador </t>
  </si>
  <si>
    <t>Elaboración plan de cuidados a cuidador</t>
  </si>
  <si>
    <t xml:space="preserve">Evaluación plan de cuidados a personas dependientes </t>
  </si>
  <si>
    <t>17 años</t>
  </si>
  <si>
    <t>Un Profesional</t>
  </si>
  <si>
    <t xml:space="preserve">Un profesional y un Técnico en Enfermería </t>
  </si>
  <si>
    <t xml:space="preserve">Facilitador/a Intercultural Pueblos Originarios </t>
  </si>
  <si>
    <t>&lt;15 años</t>
  </si>
  <si>
    <t xml:space="preserve">RETINOGRAFÍA, AMBOS OJOS (FONDO DE OJO) </t>
  </si>
  <si>
    <t>&lt; 35 años</t>
  </si>
  <si>
    <t>35 A 49 años</t>
  </si>
  <si>
    <t>Matrón/a</t>
  </si>
  <si>
    <t xml:space="preserve">Consulta de Lactancia Materna posterior al alta </t>
  </si>
  <si>
    <t xml:space="preserve">Consulta de Lactancia Materna durante la hospitalización </t>
  </si>
  <si>
    <t xml:space="preserve">SECCIÓN F: TELECOMITE DE ESPECIALIDAD </t>
  </si>
  <si>
    <t>Interconsultas pertinentes según Criterio Clínico</t>
  </si>
  <si>
    <t>Última sesión Término de Tratramiento</t>
  </si>
  <si>
    <t>10 A 14 años</t>
  </si>
  <si>
    <t>15 A 19 años</t>
  </si>
  <si>
    <t>65 o más años</t>
  </si>
  <si>
    <t xml:space="preserve">5 a 9 años </t>
  </si>
  <si>
    <t>Menor 
de 1 año</t>
  </si>
  <si>
    <t>Menor  de 1 año</t>
  </si>
  <si>
    <t>19 años</t>
  </si>
  <si>
    <t>15 a 18 años</t>
  </si>
  <si>
    <t>5 a 9  años</t>
  </si>
  <si>
    <t>Menor 
de 15 años</t>
  </si>
  <si>
    <t>70 y más años</t>
  </si>
  <si>
    <t xml:space="preserve"> 10 - 14  años</t>
  </si>
  <si>
    <t>Consultas pertinentes según tiempo establecido en Box</t>
  </si>
  <si>
    <t>Contrarreferencia inicial o retorno</t>
  </si>
  <si>
    <t>Contrarreferencia al alta</t>
  </si>
  <si>
    <t>Menor de 15 años</t>
  </si>
  <si>
    <t>15 A 64 años</t>
  </si>
  <si>
    <t>REM-28. REHABILITACIÓN INTEGRAL</t>
  </si>
  <si>
    <t>ATAQUE CEREBRO VASCULAR (ACV)</t>
  </si>
  <si>
    <t>SECCIÓN B.1: INGRESOS Y EGRESOS  A REHABILITACIÓN INTEGRAL</t>
  </si>
  <si>
    <t>TRASTORNOS DEL NEURODESARROLLO</t>
  </si>
  <si>
    <t>Total menor que suma por edad</t>
  </si>
  <si>
    <t>Total menor que suma prematuros</t>
  </si>
  <si>
    <t>Total menor que originarios</t>
  </si>
  <si>
    <t>Total menor que migrantes</t>
  </si>
  <si>
    <t>total menor que trans</t>
  </si>
  <si>
    <t>suma partos por cantidad de semanas igual a total</t>
  </si>
  <si>
    <t>NNA Mejor Niñez Mayor a Total</t>
  </si>
  <si>
    <t>Pueblos Originarios Mayor a Total</t>
  </si>
  <si>
    <t>REMA33</t>
  </si>
  <si>
    <t>Atenciones por profesional o Técnico Igual a Total</t>
  </si>
  <si>
    <t>Consultorio General Urbano (CGU) - CESFAM</t>
  </si>
  <si>
    <t>Consultorio General Urbano (CGU) - CESFAM con SAPU/SAR</t>
  </si>
  <si>
    <t>Consultorio General Rural (CGR) - CESFAM</t>
  </si>
  <si>
    <t>Consultorio General Rural (CGR) - CESFAM con SAPU/SAR/SUR</t>
  </si>
  <si>
    <t>Centro Comunitario de Salud Familiar (CECOF)</t>
  </si>
  <si>
    <t>RECIÉN NACIDO HASTA 10 DÍAS DE VIDA</t>
  </si>
  <si>
    <t>RECIÉN NACIDO ENTRE 11 y 28 DÍAS</t>
  </si>
  <si>
    <t>PRESIÓN ARTERIAL ELEVADA (= &gt;140/90 mmHg)</t>
  </si>
  <si>
    <t>CUIDADOR/A PACIENTE CON DEPENDENCIA SEVERA CON SOBRECARGA INTENSA</t>
  </si>
  <si>
    <t>CUIDADOR/A PACIENTE CON DEPENDENCIA SEVERA SIN SOBRECARGA INTENSA</t>
  </si>
  <si>
    <t>CUIDADOR/A PACIENTES NANEAS CON SOBRECARGA INTENSA</t>
  </si>
  <si>
    <t>CUIDADOR/A PACIENTES NANEAS SIN SOBRECARGA INTENSA</t>
  </si>
  <si>
    <r>
      <rPr>
        <b/>
        <sz val="8"/>
        <rFont val="Verdana"/>
        <family val="2"/>
      </rPr>
      <t>PRIMERA SESIÓN</t>
    </r>
    <r>
      <rPr>
        <sz val="8"/>
        <rFont val="Verdana"/>
        <family val="2"/>
      </rPr>
      <t xml:space="preserve">
(USUARIOS ATENDIDOS POR PROFESIONAL)</t>
    </r>
  </si>
  <si>
    <r>
      <rPr>
        <b/>
        <sz val="8"/>
        <rFont val="Verdana"/>
        <family val="2"/>
      </rPr>
      <t>SEGUNDA  SESIÓN</t>
    </r>
    <r>
      <rPr>
        <sz val="8"/>
        <rFont val="Verdana"/>
        <family val="2"/>
      </rPr>
      <t xml:space="preserve">
(PROFESIONALES QUE REALIZAN 2 DE 4 EVALUACIONES, LAS QUE PUEDEN SER; SOCIAL, PSICOLÓGICA, MÉDICA Y/O PSIQUIÁTRICA)</t>
    </r>
  </si>
  <si>
    <r>
      <rPr>
        <b/>
        <sz val="8"/>
        <rFont val="Verdana"/>
        <family val="2"/>
      </rPr>
      <t>TERCERA SESIÓN</t>
    </r>
    <r>
      <rPr>
        <sz val="8"/>
        <rFont val="Verdana"/>
        <family val="2"/>
      </rPr>
      <t xml:space="preserve">
(PROFESIONALES QUE REALIZAN LAS 2 EVALUACIONES RESTANTES, RESPECTO A LAS REALIZADAS EN LA 3° SESIÓN, PUDIENDO SER; SOCIAL, PSICOLÓGICA, MÉDICA Y/O PSIQUIÁTRICA)</t>
    </r>
  </si>
  <si>
    <r>
      <rPr>
        <b/>
        <sz val="8"/>
        <rFont val="Verdana"/>
        <family val="2"/>
      </rPr>
      <t>CUARTA SESIÓN</t>
    </r>
    <r>
      <rPr>
        <sz val="8"/>
        <rFont val="Verdana"/>
        <family val="2"/>
      </rPr>
      <t xml:space="preserve">
(PROFESIONAL PARTICIPANTE EN REDACCIÓN DE INFORME POR CADA CASO) </t>
    </r>
  </si>
  <si>
    <r>
      <rPr>
        <b/>
        <sz val="8"/>
        <rFont val="Verdana"/>
        <family val="2"/>
      </rPr>
      <t>QUINTA SESIÓN</t>
    </r>
    <r>
      <rPr>
        <sz val="8"/>
        <rFont val="Verdana"/>
        <family val="2"/>
      </rPr>
      <t xml:space="preserve">
(PROFESIONAL PARTICIPANTE EN ENTREGA DE INFORME POR CADA CASO) </t>
    </r>
  </si>
  <si>
    <r>
      <rPr>
        <b/>
        <sz val="8"/>
        <rFont val="Verdana"/>
        <family val="2"/>
      </rPr>
      <t>SEXTA SESIÓN</t>
    </r>
    <r>
      <rPr>
        <sz val="8"/>
        <rFont val="Verdana"/>
        <family val="2"/>
      </rPr>
      <t xml:space="preserve">
(PROFESIONAL QUE REALIZA ACOMPAÑAMIENTO, REPRESENTACIÓN JURÍDICA Y/O TESTIFICACIÓN EN TRIBUNAL POR CADA CASO)</t>
    </r>
  </si>
  <si>
    <t>TRABAJADOR/A SOCIAL (EXCLUYE SM)</t>
  </si>
  <si>
    <t>COORDINACION TERRITORIAL</t>
  </si>
  <si>
    <t>Inicio precoz de MAC nivel secundario y terciario</t>
  </si>
  <si>
    <t>INGRESO RIESGO MODERADO (G2)</t>
  </si>
  <si>
    <t>EGRESO RIESGO MODERADO (G2)</t>
  </si>
  <si>
    <t>Consultas  pertinentes según Criterio Clínico en Box</t>
  </si>
  <si>
    <t>CIRUGÍA DIGESTIVA (ALTA)</t>
  </si>
  <si>
    <t>COLOPROCTOLOGÍA (CIRUGIA DIGESTIVA BAJA)</t>
  </si>
  <si>
    <t>MEDICINA FAMILIAR DEL NIÑO</t>
  </si>
  <si>
    <t>Trans Femenino</t>
  </si>
  <si>
    <t>Trans Masculino</t>
  </si>
  <si>
    <t>ODONTÓLOGO</t>
  </si>
  <si>
    <t>SECCIÓN D: PACIENTES CON INDICACIÓN DE HOSPITALIZACIÓN EN ESPERA DE CAMAS EN UEH (establecimientos de alta, mediana y baja complejidad)</t>
  </si>
  <si>
    <t>SECCIÓN E PACIENTES CON INDICACIÓN DE OBSERVACIÓN EN SAR Y SAPU</t>
  </si>
  <si>
    <t>SECCIÓN A.4: CONSEJERÍAS INDIVIDUALES  CON ENTREGA DE PRESERVATIVOS (INCLUIDAS EN SECCIÓN A.1)</t>
  </si>
  <si>
    <t xml:space="preserve">15-19 </t>
  </si>
  <si>
    <t xml:space="preserve">20-24 </t>
  </si>
  <si>
    <t xml:space="preserve">25-29 </t>
  </si>
  <si>
    <t xml:space="preserve">30-34 </t>
  </si>
  <si>
    <t xml:space="preserve">40-44 </t>
  </si>
  <si>
    <t xml:space="preserve">50-54 </t>
  </si>
  <si>
    <t xml:space="preserve">60-64 </t>
  </si>
  <si>
    <t xml:space="preserve">65-69 </t>
  </si>
  <si>
    <t xml:space="preserve">70-74 </t>
  </si>
  <si>
    <t>75- 79</t>
  </si>
  <si>
    <t>14 a 18</t>
  </si>
  <si>
    <t xml:space="preserve">CONSEJERÍA CON ENTREGA DE PRESERVATIVOS </t>
  </si>
  <si>
    <t>CONDONES MASCULINOS</t>
  </si>
  <si>
    <t>CONDONES FEMENINOS</t>
  </si>
  <si>
    <t>AMBOS TIPOS DE CONDONES</t>
  </si>
  <si>
    <t>SECCIÓN H: INASISTENTES A CITACIÓN AGENDADA</t>
  </si>
  <si>
    <t>Menor de 20 años</t>
  </si>
  <si>
    <t>De 20 años y más</t>
  </si>
  <si>
    <t>SECCIÓN I: PROCEDIMIENTOS REALIZADOS</t>
  </si>
  <si>
    <t>SECCIÓN J: DERIVACIÓN DE PACIENTES SEGÚN DESTINO</t>
  </si>
  <si>
    <t>SECCIÓN K: RECEPCIÓN DE PACIENTES SEGÚN ORIGEN</t>
  </si>
  <si>
    <t>SECCIÓN L: HOSPITALIZACION ABREVIADA / INTERVENCION EN CRISIS RESPIRATORIA</t>
  </si>
  <si>
    <t>SECCIÓN M: EDUCACIÓN EN SALAS</t>
  </si>
  <si>
    <t>SECCIÓN M.1: EDUCACION INDIVIDUAL EN SALA</t>
  </si>
  <si>
    <t>SECCIÓN M.2: EDUCACIÓN GRUPAL (AGENDADA Y PROGRAMADA)</t>
  </si>
  <si>
    <t xml:space="preserve">SECCIÓN N: VISITAS DOMICILIARIAS Y SEGUIMIENTO REALIZADOS POR EQUIPO IRA-ERA </t>
  </si>
  <si>
    <t xml:space="preserve">SECCIÓN O: REHABILITACION PULMONAR Y ACTIVIDAD FISICA </t>
  </si>
  <si>
    <t>SECCIÓN P: REHABILITACION PULMONAR POST COVID</t>
  </si>
  <si>
    <t>SECCIÓN Q: APLICACIÓN DE ENCUESTA CALIDAD DE VIDA</t>
  </si>
  <si>
    <t>TOTAL DE ACTIVIDADES POR DIAGNOSTICO</t>
  </si>
  <si>
    <t>Contacto inmediato piel a piel &gt;30 minutos</t>
  </si>
  <si>
    <t>38 semanas y más</t>
  </si>
  <si>
    <r>
      <rPr>
        <b/>
        <sz val="8"/>
        <rFont val="Verdana"/>
        <family val="2"/>
      </rPr>
      <t>GRUPO 1:</t>
    </r>
    <r>
      <rPr>
        <sz val="8"/>
        <rFont val="Verdana"/>
        <family val="2"/>
      </rPr>
      <t xml:space="preserve"> Nulíparas, embarazo único, cefálica, ≥37 semanas en trabajo de parto espontáneo</t>
    </r>
  </si>
  <si>
    <r>
      <rPr>
        <b/>
        <sz val="8"/>
        <rFont val="Verdana"/>
        <family val="2"/>
      </rPr>
      <t>GRUPO 2:</t>
    </r>
    <r>
      <rPr>
        <sz val="8"/>
        <rFont val="Verdana"/>
        <family val="2"/>
      </rPr>
      <t xml:space="preserve"> Nulíparas, Embarazo único, cefálica, ≥37 semanas, cesárea programada o con inducción de trabajo de parto. </t>
    </r>
  </si>
  <si>
    <r>
      <rPr>
        <b/>
        <sz val="8"/>
        <rFont val="Verdana"/>
        <family val="2"/>
      </rPr>
      <t>GRUPO 3:</t>
    </r>
    <r>
      <rPr>
        <sz val="8"/>
        <rFont val="Verdana"/>
        <family val="2"/>
      </rPr>
      <t xml:space="preserve"> Multípara, sin cesárea previa, embarazo único, cefálica, ≥37 semanas en trabajo de parto espontáneo</t>
    </r>
  </si>
  <si>
    <r>
      <rPr>
        <b/>
        <sz val="8"/>
        <rFont val="Verdana"/>
        <family val="2"/>
      </rPr>
      <t xml:space="preserve">GRUPO 4: </t>
    </r>
    <r>
      <rPr>
        <sz val="8"/>
        <rFont val="Verdana"/>
        <family val="2"/>
      </rPr>
      <t xml:space="preserve">Multípara, sin cesárea previa, embarazo único, cefálica, ≥37 semanas, cesárea programada o con inducción de trabajo de parto. </t>
    </r>
  </si>
  <si>
    <r>
      <rPr>
        <b/>
        <sz val="8"/>
        <rFont val="Verdana"/>
        <family val="2"/>
      </rPr>
      <t>GRUPO 5:</t>
    </r>
    <r>
      <rPr>
        <sz val="8"/>
        <rFont val="Verdana"/>
        <family val="2"/>
      </rPr>
      <t xml:space="preserve"> Multíparas con al menos 1 cesárea previa, embarazo unico, cefálica, ≥37 semanas. </t>
    </r>
  </si>
  <si>
    <r>
      <rPr>
        <b/>
        <sz val="8"/>
        <rFont val="Verdana"/>
        <family val="2"/>
      </rPr>
      <t>5.1:</t>
    </r>
    <r>
      <rPr>
        <sz val="8"/>
        <rFont val="Verdana"/>
        <family val="2"/>
      </rPr>
      <t xml:space="preserve"> con 1 cesárea previa</t>
    </r>
  </si>
  <si>
    <r>
      <rPr>
        <b/>
        <sz val="8"/>
        <rFont val="Verdana"/>
        <family val="2"/>
      </rPr>
      <t>5.2:</t>
    </r>
    <r>
      <rPr>
        <sz val="8"/>
        <rFont val="Verdana"/>
        <family val="2"/>
      </rPr>
      <t xml:space="preserve"> 2 o más cesareas previas</t>
    </r>
  </si>
  <si>
    <r>
      <rPr>
        <b/>
        <sz val="8"/>
        <rFont val="Verdana"/>
        <family val="2"/>
      </rPr>
      <t>GRUPO 6:</t>
    </r>
    <r>
      <rPr>
        <sz val="8"/>
        <rFont val="Verdana"/>
        <family val="2"/>
      </rPr>
      <t xml:space="preserve"> Nulíparas, embarazo único, podálica</t>
    </r>
  </si>
  <si>
    <r>
      <rPr>
        <b/>
        <sz val="8"/>
        <rFont val="Verdana"/>
        <family val="2"/>
      </rPr>
      <t>GRUPO 7:</t>
    </r>
    <r>
      <rPr>
        <sz val="8"/>
        <rFont val="Verdana"/>
        <family val="2"/>
      </rPr>
      <t xml:space="preserve"> Multíparas, embarazo único, podálica, con 1 o más cesáreas previas. </t>
    </r>
  </si>
  <si>
    <r>
      <rPr>
        <b/>
        <sz val="8"/>
        <rFont val="Verdana"/>
        <family val="2"/>
      </rPr>
      <t>GRUPO 8:</t>
    </r>
    <r>
      <rPr>
        <sz val="8"/>
        <rFont val="Verdana"/>
        <family val="2"/>
      </rPr>
      <t xml:space="preserve"> Todas las mujeres con embarazo múltiple, incluidas las que tienen 1 o más cesáreas previas. </t>
    </r>
  </si>
  <si>
    <r>
      <rPr>
        <b/>
        <sz val="8"/>
        <rFont val="Verdana"/>
        <family val="2"/>
      </rPr>
      <t>GRUPO 9:</t>
    </r>
    <r>
      <rPr>
        <sz val="8"/>
        <rFont val="Verdana"/>
        <family val="2"/>
      </rPr>
      <t xml:space="preserve"> Embarazo único, transverso y oblicuo, incluidas las que tienen una o mas cesáreas previas. </t>
    </r>
  </si>
  <si>
    <r>
      <rPr>
        <b/>
        <sz val="8"/>
        <rFont val="Verdana"/>
        <family val="2"/>
      </rPr>
      <t>GRUPO 10:</t>
    </r>
    <r>
      <rPr>
        <sz val="8"/>
        <rFont val="Verdana"/>
        <family val="2"/>
      </rPr>
      <t xml:space="preserve"> Todas las mujeres con embarazo único, cefálica, &lt;37 semanas, incluidas las que tienen 1 o más cesáreas. </t>
    </r>
  </si>
  <si>
    <t>≥ 60 segundos y/ o convulsiones o incontinencia</t>
  </si>
  <si>
    <r>
      <t>Lu</t>
    </r>
    <r>
      <rPr>
        <vertAlign val="superscript"/>
        <sz val="8"/>
        <rFont val="Verdana"/>
        <family val="2"/>
      </rPr>
      <t>a</t>
    </r>
  </si>
  <si>
    <r>
      <t>Lu</t>
    </r>
    <r>
      <rPr>
        <vertAlign val="superscript"/>
        <sz val="8"/>
        <rFont val="Verdana"/>
        <family val="2"/>
      </rPr>
      <t>b</t>
    </r>
  </si>
  <si>
    <r>
      <t>Kp</t>
    </r>
    <r>
      <rPr>
        <vertAlign val="superscript"/>
        <sz val="8"/>
        <rFont val="Verdana"/>
        <family val="2"/>
      </rPr>
      <t>a</t>
    </r>
  </si>
  <si>
    <r>
      <t>Le</t>
    </r>
    <r>
      <rPr>
        <vertAlign val="superscript"/>
        <sz val="8"/>
        <rFont val="Verdana"/>
        <family val="2"/>
      </rPr>
      <t>a</t>
    </r>
  </si>
  <si>
    <r>
      <t>Le</t>
    </r>
    <r>
      <rPr>
        <vertAlign val="superscript"/>
        <sz val="8"/>
        <rFont val="Verdana"/>
        <family val="2"/>
      </rPr>
      <t>b</t>
    </r>
  </si>
  <si>
    <r>
      <t>Fy</t>
    </r>
    <r>
      <rPr>
        <vertAlign val="superscript"/>
        <sz val="8"/>
        <rFont val="Verdana"/>
        <family val="2"/>
      </rPr>
      <t>a</t>
    </r>
  </si>
  <si>
    <r>
      <t>Fy</t>
    </r>
    <r>
      <rPr>
        <vertAlign val="superscript"/>
        <sz val="8"/>
        <rFont val="Verdana"/>
        <family val="2"/>
      </rPr>
      <t>b</t>
    </r>
  </si>
  <si>
    <r>
      <t>Jk</t>
    </r>
    <r>
      <rPr>
        <vertAlign val="superscript"/>
        <sz val="8"/>
        <rFont val="Verdana"/>
        <family val="2"/>
      </rPr>
      <t>a</t>
    </r>
  </si>
  <si>
    <r>
      <t>Jk</t>
    </r>
    <r>
      <rPr>
        <vertAlign val="superscript"/>
        <sz val="8"/>
        <rFont val="Verdana"/>
        <family val="2"/>
      </rPr>
      <t>b</t>
    </r>
  </si>
  <si>
    <r>
      <t>Di</t>
    </r>
    <r>
      <rPr>
        <vertAlign val="superscript"/>
        <sz val="8"/>
        <rFont val="Verdana"/>
        <family val="2"/>
      </rPr>
      <t>a</t>
    </r>
  </si>
  <si>
    <r>
      <t>Di</t>
    </r>
    <r>
      <rPr>
        <vertAlign val="superscript"/>
        <sz val="8"/>
        <rFont val="Verdana"/>
        <family val="2"/>
      </rPr>
      <t>b</t>
    </r>
  </si>
  <si>
    <t>SECCIÓN C: EDUCACIÓN GRUPAL A GESTANTES DE ALTO RIESGO OBSTÉTRICO (Nivel Secundario)</t>
  </si>
  <si>
    <t>SECCIÓN D: TALLERES PROGRAMA "MÁS A.M AUTOVALENTES"</t>
  </si>
  <si>
    <t>SECCIÓN E: TALLERES PROGRAMA ELIGE VIDA SANA</t>
  </si>
  <si>
    <t>SECCIÓN F: INTERVENCIONES POR PATRÓN DE CONSUMO DE ALCOHOL, TABACO Y OTRAS DROGAS</t>
  </si>
  <si>
    <t>SECCIÓN G: PERSONAS QUE INGRESAN A TALLERES PARA PADRES DEL PROGRAMA DE APOYO A LA SALUD MENTAL INFANTIL (PASMI)</t>
  </si>
  <si>
    <t>SECCIÓN H: ORGANIZACIONES SOCIALES DE LA RED DEL PROGRAMA MÁS ADULTOS MAYORES AUTOVALENTES</t>
  </si>
  <si>
    <t>SECCIÓN I: SERVICIOS DE LA RED DEL PROGRAMA MÁS ADULTOS MAYORES AUTOVALENTES</t>
  </si>
  <si>
    <t xml:space="preserve">SECCIÓN J: TALLERES GRUPALES  DE LACTANCIA MATERNA EN ATENCIÓN PRIMARIA </t>
  </si>
  <si>
    <t>SECCIÓN K: INTERVENCIONES POSTERIOR AL TAMIZAJE DE SALUD MENTAL</t>
  </si>
  <si>
    <t>SECCIÓN M: EDUCACIÓN PARA PROGRAMA DE SALUD CARDIOVASCULAR</t>
  </si>
  <si>
    <t>INTERVENCIÓN BREVE O MOTIVACIONAL
(RIESGO)</t>
  </si>
  <si>
    <t xml:space="preserve">Dos o más profesionales </t>
  </si>
  <si>
    <t>45 - 64 años</t>
  </si>
  <si>
    <t xml:space="preserve">TELECOMITE DE ESPECIALIDAD </t>
  </si>
  <si>
    <t>TELECOMITE REALIZADOS</t>
  </si>
  <si>
    <t xml:space="preserve">TELECOMITE SOLICITADOS DESDE  NIVEL SECUNDARIO Y TERCIARIO Y RESUELTOS POR OTRO ESTABLECIMIENTO </t>
  </si>
  <si>
    <t>TOTAL TELECOMITE REALIZADOS</t>
  </si>
  <si>
    <t>CUIDADOS PALIATIVOS ONCOLÓGICO</t>
  </si>
  <si>
    <t>CUIDADOS PALIATIVOS NO ONCOLÓGICO UNIVERSALES</t>
  </si>
  <si>
    <t>UNIDAD DE PACIENTE CRÍTICO</t>
  </si>
  <si>
    <r>
      <t>SECCIÓN D: TELEINTERCONSULTA ODONTOLÓGICA</t>
    </r>
    <r>
      <rPr>
        <b/>
        <i/>
        <sz val="11"/>
        <rFont val="Verdana"/>
        <family val="2"/>
      </rPr>
      <t xml:space="preserve"> </t>
    </r>
  </si>
  <si>
    <t>TELEINTERCONSULTA DE ESPECIALIDAD ODONTOLÓGICA AMBULATORIA  NUEVA</t>
  </si>
  <si>
    <t xml:space="preserve">TELEINTERCONSULTA DE ESPECIALIDAD ODONTOLÓGICA AMBULATORIA  CONTROL </t>
  </si>
  <si>
    <r>
      <t>TOTAL TELEINTERCONSULTAS AMBULATORIAS DE ESPECIALIDAD ODONTOLÓGICA</t>
    </r>
    <r>
      <rPr>
        <strike/>
        <sz val="8"/>
        <rFont val="Verdana"/>
        <family val="2"/>
      </rPr>
      <t xml:space="preserve"> </t>
    </r>
  </si>
  <si>
    <t xml:space="preserve">SOLICITUD DE TELEINTERCONSULTA DE ESPECIALIDAD ODONTOLÓGICA </t>
  </si>
  <si>
    <t>Niños, niñas, adolescentes y jóvenes población SENAME</t>
  </si>
  <si>
    <t>Paciente en Control Programa Salud Cardiovascular</t>
  </si>
  <si>
    <t>Menos de 1 año</t>
  </si>
  <si>
    <t>3 años</t>
  </si>
  <si>
    <t>8-9 años</t>
  </si>
  <si>
    <t xml:space="preserve">20-24 años </t>
  </si>
  <si>
    <t>25-34 años</t>
  </si>
  <si>
    <t>35-44 años</t>
  </si>
  <si>
    <t>45-59 años</t>
  </si>
  <si>
    <t>Pacientes en Control Programa Salud Cardiovascular</t>
  </si>
  <si>
    <t>Menos de 1 año - 1 año</t>
  </si>
  <si>
    <t>Egreso por Abandono</t>
  </si>
  <si>
    <t>Paciente Diabético en Control Programa Salud Cardiovascular</t>
  </si>
  <si>
    <t>Usuarios Oncológicos</t>
  </si>
  <si>
    <t>MATRONA /ÓN (PISO PELVICO)</t>
  </si>
  <si>
    <t>Contacto telefónico</t>
  </si>
  <si>
    <t>TELEINTERCONSULTA  MEDICA DE ESPECIALIDAD AMBULATORIA  NUEVA</t>
  </si>
  <si>
    <t xml:space="preserve">TELEINTERCONSULTA MEDICA  DE ESPECIALIDAD AMBULATORIA  CONTROL </t>
  </si>
  <si>
    <t xml:space="preserve">TOTAL TELEINTERCONSULTAS  MEDICAS AMBULATORIAS DE ESPECIALIDAD </t>
  </si>
  <si>
    <t xml:space="preserve">TELEINTERCONSULTA MEDICINA MEDICA DE ESPECIALIDAD REALIZADAS   A PACIENTES HOSPITALIZADOS </t>
  </si>
  <si>
    <t xml:space="preserve">TELEINTERCONSULTAS SOLICITADAS DESDE APS O NIVEL SECUNDARIO PARA SER RESUELTAS POR OTRO ESTABLECIMIENTO </t>
  </si>
  <si>
    <t>SECCIÓN B : TELEINTERCONSULTA  MÉDICA EN ESTABLECIMIENTOS DE ATENCIÓN SECUNDARIA DE URGENCIA (ATENCIÓN MEDICO A MÉDICO)</t>
  </si>
  <si>
    <t>Espacios Amigables/ Adolescente</t>
  </si>
  <si>
    <t xml:space="preserve">UN PROFESIONAL Y UN TÉCNICO EN ENFERMERÍA </t>
  </si>
  <si>
    <t xml:space="preserve">TRANS
</t>
  </si>
  <si>
    <t>TÉCNICO EN ENFERMERÍA EN SALUD MENTAL</t>
  </si>
  <si>
    <t>0 - 9</t>
  </si>
  <si>
    <t>10-17</t>
  </si>
  <si>
    <t>25-34</t>
  </si>
  <si>
    <t>35-44</t>
  </si>
  <si>
    <t>45-54</t>
  </si>
  <si>
    <t>55-64</t>
  </si>
  <si>
    <t>65 -74</t>
  </si>
  <si>
    <t>75 años y más</t>
  </si>
  <si>
    <t>18-19</t>
  </si>
  <si>
    <t>20 A 34 AÑOS</t>
  </si>
  <si>
    <t>Espacios amigables/ Adolescentes</t>
  </si>
  <si>
    <t>Espacios Amigables/ Adolescentes</t>
  </si>
  <si>
    <t xml:space="preserve">TELEPROCEDIMIENTOS SOLICITADOS DESDE  NIVEL SECUNDARIO Y TERCIARIO Y RESUELTOS POR OTRO ESTABLECIMIENTO </t>
  </si>
  <si>
    <t>N° DE INFORMES FONDO DE OJO (EXCLUYE RESOLUTIVIDAD)</t>
  </si>
  <si>
    <r>
      <t xml:space="preserve">TOTAL HORAS MENSUALES </t>
    </r>
    <r>
      <rPr>
        <b/>
        <sz val="8"/>
        <rFont val="Verdana"/>
        <family val="2"/>
      </rPr>
      <t>OCUPADAS</t>
    </r>
    <r>
      <rPr>
        <sz val="8"/>
        <rFont val="Verdana"/>
        <family val="2"/>
      </rPr>
      <t xml:space="preserve"> DE QUIRÓFANOS EN TRABAJO, HORARIO INHABIL</t>
    </r>
  </si>
  <si>
    <t>CIRUGIAS MENORES Y PROCEDIMIENTOS*</t>
  </si>
  <si>
    <t>0-9 años</t>
  </si>
  <si>
    <t>10 a 19 años</t>
  </si>
  <si>
    <t xml:space="preserve">ESTRATEGIA, ESPACIOS O LÍNEAS DE ACCIÓN </t>
  </si>
  <si>
    <t>FAMILIA CON INTEGRANTE DEPENDIENTE SEVERO EN PROGRAMA CON ENFERMEDAD TERMINAL</t>
  </si>
  <si>
    <t>ENFERMEDAD RENAL CRÓNICA</t>
  </si>
  <si>
    <t>Atenciones por profesionales  a Honorarios</t>
  </si>
  <si>
    <t>TRASTORNO ADAPTATIVO</t>
  </si>
  <si>
    <t xml:space="preserve">TECNÓLOGO/A MÉDICO/A CONSULTA POR VICIO DE REFRACCIÓN </t>
  </si>
  <si>
    <t>GLAUCOMA (por médico/a) (inlcuidas dentro de consultas de oftalmologia)</t>
  </si>
  <si>
    <t>ATENCION FARMACEUTICA</t>
  </si>
  <si>
    <t xml:space="preserve">UN PROFESIONAL Y 
UN TÉCNICO EN ENFERMERÍA </t>
  </si>
  <si>
    <t>OTRO PROFESIONAL (capacitados en EMP Y EMPAM)</t>
  </si>
  <si>
    <t xml:space="preserve">SECCIÓN C: INGRESOS A PROGRAMA DE REGULACIÓN DE FERTILIDAD Y SALUD SEXUAL.  </t>
  </si>
  <si>
    <t>EGRESADOS QUE MANTUVIERON LACTANCIA MATERNA EXCLUSIVA DURANTE LA HOSPITALIZACIÓN Y  AL ALTA *</t>
  </si>
  <si>
    <t>*Contenidos en egresos con lactancia materna exclusiva</t>
  </si>
  <si>
    <t>ATENCIÓN MÉDICA GINECO-OBSTETRA</t>
  </si>
  <si>
    <t xml:space="preserve">SECCIÓN B: CATEGORIZACIÓN DE PACIENTES, PREVIA A LA ATENCIÓN MÉDICA Y ODONTOLÓGICA (Establecimientos Alta, Mediana, Baja Complejidad, SAR y SAPU) </t>
  </si>
  <si>
    <r>
      <t xml:space="preserve">SECCIÓN F1: ACCIONES </t>
    </r>
    <r>
      <rPr>
        <b/>
        <sz val="8"/>
        <color theme="1"/>
        <rFont val="Verdana"/>
        <family val="2"/>
      </rPr>
      <t>REMOTAS DE SALUD MENTAL (APS Y ESPECIALIDAD)</t>
    </r>
  </si>
  <si>
    <t>ECOGRAFÍA TRANSVAGINAL O RECTAL (excluye Climaterio)</t>
  </si>
  <si>
    <t>Compra de Servicios (No incluidas en total de atenciones)</t>
  </si>
  <si>
    <t>Consultas Médicas por Operativos (no incluidas en produccion)</t>
  </si>
  <si>
    <t xml:space="preserve">Derivación desde Hospitalización </t>
  </si>
  <si>
    <t>ALTA DE CONSULTA DE ESPECIALIDAD AMBULATORIA</t>
  </si>
  <si>
    <t>QUIRÓFANOS CIRUGIA MAYOR</t>
  </si>
  <si>
    <r>
      <t xml:space="preserve">* </t>
    </r>
    <r>
      <rPr>
        <b/>
        <sz val="8"/>
        <rFont val="Verdana"/>
        <family val="2"/>
      </rPr>
      <t>Las</t>
    </r>
    <r>
      <rPr>
        <b/>
        <sz val="12"/>
        <rFont val="Verdana"/>
        <family val="2"/>
      </rPr>
      <t xml:space="preserve"> </t>
    </r>
    <r>
      <rPr>
        <b/>
        <sz val="8"/>
        <rFont val="Verdana"/>
        <family val="2"/>
      </rPr>
      <t>horas informadas en cirugía menores y procedimientos, deben estar contenidas en las horas ocupadas, en quirófanos para cirugía mayor.</t>
    </r>
  </si>
  <si>
    <t>Teleconsultas de especialidad resueltas por Médicos Generales</t>
  </si>
  <si>
    <t>MÉDICO/A ESPECIALIDAD-SUBESPECIALIDAD</t>
  </si>
  <si>
    <t>Anillo Vaginal</t>
  </si>
  <si>
    <t>Ingreso por cambio de Método Anticonceptivo</t>
  </si>
  <si>
    <t xml:space="preserve">20-29 años </t>
  </si>
  <si>
    <t>30-39 años</t>
  </si>
  <si>
    <t>40-49 años</t>
  </si>
  <si>
    <t>50-59 años</t>
  </si>
  <si>
    <t>Operatoria</t>
  </si>
  <si>
    <t>Contacto telefónico control</t>
  </si>
  <si>
    <t>Atenciones según modalidad de contacto</t>
  </si>
  <si>
    <t>Atenciones remotas según modalidad</t>
  </si>
  <si>
    <t xml:space="preserve"> Contacto Telefónico Control</t>
  </si>
  <si>
    <t>Teleconsulta Nueva /Control</t>
  </si>
  <si>
    <t xml:space="preserve">SECCIÓN G: TELEINTERCONSULTA MEDICINA ABREVIADA </t>
  </si>
  <si>
    <t xml:space="preserve">SECCIÓN Q: TELECONSULTA MEDICINA ABREVIADA </t>
  </si>
  <si>
    <t>MÉDICO/A PREVIO EXAMEN VIH</t>
  </si>
  <si>
    <t>MATRONA /ÓN PREVIO EXAMEN VIH</t>
  </si>
  <si>
    <t>ORIENTACIÓN E INFORMACIÓN PREVIA AL EXAMEN VIH</t>
  </si>
  <si>
    <t>SEGUIMIENTO A DISTANCIA CON RIESGO MODERADO (G2)</t>
  </si>
  <si>
    <t xml:space="preserve">
Trans
</t>
  </si>
  <si>
    <t>PARTOS FUERA DE LA RED DE SALUD</t>
  </si>
  <si>
    <t>CONDUCCIÓN OXITÓCICA</t>
  </si>
  <si>
    <t>TIPO DE PARTO</t>
  </si>
  <si>
    <t xml:space="preserve">SECCIÓN D.3: NACIDOS  FALLECIDOS </t>
  </si>
  <si>
    <t>SECCIÓN E: EGRESOS DE MATERNIDAD Y NEONATOLOGÍA, SEGÚN LACTANCIA MATERNA EXCLUSIVA</t>
  </si>
  <si>
    <t>Neonatología</t>
  </si>
  <si>
    <t>Maternidad</t>
  </si>
  <si>
    <t>INTRACESÁREA</t>
  </si>
  <si>
    <t>Anillo de Progestágeno</t>
  </si>
  <si>
    <t xml:space="preserve"> SÓLO PRESERVATIVO MAC                                                                                                                                                                                                                                             </t>
  </si>
  <si>
    <t>PRESERVATIVO/PRACTICA SEXUAL SEGURA</t>
  </si>
  <si>
    <t xml:space="preserve"> SÓLO PRESERVATIVO MAC                                                                                                                                                                                                                                    </t>
  </si>
  <si>
    <t>SECCION N: ATENCIONES AMBULATORIAS POR  EL PROGRAMA TUBERCULOSIS</t>
  </si>
  <si>
    <t>SECCION O: EXÁMENES BACTERIOLOGICOS PROCESADOS</t>
  </si>
  <si>
    <t>TIPO DE MUESTRA</t>
  </si>
  <si>
    <t xml:space="preserve">50-54 años </t>
  </si>
  <si>
    <t xml:space="preserve">80 y más </t>
  </si>
  <si>
    <t>SECCIÓN V: POBLACIÓN USUARIA PRAIS</t>
  </si>
  <si>
    <t>SECCIÓN V.2: POBLACIÓN USUARIA TOTAL (UNIVERSO)</t>
  </si>
  <si>
    <t>SECCIÓN W: ACREDITACIÓN PRAIS</t>
  </si>
  <si>
    <t>SECCIÓN W.1: ATENCIÓN PARA ACREDITACIÓN PRAIS</t>
  </si>
  <si>
    <t>SECCIÓN W.2: ACREDITACIÓN PRAIS SEGÚN LEY, NORMATIVA Y CALIDAD DE ACREDITACIÓN</t>
  </si>
  <si>
    <t>SECCIÓN A.4: ATENCIONES DE URGENCIA REALIZADAS EN ESTABLECIMIENTOS  ATENCIÓN PRIMARIA NO SAPU</t>
  </si>
  <si>
    <t>SECCIÓN A.5:  CONSULTAS EN SISTEMA DE ATENCIÓN DE URGENCIA EN CENTROS DE SALUD RURAL (SUR) Y POSTAS RURALES</t>
  </si>
  <si>
    <t>SECCIÓN G: ATENCIONES MÉDICAS ASOCIADAS A  VIOLENCIA POR GRUPO ETARIO</t>
  </si>
  <si>
    <t xml:space="preserve">SECCIÓN H: ATENCIONES  POR ANTICONCEPCIÓN DE EMERGENCIA </t>
  </si>
  <si>
    <t>SECCIÓN I: MOTIVOS DE ATENCIÓN POR EMERGENCIA OBSTÉTRICA AL SERVICIO DE  URGENCIA  (Establecimientos Alta y Mediana Complejidad).</t>
  </si>
  <si>
    <t>SECCIÓN J: LLAMADOS DE URGENCIA A CENTRO REGULADOR</t>
  </si>
  <si>
    <t>SECCIÓN K: INTERVENCIONES PRE HOSPITALARIAS (SAMU)</t>
  </si>
  <si>
    <t>SECCIÓN L: TRASLADOS PRIMARIOS A UNIDADES DE URGENCIA (Desde el lugar del evento a unidad de Emergencia)</t>
  </si>
  <si>
    <t>SECCIÓN M: TRASLADO SECUNDARIO (Desde un Establecimiento a Otro)</t>
  </si>
  <si>
    <t>SECCIÓN N: CLASIFICACIÓN DE LAS INTERVENCIONES POR GRANDES GRUPOS DE DIAGNÓSTICOS (SAMU)</t>
  </si>
  <si>
    <t xml:space="preserve">SECCIÓN O: ATENCIONES  EN URGENCIA POR VIOLENCIA SEXUAL  </t>
  </si>
  <si>
    <t xml:space="preserve">SECCIÓN P: ATENCIONES MÉDICAS POR VIOLENCIA SEXUAL CON REALIZACIÓN O INDICACIÓN DE PERITAJE </t>
  </si>
  <si>
    <t>SECCIÓN Q: ATENCIONES DE URGENCIA ASOCIADAS A LESIONES AUTOINFLIGIDAS</t>
  </si>
  <si>
    <t xml:space="preserve">SECCIÓN R: ATENCIONES EN SERVICIO DE URGENCIA DE LA RED, ASOCIADOS A MORDEDURA </t>
  </si>
  <si>
    <t xml:space="preserve">SECCIÓN C:  HOSPITALIZACIÓN DOMICILIARIA </t>
  </si>
  <si>
    <t>SECCIÓN C.1:  PERSONAS ATENDIDAS EN EL PROGRAMA</t>
  </si>
  <si>
    <t xml:space="preserve">SECCIÓN C.2:  VISITAS REALIZADAS </t>
  </si>
  <si>
    <t>SECCIÓN C.3:  CUPOS DISPONIBLES EN UNIDAD DE HOSPITALIZACIÓN DOMICILIARIA</t>
  </si>
  <si>
    <t>SECCIÓN C.4: ASISTENCIA VENTILATORIA Y OXÍGENO EN DOMICILIO</t>
  </si>
  <si>
    <t>SECCIÓN C.5: INGRESOS Y EGRESOS AL PROGRAMA</t>
  </si>
  <si>
    <t>SECCIÓN D: APOYO PSICOSOCIAL EN NIÑOS, NIÑAS Y ADOLESCENTES HOSPITALIZADOS</t>
  </si>
  <si>
    <t>SECCIÓN E: GESTIÓN DE PROCESOS DE PACIENTES QUIRÚRGICOS CON CIRUGÍA ELECTIVA</t>
  </si>
  <si>
    <t>SECCIÓN F: CAUSAS DE SUSPENSIÓN DE CIRUGÍAS ELECTIVAS</t>
  </si>
  <si>
    <t>SECCIÓN G: ESTERILIZACIONES QUIRÚRGICAS</t>
  </si>
  <si>
    <t xml:space="preserve">Total Talleres en Alimentación </t>
  </si>
  <si>
    <t>Total Talleres en Actividad Física</t>
  </si>
  <si>
    <t>Total Talleres en Libre de Humo del Tabaco</t>
  </si>
  <si>
    <t xml:space="preserve">Total Talleres en Factores Protectores Psicosociales </t>
  </si>
  <si>
    <t>Total Talleres en Prevención Consumo de Alcohol y Otras Drogas</t>
  </si>
  <si>
    <t>Total Talleres en Salud Sexual y Prevención de VIH/SIDA e ITS</t>
  </si>
  <si>
    <t>Total Talleres en Otros Tipos de Talleres</t>
  </si>
  <si>
    <t>SECCIÓN A.1: ATENCIONES REALIZADAS EN UNIDADES DE EMERGENCIA HOSPITALARIA (Establecimientos de alta, mediana complejidad)</t>
  </si>
  <si>
    <t>SECCIÓN G.1: ATENCIONES MÉDICAS ASOCIADAS A  VIOLENCIA POR CONDICIÓN (incluidas en sección G)</t>
  </si>
  <si>
    <t>AUTOESTIMA Y AUTOCUIDADO</t>
  </si>
  <si>
    <t>MENTE SANA Y CUERPO SANO</t>
  </si>
  <si>
    <t>COMUNICACIÓN</t>
  </si>
  <si>
    <t>YO ME CUIDO</t>
  </si>
  <si>
    <t>SECCION C: EGRESOS</t>
  </si>
  <si>
    <t>SECCIÓN D: CONSULTAS DE MORBILIDAD POR ENFERMEDADES RESPIRATORIAS EN SALAS IRA, ERA Y MIXTA</t>
  </si>
  <si>
    <t>SECCIÓN E: CONTROLES REALIZADOS (CRONICOS)</t>
  </si>
  <si>
    <t>SECCIÓN F: SEGUIMIENTO DE ATENCIONES REALIZADAS EN AGUDOS</t>
  </si>
  <si>
    <t>PROCEDIMIENTOS CUTANEOS QUIRURGICOS DE BAJA COMPLEJIDAD</t>
  </si>
  <si>
    <t>MEDICINA INTENSIVA</t>
  </si>
  <si>
    <t>Contacto individual  por mensaje electrónico</t>
  </si>
  <si>
    <t>Contacto grupal por mensaje electrónico</t>
  </si>
  <si>
    <t xml:space="preserve">Reconstitución para uso pediátrico (recambio) </t>
  </si>
  <si>
    <t>(ESTE REM SOLO ES LLENADO POR HOSPITAL DIGITAL, NIVEL CENTRAL)</t>
  </si>
  <si>
    <t xml:space="preserve">SECCION A: ATENCIONES POR TELEMEDICINA DE ESPECIALIDAD MEDICA </t>
  </si>
  <si>
    <t>SECCION A1: TELEINTERCONSULTA DE ESPECIALIDAD MEDICA POR HOSPITAL DIGITAL</t>
  </si>
  <si>
    <t>TOTAL TELEINTERCONSULTAS MÉDICAS DE ESPECIALIDAD REALIZADAS  POR HOSPITAL DIGITAL</t>
  </si>
  <si>
    <t>TELEINTERCONSULTA MEDICA DE ESPECIALIDAD AMBULATORIA NUEVA</t>
  </si>
  <si>
    <t xml:space="preserve">TELEINTERCONSULTA MEDICA  DE ESPECIALIDAD AMBULATORIA CONTROL </t>
  </si>
  <si>
    <t>TELEINTERCONSULTAS  SOLICITADAS DESDE APS O NIVEL SECUNDARIO PARA SER RESUELTAS POR HOSPITAL DIGITAL</t>
  </si>
  <si>
    <t xml:space="preserve">MENORES DE 15 AÑOS </t>
  </si>
  <si>
    <t>15 AÑOS Y MÁS</t>
  </si>
  <si>
    <t>PSIQUIATRÍA</t>
  </si>
  <si>
    <t xml:space="preserve">REUMATOLOGÍA </t>
  </si>
  <si>
    <t>ENDOCRINOLOGÍA</t>
  </si>
  <si>
    <t>GENETICA</t>
  </si>
  <si>
    <t>NEUROLOGIA</t>
  </si>
  <si>
    <t>SECCION A2: TELECONSULTA DE ESPECIALIDAD MEDICA  POR HOSPITAL DIGITAL</t>
  </si>
  <si>
    <t>TOTAL TELECONSULTAS DE ESPECIALIDAD REALIZADAS  POR HOSPITAL DIGITAL</t>
  </si>
  <si>
    <t>TELECONSULTA DE ESPECIALIDAD CONSULTA NUEVA</t>
  </si>
  <si>
    <t xml:space="preserve">TELECONSULTA DE ESPECIALIDAD CONTROL </t>
  </si>
  <si>
    <t>TELECONSULTAS SOLICITADAS PARA SER RESUELTAS POR HOSPITAL DIGITAL</t>
  </si>
  <si>
    <t xml:space="preserve">UROLOGIA </t>
  </si>
  <si>
    <t>ENFERMEDADES METABOLICAS</t>
  </si>
  <si>
    <t>GINECOLOGIA</t>
  </si>
  <si>
    <t>SECCIÓN B : TELEINFORMES EN ESTABLECIMIENTOS DE ATENCIÓN PRIMARIA, SECUNDARIA Y TERCIARIA</t>
  </si>
  <si>
    <t xml:space="preserve">TELEINFORMES </t>
  </si>
  <si>
    <t xml:space="preserve"> TOTAL TELEINFORMES REALIZADOS </t>
  </si>
  <si>
    <t xml:space="preserve">ESTABLECIMIENTOS DE NIVEL PRIMARIO DE SALUD </t>
  </si>
  <si>
    <r>
      <t xml:space="preserve"> </t>
    </r>
    <r>
      <rPr>
        <sz val="8"/>
        <rFont val="Verdana"/>
        <family val="2"/>
      </rPr>
      <t>(ESTABLECIMIENTOS DE NIVEL SECUNDARIO Y TERCIARIO)</t>
    </r>
  </si>
  <si>
    <t>TOTAL TELEINFORMES REALIZADOS POR INTELIGENCIA ARTIFICIAL</t>
  </si>
  <si>
    <t xml:space="preserve">TOTAL TELEINFORMES REALIZADOS POR ESPECIALISTA </t>
  </si>
  <si>
    <t>TELEINFORMES SOLICITADOS DESDE APS, NIVEL SECUNDARIO  O TERCIARIO</t>
  </si>
  <si>
    <t xml:space="preserve">N° DE TELEINFORMES FONDO DE OJO </t>
  </si>
  <si>
    <t>N° DE TELEINFORMES DE RESONANCIA MAGNETICA</t>
  </si>
  <si>
    <t>N° DE TELEINFORMES MAMOGRAFIAS</t>
  </si>
  <si>
    <t>SECCION C: TELEINTERCONSULTA DE ESPECIALIDADES ODONTOLOGICAS POR HOSPITAL DIGITAL</t>
  </si>
  <si>
    <t>ESPECIALIDADES ODONTOLOGICAS</t>
  </si>
  <si>
    <t xml:space="preserve">TOTAL TELEINTERCONSULTAS DE ESPECIALIDADES ODONTOLÓGICAS </t>
  </si>
  <si>
    <t>TELEINTERCONSULTA DE ESPECIALIDADES ODONTOLÓGICAS AMBULATORIA NUEVA</t>
  </si>
  <si>
    <t xml:space="preserve">TELEINTERCONSULTA DE ESPECIALIDADES ODONTOLÓGICAS AMBULATORIA CONTROL </t>
  </si>
  <si>
    <t>TELEINTERCONSULTAS  SOLICITADAS PARA SER RESUELTAS POR HOSPITAL DIGITAL</t>
  </si>
  <si>
    <t>CIRUGIA BUCAL</t>
  </si>
  <si>
    <t>SECCIÓN D: ATENCIONES DE TELEMEDICINA REALIZADAS POR OTROS PROFESIONALES</t>
  </si>
  <si>
    <t xml:space="preserve">SECCION D1: TELEINTERCONSULTA OTROS PROFESIONALES DE LA SALUD REALIZADA POR HOSPITAL DIGITAL </t>
  </si>
  <si>
    <t xml:space="preserve">TELEINTERCONSULTA </t>
  </si>
  <si>
    <t xml:space="preserve">TOTAL DE TELEINTERCONSULTAS DE OTROS PROFESIONALES DE LA SALUD </t>
  </si>
  <si>
    <t xml:space="preserve">TELEINTERCONSULTA NUEVA DE OTROS PROFESIONALES DE LA SALUD </t>
  </si>
  <si>
    <t xml:space="preserve">TELEINTERCONSULTA CONTROL DE OTROS PROFESIONALES DE LA SALUD </t>
  </si>
  <si>
    <t>TELEINTERCONSULTAS SOLICITADAS DESDE APS O NIVEL SECUNDARIO PARA SER RESUELTAS POR HOSPITAL DIGITAL</t>
  </si>
  <si>
    <t>QUIMICO FARMACEUTICA/O</t>
  </si>
  <si>
    <t>PSICOLOGA/O</t>
  </si>
  <si>
    <t>NUTRICIONISTA/O</t>
  </si>
  <si>
    <t xml:space="preserve">SECCION D2: TELECONSULTA OTROS PROFESIONALES DE LA SALUD  REALIZADA POR HOSPITAL DIGITAL </t>
  </si>
  <si>
    <t>TELECONSULTA</t>
  </si>
  <si>
    <t xml:space="preserve">TOTAL DE TELECONSULTAS DE OTROS PROFESIONALES DE LA SALUD </t>
  </si>
  <si>
    <t xml:space="preserve"> TELECONSULTA NUEVA DE OTROS PROFESIONALES DE LA  SALUD </t>
  </si>
  <si>
    <t xml:space="preserve"> TELECONSULTA CONTROL DE OTROS PROFESIONALES DE LA  SALUD  </t>
  </si>
  <si>
    <t>TELECONSULTAS SOLICITADAS DESDE APS O NIVEL SECUNDARIO PARA SER RESUELTAS POR HOSPITAL DIGITAL</t>
  </si>
  <si>
    <t>MEDICINA GENERAL HOSPITAL DIGITAL RURAL</t>
  </si>
  <si>
    <t>MEDICINA GENERAL EN OTRAS INSTANCIAS</t>
  </si>
  <si>
    <t xml:space="preserve">SECCION F: ESTRATEGIAS SALUD MENTAL </t>
  </si>
  <si>
    <t xml:space="preserve">SECCIÓN F1: ESTRATEGIA SALUD MENTAL POBLACION GENERAL </t>
  </si>
  <si>
    <t xml:space="preserve">ESTRATEGIAS DE SALUD A POBLACIÓN GENERAL </t>
  </si>
  <si>
    <t>ATENCIONES DE SALUD MENTAL A POBLACIÓN GENERAL</t>
  </si>
  <si>
    <t xml:space="preserve">ATENCIONES  DIFERENCIADA POR VÍA DE REALIZACIÓN </t>
  </si>
  <si>
    <t xml:space="preserve">USUARIOS SIN ANTECEDENTES </t>
  </si>
  <si>
    <t>Sin información Edad</t>
  </si>
  <si>
    <t>Sin información Sexo</t>
  </si>
  <si>
    <t>Atención por llamada telefónica</t>
  </si>
  <si>
    <t>Atención por Videollamada</t>
  </si>
  <si>
    <t>PRIMERA AYUDA PSICOLÓGICA</t>
  </si>
  <si>
    <t>INGRESOS PASMET</t>
  </si>
  <si>
    <t xml:space="preserve">SECCION F2: ESTRATEGIA SALUD MENTAL EN FUNCIONARIOS DE LA SALUD </t>
  </si>
  <si>
    <t>ESTRATEGIAS DE SALUD A FUNCIONARIOS</t>
  </si>
  <si>
    <t>ATENCIONES DE SALUD MENTAL FUNCIONARIOS</t>
  </si>
  <si>
    <t xml:space="preserve">ATENCIONES  DIFERENCIADAS POR VÍA DE REALIZACIÓN </t>
  </si>
  <si>
    <t xml:space="preserve">SECCION F3: ALTA PROGRAMA DE ACOMPAÑAMIENTO EN SALUD MENTAL POR TELEMEDICINA A POBLACIÓN GENERAL (PASMET) </t>
  </si>
  <si>
    <t>TIPO DE ALTA PASMET</t>
  </si>
  <si>
    <t>ATENCIÓN L PSICOLOGICA A POBLACIÓN GENERAL</t>
  </si>
  <si>
    <t>ALTA TERAPEÚTICA</t>
  </si>
  <si>
    <t>SECCION F4: ALTA PROGRAMA DE ACOMPAÑAMIENTO EN SALUD MENTAL POR TELEMEDICINA A FUNCIONARIOS (PASMET)</t>
  </si>
  <si>
    <t xml:space="preserve">ATENCIÓN PSICOLÓGICA A FUNCIONARIOS </t>
  </si>
  <si>
    <t>SECCION G: TELECOMITÉ</t>
  </si>
  <si>
    <t>TELECOMITE</t>
  </si>
  <si>
    <t xml:space="preserve">USUARIOS EVALUADOS POR TELECOMITÉ </t>
  </si>
  <si>
    <t>TOTAL USUARIOS SOLICITADOS A PRESENTAR EN TELECOMITÉ</t>
  </si>
  <si>
    <t>TELECOMITE ONCOLOGICO CENTRAL</t>
  </si>
  <si>
    <t xml:space="preserve">TELECOMITE ONCOLOGICO DE APOYO CENTRAL </t>
  </si>
  <si>
    <t xml:space="preserve">TELECOMITE DE CUIDADOS PALIATIVOS </t>
  </si>
  <si>
    <t>TELECOMITE UPC</t>
  </si>
  <si>
    <t>SECCION H: ORIENTACIÓN TELEFÓNICA EN SALUD</t>
  </si>
  <si>
    <t xml:space="preserve">ORIENTACIÓN TELEFÓNICA EN SALUD </t>
  </si>
  <si>
    <t>ORIENTACIÓN EN SALUD</t>
  </si>
  <si>
    <t xml:space="preserve">Sin Información </t>
  </si>
  <si>
    <t xml:space="preserve">ORIENTACIÓN CLÍNICA POR PROFESIONAL NO MÉDICO </t>
  </si>
  <si>
    <t>ORIENTACIÓN ADMINISTRATIVA</t>
  </si>
  <si>
    <t xml:space="preserve">ORIENTACIÓN MÉDICA </t>
  </si>
  <si>
    <r>
      <t>REM-A30 AR</t>
    </r>
    <r>
      <rPr>
        <b/>
        <sz val="12"/>
        <color theme="1"/>
        <rFont val="Verdana"/>
        <family val="2"/>
      </rPr>
      <t>:</t>
    </r>
    <r>
      <rPr>
        <b/>
        <sz val="12"/>
        <rFont val="Verdana"/>
        <family val="2"/>
      </rPr>
      <t xml:space="preserve"> ATENCIÓN Y ORIENTACIÓN DE SALUD A DISTANCIA (HD)</t>
    </r>
  </si>
  <si>
    <t xml:space="preserve">OTORRINOLARINGOLOGIA </t>
  </si>
  <si>
    <t>N° DE TELEINFORMES DE TOMOGRAFÍA AXIAL COMPUTARIZADA</t>
  </si>
  <si>
    <t xml:space="preserve">SECCION E: TELEMEDICINA EN ESTRATEGIAS DE MEDICINA GENERAL </t>
  </si>
  <si>
    <t xml:space="preserve">TELEMEDICINA POR PROFESIONAL DE SALUD AMBULATORIA  </t>
  </si>
  <si>
    <t>TELEMEDICINA SOLICITADAS PARA SER RESUELTAS POR MEDICOS GENERALES DE HOSPITAL DIGITAL</t>
  </si>
  <si>
    <t xml:space="preserve">DEPENDENCIA SEVERA  </t>
  </si>
  <si>
    <t xml:space="preserve">SECCIÓN J: INGRESOS Y EGRESOS AL PROGRAMA DE PACIENTES CON DEPENDENCIA LEVE, MODERADA Y SEVERA </t>
  </si>
  <si>
    <t>INGRESO TRATAMIENTO</t>
  </si>
  <si>
    <t>INGRESO QUIMIOPRÓFILAXIS</t>
  </si>
  <si>
    <t>CONTROL MENSUAL</t>
  </si>
  <si>
    <t>CONTROL DE SEGUIMIENTO</t>
  </si>
  <si>
    <t>CONSULTAS ESPONTÁNEAS</t>
  </si>
  <si>
    <t>RESCATE</t>
  </si>
  <si>
    <t>CONTROL DE LOS CONTACTOS</t>
  </si>
  <si>
    <t>ATENCIÓN DOMICILIARIA</t>
  </si>
  <si>
    <t>INGRESO DE TRATAMIENTO</t>
  </si>
  <si>
    <t>MUESTRAS PROCESADAS PARA DIAGNÓSTICO DE TUBERCULOSIS PULMONAR MEDIANTE BACTERIOLOGÍA</t>
  </si>
  <si>
    <t>EVALUACIÓN DIAGNOSTICA INTEGRAL (EDI)</t>
  </si>
  <si>
    <t>TAMIZAJE Y PRIMERA ATENCIÓN SALUD MENTAL EN APS (INDIVIDUAL O GRUPAL)</t>
  </si>
  <si>
    <t xml:space="preserve">TAMIZAJE Y CONFIRMACIÓN DIAGNÓSTICA </t>
  </si>
  <si>
    <t>SUBIDAS A PLATAFORMA DE TAMIZAJE A HOSPITAL DIGITAL</t>
  </si>
  <si>
    <t>Visita Domiciliaria Integral (Elaboración o Evaluación Plan)</t>
  </si>
  <si>
    <t>Visita Domiciliaria Tratamiento/Rehabilitación/Seguimiento</t>
  </si>
  <si>
    <t>Procedimientos de Enfermería</t>
  </si>
  <si>
    <t>Control Ambulatorio</t>
  </si>
  <si>
    <t>Consulta Telefónica</t>
  </si>
  <si>
    <t>Atención Ambulatoria a Familiares</t>
  </si>
  <si>
    <t>Servicios Farmacéuticos</t>
  </si>
  <si>
    <t>Apoyo Psicológico al Usuario</t>
  </si>
  <si>
    <t>Apoyo Social al Usuario</t>
  </si>
  <si>
    <t>Apoyo Psicológico a Familia o Cuidadores</t>
  </si>
  <si>
    <t>Educación</t>
  </si>
  <si>
    <t>Apoyo en la Gestión de Manifestación de Voluntades Anticipadas</t>
  </si>
  <si>
    <t>Atención Domiciliaria</t>
  </si>
  <si>
    <t>No olvide</t>
  </si>
  <si>
    <t>No Olvide</t>
  </si>
  <si>
    <t>REMA30AR</t>
  </si>
  <si>
    <t xml:space="preserve">* * No olvide digitar el campo Pueblos Originarios (Digite CEROS si no tiene). </t>
  </si>
  <si>
    <t xml:space="preserve">* * No olvide digitar el campo Migrantes (Digite CEROS si no tiene). </t>
  </si>
  <si>
    <t xml:space="preserve">SECCION E: ACCIONES REMOTAS DE MEDICINAS COMPLEMENTARIAS Y PRACTICAS DE BIENESTAR EN SALUD </t>
  </si>
  <si>
    <t>Centros de Diagnóstico Terapeutico (CDT)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</si>
  <si>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</si>
  <si>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</si>
  <si>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</si>
  <si>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</si>
  <si>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</si>
  <si>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</si>
  <si>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</si>
  <si>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Laboratorio Clínico o Dental</t>
  </si>
  <si>
    <t>Servicio de Atención Primaria de Urgencia Dental (SAPUDENT)</t>
  </si>
  <si>
    <t>Centro de Rehabilitación (CR)</t>
  </si>
  <si>
    <t>Hospital de Campaña</t>
  </si>
  <si>
    <t>Centro Oncologico</t>
  </si>
  <si>
    <t>Víctima de Violencia de Género</t>
  </si>
  <si>
    <t>Ingresos por Traslado</t>
  </si>
  <si>
    <t>Ingresos con Control Precoz Extrasistema</t>
  </si>
  <si>
    <t>Servicio de Atención Primaria de Urgencia de Alta Resolutividad (SAR)</t>
  </si>
  <si>
    <t>DATOS DEL ESTABLECIMIENTO</t>
  </si>
  <si>
    <t xml:space="preserve">TRASTORNO ESPECTRO AUTISTA </t>
  </si>
  <si>
    <t>ESQUIZOFRENIA</t>
  </si>
  <si>
    <t xml:space="preserve">Rehabilitación NNA </t>
  </si>
  <si>
    <t>Rehabilitación NNA</t>
  </si>
  <si>
    <t>&lt; 15 AÑOS</t>
  </si>
  <si>
    <t>SECCIÓN K : SALUD MENTAL EN SITUACIONES DE EMERGENCIA O DESASTRE</t>
  </si>
  <si>
    <t>Acciones no presenciales o remotas</t>
  </si>
  <si>
    <t>Atenciones a funcionarios de la salud</t>
  </si>
  <si>
    <t>CONSULTA DE SALUD MENTAL ASOCIADA A EMERGENCIA O DESASTRE</t>
  </si>
  <si>
    <t>TÉCNICO PARAMÉDICO y EN SALUD MENTAL</t>
  </si>
  <si>
    <t>INTERVENCIÓN PSICOSOCIAL GRUPAL</t>
  </si>
  <si>
    <t>REM - A33. CUIDADOS PALIATIVOS NIVEL APS Y ESPECIALIDADES</t>
  </si>
  <si>
    <t>Personas con sospecha de demencia</t>
  </si>
  <si>
    <t>Personas con diagnóstico de demencia</t>
  </si>
  <si>
    <t>SECCIÓN F: PACIENTES FALLECIDOS EN UNIDADES DE EMERGENCIA (Establecimientos Alta, Mediana o Baja Complejidad, SAR, SAPU y SUR)</t>
  </si>
  <si>
    <t>≥35 AÑOS</t>
  </si>
  <si>
    <t>POR DE EDAD (en años) Y SEXO</t>
  </si>
  <si>
    <t>SECCIÓN A.2: ATENCIONES Y ACTIVIDADES DE URGENCIA REALIZADAS EN SAPU Y SAR</t>
  </si>
  <si>
    <t>SECCIÓN A.3: ATENCIONES DE URGENCIA REALIZADAS EN ESTABLECIMIENTOS DE BAJA COMPLEJIDAD</t>
  </si>
  <si>
    <t>CON INFORME DE SOSPECHA DE PATOLOGÍA MALIGNA</t>
  </si>
  <si>
    <t xml:space="preserve">* * No olvide digitar el campo Gestantes (Digite CEROS si no tiene). </t>
  </si>
  <si>
    <t xml:space="preserve">* * No olvide digitar el campo Post Parto (Digite CEROS si no tiene). </t>
  </si>
  <si>
    <t xml:space="preserve">* * No olvide digitar el campo Espacios Amigables/ Adolescentes (Digite CEROS si no tiene). </t>
  </si>
  <si>
    <t>SECCIÓN B: INGRESO UNIDADES DE SANGRE A PRODUCCIÓN  (CS-BS)</t>
  </si>
  <si>
    <t>BOLSA CON FILTRO</t>
  </si>
  <si>
    <t>SECCIÓN C.2 .: COMPONENTES SANGUÍNEOS ELIMINADOS (UMT)</t>
  </si>
  <si>
    <t>Filtrados posterior a producción</t>
  </si>
  <si>
    <t>SECCION J: DONANTES CONFIRMADOS ENFERMERDAD DE CHAGAS</t>
  </si>
  <si>
    <t>ATENCIÓN DE DONANTES DE SANGRE TOTAL Y AFÉRESIS</t>
  </si>
  <si>
    <t>POBLACIÓN USUARIA AL MES DE REPORTE</t>
  </si>
  <si>
    <t>Clínica Dental</t>
  </si>
  <si>
    <t>SECCIÓN V.1: POBLACIÓN USUARIA TOTAL (UNIVERSO), ACREDITADA SEGÚN NORMATIVA</t>
  </si>
  <si>
    <t>SECCIÓN J: ATENCIONES REALIZADAS POR PROFESIONALES EN EL PROCESO DE EVALUACIÓN INTEGRAL DE DAÑO (PRAIS)</t>
  </si>
  <si>
    <t>TOTAL DE ATENCIONES</t>
  </si>
  <si>
    <t>SECCIÓN C: TRABAJO CON AGRUPACIONES DE USUARIOS, COMUNIDAD Y DERECHOS HUMANOS (PRAIS) (Contenidas en Sección B.1)</t>
  </si>
  <si>
    <t>SECCIÓN D: TRABAJO INTERSECTORIAL PRAIS (Contenidas en REM A06, Sección C.1)</t>
  </si>
  <si>
    <t>SECCIÓN L: ACTIVIDADES DE EDUCACIÓN PARA LA SALUD SEGÚN PERSONAL QUE LAS REALIZA (SESIONES) (PRAIS) (Contenidas en Sección B)</t>
  </si>
  <si>
    <t>NÚMERO DE QUIRÓFANOS EN DOTACIÓN</t>
  </si>
  <si>
    <t>Anestesia y/o Analgesia del parto (medidas farmacologicas y no farmacológica)</t>
  </si>
  <si>
    <t>CON ATENCIÓN PROFESIONAL</t>
  </si>
  <si>
    <t>SIN ATENCIÓN PROFESIONAL</t>
  </si>
  <si>
    <t>REM-A24.   ATENCIÓN OBSTÉTRICA Y DEL RECIÉN NACIDO</t>
  </si>
  <si>
    <t xml:space="preserve">Versión 1.4: Mayo 2023 </t>
  </si>
  <si>
    <t>Director/a Servicio de Salud o Director/a Establecimiento</t>
  </si>
  <si>
    <t>Jefe/a de Estadísticas</t>
  </si>
  <si>
    <t>Interconsulta en Sala</t>
  </si>
  <si>
    <t>ATENCIONES MÉDICAS</t>
  </si>
  <si>
    <t>SECCIÓN B: ATENCIONES MEDICAS POR PROGRAMAS Y POLICLÍNICOS  (INCLUIDAS EN SECCION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</si>
</sst>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#,##0_ ;\-#,##0\ "/>
  </numFmts>
  <fonts count="9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2"/>
      <name val="Verdana"/>
      <family val="2"/>
    </font>
    <font>
      <sz val="8"/>
      <name val="Verdana"/>
      <family val="2"/>
    </font>
    <font>
      <sz val="7"/>
      <name val="Verdana"/>
      <family val="2"/>
    </font>
    <font>
      <sz val="11"/>
      <color indexed="8"/>
      <name val="Calibri"/>
      <family val="2"/>
    </font>
    <font>
      <sz val="1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sz val="8"/>
      <name val="Arial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sz val="8"/>
      <color indexed="8"/>
      <name val="Verdana"/>
      <family val="2"/>
    </font>
    <font>
      <sz val="16"/>
      <name val="Verdana"/>
      <family val="2"/>
    </font>
    <font>
      <b/>
      <sz val="10"/>
      <name val="Verdana"/>
      <family val="2"/>
    </font>
    <font>
      <sz val="11"/>
      <color indexed="8"/>
      <name val="Verdana"/>
      <family val="2"/>
    </font>
    <font>
      <b/>
      <sz val="16"/>
      <name val="Verdana"/>
      <family val="2"/>
    </font>
    <font>
      <sz val="28"/>
      <name val="Verdana"/>
      <family val="2"/>
    </font>
    <font>
      <b/>
      <sz val="8"/>
      <color indexed="8"/>
      <name val="Verdana"/>
      <family val="2"/>
    </font>
    <font>
      <sz val="72"/>
      <color indexed="22"/>
      <name val="Verdana"/>
      <family val="2"/>
    </font>
    <font>
      <b/>
      <sz val="10"/>
      <name val="Arial"/>
      <family val="2"/>
    </font>
    <font>
      <b/>
      <sz val="28"/>
      <name val="Verdana"/>
      <family val="2"/>
    </font>
    <font>
      <sz val="12"/>
      <color indexed="60"/>
      <name val="Verdana"/>
      <family val="2"/>
    </font>
    <font>
      <sz val="14"/>
      <name val="Verdana"/>
      <family val="2"/>
    </font>
    <font>
      <b/>
      <sz val="14"/>
      <name val="Verdana"/>
      <family val="2"/>
    </font>
    <font>
      <b/>
      <sz val="10"/>
      <color indexed="10"/>
      <name val="Verdana"/>
      <family val="2"/>
    </font>
    <font>
      <b/>
      <sz val="18"/>
      <name val="Verdana"/>
      <family val="2"/>
    </font>
    <font>
      <sz val="8"/>
      <color theme="1"/>
      <name val="Verdana"/>
      <family val="2"/>
    </font>
    <font>
      <sz val="10"/>
      <color rgb="FFFF0000"/>
      <name val="Verdana"/>
      <family val="2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Comic Sans MS"/>
      <family val="4"/>
    </font>
    <font>
      <b/>
      <sz val="7"/>
      <name val="Verdana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sz val="11"/>
      <name val="Arial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8"/>
      <color rgb="FFFF0000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Verdana"/>
      <family val="2"/>
    </font>
    <font>
      <sz val="11"/>
      <color rgb="FFFF0000"/>
      <name val="Verdana"/>
      <family val="2"/>
    </font>
    <font>
      <sz val="9"/>
      <color rgb="FFFF0000"/>
      <name val="Verdana"/>
      <family val="2"/>
    </font>
    <font>
      <b/>
      <i/>
      <sz val="11"/>
      <name val="Verdana"/>
      <family val="2"/>
    </font>
    <font>
      <sz val="12"/>
      <color theme="1"/>
      <name val="Calibri"/>
      <family val="2"/>
      <scheme val="minor"/>
    </font>
    <font>
      <b/>
      <sz val="11"/>
      <color theme="4"/>
      <name val="Verdana"/>
      <family val="2"/>
    </font>
    <font>
      <sz val="10"/>
      <color rgb="FFFF0000"/>
      <name val="Arial"/>
      <family val="2"/>
    </font>
    <font>
      <sz val="4"/>
      <name val="Verdana"/>
      <family val="2"/>
    </font>
    <font>
      <sz val="6"/>
      <name val="Verdana"/>
      <family val="2"/>
    </font>
    <font>
      <sz val="5"/>
      <name val="Verdana"/>
      <family val="2"/>
    </font>
    <font>
      <b/>
      <sz val="11"/>
      <color theme="1"/>
      <name val="Calibri"/>
      <family val="2"/>
      <scheme val="minor"/>
    </font>
    <font>
      <vertAlign val="superscript"/>
      <sz val="8"/>
      <name val="Verdana"/>
      <family val="2"/>
    </font>
    <font>
      <strike/>
      <sz val="8"/>
      <name val="Verdana"/>
      <family val="2"/>
    </font>
    <font>
      <b/>
      <sz val="11"/>
      <color theme="1"/>
      <name val="Verdana"/>
      <family val="2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6100"/>
      <name val="Calibri"/>
      <family val="2"/>
      <scheme val="minor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14"/>
      <color rgb="FFFF0000"/>
      <name val="Verdana"/>
      <family val="2"/>
    </font>
    <font>
      <sz val="14"/>
      <color rgb="FFFF0000"/>
      <name val="Verdana"/>
      <family val="2"/>
    </font>
    <font>
      <sz val="11"/>
      <color rgb="FF0070C0"/>
      <name val="Verdana"/>
      <family val="2"/>
    </font>
    <font>
      <sz val="8"/>
      <color rgb="FF000000"/>
      <name val="Verdana"/>
      <family val="2"/>
    </font>
    <font>
      <sz val="11"/>
      <color rgb="FF000000"/>
      <name val="Calibri"/>
      <family val="2"/>
    </font>
    <font>
      <b/>
      <sz val="20"/>
      <name val="Verdana"/>
      <family val="2"/>
    </font>
  </fonts>
  <fills count="50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6"/>
        <bgColor indexed="22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A5A5A5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rgb="FF999999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</fills>
  <borders count="252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9"/>
      </left>
      <right/>
      <top/>
      <bottom/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auto="1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9"/>
      </top>
      <bottom/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double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/>
      <bottom style="thin">
        <color indexed="22"/>
      </bottom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/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/>
      <top/>
      <bottom/>
      <diagonal/>
    </border>
    <border>
      <left style="hair">
        <color indexed="9"/>
      </left>
      <right style="hair">
        <color indexed="9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auto="1"/>
      </left>
      <right/>
      <top style="thin">
        <color indexed="9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rgb="FFB2B2B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rgb="FFB2B2B2"/>
      </top>
      <bottom style="thin">
        <color auto="1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rgb="FFB2B2B2"/>
      </left>
      <right style="thin">
        <color auto="1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rgb="FF3F3F3F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rgb="FF3F3F3F"/>
      </bottom>
      <diagonal/>
    </border>
    <border>
      <left/>
      <right style="hair">
        <color indexed="64"/>
      </right>
      <top style="thin">
        <color indexed="64"/>
      </top>
      <bottom style="hair">
        <color rgb="FF3F3F3F"/>
      </bottom>
      <diagonal/>
    </border>
    <border>
      <left style="thin">
        <color indexed="64"/>
      </left>
      <right style="hair">
        <color indexed="64"/>
      </right>
      <top/>
      <bottom style="hair">
        <color rgb="FF3F3F3F"/>
      </bottom>
      <diagonal/>
    </border>
    <border>
      <left style="hair">
        <color indexed="64"/>
      </left>
      <right style="thin">
        <color indexed="64"/>
      </right>
      <top/>
      <bottom style="hair">
        <color rgb="FF3F3F3F"/>
      </bottom>
      <diagonal/>
    </border>
    <border>
      <left/>
      <right style="hair">
        <color indexed="64"/>
      </right>
      <top/>
      <bottom style="hair">
        <color rgb="FF3F3F3F"/>
      </bottom>
      <diagonal/>
    </border>
    <border>
      <left/>
      <right style="hair">
        <color indexed="64"/>
      </right>
      <top style="hair">
        <color indexed="64"/>
      </top>
      <bottom style="hair">
        <color rgb="FF3F3F3F"/>
      </bottom>
      <diagonal/>
    </border>
    <border>
      <left/>
      <right style="thin">
        <color indexed="64"/>
      </right>
      <top style="hair">
        <color indexed="64"/>
      </top>
      <bottom style="hair">
        <color rgb="FF3F3F3F"/>
      </bottom>
      <diagonal/>
    </border>
    <border>
      <left/>
      <right style="hair">
        <color rgb="FF3F3F3F"/>
      </right>
      <top/>
      <bottom style="hair">
        <color rgb="FF3F3F3F"/>
      </bottom>
      <diagonal/>
    </border>
    <border>
      <left style="hair">
        <color rgb="FF3F3F3F"/>
      </left>
      <right style="thin">
        <color rgb="FF3F3F3F"/>
      </right>
      <top/>
      <bottom style="hair">
        <color rgb="FF3F3F3F"/>
      </bottom>
      <diagonal/>
    </border>
    <border>
      <left style="thin">
        <color indexed="64"/>
      </left>
      <right style="hair">
        <color rgb="FF3F3F3F"/>
      </right>
      <top style="hair">
        <color indexed="64"/>
      </top>
      <bottom style="hair">
        <color indexed="64"/>
      </bottom>
      <diagonal/>
    </border>
    <border>
      <left style="hair">
        <color rgb="FF3F3F3F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rgb="FF3F3F3F"/>
      </top>
      <bottom style="hair">
        <color rgb="FF3F3F3F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/>
      <top/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9"/>
      </right>
      <top/>
      <bottom style="thin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hair">
        <color indexed="64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hair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/>
      <right style="double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auto="1"/>
      </left>
      <right style="double">
        <color auto="1"/>
      </right>
      <top/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double">
        <color auto="1"/>
      </right>
      <top style="thin">
        <color theme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 style="thin">
        <color indexed="64"/>
      </left>
      <right style="hair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indexed="9"/>
      </left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/>
      <right style="double">
        <color indexed="64"/>
      </right>
      <top/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hair">
        <color indexed="64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auto="1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hair">
        <color auto="1"/>
      </right>
      <top style="thin">
        <color auto="1"/>
      </top>
      <bottom style="hair">
        <color rgb="FF000000"/>
      </bottom>
      <diagonal/>
    </border>
    <border>
      <left style="thin">
        <color rgb="FF000000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auto="1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auto="1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double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9"/>
      </left>
      <right style="hair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auto="1"/>
      </top>
      <bottom style="hair">
        <color rgb="FF000000"/>
      </bottom>
      <diagonal/>
    </border>
    <border>
      <left/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indexed="64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9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auto="1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/>
      <bottom style="thin">
        <color indexed="9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indexed="9"/>
      </left>
      <right/>
      <top/>
      <bottom style="thin">
        <color auto="1"/>
      </bottom>
      <diagonal/>
    </border>
    <border>
      <left/>
      <right style="hair">
        <color indexed="9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9"/>
      </left>
      <right/>
      <top style="hair">
        <color indexed="9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/>
      <right style="thin">
        <color auto="1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thin">
        <color indexed="9"/>
      </right>
      <top/>
      <bottom style="hair">
        <color indexed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9"/>
      </left>
      <right/>
      <top/>
      <bottom style="hair">
        <color indexed="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double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indexed="9"/>
      </top>
      <bottom/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double">
        <color auto="1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/>
      <right style="thin">
        <color auto="1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thin">
        <color auto="1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double">
        <color indexed="64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/>
      <top style="thin">
        <color indexed="22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double">
        <color auto="1"/>
      </bottom>
      <diagonal/>
    </border>
    <border>
      <left/>
      <right style="thin">
        <color auto="1"/>
      </right>
      <top style="thin">
        <color indexed="22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double">
        <color auto="1"/>
      </bottom>
      <diagonal/>
    </border>
    <border>
      <left/>
      <right style="hair">
        <color auto="1"/>
      </right>
      <top style="thin">
        <color indexed="22"/>
      </top>
      <bottom style="double">
        <color auto="1"/>
      </bottom>
      <diagonal/>
    </border>
    <border>
      <left style="hair">
        <color auto="1"/>
      </left>
      <right style="double">
        <color indexed="64"/>
      </right>
      <top style="thin">
        <color indexed="22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indexed="22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indexed="9"/>
      </right>
      <top/>
      <bottom style="thin">
        <color auto="1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auto="1"/>
      </bottom>
      <diagonal/>
    </border>
    <border>
      <left/>
      <right style="double">
        <color rgb="FF000000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thin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/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 style="double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auto="1"/>
      </top>
      <bottom style="hair">
        <color rgb="FF000000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auto="1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/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double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auto="1"/>
      </right>
      <top style="double">
        <color auto="1"/>
      </top>
      <bottom style="hair">
        <color auto="1"/>
      </bottom>
      <diagonal/>
    </border>
  </borders>
  <cellStyleXfs count="2528">
    <xf numFmtId="0" fontId="0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2" borderId="1" applyNumberFormat="0" applyFont="0" applyAlignment="0" applyProtection="0"/>
    <xf numFmtId="0" fontId="25" fillId="0" borderId="0" applyFont="0" applyBorder="0" applyAlignment="0" applyProtection="0"/>
    <xf numFmtId="0" fontId="12" fillId="9" borderId="117" applyNumberFormat="0">
      <protection locked="0"/>
    </xf>
    <xf numFmtId="0" fontId="12" fillId="9" borderId="14" applyBorder="0">
      <protection locked="0"/>
    </xf>
    <xf numFmtId="164" fontId="1" fillId="0" borderId="0" applyFont="0" applyFill="0" applyBorder="0" applyAlignment="0" applyProtection="0"/>
    <xf numFmtId="0" fontId="1" fillId="6" borderId="115" applyNumberFormat="0" applyFont="0" applyAlignment="0" applyProtection="0"/>
    <xf numFmtId="0" fontId="12" fillId="2" borderId="131" applyNumberFormat="0" applyFont="0" applyAlignment="0" applyProtection="0"/>
    <xf numFmtId="0" fontId="12" fillId="9" borderId="130" applyBorder="0">
      <protection locked="0"/>
    </xf>
    <xf numFmtId="0" fontId="14" fillId="0" borderId="0"/>
    <xf numFmtId="0" fontId="12" fillId="2" borderId="1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20" borderId="0" applyNumberFormat="0" applyBorder="0" applyAlignment="0" applyProtection="0"/>
    <xf numFmtId="0" fontId="12" fillId="2" borderId="382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2" fillId="2" borderId="423" applyNumberFormat="0" applyFont="0" applyAlignment="0" applyProtection="0"/>
    <xf numFmtId="0" fontId="14" fillId="0" borderId="0"/>
    <xf numFmtId="0" fontId="40" fillId="0" borderId="0"/>
    <xf numFmtId="0" fontId="42" fillId="27" borderId="494" applyNumberFormat="0" applyAlignment="0" applyProtection="0"/>
    <xf numFmtId="41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5" fillId="0" borderId="0" applyFont="0" applyBorder="0" applyAlignment="0" applyProtection="0"/>
    <xf numFmtId="0" fontId="25" fillId="0" borderId="0" applyFont="0" applyBorder="0" applyAlignment="0" applyProtection="0"/>
    <xf numFmtId="165" fontId="12" fillId="0" borderId="0" applyFont="0" applyFill="0" applyBorder="0" applyAlignment="0" applyProtection="0"/>
    <xf numFmtId="0" fontId="12" fillId="2" borderId="864" applyNumberFormat="0" applyFont="0" applyAlignment="0" applyProtection="0"/>
    <xf numFmtId="164" fontId="1" fillId="0" borderId="0" applyFont="0" applyFill="0" applyBorder="0" applyAlignment="0" applyProtection="0"/>
    <xf numFmtId="0" fontId="12" fillId="9" borderId="1058" applyNumberFormat="0">
      <protection locked="0"/>
    </xf>
    <xf numFmtId="0" fontId="12" fillId="9" borderId="1055" applyBorder="0">
      <protection locked="0"/>
    </xf>
    <xf numFmtId="0" fontId="12" fillId="9" borderId="1056" applyBorder="0">
      <protection locked="0"/>
    </xf>
    <xf numFmtId="0" fontId="12" fillId="2" borderId="1071" applyNumberFormat="0" applyFont="0" applyAlignment="0" applyProtection="0"/>
    <xf numFmtId="0" fontId="12" fillId="2" borderId="1016" applyNumberFormat="0" applyFont="0" applyAlignment="0" applyProtection="0"/>
    <xf numFmtId="0" fontId="12" fillId="9" borderId="1021" applyNumberFormat="0">
      <protection locked="0"/>
    </xf>
    <xf numFmtId="0" fontId="12" fillId="9" borderId="1017" applyBorder="0">
      <protection locked="0"/>
    </xf>
    <xf numFmtId="0" fontId="12" fillId="2" borderId="1016" applyNumberFormat="0" applyFont="0" applyAlignment="0" applyProtection="0"/>
    <xf numFmtId="0" fontId="12" fillId="9" borderId="1017" applyBorder="0">
      <protection locked="0"/>
    </xf>
    <xf numFmtId="0" fontId="12" fillId="2" borderId="1016" applyNumberFormat="0" applyFont="0" applyAlignment="0" applyProtection="0"/>
    <xf numFmtId="0" fontId="12" fillId="9" borderId="1067" applyNumberFormat="0">
      <protection locked="0"/>
    </xf>
    <xf numFmtId="0" fontId="12" fillId="2" borderId="1026" applyNumberFormat="0" applyFont="0" applyAlignment="0" applyProtection="0"/>
    <xf numFmtId="0" fontId="12" fillId="2" borderId="1027" applyNumberFormat="0" applyFont="0" applyAlignment="0" applyProtection="0"/>
    <xf numFmtId="0" fontId="12" fillId="2" borderId="1048" applyNumberFormat="0" applyFont="0" applyAlignment="0" applyProtection="0"/>
    <xf numFmtId="41" fontId="37" fillId="0" borderId="0" applyFont="0" applyFill="0" applyBorder="0" applyAlignment="0" applyProtection="0"/>
    <xf numFmtId="0" fontId="12" fillId="2" borderId="1060" applyNumberFormat="0" applyFont="0" applyAlignment="0" applyProtection="0"/>
    <xf numFmtId="0" fontId="12" fillId="2" borderId="1032" applyNumberFormat="0" applyFont="0" applyAlignment="0" applyProtection="0"/>
    <xf numFmtId="0" fontId="12" fillId="9" borderId="1049" applyNumberFormat="0">
      <protection locked="0"/>
    </xf>
    <xf numFmtId="0" fontId="12" fillId="9" borderId="1041" applyBorder="0">
      <protection locked="0"/>
    </xf>
    <xf numFmtId="0" fontId="12" fillId="2" borderId="1057" applyNumberFormat="0" applyFont="0" applyAlignment="0" applyProtection="0"/>
    <xf numFmtId="0" fontId="12" fillId="2" borderId="1048" applyNumberFormat="0" applyFont="0" applyAlignment="0" applyProtection="0"/>
    <xf numFmtId="0" fontId="12" fillId="9" borderId="1041" applyBorder="0">
      <protection locked="0"/>
    </xf>
    <xf numFmtId="0" fontId="12" fillId="2" borderId="1048" applyNumberFormat="0" applyFont="0" applyAlignment="0" applyProtection="0"/>
    <xf numFmtId="0" fontId="12" fillId="2" borderId="1063" applyNumberFormat="0" applyFont="0" applyAlignment="0" applyProtection="0"/>
    <xf numFmtId="0" fontId="12" fillId="2" borderId="1050" applyNumberFormat="0" applyFont="0" applyAlignment="0" applyProtection="0"/>
    <xf numFmtId="0" fontId="12" fillId="2" borderId="1057" applyNumberFormat="0" applyFont="0" applyAlignment="0" applyProtection="0"/>
    <xf numFmtId="0" fontId="12" fillId="9" borderId="1064" applyBorder="0">
      <protection locked="0"/>
    </xf>
    <xf numFmtId="0" fontId="12" fillId="2" borderId="1051" applyNumberFormat="0" applyFont="0" applyAlignment="0" applyProtection="0"/>
    <xf numFmtId="0" fontId="12" fillId="2" borderId="1063" applyNumberFormat="0" applyFont="0" applyAlignment="0" applyProtection="0"/>
    <xf numFmtId="0" fontId="12" fillId="2" borderId="1063" applyNumberFormat="0" applyFont="0" applyAlignment="0" applyProtection="0"/>
    <xf numFmtId="0" fontId="12" fillId="2" borderId="1070" applyNumberFormat="0" applyFont="0" applyAlignment="0" applyProtection="0"/>
    <xf numFmtId="0" fontId="12" fillId="2" borderId="1057" applyNumberFormat="0" applyFont="0" applyAlignment="0" applyProtection="0"/>
    <xf numFmtId="0" fontId="12" fillId="2" borderId="1054" applyNumberFormat="0" applyFont="0" applyAlignment="0" applyProtection="0"/>
    <xf numFmtId="0" fontId="12" fillId="2" borderId="1060" applyNumberFormat="0" applyFont="0" applyAlignment="0" applyProtection="0"/>
    <xf numFmtId="0" fontId="12" fillId="9" borderId="1064" applyBorder="0">
      <protection locked="0"/>
    </xf>
    <xf numFmtId="0" fontId="12" fillId="2" borderId="1060" applyNumberFormat="0" applyFont="0" applyAlignment="0" applyProtection="0"/>
    <xf numFmtId="0" fontId="12" fillId="2" borderId="1086" applyNumberFormat="0" applyFont="0" applyAlignment="0" applyProtection="0"/>
    <xf numFmtId="0" fontId="12" fillId="2" borderId="1246" applyNumberFormat="0" applyFont="0" applyAlignment="0" applyProtection="0"/>
    <xf numFmtId="0" fontId="12" fillId="9" borderId="1210" applyBorder="0">
      <protection locked="0"/>
    </xf>
    <xf numFmtId="0" fontId="12" fillId="2" borderId="1071" applyNumberFormat="0" applyFont="0" applyAlignment="0" applyProtection="0"/>
    <xf numFmtId="0" fontId="12" fillId="9" borderId="1210" applyBorder="0">
      <protection locked="0"/>
    </xf>
    <xf numFmtId="0" fontId="12" fillId="2" borderId="1246" applyNumberFormat="0" applyFont="0" applyAlignment="0" applyProtection="0"/>
    <xf numFmtId="0" fontId="12" fillId="2" borderId="1248" applyNumberFormat="0" applyFont="0" applyAlignment="0" applyProtection="0"/>
    <xf numFmtId="0" fontId="12" fillId="2" borderId="1248" applyNumberFormat="0" applyFont="0" applyAlignment="0" applyProtection="0"/>
    <xf numFmtId="41" fontId="37" fillId="0" borderId="0" applyFont="0" applyFill="0" applyBorder="0" applyAlignment="0" applyProtection="0"/>
    <xf numFmtId="0" fontId="12" fillId="2" borderId="1251" applyNumberFormat="0" applyFont="0" applyAlignment="0" applyProtection="0"/>
    <xf numFmtId="0" fontId="12" fillId="2" borderId="1270" applyNumberFormat="0" applyFont="0" applyAlignment="0" applyProtection="0"/>
    <xf numFmtId="0" fontId="12" fillId="2" borderId="1331" applyNumberFormat="0" applyFont="0" applyAlignment="0" applyProtection="0"/>
    <xf numFmtId="0" fontId="12" fillId="2" borderId="1331" applyNumberFormat="0" applyFont="0" applyAlignment="0" applyProtection="0"/>
    <xf numFmtId="0" fontId="12" fillId="9" borderId="1330" applyBorder="0">
      <protection locked="0"/>
    </xf>
    <xf numFmtId="0" fontId="12" fillId="9" borderId="1330" applyBorder="0">
      <protection locked="0"/>
    </xf>
    <xf numFmtId="0" fontId="12" fillId="9" borderId="1332" applyNumberFormat="0">
      <protection locked="0"/>
    </xf>
    <xf numFmtId="0" fontId="12" fillId="2" borderId="1323" applyNumberFormat="0" applyFont="0" applyAlignment="0" applyProtection="0"/>
    <xf numFmtId="0" fontId="12" fillId="9" borderId="1326" applyNumberFormat="0">
      <protection locked="0"/>
    </xf>
    <xf numFmtId="0" fontId="12" fillId="9" borderId="1324" applyBorder="0">
      <protection locked="0"/>
    </xf>
    <xf numFmtId="0" fontId="12" fillId="2" borderId="1328" applyNumberFormat="0" applyFont="0" applyAlignment="0" applyProtection="0"/>
    <xf numFmtId="0" fontId="12" fillId="9" borderId="1327" applyBorder="0">
      <protection locked="0"/>
    </xf>
    <xf numFmtId="0" fontId="12" fillId="2" borderId="1323" applyNumberFormat="0" applyFont="0" applyAlignment="0" applyProtection="0"/>
    <xf numFmtId="0" fontId="12" fillId="2" borderId="1328" applyNumberFormat="0" applyFont="0" applyAlignment="0" applyProtection="0"/>
    <xf numFmtId="0" fontId="12" fillId="2" borderId="1328" applyNumberFormat="0" applyFont="0" applyAlignment="0" applyProtection="0"/>
    <xf numFmtId="0" fontId="12" fillId="2" borderId="1337" applyNumberFormat="0" applyFont="0" applyAlignment="0" applyProtection="0"/>
    <xf numFmtId="0" fontId="12" fillId="9" borderId="1339" applyNumberFormat="0">
      <protection locked="0"/>
    </xf>
    <xf numFmtId="0" fontId="12" fillId="9" borderId="1338" applyBorder="0">
      <protection locked="0"/>
    </xf>
    <xf numFmtId="0" fontId="12" fillId="2" borderId="1329" applyNumberFormat="0" applyFont="0" applyAlignment="0" applyProtection="0"/>
    <xf numFmtId="0" fontId="12" fillId="2" borderId="1333" applyNumberFormat="0" applyFont="0" applyAlignment="0" applyProtection="0"/>
    <xf numFmtId="0" fontId="12" fillId="2" borderId="1333" applyNumberFormat="0" applyFont="0" applyAlignment="0" applyProtection="0"/>
    <xf numFmtId="0" fontId="12" fillId="2" borderId="1333" applyNumberFormat="0" applyFont="0" applyAlignment="0" applyProtection="0"/>
    <xf numFmtId="0" fontId="12" fillId="2" borderId="1334" applyNumberFormat="0" applyFont="0" applyAlignment="0" applyProtection="0"/>
    <xf numFmtId="0" fontId="12" fillId="2" borderId="1337" applyNumberFormat="0" applyFont="0" applyAlignment="0" applyProtection="0"/>
    <xf numFmtId="0" fontId="12" fillId="9" borderId="1338" applyBorder="0">
      <protection locked="0"/>
    </xf>
    <xf numFmtId="0" fontId="12" fillId="2" borderId="1337" applyNumberFormat="0" applyFont="0" applyAlignment="0" applyProtection="0"/>
    <xf numFmtId="0" fontId="12" fillId="2" borderId="1337" applyNumberFormat="0" applyFont="0" applyAlignment="0" applyProtection="0"/>
    <xf numFmtId="0" fontId="12" fillId="2" borderId="1337" applyNumberFormat="0" applyFont="0" applyAlignment="0" applyProtection="0"/>
    <xf numFmtId="0" fontId="12" fillId="2" borderId="1337" applyNumberFormat="0" applyFont="0" applyAlignment="0" applyProtection="0"/>
    <xf numFmtId="0" fontId="12" fillId="9" borderId="1340" applyNumberFormat="0">
      <protection locked="0"/>
    </xf>
    <xf numFmtId="0" fontId="12" fillId="2" borderId="1342" applyNumberFormat="0" applyFont="0" applyAlignment="0" applyProtection="0"/>
    <xf numFmtId="0" fontId="12" fillId="9" borderId="1341" applyBorder="0">
      <protection locked="0"/>
    </xf>
    <xf numFmtId="0" fontId="12" fillId="2" borderId="1342" applyNumberFormat="0" applyFont="0" applyAlignment="0" applyProtection="0"/>
    <xf numFmtId="0" fontId="12" fillId="2" borderId="1342" applyNumberFormat="0" applyFont="0" applyAlignment="0" applyProtection="0"/>
    <xf numFmtId="0" fontId="12" fillId="2" borderId="1346" applyNumberFormat="0" applyFont="0" applyAlignment="0" applyProtection="0"/>
    <xf numFmtId="0" fontId="12" fillId="2" borderId="1381" applyNumberFormat="0" applyFont="0" applyAlignment="0" applyProtection="0"/>
    <xf numFmtId="0" fontId="12" fillId="2" borderId="1363" applyNumberFormat="0" applyFont="0" applyAlignment="0" applyProtection="0"/>
    <xf numFmtId="0" fontId="12" fillId="9" borderId="1368" applyNumberFormat="0">
      <protection locked="0"/>
    </xf>
    <xf numFmtId="0" fontId="12" fillId="9" borderId="1366" applyBorder="0">
      <protection locked="0"/>
    </xf>
    <xf numFmtId="0" fontId="12" fillId="9" borderId="1382" applyNumberFormat="0">
      <protection locked="0"/>
    </xf>
    <xf numFmtId="0" fontId="12" fillId="2" borderId="1363" applyNumberFormat="0" applyFont="0" applyAlignment="0" applyProtection="0"/>
    <xf numFmtId="0" fontId="12" fillId="9" borderId="1366" applyBorder="0">
      <protection locked="0"/>
    </xf>
    <xf numFmtId="0" fontId="12" fillId="2" borderId="1363" applyNumberFormat="0" applyFont="0" applyAlignment="0" applyProtection="0"/>
    <xf numFmtId="0" fontId="12" fillId="2" borderId="1363" applyNumberFormat="0" applyFont="0" applyAlignment="0" applyProtection="0"/>
    <xf numFmtId="0" fontId="12" fillId="2" borderId="1363" applyNumberFormat="0" applyFont="0" applyAlignment="0" applyProtection="0"/>
    <xf numFmtId="0" fontId="12" fillId="2" borderId="1363" applyNumberFormat="0" applyFont="0" applyAlignment="0" applyProtection="0"/>
    <xf numFmtId="0" fontId="12" fillId="2" borderId="1376" applyNumberFormat="0" applyFont="0" applyAlignment="0" applyProtection="0"/>
    <xf numFmtId="0" fontId="12" fillId="9" borderId="1377" applyNumberFormat="0">
      <protection locked="0"/>
    </xf>
    <xf numFmtId="0" fontId="12" fillId="9" borderId="1375" applyBorder="0">
      <protection locked="0"/>
    </xf>
    <xf numFmtId="0" fontId="12" fillId="2" borderId="1378" applyNumberFormat="0" applyFont="0" applyAlignment="0" applyProtection="0"/>
    <xf numFmtId="0" fontId="12" fillId="9" borderId="1375" applyBorder="0">
      <protection locked="0"/>
    </xf>
    <xf numFmtId="0" fontId="12" fillId="2" borderId="1376" applyNumberFormat="0" applyFont="0" applyAlignment="0" applyProtection="0"/>
    <xf numFmtId="0" fontId="12" fillId="2" borderId="1378" applyNumberFormat="0" applyFont="0" applyAlignment="0" applyProtection="0"/>
    <xf numFmtId="0" fontId="12" fillId="2" borderId="1378" applyNumberFormat="0" applyFont="0" applyAlignment="0" applyProtection="0"/>
    <xf numFmtId="0" fontId="12" fillId="2" borderId="1379" applyNumberFormat="0" applyFont="0" applyAlignment="0" applyProtection="0"/>
    <xf numFmtId="0" fontId="12" fillId="9" borderId="1380" applyBorder="0">
      <protection locked="0"/>
    </xf>
    <xf numFmtId="0" fontId="12" fillId="2" borderId="1383" applyNumberFormat="0" applyFont="0" applyAlignment="0" applyProtection="0"/>
    <xf numFmtId="0" fontId="12" fillId="9" borderId="1380" applyBorder="0">
      <protection locked="0"/>
    </xf>
    <xf numFmtId="0" fontId="12" fillId="2" borderId="1381" applyNumberFormat="0" applyFont="0" applyAlignment="0" applyProtection="0"/>
    <xf numFmtId="0" fontId="12" fillId="2" borderId="1383" applyNumberFormat="0" applyFont="0" applyAlignment="0" applyProtection="0"/>
    <xf numFmtId="0" fontId="12" fillId="2" borderId="1383" applyNumberFormat="0" applyFont="0" applyAlignment="0" applyProtection="0"/>
    <xf numFmtId="0" fontId="12" fillId="2" borderId="1384" applyNumberFormat="0" applyFont="0" applyAlignment="0" applyProtection="0"/>
    <xf numFmtId="0" fontId="12" fillId="2" borderId="1386" applyNumberFormat="0" applyFont="0" applyAlignment="0" applyProtection="0"/>
    <xf numFmtId="0" fontId="12" fillId="9" borderId="1389" applyNumberFormat="0">
      <protection locked="0"/>
    </xf>
    <xf numFmtId="0" fontId="12" fillId="9" borderId="1388" applyBorder="0">
      <protection locked="0"/>
    </xf>
    <xf numFmtId="0" fontId="12" fillId="2" borderId="1386" applyNumberFormat="0" applyFont="0" applyAlignment="0" applyProtection="0"/>
    <xf numFmtId="0" fontId="12" fillId="9" borderId="1388" applyBorder="0">
      <protection locked="0"/>
    </xf>
    <xf numFmtId="0" fontId="12" fillId="2" borderId="1386" applyNumberFormat="0" applyFont="0" applyAlignment="0" applyProtection="0"/>
    <xf numFmtId="0" fontId="12" fillId="2" borderId="1386" applyNumberFormat="0" applyFont="0" applyAlignment="0" applyProtection="0"/>
    <xf numFmtId="0" fontId="12" fillId="2" borderId="1386" applyNumberFormat="0" applyFont="0" applyAlignment="0" applyProtection="0"/>
    <xf numFmtId="0" fontId="12" fillId="2" borderId="1386" applyNumberFormat="0" applyFont="0" applyAlignment="0" applyProtection="0"/>
    <xf numFmtId="0" fontId="12" fillId="2" borderId="1391" applyNumberFormat="0" applyFont="0" applyAlignment="0" applyProtection="0"/>
    <xf numFmtId="0" fontId="12" fillId="9" borderId="1390" applyBorder="0">
      <protection locked="0"/>
    </xf>
    <xf numFmtId="0" fontId="12" fillId="9" borderId="1390" applyBorder="0">
      <protection locked="0"/>
    </xf>
    <xf numFmtId="0" fontId="12" fillId="2" borderId="1391" applyNumberFormat="0" applyFont="0" applyAlignment="0" applyProtection="0"/>
    <xf numFmtId="0" fontId="12" fillId="2" borderId="1392" applyNumberFormat="0" applyFont="0" applyAlignment="0" applyProtection="0"/>
    <xf numFmtId="0" fontId="12" fillId="2" borderId="1449" applyNumberFormat="0" applyFont="0" applyAlignment="0" applyProtection="0"/>
    <xf numFmtId="0" fontId="12" fillId="9" borderId="1450" applyNumberFormat="0">
      <protection locked="0"/>
    </xf>
    <xf numFmtId="0" fontId="12" fillId="9" borderId="1425" applyBorder="0">
      <protection locked="0"/>
    </xf>
    <xf numFmtId="0" fontId="12" fillId="2" borderId="1449" applyNumberFormat="0" applyFont="0" applyAlignment="0" applyProtection="0"/>
    <xf numFmtId="0" fontId="12" fillId="9" borderId="1425" applyBorder="0">
      <protection locked="0"/>
    </xf>
    <xf numFmtId="0" fontId="12" fillId="2" borderId="1449" applyNumberFormat="0" applyFont="0" applyAlignment="0" applyProtection="0"/>
    <xf numFmtId="0" fontId="12" fillId="2" borderId="1449" applyNumberFormat="0" applyFont="0" applyAlignment="0" applyProtection="0"/>
    <xf numFmtId="0" fontId="12" fillId="2" borderId="1449" applyNumberFormat="0" applyFont="0" applyAlignment="0" applyProtection="0"/>
    <xf numFmtId="41" fontId="37" fillId="0" borderId="0" applyFont="0" applyFill="0" applyBorder="0" applyAlignment="0" applyProtection="0"/>
    <xf numFmtId="0" fontId="12" fillId="2" borderId="1451" applyNumberFormat="0" applyFont="0" applyAlignment="0" applyProtection="0"/>
    <xf numFmtId="0" fontId="12" fillId="9" borderId="1454" applyNumberFormat="0">
      <protection locked="0"/>
    </xf>
    <xf numFmtId="0" fontId="12" fillId="2" borderId="1453" applyNumberFormat="0" applyFont="0" applyAlignment="0" applyProtection="0"/>
    <xf numFmtId="0" fontId="12" fillId="2" borderId="1270" applyNumberFormat="0" applyFont="0" applyAlignment="0" applyProtection="0"/>
    <xf numFmtId="0" fontId="12" fillId="2" borderId="1270" applyNumberFormat="0" applyFont="0" applyAlignment="0" applyProtection="0"/>
    <xf numFmtId="0" fontId="12" fillId="2" borderId="1455" applyNumberFormat="0" applyFont="0" applyAlignment="0" applyProtection="0"/>
    <xf numFmtId="0" fontId="12" fillId="2" borderId="1455" applyNumberFormat="0" applyFont="0" applyAlignment="0" applyProtection="0"/>
    <xf numFmtId="0" fontId="12" fillId="2" borderId="1270" applyNumberFormat="0" applyFont="0" applyAlignment="0" applyProtection="0"/>
    <xf numFmtId="0" fontId="12" fillId="2" borderId="1457" applyNumberFormat="0" applyFont="0" applyAlignment="0" applyProtection="0"/>
    <xf numFmtId="0" fontId="12" fillId="2" borderId="1457" applyNumberFormat="0" applyFont="0" applyAlignment="0" applyProtection="0"/>
    <xf numFmtId="0" fontId="12" fillId="9" borderId="1458" applyNumberFormat="0">
      <protection locked="0"/>
    </xf>
    <xf numFmtId="0" fontId="12" fillId="9" borderId="1456" applyBorder="0">
      <protection locked="0"/>
    </xf>
    <xf numFmtId="0" fontId="12" fillId="2" borderId="1457" applyNumberFormat="0" applyFont="0" applyAlignment="0" applyProtection="0"/>
    <xf numFmtId="0" fontId="12" fillId="9" borderId="1456" applyBorder="0">
      <protection locked="0"/>
    </xf>
    <xf numFmtId="0" fontId="12" fillId="2" borderId="1457" applyNumberFormat="0" applyFont="0" applyAlignment="0" applyProtection="0"/>
    <xf numFmtId="0" fontId="12" fillId="2" borderId="1459" applyNumberFormat="0" applyFont="0" applyAlignment="0" applyProtection="0"/>
    <xf numFmtId="0" fontId="12" fillId="2" borderId="1459" applyNumberFormat="0" applyFont="0" applyAlignment="0" applyProtection="0"/>
    <xf numFmtId="0" fontId="12" fillId="2" borderId="1459" applyNumberFormat="0" applyFont="0" applyAlignment="0" applyProtection="0"/>
    <xf numFmtId="0" fontId="12" fillId="2" borderId="1460" applyNumberFormat="0" applyFont="0" applyAlignment="0" applyProtection="0"/>
    <xf numFmtId="0" fontId="12" fillId="2" borderId="1464" applyNumberFormat="0" applyFont="0" applyAlignment="0" applyProtection="0"/>
    <xf numFmtId="0" fontId="12" fillId="9" borderId="1467" applyNumberFormat="0">
      <protection locked="0"/>
    </xf>
    <xf numFmtId="0" fontId="12" fillId="9" borderId="1466" applyBorder="0">
      <protection locked="0"/>
    </xf>
    <xf numFmtId="0" fontId="12" fillId="2" borderId="1464" applyNumberFormat="0" applyFont="0" applyAlignment="0" applyProtection="0"/>
    <xf numFmtId="0" fontId="12" fillId="9" borderId="1466" applyBorder="0">
      <protection locked="0"/>
    </xf>
    <xf numFmtId="0" fontId="12" fillId="2" borderId="1464" applyNumberFormat="0" applyFont="0" applyAlignment="0" applyProtection="0"/>
    <xf numFmtId="0" fontId="12" fillId="2" borderId="1468" applyNumberFormat="0" applyFont="0" applyAlignment="0" applyProtection="0"/>
    <xf numFmtId="0" fontId="12" fillId="2" borderId="1468" applyNumberFormat="0" applyFont="0" applyAlignment="0" applyProtection="0"/>
    <xf numFmtId="0" fontId="12" fillId="2" borderId="1469" applyNumberFormat="0" applyFont="0" applyAlignment="0" applyProtection="0"/>
    <xf numFmtId="0" fontId="12" fillId="2" borderId="1470" applyNumberFormat="0" applyFont="0" applyAlignment="0" applyProtection="0"/>
    <xf numFmtId="0" fontId="12" fillId="2" borderId="1472" applyNumberFormat="0" applyFont="0" applyAlignment="0" applyProtection="0"/>
    <xf numFmtId="0" fontId="12" fillId="9" borderId="1475" applyNumberFormat="0">
      <protection locked="0"/>
    </xf>
    <xf numFmtId="0" fontId="12" fillId="9" borderId="1474" applyBorder="0">
      <protection locked="0"/>
    </xf>
    <xf numFmtId="0" fontId="12" fillId="2" borderId="1472" applyNumberFormat="0" applyFont="0" applyAlignment="0" applyProtection="0"/>
    <xf numFmtId="0" fontId="12" fillId="9" borderId="1474" applyBorder="0">
      <protection locked="0"/>
    </xf>
    <xf numFmtId="0" fontId="12" fillId="2" borderId="1472" applyNumberFormat="0" applyFont="0" applyAlignment="0" applyProtection="0"/>
    <xf numFmtId="0" fontId="12" fillId="2" borderId="1477" applyNumberFormat="0" applyFont="0" applyAlignment="0" applyProtection="0"/>
    <xf numFmtId="0" fontId="12" fillId="2" borderId="1477" applyNumberFormat="0" applyFont="0" applyAlignment="0" applyProtection="0"/>
    <xf numFmtId="0" fontId="12" fillId="2" borderId="1479" applyNumberFormat="0" applyFont="0" applyAlignment="0" applyProtection="0"/>
    <xf numFmtId="0" fontId="12" fillId="2" borderId="1480" applyNumberFormat="0" applyFont="0" applyAlignment="0" applyProtection="0"/>
    <xf numFmtId="0" fontId="12" fillId="2" borderId="1492" applyNumberFormat="0" applyFont="0" applyAlignment="0" applyProtection="0"/>
    <xf numFmtId="0" fontId="12" fillId="2" borderId="1492" applyNumberFormat="0" applyFont="0" applyAlignment="0" applyProtection="0"/>
    <xf numFmtId="0" fontId="12" fillId="2" borderId="1486" applyNumberFormat="0" applyFont="0" applyAlignment="0" applyProtection="0"/>
    <xf numFmtId="0" fontId="12" fillId="9" borderId="1488" applyNumberFormat="0">
      <protection locked="0"/>
    </xf>
    <xf numFmtId="0" fontId="12" fillId="9" borderId="1487" applyBorder="0">
      <protection locked="0"/>
    </xf>
    <xf numFmtId="0" fontId="12" fillId="2" borderId="1486" applyNumberFormat="0" applyFont="0" applyAlignment="0" applyProtection="0"/>
    <xf numFmtId="0" fontId="12" fillId="9" borderId="1487" applyBorder="0">
      <protection locked="0"/>
    </xf>
    <xf numFmtId="0" fontId="12" fillId="2" borderId="1486" applyNumberFormat="0" applyFont="0" applyAlignment="0" applyProtection="0"/>
    <xf numFmtId="0" fontId="12" fillId="2" borderId="1489" applyNumberFormat="0" applyFont="0" applyAlignment="0" applyProtection="0"/>
    <xf numFmtId="0" fontId="12" fillId="2" borderId="1489" applyNumberFormat="0" applyFont="0" applyAlignment="0" applyProtection="0"/>
    <xf numFmtId="0" fontId="12" fillId="9" borderId="1503" applyNumberFormat="0">
      <protection locked="0"/>
    </xf>
    <xf numFmtId="0" fontId="12" fillId="2" borderId="1490" applyNumberFormat="0" applyFont="0" applyAlignment="0" applyProtection="0"/>
    <xf numFmtId="0" fontId="12" fillId="2" borderId="1491" applyNumberFormat="0" applyFont="0" applyAlignment="0" applyProtection="0"/>
    <xf numFmtId="0" fontId="12" fillId="2" borderId="1492" applyNumberFormat="0" applyFont="0" applyAlignment="0" applyProtection="0"/>
    <xf numFmtId="0" fontId="12" fillId="2" borderId="1504" applyNumberFormat="0" applyFont="0" applyAlignment="0" applyProtection="0"/>
    <xf numFmtId="0" fontId="12" fillId="2" borderId="1504" applyNumberFormat="0" applyFont="0" applyAlignment="0" applyProtection="0"/>
    <xf numFmtId="0" fontId="12" fillId="2" borderId="1506" applyNumberFormat="0" applyFont="0" applyAlignment="0" applyProtection="0"/>
    <xf numFmtId="0" fontId="12" fillId="2" borderId="1512" applyNumberFormat="0" applyFont="0" applyAlignment="0" applyProtection="0"/>
    <xf numFmtId="0" fontId="12" fillId="2" borderId="1571" applyNumberFormat="0" applyFont="0" applyAlignment="0" applyProtection="0"/>
    <xf numFmtId="0" fontId="12" fillId="9" borderId="1572" applyNumberFormat="0">
      <protection locked="0"/>
    </xf>
    <xf numFmtId="0" fontId="12" fillId="9" borderId="1558" applyBorder="0">
      <protection locked="0"/>
    </xf>
    <xf numFmtId="0" fontId="12" fillId="2" borderId="1571" applyNumberFormat="0" applyFont="0" applyAlignment="0" applyProtection="0"/>
    <xf numFmtId="0" fontId="12" fillId="9" borderId="1558" applyBorder="0">
      <protection locked="0"/>
    </xf>
    <xf numFmtId="0" fontId="12" fillId="2" borderId="1571" applyNumberFormat="0" applyFont="0" applyAlignment="0" applyProtection="0"/>
    <xf numFmtId="0" fontId="12" fillId="2" borderId="1577" applyNumberFormat="0" applyFont="0" applyAlignment="0" applyProtection="0"/>
    <xf numFmtId="0" fontId="12" fillId="2" borderId="1578" applyNumberFormat="0" applyFont="0" applyAlignment="0" applyProtection="0"/>
    <xf numFmtId="41" fontId="37" fillId="0" borderId="0" applyFont="0" applyFill="0" applyBorder="0" applyAlignment="0" applyProtection="0"/>
    <xf numFmtId="0" fontId="12" fillId="2" borderId="1581" applyNumberFormat="0" applyFont="0" applyAlignment="0" applyProtection="0"/>
    <xf numFmtId="0" fontId="12" fillId="9" borderId="1587" applyNumberFormat="0">
      <protection locked="0"/>
    </xf>
    <xf numFmtId="0" fontId="12" fillId="9" borderId="1590" applyBorder="0">
      <protection locked="0"/>
    </xf>
    <xf numFmtId="0" fontId="12" fillId="9" borderId="1590" applyBorder="0">
      <protection locked="0"/>
    </xf>
    <xf numFmtId="0" fontId="12" fillId="2" borderId="1588" applyNumberFormat="0" applyFont="0" applyAlignment="0" applyProtection="0"/>
    <xf numFmtId="0" fontId="12" fillId="2" borderId="1586" applyNumberFormat="0" applyFont="0" applyAlignment="0" applyProtection="0"/>
    <xf numFmtId="0" fontId="12" fillId="9" borderId="1587" applyNumberFormat="0">
      <protection locked="0"/>
    </xf>
    <xf numFmtId="0" fontId="12" fillId="9" borderId="1585" applyBorder="0">
      <protection locked="0"/>
    </xf>
    <xf numFmtId="0" fontId="12" fillId="2" borderId="1586" applyNumberFormat="0" applyFont="0" applyAlignment="0" applyProtection="0"/>
    <xf numFmtId="0" fontId="12" fillId="9" borderId="1585" applyBorder="0">
      <protection locked="0"/>
    </xf>
    <xf numFmtId="0" fontId="12" fillId="2" borderId="1586" applyNumberFormat="0" applyFont="0" applyAlignment="0" applyProtection="0"/>
    <xf numFmtId="0" fontId="12" fillId="9" borderId="1587" applyNumberFormat="0">
      <protection locked="0"/>
    </xf>
    <xf numFmtId="0" fontId="12" fillId="2" borderId="1588" applyNumberFormat="0" applyFont="0" applyAlignment="0" applyProtection="0"/>
    <xf numFmtId="0" fontId="12" fillId="2" borderId="1588" applyNumberFormat="0" applyFont="0" applyAlignment="0" applyProtection="0"/>
    <xf numFmtId="0" fontId="12" fillId="2" borderId="1588" applyNumberFormat="0" applyFont="0" applyAlignment="0" applyProtection="0"/>
    <xf numFmtId="41" fontId="37" fillId="0" borderId="0" applyFont="0" applyFill="0" applyBorder="0" applyAlignment="0" applyProtection="0"/>
    <xf numFmtId="0" fontId="12" fillId="2" borderId="1588" applyNumberFormat="0" applyFont="0" applyAlignment="0" applyProtection="0"/>
    <xf numFmtId="0" fontId="12" fillId="2" borderId="1588" applyNumberFormat="0" applyFont="0" applyAlignment="0" applyProtection="0"/>
    <xf numFmtId="0" fontId="12" fillId="9" borderId="1587" applyNumberFormat="0">
      <protection locked="0"/>
    </xf>
    <xf numFmtId="0" fontId="12" fillId="9" borderId="1589" applyBorder="0">
      <protection locked="0"/>
    </xf>
    <xf numFmtId="0" fontId="12" fillId="2" borderId="1588" applyNumberFormat="0" applyFont="0" applyAlignment="0" applyProtection="0"/>
    <xf numFmtId="0" fontId="12" fillId="2" borderId="1588" applyNumberFormat="0" applyFont="0" applyAlignment="0" applyProtection="0"/>
    <xf numFmtId="0" fontId="12" fillId="9" borderId="1589" applyBorder="0">
      <protection locked="0"/>
    </xf>
    <xf numFmtId="0" fontId="12" fillId="2" borderId="1588" applyNumberFormat="0" applyFont="0" applyAlignment="0" applyProtection="0"/>
    <xf numFmtId="0" fontId="12" fillId="2" borderId="1588" applyNumberFormat="0" applyFont="0" applyAlignment="0" applyProtection="0"/>
    <xf numFmtId="0" fontId="12" fillId="2" borderId="1588" applyNumberFormat="0" applyFont="0" applyAlignment="0" applyProtection="0"/>
    <xf numFmtId="0" fontId="12" fillId="2" borderId="1588" applyNumberFormat="0" applyFont="0" applyAlignment="0" applyProtection="0"/>
    <xf numFmtId="0" fontId="12" fillId="9" borderId="1589" applyBorder="0">
      <protection locked="0"/>
    </xf>
    <xf numFmtId="0" fontId="12" fillId="2" borderId="1588" applyNumberFormat="0" applyFont="0" applyAlignment="0" applyProtection="0"/>
    <xf numFmtId="0" fontId="12" fillId="2" borderId="1588" applyNumberFormat="0" applyFont="0" applyAlignment="0" applyProtection="0"/>
    <xf numFmtId="0" fontId="12" fillId="2" borderId="1588" applyNumberFormat="0" applyFont="0" applyAlignment="0" applyProtection="0"/>
    <xf numFmtId="0" fontId="12" fillId="2" borderId="1588" applyNumberFormat="0" applyFont="0" applyAlignment="0" applyProtection="0"/>
    <xf numFmtId="0" fontId="12" fillId="2" borderId="1588" applyNumberFormat="0" applyFont="0" applyAlignment="0" applyProtection="0"/>
    <xf numFmtId="0" fontId="12" fillId="2" borderId="1588" applyNumberFormat="0" applyFont="0" applyAlignment="0" applyProtection="0"/>
    <xf numFmtId="0" fontId="12" fillId="2" borderId="1588" applyNumberFormat="0" applyFont="0" applyAlignment="0" applyProtection="0"/>
    <xf numFmtId="0" fontId="12" fillId="9" borderId="1589" applyBorder="0">
      <protection locked="0"/>
    </xf>
    <xf numFmtId="0" fontId="12" fillId="2" borderId="1588" applyNumberFormat="0" applyFont="0" applyAlignment="0" applyProtection="0"/>
    <xf numFmtId="0" fontId="12" fillId="2" borderId="1591" applyNumberFormat="0" applyFont="0" applyAlignment="0" applyProtection="0"/>
    <xf numFmtId="0" fontId="12" fillId="2" borderId="1594" applyNumberFormat="0" applyFont="0" applyAlignment="0" applyProtection="0"/>
    <xf numFmtId="0" fontId="12" fillId="9" borderId="1593" applyBorder="0">
      <protection locked="0"/>
    </xf>
    <xf numFmtId="0" fontId="12" fillId="2" borderId="1588" applyNumberFormat="0" applyFont="0" applyAlignment="0" applyProtection="0"/>
    <xf numFmtId="0" fontId="12" fillId="9" borderId="1593" applyBorder="0">
      <protection locked="0"/>
    </xf>
    <xf numFmtId="0" fontId="12" fillId="2" borderId="1594" applyNumberFormat="0" applyFont="0" applyAlignment="0" applyProtection="0"/>
    <xf numFmtId="0" fontId="12" fillId="2" borderId="1591" applyNumberFormat="0" applyFont="0" applyAlignment="0" applyProtection="0"/>
    <xf numFmtId="0" fontId="12" fillId="2" borderId="1591" applyNumberFormat="0" applyFont="0" applyAlignment="0" applyProtection="0"/>
    <xf numFmtId="41" fontId="37" fillId="0" borderId="0" applyFont="0" applyFill="0" applyBorder="0" applyAlignment="0" applyProtection="0"/>
    <xf numFmtId="0" fontId="12" fillId="2" borderId="1591" applyNumberFormat="0" applyFont="0" applyAlignment="0" applyProtection="0"/>
    <xf numFmtId="0" fontId="12" fillId="2" borderId="1586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9" borderId="1598" applyBorder="0">
      <protection locked="0"/>
    </xf>
    <xf numFmtId="0" fontId="12" fillId="9" borderId="1598" applyBorder="0">
      <protection locked="0"/>
    </xf>
    <xf numFmtId="0" fontId="12" fillId="9" borderId="1599" applyNumberFormat="0">
      <protection locked="0"/>
    </xf>
    <xf numFmtId="0" fontId="12" fillId="2" borderId="1597" applyNumberFormat="0" applyFont="0" applyAlignment="0" applyProtection="0"/>
    <xf numFmtId="0" fontId="12" fillId="9" borderId="1599" applyNumberFormat="0">
      <protection locked="0"/>
    </xf>
    <xf numFmtId="0" fontId="12" fillId="9" borderId="1598" applyBorder="0">
      <protection locked="0"/>
    </xf>
    <xf numFmtId="0" fontId="12" fillId="2" borderId="1597" applyNumberFormat="0" applyFont="0" applyAlignment="0" applyProtection="0"/>
    <xf numFmtId="0" fontId="12" fillId="9" borderId="1598" applyBorder="0">
      <protection locked="0"/>
    </xf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9" borderId="1599" applyNumberFormat="0">
      <protection locked="0"/>
    </xf>
    <xf numFmtId="0" fontId="12" fillId="9" borderId="1598" applyBorder="0">
      <protection locked="0"/>
    </xf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9" borderId="1598" applyBorder="0">
      <protection locked="0"/>
    </xf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9" borderId="1599" applyNumberFormat="0">
      <protection locked="0"/>
    </xf>
    <xf numFmtId="0" fontId="12" fillId="2" borderId="1597" applyNumberFormat="0" applyFont="0" applyAlignment="0" applyProtection="0"/>
    <xf numFmtId="0" fontId="12" fillId="9" borderId="1598" applyBorder="0">
      <protection locked="0"/>
    </xf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9" borderId="1599" applyNumberFormat="0">
      <protection locked="0"/>
    </xf>
    <xf numFmtId="0" fontId="12" fillId="9" borderId="1598" applyBorder="0">
      <protection locked="0"/>
    </xf>
    <xf numFmtId="0" fontId="12" fillId="9" borderId="1599" applyNumberFormat="0">
      <protection locked="0"/>
    </xf>
    <xf numFmtId="0" fontId="12" fillId="2" borderId="1597" applyNumberFormat="0" applyFont="0" applyAlignment="0" applyProtection="0"/>
    <xf numFmtId="0" fontId="12" fillId="9" borderId="1598" applyBorder="0">
      <protection locked="0"/>
    </xf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9" borderId="1599" applyNumberFormat="0">
      <protection locked="0"/>
    </xf>
    <xf numFmtId="0" fontId="12" fillId="9" borderId="1598" applyBorder="0">
      <protection locked="0"/>
    </xf>
    <xf numFmtId="0" fontId="12" fillId="2" borderId="1597" applyNumberFormat="0" applyFont="0" applyAlignment="0" applyProtection="0"/>
    <xf numFmtId="0" fontId="12" fillId="9" borderId="1598" applyBorder="0">
      <protection locked="0"/>
    </xf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9" borderId="1598" applyBorder="0">
      <protection locked="0"/>
    </xf>
    <xf numFmtId="0" fontId="12" fillId="2" borderId="1597" applyNumberFormat="0" applyFont="0" applyAlignment="0" applyProtection="0"/>
    <xf numFmtId="0" fontId="12" fillId="9" borderId="1598" applyBorder="0">
      <protection locked="0"/>
    </xf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9" borderId="1599" applyNumberFormat="0">
      <protection locked="0"/>
    </xf>
    <xf numFmtId="0" fontId="12" fillId="9" borderId="1598" applyBorder="0">
      <protection locked="0"/>
    </xf>
    <xf numFmtId="0" fontId="12" fillId="2" borderId="1597" applyNumberFormat="0" applyFont="0" applyAlignment="0" applyProtection="0"/>
    <xf numFmtId="0" fontId="12" fillId="9" borderId="1598" applyBorder="0">
      <protection locked="0"/>
    </xf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9" borderId="1598" applyBorder="0">
      <protection locked="0"/>
    </xf>
    <xf numFmtId="0" fontId="12" fillId="9" borderId="1598" applyBorder="0">
      <protection locked="0"/>
    </xf>
    <xf numFmtId="0" fontId="12" fillId="2" borderId="1597" applyNumberFormat="0" applyFont="0" applyAlignment="0" applyProtection="0"/>
    <xf numFmtId="0" fontId="12" fillId="2" borderId="1597" applyNumberFormat="0" applyFont="0" applyAlignment="0" applyProtection="0"/>
    <xf numFmtId="0" fontId="12" fillId="2" borderId="1600" applyNumberFormat="0" applyFont="0" applyAlignment="0" applyProtection="0"/>
    <xf numFmtId="0" fontId="12" fillId="9" borderId="1601" applyNumberFormat="0">
      <protection locked="0"/>
    </xf>
    <xf numFmtId="0" fontId="12" fillId="9" borderId="1596" applyBorder="0">
      <protection locked="0"/>
    </xf>
    <xf numFmtId="0" fontId="12" fillId="2" borderId="1600" applyNumberFormat="0" applyFont="0" applyAlignment="0" applyProtection="0"/>
    <xf numFmtId="0" fontId="12" fillId="9" borderId="1596" applyBorder="0">
      <protection locked="0"/>
    </xf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41" fontId="37" fillId="0" borderId="0" applyFont="0" applyFill="0" applyBorder="0" applyAlignment="0" applyProtection="0"/>
    <xf numFmtId="0" fontId="12" fillId="2" borderId="1600" applyNumberFormat="0" applyFont="0" applyAlignment="0" applyProtection="0"/>
    <xf numFmtId="0" fontId="12" fillId="9" borderId="1601" applyNumberFormat="0">
      <protection locked="0"/>
    </xf>
    <xf numFmtId="0" fontId="12" fillId="2" borderId="1600" applyNumberFormat="0" applyFont="0" applyAlignment="0" applyProtection="0"/>
    <xf numFmtId="0" fontId="12" fillId="2" borderId="1586" applyNumberFormat="0" applyFont="0" applyAlignment="0" applyProtection="0"/>
    <xf numFmtId="0" fontId="12" fillId="2" borderId="1586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586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9" borderId="1601" applyNumberFormat="0">
      <protection locked="0"/>
    </xf>
    <xf numFmtId="0" fontId="12" fillId="9" borderId="1602" applyBorder="0">
      <protection locked="0"/>
    </xf>
    <xf numFmtId="0" fontId="12" fillId="2" borderId="1600" applyNumberFormat="0" applyFont="0" applyAlignment="0" applyProtection="0"/>
    <xf numFmtId="0" fontId="12" fillId="9" borderId="1602" applyBorder="0">
      <protection locked="0"/>
    </xf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9" borderId="1601" applyNumberFormat="0">
      <protection locked="0"/>
    </xf>
    <xf numFmtId="0" fontId="12" fillId="9" borderId="1603" applyBorder="0">
      <protection locked="0"/>
    </xf>
    <xf numFmtId="0" fontId="12" fillId="2" borderId="1600" applyNumberFormat="0" applyFont="0" applyAlignment="0" applyProtection="0"/>
    <xf numFmtId="0" fontId="12" fillId="9" borderId="1603" applyBorder="0">
      <protection locked="0"/>
    </xf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9" borderId="1601" applyNumberFormat="0">
      <protection locked="0"/>
    </xf>
    <xf numFmtId="0" fontId="12" fillId="9" borderId="1603" applyBorder="0">
      <protection locked="0"/>
    </xf>
    <xf numFmtId="0" fontId="12" fillId="2" borderId="1600" applyNumberFormat="0" applyFont="0" applyAlignment="0" applyProtection="0"/>
    <xf numFmtId="0" fontId="12" fillId="9" borderId="1603" applyBorder="0">
      <protection locked="0"/>
    </xf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4" applyNumberFormat="0" applyFont="0" applyAlignment="0" applyProtection="0"/>
    <xf numFmtId="0" fontId="12" fillId="9" borderId="1601" applyNumberFormat="0">
      <protection locked="0"/>
    </xf>
    <xf numFmtId="0" fontId="12" fillId="9" borderId="1596" applyBorder="0">
      <protection locked="0"/>
    </xf>
    <xf numFmtId="0" fontId="12" fillId="2" borderId="1604" applyNumberFormat="0" applyFont="0" applyAlignment="0" applyProtection="0"/>
    <xf numFmtId="0" fontId="12" fillId="9" borderId="1596" applyBorder="0">
      <protection locked="0"/>
    </xf>
    <xf numFmtId="0" fontId="12" fillId="2" borderId="1604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9" borderId="1601" applyNumberFormat="0">
      <protection locked="0"/>
    </xf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0" applyNumberFormat="0" applyFont="0" applyAlignment="0" applyProtection="0"/>
    <xf numFmtId="0" fontId="12" fillId="2" borderId="1608" applyNumberFormat="0" applyFont="0" applyAlignment="0" applyProtection="0"/>
    <xf numFmtId="0" fontId="12" fillId="9" borderId="1614" applyNumberFormat="0">
      <protection locked="0"/>
    </xf>
    <xf numFmtId="0" fontId="12" fillId="9" borderId="1609" applyBorder="0">
      <protection locked="0"/>
    </xf>
    <xf numFmtId="0" fontId="12" fillId="2" borderId="1608" applyNumberFormat="0" applyFont="0" applyAlignment="0" applyProtection="0"/>
    <xf numFmtId="0" fontId="12" fillId="9" borderId="1609" applyBorder="0">
      <protection locked="0"/>
    </xf>
    <xf numFmtId="0" fontId="12" fillId="2" borderId="1608" applyNumberFormat="0" applyFont="0" applyAlignment="0" applyProtection="0"/>
    <xf numFmtId="0" fontId="12" fillId="2" borderId="1619" applyNumberFormat="0" applyFont="0" applyAlignment="0" applyProtection="0"/>
    <xf numFmtId="0" fontId="12" fillId="2" borderId="1619" applyNumberFormat="0" applyFont="0" applyAlignment="0" applyProtection="0"/>
    <xf numFmtId="41" fontId="37" fillId="0" borderId="0" applyFont="0" applyFill="0" applyBorder="0" applyAlignment="0" applyProtection="0"/>
    <xf numFmtId="0" fontId="12" fillId="2" borderId="1621" applyNumberFormat="0" applyFont="0" applyAlignment="0" applyProtection="0"/>
    <xf numFmtId="0" fontId="12" fillId="2" borderId="1645" applyNumberFormat="0" applyFont="0" applyAlignment="0" applyProtection="0"/>
    <xf numFmtId="0" fontId="12" fillId="9" borderId="1637" applyBorder="0">
      <protection locked="0"/>
    </xf>
    <xf numFmtId="0" fontId="12" fillId="9" borderId="1637" applyBorder="0">
      <protection locked="0"/>
    </xf>
    <xf numFmtId="0" fontId="12" fillId="9" borderId="1643" applyNumberFormat="0">
      <protection locked="0"/>
    </xf>
    <xf numFmtId="0" fontId="12" fillId="2" borderId="1630" applyNumberFormat="0" applyFont="0" applyAlignment="0" applyProtection="0"/>
    <xf numFmtId="0" fontId="12" fillId="9" borderId="1631" applyNumberFormat="0">
      <protection locked="0"/>
    </xf>
    <xf numFmtId="0" fontId="12" fillId="9" borderId="1625" applyBorder="0">
      <protection locked="0"/>
    </xf>
    <xf numFmtId="0" fontId="12" fillId="2" borderId="1638" applyNumberFormat="0" applyFont="0" applyAlignment="0" applyProtection="0"/>
    <xf numFmtId="0" fontId="12" fillId="2" borderId="1630" applyNumberFormat="0" applyFont="0" applyAlignment="0" applyProtection="0"/>
    <xf numFmtId="0" fontId="12" fillId="9" borderId="1625" applyBorder="0">
      <protection locked="0"/>
    </xf>
    <xf numFmtId="0" fontId="12" fillId="2" borderId="1630" applyNumberFormat="0" applyFont="0" applyAlignment="0" applyProtection="0"/>
    <xf numFmtId="0" fontId="12" fillId="2" borderId="1633" applyNumberFormat="0" applyFont="0" applyAlignment="0" applyProtection="0"/>
    <xf numFmtId="0" fontId="12" fillId="2" borderId="1638" applyNumberFormat="0" applyFont="0" applyAlignment="0" applyProtection="0"/>
    <xf numFmtId="0" fontId="12" fillId="2" borderId="1633" applyNumberFormat="0" applyFont="0" applyAlignment="0" applyProtection="0"/>
    <xf numFmtId="0" fontId="12" fillId="2" borderId="1638" applyNumberFormat="0" applyFont="0" applyAlignment="0" applyProtection="0"/>
    <xf numFmtId="0" fontId="12" fillId="2" borderId="1636" applyNumberFormat="0" applyFont="0" applyAlignment="0" applyProtection="0"/>
    <xf numFmtId="0" fontId="12" fillId="2" borderId="1645" applyNumberFormat="0" applyFont="0" applyAlignment="0" applyProtection="0"/>
    <xf numFmtId="0" fontId="12" fillId="2" borderId="1656" applyNumberFormat="0" applyFont="0" applyAlignment="0" applyProtection="0"/>
    <xf numFmtId="0" fontId="55" fillId="0" borderId="0"/>
    <xf numFmtId="0" fontId="12" fillId="2" borderId="1769" applyNumberFormat="0" applyFont="0" applyAlignment="0" applyProtection="0"/>
    <xf numFmtId="0" fontId="12" fillId="9" borderId="1964" applyBorder="0">
      <protection locked="0"/>
    </xf>
    <xf numFmtId="0" fontId="12" fillId="2" borderId="1968" applyNumberFormat="0" applyFont="0" applyAlignment="0" applyProtection="0"/>
    <xf numFmtId="0" fontId="12" fillId="9" borderId="1967" applyNumberFormat="0">
      <protection locked="0"/>
    </xf>
    <xf numFmtId="0" fontId="12" fillId="2" borderId="1930" applyNumberFormat="0" applyFont="0" applyAlignment="0" applyProtection="0"/>
    <xf numFmtId="0" fontId="12" fillId="9" borderId="1931" applyNumberFormat="0">
      <protection locked="0"/>
    </xf>
    <xf numFmtId="0" fontId="12" fillId="9" borderId="1915" applyBorder="0">
      <protection locked="0"/>
    </xf>
    <xf numFmtId="0" fontId="12" fillId="9" borderId="1964" applyBorder="0">
      <protection locked="0"/>
    </xf>
    <xf numFmtId="0" fontId="12" fillId="2" borderId="1930" applyNumberFormat="0" applyFont="0" applyAlignment="0" applyProtection="0"/>
    <xf numFmtId="0" fontId="12" fillId="9" borderId="1915" applyBorder="0">
      <protection locked="0"/>
    </xf>
    <xf numFmtId="0" fontId="12" fillId="2" borderId="1930" applyNumberFormat="0" applyFont="0" applyAlignment="0" applyProtection="0"/>
    <xf numFmtId="0" fontId="12" fillId="2" borderId="1969" applyNumberFormat="0" applyFont="0" applyAlignment="0" applyProtection="0"/>
    <xf numFmtId="0" fontId="12" fillId="2" borderId="1930" applyNumberFormat="0" applyFont="0" applyAlignment="0" applyProtection="0"/>
    <xf numFmtId="0" fontId="12" fillId="2" borderId="1930" applyNumberFormat="0" applyFont="0" applyAlignment="0" applyProtection="0"/>
    <xf numFmtId="0" fontId="12" fillId="2" borderId="2002" applyNumberFormat="0" applyFont="0" applyAlignment="0" applyProtection="0"/>
    <xf numFmtId="0" fontId="12" fillId="2" borderId="2002" applyNumberFormat="0" applyFont="0" applyAlignment="0" applyProtection="0"/>
    <xf numFmtId="41" fontId="37" fillId="0" borderId="0" applyFont="0" applyFill="0" applyBorder="0" applyAlignment="0" applyProtection="0"/>
    <xf numFmtId="0" fontId="12" fillId="9" borderId="2012" applyBorder="0">
      <protection locked="0"/>
    </xf>
    <xf numFmtId="0" fontId="12" fillId="9" borderId="2013" applyNumberFormat="0">
      <protection locked="0"/>
    </xf>
    <xf numFmtId="0" fontId="12" fillId="2" borderId="1936" applyNumberFormat="0" applyFont="0" applyAlignment="0" applyProtection="0"/>
    <xf numFmtId="0" fontId="12" fillId="2" borderId="1966" applyNumberFormat="0" applyFont="0" applyAlignment="0" applyProtection="0"/>
    <xf numFmtId="0" fontId="12" fillId="9" borderId="1939" applyNumberFormat="0">
      <protection locked="0"/>
    </xf>
    <xf numFmtId="0" fontId="12" fillId="9" borderId="1940" applyBorder="0">
      <protection locked="0"/>
    </xf>
    <xf numFmtId="0" fontId="12" fillId="9" borderId="1940" applyBorder="0">
      <protection locked="0"/>
    </xf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0" fontId="12" fillId="9" borderId="1939" applyNumberFormat="0">
      <protection locked="0"/>
    </xf>
    <xf numFmtId="0" fontId="12" fillId="9" borderId="1938" applyBorder="0">
      <protection locked="0"/>
    </xf>
    <xf numFmtId="0" fontId="12" fillId="2" borderId="1937" applyNumberFormat="0" applyFont="0" applyAlignment="0" applyProtection="0"/>
    <xf numFmtId="0" fontId="12" fillId="9" borderId="1938" applyBorder="0">
      <protection locked="0"/>
    </xf>
    <xf numFmtId="0" fontId="12" fillId="2" borderId="1937" applyNumberFormat="0" applyFont="0" applyAlignment="0" applyProtection="0"/>
    <xf numFmtId="0" fontId="12" fillId="9" borderId="1939" applyNumberFormat="0">
      <protection locked="0"/>
    </xf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41" fontId="37" fillId="0" borderId="0" applyFont="0" applyFill="0" applyBorder="0" applyAlignment="0" applyProtection="0"/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0" fontId="12" fillId="9" borderId="1939" applyNumberFormat="0">
      <protection locked="0"/>
    </xf>
    <xf numFmtId="0" fontId="12" fillId="9" borderId="1938" applyBorder="0">
      <protection locked="0"/>
    </xf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0" fontId="12" fillId="9" borderId="1938" applyBorder="0">
      <protection locked="0"/>
    </xf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0" fontId="12" fillId="9" borderId="1938" applyBorder="0">
      <protection locked="0"/>
    </xf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0" fontId="12" fillId="2" borderId="1937" applyNumberFormat="0" applyFont="0" applyAlignment="0" applyProtection="0"/>
    <xf numFmtId="0" fontId="12" fillId="9" borderId="1938" applyBorder="0">
      <protection locked="0"/>
    </xf>
    <xf numFmtId="0" fontId="12" fillId="2" borderId="1937" applyNumberFormat="0" applyFont="0" applyAlignment="0" applyProtection="0"/>
    <xf numFmtId="0" fontId="12" fillId="2" borderId="1941" applyNumberFormat="0" applyFont="0" applyAlignment="0" applyProtection="0"/>
    <xf numFmtId="0" fontId="12" fillId="2" borderId="1943" applyNumberFormat="0" applyFont="0" applyAlignment="0" applyProtection="0"/>
    <xf numFmtId="0" fontId="12" fillId="9" borderId="1942" applyBorder="0">
      <protection locked="0"/>
    </xf>
    <xf numFmtId="0" fontId="12" fillId="2" borderId="1937" applyNumberFormat="0" applyFont="0" applyAlignment="0" applyProtection="0"/>
    <xf numFmtId="0" fontId="12" fillId="9" borderId="1942" applyBorder="0">
      <protection locked="0"/>
    </xf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41" fontId="37" fillId="0" borderId="0" applyFont="0" applyFill="0" applyBorder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9" borderId="1946" applyBorder="0">
      <protection locked="0"/>
    </xf>
    <xf numFmtId="0" fontId="12" fillId="9" borderId="1946" applyBorder="0">
      <protection locked="0"/>
    </xf>
    <xf numFmtId="0" fontId="12" fillId="9" borderId="1947" applyNumberFormat="0">
      <protection locked="0"/>
    </xf>
    <xf numFmtId="0" fontId="12" fillId="2" borderId="1945" applyNumberFormat="0" applyFont="0" applyAlignment="0" applyProtection="0"/>
    <xf numFmtId="0" fontId="12" fillId="9" borderId="1947" applyNumberFormat="0">
      <protection locked="0"/>
    </xf>
    <xf numFmtId="0" fontId="12" fillId="9" borderId="1946" applyBorder="0">
      <protection locked="0"/>
    </xf>
    <xf numFmtId="0" fontId="12" fillId="2" borderId="1945" applyNumberFormat="0" applyFont="0" applyAlignment="0" applyProtection="0"/>
    <xf numFmtId="0" fontId="12" fillId="9" borderId="1946" applyBorder="0">
      <protection locked="0"/>
    </xf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9" borderId="1947" applyNumberFormat="0">
      <protection locked="0"/>
    </xf>
    <xf numFmtId="0" fontId="12" fillId="9" borderId="1946" applyBorder="0">
      <protection locked="0"/>
    </xf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9" borderId="1946" applyBorder="0">
      <protection locked="0"/>
    </xf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9" borderId="1947" applyNumberFormat="0">
      <protection locked="0"/>
    </xf>
    <xf numFmtId="0" fontId="12" fillId="2" borderId="1945" applyNumberFormat="0" applyFont="0" applyAlignment="0" applyProtection="0"/>
    <xf numFmtId="0" fontId="12" fillId="9" borderId="1946" applyBorder="0">
      <protection locked="0"/>
    </xf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2" borderId="1945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9" borderId="1948" applyNumberFormat="0">
      <protection locked="0"/>
    </xf>
    <xf numFmtId="0" fontId="12" fillId="9" borderId="1938" applyBorder="0">
      <protection locked="0"/>
    </xf>
    <xf numFmtId="0" fontId="12" fillId="9" borderId="1948" applyNumberFormat="0">
      <protection locked="0"/>
    </xf>
    <xf numFmtId="0" fontId="12" fillId="2" borderId="1943" applyNumberFormat="0" applyFont="0" applyAlignment="0" applyProtection="0"/>
    <xf numFmtId="0" fontId="12" fillId="9" borderId="1938" applyBorder="0">
      <protection locked="0"/>
    </xf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9" borderId="1948" applyNumberFormat="0">
      <protection locked="0"/>
    </xf>
    <xf numFmtId="0" fontId="12" fillId="9" borderId="1938" applyBorder="0">
      <protection locked="0"/>
    </xf>
    <xf numFmtId="0" fontId="12" fillId="2" borderId="1943" applyNumberFormat="0" applyFont="0" applyAlignment="0" applyProtection="0"/>
    <xf numFmtId="0" fontId="12" fillId="9" borderId="1938" applyBorder="0">
      <protection locked="0"/>
    </xf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9" borderId="1938" applyBorder="0">
      <protection locked="0"/>
    </xf>
    <xf numFmtId="0" fontId="12" fillId="2" borderId="1943" applyNumberFormat="0" applyFont="0" applyAlignment="0" applyProtection="0"/>
    <xf numFmtId="0" fontId="12" fillId="9" borderId="1938" applyBorder="0">
      <protection locked="0"/>
    </xf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9" borderId="1948" applyNumberFormat="0">
      <protection locked="0"/>
    </xf>
    <xf numFmtId="0" fontId="12" fillId="9" borderId="1938" applyBorder="0">
      <protection locked="0"/>
    </xf>
    <xf numFmtId="0" fontId="12" fillId="2" borderId="1943" applyNumberFormat="0" applyFont="0" applyAlignment="0" applyProtection="0"/>
    <xf numFmtId="0" fontId="12" fillId="9" borderId="1938" applyBorder="0">
      <protection locked="0"/>
    </xf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9" borderId="1938" applyBorder="0">
      <protection locked="0"/>
    </xf>
    <xf numFmtId="0" fontId="12" fillId="9" borderId="1938" applyBorder="0">
      <protection locked="0"/>
    </xf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50" applyNumberFormat="0" applyFont="0" applyAlignment="0" applyProtection="0"/>
    <xf numFmtId="0" fontId="12" fillId="9" borderId="1951" applyNumberFormat="0">
      <protection locked="0"/>
    </xf>
    <xf numFmtId="0" fontId="12" fillId="9" borderId="1946" applyBorder="0">
      <protection locked="0"/>
    </xf>
    <xf numFmtId="0" fontId="12" fillId="2" borderId="1950" applyNumberFormat="0" applyFont="0" applyAlignment="0" applyProtection="0"/>
    <xf numFmtId="0" fontId="12" fillId="9" borderId="1946" applyBorder="0">
      <protection locked="0"/>
    </xf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41" fontId="37" fillId="0" borderId="0" applyFont="0" applyFill="0" applyBorder="0" applyAlignment="0" applyProtection="0"/>
    <xf numFmtId="0" fontId="12" fillId="2" borderId="1950" applyNumberFormat="0" applyFont="0" applyAlignment="0" applyProtection="0"/>
    <xf numFmtId="0" fontId="12" fillId="9" borderId="1951" applyNumberFormat="0">
      <protection locked="0"/>
    </xf>
    <xf numFmtId="0" fontId="12" fillId="2" borderId="1950" applyNumberFormat="0" applyFont="0" applyAlignment="0" applyProtection="0"/>
    <xf numFmtId="0" fontId="12" fillId="2" borderId="1943" applyNumberFormat="0" applyFont="0" applyAlignment="0" applyProtection="0"/>
    <xf numFmtId="0" fontId="12" fillId="2" borderId="1943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43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9" borderId="1951" applyNumberFormat="0">
      <protection locked="0"/>
    </xf>
    <xf numFmtId="0" fontId="12" fillId="9" borderId="1946" applyBorder="0">
      <protection locked="0"/>
    </xf>
    <xf numFmtId="0" fontId="12" fillId="2" borderId="1950" applyNumberFormat="0" applyFont="0" applyAlignment="0" applyProtection="0"/>
    <xf numFmtId="0" fontId="12" fillId="9" borderId="1946" applyBorder="0">
      <protection locked="0"/>
    </xf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9" borderId="1951" applyNumberFormat="0">
      <protection locked="0"/>
    </xf>
    <xf numFmtId="0" fontId="12" fillId="9" borderId="1946" applyBorder="0">
      <protection locked="0"/>
    </xf>
    <xf numFmtId="0" fontId="12" fillId="2" borderId="1950" applyNumberFormat="0" applyFont="0" applyAlignment="0" applyProtection="0"/>
    <xf numFmtId="0" fontId="12" fillId="9" borderId="1946" applyBorder="0">
      <protection locked="0"/>
    </xf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9" borderId="1951" applyNumberFormat="0">
      <protection locked="0"/>
    </xf>
    <xf numFmtId="0" fontId="12" fillId="9" borderId="1946" applyBorder="0">
      <protection locked="0"/>
    </xf>
    <xf numFmtId="0" fontId="12" fillId="2" borderId="1950" applyNumberFormat="0" applyFont="0" applyAlignment="0" applyProtection="0"/>
    <xf numFmtId="0" fontId="12" fillId="9" borderId="1946" applyBorder="0">
      <protection locked="0"/>
    </xf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2" applyNumberFormat="0" applyFont="0" applyAlignment="0" applyProtection="0"/>
    <xf numFmtId="0" fontId="12" fillId="9" borderId="1951" applyNumberFormat="0">
      <protection locked="0"/>
    </xf>
    <xf numFmtId="0" fontId="12" fillId="9" borderId="1949" applyBorder="0">
      <protection locked="0"/>
    </xf>
    <xf numFmtId="0" fontId="12" fillId="2" borderId="1952" applyNumberFormat="0" applyFont="0" applyAlignment="0" applyProtection="0"/>
    <xf numFmtId="0" fontId="12" fillId="9" borderId="1949" applyBorder="0">
      <protection locked="0"/>
    </xf>
    <xf numFmtId="0" fontId="12" fillId="2" borderId="1952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9" borderId="1951" applyNumberFormat="0">
      <protection locked="0"/>
    </xf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0" applyNumberFormat="0" applyFont="0" applyAlignment="0" applyProtection="0"/>
    <xf numFmtId="0" fontId="12" fillId="2" borderId="1953" applyNumberFormat="0" applyFont="0" applyAlignment="0" applyProtection="0"/>
    <xf numFmtId="0" fontId="12" fillId="9" borderId="1954" applyNumberFormat="0">
      <protection locked="0"/>
    </xf>
    <xf numFmtId="0" fontId="12" fillId="9" borderId="1946" applyBorder="0">
      <protection locked="0"/>
    </xf>
    <xf numFmtId="0" fontId="12" fillId="2" borderId="1953" applyNumberFormat="0" applyFont="0" applyAlignment="0" applyProtection="0"/>
    <xf numFmtId="0" fontId="12" fillId="9" borderId="1946" applyBorder="0">
      <protection locked="0"/>
    </xf>
    <xf numFmtId="0" fontId="12" fillId="2" borderId="1953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41" fontId="37" fillId="0" borderId="0" applyFont="0" applyFill="0" applyBorder="0" applyAlignment="0" applyProtection="0"/>
    <xf numFmtId="0" fontId="12" fillId="2" borderId="1955" applyNumberFormat="0" applyFont="0" applyAlignment="0" applyProtection="0"/>
    <xf numFmtId="0" fontId="12" fillId="9" borderId="1954" applyNumberFormat="0">
      <protection locked="0"/>
    </xf>
    <xf numFmtId="0" fontId="12" fillId="9" borderId="1946" applyBorder="0">
      <protection locked="0"/>
    </xf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9" borderId="1954" applyNumberFormat="0">
      <protection locked="0"/>
    </xf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9" borderId="1954" applyNumberFormat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41" fontId="37" fillId="0" borderId="0" applyFont="0" applyFill="0" applyBorder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9" borderId="1954" applyNumberFormat="0">
      <protection locked="0"/>
    </xf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9" borderId="1956" applyBorder="0">
      <protection locked="0"/>
    </xf>
    <xf numFmtId="0" fontId="12" fillId="2" borderId="1955" applyNumberFormat="0" applyFont="0" applyAlignment="0" applyProtection="0"/>
    <xf numFmtId="0" fontId="12" fillId="9" borderId="1956" applyBorder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41" fontId="37" fillId="0" borderId="0" applyFont="0" applyFill="0" applyBorder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9" borderId="1956" applyBorder="0">
      <protection locked="0"/>
    </xf>
    <xf numFmtId="0" fontId="12" fillId="9" borderId="1956" applyBorder="0">
      <protection locked="0"/>
    </xf>
    <xf numFmtId="0" fontId="12" fillId="9" borderId="1954" applyNumberFormat="0">
      <protection locked="0"/>
    </xf>
    <xf numFmtId="0" fontId="12" fillId="2" borderId="1957" applyNumberFormat="0" applyFont="0" applyAlignment="0" applyProtection="0"/>
    <xf numFmtId="0" fontId="12" fillId="9" borderId="1954" applyNumberFormat="0">
      <protection locked="0"/>
    </xf>
    <xf numFmtId="0" fontId="12" fillId="9" borderId="1956" applyBorder="0">
      <protection locked="0"/>
    </xf>
    <xf numFmtId="0" fontId="12" fillId="2" borderId="1957" applyNumberFormat="0" applyFont="0" applyAlignment="0" applyProtection="0"/>
    <xf numFmtId="0" fontId="12" fillId="9" borderId="1956" applyBorder="0">
      <protection locked="0"/>
    </xf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9" borderId="1954" applyNumberFormat="0">
      <protection locked="0"/>
    </xf>
    <xf numFmtId="0" fontId="12" fillId="9" borderId="1956" applyBorder="0">
      <protection locked="0"/>
    </xf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9" borderId="1956" applyBorder="0">
      <protection locked="0"/>
    </xf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9" borderId="1954" applyNumberFormat="0">
      <protection locked="0"/>
    </xf>
    <xf numFmtId="0" fontId="12" fillId="2" borderId="1957" applyNumberFormat="0" applyFont="0" applyAlignment="0" applyProtection="0"/>
    <xf numFmtId="0" fontId="12" fillId="9" borderId="1956" applyBorder="0">
      <protection locked="0"/>
    </xf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9" borderId="1954" applyNumberFormat="0">
      <protection locked="0"/>
    </xf>
    <xf numFmtId="0" fontId="12" fillId="9" borderId="1956" applyBorder="0">
      <protection locked="0"/>
    </xf>
    <xf numFmtId="0" fontId="12" fillId="9" borderId="1954" applyNumberFormat="0">
      <protection locked="0"/>
    </xf>
    <xf numFmtId="0" fontId="12" fillId="2" borderId="1957" applyNumberFormat="0" applyFont="0" applyAlignment="0" applyProtection="0"/>
    <xf numFmtId="0" fontId="12" fillId="9" borderId="1956" applyBorder="0">
      <protection locked="0"/>
    </xf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9" borderId="1954" applyNumberFormat="0">
      <protection locked="0"/>
    </xf>
    <xf numFmtId="0" fontId="12" fillId="9" borderId="1956" applyBorder="0">
      <protection locked="0"/>
    </xf>
    <xf numFmtId="0" fontId="12" fillId="2" borderId="1957" applyNumberFormat="0" applyFont="0" applyAlignment="0" applyProtection="0"/>
    <xf numFmtId="0" fontId="12" fillId="9" borderId="1956" applyBorder="0">
      <protection locked="0"/>
    </xf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9" borderId="1956" applyBorder="0">
      <protection locked="0"/>
    </xf>
    <xf numFmtId="0" fontId="12" fillId="2" borderId="1957" applyNumberFormat="0" applyFont="0" applyAlignment="0" applyProtection="0"/>
    <xf numFmtId="0" fontId="12" fillId="9" borderId="1956" applyBorder="0">
      <protection locked="0"/>
    </xf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9" borderId="1954" applyNumberFormat="0">
      <protection locked="0"/>
    </xf>
    <xf numFmtId="0" fontId="12" fillId="9" borderId="1956" applyBorder="0">
      <protection locked="0"/>
    </xf>
    <xf numFmtId="0" fontId="12" fillId="2" borderId="1957" applyNumberFormat="0" applyFont="0" applyAlignment="0" applyProtection="0"/>
    <xf numFmtId="0" fontId="12" fillId="9" borderId="1956" applyBorder="0">
      <protection locked="0"/>
    </xf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9" borderId="1956" applyBorder="0">
      <protection locked="0"/>
    </xf>
    <xf numFmtId="0" fontId="12" fillId="9" borderId="1956" applyBorder="0">
      <protection locked="0"/>
    </xf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0" fontId="12" fillId="2" borderId="1955" applyNumberFormat="0" applyFont="0" applyAlignment="0" applyProtection="0"/>
    <xf numFmtId="0" fontId="12" fillId="9" borderId="1954" applyNumberFormat="0">
      <protection locked="0"/>
    </xf>
    <xf numFmtId="0" fontId="12" fillId="9" borderId="1956" applyBorder="0">
      <protection locked="0"/>
    </xf>
    <xf numFmtId="0" fontId="12" fillId="2" borderId="1955" applyNumberFormat="0" applyFont="0" applyAlignment="0" applyProtection="0"/>
    <xf numFmtId="0" fontId="12" fillId="9" borderId="1956" applyBorder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41" fontId="37" fillId="0" borderId="0" applyFont="0" applyFill="0" applyBorder="0" applyAlignment="0" applyProtection="0"/>
    <xf numFmtId="0" fontId="12" fillId="2" borderId="1955" applyNumberFormat="0" applyFont="0" applyAlignment="0" applyProtection="0"/>
    <xf numFmtId="0" fontId="12" fillId="9" borderId="1954" applyNumberFormat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9" borderId="1954" applyNumberFormat="0">
      <protection locked="0"/>
    </xf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9" borderId="1954" applyNumberFormat="0">
      <protection locked="0"/>
    </xf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9" borderId="1954" applyNumberFormat="0">
      <protection locked="0"/>
    </xf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9" borderId="1954" applyNumberFormat="0">
      <protection locked="0"/>
    </xf>
    <xf numFmtId="0" fontId="12" fillId="9" borderId="1956" applyBorder="0">
      <protection locked="0"/>
    </xf>
    <xf numFmtId="0" fontId="12" fillId="2" borderId="1955" applyNumberFormat="0" applyFont="0" applyAlignment="0" applyProtection="0"/>
    <xf numFmtId="0" fontId="12" fillId="9" borderId="1956" applyBorder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9" borderId="1954" applyNumberFormat="0">
      <protection locked="0"/>
    </xf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2" borderId="1955" applyNumberFormat="0" applyFont="0" applyAlignment="0" applyProtection="0"/>
    <xf numFmtId="0" fontId="12" fillId="9" borderId="1958" applyNumberFormat="0">
      <protection locked="0"/>
    </xf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9" borderId="1946" applyBorder="0">
      <protection locked="0"/>
    </xf>
    <xf numFmtId="0" fontId="12" fillId="2" borderId="1955" applyNumberFormat="0" applyFont="0" applyAlignment="0" applyProtection="0"/>
    <xf numFmtId="0" fontId="12" fillId="2" borderId="1957" applyNumberFormat="0" applyFont="0" applyAlignment="0" applyProtection="0"/>
    <xf numFmtId="0" fontId="12" fillId="2" borderId="1957" applyNumberFormat="0" applyFont="0" applyAlignment="0" applyProtection="0"/>
    <xf numFmtId="41" fontId="37" fillId="0" borderId="0" applyFont="0" applyFill="0" applyBorder="0" applyAlignment="0" applyProtection="0"/>
    <xf numFmtId="0" fontId="12" fillId="2" borderId="1945" applyNumberFormat="0" applyFont="0" applyAlignment="0" applyProtection="0"/>
    <xf numFmtId="0" fontId="12" fillId="2" borderId="1961" applyNumberFormat="0" applyFont="0" applyAlignment="0" applyProtection="0"/>
    <xf numFmtId="0" fontId="12" fillId="9" borderId="1962" applyBorder="0">
      <protection locked="0"/>
    </xf>
    <xf numFmtId="0" fontId="12" fillId="9" borderId="1962" applyBorder="0">
      <protection locked="0"/>
    </xf>
    <xf numFmtId="0" fontId="12" fillId="9" borderId="1963" applyNumberFormat="0">
      <protection locked="0"/>
    </xf>
    <xf numFmtId="0" fontId="12" fillId="2" borderId="1959" applyNumberFormat="0" applyFont="0" applyAlignment="0" applyProtection="0"/>
    <xf numFmtId="0" fontId="12" fillId="9" borderId="1960" applyNumberFormat="0">
      <protection locked="0"/>
    </xf>
    <xf numFmtId="0" fontId="12" fillId="9" borderId="1944" applyBorder="0">
      <protection locked="0"/>
    </xf>
    <xf numFmtId="0" fontId="12" fillId="2" borderId="1961" applyNumberFormat="0" applyFont="0" applyAlignment="0" applyProtection="0"/>
    <xf numFmtId="0" fontId="12" fillId="2" borderId="1959" applyNumberFormat="0" applyFont="0" applyAlignment="0" applyProtection="0"/>
    <xf numFmtId="0" fontId="12" fillId="9" borderId="1944" applyBorder="0">
      <protection locked="0"/>
    </xf>
    <xf numFmtId="0" fontId="12" fillId="2" borderId="1959" applyNumberFormat="0" applyFont="0" applyAlignment="0" applyProtection="0"/>
    <xf numFmtId="0" fontId="12" fillId="2" borderId="1961" applyNumberFormat="0" applyFont="0" applyAlignment="0" applyProtection="0"/>
    <xf numFmtId="0" fontId="12" fillId="2" borderId="1961" applyNumberFormat="0" applyFont="0" applyAlignment="0" applyProtection="0"/>
    <xf numFmtId="0" fontId="12" fillId="2" borderId="1961" applyNumberFormat="0" applyFont="0" applyAlignment="0" applyProtection="0"/>
    <xf numFmtId="0" fontId="12" fillId="2" borderId="1961" applyNumberFormat="0" applyFont="0" applyAlignment="0" applyProtection="0"/>
    <xf numFmtId="0" fontId="12" fillId="2" borderId="1961" applyNumberFormat="0" applyFont="0" applyAlignment="0" applyProtection="0"/>
    <xf numFmtId="0" fontId="12" fillId="2" borderId="1961" applyNumberFormat="0" applyFont="0" applyAlignment="0" applyProtection="0"/>
    <xf numFmtId="0" fontId="12" fillId="2" borderId="1961" applyNumberFormat="0" applyFont="0" applyAlignment="0" applyProtection="0"/>
    <xf numFmtId="0" fontId="12" fillId="2" borderId="1966" applyNumberFormat="0" applyFont="0" applyAlignment="0" applyProtection="0"/>
    <xf numFmtId="0" fontId="12" fillId="2" borderId="1965" applyNumberFormat="0" applyFont="0" applyAlignment="0" applyProtection="0"/>
    <xf numFmtId="0" fontId="12" fillId="2" borderId="1970" applyNumberFormat="0" applyFont="0" applyAlignment="0" applyProtection="0"/>
    <xf numFmtId="0" fontId="12" fillId="9" borderId="2012" applyBorder="0">
      <protection locked="0"/>
    </xf>
    <xf numFmtId="0" fontId="12" fillId="9" borderId="2044" applyBorder="0">
      <protection locked="0"/>
    </xf>
    <xf numFmtId="0" fontId="12" fillId="2" borderId="1971" applyNumberFormat="0" applyFont="0" applyAlignment="0" applyProtection="0"/>
    <xf numFmtId="0" fontId="12" fillId="9" borderId="1977" applyNumberFormat="0">
      <protection locked="0"/>
    </xf>
    <xf numFmtId="0" fontId="12" fillId="9" borderId="1973" applyBorder="0">
      <protection locked="0"/>
    </xf>
    <xf numFmtId="0" fontId="12" fillId="9" borderId="1973" applyBorder="0">
      <protection locked="0"/>
    </xf>
    <xf numFmtId="0" fontId="12" fillId="2" borderId="1972" applyNumberFormat="0" applyFont="0" applyAlignment="0" applyProtection="0"/>
    <xf numFmtId="0" fontId="12" fillId="2" borderId="1972" applyNumberFormat="0" applyFont="0" applyAlignment="0" applyProtection="0"/>
    <xf numFmtId="0" fontId="12" fillId="9" borderId="1974" applyNumberFormat="0">
      <protection locked="0"/>
    </xf>
    <xf numFmtId="0" fontId="12" fillId="9" borderId="1973" applyBorder="0">
      <protection locked="0"/>
    </xf>
    <xf numFmtId="0" fontId="12" fillId="2" borderId="1972" applyNumberFormat="0" applyFont="0" applyAlignment="0" applyProtection="0"/>
    <xf numFmtId="0" fontId="12" fillId="9" borderId="1973" applyBorder="0">
      <protection locked="0"/>
    </xf>
    <xf numFmtId="0" fontId="12" fillId="2" borderId="1972" applyNumberFormat="0" applyFont="0" applyAlignment="0" applyProtection="0"/>
    <xf numFmtId="0" fontId="12" fillId="9" borderId="1977" applyNumberFormat="0">
      <protection locked="0"/>
    </xf>
    <xf numFmtId="0" fontId="12" fillId="2" borderId="1972" applyNumberFormat="0" applyFont="0" applyAlignment="0" applyProtection="0"/>
    <xf numFmtId="0" fontId="12" fillId="2" borderId="1972" applyNumberFormat="0" applyFont="0" applyAlignment="0" applyProtection="0"/>
    <xf numFmtId="0" fontId="12" fillId="2" borderId="1975" applyNumberFormat="0" applyFont="0" applyAlignment="0" applyProtection="0"/>
    <xf numFmtId="0" fontId="12" fillId="9" borderId="2077" applyBorder="0">
      <protection locked="0"/>
    </xf>
    <xf numFmtId="0" fontId="12" fillId="2" borderId="1972" applyNumberFormat="0" applyFont="0" applyAlignment="0" applyProtection="0"/>
    <xf numFmtId="0" fontId="12" fillId="2" borderId="1972" applyNumberFormat="0" applyFont="0" applyAlignment="0" applyProtection="0"/>
    <xf numFmtId="0" fontId="12" fillId="9" borderId="1976" applyNumberFormat="0">
      <protection locked="0"/>
    </xf>
    <xf numFmtId="0" fontId="12" fillId="9" borderId="1973" applyBorder="0">
      <protection locked="0"/>
    </xf>
    <xf numFmtId="0" fontId="12" fillId="2" borderId="1972" applyNumberFormat="0" applyFont="0" applyAlignment="0" applyProtection="0"/>
    <xf numFmtId="0" fontId="12" fillId="2" borderId="1975" applyNumberFormat="0" applyFont="0" applyAlignment="0" applyProtection="0"/>
    <xf numFmtId="0" fontId="12" fillId="9" borderId="1973" applyBorder="0">
      <protection locked="0"/>
    </xf>
    <xf numFmtId="0" fontId="12" fillId="2" borderId="1975" applyNumberFormat="0" applyFont="0" applyAlignment="0" applyProtection="0"/>
    <xf numFmtId="0" fontId="12" fillId="2" borderId="1972" applyNumberFormat="0" applyFont="0" applyAlignment="0" applyProtection="0"/>
    <xf numFmtId="0" fontId="12" fillId="2" borderId="1975" applyNumberFormat="0" applyFont="0" applyAlignment="0" applyProtection="0"/>
    <xf numFmtId="0" fontId="12" fillId="2" borderId="1972" applyNumberFormat="0" applyFont="0" applyAlignment="0" applyProtection="0"/>
    <xf numFmtId="0" fontId="12" fillId="9" borderId="1978" applyBorder="0">
      <protection locked="0"/>
    </xf>
    <xf numFmtId="0" fontId="12" fillId="2" borderId="1975" applyNumberFormat="0" applyFont="0" applyAlignment="0" applyProtection="0"/>
    <xf numFmtId="0" fontId="12" fillId="2" borderId="1972" applyNumberFormat="0" applyFont="0" applyAlignment="0" applyProtection="0"/>
    <xf numFmtId="0" fontId="12" fillId="2" borderId="1972" applyNumberFormat="0" applyFont="0" applyAlignment="0" applyProtection="0"/>
    <xf numFmtId="0" fontId="12" fillId="2" borderId="1972" applyNumberFormat="0" applyFont="0" applyAlignment="0" applyProtection="0"/>
    <xf numFmtId="0" fontId="12" fillId="2" borderId="1972" applyNumberFormat="0" applyFont="0" applyAlignment="0" applyProtection="0"/>
    <xf numFmtId="0" fontId="12" fillId="2" borderId="1975" applyNumberFormat="0" applyFont="0" applyAlignment="0" applyProtection="0"/>
    <xf numFmtId="0" fontId="12" fillId="2" borderId="1972" applyNumberFormat="0" applyFont="0" applyAlignment="0" applyProtection="0"/>
    <xf numFmtId="0" fontId="12" fillId="9" borderId="1978" applyBorder="0">
      <protection locked="0"/>
    </xf>
    <xf numFmtId="0" fontId="12" fillId="2" borderId="1972" applyNumberFormat="0" applyFont="0" applyAlignment="0" applyProtection="0"/>
    <xf numFmtId="0" fontId="12" fillId="2" borderId="1979" applyNumberFormat="0" applyFont="0" applyAlignment="0" applyProtection="0"/>
    <xf numFmtId="0" fontId="12" fillId="2" borderId="1982" applyNumberFormat="0" applyFont="0" applyAlignment="0" applyProtection="0"/>
    <xf numFmtId="0" fontId="12" fillId="9" borderId="1980" applyBorder="0">
      <protection locked="0"/>
    </xf>
    <xf numFmtId="0" fontId="12" fillId="2" borderId="1972" applyNumberFormat="0" applyFont="0" applyAlignment="0" applyProtection="0"/>
    <xf numFmtId="0" fontId="12" fillId="9" borderId="1980" applyBorder="0">
      <protection locked="0"/>
    </xf>
    <xf numFmtId="0" fontId="12" fillId="2" borderId="1982" applyNumberFormat="0" applyFont="0" applyAlignment="0" applyProtection="0"/>
    <xf numFmtId="0" fontId="12" fillId="2" borderId="1982" applyNumberFormat="0" applyFont="0" applyAlignment="0" applyProtection="0"/>
    <xf numFmtId="0" fontId="12" fillId="2" borderId="1982" applyNumberFormat="0" applyFont="0" applyAlignment="0" applyProtection="0"/>
    <xf numFmtId="0" fontId="12" fillId="9" borderId="2045" applyNumberFormat="0">
      <protection locked="0"/>
    </xf>
    <xf numFmtId="0" fontId="12" fillId="2" borderId="1982" applyNumberFormat="0" applyFont="0" applyAlignment="0" applyProtection="0"/>
    <xf numFmtId="0" fontId="12" fillId="2" borderId="1982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9" borderId="1984" applyBorder="0">
      <protection locked="0"/>
    </xf>
    <xf numFmtId="0" fontId="12" fillId="9" borderId="1984" applyBorder="0">
      <protection locked="0"/>
    </xf>
    <xf numFmtId="0" fontId="12" fillId="9" borderId="1985" applyNumberFormat="0">
      <protection locked="0"/>
    </xf>
    <xf numFmtId="0" fontId="12" fillId="2" borderId="1983" applyNumberFormat="0" applyFont="0" applyAlignment="0" applyProtection="0"/>
    <xf numFmtId="0" fontId="12" fillId="9" borderId="1985" applyNumberFormat="0">
      <protection locked="0"/>
    </xf>
    <xf numFmtId="0" fontId="12" fillId="9" borderId="1984" applyBorder="0">
      <protection locked="0"/>
    </xf>
    <xf numFmtId="0" fontId="12" fillId="2" borderId="1983" applyNumberFormat="0" applyFont="0" applyAlignment="0" applyProtection="0"/>
    <xf numFmtId="0" fontId="12" fillId="9" borderId="1984" applyBorder="0">
      <protection locked="0"/>
    </xf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9" borderId="1985" applyNumberFormat="0">
      <protection locked="0"/>
    </xf>
    <xf numFmtId="0" fontId="12" fillId="9" borderId="1984" applyBorder="0">
      <protection locked="0"/>
    </xf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9" borderId="1984" applyBorder="0">
      <protection locked="0"/>
    </xf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9" borderId="1985" applyNumberFormat="0">
      <protection locked="0"/>
    </xf>
    <xf numFmtId="0" fontId="12" fillId="2" borderId="1983" applyNumberFormat="0" applyFont="0" applyAlignment="0" applyProtection="0"/>
    <xf numFmtId="0" fontId="12" fillId="9" borderId="1984" applyBorder="0">
      <protection locked="0"/>
    </xf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9" borderId="1985" applyNumberFormat="0">
      <protection locked="0"/>
    </xf>
    <xf numFmtId="0" fontId="12" fillId="9" borderId="1984" applyBorder="0">
      <protection locked="0"/>
    </xf>
    <xf numFmtId="0" fontId="12" fillId="9" borderId="1985" applyNumberFormat="0">
      <protection locked="0"/>
    </xf>
    <xf numFmtId="0" fontId="12" fillId="2" borderId="1983" applyNumberFormat="0" applyFont="0" applyAlignment="0" applyProtection="0"/>
    <xf numFmtId="0" fontId="12" fillId="9" borderId="1984" applyBorder="0">
      <protection locked="0"/>
    </xf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9" borderId="1985" applyNumberFormat="0">
      <protection locked="0"/>
    </xf>
    <xf numFmtId="0" fontId="12" fillId="9" borderId="1984" applyBorder="0">
      <protection locked="0"/>
    </xf>
    <xf numFmtId="0" fontId="12" fillId="2" borderId="1983" applyNumberFormat="0" applyFont="0" applyAlignment="0" applyProtection="0"/>
    <xf numFmtId="0" fontId="12" fillId="9" borderId="1984" applyBorder="0">
      <protection locked="0"/>
    </xf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9" borderId="1984" applyBorder="0">
      <protection locked="0"/>
    </xf>
    <xf numFmtId="0" fontId="12" fillId="2" borderId="1983" applyNumberFormat="0" applyFont="0" applyAlignment="0" applyProtection="0"/>
    <xf numFmtId="0" fontId="12" fillId="9" borderId="1984" applyBorder="0">
      <protection locked="0"/>
    </xf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9" borderId="1985" applyNumberFormat="0">
      <protection locked="0"/>
    </xf>
    <xf numFmtId="0" fontId="12" fillId="9" borderId="1984" applyBorder="0">
      <protection locked="0"/>
    </xf>
    <xf numFmtId="0" fontId="12" fillId="2" borderId="1983" applyNumberFormat="0" applyFont="0" applyAlignment="0" applyProtection="0"/>
    <xf numFmtId="0" fontId="12" fillId="9" borderId="1984" applyBorder="0">
      <protection locked="0"/>
    </xf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9" borderId="1984" applyBorder="0">
      <protection locked="0"/>
    </xf>
    <xf numFmtId="0" fontId="12" fillId="9" borderId="1984" applyBorder="0">
      <protection locked="0"/>
    </xf>
    <xf numFmtId="0" fontId="12" fillId="2" borderId="1983" applyNumberFormat="0" applyFont="0" applyAlignment="0" applyProtection="0"/>
    <xf numFmtId="0" fontId="12" fillId="2" borderId="1983" applyNumberFormat="0" applyFont="0" applyAlignment="0" applyProtection="0"/>
    <xf numFmtId="0" fontId="12" fillId="2" borderId="1986" applyNumberFormat="0" applyFont="0" applyAlignment="0" applyProtection="0"/>
    <xf numFmtId="0" fontId="12" fillId="9" borderId="1987" applyNumberFormat="0">
      <protection locked="0"/>
    </xf>
    <xf numFmtId="0" fontId="12" fillId="9" borderId="1981" applyBorder="0">
      <protection locked="0"/>
    </xf>
    <xf numFmtId="0" fontId="12" fillId="2" borderId="1986" applyNumberFormat="0" applyFont="0" applyAlignment="0" applyProtection="0"/>
    <xf numFmtId="0" fontId="12" fillId="9" borderId="1981" applyBorder="0">
      <protection locked="0"/>
    </xf>
    <xf numFmtId="0" fontId="12" fillId="2" borderId="1986" applyNumberFormat="0" applyFont="0" applyAlignment="0" applyProtection="0"/>
    <xf numFmtId="0" fontId="12" fillId="2" borderId="1986" applyNumberFormat="0" applyFont="0" applyAlignment="0" applyProtection="0"/>
    <xf numFmtId="0" fontId="12" fillId="2" borderId="1986" applyNumberFormat="0" applyFont="0" applyAlignment="0" applyProtection="0"/>
    <xf numFmtId="0" fontId="12" fillId="2" borderId="2002" applyNumberFormat="0" applyFont="0" applyAlignment="0" applyProtection="0"/>
    <xf numFmtId="0" fontId="12" fillId="2" borderId="1986" applyNumberFormat="0" applyFont="0" applyAlignment="0" applyProtection="0"/>
    <xf numFmtId="0" fontId="12" fillId="9" borderId="1987" applyNumberFormat="0">
      <protection locked="0"/>
    </xf>
    <xf numFmtId="0" fontId="12" fillId="2" borderId="1986" applyNumberFormat="0" applyFont="0" applyAlignment="0" applyProtection="0"/>
    <xf numFmtId="0" fontId="12" fillId="2" borderId="1982" applyNumberFormat="0" applyFont="0" applyAlignment="0" applyProtection="0"/>
    <xf numFmtId="0" fontId="12" fillId="2" borderId="1982" applyNumberFormat="0" applyFont="0" applyAlignment="0" applyProtection="0"/>
    <xf numFmtId="0" fontId="12" fillId="2" borderId="1986" applyNumberFormat="0" applyFont="0" applyAlignment="0" applyProtection="0"/>
    <xf numFmtId="0" fontId="12" fillId="2" borderId="1986" applyNumberFormat="0" applyFont="0" applyAlignment="0" applyProtection="0"/>
    <xf numFmtId="0" fontId="12" fillId="2" borderId="1982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9" borderId="1989" applyNumberFormat="0">
      <protection locked="0"/>
    </xf>
    <xf numFmtId="0" fontId="12" fillId="9" borderId="1981" applyBorder="0">
      <protection locked="0"/>
    </xf>
    <xf numFmtId="0" fontId="12" fillId="2" borderId="1988" applyNumberFormat="0" applyFont="0" applyAlignment="0" applyProtection="0"/>
    <xf numFmtId="0" fontId="12" fillId="9" borderId="1981" applyBorder="0">
      <protection locked="0"/>
    </xf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9" borderId="1989" applyNumberFormat="0">
      <protection locked="0"/>
    </xf>
    <xf numFmtId="0" fontId="12" fillId="9" borderId="1990" applyBorder="0">
      <protection locked="0"/>
    </xf>
    <xf numFmtId="0" fontId="12" fillId="2" borderId="1988" applyNumberFormat="0" applyFont="0" applyAlignment="0" applyProtection="0"/>
    <xf numFmtId="0" fontId="12" fillId="9" borderId="1990" applyBorder="0">
      <protection locked="0"/>
    </xf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9" borderId="1989" applyNumberFormat="0">
      <protection locked="0"/>
    </xf>
    <xf numFmtId="0" fontId="12" fillId="9" borderId="1990" applyBorder="0">
      <protection locked="0"/>
    </xf>
    <xf numFmtId="0" fontId="12" fillId="2" borderId="1988" applyNumberFormat="0" applyFont="0" applyAlignment="0" applyProtection="0"/>
    <xf numFmtId="0" fontId="12" fillId="9" borderId="1990" applyBorder="0">
      <protection locked="0"/>
    </xf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91" applyNumberFormat="0" applyFont="0" applyAlignment="0" applyProtection="0"/>
    <xf numFmtId="0" fontId="12" fillId="9" borderId="1989" applyNumberFormat="0">
      <protection locked="0"/>
    </xf>
    <xf numFmtId="0" fontId="12" fillId="9" borderId="1981" applyBorder="0">
      <protection locked="0"/>
    </xf>
    <xf numFmtId="0" fontId="12" fillId="2" borderId="1991" applyNumberFormat="0" applyFont="0" applyAlignment="0" applyProtection="0"/>
    <xf numFmtId="0" fontId="12" fillId="9" borderId="1981" applyBorder="0">
      <protection locked="0"/>
    </xf>
    <xf numFmtId="0" fontId="12" fillId="2" borderId="1991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9" borderId="1992" applyNumberFormat="0">
      <protection locked="0"/>
    </xf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91" applyNumberFormat="0" applyFont="0" applyAlignment="0" applyProtection="0"/>
    <xf numFmtId="0" fontId="12" fillId="2" borderId="1991" applyNumberFormat="0" applyFont="0" applyAlignment="0" applyProtection="0"/>
    <xf numFmtId="0" fontId="12" fillId="2" borderId="1988" applyNumberFormat="0" applyFont="0" applyAlignment="0" applyProtection="0"/>
    <xf numFmtId="0" fontId="12" fillId="2" borderId="1988" applyNumberFormat="0" applyFont="0" applyAlignment="0" applyProtection="0"/>
    <xf numFmtId="0" fontId="12" fillId="2" borderId="1993" applyNumberFormat="0" applyFont="0" applyAlignment="0" applyProtection="0"/>
    <xf numFmtId="0" fontId="12" fillId="9" borderId="1994" applyNumberFormat="0">
      <protection locked="0"/>
    </xf>
    <xf numFmtId="0" fontId="12" fillId="9" borderId="1990" applyBorder="0">
      <protection locked="0"/>
    </xf>
    <xf numFmtId="0" fontId="12" fillId="2" borderId="1993" applyNumberFormat="0" applyFont="0" applyAlignment="0" applyProtection="0"/>
    <xf numFmtId="0" fontId="12" fillId="9" borderId="1990" applyBorder="0">
      <protection locked="0"/>
    </xf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9" borderId="1994" applyNumberFormat="0">
      <protection locked="0"/>
    </xf>
    <xf numFmtId="0" fontId="12" fillId="9" borderId="1990" applyBorder="0">
      <protection locked="0"/>
    </xf>
    <xf numFmtId="0" fontId="12" fillId="9" borderId="1990" applyBorder="0">
      <protection locked="0"/>
    </xf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9" borderId="1994" applyNumberFormat="0">
      <protection locked="0"/>
    </xf>
    <xf numFmtId="0" fontId="12" fillId="9" borderId="1990" applyBorder="0">
      <protection locked="0"/>
    </xf>
    <xf numFmtId="0" fontId="12" fillId="2" borderId="1993" applyNumberFormat="0" applyFont="0" applyAlignment="0" applyProtection="0"/>
    <xf numFmtId="0" fontId="12" fillId="9" borderId="1990" applyBorder="0">
      <protection locked="0"/>
    </xf>
    <xf numFmtId="0" fontId="12" fillId="2" borderId="1993" applyNumberFormat="0" applyFont="0" applyAlignment="0" applyProtection="0"/>
    <xf numFmtId="0" fontId="12" fillId="9" borderId="1994" applyNumberFormat="0">
      <protection locked="0"/>
    </xf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2078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9" borderId="1994" applyNumberFormat="0">
      <protection locked="0"/>
    </xf>
    <xf numFmtId="0" fontId="12" fillId="9" borderId="1990" applyBorder="0">
      <protection locked="0"/>
    </xf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9" borderId="1990" applyBorder="0">
      <protection locked="0"/>
    </xf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9" borderId="1990" applyBorder="0">
      <protection locked="0"/>
    </xf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9" borderId="1990" applyBorder="0">
      <protection locked="0"/>
    </xf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9" borderId="1990" applyBorder="0">
      <protection locked="0"/>
    </xf>
    <xf numFmtId="0" fontId="12" fillId="2" borderId="1993" applyNumberFormat="0" applyFont="0" applyAlignment="0" applyProtection="0"/>
    <xf numFmtId="0" fontId="12" fillId="9" borderId="1990" applyBorder="0">
      <protection locked="0"/>
    </xf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5" applyBorder="0">
      <protection locked="0"/>
    </xf>
    <xf numFmtId="0" fontId="12" fillId="9" borderId="1995" applyBorder="0">
      <protection locked="0"/>
    </xf>
    <xf numFmtId="0" fontId="12" fillId="9" borderId="1994" applyNumberFormat="0">
      <protection locked="0"/>
    </xf>
    <xf numFmtId="0" fontId="12" fillId="2" borderId="1996" applyNumberFormat="0" applyFont="0" applyAlignment="0" applyProtection="0"/>
    <xf numFmtId="0" fontId="12" fillId="9" borderId="1994" applyNumberFormat="0">
      <protection locked="0"/>
    </xf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4" applyNumberFormat="0">
      <protection locked="0"/>
    </xf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4" applyNumberFormat="0">
      <protection locked="0"/>
    </xf>
    <xf numFmtId="0" fontId="12" fillId="2" borderId="1996" applyNumberFormat="0" applyFont="0" applyAlignment="0" applyProtection="0"/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4" applyNumberFormat="0">
      <protection locked="0"/>
    </xf>
    <xf numFmtId="0" fontId="12" fillId="9" borderId="1995" applyBorder="0">
      <protection locked="0"/>
    </xf>
    <xf numFmtId="0" fontId="12" fillId="9" borderId="1994" applyNumberFormat="0">
      <protection locked="0"/>
    </xf>
    <xf numFmtId="0" fontId="12" fillId="2" borderId="1996" applyNumberFormat="0" applyFont="0" applyAlignment="0" applyProtection="0"/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4" applyNumberFormat="0">
      <protection locked="0"/>
    </xf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4" applyNumberFormat="0">
      <protection locked="0"/>
    </xf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5" applyBorder="0">
      <protection locked="0"/>
    </xf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7" applyNumberFormat="0">
      <protection locked="0"/>
    </xf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7" applyNumberFormat="0">
      <protection locked="0"/>
    </xf>
    <xf numFmtId="0" fontId="12" fillId="2" borderId="1996" applyNumberFormat="0" applyFont="0" applyAlignment="0" applyProtection="0"/>
    <xf numFmtId="0" fontId="12" fillId="2" borderId="1993" applyNumberFormat="0" applyFont="0" applyAlignment="0" applyProtection="0"/>
    <xf numFmtId="0" fontId="12" fillId="2" borderId="1993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3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7" applyNumberFormat="0">
      <protection locked="0"/>
    </xf>
    <xf numFmtId="0" fontId="12" fillId="9" borderId="1990" applyBorder="0">
      <protection locked="0"/>
    </xf>
    <xf numFmtId="0" fontId="12" fillId="2" borderId="1996" applyNumberFormat="0" applyFont="0" applyAlignment="0" applyProtection="0"/>
    <xf numFmtId="0" fontId="12" fillId="9" borderId="1990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7" applyNumberFormat="0">
      <protection locked="0"/>
    </xf>
    <xf numFmtId="0" fontId="12" fillId="9" borderId="1990" applyBorder="0">
      <protection locked="0"/>
    </xf>
    <xf numFmtId="0" fontId="12" fillId="2" borderId="1996" applyNumberFormat="0" applyFont="0" applyAlignment="0" applyProtection="0"/>
    <xf numFmtId="0" fontId="12" fillId="9" borderId="1990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7" applyNumberFormat="0">
      <protection locked="0"/>
    </xf>
    <xf numFmtId="0" fontId="12" fillId="9" borderId="1990" applyBorder="0">
      <protection locked="0"/>
    </xf>
    <xf numFmtId="0" fontId="12" fillId="2" borderId="1996" applyNumberFormat="0" applyFont="0" applyAlignment="0" applyProtection="0"/>
    <xf numFmtId="0" fontId="12" fillId="9" borderId="1990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7" applyNumberFormat="0">
      <protection locked="0"/>
    </xf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9" borderId="1995" applyBorder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9" borderId="1997" applyNumberFormat="0">
      <protection locked="0"/>
    </xf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96" applyNumberFormat="0" applyFont="0" applyAlignment="0" applyProtection="0"/>
    <xf numFmtId="0" fontId="12" fillId="2" borderId="1965" applyNumberFormat="0" applyFont="0" applyAlignment="0" applyProtection="0"/>
    <xf numFmtId="0" fontId="12" fillId="9" borderId="1998" applyNumberFormat="0">
      <protection locked="0"/>
    </xf>
    <xf numFmtId="0" fontId="12" fillId="9" borderId="1990" applyBorder="0">
      <protection locked="0"/>
    </xf>
    <xf numFmtId="0" fontId="12" fillId="2" borderId="1965" applyNumberFormat="0" applyFont="0" applyAlignment="0" applyProtection="0"/>
    <xf numFmtId="0" fontId="12" fillId="9" borderId="1990" applyBorder="0">
      <protection locked="0"/>
    </xf>
    <xf numFmtId="0" fontId="12" fillId="2" borderId="1965" applyNumberFormat="0" applyFont="0" applyAlignment="0" applyProtection="0"/>
    <xf numFmtId="0" fontId="12" fillId="2" borderId="1965" applyNumberFormat="0" applyFont="0" applyAlignment="0" applyProtection="0"/>
    <xf numFmtId="0" fontId="12" fillId="2" borderId="1965" applyNumberFormat="0" applyFont="0" applyAlignment="0" applyProtection="0"/>
    <xf numFmtId="0" fontId="12" fillId="2" borderId="1769" applyNumberFormat="0" applyFont="0" applyAlignment="0" applyProtection="0"/>
    <xf numFmtId="0" fontId="12" fillId="2" borderId="1982" applyNumberFormat="0" applyFont="0" applyAlignment="0" applyProtection="0"/>
    <xf numFmtId="0" fontId="12" fillId="9" borderId="2001" applyBorder="0">
      <protection locked="0"/>
    </xf>
    <xf numFmtId="0" fontId="12" fillId="9" borderId="2001" applyBorder="0">
      <protection locked="0"/>
    </xf>
    <xf numFmtId="0" fontId="12" fillId="9" borderId="2000" applyNumberFormat="0">
      <protection locked="0"/>
    </xf>
    <xf numFmtId="0" fontId="12" fillId="2" borderId="1982" applyNumberFormat="0" applyFont="0" applyAlignment="0" applyProtection="0"/>
    <xf numFmtId="0" fontId="12" fillId="9" borderId="2000" applyNumberFormat="0">
      <protection locked="0"/>
    </xf>
    <xf numFmtId="0" fontId="12" fillId="9" borderId="1999" applyBorder="0">
      <protection locked="0"/>
    </xf>
    <xf numFmtId="0" fontId="12" fillId="2" borderId="1982" applyNumberFormat="0" applyFont="0" applyAlignment="0" applyProtection="0"/>
    <xf numFmtId="0" fontId="12" fillId="2" borderId="1982" applyNumberFormat="0" applyFont="0" applyAlignment="0" applyProtection="0"/>
    <xf numFmtId="0" fontId="12" fillId="9" borderId="1999" applyBorder="0">
      <protection locked="0"/>
    </xf>
    <xf numFmtId="0" fontId="12" fillId="2" borderId="1982" applyNumberFormat="0" applyFont="0" applyAlignment="0" applyProtection="0"/>
    <xf numFmtId="0" fontId="12" fillId="2" borderId="1982" applyNumberFormat="0" applyFont="0" applyAlignment="0" applyProtection="0"/>
    <xf numFmtId="0" fontId="12" fillId="2" borderId="1982" applyNumberFormat="0" applyFont="0" applyAlignment="0" applyProtection="0"/>
    <xf numFmtId="0" fontId="12" fillId="2" borderId="1982" applyNumberFormat="0" applyFont="0" applyAlignment="0" applyProtection="0"/>
    <xf numFmtId="0" fontId="12" fillId="2" borderId="1982" applyNumberFormat="0" applyFont="0" applyAlignment="0" applyProtection="0"/>
    <xf numFmtId="0" fontId="12" fillId="2" borderId="1982" applyNumberFormat="0" applyFont="0" applyAlignment="0" applyProtection="0"/>
    <xf numFmtId="0" fontId="12" fillId="2" borderId="1982" applyNumberFormat="0" applyFont="0" applyAlignment="0" applyProtection="0"/>
    <xf numFmtId="0" fontId="12" fillId="2" borderId="1982" applyNumberFormat="0" applyFont="0" applyAlignment="0" applyProtection="0"/>
    <xf numFmtId="0" fontId="12" fillId="2" borderId="2002" applyNumberFormat="0" applyFont="0" applyAlignment="0" applyProtection="0"/>
    <xf numFmtId="0" fontId="12" fillId="2" borderId="2017" applyNumberFormat="0" applyFont="0" applyAlignment="0" applyProtection="0"/>
    <xf numFmtId="0" fontId="12" fillId="9" borderId="2077" applyBorder="0">
      <protection locked="0"/>
    </xf>
    <xf numFmtId="0" fontId="12" fillId="2" borderId="2017" applyNumberFormat="0" applyFont="0" applyAlignment="0" applyProtection="0"/>
    <xf numFmtId="0" fontId="12" fillId="2" borderId="2081" applyNumberFormat="0" applyFont="0" applyAlignment="0" applyProtection="0"/>
    <xf numFmtId="0" fontId="12" fillId="2" borderId="2017" applyNumberFormat="0" applyFont="0" applyAlignment="0" applyProtection="0"/>
    <xf numFmtId="0" fontId="12" fillId="2" borderId="2048" applyNumberFormat="0" applyFont="0" applyAlignment="0" applyProtection="0"/>
    <xf numFmtId="0" fontId="12" fillId="9" borderId="2019" applyNumberFormat="0">
      <protection locked="0"/>
    </xf>
    <xf numFmtId="0" fontId="12" fillId="9" borderId="2020" applyBorder="0">
      <protection locked="0"/>
    </xf>
    <xf numFmtId="0" fontId="12" fillId="9" borderId="2020" applyBorder="0">
      <protection locked="0"/>
    </xf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9" borderId="2019" applyNumberFormat="0">
      <protection locked="0"/>
    </xf>
    <xf numFmtId="0" fontId="12" fillId="9" borderId="2001" applyBorder="0">
      <protection locked="0"/>
    </xf>
    <xf numFmtId="0" fontId="12" fillId="2" borderId="2018" applyNumberFormat="0" applyFont="0" applyAlignment="0" applyProtection="0"/>
    <xf numFmtId="0" fontId="12" fillId="9" borderId="2001" applyBorder="0">
      <protection locked="0"/>
    </xf>
    <xf numFmtId="0" fontId="12" fillId="2" borderId="2018" applyNumberFormat="0" applyFont="0" applyAlignment="0" applyProtection="0"/>
    <xf numFmtId="0" fontId="12" fillId="9" borderId="2019" applyNumberFormat="0">
      <protection locked="0"/>
    </xf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9" borderId="2019" applyNumberFormat="0">
      <protection locked="0"/>
    </xf>
    <xf numFmtId="0" fontId="12" fillId="9" borderId="2001" applyBorder="0">
      <protection locked="0"/>
    </xf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9" borderId="2001" applyBorder="0">
      <protection locked="0"/>
    </xf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9" borderId="2001" applyBorder="0">
      <protection locked="0"/>
    </xf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2" borderId="2018" applyNumberFormat="0" applyFont="0" applyAlignment="0" applyProtection="0"/>
    <xf numFmtId="0" fontId="12" fillId="9" borderId="2001" applyBorder="0">
      <protection locked="0"/>
    </xf>
    <xf numFmtId="0" fontId="12" fillId="2" borderId="2018" applyNumberFormat="0" applyFont="0" applyAlignment="0" applyProtection="0"/>
    <xf numFmtId="0" fontId="12" fillId="2" borderId="2021" applyNumberFormat="0" applyFont="0" applyAlignment="0" applyProtection="0"/>
    <xf numFmtId="0" fontId="12" fillId="2" borderId="2023" applyNumberFormat="0" applyFont="0" applyAlignment="0" applyProtection="0"/>
    <xf numFmtId="0" fontId="12" fillId="9" borderId="2022" applyBorder="0">
      <protection locked="0"/>
    </xf>
    <xf numFmtId="0" fontId="12" fillId="2" borderId="2018" applyNumberFormat="0" applyFont="0" applyAlignment="0" applyProtection="0"/>
    <xf numFmtId="0" fontId="12" fillId="9" borderId="2022" applyBorder="0">
      <protection locked="0"/>
    </xf>
    <xf numFmtId="0" fontId="12" fillId="2" borderId="2023" applyNumberFormat="0" applyFont="0" applyAlignment="0" applyProtection="0"/>
    <xf numFmtId="0" fontId="12" fillId="2" borderId="2023" applyNumberFormat="0" applyFont="0" applyAlignment="0" applyProtection="0"/>
    <xf numFmtId="0" fontId="12" fillId="2" borderId="2023" applyNumberFormat="0" applyFont="0" applyAlignment="0" applyProtection="0"/>
    <xf numFmtId="0" fontId="12" fillId="2" borderId="2023" applyNumberFormat="0" applyFont="0" applyAlignment="0" applyProtection="0"/>
    <xf numFmtId="0" fontId="12" fillId="2" borderId="2023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9" borderId="2026" applyBorder="0">
      <protection locked="0"/>
    </xf>
    <xf numFmtId="0" fontId="12" fillId="9" borderId="2026" applyBorder="0">
      <protection locked="0"/>
    </xf>
    <xf numFmtId="0" fontId="12" fillId="9" borderId="2025" applyNumberFormat="0">
      <protection locked="0"/>
    </xf>
    <xf numFmtId="0" fontId="12" fillId="2" borderId="2024" applyNumberFormat="0" applyFont="0" applyAlignment="0" applyProtection="0"/>
    <xf numFmtId="0" fontId="12" fillId="9" borderId="2025" applyNumberFormat="0">
      <protection locked="0"/>
    </xf>
    <xf numFmtId="0" fontId="12" fillId="9" borderId="2009" applyBorder="0">
      <protection locked="0"/>
    </xf>
    <xf numFmtId="0" fontId="12" fillId="2" borderId="2027" applyNumberFormat="0" applyFont="0" applyAlignment="0" applyProtection="0"/>
    <xf numFmtId="0" fontId="12" fillId="9" borderId="2026" applyBorder="0">
      <protection locked="0"/>
    </xf>
    <xf numFmtId="0" fontId="12" fillId="2" borderId="2024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4" applyNumberFormat="0" applyFont="0" applyAlignment="0" applyProtection="0"/>
    <xf numFmtId="0" fontId="12" fillId="9" borderId="2025" applyNumberFormat="0">
      <protection locked="0"/>
    </xf>
    <xf numFmtId="0" fontId="12" fillId="9" borderId="2009" applyBorder="0">
      <protection locked="0"/>
    </xf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4" applyNumberFormat="0" applyFont="0" applyAlignment="0" applyProtection="0"/>
    <xf numFmtId="0" fontId="12" fillId="9" borderId="2009" applyBorder="0">
      <protection locked="0"/>
    </xf>
    <xf numFmtId="0" fontId="12" fillId="2" borderId="2024" applyNumberFormat="0" applyFont="0" applyAlignment="0" applyProtection="0"/>
    <xf numFmtId="0" fontId="12" fillId="2" borderId="2024" applyNumberFormat="0" applyFont="0" applyAlignment="0" applyProtection="0"/>
    <xf numFmtId="0" fontId="12" fillId="2" borderId="2024" applyNumberFormat="0" applyFont="0" applyAlignment="0" applyProtection="0"/>
    <xf numFmtId="0" fontId="12" fillId="2" borderId="2024" applyNumberFormat="0" applyFont="0" applyAlignment="0" applyProtection="0"/>
    <xf numFmtId="0" fontId="12" fillId="9" borderId="2025" applyNumberFormat="0">
      <protection locked="0"/>
    </xf>
    <xf numFmtId="0" fontId="12" fillId="2" borderId="2027" applyNumberFormat="0" applyFont="0" applyAlignment="0" applyProtection="0"/>
    <xf numFmtId="0" fontId="12" fillId="9" borderId="2026" applyBorder="0">
      <protection locked="0"/>
    </xf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9" borderId="2025" applyNumberFormat="0">
      <protection locked="0"/>
    </xf>
    <xf numFmtId="0" fontId="12" fillId="9" borderId="2026" applyBorder="0">
      <protection locked="0"/>
    </xf>
    <xf numFmtId="0" fontId="12" fillId="9" borderId="2025" applyNumberFormat="0">
      <protection locked="0"/>
    </xf>
    <xf numFmtId="0" fontId="12" fillId="2" borderId="2027" applyNumberFormat="0" applyFont="0" applyAlignment="0" applyProtection="0"/>
    <xf numFmtId="0" fontId="12" fillId="9" borderId="2026" applyBorder="0">
      <protection locked="0"/>
    </xf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9" borderId="2025" applyNumberFormat="0">
      <protection locked="0"/>
    </xf>
    <xf numFmtId="0" fontId="12" fillId="9" borderId="2026" applyBorder="0">
      <protection locked="0"/>
    </xf>
    <xf numFmtId="0" fontId="12" fillId="2" borderId="2027" applyNumberFormat="0" applyFont="0" applyAlignment="0" applyProtection="0"/>
    <xf numFmtId="0" fontId="12" fillId="9" borderId="2026" applyBorder="0">
      <protection locked="0"/>
    </xf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9" borderId="2026" applyBorder="0">
      <protection locked="0"/>
    </xf>
    <xf numFmtId="0" fontId="12" fillId="2" borderId="2027" applyNumberFormat="0" applyFont="0" applyAlignment="0" applyProtection="0"/>
    <xf numFmtId="0" fontId="12" fillId="9" borderId="2026" applyBorder="0">
      <protection locked="0"/>
    </xf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9" borderId="2025" applyNumberFormat="0">
      <protection locked="0"/>
    </xf>
    <xf numFmtId="0" fontId="12" fillId="9" borderId="2026" applyBorder="0">
      <protection locked="0"/>
    </xf>
    <xf numFmtId="0" fontId="12" fillId="2" borderId="2027" applyNumberFormat="0" applyFont="0" applyAlignment="0" applyProtection="0"/>
    <xf numFmtId="0" fontId="12" fillId="9" borderId="2026" applyBorder="0">
      <protection locked="0"/>
    </xf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9" borderId="2026" applyBorder="0">
      <protection locked="0"/>
    </xf>
    <xf numFmtId="0" fontId="12" fillId="9" borderId="2026" applyBorder="0">
      <protection locked="0"/>
    </xf>
    <xf numFmtId="0" fontId="12" fillId="2" borderId="2027" applyNumberFormat="0" applyFont="0" applyAlignment="0" applyProtection="0"/>
    <xf numFmtId="0" fontId="12" fillId="2" borderId="2027" applyNumberFormat="0" applyFont="0" applyAlignment="0" applyProtection="0"/>
    <xf numFmtId="0" fontId="12" fillId="2" borderId="2029" applyNumberFormat="0" applyFont="0" applyAlignment="0" applyProtection="0"/>
    <xf numFmtId="0" fontId="12" fillId="9" borderId="2030" applyNumberFormat="0">
      <protection locked="0"/>
    </xf>
    <xf numFmtId="0" fontId="12" fillId="9" borderId="2026" applyBorder="0">
      <protection locked="0"/>
    </xf>
    <xf numFmtId="0" fontId="12" fillId="2" borderId="2029" applyNumberFormat="0" applyFont="0" applyAlignment="0" applyProtection="0"/>
    <xf numFmtId="0" fontId="12" fillId="9" borderId="2026" applyBorder="0">
      <protection locked="0"/>
    </xf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48" applyNumberFormat="0" applyFont="0" applyAlignment="0" applyProtection="0"/>
    <xf numFmtId="0" fontId="12" fillId="2" borderId="2029" applyNumberFormat="0" applyFont="0" applyAlignment="0" applyProtection="0"/>
    <xf numFmtId="0" fontId="12" fillId="9" borderId="2030" applyNumberFormat="0">
      <protection locked="0"/>
    </xf>
    <xf numFmtId="0" fontId="12" fillId="2" borderId="2029" applyNumberFormat="0" applyFont="0" applyAlignment="0" applyProtection="0"/>
    <xf numFmtId="0" fontId="12" fillId="2" borderId="2023" applyNumberFormat="0" applyFont="0" applyAlignment="0" applyProtection="0"/>
    <xf numFmtId="0" fontId="12" fillId="2" borderId="2023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3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9" borderId="2030" applyNumberFormat="0">
      <protection locked="0"/>
    </xf>
    <xf numFmtId="0" fontId="12" fillId="9" borderId="2026" applyBorder="0">
      <protection locked="0"/>
    </xf>
    <xf numFmtId="0" fontId="12" fillId="2" borderId="2029" applyNumberFormat="0" applyFont="0" applyAlignment="0" applyProtection="0"/>
    <xf numFmtId="0" fontId="12" fillId="9" borderId="2026" applyBorder="0">
      <protection locked="0"/>
    </xf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9" borderId="2030" applyNumberFormat="0">
      <protection locked="0"/>
    </xf>
    <xf numFmtId="0" fontId="12" fillId="9" borderId="2026" applyBorder="0">
      <protection locked="0"/>
    </xf>
    <xf numFmtId="0" fontId="12" fillId="2" borderId="2029" applyNumberFormat="0" applyFont="0" applyAlignment="0" applyProtection="0"/>
    <xf numFmtId="0" fontId="12" fillId="9" borderId="2026" applyBorder="0">
      <protection locked="0"/>
    </xf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9" borderId="2030" applyNumberFormat="0">
      <protection locked="0"/>
    </xf>
    <xf numFmtId="0" fontId="12" fillId="9" borderId="2026" applyBorder="0">
      <protection locked="0"/>
    </xf>
    <xf numFmtId="0" fontId="12" fillId="2" borderId="2029" applyNumberFormat="0" applyFont="0" applyAlignment="0" applyProtection="0"/>
    <xf numFmtId="0" fontId="12" fillId="9" borderId="2026" applyBorder="0">
      <protection locked="0"/>
    </xf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31" applyNumberFormat="0" applyFont="0" applyAlignment="0" applyProtection="0"/>
    <xf numFmtId="0" fontId="12" fillId="9" borderId="2030" applyNumberFormat="0">
      <protection locked="0"/>
    </xf>
    <xf numFmtId="0" fontId="12" fillId="9" borderId="2028" applyBorder="0">
      <protection locked="0"/>
    </xf>
    <xf numFmtId="0" fontId="12" fillId="2" borderId="2031" applyNumberFormat="0" applyFont="0" applyAlignment="0" applyProtection="0"/>
    <xf numFmtId="0" fontId="12" fillId="9" borderId="2028" applyBorder="0">
      <protection locked="0"/>
    </xf>
    <xf numFmtId="0" fontId="12" fillId="2" borderId="2031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9" borderId="2030" applyNumberFormat="0">
      <protection locked="0"/>
    </xf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29" applyNumberFormat="0" applyFont="0" applyAlignment="0" applyProtection="0"/>
    <xf numFmtId="0" fontId="12" fillId="2" borderId="2032" applyNumberFormat="0" applyFont="0" applyAlignment="0" applyProtection="0"/>
    <xf numFmtId="0" fontId="12" fillId="9" borderId="2033" applyNumberFormat="0">
      <protection locked="0"/>
    </xf>
    <xf numFmtId="0" fontId="12" fillId="9" borderId="2028" applyBorder="0">
      <protection locked="0"/>
    </xf>
    <xf numFmtId="0" fontId="12" fillId="2" borderId="2032" applyNumberFormat="0" applyFont="0" applyAlignment="0" applyProtection="0"/>
    <xf numFmtId="0" fontId="12" fillId="9" borderId="2028" applyBorder="0">
      <protection locked="0"/>
    </xf>
    <xf numFmtId="0" fontId="12" fillId="2" borderId="2032" applyNumberFormat="0" applyFont="0" applyAlignment="0" applyProtection="0"/>
    <xf numFmtId="0" fontId="12" fillId="2" borderId="2032" applyNumberFormat="0" applyFont="0" applyAlignment="0" applyProtection="0"/>
    <xf numFmtId="0" fontId="12" fillId="2" borderId="2032" applyNumberFormat="0" applyFont="0" applyAlignment="0" applyProtection="0"/>
    <xf numFmtId="0" fontId="12" fillId="2" borderId="2034" applyNumberFormat="0" applyFont="0" applyAlignment="0" applyProtection="0"/>
    <xf numFmtId="0" fontId="12" fillId="9" borderId="2036" applyNumberFormat="0">
      <protection locked="0"/>
    </xf>
    <xf numFmtId="0" fontId="12" fillId="9" borderId="2037" applyBorder="0">
      <protection locked="0"/>
    </xf>
    <xf numFmtId="0" fontId="12" fillId="9" borderId="2037" applyBorder="0">
      <protection locked="0"/>
    </xf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9" borderId="2036" applyNumberFormat="0">
      <protection locked="0"/>
    </xf>
    <xf numFmtId="0" fontId="12" fillId="9" borderId="2028" applyBorder="0">
      <protection locked="0"/>
    </xf>
    <xf numFmtId="0" fontId="12" fillId="2" borderId="2035" applyNumberFormat="0" applyFont="0" applyAlignment="0" applyProtection="0"/>
    <xf numFmtId="0" fontId="12" fillId="9" borderId="2028" applyBorder="0">
      <protection locked="0"/>
    </xf>
    <xf numFmtId="0" fontId="12" fillId="2" borderId="2035" applyNumberFormat="0" applyFont="0" applyAlignment="0" applyProtection="0"/>
    <xf numFmtId="0" fontId="12" fillId="9" borderId="2036" applyNumberFormat="0">
      <protection locked="0"/>
    </xf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9" borderId="2036" applyNumberFormat="0">
      <protection locked="0"/>
    </xf>
    <xf numFmtId="0" fontId="12" fillId="9" borderId="2037" applyBorder="0">
      <protection locked="0"/>
    </xf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9" borderId="2037" applyBorder="0">
      <protection locked="0"/>
    </xf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9" borderId="2037" applyBorder="0">
      <protection locked="0"/>
    </xf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9" borderId="2037" applyBorder="0">
      <protection locked="0"/>
    </xf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9" borderId="2037" applyBorder="0">
      <protection locked="0"/>
    </xf>
    <xf numFmtId="0" fontId="12" fillId="2" borderId="2035" applyNumberFormat="0" applyFont="0" applyAlignment="0" applyProtection="0"/>
    <xf numFmtId="0" fontId="12" fillId="9" borderId="2037" applyBorder="0">
      <protection locked="0"/>
    </xf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43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9" borderId="2037" applyBorder="0">
      <protection locked="0"/>
    </xf>
    <xf numFmtId="0" fontId="12" fillId="9" borderId="2038" applyNumberFormat="0">
      <protection locked="0"/>
    </xf>
    <xf numFmtId="0" fontId="12" fillId="2" borderId="2031" applyNumberFormat="0" applyFont="0" applyAlignment="0" applyProtection="0"/>
    <xf numFmtId="0" fontId="12" fillId="9" borderId="2038" applyNumberFormat="0">
      <protection locked="0"/>
    </xf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8" applyNumberFormat="0">
      <protection locked="0"/>
    </xf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8" applyNumberFormat="0">
      <protection locked="0"/>
    </xf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8" applyNumberFormat="0">
      <protection locked="0"/>
    </xf>
    <xf numFmtId="0" fontId="12" fillId="9" borderId="2037" applyBorder="0">
      <protection locked="0"/>
    </xf>
    <xf numFmtId="0" fontId="12" fillId="9" borderId="2038" applyNumberFormat="0">
      <protection locked="0"/>
    </xf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8" applyNumberFormat="0">
      <protection locked="0"/>
    </xf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8" applyNumberFormat="0">
      <protection locked="0"/>
    </xf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8" applyNumberFormat="0">
      <protection locked="0"/>
    </xf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8" applyNumberFormat="0">
      <protection locked="0"/>
    </xf>
    <xf numFmtId="0" fontId="12" fillId="2" borderId="2031" applyNumberFormat="0" applyFont="0" applyAlignment="0" applyProtection="0"/>
    <xf numFmtId="0" fontId="12" fillId="2" borderId="2035" applyNumberFormat="0" applyFont="0" applyAlignment="0" applyProtection="0"/>
    <xf numFmtId="0" fontId="12" fillId="2" borderId="2035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5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8" applyNumberFormat="0">
      <protection locked="0"/>
    </xf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8" applyNumberFormat="0">
      <protection locked="0"/>
    </xf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8" applyNumberFormat="0">
      <protection locked="0"/>
    </xf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9" borderId="2037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9" applyNumberFormat="0" applyFont="0" applyAlignment="0" applyProtection="0"/>
    <xf numFmtId="0" fontId="12" fillId="9" borderId="2038" applyNumberFormat="0">
      <protection locked="0"/>
    </xf>
    <xf numFmtId="0" fontId="12" fillId="9" borderId="2037" applyBorder="0">
      <protection locked="0"/>
    </xf>
    <xf numFmtId="0" fontId="12" fillId="2" borderId="2039" applyNumberFormat="0" applyFont="0" applyAlignment="0" applyProtection="0"/>
    <xf numFmtId="0" fontId="12" fillId="9" borderId="2037" applyBorder="0">
      <protection locked="0"/>
    </xf>
    <xf numFmtId="0" fontId="12" fillId="2" borderId="2039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38" applyNumberFormat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40" applyNumberFormat="0" applyFont="0" applyAlignment="0" applyProtection="0"/>
    <xf numFmtId="0" fontId="12" fillId="9" borderId="2042" applyNumberFormat="0">
      <protection locked="0"/>
    </xf>
    <xf numFmtId="0" fontId="12" fillId="9" borderId="2041" applyBorder="0">
      <protection locked="0"/>
    </xf>
    <xf numFmtId="0" fontId="12" fillId="2" borderId="2040" applyNumberFormat="0" applyFont="0" applyAlignment="0" applyProtection="0"/>
    <xf numFmtId="0" fontId="12" fillId="9" borderId="2041" applyBorder="0">
      <protection locked="0"/>
    </xf>
    <xf numFmtId="0" fontId="12" fillId="2" borderId="2040" applyNumberFormat="0" applyFont="0" applyAlignment="0" applyProtection="0"/>
    <xf numFmtId="0" fontId="12" fillId="2" borderId="2040" applyNumberFormat="0" applyFont="0" applyAlignment="0" applyProtection="0"/>
    <xf numFmtId="0" fontId="12" fillId="2" borderId="2040" applyNumberFormat="0" applyFont="0" applyAlignment="0" applyProtection="0"/>
    <xf numFmtId="0" fontId="12" fillId="9" borderId="2044" applyBorder="0">
      <protection locked="0"/>
    </xf>
    <xf numFmtId="0" fontId="12" fillId="2" borderId="2040" applyNumberFormat="0" applyFont="0" applyAlignment="0" applyProtection="0"/>
    <xf numFmtId="0" fontId="12" fillId="2" borderId="2031" applyNumberFormat="0" applyFont="0" applyAlignment="0" applyProtection="0"/>
    <xf numFmtId="0" fontId="12" fillId="9" borderId="2041" applyBorder="0">
      <protection locked="0"/>
    </xf>
    <xf numFmtId="0" fontId="12" fillId="9" borderId="2041" applyBorder="0">
      <protection locked="0"/>
    </xf>
    <xf numFmtId="0" fontId="12" fillId="9" borderId="2038" applyNumberFormat="0">
      <protection locked="0"/>
    </xf>
    <xf numFmtId="0" fontId="12" fillId="2" borderId="2031" applyNumberFormat="0" applyFont="0" applyAlignment="0" applyProtection="0"/>
    <xf numFmtId="0" fontId="12" fillId="9" borderId="2038" applyNumberFormat="0">
      <protection locked="0"/>
    </xf>
    <xf numFmtId="0" fontId="12" fillId="9" borderId="2041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9" borderId="2041" applyBorder="0">
      <protection locked="0"/>
    </xf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31" applyNumberFormat="0" applyFont="0" applyAlignment="0" applyProtection="0"/>
    <xf numFmtId="0" fontId="12" fillId="2" borderId="2043" applyNumberFormat="0" applyFont="0" applyAlignment="0" applyProtection="0"/>
    <xf numFmtId="0" fontId="12" fillId="2" borderId="2043" applyNumberFormat="0" applyFont="0" applyAlignment="0" applyProtection="0"/>
    <xf numFmtId="0" fontId="12" fillId="2" borderId="2078" applyNumberFormat="0" applyFont="0" applyAlignment="0" applyProtection="0"/>
    <xf numFmtId="0" fontId="12" fillId="2" borderId="2052" applyNumberFormat="0" applyFont="0" applyAlignment="0" applyProtection="0"/>
    <xf numFmtId="0" fontId="12" fillId="9" borderId="2057" applyNumberFormat="0">
      <protection locked="0"/>
    </xf>
    <xf numFmtId="0" fontId="12" fillId="9" borderId="2047" applyBorder="0">
      <protection locked="0"/>
    </xf>
    <xf numFmtId="0" fontId="12" fillId="9" borderId="2047" applyBorder="0">
      <protection locked="0"/>
    </xf>
    <xf numFmtId="0" fontId="12" fillId="2" borderId="2056" applyNumberFormat="0" applyFont="0" applyAlignment="0" applyProtection="0"/>
    <xf numFmtId="0" fontId="12" fillId="2" borderId="2053" applyNumberFormat="0" applyFont="0" applyAlignment="0" applyProtection="0"/>
    <xf numFmtId="0" fontId="12" fillId="9" borderId="2054" applyNumberFormat="0">
      <protection locked="0"/>
    </xf>
    <xf numFmtId="0" fontId="12" fillId="9" borderId="2046" applyBorder="0">
      <protection locked="0"/>
    </xf>
    <xf numFmtId="0" fontId="12" fillId="2" borderId="2053" applyNumberFormat="0" applyFont="0" applyAlignment="0" applyProtection="0"/>
    <xf numFmtId="0" fontId="12" fillId="9" borderId="2046" applyBorder="0">
      <protection locked="0"/>
    </xf>
    <xf numFmtId="0" fontId="12" fillId="2" borderId="2053" applyNumberFormat="0" applyFont="0" applyAlignment="0" applyProtection="0"/>
    <xf numFmtId="0" fontId="12" fillId="9" borderId="2057" applyNumberFormat="0">
      <protection locked="0"/>
    </xf>
    <xf numFmtId="0" fontId="12" fillId="2" borderId="2053" applyNumberFormat="0" applyFont="0" applyAlignment="0" applyProtection="0"/>
    <xf numFmtId="0" fontId="12" fillId="2" borderId="2053" applyNumberFormat="0" applyFont="0" applyAlignment="0" applyProtection="0"/>
    <xf numFmtId="0" fontId="12" fillId="2" borderId="2056" applyNumberFormat="0" applyFont="0" applyAlignment="0" applyProtection="0"/>
    <xf numFmtId="0" fontId="12" fillId="2" borderId="2056" applyNumberFormat="0" applyFont="0" applyAlignment="0" applyProtection="0"/>
    <xf numFmtId="0" fontId="12" fillId="2" borderId="2053" applyNumberFormat="0" applyFont="0" applyAlignment="0" applyProtection="0"/>
    <xf numFmtId="0" fontId="12" fillId="9" borderId="2057" applyNumberFormat="0">
      <protection locked="0"/>
    </xf>
    <xf numFmtId="0" fontId="12" fillId="9" borderId="2055" applyBorder="0">
      <protection locked="0"/>
    </xf>
    <xf numFmtId="0" fontId="12" fillId="2" borderId="2056" applyNumberFormat="0" applyFont="0" applyAlignment="0" applyProtection="0"/>
    <xf numFmtId="0" fontId="12" fillId="2" borderId="2056" applyNumberFormat="0" applyFont="0" applyAlignment="0" applyProtection="0"/>
    <xf numFmtId="0" fontId="12" fillId="9" borderId="2055" applyBorder="0">
      <protection locked="0"/>
    </xf>
    <xf numFmtId="0" fontId="12" fillId="2" borderId="2056" applyNumberFormat="0" applyFont="0" applyAlignment="0" applyProtection="0"/>
    <xf numFmtId="0" fontId="12" fillId="2" borderId="2056" applyNumberFormat="0" applyFont="0" applyAlignment="0" applyProtection="0"/>
    <xf numFmtId="0" fontId="12" fillId="2" borderId="2056" applyNumberFormat="0" applyFont="0" applyAlignment="0" applyProtection="0"/>
    <xf numFmtId="0" fontId="12" fillId="2" borderId="2056" applyNumberFormat="0" applyFont="0" applyAlignment="0" applyProtection="0"/>
    <xf numFmtId="0" fontId="12" fillId="9" borderId="2046" applyBorder="0">
      <protection locked="0"/>
    </xf>
    <xf numFmtId="0" fontId="12" fillId="2" borderId="2056" applyNumberFormat="0" applyFont="0" applyAlignment="0" applyProtection="0"/>
    <xf numFmtId="0" fontId="12" fillId="2" borderId="2056" applyNumberFormat="0" applyFont="0" applyAlignment="0" applyProtection="0"/>
    <xf numFmtId="0" fontId="12" fillId="2" borderId="2056" applyNumberFormat="0" applyFont="0" applyAlignment="0" applyProtection="0"/>
    <xf numFmtId="0" fontId="12" fillId="2" borderId="2056" applyNumberFormat="0" applyFont="0" applyAlignment="0" applyProtection="0"/>
    <xf numFmtId="0" fontId="12" fillId="2" borderId="2056" applyNumberFormat="0" applyFont="0" applyAlignment="0" applyProtection="0"/>
    <xf numFmtId="0" fontId="12" fillId="2" borderId="2056" applyNumberFormat="0" applyFont="0" applyAlignment="0" applyProtection="0"/>
    <xf numFmtId="0" fontId="12" fillId="2" borderId="2056" applyNumberFormat="0" applyFont="0" applyAlignment="0" applyProtection="0"/>
    <xf numFmtId="0" fontId="12" fillId="9" borderId="2046" applyBorder="0">
      <protection locked="0"/>
    </xf>
    <xf numFmtId="0" fontId="12" fillId="2" borderId="2056" applyNumberFormat="0" applyFont="0" applyAlignment="0" applyProtection="0"/>
    <xf numFmtId="0" fontId="12" fillId="2" borderId="2056" applyNumberFormat="0" applyFont="0" applyAlignment="0" applyProtection="0"/>
    <xf numFmtId="0" fontId="12" fillId="2" borderId="2059" applyNumberFormat="0" applyFont="0" applyAlignment="0" applyProtection="0"/>
    <xf numFmtId="0" fontId="12" fillId="9" borderId="2058" applyBorder="0">
      <protection locked="0"/>
    </xf>
    <xf numFmtId="0" fontId="12" fillId="2" borderId="2056" applyNumberFormat="0" applyFont="0" applyAlignment="0" applyProtection="0"/>
    <xf numFmtId="0" fontId="12" fillId="9" borderId="2058" applyBorder="0">
      <protection locked="0"/>
    </xf>
    <xf numFmtId="0" fontId="12" fillId="2" borderId="2059" applyNumberFormat="0" applyFont="0" applyAlignment="0" applyProtection="0"/>
    <xf numFmtId="0" fontId="12" fillId="2" borderId="2059" applyNumberFormat="0" applyFont="0" applyAlignment="0" applyProtection="0"/>
    <xf numFmtId="0" fontId="12" fillId="2" borderId="2059" applyNumberFormat="0" applyFont="0" applyAlignment="0" applyProtection="0"/>
    <xf numFmtId="0" fontId="12" fillId="2" borderId="2059" applyNumberFormat="0" applyFont="0" applyAlignment="0" applyProtection="0"/>
    <xf numFmtId="0" fontId="12" fillId="2" borderId="2059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9" borderId="2046" applyBorder="0">
      <protection locked="0"/>
    </xf>
    <xf numFmtId="0" fontId="12" fillId="9" borderId="2046" applyBorder="0">
      <protection locked="0"/>
    </xf>
    <xf numFmtId="0" fontId="12" fillId="9" borderId="2061" applyNumberFormat="0">
      <protection locked="0"/>
    </xf>
    <xf numFmtId="0" fontId="12" fillId="2" borderId="2060" applyNumberFormat="0" applyFont="0" applyAlignment="0" applyProtection="0"/>
    <xf numFmtId="0" fontId="12" fillId="9" borderId="2061" applyNumberFormat="0">
      <protection locked="0"/>
    </xf>
    <xf numFmtId="0" fontId="12" fillId="9" borderId="2046" applyBorder="0">
      <protection locked="0"/>
    </xf>
    <xf numFmtId="0" fontId="12" fillId="2" borderId="2060" applyNumberFormat="0" applyFont="0" applyAlignment="0" applyProtection="0"/>
    <xf numFmtId="0" fontId="12" fillId="9" borderId="2046" applyBorder="0">
      <protection locked="0"/>
    </xf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3" applyNumberFormat="0" applyFont="0" applyAlignment="0" applyProtection="0"/>
    <xf numFmtId="0" fontId="12" fillId="9" borderId="2061" applyNumberFormat="0">
      <protection locked="0"/>
    </xf>
    <xf numFmtId="0" fontId="12" fillId="9" borderId="2062" applyBorder="0">
      <protection locked="0"/>
    </xf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3" applyNumberFormat="0" applyFont="0" applyAlignment="0" applyProtection="0"/>
    <xf numFmtId="0" fontId="12" fillId="9" borderId="2062" applyBorder="0">
      <protection locked="0"/>
    </xf>
    <xf numFmtId="0" fontId="12" fillId="2" borderId="2063" applyNumberFormat="0" applyFont="0" applyAlignment="0" applyProtection="0"/>
    <xf numFmtId="0" fontId="12" fillId="2" borderId="2063" applyNumberFormat="0" applyFont="0" applyAlignment="0" applyProtection="0"/>
    <xf numFmtId="0" fontId="12" fillId="2" borderId="2063" applyNumberFormat="0" applyFont="0" applyAlignment="0" applyProtection="0"/>
    <xf numFmtId="0" fontId="12" fillId="2" borderId="2063" applyNumberFormat="0" applyFont="0" applyAlignment="0" applyProtection="0"/>
    <xf numFmtId="0" fontId="12" fillId="9" borderId="2061" applyNumberFormat="0">
      <protection locked="0"/>
    </xf>
    <xf numFmtId="0" fontId="12" fillId="2" borderId="2060" applyNumberFormat="0" applyFont="0" applyAlignment="0" applyProtection="0"/>
    <xf numFmtId="0" fontId="12" fillId="9" borderId="2046" applyBorder="0">
      <protection locked="0"/>
    </xf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6" applyNumberFormat="0" applyFont="0" applyAlignment="0" applyProtection="0"/>
    <xf numFmtId="0" fontId="12" fillId="2" borderId="2064" applyNumberFormat="0" applyFont="0" applyAlignment="0" applyProtection="0"/>
    <xf numFmtId="0" fontId="12" fillId="9" borderId="2065" applyNumberFormat="0">
      <protection locked="0"/>
    </xf>
    <xf numFmtId="0" fontId="12" fillId="9" borderId="2062" applyBorder="0">
      <protection locked="0"/>
    </xf>
    <xf numFmtId="0" fontId="12" fillId="9" borderId="2067" applyNumberFormat="0">
      <protection locked="0"/>
    </xf>
    <xf numFmtId="0" fontId="12" fillId="2" borderId="2064" applyNumberFormat="0" applyFont="0" applyAlignment="0" applyProtection="0"/>
    <xf numFmtId="0" fontId="12" fillId="9" borderId="2062" applyBorder="0">
      <protection locked="0"/>
    </xf>
    <xf numFmtId="0" fontId="12" fillId="2" borderId="2064" applyNumberFormat="0" applyFont="0" applyAlignment="0" applyProtection="0"/>
    <xf numFmtId="0" fontId="12" fillId="2" borderId="2064" applyNumberFormat="0" applyFont="0" applyAlignment="0" applyProtection="0"/>
    <xf numFmtId="0" fontId="12" fillId="2" borderId="2064" applyNumberFormat="0" applyFont="0" applyAlignment="0" applyProtection="0"/>
    <xf numFmtId="0" fontId="12" fillId="2" borderId="2064" applyNumberFormat="0" applyFont="0" applyAlignment="0" applyProtection="0"/>
    <xf numFmtId="0" fontId="12" fillId="2" borderId="2066" applyNumberFormat="0" applyFont="0" applyAlignment="0" applyProtection="0"/>
    <xf numFmtId="0" fontId="12" fillId="9" borderId="2067" applyNumberFormat="0">
      <protection locked="0"/>
    </xf>
    <xf numFmtId="0" fontId="12" fillId="9" borderId="2062" applyBorder="0">
      <protection locked="0"/>
    </xf>
    <xf numFmtId="0" fontId="12" fillId="2" borderId="2066" applyNumberFormat="0" applyFont="0" applyAlignment="0" applyProtection="0"/>
    <xf numFmtId="0" fontId="12" fillId="9" borderId="2062" applyBorder="0">
      <protection locked="0"/>
    </xf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9" borderId="2068" applyBorder="0">
      <protection locked="0"/>
    </xf>
    <xf numFmtId="0" fontId="12" fillId="2" borderId="2066" applyNumberFormat="0" applyFont="0" applyAlignment="0" applyProtection="0"/>
    <xf numFmtId="0" fontId="12" fillId="9" borderId="2068" applyBorder="0">
      <protection locked="0"/>
    </xf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9" borderId="2067" applyNumberFormat="0">
      <protection locked="0"/>
    </xf>
    <xf numFmtId="0" fontId="12" fillId="9" borderId="2068" applyBorder="0">
      <protection locked="0"/>
    </xf>
    <xf numFmtId="0" fontId="12" fillId="2" borderId="2066" applyNumberFormat="0" applyFont="0" applyAlignment="0" applyProtection="0"/>
    <xf numFmtId="0" fontId="12" fillId="9" borderId="2068" applyBorder="0">
      <protection locked="0"/>
    </xf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9" borderId="2068" applyBorder="0">
      <protection locked="0"/>
    </xf>
    <xf numFmtId="0" fontId="12" fillId="9" borderId="2068" applyBorder="0">
      <protection locked="0"/>
    </xf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9" applyNumberFormat="0" applyFont="0" applyAlignment="0" applyProtection="0"/>
    <xf numFmtId="0" fontId="12" fillId="9" borderId="2070" applyNumberFormat="0">
      <protection locked="0"/>
    </xf>
    <xf numFmtId="0" fontId="12" fillId="9" borderId="2062" applyBorder="0">
      <protection locked="0"/>
    </xf>
    <xf numFmtId="0" fontId="12" fillId="2" borderId="2069" applyNumberFormat="0" applyFont="0" applyAlignment="0" applyProtection="0"/>
    <xf numFmtId="0" fontId="12" fillId="9" borderId="2062" applyBorder="0">
      <protection locked="0"/>
    </xf>
    <xf numFmtId="0" fontId="12" fillId="2" borderId="2069" applyNumberFormat="0" applyFont="0" applyAlignment="0" applyProtection="0"/>
    <xf numFmtId="0" fontId="12" fillId="2" borderId="2069" applyNumberFormat="0" applyFont="0" applyAlignment="0" applyProtection="0"/>
    <xf numFmtId="0" fontId="12" fillId="2" borderId="2069" applyNumberFormat="0" applyFont="0" applyAlignment="0" applyProtection="0"/>
    <xf numFmtId="0" fontId="12" fillId="2" borderId="2069" applyNumberFormat="0" applyFont="0" applyAlignment="0" applyProtection="0"/>
    <xf numFmtId="0" fontId="12" fillId="9" borderId="2070" applyNumberFormat="0">
      <protection locked="0"/>
    </xf>
    <xf numFmtId="0" fontId="12" fillId="2" borderId="2069" applyNumberFormat="0" applyFont="0" applyAlignment="0" applyProtection="0"/>
    <xf numFmtId="0" fontId="12" fillId="2" borderId="2059" applyNumberFormat="0" applyFont="0" applyAlignment="0" applyProtection="0"/>
    <xf numFmtId="0" fontId="12" fillId="2" borderId="2059" applyNumberFormat="0" applyFont="0" applyAlignment="0" applyProtection="0"/>
    <xf numFmtId="0" fontId="12" fillId="2" borderId="2069" applyNumberFormat="0" applyFont="0" applyAlignment="0" applyProtection="0"/>
    <xf numFmtId="0" fontId="12" fillId="2" borderId="2069" applyNumberFormat="0" applyFont="0" applyAlignment="0" applyProtection="0"/>
    <xf numFmtId="0" fontId="12" fillId="2" borderId="2059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9" borderId="2067" applyNumberFormat="0">
      <protection locked="0"/>
    </xf>
    <xf numFmtId="0" fontId="12" fillId="9" borderId="2062" applyBorder="0">
      <protection locked="0"/>
    </xf>
    <xf numFmtId="0" fontId="12" fillId="2" borderId="2066" applyNumberFormat="0" applyFont="0" applyAlignment="0" applyProtection="0"/>
    <xf numFmtId="0" fontId="12" fillId="9" borderId="2062" applyBorder="0">
      <protection locked="0"/>
    </xf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9" borderId="2067" applyNumberFormat="0">
      <protection locked="0"/>
    </xf>
    <xf numFmtId="0" fontId="12" fillId="9" borderId="2068" applyBorder="0">
      <protection locked="0"/>
    </xf>
    <xf numFmtId="0" fontId="12" fillId="2" borderId="2066" applyNumberFormat="0" applyFont="0" applyAlignment="0" applyProtection="0"/>
    <xf numFmtId="0" fontId="12" fillId="9" borderId="2068" applyBorder="0">
      <protection locked="0"/>
    </xf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9" borderId="2067" applyNumberFormat="0">
      <protection locked="0"/>
    </xf>
    <xf numFmtId="0" fontId="12" fillId="9" borderId="2068" applyBorder="0">
      <protection locked="0"/>
    </xf>
    <xf numFmtId="0" fontId="12" fillId="2" borderId="2066" applyNumberFormat="0" applyFont="0" applyAlignment="0" applyProtection="0"/>
    <xf numFmtId="0" fontId="12" fillId="9" borderId="2068" applyBorder="0">
      <protection locked="0"/>
    </xf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9" borderId="2070" applyNumberFormat="0">
      <protection locked="0"/>
    </xf>
    <xf numFmtId="0" fontId="12" fillId="9" borderId="2068" applyBorder="0">
      <protection locked="0"/>
    </xf>
    <xf numFmtId="0" fontId="12" fillId="2" borderId="2066" applyNumberFormat="0" applyFont="0" applyAlignment="0" applyProtection="0"/>
    <xf numFmtId="0" fontId="12" fillId="9" borderId="2068" applyBorder="0">
      <protection locked="0"/>
    </xf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9" borderId="2070" applyNumberFormat="0">
      <protection locked="0"/>
    </xf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66" applyNumberFormat="0" applyFont="0" applyAlignment="0" applyProtection="0"/>
    <xf numFmtId="0" fontId="12" fillId="2" borderId="2071" applyNumberFormat="0" applyFont="0" applyAlignment="0" applyProtection="0"/>
    <xf numFmtId="0" fontId="12" fillId="9" borderId="2072" applyNumberFormat="0">
      <protection locked="0"/>
    </xf>
    <xf numFmtId="0" fontId="12" fillId="9" borderId="2068" applyBorder="0">
      <protection locked="0"/>
    </xf>
    <xf numFmtId="0" fontId="12" fillId="2" borderId="2071" applyNumberFormat="0" applyFont="0" applyAlignment="0" applyProtection="0"/>
    <xf numFmtId="0" fontId="12" fillId="9" borderId="2068" applyBorder="0">
      <protection locked="0"/>
    </xf>
    <xf numFmtId="0" fontId="12" fillId="2" borderId="2071" applyNumberFormat="0" applyFont="0" applyAlignment="0" applyProtection="0"/>
    <xf numFmtId="0" fontId="12" fillId="2" borderId="2071" applyNumberFormat="0" applyFont="0" applyAlignment="0" applyProtection="0"/>
    <xf numFmtId="0" fontId="12" fillId="2" borderId="2071" applyNumberFormat="0" applyFont="0" applyAlignment="0" applyProtection="0"/>
    <xf numFmtId="0" fontId="12" fillId="2" borderId="2071" applyNumberFormat="0" applyFont="0" applyAlignment="0" applyProtection="0"/>
    <xf numFmtId="0" fontId="12" fillId="9" borderId="2061" applyNumberFormat="0">
      <protection locked="0"/>
    </xf>
    <xf numFmtId="0" fontId="12" fillId="9" borderId="2046" applyBorder="0">
      <protection locked="0"/>
    </xf>
    <xf numFmtId="0" fontId="12" fillId="9" borderId="2046" applyBorder="0">
      <protection locked="0"/>
    </xf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9" borderId="2061" applyNumberFormat="0">
      <protection locked="0"/>
    </xf>
    <xf numFmtId="0" fontId="12" fillId="9" borderId="2068" applyBorder="0">
      <protection locked="0"/>
    </xf>
    <xf numFmtId="0" fontId="12" fillId="2" borderId="2060" applyNumberFormat="0" applyFont="0" applyAlignment="0" applyProtection="0"/>
    <xf numFmtId="0" fontId="12" fillId="9" borderId="2068" applyBorder="0">
      <protection locked="0"/>
    </xf>
    <xf numFmtId="0" fontId="12" fillId="2" borderId="2060" applyNumberFormat="0" applyFont="0" applyAlignment="0" applyProtection="0"/>
    <xf numFmtId="0" fontId="12" fillId="9" borderId="2061" applyNumberFormat="0">
      <protection locked="0"/>
    </xf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81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9" borderId="2061" applyNumberFormat="0">
      <protection locked="0"/>
    </xf>
    <xf numFmtId="0" fontId="12" fillId="9" borderId="2046" applyBorder="0">
      <protection locked="0"/>
    </xf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9" borderId="2046" applyBorder="0">
      <protection locked="0"/>
    </xf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9" borderId="2046" applyBorder="0">
      <protection locked="0"/>
    </xf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9" borderId="2046" applyBorder="0">
      <protection locked="0"/>
    </xf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9" borderId="2046" applyBorder="0">
      <protection locked="0"/>
    </xf>
    <xf numFmtId="0" fontId="12" fillId="2" borderId="2060" applyNumberFormat="0" applyFont="0" applyAlignment="0" applyProtection="0"/>
    <xf numFmtId="0" fontId="12" fillId="9" borderId="2046" applyBorder="0">
      <protection locked="0"/>
    </xf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9" borderId="2068" applyBorder="0">
      <protection locked="0"/>
    </xf>
    <xf numFmtId="0" fontId="12" fillId="9" borderId="2074" applyNumberFormat="0">
      <protection locked="0"/>
    </xf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9" borderId="2068" applyBorder="0">
      <protection locked="0"/>
    </xf>
    <xf numFmtId="0" fontId="12" fillId="9" borderId="2074" applyNumberFormat="0">
      <protection locked="0"/>
    </xf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2" borderId="2073" applyNumberFormat="0" applyFont="0" applyAlignment="0" applyProtection="0"/>
    <xf numFmtId="0" fontId="12" fillId="2" borderId="2060" applyNumberFormat="0" applyFont="0" applyAlignment="0" applyProtection="0"/>
    <xf numFmtId="0" fontId="12" fillId="2" borderId="2060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60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9" borderId="2074" applyNumberFormat="0">
      <protection locked="0"/>
    </xf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9" borderId="2068" applyBorder="0">
      <protection locked="0"/>
    </xf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3" applyNumberFormat="0" applyFont="0" applyAlignment="0" applyProtection="0"/>
    <xf numFmtId="0" fontId="12" fillId="2" borderId="2078" applyNumberFormat="0" applyFont="0" applyAlignment="0" applyProtection="0"/>
    <xf numFmtId="0" fontId="12" fillId="2" borderId="2073" applyNumberFormat="0" applyFont="0" applyAlignment="0" applyProtection="0"/>
    <xf numFmtId="0" fontId="12" fillId="2" borderId="2075" applyNumberFormat="0" applyFont="0" applyAlignment="0" applyProtection="0"/>
    <xf numFmtId="0" fontId="12" fillId="9" borderId="2068" applyBorder="0">
      <protection locked="0"/>
    </xf>
    <xf numFmtId="0" fontId="12" fillId="9" borderId="2068" applyBorder="0">
      <protection locked="0"/>
    </xf>
    <xf numFmtId="0" fontId="12" fillId="9" borderId="2076" applyNumberFormat="0">
      <protection locked="0"/>
    </xf>
    <xf numFmtId="0" fontId="12" fillId="2" borderId="2075" applyNumberFormat="0" applyFont="0" applyAlignment="0" applyProtection="0"/>
    <xf numFmtId="0" fontId="12" fillId="9" borderId="2076" applyNumberFormat="0">
      <protection locked="0"/>
    </xf>
    <xf numFmtId="0" fontId="12" fillId="9" borderId="2068" applyBorder="0">
      <protection locked="0"/>
    </xf>
    <xf numFmtId="0" fontId="12" fillId="2" borderId="2075" applyNumberFormat="0" applyFont="0" applyAlignment="0" applyProtection="0"/>
    <xf numFmtId="0" fontId="12" fillId="2" borderId="2075" applyNumberFormat="0" applyFont="0" applyAlignment="0" applyProtection="0"/>
    <xf numFmtId="0" fontId="12" fillId="9" borderId="2068" applyBorder="0">
      <protection locked="0"/>
    </xf>
    <xf numFmtId="0" fontId="12" fillId="2" borderId="2075" applyNumberFormat="0" applyFont="0" applyAlignment="0" applyProtection="0"/>
    <xf numFmtId="0" fontId="12" fillId="2" borderId="2075" applyNumberFormat="0" applyFont="0" applyAlignment="0" applyProtection="0"/>
    <xf numFmtId="0" fontId="12" fillId="2" borderId="2075" applyNumberFormat="0" applyFont="0" applyAlignment="0" applyProtection="0"/>
    <xf numFmtId="0" fontId="12" fillId="2" borderId="2075" applyNumberFormat="0" applyFont="0" applyAlignment="0" applyProtection="0"/>
    <xf numFmtId="0" fontId="12" fillId="2" borderId="2075" applyNumberFormat="0" applyFont="0" applyAlignment="0" applyProtection="0"/>
    <xf numFmtId="0" fontId="12" fillId="2" borderId="2075" applyNumberFormat="0" applyFont="0" applyAlignment="0" applyProtection="0"/>
    <xf numFmtId="0" fontId="12" fillId="2" borderId="2075" applyNumberFormat="0" applyFont="0" applyAlignment="0" applyProtection="0"/>
    <xf numFmtId="0" fontId="12" fillId="2" borderId="2075" applyNumberFormat="0" applyFont="0" applyAlignment="0" applyProtection="0"/>
    <xf numFmtId="0" fontId="12" fillId="9" borderId="2079" applyNumberFormat="0">
      <protection locked="0"/>
    </xf>
    <xf numFmtId="0" fontId="12" fillId="2" borderId="2085" applyNumberFormat="0" applyFont="0" applyAlignment="0" applyProtection="0"/>
    <xf numFmtId="0" fontId="12" fillId="9" borderId="2088" applyNumberFormat="0">
      <protection locked="0"/>
    </xf>
    <xf numFmtId="0" fontId="12" fillId="9" borderId="2080" applyBorder="0">
      <protection locked="0"/>
    </xf>
    <xf numFmtId="0" fontId="12" fillId="9" borderId="2080" applyBorder="0">
      <protection locked="0"/>
    </xf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9" borderId="2088" applyNumberFormat="0">
      <protection locked="0"/>
    </xf>
    <xf numFmtId="0" fontId="12" fillId="9" borderId="2087" applyBorder="0">
      <protection locked="0"/>
    </xf>
    <xf numFmtId="0" fontId="12" fillId="2" borderId="2086" applyNumberFormat="0" applyFont="0" applyAlignment="0" applyProtection="0"/>
    <xf numFmtId="0" fontId="12" fillId="9" borderId="2087" applyBorder="0">
      <protection locked="0"/>
    </xf>
    <xf numFmtId="0" fontId="12" fillId="2" borderId="2086" applyNumberFormat="0" applyFont="0" applyAlignment="0" applyProtection="0"/>
    <xf numFmtId="0" fontId="12" fillId="9" borderId="2088" applyNumberFormat="0">
      <protection locked="0"/>
    </xf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9" borderId="2088" applyNumberFormat="0">
      <protection locked="0"/>
    </xf>
    <xf numFmtId="0" fontId="12" fillId="9" borderId="2087" applyBorder="0">
      <protection locked="0"/>
    </xf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9" borderId="2087" applyBorder="0">
      <protection locked="0"/>
    </xf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9" borderId="2087" applyBorder="0">
      <protection locked="0"/>
    </xf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2" borderId="2086" applyNumberFormat="0" applyFont="0" applyAlignment="0" applyProtection="0"/>
    <xf numFmtId="0" fontId="12" fillId="9" borderId="2087" applyBorder="0">
      <protection locked="0"/>
    </xf>
    <xf numFmtId="0" fontId="12" fillId="2" borderId="2086" applyNumberFormat="0" applyFont="0" applyAlignment="0" applyProtection="0"/>
    <xf numFmtId="0" fontId="12" fillId="2" borderId="2089" applyNumberFormat="0" applyFont="0" applyAlignment="0" applyProtection="0"/>
    <xf numFmtId="0" fontId="12" fillId="2" borderId="2091" applyNumberFormat="0" applyFont="0" applyAlignment="0" applyProtection="0"/>
    <xf numFmtId="0" fontId="12" fillId="9" borderId="2090" applyBorder="0">
      <protection locked="0"/>
    </xf>
    <xf numFmtId="0" fontId="12" fillId="2" borderId="2086" applyNumberFormat="0" applyFont="0" applyAlignment="0" applyProtection="0"/>
    <xf numFmtId="0" fontId="12" fillId="9" borderId="2090" applyBorder="0">
      <protection locked="0"/>
    </xf>
    <xf numFmtId="0" fontId="12" fillId="2" borderId="2091" applyNumberFormat="0" applyFont="0" applyAlignment="0" applyProtection="0"/>
    <xf numFmtId="0" fontId="12" fillId="2" borderId="2091" applyNumberFormat="0" applyFont="0" applyAlignment="0" applyProtection="0"/>
    <xf numFmtId="0" fontId="12" fillId="2" borderId="2091" applyNumberFormat="0" applyFont="0" applyAlignment="0" applyProtection="0"/>
    <xf numFmtId="0" fontId="12" fillId="2" borderId="2091" applyNumberFormat="0" applyFont="0" applyAlignment="0" applyProtection="0"/>
    <xf numFmtId="0" fontId="12" fillId="2" borderId="2091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9" borderId="2094" applyBorder="0">
      <protection locked="0"/>
    </xf>
    <xf numFmtId="0" fontId="12" fillId="9" borderId="2094" applyBorder="0">
      <protection locked="0"/>
    </xf>
    <xf numFmtId="0" fontId="12" fillId="9" borderId="2095" applyNumberFormat="0">
      <protection locked="0"/>
    </xf>
    <xf numFmtId="0" fontId="12" fillId="2" borderId="2093" applyNumberFormat="0" applyFont="0" applyAlignment="0" applyProtection="0"/>
    <xf numFmtId="0" fontId="12" fillId="9" borderId="2095" applyNumberFormat="0">
      <protection locked="0"/>
    </xf>
    <xf numFmtId="0" fontId="12" fillId="9" borderId="2094" applyBorder="0">
      <protection locked="0"/>
    </xf>
    <xf numFmtId="0" fontId="12" fillId="2" borderId="2093" applyNumberFormat="0" applyFont="0" applyAlignment="0" applyProtection="0"/>
    <xf numFmtId="0" fontId="12" fillId="9" borderId="2094" applyBorder="0">
      <protection locked="0"/>
    </xf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1" applyNumberFormat="0" applyFont="0" applyAlignment="0" applyProtection="0"/>
    <xf numFmtId="0" fontId="12" fillId="9" borderId="2095" applyNumberFormat="0">
      <protection locked="0"/>
    </xf>
    <xf numFmtId="0" fontId="12" fillId="9" borderId="2092" applyBorder="0">
      <protection locked="0"/>
    </xf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1" applyNumberFormat="0" applyFont="0" applyAlignment="0" applyProtection="0"/>
    <xf numFmtId="0" fontId="12" fillId="9" borderId="2092" applyBorder="0">
      <protection locked="0"/>
    </xf>
    <xf numFmtId="0" fontId="12" fillId="2" borderId="2091" applyNumberFormat="0" applyFont="0" applyAlignment="0" applyProtection="0"/>
    <xf numFmtId="0" fontId="12" fillId="2" borderId="2091" applyNumberFormat="0" applyFont="0" applyAlignment="0" applyProtection="0"/>
    <xf numFmtId="0" fontId="12" fillId="2" borderId="2091" applyNumberFormat="0" applyFont="0" applyAlignment="0" applyProtection="0"/>
    <xf numFmtId="0" fontId="12" fillId="2" borderId="2091" applyNumberFormat="0" applyFont="0" applyAlignment="0" applyProtection="0"/>
    <xf numFmtId="0" fontId="12" fillId="9" borderId="2095" applyNumberFormat="0">
      <protection locked="0"/>
    </xf>
    <xf numFmtId="0" fontId="12" fillId="2" borderId="2093" applyNumberFormat="0" applyFont="0" applyAlignment="0" applyProtection="0"/>
    <xf numFmtId="0" fontId="12" fillId="9" borderId="2094" applyBorder="0">
      <protection locked="0"/>
    </xf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9" borderId="2095" applyNumberFormat="0">
      <protection locked="0"/>
    </xf>
    <xf numFmtId="0" fontId="12" fillId="9" borderId="2094" applyBorder="0">
      <protection locked="0"/>
    </xf>
    <xf numFmtId="0" fontId="12" fillId="9" borderId="2095" applyNumberFormat="0">
      <protection locked="0"/>
    </xf>
    <xf numFmtId="0" fontId="12" fillId="2" borderId="2093" applyNumberFormat="0" applyFont="0" applyAlignment="0" applyProtection="0"/>
    <xf numFmtId="0" fontId="12" fillId="9" borderId="2094" applyBorder="0">
      <protection locked="0"/>
    </xf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9" borderId="2095" applyNumberFormat="0">
      <protection locked="0"/>
    </xf>
    <xf numFmtId="0" fontId="12" fillId="9" borderId="2094" applyBorder="0">
      <protection locked="0"/>
    </xf>
    <xf numFmtId="0" fontId="12" fillId="2" borderId="2093" applyNumberFormat="0" applyFont="0" applyAlignment="0" applyProtection="0"/>
    <xf numFmtId="0" fontId="12" fillId="9" borderId="2094" applyBorder="0">
      <protection locked="0"/>
    </xf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9" borderId="2094" applyBorder="0">
      <protection locked="0"/>
    </xf>
    <xf numFmtId="0" fontId="12" fillId="2" borderId="2093" applyNumberFormat="0" applyFont="0" applyAlignment="0" applyProtection="0"/>
    <xf numFmtId="0" fontId="12" fillId="9" borderId="2094" applyBorder="0">
      <protection locked="0"/>
    </xf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9" borderId="2095" applyNumberFormat="0">
      <protection locked="0"/>
    </xf>
    <xf numFmtId="0" fontId="12" fillId="9" borderId="2094" applyBorder="0">
      <protection locked="0"/>
    </xf>
    <xf numFmtId="0" fontId="12" fillId="2" borderId="2093" applyNumberFormat="0" applyFont="0" applyAlignment="0" applyProtection="0"/>
    <xf numFmtId="0" fontId="12" fillId="9" borderId="2094" applyBorder="0">
      <protection locked="0"/>
    </xf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9" borderId="2094" applyBorder="0">
      <protection locked="0"/>
    </xf>
    <xf numFmtId="0" fontId="12" fillId="9" borderId="2094" applyBorder="0">
      <protection locked="0"/>
    </xf>
    <xf numFmtId="0" fontId="12" fillId="2" borderId="2093" applyNumberFormat="0" applyFont="0" applyAlignment="0" applyProtection="0"/>
    <xf numFmtId="0" fontId="12" fillId="2" borderId="2093" applyNumberFormat="0" applyFont="0" applyAlignment="0" applyProtection="0"/>
    <xf numFmtId="0" fontId="12" fillId="2" borderId="2096" applyNumberFormat="0" applyFont="0" applyAlignment="0" applyProtection="0"/>
    <xf numFmtId="0" fontId="12" fillId="9" borderId="2097" applyNumberFormat="0">
      <protection locked="0"/>
    </xf>
    <xf numFmtId="0" fontId="12" fillId="9" borderId="2092" applyBorder="0">
      <protection locked="0"/>
    </xf>
    <xf numFmtId="0" fontId="12" fillId="2" borderId="2096" applyNumberFormat="0" applyFont="0" applyAlignment="0" applyProtection="0"/>
    <xf numFmtId="0" fontId="12" fillId="9" borderId="2092" applyBorder="0">
      <protection locked="0"/>
    </xf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9" borderId="2097" applyNumberFormat="0">
      <protection locked="0"/>
    </xf>
    <xf numFmtId="0" fontId="12" fillId="2" borderId="2096" applyNumberFormat="0" applyFont="0" applyAlignment="0" applyProtection="0"/>
    <xf numFmtId="0" fontId="12" fillId="2" borderId="2091" applyNumberFormat="0" applyFont="0" applyAlignment="0" applyProtection="0"/>
    <xf numFmtId="0" fontId="12" fillId="2" borderId="2091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1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9" borderId="2097" applyNumberFormat="0">
      <protection locked="0"/>
    </xf>
    <xf numFmtId="0" fontId="12" fillId="9" borderId="2098" applyBorder="0">
      <protection locked="0"/>
    </xf>
    <xf numFmtId="0" fontId="12" fillId="2" borderId="2096" applyNumberFormat="0" applyFont="0" applyAlignment="0" applyProtection="0"/>
    <xf numFmtId="0" fontId="12" fillId="9" borderId="2098" applyBorder="0">
      <protection locked="0"/>
    </xf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9" borderId="2097" applyNumberFormat="0">
      <protection locked="0"/>
    </xf>
    <xf numFmtId="0" fontId="12" fillId="9" borderId="2098" applyBorder="0">
      <protection locked="0"/>
    </xf>
    <xf numFmtId="0" fontId="12" fillId="2" borderId="2096" applyNumberFormat="0" applyFont="0" applyAlignment="0" applyProtection="0"/>
    <xf numFmtId="0" fontId="12" fillId="9" borderId="2098" applyBorder="0">
      <protection locked="0"/>
    </xf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9" borderId="2097" applyNumberFormat="0">
      <protection locked="0"/>
    </xf>
    <xf numFmtId="0" fontId="12" fillId="9" borderId="2099" applyBorder="0">
      <protection locked="0"/>
    </xf>
    <xf numFmtId="0" fontId="12" fillId="2" borderId="2096" applyNumberFormat="0" applyFont="0" applyAlignment="0" applyProtection="0"/>
    <xf numFmtId="0" fontId="12" fillId="9" borderId="2099" applyBorder="0">
      <protection locked="0"/>
    </xf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89" applyNumberFormat="0" applyFont="0" applyAlignment="0" applyProtection="0"/>
    <xf numFmtId="0" fontId="12" fillId="9" borderId="2097" applyNumberFormat="0">
      <protection locked="0"/>
    </xf>
    <xf numFmtId="0" fontId="12" fillId="9" borderId="2092" applyBorder="0">
      <protection locked="0"/>
    </xf>
    <xf numFmtId="0" fontId="12" fillId="2" borderId="2089" applyNumberFormat="0" applyFont="0" applyAlignment="0" applyProtection="0"/>
    <xf numFmtId="0" fontId="12" fillId="9" borderId="2092" applyBorder="0">
      <protection locked="0"/>
    </xf>
    <xf numFmtId="0" fontId="12" fillId="2" borderId="2089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9" borderId="2065" applyNumberFormat="0">
      <protection locked="0"/>
    </xf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089" applyNumberFormat="0" applyFont="0" applyAlignment="0" applyProtection="0"/>
    <xf numFmtId="0" fontId="12" fillId="2" borderId="2089" applyNumberFormat="0" applyFont="0" applyAlignment="0" applyProtection="0"/>
    <xf numFmtId="0" fontId="12" fillId="2" borderId="2096" applyNumberFormat="0" applyFont="0" applyAlignment="0" applyProtection="0"/>
    <xf numFmtId="0" fontId="12" fillId="2" borderId="2096" applyNumberFormat="0" applyFont="0" applyAlignment="0" applyProtection="0"/>
    <xf numFmtId="0" fontId="12" fillId="2" borderId="2100" applyNumberFormat="0" applyFont="0" applyAlignment="0" applyProtection="0"/>
    <xf numFmtId="0" fontId="12" fillId="9" borderId="2101" applyNumberFormat="0">
      <protection locked="0"/>
    </xf>
    <xf numFmtId="0" fontId="12" fillId="9" borderId="2099" applyBorder="0">
      <protection locked="0"/>
    </xf>
    <xf numFmtId="0" fontId="12" fillId="2" borderId="2100" applyNumberFormat="0" applyFont="0" applyAlignment="0" applyProtection="0"/>
    <xf numFmtId="0" fontId="12" fillId="9" borderId="2099" applyBorder="0">
      <protection locked="0"/>
    </xf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9" borderId="2101" applyNumberFormat="0">
      <protection locked="0"/>
    </xf>
    <xf numFmtId="0" fontId="12" fillId="9" borderId="2099" applyBorder="0">
      <protection locked="0"/>
    </xf>
    <xf numFmtId="0" fontId="12" fillId="9" borderId="2099" applyBorder="0">
      <protection locked="0"/>
    </xf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9" borderId="2101" applyNumberFormat="0">
      <protection locked="0"/>
    </xf>
    <xf numFmtId="0" fontId="12" fillId="9" borderId="2099" applyBorder="0">
      <protection locked="0"/>
    </xf>
    <xf numFmtId="0" fontId="12" fillId="2" borderId="2100" applyNumberFormat="0" applyFont="0" applyAlignment="0" applyProtection="0"/>
    <xf numFmtId="0" fontId="12" fillId="9" borderId="2099" applyBorder="0">
      <protection locked="0"/>
    </xf>
    <xf numFmtId="0" fontId="12" fillId="2" borderId="2100" applyNumberFormat="0" applyFont="0" applyAlignment="0" applyProtection="0"/>
    <xf numFmtId="0" fontId="12" fillId="9" borderId="2101" applyNumberFormat="0">
      <protection locked="0"/>
    </xf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9" borderId="2101" applyNumberFormat="0">
      <protection locked="0"/>
    </xf>
    <xf numFmtId="0" fontId="12" fillId="9" borderId="2099" applyBorder="0">
      <protection locked="0"/>
    </xf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9" borderId="2099" applyBorder="0">
      <protection locked="0"/>
    </xf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9" borderId="2099" applyBorder="0">
      <protection locked="0"/>
    </xf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9" borderId="2099" applyBorder="0">
      <protection locked="0"/>
    </xf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9" borderId="2099" applyBorder="0">
      <protection locked="0"/>
    </xf>
    <xf numFmtId="0" fontId="12" fillId="2" borderId="2100" applyNumberFormat="0" applyFont="0" applyAlignment="0" applyProtection="0"/>
    <xf numFmtId="0" fontId="12" fillId="9" borderId="2099" applyBorder="0">
      <protection locked="0"/>
    </xf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9" borderId="2099" applyBorder="0">
      <protection locked="0"/>
    </xf>
    <xf numFmtId="0" fontId="12" fillId="9" borderId="2099" applyBorder="0">
      <protection locked="0"/>
    </xf>
    <xf numFmtId="0" fontId="12" fillId="9" borderId="2103" applyNumberFormat="0">
      <protection locked="0"/>
    </xf>
    <xf numFmtId="0" fontId="12" fillId="2" borderId="2102" applyNumberFormat="0" applyFont="0" applyAlignment="0" applyProtection="0"/>
    <xf numFmtId="0" fontId="12" fillId="9" borderId="2103" applyNumberFormat="0">
      <protection locked="0"/>
    </xf>
    <xf numFmtId="0" fontId="12" fillId="9" borderId="2099" applyBorder="0">
      <protection locked="0"/>
    </xf>
    <xf numFmtId="0" fontId="12" fillId="2" borderId="2102" applyNumberFormat="0" applyFont="0" applyAlignment="0" applyProtection="0"/>
    <xf numFmtId="0" fontId="12" fillId="9" borderId="2099" applyBorder="0">
      <protection locked="0"/>
    </xf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9" borderId="2103" applyNumberFormat="0">
      <protection locked="0"/>
    </xf>
    <xf numFmtId="0" fontId="12" fillId="9" borderId="2099" applyBorder="0">
      <protection locked="0"/>
    </xf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9" borderId="2099" applyBorder="0">
      <protection locked="0"/>
    </xf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9" borderId="2103" applyNumberFormat="0">
      <protection locked="0"/>
    </xf>
    <xf numFmtId="0" fontId="12" fillId="2" borderId="2102" applyNumberFormat="0" applyFont="0" applyAlignment="0" applyProtection="0"/>
    <xf numFmtId="0" fontId="12" fillId="9" borderId="2099" applyBorder="0">
      <protection locked="0"/>
    </xf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9" borderId="2103" applyNumberFormat="0">
      <protection locked="0"/>
    </xf>
    <xf numFmtId="0" fontId="12" fillId="9" borderId="2099" applyBorder="0">
      <protection locked="0"/>
    </xf>
    <xf numFmtId="0" fontId="12" fillId="9" borderId="2103" applyNumberFormat="0">
      <protection locked="0"/>
    </xf>
    <xf numFmtId="0" fontId="12" fillId="2" borderId="2102" applyNumberFormat="0" applyFont="0" applyAlignment="0" applyProtection="0"/>
    <xf numFmtId="0" fontId="12" fillId="9" borderId="2099" applyBorder="0">
      <protection locked="0"/>
    </xf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9" borderId="2103" applyNumberFormat="0">
      <protection locked="0"/>
    </xf>
    <xf numFmtId="0" fontId="12" fillId="9" borderId="2099" applyBorder="0">
      <protection locked="0"/>
    </xf>
    <xf numFmtId="0" fontId="12" fillId="2" borderId="2102" applyNumberFormat="0" applyFont="0" applyAlignment="0" applyProtection="0"/>
    <xf numFmtId="0" fontId="12" fillId="9" borderId="2099" applyBorder="0">
      <protection locked="0"/>
    </xf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9" borderId="2099" applyBorder="0">
      <protection locked="0"/>
    </xf>
    <xf numFmtId="0" fontId="12" fillId="2" borderId="2102" applyNumberFormat="0" applyFont="0" applyAlignment="0" applyProtection="0"/>
    <xf numFmtId="0" fontId="12" fillId="9" borderId="2099" applyBorder="0">
      <protection locked="0"/>
    </xf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9" borderId="2103" applyNumberFormat="0">
      <protection locked="0"/>
    </xf>
    <xf numFmtId="0" fontId="12" fillId="9" borderId="2099" applyBorder="0">
      <protection locked="0"/>
    </xf>
    <xf numFmtId="0" fontId="12" fillId="2" borderId="2102" applyNumberFormat="0" applyFont="0" applyAlignment="0" applyProtection="0"/>
    <xf numFmtId="0" fontId="12" fillId="9" borderId="2099" applyBorder="0">
      <protection locked="0"/>
    </xf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9" borderId="2099" applyBorder="0">
      <protection locked="0"/>
    </xf>
    <xf numFmtId="0" fontId="12" fillId="9" borderId="2099" applyBorder="0">
      <protection locked="0"/>
    </xf>
    <xf numFmtId="0" fontId="12" fillId="2" borderId="2102" applyNumberFormat="0" applyFont="0" applyAlignment="0" applyProtection="0"/>
    <xf numFmtId="0" fontId="12" fillId="2" borderId="2102" applyNumberFormat="0" applyFont="0" applyAlignment="0" applyProtection="0"/>
    <xf numFmtId="0" fontId="12" fillId="2" borderId="2104" applyNumberFormat="0" applyFont="0" applyAlignment="0" applyProtection="0"/>
    <xf numFmtId="0" fontId="12" fillId="9" borderId="2105" applyNumberFormat="0">
      <protection locked="0"/>
    </xf>
    <xf numFmtId="0" fontId="12" fillId="9" borderId="2099" applyBorder="0">
      <protection locked="0"/>
    </xf>
    <xf numFmtId="0" fontId="12" fillId="2" borderId="2104" applyNumberFormat="0" applyFont="0" applyAlignment="0" applyProtection="0"/>
    <xf numFmtId="0" fontId="12" fillId="9" borderId="2099" applyBorder="0">
      <protection locked="0"/>
    </xf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9" borderId="2105" applyNumberFormat="0">
      <protection locked="0"/>
    </xf>
    <xf numFmtId="0" fontId="12" fillId="2" borderId="2104" applyNumberFormat="0" applyFont="0" applyAlignment="0" applyProtection="0"/>
    <xf numFmtId="0" fontId="12" fillId="2" borderId="2100" applyNumberFormat="0" applyFont="0" applyAlignment="0" applyProtection="0"/>
    <xf numFmtId="0" fontId="12" fillId="2" borderId="2100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0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9" borderId="2105" applyNumberFormat="0">
      <protection locked="0"/>
    </xf>
    <xf numFmtId="0" fontId="12" fillId="9" borderId="2099" applyBorder="0">
      <protection locked="0"/>
    </xf>
    <xf numFmtId="0" fontId="12" fillId="2" borderId="2104" applyNumberFormat="0" applyFont="0" applyAlignment="0" applyProtection="0"/>
    <xf numFmtId="0" fontId="12" fillId="9" borderId="2099" applyBorder="0">
      <protection locked="0"/>
    </xf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9" borderId="2105" applyNumberFormat="0">
      <protection locked="0"/>
    </xf>
    <xf numFmtId="0" fontId="12" fillId="9" borderId="2099" applyBorder="0">
      <protection locked="0"/>
    </xf>
    <xf numFmtId="0" fontId="12" fillId="2" borderId="2104" applyNumberFormat="0" applyFont="0" applyAlignment="0" applyProtection="0"/>
    <xf numFmtId="0" fontId="12" fillId="9" borderId="2099" applyBorder="0">
      <protection locked="0"/>
    </xf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9" borderId="2105" applyNumberFormat="0">
      <protection locked="0"/>
    </xf>
    <xf numFmtId="0" fontId="12" fillId="9" borderId="2099" applyBorder="0">
      <protection locked="0"/>
    </xf>
    <xf numFmtId="0" fontId="12" fillId="2" borderId="2104" applyNumberFormat="0" applyFont="0" applyAlignment="0" applyProtection="0"/>
    <xf numFmtId="0" fontId="12" fillId="9" borderId="2099" applyBorder="0">
      <protection locked="0"/>
    </xf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9" borderId="2105" applyNumberFormat="0">
      <protection locked="0"/>
    </xf>
    <xf numFmtId="0" fontId="12" fillId="9" borderId="2099" applyBorder="0">
      <protection locked="0"/>
    </xf>
    <xf numFmtId="0" fontId="12" fillId="2" borderId="2104" applyNumberFormat="0" applyFont="0" applyAlignment="0" applyProtection="0"/>
    <xf numFmtId="0" fontId="12" fillId="9" borderId="2099" applyBorder="0">
      <protection locked="0"/>
    </xf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9" borderId="2105" applyNumberFormat="0">
      <protection locked="0"/>
    </xf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6" applyNumberFormat="0" applyFont="0" applyAlignment="0" applyProtection="0"/>
    <xf numFmtId="0" fontId="12" fillId="9" borderId="2107" applyNumberFormat="0">
      <protection locked="0"/>
    </xf>
    <xf numFmtId="0" fontId="12" fillId="9" borderId="2099" applyBorder="0">
      <protection locked="0"/>
    </xf>
    <xf numFmtId="0" fontId="12" fillId="2" borderId="2106" applyNumberFormat="0" applyFont="0" applyAlignment="0" applyProtection="0"/>
    <xf numFmtId="0" fontId="12" fillId="9" borderId="2099" applyBorder="0">
      <protection locked="0"/>
    </xf>
    <xf numFmtId="0" fontId="12" fillId="2" borderId="2106" applyNumberFormat="0" applyFont="0" applyAlignment="0" applyProtection="0"/>
    <xf numFmtId="0" fontId="12" fillId="2" borderId="2106" applyNumberFormat="0" applyFont="0" applyAlignment="0" applyProtection="0"/>
    <xf numFmtId="0" fontId="12" fillId="2" borderId="2106" applyNumberFormat="0" applyFont="0" applyAlignment="0" applyProtection="0"/>
    <xf numFmtId="0" fontId="12" fillId="2" borderId="2106" applyNumberFormat="0" applyFont="0" applyAlignment="0" applyProtection="0"/>
    <xf numFmtId="0" fontId="12" fillId="2" borderId="2104" applyNumberFormat="0" applyFont="0" applyAlignment="0" applyProtection="0"/>
    <xf numFmtId="0" fontId="12" fillId="9" borderId="2099" applyBorder="0">
      <protection locked="0"/>
    </xf>
    <xf numFmtId="0" fontId="12" fillId="9" borderId="2099" applyBorder="0">
      <protection locked="0"/>
    </xf>
    <xf numFmtId="0" fontId="12" fillId="9" borderId="2105" applyNumberFormat="0">
      <protection locked="0"/>
    </xf>
    <xf numFmtId="0" fontId="12" fillId="2" borderId="2104" applyNumberFormat="0" applyFont="0" applyAlignment="0" applyProtection="0"/>
    <xf numFmtId="0" fontId="12" fillId="9" borderId="2105" applyNumberFormat="0">
      <protection locked="0"/>
    </xf>
    <xf numFmtId="0" fontId="12" fillId="9" borderId="2099" applyBorder="0">
      <protection locked="0"/>
    </xf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9" borderId="2099" applyBorder="0">
      <protection locked="0"/>
    </xf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12" fillId="2" borderId="2104" applyNumberFormat="0" applyFont="0" applyAlignment="0" applyProtection="0"/>
    <xf numFmtId="0" fontId="81" fillId="46" borderId="0" applyNumberFormat="0" applyBorder="0" applyAlignment="0" applyProtection="0"/>
  </cellStyleXfs>
  <cellXfs count="10952">
    <xf numFmtId="0" fontId="0" fillId="0" borderId="0" xfId="0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3" fillId="3" borderId="0" xfId="0" applyFont="1" applyFill="1"/>
    <xf numFmtId="0" fontId="6" fillId="0" borderId="0" xfId="0" applyFont="1"/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4" fillId="3" borderId="0" xfId="0" applyFont="1" applyFill="1" applyAlignment="1">
      <alignment horizontal="center"/>
    </xf>
    <xf numFmtId="0" fontId="6" fillId="7" borderId="0" xfId="0" applyFont="1" applyFill="1"/>
    <xf numFmtId="49" fontId="6" fillId="3" borderId="0" xfId="0" applyNumberFormat="1" applyFont="1" applyFill="1" applyAlignment="1">
      <alignment horizontal="center"/>
    </xf>
    <xf numFmtId="0" fontId="24" fillId="3" borderId="0" xfId="0" applyFont="1" applyFill="1" applyAlignment="1">
      <alignment vertical="center" wrapText="1"/>
    </xf>
    <xf numFmtId="0" fontId="6" fillId="0" borderId="0" xfId="10" applyFont="1"/>
    <xf numFmtId="1" fontId="6" fillId="3" borderId="0" xfId="0" applyNumberFormat="1" applyFont="1" applyFill="1" applyAlignment="1">
      <alignment horizontal="right"/>
    </xf>
    <xf numFmtId="0" fontId="3" fillId="3" borderId="4" xfId="0" applyFont="1" applyFill="1" applyBorder="1"/>
    <xf numFmtId="0" fontId="3" fillId="5" borderId="14" xfId="0" applyFont="1" applyFill="1" applyBorder="1" applyAlignment="1" applyProtection="1">
      <alignment horizontal="center"/>
      <protection locked="0"/>
    </xf>
    <xf numFmtId="0" fontId="19" fillId="0" borderId="10" xfId="0" applyFont="1" applyBorder="1"/>
    <xf numFmtId="0" fontId="19" fillId="0" borderId="14" xfId="0" applyFont="1" applyBorder="1" applyAlignment="1">
      <alignment wrapText="1"/>
    </xf>
    <xf numFmtId="0" fontId="3" fillId="3" borderId="0" xfId="0" applyFont="1" applyFill="1" applyAlignment="1">
      <alignment horizontal="left"/>
    </xf>
    <xf numFmtId="0" fontId="19" fillId="3" borderId="4" xfId="0" applyFont="1" applyFill="1" applyBorder="1" applyAlignment="1">
      <alignment horizontal="centerContinuous" vertical="center"/>
    </xf>
    <xf numFmtId="0" fontId="19" fillId="3" borderId="4" xfId="0" applyFont="1" applyFill="1" applyBorder="1" applyAlignment="1">
      <alignment horizontal="left" vertical="center"/>
    </xf>
    <xf numFmtId="0" fontId="13" fillId="5" borderId="0" xfId="11" applyFont="1" applyFill="1" applyBorder="1">
      <protection locked="0"/>
    </xf>
    <xf numFmtId="0" fontId="2" fillId="0" borderId="14" xfId="0" applyFont="1" applyBorder="1" applyAlignment="1">
      <alignment horizontal="center"/>
    </xf>
    <xf numFmtId="0" fontId="19" fillId="0" borderId="4" xfId="0" applyFont="1" applyBorder="1" applyAlignment="1">
      <alignment horizontal="left" vertical="center"/>
    </xf>
    <xf numFmtId="0" fontId="6" fillId="5" borderId="0" xfId="11" applyFont="1" applyFill="1" applyBorder="1">
      <protection locked="0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4" fillId="7" borderId="13" xfId="0" applyFont="1" applyFill="1" applyBorder="1" applyAlignment="1" applyProtection="1">
      <alignment horizontal="center"/>
      <protection locked="0"/>
    </xf>
    <xf numFmtId="0" fontId="4" fillId="7" borderId="6" xfId="0" applyFont="1" applyFill="1" applyBorder="1" applyAlignment="1" applyProtection="1">
      <alignment horizontal="center"/>
      <protection locked="0"/>
    </xf>
    <xf numFmtId="0" fontId="19" fillId="5" borderId="14" xfId="12" applyFont="1" applyFill="1" applyAlignment="1">
      <alignment horizontal="center"/>
      <protection locked="0"/>
    </xf>
    <xf numFmtId="0" fontId="6" fillId="3" borderId="0" xfId="0" applyFont="1" applyFill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3" borderId="35" xfId="0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16" fillId="0" borderId="35" xfId="0" applyFont="1" applyBorder="1" applyAlignment="1">
      <alignment vertical="center"/>
    </xf>
    <xf numFmtId="0" fontId="4" fillId="7" borderId="13" xfId="10" applyFont="1" applyFill="1" applyBorder="1" applyAlignment="1" applyProtection="1">
      <alignment horizontal="center"/>
      <protection locked="0"/>
    </xf>
    <xf numFmtId="0" fontId="4" fillId="7" borderId="12" xfId="10" applyFont="1" applyFill="1" applyBorder="1" applyAlignment="1" applyProtection="1">
      <alignment horizontal="center"/>
      <protection locked="0"/>
    </xf>
    <xf numFmtId="0" fontId="4" fillId="7" borderId="46" xfId="10" applyFont="1" applyFill="1" applyBorder="1" applyAlignment="1" applyProtection="1">
      <alignment horizontal="center"/>
      <protection locked="0"/>
    </xf>
    <xf numFmtId="0" fontId="16" fillId="0" borderId="0" xfId="0" applyFont="1" applyAlignment="1">
      <alignment vertical="center"/>
    </xf>
    <xf numFmtId="0" fontId="19" fillId="5" borderId="14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10" borderId="0" xfId="0" applyFont="1" applyFill="1"/>
    <xf numFmtId="0" fontId="19" fillId="11" borderId="0" xfId="0" applyFont="1" applyFill="1" applyAlignment="1">
      <alignment horizontal="center" vertical="center" wrapText="1"/>
    </xf>
    <xf numFmtId="0" fontId="5" fillId="0" borderId="14" xfId="0" applyFont="1" applyBorder="1" applyProtection="1">
      <protection hidden="1"/>
    </xf>
    <xf numFmtId="0" fontId="6" fillId="0" borderId="14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27" fillId="0" borderId="14" xfId="0" applyFont="1" applyBorder="1" applyAlignment="1" applyProtection="1">
      <alignment horizontal="center"/>
      <protection hidden="1"/>
    </xf>
    <xf numFmtId="0" fontId="6" fillId="0" borderId="14" xfId="0" applyFont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center" vertical="center"/>
      <protection hidden="1"/>
    </xf>
    <xf numFmtId="0" fontId="19" fillId="11" borderId="0" xfId="0" applyFont="1" applyFill="1" applyAlignment="1">
      <alignment vertical="center"/>
    </xf>
    <xf numFmtId="0" fontId="19" fillId="0" borderId="0" xfId="0" applyFont="1"/>
    <xf numFmtId="0" fontId="19" fillId="11" borderId="123" xfId="0" applyFont="1" applyFill="1" applyBorder="1" applyAlignment="1">
      <alignment horizontal="center" vertical="center" wrapText="1"/>
    </xf>
    <xf numFmtId="0" fontId="5" fillId="0" borderId="0" xfId="0" applyFont="1"/>
    <xf numFmtId="0" fontId="19" fillId="0" borderId="0" xfId="0" applyFont="1" applyAlignment="1">
      <alignment vertical="center"/>
    </xf>
    <xf numFmtId="3" fontId="5" fillId="0" borderId="14" xfId="0" applyNumberFormat="1" applyFont="1" applyBorder="1" applyProtection="1">
      <protection hidden="1"/>
    </xf>
    <xf numFmtId="0" fontId="33" fillId="13" borderId="3" xfId="0" applyFont="1" applyFill="1" applyBorder="1" applyAlignment="1">
      <alignment vertical="center" wrapText="1"/>
    </xf>
    <xf numFmtId="0" fontId="33" fillId="13" borderId="4" xfId="0" applyFont="1" applyFill="1" applyBorder="1" applyAlignment="1">
      <alignment vertical="center" wrapText="1"/>
    </xf>
    <xf numFmtId="0" fontId="33" fillId="13" borderId="5" xfId="0" applyFont="1" applyFill="1" applyBorder="1" applyAlignment="1">
      <alignment vertical="center" wrapText="1"/>
    </xf>
    <xf numFmtId="0" fontId="33" fillId="13" borderId="11" xfId="0" applyFont="1" applyFill="1" applyBorder="1" applyAlignment="1">
      <alignment vertical="center" wrapText="1"/>
    </xf>
    <xf numFmtId="0" fontId="33" fillId="13" borderId="49" xfId="0" applyFont="1" applyFill="1" applyBorder="1" applyAlignment="1">
      <alignment vertical="center" wrapText="1"/>
    </xf>
    <xf numFmtId="0" fontId="33" fillId="13" borderId="26" xfId="0" applyFont="1" applyFill="1" applyBorder="1" applyAlignment="1">
      <alignment vertical="center" wrapText="1"/>
    </xf>
    <xf numFmtId="0" fontId="33" fillId="14" borderId="0" xfId="0" applyFont="1" applyFill="1" applyAlignment="1">
      <alignment vertical="center" wrapText="1"/>
    </xf>
    <xf numFmtId="0" fontId="19" fillId="13" borderId="49" xfId="0" applyFont="1" applyFill="1" applyBorder="1" applyAlignment="1">
      <alignment horizontal="center" vertical="center" wrapText="1"/>
    </xf>
    <xf numFmtId="0" fontId="6" fillId="13" borderId="0" xfId="0" applyFont="1" applyFill="1"/>
    <xf numFmtId="0" fontId="6" fillId="13" borderId="0" xfId="10" applyFont="1" applyFill="1"/>
    <xf numFmtId="0" fontId="0" fillId="13" borderId="0" xfId="0" applyFill="1"/>
    <xf numFmtId="1" fontId="23" fillId="3" borderId="0" xfId="0" applyNumberFormat="1" applyFont="1" applyFill="1"/>
    <xf numFmtId="1" fontId="20" fillId="3" borderId="0" xfId="0" applyNumberFormat="1" applyFont="1" applyFill="1" applyProtection="1">
      <protection locked="0"/>
    </xf>
    <xf numFmtId="1" fontId="20" fillId="3" borderId="0" xfId="0" applyNumberFormat="1" applyFont="1" applyFill="1"/>
    <xf numFmtId="1" fontId="3" fillId="3" borderId="0" xfId="0" applyNumberFormat="1" applyFont="1" applyFill="1"/>
    <xf numFmtId="1" fontId="4" fillId="3" borderId="0" xfId="0" applyNumberFormat="1" applyFont="1" applyFill="1"/>
    <xf numFmtId="1" fontId="6" fillId="0" borderId="12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/>
    </xf>
    <xf numFmtId="1" fontId="6" fillId="0" borderId="46" xfId="0" applyNumberFormat="1" applyFont="1" applyBorder="1" applyAlignment="1">
      <alignment horizontal="center" vertical="center"/>
    </xf>
    <xf numFmtId="1" fontId="6" fillId="0" borderId="19" xfId="0" applyNumberFormat="1" applyFont="1" applyBorder="1"/>
    <xf numFmtId="1" fontId="6" fillId="4" borderId="16" xfId="0" applyNumberFormat="1" applyFont="1" applyFill="1" applyBorder="1"/>
    <xf numFmtId="1" fontId="6" fillId="5" borderId="63" xfId="0" applyNumberFormat="1" applyFont="1" applyFill="1" applyBorder="1" applyProtection="1">
      <protection locked="0"/>
    </xf>
    <xf numFmtId="1" fontId="6" fillId="4" borderId="44" xfId="0" applyNumberFormat="1" applyFont="1" applyFill="1" applyBorder="1"/>
    <xf numFmtId="1" fontId="6" fillId="5" borderId="19" xfId="0" applyNumberFormat="1" applyFont="1" applyFill="1" applyBorder="1" applyProtection="1">
      <protection locked="0"/>
    </xf>
    <xf numFmtId="1" fontId="6" fillId="0" borderId="24" xfId="0" applyNumberFormat="1" applyFont="1" applyBorder="1"/>
    <xf numFmtId="1" fontId="6" fillId="4" borderId="20" xfId="0" applyNumberFormat="1" applyFont="1" applyFill="1" applyBorder="1"/>
    <xf numFmtId="1" fontId="6" fillId="5" borderId="45" xfId="0" applyNumberFormat="1" applyFont="1" applyFill="1" applyBorder="1" applyProtection="1">
      <protection locked="0"/>
    </xf>
    <xf numFmtId="1" fontId="6" fillId="4" borderId="45" xfId="0" applyNumberFormat="1" applyFont="1" applyFill="1" applyBorder="1"/>
    <xf numFmtId="1" fontId="6" fillId="4" borderId="22" xfId="0" applyNumberFormat="1" applyFont="1" applyFill="1" applyBorder="1"/>
    <xf numFmtId="1" fontId="6" fillId="5" borderId="24" xfId="0" applyNumberFormat="1" applyFont="1" applyFill="1" applyBorder="1" applyProtection="1">
      <protection locked="0"/>
    </xf>
    <xf numFmtId="1" fontId="6" fillId="0" borderId="25" xfId="0" applyNumberFormat="1" applyFont="1" applyBorder="1"/>
    <xf numFmtId="1" fontId="6" fillId="3" borderId="25" xfId="0" applyNumberFormat="1" applyFont="1" applyFill="1" applyBorder="1"/>
    <xf numFmtId="1" fontId="6" fillId="5" borderId="44" xfId="0" applyNumberFormat="1" applyFont="1" applyFill="1" applyBorder="1" applyProtection="1">
      <protection locked="0"/>
    </xf>
    <xf numFmtId="1" fontId="6" fillId="4" borderId="42" xfId="0" applyNumberFormat="1" applyFont="1" applyFill="1" applyBorder="1"/>
    <xf numFmtId="1" fontId="6" fillId="5" borderId="25" xfId="0" applyNumberFormat="1" applyFont="1" applyFill="1" applyBorder="1" applyProtection="1">
      <protection locked="0"/>
    </xf>
    <xf numFmtId="1" fontId="6" fillId="0" borderId="29" xfId="0" applyNumberFormat="1" applyFont="1" applyBorder="1"/>
    <xf numFmtId="1" fontId="6" fillId="4" borderId="30" xfId="0" applyNumberFormat="1" applyFont="1" applyFill="1" applyBorder="1"/>
    <xf numFmtId="1" fontId="6" fillId="5" borderId="65" xfId="0" applyNumberFormat="1" applyFont="1" applyFill="1" applyBorder="1" applyProtection="1">
      <protection locked="0"/>
    </xf>
    <xf numFmtId="1" fontId="6" fillId="5" borderId="48" xfId="0" applyNumberFormat="1" applyFont="1" applyFill="1" applyBorder="1" applyProtection="1">
      <protection locked="0"/>
    </xf>
    <xf numFmtId="1" fontId="6" fillId="4" borderId="32" xfId="0" applyNumberFormat="1" applyFont="1" applyFill="1" applyBorder="1"/>
    <xf numFmtId="1" fontId="6" fillId="5" borderId="29" xfId="0" applyNumberFormat="1" applyFont="1" applyFill="1" applyBorder="1" applyProtection="1">
      <protection locked="0"/>
    </xf>
    <xf numFmtId="1" fontId="6" fillId="0" borderId="51" xfId="0" applyNumberFormat="1" applyFont="1" applyBorder="1"/>
    <xf numFmtId="1" fontId="6" fillId="5" borderId="18" xfId="0" applyNumberFormat="1" applyFont="1" applyFill="1" applyBorder="1" applyProtection="1">
      <protection locked="0"/>
    </xf>
    <xf numFmtId="1" fontId="6" fillId="5" borderId="55" xfId="0" applyNumberFormat="1" applyFont="1" applyFill="1" applyBorder="1" applyProtection="1">
      <protection locked="0"/>
    </xf>
    <xf numFmtId="1" fontId="6" fillId="5" borderId="22" xfId="0" applyNumberFormat="1" applyFont="1" applyFill="1" applyBorder="1" applyProtection="1">
      <protection locked="0"/>
    </xf>
    <xf numFmtId="1" fontId="6" fillId="5" borderId="57" xfId="0" applyNumberFormat="1" applyFont="1" applyFill="1" applyBorder="1" applyProtection="1">
      <protection locked="0"/>
    </xf>
    <xf numFmtId="1" fontId="3" fillId="14" borderId="0" xfId="0" applyNumberFormat="1" applyFont="1" applyFill="1"/>
    <xf numFmtId="1" fontId="6" fillId="0" borderId="47" xfId="0" applyNumberFormat="1" applyFont="1" applyBorder="1" applyAlignment="1">
      <alignment horizontal="center" vertical="center" wrapText="1"/>
    </xf>
    <xf numFmtId="1" fontId="6" fillId="3" borderId="0" xfId="0" applyNumberFormat="1" applyFont="1" applyFill="1" applyProtection="1">
      <protection locked="0"/>
    </xf>
    <xf numFmtId="1" fontId="6" fillId="5" borderId="16" xfId="0" applyNumberFormat="1" applyFont="1" applyFill="1" applyBorder="1" applyProtection="1">
      <protection locked="0"/>
    </xf>
    <xf numFmtId="1" fontId="15" fillId="3" borderId="0" xfId="0" applyNumberFormat="1" applyFont="1" applyFill="1"/>
    <xf numFmtId="1" fontId="6" fillId="3" borderId="0" xfId="0" applyNumberFormat="1" applyFont="1" applyFill="1" applyAlignment="1">
      <alignment wrapText="1"/>
    </xf>
    <xf numFmtId="1" fontId="6" fillId="0" borderId="37" xfId="0" applyNumberFormat="1" applyFont="1" applyBorder="1"/>
    <xf numFmtId="1" fontId="6" fillId="5" borderId="38" xfId="0" applyNumberFormat="1" applyFont="1" applyFill="1" applyBorder="1" applyProtection="1">
      <protection locked="0"/>
    </xf>
    <xf numFmtId="1" fontId="6" fillId="5" borderId="62" xfId="0" applyNumberFormat="1" applyFont="1" applyFill="1" applyBorder="1" applyProtection="1">
      <protection locked="0"/>
    </xf>
    <xf numFmtId="1" fontId="6" fillId="5" borderId="69" xfId="0" applyNumberFormat="1" applyFont="1" applyFill="1" applyBorder="1" applyProtection="1">
      <protection locked="0"/>
    </xf>
    <xf numFmtId="1" fontId="6" fillId="5" borderId="56" xfId="0" applyNumberFormat="1" applyFont="1" applyFill="1" applyBorder="1" applyProtection="1">
      <protection locked="0"/>
    </xf>
    <xf numFmtId="1" fontId="6" fillId="4" borderId="62" xfId="0" applyNumberFormat="1" applyFont="1" applyFill="1" applyBorder="1"/>
    <xf numFmtId="1" fontId="6" fillId="5" borderId="72" xfId="0" applyNumberFormat="1" applyFont="1" applyFill="1" applyBorder="1" applyProtection="1">
      <protection locked="0"/>
    </xf>
    <xf numFmtId="1" fontId="6" fillId="5" borderId="60" xfId="0" applyNumberFormat="1" applyFont="1" applyFill="1" applyBorder="1" applyProtection="1">
      <protection locked="0"/>
    </xf>
    <xf numFmtId="1" fontId="6" fillId="4" borderId="66" xfId="0" applyNumberFormat="1" applyFont="1" applyFill="1" applyBorder="1"/>
    <xf numFmtId="1" fontId="4" fillId="0" borderId="49" xfId="0" applyNumberFormat="1" applyFont="1" applyBorder="1"/>
    <xf numFmtId="1" fontId="6" fillId="4" borderId="53" xfId="0" applyNumberFormat="1" applyFont="1" applyFill="1" applyBorder="1"/>
    <xf numFmtId="1" fontId="6" fillId="4" borderId="54" xfId="0" applyNumberFormat="1" applyFont="1" applyFill="1" applyBorder="1"/>
    <xf numFmtId="1" fontId="6" fillId="4" borderId="36" xfId="0" applyNumberFormat="1" applyFont="1" applyFill="1" applyBorder="1"/>
    <xf numFmtId="1" fontId="6" fillId="5" borderId="36" xfId="0" applyNumberFormat="1" applyFont="1" applyFill="1" applyBorder="1" applyProtection="1">
      <protection locked="0"/>
    </xf>
    <xf numFmtId="1" fontId="6" fillId="5" borderId="37" xfId="0" applyNumberFormat="1" applyFont="1" applyFill="1" applyBorder="1" applyProtection="1">
      <protection locked="0"/>
    </xf>
    <xf numFmtId="1" fontId="6" fillId="4" borderId="63" xfId="0" applyNumberFormat="1" applyFont="1" applyFill="1" applyBorder="1"/>
    <xf numFmtId="1" fontId="6" fillId="5" borderId="20" xfId="0" applyNumberFormat="1" applyFont="1" applyFill="1" applyBorder="1" applyProtection="1">
      <protection locked="0"/>
    </xf>
    <xf numFmtId="1" fontId="6" fillId="5" borderId="17" xfId="0" applyNumberFormat="1" applyFont="1" applyFill="1" applyBorder="1" applyProtection="1">
      <protection locked="0"/>
    </xf>
    <xf numFmtId="1" fontId="6" fillId="5" borderId="21" xfId="0" applyNumberFormat="1" applyFont="1" applyFill="1" applyBorder="1" applyProtection="1">
      <protection locked="0"/>
    </xf>
    <xf numFmtId="1" fontId="6" fillId="4" borderId="21" xfId="0" applyNumberFormat="1" applyFont="1" applyFill="1" applyBorder="1"/>
    <xf numFmtId="1" fontId="6" fillId="5" borderId="41" xfId="0" applyNumberFormat="1" applyFont="1" applyFill="1" applyBorder="1" applyProtection="1">
      <protection locked="0"/>
    </xf>
    <xf numFmtId="1" fontId="6" fillId="5" borderId="42" xfId="0" applyNumberFormat="1" applyFont="1" applyFill="1" applyBorder="1" applyProtection="1">
      <protection locked="0"/>
    </xf>
    <xf numFmtId="1" fontId="6" fillId="4" borderId="38" xfId="0" applyNumberFormat="1" applyFont="1" applyFill="1" applyBorder="1"/>
    <xf numFmtId="1" fontId="6" fillId="4" borderId="50" xfId="0" applyNumberFormat="1" applyFont="1" applyFill="1" applyBorder="1"/>
    <xf numFmtId="1" fontId="4" fillId="0" borderId="0" xfId="0" applyNumberFormat="1" applyFont="1"/>
    <xf numFmtId="1" fontId="6" fillId="5" borderId="53" xfId="0" applyNumberFormat="1" applyFont="1" applyFill="1" applyBorder="1" applyProtection="1">
      <protection locked="0"/>
    </xf>
    <xf numFmtId="1" fontId="6" fillId="0" borderId="40" xfId="0" applyNumberFormat="1" applyFont="1" applyBorder="1"/>
    <xf numFmtId="1" fontId="6" fillId="5" borderId="54" xfId="0" applyNumberFormat="1" applyFont="1" applyFill="1" applyBorder="1" applyProtection="1">
      <protection locked="0"/>
    </xf>
    <xf numFmtId="1" fontId="6" fillId="5" borderId="30" xfId="0" applyNumberFormat="1" applyFont="1" applyFill="1" applyBorder="1" applyProtection="1">
      <protection locked="0"/>
    </xf>
    <xf numFmtId="1" fontId="6" fillId="5" borderId="32" xfId="0" applyNumberFormat="1" applyFont="1" applyFill="1" applyBorder="1" applyProtection="1">
      <protection locked="0"/>
    </xf>
    <xf numFmtId="1" fontId="6" fillId="0" borderId="14" xfId="0" applyNumberFormat="1" applyFont="1" applyBorder="1"/>
    <xf numFmtId="1" fontId="6" fillId="3" borderId="0" xfId="0" applyNumberFormat="1" applyFont="1" applyFill="1"/>
    <xf numFmtId="1" fontId="6" fillId="3" borderId="37" xfId="0" applyNumberFormat="1" applyFont="1" applyFill="1" applyBorder="1"/>
    <xf numFmtId="1" fontId="6" fillId="3" borderId="24" xfId="0" applyNumberFormat="1" applyFont="1" applyFill="1" applyBorder="1"/>
    <xf numFmtId="1" fontId="6" fillId="5" borderId="31" xfId="0" applyNumberFormat="1" applyFont="1" applyFill="1" applyBorder="1" applyProtection="1">
      <protection locked="0"/>
    </xf>
    <xf numFmtId="1" fontId="6" fillId="5" borderId="50" xfId="0" applyNumberFormat="1" applyFont="1" applyFill="1" applyBorder="1" applyProtection="1">
      <protection locked="0"/>
    </xf>
    <xf numFmtId="1" fontId="6" fillId="0" borderId="50" xfId="0" applyNumberFormat="1" applyFont="1" applyBorder="1"/>
    <xf numFmtId="1" fontId="6" fillId="0" borderId="24" xfId="0" applyNumberFormat="1" applyFont="1" applyBorder="1" applyAlignment="1">
      <alignment horizontal="left" vertical="center"/>
    </xf>
    <xf numFmtId="1" fontId="6" fillId="0" borderId="21" xfId="0" applyNumberFormat="1" applyFont="1" applyBorder="1"/>
    <xf numFmtId="1" fontId="6" fillId="5" borderId="27" xfId="0" applyNumberFormat="1" applyFont="1" applyFill="1" applyBorder="1" applyProtection="1">
      <protection locked="0"/>
    </xf>
    <xf numFmtId="1" fontId="6" fillId="5" borderId="28" xfId="0" applyNumberFormat="1" applyFont="1" applyFill="1" applyBorder="1" applyProtection="1">
      <protection locked="0"/>
    </xf>
    <xf numFmtId="1" fontId="13" fillId="3" borderId="0" xfId="0" applyNumberFormat="1" applyFont="1" applyFill="1"/>
    <xf numFmtId="1" fontId="6" fillId="0" borderId="31" xfId="0" applyNumberFormat="1" applyFont="1" applyBorder="1" applyAlignment="1">
      <alignment horizontal="right"/>
    </xf>
    <xf numFmtId="1" fontId="6" fillId="0" borderId="21" xfId="0" applyNumberFormat="1" applyFont="1" applyBorder="1" applyAlignment="1">
      <alignment horizontal="right"/>
    </xf>
    <xf numFmtId="1" fontId="6" fillId="0" borderId="0" xfId="0" applyNumberFormat="1" applyFont="1"/>
    <xf numFmtId="1" fontId="6" fillId="0" borderId="77" xfId="0" applyNumberFormat="1" applyFont="1" applyBorder="1"/>
    <xf numFmtId="1" fontId="6" fillId="0" borderId="17" xfId="0" applyNumberFormat="1" applyFont="1" applyBorder="1" applyAlignment="1">
      <alignment horizontal="right"/>
    </xf>
    <xf numFmtId="1" fontId="6" fillId="5" borderId="51" xfId="0" applyNumberFormat="1" applyFont="1" applyFill="1" applyBorder="1" applyProtection="1">
      <protection locked="0"/>
    </xf>
    <xf numFmtId="1" fontId="6" fillId="5" borderId="40" xfId="0" applyNumberFormat="1" applyFont="1" applyFill="1" applyBorder="1" applyProtection="1">
      <protection locked="0"/>
    </xf>
    <xf numFmtId="1" fontId="6" fillId="0" borderId="50" xfId="0" applyNumberFormat="1" applyFont="1" applyBorder="1" applyAlignment="1">
      <alignment horizontal="right"/>
    </xf>
    <xf numFmtId="1" fontId="6" fillId="5" borderId="23" xfId="0" applyNumberFormat="1" applyFont="1" applyFill="1" applyBorder="1" applyProtection="1">
      <protection locked="0"/>
    </xf>
    <xf numFmtId="1" fontId="6" fillId="0" borderId="39" xfId="0" applyNumberFormat="1" applyFont="1" applyBorder="1" applyAlignment="1">
      <alignment horizontal="right"/>
    </xf>
    <xf numFmtId="1" fontId="6" fillId="5" borderId="61" xfId="0" applyNumberFormat="1" applyFont="1" applyFill="1" applyBorder="1" applyProtection="1">
      <protection locked="0"/>
    </xf>
    <xf numFmtId="1" fontId="4" fillId="0" borderId="7" xfId="0" applyNumberFormat="1" applyFont="1" applyBorder="1"/>
    <xf numFmtId="1" fontId="6" fillId="0" borderId="31" xfId="0" applyNumberFormat="1" applyFont="1" applyBorder="1"/>
    <xf numFmtId="1" fontId="6" fillId="5" borderId="39" xfId="0" applyNumberFormat="1" applyFont="1" applyFill="1" applyBorder="1" applyProtection="1">
      <protection locked="0"/>
    </xf>
    <xf numFmtId="1" fontId="9" fillId="3" borderId="0" xfId="0" applyNumberFormat="1" applyFont="1" applyFill="1"/>
    <xf numFmtId="1" fontId="6" fillId="5" borderId="73" xfId="0" applyNumberFormat="1" applyFont="1" applyFill="1" applyBorder="1" applyProtection="1">
      <protection locked="0"/>
    </xf>
    <xf numFmtId="1" fontId="6" fillId="0" borderId="68" xfId="0" applyNumberFormat="1" applyFont="1" applyBorder="1" applyAlignment="1">
      <alignment horizontal="right" wrapText="1"/>
    </xf>
    <xf numFmtId="1" fontId="6" fillId="5" borderId="59" xfId="0" applyNumberFormat="1" applyFont="1" applyFill="1" applyBorder="1" applyProtection="1">
      <protection locked="0"/>
    </xf>
    <xf numFmtId="1" fontId="13" fillId="3" borderId="0" xfId="0" applyNumberFormat="1" applyFont="1" applyFill="1" applyAlignment="1">
      <alignment wrapText="1"/>
    </xf>
    <xf numFmtId="1" fontId="6" fillId="4" borderId="39" xfId="0" applyNumberFormat="1" applyFont="1" applyFill="1" applyBorder="1"/>
    <xf numFmtId="1" fontId="6" fillId="0" borderId="0" xfId="0" applyNumberFormat="1" applyFont="1" applyAlignment="1">
      <alignment horizontal="left" vertical="center" wrapText="1"/>
    </xf>
    <xf numFmtId="1" fontId="6" fillId="0" borderId="39" xfId="0" applyNumberFormat="1" applyFont="1" applyBorder="1"/>
    <xf numFmtId="1" fontId="6" fillId="5" borderId="70" xfId="0" applyNumberFormat="1" applyFont="1" applyFill="1" applyBorder="1" applyProtection="1">
      <protection locked="0"/>
    </xf>
    <xf numFmtId="1" fontId="6" fillId="5" borderId="58" xfId="0" applyNumberFormat="1" applyFont="1" applyFill="1" applyBorder="1" applyProtection="1">
      <protection locked="0"/>
    </xf>
    <xf numFmtId="1" fontId="6" fillId="5" borderId="66" xfId="0" applyNumberFormat="1" applyFont="1" applyFill="1" applyBorder="1" applyProtection="1">
      <protection locked="0"/>
    </xf>
    <xf numFmtId="1" fontId="6" fillId="0" borderId="9" xfId="0" applyNumberFormat="1" applyFont="1" applyBorder="1"/>
    <xf numFmtId="1" fontId="6" fillId="5" borderId="33" xfId="0" applyNumberFormat="1" applyFont="1" applyFill="1" applyBorder="1" applyProtection="1">
      <protection locked="0"/>
    </xf>
    <xf numFmtId="1" fontId="6" fillId="5" borderId="64" xfId="0" applyNumberFormat="1" applyFont="1" applyFill="1" applyBorder="1" applyProtection="1">
      <protection locked="0"/>
    </xf>
    <xf numFmtId="1" fontId="6" fillId="5" borderId="34" xfId="0" applyNumberFormat="1" applyFont="1" applyFill="1" applyBorder="1" applyProtection="1">
      <protection locked="0"/>
    </xf>
    <xf numFmtId="1" fontId="6" fillId="5" borderId="74" xfId="0" applyNumberFormat="1" applyFont="1" applyFill="1" applyBorder="1" applyProtection="1">
      <protection locked="0"/>
    </xf>
    <xf numFmtId="1" fontId="6" fillId="5" borderId="75" xfId="0" applyNumberFormat="1" applyFont="1" applyFill="1" applyBorder="1" applyProtection="1">
      <protection locked="0"/>
    </xf>
    <xf numFmtId="1" fontId="6" fillId="0" borderId="26" xfId="0" applyNumberFormat="1" applyFont="1" applyBorder="1"/>
    <xf numFmtId="1" fontId="6" fillId="0" borderId="68" xfId="0" applyNumberFormat="1" applyFont="1" applyBorder="1"/>
    <xf numFmtId="1" fontId="6" fillId="3" borderId="50" xfId="0" applyNumberFormat="1" applyFont="1" applyFill="1" applyBorder="1" applyAlignment="1">
      <alignment horizontal="right"/>
    </xf>
    <xf numFmtId="1" fontId="6" fillId="5" borderId="50" xfId="0" applyNumberFormat="1" applyFont="1" applyFill="1" applyBorder="1" applyAlignment="1" applyProtection="1">
      <alignment wrapText="1"/>
      <protection locked="0"/>
    </xf>
    <xf numFmtId="1" fontId="6" fillId="5" borderId="31" xfId="0" applyNumberFormat="1" applyFont="1" applyFill="1" applyBorder="1" applyAlignment="1" applyProtection="1">
      <alignment wrapText="1"/>
      <protection locked="0"/>
    </xf>
    <xf numFmtId="1" fontId="6" fillId="5" borderId="21" xfId="0" applyNumberFormat="1" applyFont="1" applyFill="1" applyBorder="1" applyAlignment="1" applyProtection="1">
      <alignment wrapText="1"/>
      <protection locked="0"/>
    </xf>
    <xf numFmtId="1" fontId="6" fillId="5" borderId="24" xfId="0" applyNumberFormat="1" applyFont="1" applyFill="1" applyBorder="1" applyAlignment="1" applyProtection="1">
      <alignment wrapText="1"/>
      <protection locked="0"/>
    </xf>
    <xf numFmtId="1" fontId="4" fillId="0" borderId="77" xfId="0" applyNumberFormat="1" applyFont="1" applyBorder="1"/>
    <xf numFmtId="1" fontId="6" fillId="3" borderId="0" xfId="0" applyNumberFormat="1" applyFont="1" applyFill="1" applyProtection="1">
      <protection hidden="1"/>
    </xf>
    <xf numFmtId="1" fontId="6" fillId="5" borderId="41" xfId="0" applyNumberFormat="1" applyFont="1" applyFill="1" applyBorder="1" applyAlignment="1" applyProtection="1">
      <alignment horizontal="right"/>
      <protection locked="0"/>
    </xf>
    <xf numFmtId="1" fontId="6" fillId="5" borderId="31" xfId="0" applyNumberFormat="1" applyFont="1" applyFill="1" applyBorder="1" applyAlignment="1" applyProtection="1">
      <alignment horizontal="right"/>
      <protection locked="0"/>
    </xf>
    <xf numFmtId="1" fontId="6" fillId="5" borderId="42" xfId="0" applyNumberFormat="1" applyFont="1" applyFill="1" applyBorder="1" applyAlignment="1" applyProtection="1">
      <alignment horizontal="right"/>
      <protection locked="0"/>
    </xf>
    <xf numFmtId="1" fontId="6" fillId="5" borderId="39" xfId="0" applyNumberFormat="1" applyFont="1" applyFill="1" applyBorder="1" applyAlignment="1" applyProtection="1">
      <alignment horizontal="right"/>
      <protection locked="0"/>
    </xf>
    <xf numFmtId="1" fontId="6" fillId="3" borderId="95" xfId="0" applyNumberFormat="1" applyFont="1" applyFill="1" applyBorder="1" applyProtection="1">
      <protection hidden="1"/>
    </xf>
    <xf numFmtId="1" fontId="6" fillId="5" borderId="84" xfId="0" applyNumberFormat="1" applyFont="1" applyFill="1" applyBorder="1" applyProtection="1">
      <protection locked="0"/>
    </xf>
    <xf numFmtId="1" fontId="6" fillId="5" borderId="93" xfId="0" applyNumberFormat="1" applyFont="1" applyFill="1" applyBorder="1" applyProtection="1">
      <protection locked="0"/>
    </xf>
    <xf numFmtId="1" fontId="6" fillId="5" borderId="94" xfId="0" applyNumberFormat="1" applyFont="1" applyFill="1" applyBorder="1" applyProtection="1">
      <protection locked="0"/>
    </xf>
    <xf numFmtId="1" fontId="9" fillId="0" borderId="0" xfId="0" applyNumberFormat="1" applyFont="1"/>
    <xf numFmtId="1" fontId="6" fillId="0" borderId="52" xfId="0" applyNumberFormat="1" applyFont="1" applyBorder="1" applyAlignment="1">
      <alignment horizontal="center" vertical="center" wrapText="1"/>
    </xf>
    <xf numFmtId="1" fontId="6" fillId="5" borderId="35" xfId="0" applyNumberFormat="1" applyFont="1" applyFill="1" applyBorder="1" applyProtection="1">
      <protection locked="0"/>
    </xf>
    <xf numFmtId="1" fontId="6" fillId="5" borderId="9" xfId="0" applyNumberFormat="1" applyFont="1" applyFill="1" applyBorder="1" applyProtection="1">
      <protection locked="0"/>
    </xf>
    <xf numFmtId="1" fontId="6" fillId="0" borderId="37" xfId="0" applyNumberFormat="1" applyFont="1" applyBorder="1" applyAlignment="1">
      <alignment horizontal="left" wrapText="1"/>
    </xf>
    <xf numFmtId="1" fontId="3" fillId="0" borderId="0" xfId="0" applyNumberFormat="1" applyFont="1"/>
    <xf numFmtId="1" fontId="6" fillId="5" borderId="78" xfId="0" applyNumberFormat="1" applyFont="1" applyFill="1" applyBorder="1" applyProtection="1">
      <protection locked="0"/>
    </xf>
    <xf numFmtId="1" fontId="6" fillId="5" borderId="79" xfId="0" applyNumberFormat="1" applyFont="1" applyFill="1" applyBorder="1" applyProtection="1">
      <protection locked="0"/>
    </xf>
    <xf numFmtId="1" fontId="6" fillId="5" borderId="80" xfId="0" applyNumberFormat="1" applyFont="1" applyFill="1" applyBorder="1" applyProtection="1">
      <protection locked="0"/>
    </xf>
    <xf numFmtId="1" fontId="6" fillId="5" borderId="81" xfId="0" applyNumberFormat="1" applyFont="1" applyFill="1" applyBorder="1" applyProtection="1">
      <protection locked="0"/>
    </xf>
    <xf numFmtId="1" fontId="6" fillId="5" borderId="0" xfId="0" applyNumberFormat="1" applyFont="1" applyFill="1" applyProtection="1">
      <protection locked="0"/>
    </xf>
    <xf numFmtId="1" fontId="6" fillId="5" borderId="82" xfId="0" applyNumberFormat="1" applyFont="1" applyFill="1" applyBorder="1" applyProtection="1">
      <protection locked="0"/>
    </xf>
    <xf numFmtId="1" fontId="6" fillId="5" borderId="86" xfId="0" applyNumberFormat="1" applyFont="1" applyFill="1" applyBorder="1" applyProtection="1">
      <protection locked="0"/>
    </xf>
    <xf numFmtId="1" fontId="6" fillId="5" borderId="87" xfId="0" applyNumberFormat="1" applyFont="1" applyFill="1" applyBorder="1" applyProtection="1">
      <protection locked="0"/>
    </xf>
    <xf numFmtId="1" fontId="6" fillId="5" borderId="90" xfId="0" applyNumberFormat="1" applyFont="1" applyFill="1" applyBorder="1" applyProtection="1">
      <protection locked="0"/>
    </xf>
    <xf numFmtId="1" fontId="11" fillId="3" borderId="0" xfId="0" applyNumberFormat="1" applyFont="1" applyFill="1"/>
    <xf numFmtId="1" fontId="6" fillId="5" borderId="76" xfId="0" applyNumberFormat="1" applyFont="1" applyFill="1" applyBorder="1" applyProtection="1">
      <protection locked="0"/>
    </xf>
    <xf numFmtId="1" fontId="6" fillId="5" borderId="5" xfId="0" applyNumberFormat="1" applyFont="1" applyFill="1" applyBorder="1" applyProtection="1">
      <protection locked="0"/>
    </xf>
    <xf numFmtId="1" fontId="6" fillId="0" borderId="5" xfId="0" applyNumberFormat="1" applyFont="1" applyBorder="1" applyAlignment="1">
      <alignment horizontal="right"/>
    </xf>
    <xf numFmtId="1" fontId="13" fillId="3" borderId="0" xfId="0" applyNumberFormat="1" applyFont="1" applyFill="1" applyAlignment="1">
      <alignment horizontal="left" wrapText="1"/>
    </xf>
    <xf numFmtId="1" fontId="6" fillId="0" borderId="27" xfId="0" applyNumberFormat="1" applyFont="1" applyBorder="1" applyAlignment="1">
      <alignment horizontal="right" wrapText="1"/>
    </xf>
    <xf numFmtId="1" fontId="6" fillId="0" borderId="26" xfId="0" applyNumberFormat="1" applyFont="1" applyBorder="1" applyAlignment="1">
      <alignment horizontal="right"/>
    </xf>
    <xf numFmtId="1" fontId="6" fillId="4" borderId="94" xfId="0" applyNumberFormat="1" applyFont="1" applyFill="1" applyBorder="1"/>
    <xf numFmtId="1" fontId="6" fillId="5" borderId="50" xfId="0" applyNumberFormat="1" applyFont="1" applyFill="1" applyBorder="1" applyAlignment="1" applyProtection="1">
      <alignment horizontal="right"/>
      <protection locked="0"/>
    </xf>
    <xf numFmtId="1" fontId="6" fillId="3" borderId="0" xfId="0" applyNumberFormat="1" applyFont="1" applyFill="1" applyAlignment="1">
      <alignment vertical="center"/>
    </xf>
    <xf numFmtId="1" fontId="4" fillId="0" borderId="4" xfId="0" applyNumberFormat="1" applyFont="1" applyBorder="1"/>
    <xf numFmtId="1" fontId="6" fillId="0" borderId="19" xfId="0" applyNumberFormat="1" applyFont="1" applyBorder="1" applyAlignment="1">
      <alignment vertical="center"/>
    </xf>
    <xf numFmtId="1" fontId="6" fillId="0" borderId="24" xfId="0" applyNumberFormat="1" applyFont="1" applyBorder="1" applyAlignment="1">
      <alignment vertical="center"/>
    </xf>
    <xf numFmtId="1" fontId="6" fillId="0" borderId="37" xfId="0" applyNumberFormat="1" applyFont="1" applyBorder="1" applyAlignment="1">
      <alignment vertical="center"/>
    </xf>
    <xf numFmtId="1" fontId="6" fillId="5" borderId="68" xfId="0" applyNumberFormat="1" applyFont="1" applyFill="1" applyBorder="1" applyProtection="1">
      <protection locked="0"/>
    </xf>
    <xf numFmtId="1" fontId="6" fillId="5" borderId="55" xfId="0" applyNumberFormat="1" applyFont="1" applyFill="1" applyBorder="1" applyAlignment="1" applyProtection="1">
      <alignment horizontal="right"/>
      <protection locked="0"/>
    </xf>
    <xf numFmtId="1" fontId="6" fillId="5" borderId="38" xfId="0" applyNumberFormat="1" applyFont="1" applyFill="1" applyBorder="1" applyAlignment="1" applyProtection="1">
      <alignment horizontal="right"/>
      <protection locked="0"/>
    </xf>
    <xf numFmtId="1" fontId="6" fillId="5" borderId="36" xfId="0" applyNumberFormat="1" applyFont="1" applyFill="1" applyBorder="1" applyAlignment="1" applyProtection="1">
      <alignment horizontal="right"/>
      <protection locked="0"/>
    </xf>
    <xf numFmtId="1" fontId="6" fillId="5" borderId="54" xfId="0" applyNumberFormat="1" applyFont="1" applyFill="1" applyBorder="1" applyAlignment="1" applyProtection="1">
      <alignment horizontal="right"/>
      <protection locked="0"/>
    </xf>
    <xf numFmtId="1" fontId="19" fillId="3" borderId="0" xfId="0" applyNumberFormat="1" applyFont="1" applyFill="1"/>
    <xf numFmtId="1" fontId="6" fillId="5" borderId="71" xfId="0" applyNumberFormat="1" applyFont="1" applyFill="1" applyBorder="1" applyProtection="1">
      <protection locked="0"/>
    </xf>
    <xf numFmtId="1" fontId="11" fillId="0" borderId="0" xfId="0" applyNumberFormat="1" applyFont="1"/>
    <xf numFmtId="1" fontId="6" fillId="5" borderId="110" xfId="0" applyNumberFormat="1" applyFont="1" applyFill="1" applyBorder="1" applyProtection="1">
      <protection locked="0"/>
    </xf>
    <xf numFmtId="1" fontId="6" fillId="5" borderId="109" xfId="0" applyNumberFormat="1" applyFont="1" applyFill="1" applyBorder="1" applyProtection="1">
      <protection locked="0"/>
    </xf>
    <xf numFmtId="1" fontId="11" fillId="5" borderId="25" xfId="0" applyNumberFormat="1" applyFont="1" applyFill="1" applyBorder="1" applyProtection="1">
      <protection locked="0"/>
    </xf>
    <xf numFmtId="1" fontId="10" fillId="3" borderId="0" xfId="0" applyNumberFormat="1" applyFont="1" applyFill="1"/>
    <xf numFmtId="1" fontId="6" fillId="4" borderId="93" xfId="0" applyNumberFormat="1" applyFont="1" applyFill="1" applyBorder="1"/>
    <xf numFmtId="1" fontId="6" fillId="5" borderId="96" xfId="0" applyNumberFormat="1" applyFont="1" applyFill="1" applyBorder="1" applyProtection="1">
      <protection locked="0"/>
    </xf>
    <xf numFmtId="1" fontId="6" fillId="5" borderId="127" xfId="0" applyNumberFormat="1" applyFont="1" applyFill="1" applyBorder="1" applyProtection="1">
      <protection locked="0"/>
    </xf>
    <xf numFmtId="1" fontId="6" fillId="0" borderId="46" xfId="0" applyNumberFormat="1" applyFont="1" applyBorder="1" applyAlignment="1">
      <alignment horizontal="right"/>
    </xf>
    <xf numFmtId="1" fontId="6" fillId="5" borderId="83" xfId="0" applyNumberFormat="1" applyFont="1" applyFill="1" applyBorder="1" applyProtection="1">
      <protection locked="0"/>
    </xf>
    <xf numFmtId="1" fontId="6" fillId="5" borderId="98" xfId="0" applyNumberFormat="1" applyFont="1" applyFill="1" applyBorder="1" applyProtection="1">
      <protection locked="0"/>
    </xf>
    <xf numFmtId="1" fontId="6" fillId="0" borderId="92" xfId="0" applyNumberFormat="1" applyFont="1" applyBorder="1"/>
    <xf numFmtId="1" fontId="6" fillId="5" borderId="85" xfId="0" applyNumberFormat="1" applyFont="1" applyFill="1" applyBorder="1" applyProtection="1">
      <protection locked="0"/>
    </xf>
    <xf numFmtId="1" fontId="6" fillId="0" borderId="41" xfId="0" applyNumberFormat="1" applyFont="1" applyBorder="1" applyAlignment="1">
      <alignment horizontal="right"/>
    </xf>
    <xf numFmtId="1" fontId="6" fillId="0" borderId="20" xfId="0" applyNumberFormat="1" applyFont="1" applyBorder="1" applyAlignment="1">
      <alignment horizontal="right"/>
    </xf>
    <xf numFmtId="1" fontId="6" fillId="0" borderId="41" xfId="0" applyNumberFormat="1" applyFont="1" applyBorder="1" applyAlignment="1">
      <alignment horizontal="right" wrapText="1"/>
    </xf>
    <xf numFmtId="1" fontId="6" fillId="0" borderId="38" xfId="0" applyNumberFormat="1" applyFont="1" applyBorder="1" applyAlignment="1">
      <alignment horizontal="right" wrapText="1"/>
    </xf>
    <xf numFmtId="1" fontId="6" fillId="5" borderId="20" xfId="0" applyNumberFormat="1" applyFont="1" applyFill="1" applyBorder="1" applyAlignment="1" applyProtection="1">
      <alignment wrapText="1"/>
      <protection locked="0"/>
    </xf>
    <xf numFmtId="1" fontId="6" fillId="5" borderId="88" xfId="0" applyNumberFormat="1" applyFont="1" applyFill="1" applyBorder="1" applyProtection="1">
      <protection locked="0"/>
    </xf>
    <xf numFmtId="1" fontId="6" fillId="5" borderId="111" xfId="0" applyNumberFormat="1" applyFont="1" applyFill="1" applyBorder="1" applyProtection="1">
      <protection locked="0"/>
    </xf>
    <xf numFmtId="1" fontId="6" fillId="0" borderId="43" xfId="0" applyNumberFormat="1" applyFont="1" applyBorder="1" applyAlignment="1">
      <alignment horizontal="center" vertical="center" wrapText="1"/>
    </xf>
    <xf numFmtId="1" fontId="11" fillId="5" borderId="24" xfId="0" applyNumberFormat="1" applyFont="1" applyFill="1" applyBorder="1" applyProtection="1">
      <protection locked="0"/>
    </xf>
    <xf numFmtId="1" fontId="6" fillId="0" borderId="27" xfId="0" applyNumberFormat="1" applyFont="1" applyBorder="1"/>
    <xf numFmtId="1" fontId="6" fillId="0" borderId="37" xfId="0" applyNumberFormat="1" applyFont="1" applyBorder="1" applyAlignment="1">
      <alignment horizontal="right" vertical="center" wrapText="1"/>
    </xf>
    <xf numFmtId="1" fontId="6" fillId="5" borderId="101" xfId="0" applyNumberFormat="1" applyFont="1" applyFill="1" applyBorder="1" applyProtection="1">
      <protection locked="0"/>
    </xf>
    <xf numFmtId="1" fontId="6" fillId="5" borderId="97" xfId="0" applyNumberFormat="1" applyFont="1" applyFill="1" applyBorder="1" applyProtection="1">
      <protection locked="0"/>
    </xf>
    <xf numFmtId="1" fontId="6" fillId="5" borderId="100" xfId="0" applyNumberFormat="1" applyFont="1" applyFill="1" applyBorder="1" applyProtection="1">
      <protection locked="0"/>
    </xf>
    <xf numFmtId="1" fontId="6" fillId="5" borderId="103" xfId="0" applyNumberFormat="1" applyFont="1" applyFill="1" applyBorder="1" applyProtection="1">
      <protection locked="0"/>
    </xf>
    <xf numFmtId="1" fontId="6" fillId="4" borderId="57" xfId="0" applyNumberFormat="1" applyFont="1" applyFill="1" applyBorder="1"/>
    <xf numFmtId="1" fontId="6" fillId="5" borderId="102" xfId="0" applyNumberFormat="1" applyFont="1" applyFill="1" applyBorder="1" applyProtection="1">
      <protection locked="0"/>
    </xf>
    <xf numFmtId="1" fontId="6" fillId="0" borderId="30" xfId="0" applyNumberFormat="1" applyFont="1" applyBorder="1" applyAlignment="1">
      <alignment horizontal="right"/>
    </xf>
    <xf numFmtId="1" fontId="6" fillId="0" borderId="27" xfId="0" applyNumberFormat="1" applyFont="1" applyBorder="1" applyAlignment="1">
      <alignment horizontal="right"/>
    </xf>
    <xf numFmtId="1" fontId="6" fillId="0" borderId="48" xfId="0" applyNumberFormat="1" applyFont="1" applyBorder="1" applyAlignment="1">
      <alignment horizontal="right"/>
    </xf>
    <xf numFmtId="1" fontId="6" fillId="0" borderId="74" xfId="0" applyNumberFormat="1" applyFont="1" applyBorder="1"/>
    <xf numFmtId="1" fontId="6" fillId="0" borderId="63" xfId="0" applyNumberFormat="1" applyFont="1" applyBorder="1" applyAlignment="1">
      <alignment horizontal="right" wrapText="1"/>
    </xf>
    <xf numFmtId="1" fontId="6" fillId="0" borderId="63" xfId="0" applyNumberFormat="1" applyFont="1" applyBorder="1" applyAlignment="1">
      <alignment vertical="center" wrapText="1"/>
    </xf>
    <xf numFmtId="1" fontId="6" fillId="0" borderId="63" xfId="0" applyNumberFormat="1" applyFont="1" applyBorder="1" applyAlignment="1">
      <alignment horizontal="right"/>
    </xf>
    <xf numFmtId="1" fontId="6" fillId="0" borderId="48" xfId="0" applyNumberFormat="1" applyFont="1" applyBorder="1" applyAlignment="1">
      <alignment horizontal="right" wrapText="1"/>
    </xf>
    <xf numFmtId="1" fontId="6" fillId="0" borderId="16" xfId="0" applyNumberFormat="1" applyFont="1" applyBorder="1" applyAlignment="1">
      <alignment horizontal="right"/>
    </xf>
    <xf numFmtId="1" fontId="6" fillId="0" borderId="44" xfId="0" applyNumberFormat="1" applyFont="1" applyBorder="1" applyAlignment="1">
      <alignment horizontal="right"/>
    </xf>
    <xf numFmtId="1" fontId="6" fillId="0" borderId="38" xfId="0" applyNumberFormat="1" applyFont="1" applyBorder="1" applyAlignment="1">
      <alignment horizontal="right"/>
    </xf>
    <xf numFmtId="1" fontId="6" fillId="0" borderId="62" xfId="0" applyNumberFormat="1" applyFont="1" applyBorder="1" applyAlignment="1">
      <alignment horizontal="right"/>
    </xf>
    <xf numFmtId="1" fontId="6" fillId="0" borderId="45" xfId="0" applyNumberFormat="1" applyFont="1" applyBorder="1" applyAlignment="1">
      <alignment horizontal="right"/>
    </xf>
    <xf numFmtId="1" fontId="6" fillId="0" borderId="33" xfId="0" applyNumberFormat="1" applyFont="1" applyBorder="1"/>
    <xf numFmtId="1" fontId="6" fillId="0" borderId="72" xfId="0" applyNumberFormat="1" applyFont="1" applyBorder="1" applyAlignment="1">
      <alignment horizontal="right"/>
    </xf>
    <xf numFmtId="1" fontId="6" fillId="0" borderId="33" xfId="0" applyNumberFormat="1" applyFont="1" applyBorder="1" applyAlignment="1">
      <alignment horizontal="right"/>
    </xf>
    <xf numFmtId="1" fontId="6" fillId="0" borderId="52" xfId="0" applyNumberFormat="1" applyFont="1" applyBorder="1" applyAlignment="1">
      <alignment horizontal="right"/>
    </xf>
    <xf numFmtId="1" fontId="6" fillId="0" borderId="43" xfId="0" applyNumberFormat="1" applyFont="1" applyBorder="1" applyAlignment="1">
      <alignment horizontal="right"/>
    </xf>
    <xf numFmtId="1" fontId="6" fillId="4" borderId="44" xfId="0" applyNumberFormat="1" applyFont="1" applyFill="1" applyBorder="1" applyAlignment="1">
      <alignment horizontal="right"/>
    </xf>
    <xf numFmtId="1" fontId="6" fillId="0" borderId="38" xfId="0" applyNumberFormat="1" applyFont="1" applyBorder="1" applyAlignment="1">
      <alignment horizontal="right" shrinkToFit="1"/>
    </xf>
    <xf numFmtId="1" fontId="6" fillId="0" borderId="62" xfId="0" applyNumberFormat="1" applyFont="1" applyBorder="1" applyAlignment="1">
      <alignment horizontal="right" shrinkToFit="1"/>
    </xf>
    <xf numFmtId="1" fontId="6" fillId="5" borderId="82" xfId="0" applyNumberFormat="1" applyFont="1" applyFill="1" applyBorder="1" applyAlignment="1" applyProtection="1">
      <alignment horizontal="right"/>
      <protection locked="0"/>
    </xf>
    <xf numFmtId="1" fontId="6" fillId="5" borderId="109" xfId="0" applyNumberFormat="1" applyFont="1" applyFill="1" applyBorder="1" applyAlignment="1" applyProtection="1">
      <alignment horizontal="right"/>
      <protection locked="0"/>
    </xf>
    <xf numFmtId="1" fontId="6" fillId="14" borderId="0" xfId="0" applyNumberFormat="1" applyFont="1" applyFill="1"/>
    <xf numFmtId="1" fontId="20" fillId="17" borderId="0" xfId="0" applyNumberFormat="1" applyFont="1" applyFill="1" applyProtection="1">
      <protection locked="0"/>
    </xf>
    <xf numFmtId="1" fontId="9" fillId="14" borderId="0" xfId="0" applyNumberFormat="1" applyFont="1" applyFill="1"/>
    <xf numFmtId="1" fontId="6" fillId="14" borderId="0" xfId="0" applyNumberFormat="1" applyFont="1" applyFill="1" applyProtection="1">
      <protection hidden="1"/>
    </xf>
    <xf numFmtId="1" fontId="4" fillId="14" borderId="0" xfId="0" applyNumberFormat="1" applyFont="1" applyFill="1"/>
    <xf numFmtId="1" fontId="13" fillId="0" borderId="6" xfId="0" applyNumberFormat="1" applyFont="1" applyBorder="1" applyAlignment="1">
      <alignment horizontal="center" vertical="center"/>
    </xf>
    <xf numFmtId="1" fontId="20" fillId="18" borderId="0" xfId="0" applyNumberFormat="1" applyFont="1" applyFill="1" applyProtection="1">
      <protection locked="0"/>
    </xf>
    <xf numFmtId="1" fontId="20" fillId="17" borderId="0" xfId="0" applyNumberFormat="1" applyFont="1" applyFill="1"/>
    <xf numFmtId="0" fontId="6" fillId="14" borderId="14" xfId="0" applyFont="1" applyFill="1" applyBorder="1" applyProtection="1">
      <protection locked="0"/>
    </xf>
    <xf numFmtId="0" fontId="27" fillId="14" borderId="14" xfId="0" applyFont="1" applyFill="1" applyBorder="1" applyAlignment="1" applyProtection="1">
      <alignment horizontal="center"/>
      <protection hidden="1"/>
    </xf>
    <xf numFmtId="3" fontId="5" fillId="14" borderId="14" xfId="0" applyNumberFormat="1" applyFont="1" applyFill="1" applyBorder="1" applyProtection="1">
      <protection hidden="1"/>
    </xf>
    <xf numFmtId="0" fontId="3" fillId="14" borderId="14" xfId="0" applyFont="1" applyFill="1" applyBorder="1" applyProtection="1">
      <protection locked="0"/>
    </xf>
    <xf numFmtId="0" fontId="3" fillId="14" borderId="14" xfId="0" applyFont="1" applyFill="1" applyBorder="1" applyProtection="1">
      <protection locked="0" hidden="1"/>
    </xf>
    <xf numFmtId="1" fontId="11" fillId="14" borderId="0" xfId="0" applyNumberFormat="1" applyFont="1" applyFill="1"/>
    <xf numFmtId="1" fontId="6" fillId="5" borderId="142" xfId="0" applyNumberFormat="1" applyFont="1" applyFill="1" applyBorder="1" applyProtection="1">
      <protection locked="0"/>
    </xf>
    <xf numFmtId="1" fontId="6" fillId="5" borderId="147" xfId="0" applyNumberFormat="1" applyFont="1" applyFill="1" applyBorder="1" applyProtection="1">
      <protection locked="0"/>
    </xf>
    <xf numFmtId="1" fontId="6" fillId="5" borderId="146" xfId="0" applyNumberFormat="1" applyFont="1" applyFill="1" applyBorder="1" applyProtection="1">
      <protection locked="0"/>
    </xf>
    <xf numFmtId="1" fontId="6" fillId="5" borderId="144" xfId="0" applyNumberFormat="1" applyFont="1" applyFill="1" applyBorder="1" applyProtection="1">
      <protection locked="0"/>
    </xf>
    <xf numFmtId="1" fontId="6" fillId="0" borderId="149" xfId="0" applyNumberFormat="1" applyFont="1" applyBorder="1" applyAlignment="1">
      <alignment horizontal="center" vertical="center"/>
    </xf>
    <xf numFmtId="1" fontId="6" fillId="5" borderId="139" xfId="0" applyNumberFormat="1" applyFont="1" applyFill="1" applyBorder="1" applyProtection="1">
      <protection locked="0"/>
    </xf>
    <xf numFmtId="1" fontId="6" fillId="0" borderId="150" xfId="0" applyNumberFormat="1" applyFont="1" applyBorder="1" applyAlignment="1">
      <alignment horizontal="center" vertical="center" wrapText="1"/>
    </xf>
    <xf numFmtId="1" fontId="6" fillId="4" borderId="143" xfId="0" applyNumberFormat="1" applyFont="1" applyFill="1" applyBorder="1"/>
    <xf numFmtId="1" fontId="6" fillId="0" borderId="137" xfId="0" applyNumberFormat="1" applyFont="1" applyBorder="1"/>
    <xf numFmtId="1" fontId="6" fillId="5" borderId="110" xfId="0" applyNumberFormat="1" applyFont="1" applyFill="1" applyBorder="1" applyAlignment="1" applyProtection="1">
      <alignment horizontal="right"/>
      <protection locked="0"/>
    </xf>
    <xf numFmtId="1" fontId="6" fillId="0" borderId="163" xfId="0" applyNumberFormat="1" applyFont="1" applyBorder="1" applyAlignment="1">
      <alignment horizontal="center" vertical="center" wrapText="1"/>
    </xf>
    <xf numFmtId="1" fontId="6" fillId="3" borderId="165" xfId="0" applyNumberFormat="1" applyFont="1" applyFill="1" applyBorder="1"/>
    <xf numFmtId="1" fontId="6" fillId="0" borderId="165" xfId="0" applyNumberFormat="1" applyFont="1" applyBorder="1"/>
    <xf numFmtId="1" fontId="6" fillId="0" borderId="146" xfId="0" applyNumberFormat="1" applyFont="1" applyBorder="1" applyAlignment="1">
      <alignment vertical="center" wrapText="1"/>
    </xf>
    <xf numFmtId="1" fontId="6" fillId="0" borderId="19" xfId="0" applyNumberFormat="1" applyFont="1" applyBorder="1" applyAlignment="1">
      <alignment vertical="center" wrapText="1"/>
    </xf>
    <xf numFmtId="1" fontId="6" fillId="0" borderId="37" xfId="0" applyNumberFormat="1" applyFont="1" applyBorder="1" applyAlignment="1">
      <alignment vertical="center" wrapText="1"/>
    </xf>
    <xf numFmtId="1" fontId="6" fillId="0" borderId="24" xfId="0" applyNumberFormat="1" applyFont="1" applyBorder="1" applyAlignment="1">
      <alignment vertical="center" wrapText="1"/>
    </xf>
    <xf numFmtId="1" fontId="5" fillId="0" borderId="14" xfId="0" applyNumberFormat="1" applyFont="1" applyBorder="1" applyProtection="1">
      <protection hidden="1"/>
    </xf>
    <xf numFmtId="1" fontId="6" fillId="0" borderId="160" xfId="0" applyNumberFormat="1" applyFont="1" applyBorder="1" applyAlignment="1">
      <alignment horizontal="center" vertical="center" wrapText="1"/>
    </xf>
    <xf numFmtId="1" fontId="6" fillId="0" borderId="151" xfId="0" applyNumberFormat="1" applyFont="1" applyBorder="1" applyAlignment="1">
      <alignment horizontal="center" vertical="center" wrapText="1"/>
    </xf>
    <xf numFmtId="1" fontId="6" fillId="0" borderId="162" xfId="0" applyNumberFormat="1" applyFont="1" applyBorder="1" applyAlignment="1">
      <alignment horizontal="center" vertical="center" wrapText="1"/>
    </xf>
    <xf numFmtId="1" fontId="6" fillId="0" borderId="38" xfId="0" applyNumberFormat="1" applyFont="1" applyBorder="1"/>
    <xf numFmtId="1" fontId="6" fillId="0" borderId="62" xfId="0" applyNumberFormat="1" applyFont="1" applyBorder="1"/>
    <xf numFmtId="1" fontId="2" fillId="3" borderId="0" xfId="0" applyNumberFormat="1" applyFont="1" applyFill="1" applyAlignment="1">
      <alignment horizontal="center"/>
    </xf>
    <xf numFmtId="1" fontId="6" fillId="0" borderId="172" xfId="0" applyNumberFormat="1" applyFont="1" applyBorder="1" applyAlignment="1">
      <alignment horizontal="center" vertical="center" wrapText="1"/>
    </xf>
    <xf numFmtId="1" fontId="6" fillId="0" borderId="153" xfId="0" applyNumberFormat="1" applyFont="1" applyBorder="1" applyAlignment="1">
      <alignment horizontal="center" vertical="center" wrapText="1"/>
    </xf>
    <xf numFmtId="1" fontId="6" fillId="0" borderId="134" xfId="0" applyNumberFormat="1" applyFont="1" applyBorder="1" applyAlignment="1">
      <alignment horizontal="center" vertical="center" wrapText="1"/>
    </xf>
    <xf numFmtId="1" fontId="6" fillId="0" borderId="156" xfId="0" applyNumberFormat="1" applyFont="1" applyBorder="1"/>
    <xf numFmtId="1" fontId="6" fillId="5" borderId="159" xfId="0" applyNumberFormat="1" applyFont="1" applyFill="1" applyBorder="1" applyProtection="1">
      <protection locked="0"/>
    </xf>
    <xf numFmtId="1" fontId="6" fillId="5" borderId="172" xfId="0" applyNumberFormat="1" applyFont="1" applyFill="1" applyBorder="1" applyProtection="1">
      <protection locked="0"/>
    </xf>
    <xf numFmtId="1" fontId="6" fillId="4" borderId="178" xfId="0" applyNumberFormat="1" applyFont="1" applyFill="1" applyBorder="1"/>
    <xf numFmtId="1" fontId="6" fillId="4" borderId="179" xfId="0" applyNumberFormat="1" applyFont="1" applyFill="1" applyBorder="1"/>
    <xf numFmtId="1" fontId="6" fillId="4" borderId="172" xfId="0" applyNumberFormat="1" applyFont="1" applyFill="1" applyBorder="1"/>
    <xf numFmtId="1" fontId="6" fillId="4" borderId="157" xfId="0" applyNumberFormat="1" applyFont="1" applyFill="1" applyBorder="1"/>
    <xf numFmtId="1" fontId="6" fillId="0" borderId="174" xfId="0" applyNumberFormat="1" applyFont="1" applyBorder="1"/>
    <xf numFmtId="1" fontId="6" fillId="5" borderId="177" xfId="0" applyNumberFormat="1" applyFont="1" applyFill="1" applyBorder="1" applyProtection="1">
      <protection locked="0"/>
    </xf>
    <xf numFmtId="1" fontId="6" fillId="4" borderId="59" xfId="0" applyNumberFormat="1" applyFont="1" applyFill="1" applyBorder="1"/>
    <xf numFmtId="1" fontId="6" fillId="0" borderId="171" xfId="0" applyNumberFormat="1" applyFont="1" applyBorder="1" applyAlignment="1">
      <alignment horizontal="left" vertical="center"/>
    </xf>
    <xf numFmtId="1" fontId="6" fillId="4" borderId="72" xfId="0" applyNumberFormat="1" applyFont="1" applyFill="1" applyBorder="1"/>
    <xf numFmtId="1" fontId="6" fillId="4" borderId="60" xfId="0" applyNumberFormat="1" applyFont="1" applyFill="1" applyBorder="1"/>
    <xf numFmtId="1" fontId="6" fillId="4" borderId="97" xfId="0" applyNumberFormat="1" applyFont="1" applyFill="1" applyBorder="1"/>
    <xf numFmtId="1" fontId="6" fillId="4" borderId="146" xfId="0" applyNumberFormat="1" applyFont="1" applyFill="1" applyBorder="1"/>
    <xf numFmtId="1" fontId="6" fillId="4" borderId="58" xfId="0" applyNumberFormat="1" applyFont="1" applyFill="1" applyBorder="1"/>
    <xf numFmtId="1" fontId="6" fillId="0" borderId="174" xfId="0" applyNumberFormat="1" applyFont="1" applyBorder="1" applyAlignment="1">
      <alignment horizontal="left" vertical="center"/>
    </xf>
    <xf numFmtId="1" fontId="6" fillId="0" borderId="148" xfId="0" applyNumberFormat="1" applyFont="1" applyBorder="1" applyAlignment="1">
      <alignment horizontal="left" wrapText="1"/>
    </xf>
    <xf numFmtId="1" fontId="6" fillId="3" borderId="69" xfId="0" applyNumberFormat="1" applyFont="1" applyFill="1" applyBorder="1" applyAlignment="1">
      <alignment horizontal="left" wrapText="1"/>
    </xf>
    <xf numFmtId="1" fontId="6" fillId="0" borderId="135" xfId="0" applyNumberFormat="1" applyFont="1" applyBorder="1"/>
    <xf numFmtId="1" fontId="6" fillId="0" borderId="149" xfId="0" applyNumberFormat="1" applyFont="1" applyBorder="1"/>
    <xf numFmtId="1" fontId="6" fillId="0" borderId="173" xfId="0" applyNumberFormat="1" applyFont="1" applyBorder="1"/>
    <xf numFmtId="1" fontId="6" fillId="0" borderId="160" xfId="0" applyNumberFormat="1" applyFont="1" applyBorder="1"/>
    <xf numFmtId="1" fontId="6" fillId="0" borderId="154" xfId="0" applyNumberFormat="1" applyFont="1" applyBorder="1"/>
    <xf numFmtId="1" fontId="6" fillId="0" borderId="151" xfId="0" applyNumberFormat="1" applyFont="1" applyBorder="1"/>
    <xf numFmtId="1" fontId="19" fillId="3" borderId="175" xfId="0" applyNumberFormat="1" applyFont="1" applyFill="1" applyBorder="1"/>
    <xf numFmtId="1" fontId="3" fillId="3" borderId="175" xfId="0" applyNumberFormat="1" applyFont="1" applyFill="1" applyBorder="1"/>
    <xf numFmtId="1" fontId="6" fillId="0" borderId="159" xfId="0" applyNumberFormat="1" applyFont="1" applyBorder="1" applyAlignment="1">
      <alignment horizontal="center" vertical="center" wrapText="1"/>
    </xf>
    <xf numFmtId="1" fontId="6" fillId="5" borderId="157" xfId="0" applyNumberFormat="1" applyFont="1" applyFill="1" applyBorder="1" applyProtection="1">
      <protection locked="0"/>
    </xf>
    <xf numFmtId="1" fontId="6" fillId="5" borderId="132" xfId="0" applyNumberFormat="1" applyFont="1" applyFill="1" applyBorder="1" applyProtection="1">
      <protection locked="0"/>
    </xf>
    <xf numFmtId="1" fontId="6" fillId="0" borderId="135" xfId="0" applyNumberFormat="1" applyFont="1" applyBorder="1" applyAlignment="1">
      <alignment horizontal="left" vertical="center"/>
    </xf>
    <xf numFmtId="1" fontId="6" fillId="0" borderId="69" xfId="0" applyNumberFormat="1" applyFont="1" applyBorder="1" applyAlignment="1">
      <alignment horizontal="left" wrapText="1"/>
    </xf>
    <xf numFmtId="1" fontId="6" fillId="5" borderId="148" xfId="0" applyNumberFormat="1" applyFont="1" applyFill="1" applyBorder="1" applyProtection="1">
      <protection locked="0"/>
    </xf>
    <xf numFmtId="1" fontId="6" fillId="5" borderId="175" xfId="0" applyNumberFormat="1" applyFont="1" applyFill="1" applyBorder="1" applyProtection="1">
      <protection locked="0"/>
    </xf>
    <xf numFmtId="1" fontId="6" fillId="0" borderId="162" xfId="0" applyNumberFormat="1" applyFont="1" applyBorder="1"/>
    <xf numFmtId="1" fontId="6" fillId="0" borderId="158" xfId="0" applyNumberFormat="1" applyFont="1" applyBorder="1"/>
    <xf numFmtId="1" fontId="4" fillId="3" borderId="175" xfId="0" applyNumberFormat="1" applyFont="1" applyFill="1" applyBorder="1"/>
    <xf numFmtId="1" fontId="3" fillId="3" borderId="0" xfId="0" applyNumberFormat="1" applyFont="1" applyFill="1" applyAlignment="1">
      <alignment wrapText="1"/>
    </xf>
    <xf numFmtId="1" fontId="4" fillId="3" borderId="167" xfId="0" applyNumberFormat="1" applyFont="1" applyFill="1" applyBorder="1"/>
    <xf numFmtId="1" fontId="19" fillId="3" borderId="167" xfId="0" applyNumberFormat="1" applyFont="1" applyFill="1" applyBorder="1"/>
    <xf numFmtId="1" fontId="34" fillId="0" borderId="0" xfId="0" applyNumberFormat="1" applyFont="1" applyAlignment="1">
      <alignment wrapText="1"/>
    </xf>
    <xf numFmtId="1" fontId="3" fillId="0" borderId="0" xfId="0" applyNumberFormat="1" applyFont="1" applyAlignment="1">
      <alignment wrapText="1"/>
    </xf>
    <xf numFmtId="1" fontId="6" fillId="5" borderId="16" xfId="0" applyNumberFormat="1" applyFont="1" applyFill="1" applyBorder="1" applyAlignment="1" applyProtection="1">
      <alignment vertical="center"/>
      <protection locked="0"/>
    </xf>
    <xf numFmtId="1" fontId="6" fillId="5" borderId="18" xfId="0" applyNumberFormat="1" applyFont="1" applyFill="1" applyBorder="1" applyAlignment="1" applyProtection="1">
      <alignment vertical="center"/>
      <protection locked="0"/>
    </xf>
    <xf numFmtId="1" fontId="6" fillId="5" borderId="38" xfId="0" applyNumberFormat="1" applyFont="1" applyFill="1" applyBorder="1" applyAlignment="1" applyProtection="1">
      <alignment vertical="center"/>
      <protection locked="0"/>
    </xf>
    <xf numFmtId="1" fontId="6" fillId="5" borderId="36" xfId="0" applyNumberFormat="1" applyFont="1" applyFill="1" applyBorder="1" applyAlignment="1" applyProtection="1">
      <alignment vertical="center"/>
      <protection locked="0"/>
    </xf>
    <xf numFmtId="1" fontId="6" fillId="5" borderId="20" xfId="0" applyNumberFormat="1" applyFont="1" applyFill="1" applyBorder="1" applyAlignment="1" applyProtection="1">
      <alignment vertical="center"/>
      <protection locked="0"/>
    </xf>
    <xf numFmtId="1" fontId="6" fillId="5" borderId="22" xfId="0" applyNumberFormat="1" applyFont="1" applyFill="1" applyBorder="1" applyAlignment="1" applyProtection="1">
      <alignment vertical="center"/>
      <protection locked="0"/>
    </xf>
    <xf numFmtId="1" fontId="6" fillId="5" borderId="19" xfId="0" applyNumberFormat="1" applyFont="1" applyFill="1" applyBorder="1" applyAlignment="1" applyProtection="1">
      <alignment vertical="center"/>
      <protection locked="0"/>
    </xf>
    <xf numFmtId="1" fontId="6" fillId="5" borderId="44" xfId="0" applyNumberFormat="1" applyFont="1" applyFill="1" applyBorder="1" applyAlignment="1" applyProtection="1">
      <alignment vertical="center"/>
      <protection locked="0"/>
    </xf>
    <xf numFmtId="1" fontId="6" fillId="5" borderId="83" xfId="0" applyNumberFormat="1" applyFont="1" applyFill="1" applyBorder="1" applyAlignment="1" applyProtection="1">
      <alignment vertical="center"/>
      <protection locked="0"/>
    </xf>
    <xf numFmtId="1" fontId="6" fillId="5" borderId="146" xfId="0" applyNumberFormat="1" applyFont="1" applyFill="1" applyBorder="1" applyAlignment="1" applyProtection="1">
      <alignment vertical="center"/>
      <protection locked="0"/>
    </xf>
    <xf numFmtId="1" fontId="6" fillId="5" borderId="37" xfId="0" applyNumberFormat="1" applyFont="1" applyFill="1" applyBorder="1" applyAlignment="1" applyProtection="1">
      <alignment vertical="center"/>
      <protection locked="0"/>
    </xf>
    <xf numFmtId="1" fontId="6" fillId="5" borderId="54" xfId="0" applyNumberFormat="1" applyFont="1" applyFill="1" applyBorder="1" applyAlignment="1" applyProtection="1">
      <alignment vertical="center"/>
      <protection locked="0"/>
    </xf>
    <xf numFmtId="1" fontId="6" fillId="5" borderId="62" xfId="0" applyNumberFormat="1" applyFont="1" applyFill="1" applyBorder="1" applyAlignment="1" applyProtection="1">
      <alignment vertical="center"/>
      <protection locked="0"/>
    </xf>
    <xf numFmtId="1" fontId="6" fillId="5" borderId="93" xfId="0" applyNumberFormat="1" applyFont="1" applyFill="1" applyBorder="1" applyAlignment="1" applyProtection="1">
      <alignment vertical="center"/>
      <protection locked="0"/>
    </xf>
    <xf numFmtId="1" fontId="6" fillId="5" borderId="50" xfId="0" applyNumberFormat="1" applyFont="1" applyFill="1" applyBorder="1" applyAlignment="1" applyProtection="1">
      <alignment vertical="center"/>
      <protection locked="0"/>
    </xf>
    <xf numFmtId="1" fontId="6" fillId="5" borderId="24" xfId="0" applyNumberFormat="1" applyFont="1" applyFill="1" applyBorder="1" applyAlignment="1" applyProtection="1">
      <alignment vertical="center"/>
      <protection locked="0"/>
    </xf>
    <xf numFmtId="1" fontId="6" fillId="5" borderId="57" xfId="0" applyNumberFormat="1" applyFont="1" applyFill="1" applyBorder="1" applyAlignment="1" applyProtection="1">
      <alignment vertical="center"/>
      <protection locked="0"/>
    </xf>
    <xf numFmtId="1" fontId="6" fillId="5" borderId="45" xfId="0" applyNumberFormat="1" applyFont="1" applyFill="1" applyBorder="1" applyAlignment="1" applyProtection="1">
      <alignment vertical="center"/>
      <protection locked="0"/>
    </xf>
    <xf numFmtId="1" fontId="6" fillId="5" borderId="94" xfId="0" applyNumberFormat="1" applyFont="1" applyFill="1" applyBorder="1" applyAlignment="1" applyProtection="1">
      <alignment vertical="center"/>
      <protection locked="0"/>
    </xf>
    <xf numFmtId="1" fontId="6" fillId="5" borderId="21" xfId="0" applyNumberFormat="1" applyFont="1" applyFill="1" applyBorder="1" applyAlignment="1" applyProtection="1">
      <alignment vertical="center"/>
      <protection locked="0"/>
    </xf>
    <xf numFmtId="1" fontId="6" fillId="3" borderId="173" xfId="0" applyNumberFormat="1" applyFont="1" applyFill="1" applyBorder="1" applyAlignment="1">
      <alignment horizontal="center" vertical="center"/>
    </xf>
    <xf numFmtId="1" fontId="6" fillId="0" borderId="137" xfId="0" applyNumberFormat="1" applyFont="1" applyBorder="1" applyAlignment="1">
      <alignment horizontal="right"/>
    </xf>
    <xf numFmtId="1" fontId="6" fillId="0" borderId="149" xfId="0" applyNumberFormat="1" applyFont="1" applyBorder="1" applyAlignment="1">
      <alignment horizontal="right"/>
    </xf>
    <xf numFmtId="1" fontId="6" fillId="3" borderId="146" xfId="0" applyNumberFormat="1" applyFont="1" applyFill="1" applyBorder="1" applyAlignment="1">
      <alignment horizontal="right"/>
    </xf>
    <xf numFmtId="1" fontId="6" fillId="5" borderId="146" xfId="0" applyNumberFormat="1" applyFont="1" applyFill="1" applyBorder="1" applyAlignment="1" applyProtection="1">
      <alignment wrapText="1"/>
      <protection locked="0"/>
    </xf>
    <xf numFmtId="1" fontId="6" fillId="3" borderId="31" xfId="0" applyNumberFormat="1" applyFont="1" applyFill="1" applyBorder="1" applyAlignment="1">
      <alignment horizontal="right"/>
    </xf>
    <xf numFmtId="1" fontId="6" fillId="0" borderId="29" xfId="0" applyNumberFormat="1" applyFont="1" applyBorder="1" applyAlignment="1">
      <alignment horizontal="left"/>
    </xf>
    <xf numFmtId="1" fontId="6" fillId="4" borderId="72" xfId="0" applyNumberFormat="1" applyFont="1" applyFill="1" applyBorder="1" applyAlignment="1">
      <alignment horizontal="right"/>
    </xf>
    <xf numFmtId="1" fontId="6" fillId="3" borderId="39" xfId="0" applyNumberFormat="1" applyFont="1" applyFill="1" applyBorder="1" applyAlignment="1">
      <alignment horizontal="right"/>
    </xf>
    <xf numFmtId="1" fontId="6" fillId="4" borderId="61" xfId="0" applyNumberFormat="1" applyFont="1" applyFill="1" applyBorder="1"/>
    <xf numFmtId="1" fontId="6" fillId="5" borderId="39" xfId="0" applyNumberFormat="1" applyFont="1" applyFill="1" applyBorder="1" applyAlignment="1" applyProtection="1">
      <alignment wrapText="1"/>
      <protection locked="0"/>
    </xf>
    <xf numFmtId="1" fontId="6" fillId="3" borderId="177" xfId="0" applyNumberFormat="1" applyFont="1" applyFill="1" applyBorder="1" applyAlignment="1">
      <alignment horizontal="right"/>
    </xf>
    <xf numFmtId="1" fontId="4" fillId="3" borderId="138" xfId="0" applyNumberFormat="1" applyFont="1" applyFill="1" applyBorder="1"/>
    <xf numFmtId="1" fontId="6" fillId="3" borderId="167" xfId="0" applyNumberFormat="1" applyFont="1" applyFill="1" applyBorder="1"/>
    <xf numFmtId="1" fontId="6" fillId="14" borderId="164" xfId="0" applyNumberFormat="1" applyFont="1" applyFill="1" applyBorder="1"/>
    <xf numFmtId="1" fontId="6" fillId="3" borderId="21" xfId="0" applyNumberFormat="1" applyFont="1" applyFill="1" applyBorder="1" applyAlignment="1">
      <alignment horizontal="right"/>
    </xf>
    <xf numFmtId="1" fontId="6" fillId="14" borderId="95" xfId="0" applyNumberFormat="1" applyFont="1" applyFill="1" applyBorder="1" applyProtection="1">
      <protection hidden="1"/>
    </xf>
    <xf numFmtId="1" fontId="6" fillId="14" borderId="108" xfId="0" applyNumberFormat="1" applyFont="1" applyFill="1" applyBorder="1" applyProtection="1">
      <protection hidden="1"/>
    </xf>
    <xf numFmtId="1" fontId="6" fillId="14" borderId="166" xfId="0" applyNumberFormat="1" applyFont="1" applyFill="1" applyBorder="1" applyProtection="1">
      <protection hidden="1"/>
    </xf>
    <xf numFmtId="1" fontId="6" fillId="3" borderId="184" xfId="0" applyNumberFormat="1" applyFont="1" applyFill="1" applyBorder="1"/>
    <xf numFmtId="1" fontId="6" fillId="3" borderId="184" xfId="0" applyNumberFormat="1" applyFont="1" applyFill="1" applyBorder="1" applyAlignment="1">
      <alignment wrapText="1"/>
    </xf>
    <xf numFmtId="1" fontId="6" fillId="14" borderId="184" xfId="0" applyNumberFormat="1" applyFont="1" applyFill="1" applyBorder="1" applyProtection="1">
      <protection hidden="1"/>
    </xf>
    <xf numFmtId="1" fontId="6" fillId="0" borderId="184" xfId="0" applyNumberFormat="1" applyFont="1" applyBorder="1"/>
    <xf numFmtId="1" fontId="4" fillId="0" borderId="185" xfId="0" applyNumberFormat="1" applyFont="1" applyBorder="1"/>
    <xf numFmtId="1" fontId="4" fillId="0" borderId="186" xfId="0" applyNumberFormat="1" applyFont="1" applyBorder="1"/>
    <xf numFmtId="1" fontId="6" fillId="0" borderId="184" xfId="0" applyNumberFormat="1" applyFont="1" applyBorder="1" applyProtection="1">
      <protection hidden="1"/>
    </xf>
    <xf numFmtId="1" fontId="6" fillId="0" borderId="23" xfId="0" applyNumberFormat="1" applyFont="1" applyBorder="1" applyAlignment="1">
      <alignment horizontal="right"/>
    </xf>
    <xf numFmtId="1" fontId="6" fillId="2" borderId="194" xfId="9" applyNumberFormat="1" applyFont="1" applyBorder="1" applyAlignment="1" applyProtection="1">
      <alignment horizontal="right"/>
      <protection locked="0"/>
    </xf>
    <xf numFmtId="1" fontId="6" fillId="2" borderId="195" xfId="9" applyNumberFormat="1" applyFont="1" applyBorder="1" applyAlignment="1" applyProtection="1">
      <alignment horizontal="right"/>
      <protection locked="0"/>
    </xf>
    <xf numFmtId="1" fontId="6" fillId="0" borderId="196" xfId="0" applyNumberFormat="1" applyFont="1" applyBorder="1"/>
    <xf numFmtId="1" fontId="6" fillId="0" borderId="196" xfId="0" applyNumberFormat="1" applyFont="1" applyBorder="1" applyProtection="1">
      <protection hidden="1"/>
    </xf>
    <xf numFmtId="1" fontId="6" fillId="14" borderId="196" xfId="0" applyNumberFormat="1" applyFont="1" applyFill="1" applyBorder="1"/>
    <xf numFmtId="1" fontId="6" fillId="0" borderId="201" xfId="0" applyNumberFormat="1" applyFont="1" applyBorder="1"/>
    <xf numFmtId="1" fontId="6" fillId="0" borderId="202" xfId="0" applyNumberFormat="1" applyFont="1" applyBorder="1" applyAlignment="1">
      <alignment horizontal="center" vertical="center" wrapText="1"/>
    </xf>
    <xf numFmtId="1" fontId="6" fillId="0" borderId="203" xfId="0" applyNumberFormat="1" applyFont="1" applyBorder="1" applyAlignment="1">
      <alignment horizontal="center" vertical="center" wrapText="1"/>
    </xf>
    <xf numFmtId="1" fontId="6" fillId="3" borderId="196" xfId="0" applyNumberFormat="1" applyFont="1" applyFill="1" applyBorder="1"/>
    <xf numFmtId="1" fontId="6" fillId="0" borderId="174" xfId="0" applyNumberFormat="1" applyFont="1" applyBorder="1" applyAlignment="1">
      <alignment horizontal="left" vertical="center" wrapText="1"/>
    </xf>
    <xf numFmtId="1" fontId="6" fillId="0" borderId="205" xfId="0" applyNumberFormat="1" applyFont="1" applyBorder="1" applyAlignment="1">
      <alignment horizontal="center" wrapText="1"/>
    </xf>
    <xf numFmtId="1" fontId="6" fillId="3" borderId="0" xfId="0" applyNumberFormat="1" applyFont="1" applyFill="1" applyAlignment="1">
      <alignment horizontal="right" wrapText="1"/>
    </xf>
    <xf numFmtId="1" fontId="13" fillId="14" borderId="196" xfId="0" applyNumberFormat="1" applyFont="1" applyFill="1" applyBorder="1"/>
    <xf numFmtId="1" fontId="6" fillId="5" borderId="19" xfId="0" applyNumberFormat="1" applyFont="1" applyFill="1" applyBorder="1" applyAlignment="1" applyProtection="1">
      <alignment wrapText="1"/>
      <protection locked="0"/>
    </xf>
    <xf numFmtId="1" fontId="13" fillId="3" borderId="196" xfId="0" applyNumberFormat="1" applyFont="1" applyFill="1" applyBorder="1" applyAlignment="1">
      <alignment wrapText="1"/>
    </xf>
    <xf numFmtId="1" fontId="4" fillId="0" borderId="95" xfId="0" applyNumberFormat="1" applyFont="1" applyBorder="1"/>
    <xf numFmtId="1" fontId="4" fillId="0" borderId="99" xfId="0" applyNumberFormat="1" applyFont="1" applyBorder="1"/>
    <xf numFmtId="1" fontId="6" fillId="0" borderId="206" xfId="0" applyNumberFormat="1" applyFont="1" applyBorder="1"/>
    <xf numFmtId="1" fontId="6" fillId="3" borderId="200" xfId="0" applyNumberFormat="1" applyFont="1" applyFill="1" applyBorder="1"/>
    <xf numFmtId="1" fontId="6" fillId="0" borderId="200" xfId="0" applyNumberFormat="1" applyFont="1" applyBorder="1"/>
    <xf numFmtId="1" fontId="6" fillId="0" borderId="207" xfId="0" applyNumberFormat="1" applyFont="1" applyBorder="1"/>
    <xf numFmtId="1" fontId="6" fillId="0" borderId="208" xfId="0" applyNumberFormat="1" applyFont="1" applyBorder="1"/>
    <xf numFmtId="1" fontId="6" fillId="0" borderId="205" xfId="0" applyNumberFormat="1" applyFont="1" applyBorder="1" applyAlignment="1">
      <alignment horizontal="left" vertical="center" wrapText="1"/>
    </xf>
    <xf numFmtId="1" fontId="6" fillId="0" borderId="165" xfId="0" applyNumberFormat="1" applyFont="1" applyBorder="1" applyProtection="1">
      <protection hidden="1"/>
    </xf>
    <xf numFmtId="1" fontId="6" fillId="5" borderId="177" xfId="0" applyNumberFormat="1" applyFont="1" applyFill="1" applyBorder="1" applyAlignment="1" applyProtection="1">
      <alignment horizontal="right"/>
      <protection locked="0"/>
    </xf>
    <xf numFmtId="1" fontId="6" fillId="5" borderId="81" xfId="0" applyNumberFormat="1" applyFont="1" applyFill="1" applyBorder="1" applyAlignment="1" applyProtection="1">
      <alignment horizontal="right"/>
      <protection locked="0"/>
    </xf>
    <xf numFmtId="1" fontId="6" fillId="5" borderId="80" xfId="0" applyNumberFormat="1" applyFont="1" applyFill="1" applyBorder="1" applyAlignment="1" applyProtection="1">
      <alignment horizontal="right"/>
      <protection locked="0"/>
    </xf>
    <xf numFmtId="1" fontId="6" fillId="5" borderId="215" xfId="0" applyNumberFormat="1" applyFont="1" applyFill="1" applyBorder="1" applyAlignment="1" applyProtection="1">
      <alignment horizontal="right"/>
      <protection locked="0"/>
    </xf>
    <xf numFmtId="1" fontId="6" fillId="5" borderId="192" xfId="0" applyNumberFormat="1" applyFont="1" applyFill="1" applyBorder="1" applyAlignment="1" applyProtection="1">
      <alignment horizontal="right"/>
      <protection locked="0"/>
    </xf>
    <xf numFmtId="1" fontId="6" fillId="0" borderId="166" xfId="0" applyNumberFormat="1" applyFont="1" applyBorder="1" applyProtection="1">
      <protection hidden="1"/>
    </xf>
    <xf numFmtId="1" fontId="6" fillId="0" borderId="0" xfId="0" applyNumberFormat="1" applyFont="1" applyProtection="1">
      <protection hidden="1"/>
    </xf>
    <xf numFmtId="1" fontId="6" fillId="0" borderId="108" xfId="0" applyNumberFormat="1" applyFont="1" applyBorder="1" applyProtection="1">
      <protection hidden="1"/>
    </xf>
    <xf numFmtId="1" fontId="6" fillId="3" borderId="165" xfId="0" applyNumberFormat="1" applyFont="1" applyFill="1" applyBorder="1" applyProtection="1">
      <protection hidden="1"/>
    </xf>
    <xf numFmtId="1" fontId="6" fillId="14" borderId="165" xfId="0" applyNumberFormat="1" applyFont="1" applyFill="1" applyBorder="1"/>
    <xf numFmtId="1" fontId="6" fillId="14" borderId="165" xfId="0" applyNumberFormat="1" applyFont="1" applyFill="1" applyBorder="1" applyProtection="1">
      <protection hidden="1"/>
    </xf>
    <xf numFmtId="1" fontId="6" fillId="0" borderId="95" xfId="0" applyNumberFormat="1" applyFont="1" applyBorder="1" applyProtection="1">
      <protection hidden="1"/>
    </xf>
    <xf numFmtId="1" fontId="6" fillId="5" borderId="146" xfId="1" applyNumberFormat="1" applyFont="1" applyFill="1" applyBorder="1" applyProtection="1">
      <protection locked="0"/>
    </xf>
    <xf numFmtId="1" fontId="6" fillId="5" borderId="19" xfId="1" applyNumberFormat="1" applyFont="1" applyFill="1" applyBorder="1" applyProtection="1">
      <protection locked="0"/>
    </xf>
    <xf numFmtId="1" fontId="6" fillId="5" borderId="50" xfId="1" applyNumberFormat="1" applyFont="1" applyFill="1" applyBorder="1" applyProtection="1">
      <protection locked="0"/>
    </xf>
    <xf numFmtId="1" fontId="6" fillId="5" borderId="37" xfId="1" applyNumberFormat="1" applyFont="1" applyFill="1" applyBorder="1" applyProtection="1">
      <protection locked="0"/>
    </xf>
    <xf numFmtId="1" fontId="6" fillId="5" borderId="21" xfId="1" applyNumberFormat="1" applyFont="1" applyFill="1" applyBorder="1" applyProtection="1">
      <protection locked="0"/>
    </xf>
    <xf numFmtId="1" fontId="6" fillId="5" borderId="24" xfId="1" applyNumberFormat="1" applyFont="1" applyFill="1" applyBorder="1" applyProtection="1">
      <protection locked="0"/>
    </xf>
    <xf numFmtId="1" fontId="6" fillId="0" borderId="217" xfId="0" applyNumberFormat="1" applyFont="1" applyBorder="1"/>
    <xf numFmtId="1" fontId="6" fillId="0" borderId="213" xfId="0" applyNumberFormat="1" applyFont="1" applyBorder="1" applyAlignment="1">
      <alignment horizontal="center" vertical="center" wrapText="1"/>
    </xf>
    <xf numFmtId="1" fontId="6" fillId="0" borderId="192" xfId="0" applyNumberFormat="1" applyFont="1" applyBorder="1" applyAlignment="1">
      <alignment horizontal="center" vertical="center" wrapText="1"/>
    </xf>
    <xf numFmtId="1" fontId="6" fillId="0" borderId="228" xfId="0" applyNumberFormat="1" applyFont="1" applyBorder="1" applyAlignment="1">
      <alignment horizontal="center" vertical="center" wrapText="1"/>
    </xf>
    <xf numFmtId="1" fontId="6" fillId="0" borderId="228" xfId="0" applyNumberFormat="1" applyFont="1" applyBorder="1" applyAlignment="1">
      <alignment horizontal="center" vertical="center"/>
    </xf>
    <xf numFmtId="1" fontId="6" fillId="5" borderId="233" xfId="0" applyNumberFormat="1" applyFont="1" applyFill="1" applyBorder="1" applyProtection="1">
      <protection locked="0"/>
    </xf>
    <xf numFmtId="1" fontId="6" fillId="5" borderId="231" xfId="0" applyNumberFormat="1" applyFont="1" applyFill="1" applyBorder="1" applyProtection="1">
      <protection locked="0"/>
    </xf>
    <xf numFmtId="1" fontId="6" fillId="0" borderId="227" xfId="0" applyNumberFormat="1" applyFont="1" applyBorder="1" applyAlignment="1">
      <alignment horizontal="right"/>
    </xf>
    <xf numFmtId="1" fontId="6" fillId="0" borderId="231" xfId="0" applyNumberFormat="1" applyFont="1" applyBorder="1"/>
    <xf numFmtId="1" fontId="6" fillId="0" borderId="235" xfId="0" applyNumberFormat="1" applyFont="1" applyBorder="1"/>
    <xf numFmtId="1" fontId="6" fillId="5" borderId="236" xfId="0" applyNumberFormat="1" applyFont="1" applyFill="1" applyBorder="1" applyProtection="1">
      <protection locked="0"/>
    </xf>
    <xf numFmtId="1" fontId="6" fillId="0" borderId="24" xfId="0" applyNumberFormat="1" applyFont="1" applyBorder="1" applyAlignment="1">
      <alignment horizontal="right" vertical="center" wrapText="1"/>
    </xf>
    <xf numFmtId="1" fontId="6" fillId="3" borderId="231" xfId="0" applyNumberFormat="1" applyFont="1" applyFill="1" applyBorder="1"/>
    <xf numFmtId="1" fontId="6" fillId="3" borderId="236" xfId="0" applyNumberFormat="1" applyFont="1" applyFill="1" applyBorder="1"/>
    <xf numFmtId="1" fontId="6" fillId="5" borderId="230" xfId="0" applyNumberFormat="1" applyFont="1" applyFill="1" applyBorder="1" applyProtection="1">
      <protection locked="0"/>
    </xf>
    <xf numFmtId="1" fontId="6" fillId="0" borderId="13" xfId="0" applyNumberFormat="1" applyFont="1" applyBorder="1"/>
    <xf numFmtId="1" fontId="6" fillId="0" borderId="9" xfId="0" applyNumberFormat="1" applyFont="1" applyBorder="1" applyAlignment="1">
      <alignment horizontal="left" vertical="center" wrapText="1"/>
    </xf>
    <xf numFmtId="1" fontId="6" fillId="0" borderId="38" xfId="0" applyNumberFormat="1" applyFont="1" applyBorder="1" applyAlignment="1">
      <alignment vertical="center" wrapText="1"/>
    </xf>
    <xf numFmtId="1" fontId="6" fillId="0" borderId="236" xfId="0" applyNumberFormat="1" applyFont="1" applyBorder="1"/>
    <xf numFmtId="1" fontId="6" fillId="0" borderId="175" xfId="0" applyNumberFormat="1" applyFont="1" applyBorder="1"/>
    <xf numFmtId="1" fontId="6" fillId="0" borderId="234" xfId="0" applyNumberFormat="1" applyFont="1" applyBorder="1"/>
    <xf numFmtId="1" fontId="6" fillId="0" borderId="224" xfId="0" applyNumberFormat="1" applyFont="1" applyBorder="1"/>
    <xf numFmtId="1" fontId="6" fillId="0" borderId="228" xfId="0" applyNumberFormat="1" applyFont="1" applyBorder="1"/>
    <xf numFmtId="1" fontId="6" fillId="0" borderId="243" xfId="0" applyNumberFormat="1" applyFont="1" applyBorder="1"/>
    <xf numFmtId="1" fontId="6" fillId="0" borderId="244" xfId="0" applyNumberFormat="1" applyFont="1" applyBorder="1"/>
    <xf numFmtId="1" fontId="6" fillId="0" borderId="245" xfId="0" applyNumberFormat="1" applyFont="1" applyBorder="1"/>
    <xf numFmtId="1" fontId="9" fillId="0" borderId="246" xfId="0" applyNumberFormat="1" applyFont="1" applyBorder="1"/>
    <xf numFmtId="1" fontId="6" fillId="5" borderId="136" xfId="0" applyNumberFormat="1" applyFont="1" applyFill="1" applyBorder="1" applyProtection="1">
      <protection locked="0"/>
    </xf>
    <xf numFmtId="1" fontId="6" fillId="3" borderId="227" xfId="0" applyNumberFormat="1" applyFont="1" applyFill="1" applyBorder="1"/>
    <xf numFmtId="1" fontId="6" fillId="3" borderId="230" xfId="0" applyNumberFormat="1" applyFont="1" applyFill="1" applyBorder="1"/>
    <xf numFmtId="1" fontId="6" fillId="0" borderId="177" xfId="0" applyNumberFormat="1" applyFont="1" applyBorder="1" applyAlignment="1">
      <alignment horizontal="right" vertical="center"/>
    </xf>
    <xf numFmtId="1" fontId="6" fillId="0" borderId="229" xfId="0" applyNumberFormat="1" applyFont="1" applyBorder="1"/>
    <xf numFmtId="1" fontId="6" fillId="0" borderId="230" xfId="0" applyNumberFormat="1" applyFont="1" applyBorder="1"/>
    <xf numFmtId="1" fontId="6" fillId="0" borderId="46" xfId="0" applyNumberFormat="1" applyFont="1" applyBorder="1" applyAlignment="1">
      <alignment horizontal="center" vertical="center" wrapText="1"/>
    </xf>
    <xf numFmtId="1" fontId="6" fillId="5" borderId="232" xfId="0" applyNumberFormat="1" applyFont="1" applyFill="1" applyBorder="1" applyAlignment="1" applyProtection="1">
      <alignment vertical="center"/>
      <protection locked="0"/>
    </xf>
    <xf numFmtId="1" fontId="5" fillId="14" borderId="248" xfId="0" applyNumberFormat="1" applyFont="1" applyFill="1" applyBorder="1" applyProtection="1">
      <protection hidden="1"/>
    </xf>
    <xf numFmtId="0" fontId="27" fillId="14" borderId="248" xfId="0" applyFont="1" applyFill="1" applyBorder="1" applyAlignment="1" applyProtection="1">
      <alignment horizontal="center"/>
      <protection hidden="1"/>
    </xf>
    <xf numFmtId="1" fontId="6" fillId="5" borderId="233" xfId="0" applyNumberFormat="1" applyFont="1" applyFill="1" applyBorder="1" applyAlignment="1" applyProtection="1">
      <alignment vertical="center"/>
      <protection locked="0"/>
    </xf>
    <xf numFmtId="1" fontId="20" fillId="21" borderId="0" xfId="0" applyNumberFormat="1" applyFont="1" applyFill="1"/>
    <xf numFmtId="1" fontId="6" fillId="4" borderId="24" xfId="0" applyNumberFormat="1" applyFont="1" applyFill="1" applyBorder="1"/>
    <xf numFmtId="1" fontId="6" fillId="4" borderId="37" xfId="0" applyNumberFormat="1" applyFont="1" applyFill="1" applyBorder="1"/>
    <xf numFmtId="1" fontId="5" fillId="3" borderId="0" xfId="0" applyNumberFormat="1" applyFont="1" applyFill="1"/>
    <xf numFmtId="1" fontId="6" fillId="0" borderId="61" xfId="0" applyNumberFormat="1" applyFont="1" applyBorder="1"/>
    <xf numFmtId="1" fontId="6" fillId="4" borderId="23" xfId="0" applyNumberFormat="1" applyFont="1" applyFill="1" applyBorder="1"/>
    <xf numFmtId="1" fontId="6" fillId="4" borderId="40" xfId="0" applyNumberFormat="1" applyFont="1" applyFill="1" applyBorder="1"/>
    <xf numFmtId="1" fontId="6" fillId="4" borderId="31" xfId="0" applyNumberFormat="1" applyFont="1" applyFill="1" applyBorder="1"/>
    <xf numFmtId="1" fontId="6" fillId="4" borderId="18" xfId="0" applyNumberFormat="1" applyFont="1" applyFill="1" applyBorder="1"/>
    <xf numFmtId="1" fontId="3" fillId="17" borderId="0" xfId="0" applyNumberFormat="1" applyFont="1" applyFill="1" applyProtection="1">
      <protection locked="0"/>
    </xf>
    <xf numFmtId="1" fontId="6" fillId="4" borderId="136" xfId="0" applyNumberFormat="1" applyFont="1" applyFill="1" applyBorder="1"/>
    <xf numFmtId="1" fontId="6" fillId="6" borderId="220" xfId="14" applyNumberFormat="1" applyFont="1" applyBorder="1" applyProtection="1">
      <protection locked="0"/>
    </xf>
    <xf numFmtId="1" fontId="6" fillId="6" borderId="219" xfId="14" applyNumberFormat="1" applyFont="1" applyBorder="1" applyProtection="1">
      <protection locked="0"/>
    </xf>
    <xf numFmtId="1" fontId="6" fillId="6" borderId="218" xfId="14" applyNumberFormat="1" applyFont="1" applyBorder="1" applyProtection="1">
      <protection locked="0"/>
    </xf>
    <xf numFmtId="1" fontId="5" fillId="14" borderId="0" xfId="0" applyNumberFormat="1" applyFont="1" applyFill="1"/>
    <xf numFmtId="1" fontId="6" fillId="3" borderId="203" xfId="0" applyNumberFormat="1" applyFont="1" applyFill="1" applyBorder="1" applyAlignment="1">
      <alignment horizontal="center" vertical="center" wrapText="1"/>
    </xf>
    <xf numFmtId="1" fontId="6" fillId="3" borderId="228" xfId="0" applyNumberFormat="1" applyFont="1" applyFill="1" applyBorder="1" applyAlignment="1">
      <alignment horizontal="center" vertical="center"/>
    </xf>
    <xf numFmtId="1" fontId="5" fillId="17" borderId="0" xfId="0" applyNumberFormat="1" applyFont="1" applyFill="1" applyProtection="1">
      <protection locked="0"/>
    </xf>
    <xf numFmtId="1" fontId="6" fillId="4" borderId="25" xfId="0" applyNumberFormat="1" applyFont="1" applyFill="1" applyBorder="1"/>
    <xf numFmtId="1" fontId="6" fillId="0" borderId="238" xfId="0" applyNumberFormat="1" applyFont="1" applyBorder="1"/>
    <xf numFmtId="1" fontId="6" fillId="5" borderId="240" xfId="0" applyNumberFormat="1" applyFont="1" applyFill="1" applyBorder="1" applyProtection="1">
      <protection locked="0"/>
    </xf>
    <xf numFmtId="1" fontId="6" fillId="5" borderId="237" xfId="0" applyNumberFormat="1" applyFont="1" applyFill="1" applyBorder="1" applyProtection="1">
      <protection locked="0"/>
    </xf>
    <xf numFmtId="1" fontId="6" fillId="5" borderId="221" xfId="0" applyNumberFormat="1" applyFont="1" applyFill="1" applyBorder="1" applyProtection="1">
      <protection locked="0"/>
    </xf>
    <xf numFmtId="1" fontId="6" fillId="5" borderId="223" xfId="0" applyNumberFormat="1" applyFont="1" applyFill="1" applyBorder="1" applyProtection="1">
      <protection locked="0"/>
    </xf>
    <xf numFmtId="1" fontId="6" fillId="3" borderId="9" xfId="0" applyNumberFormat="1" applyFont="1" applyFill="1" applyBorder="1"/>
    <xf numFmtId="1" fontId="6" fillId="4" borderId="231" xfId="0" applyNumberFormat="1" applyFont="1" applyFill="1" applyBorder="1"/>
    <xf numFmtId="1" fontId="2" fillId="3" borderId="0" xfId="0" applyNumberFormat="1" applyFont="1" applyFill="1"/>
    <xf numFmtId="1" fontId="2" fillId="3" borderId="175" xfId="0" applyNumberFormat="1" applyFont="1" applyFill="1" applyBorder="1"/>
    <xf numFmtId="1" fontId="6" fillId="5" borderId="178" xfId="0" applyNumberFormat="1" applyFont="1" applyFill="1" applyBorder="1" applyProtection="1">
      <protection locked="0"/>
    </xf>
    <xf numFmtId="1" fontId="6" fillId="0" borderId="23" xfId="0" applyNumberFormat="1" applyFont="1" applyBorder="1"/>
    <xf numFmtId="1" fontId="6" fillId="5" borderId="256" xfId="0" applyNumberFormat="1" applyFont="1" applyFill="1" applyBorder="1" applyProtection="1">
      <protection locked="0"/>
    </xf>
    <xf numFmtId="1" fontId="6" fillId="5" borderId="257" xfId="0" applyNumberFormat="1" applyFont="1" applyFill="1" applyBorder="1" applyProtection="1">
      <protection locked="0"/>
    </xf>
    <xf numFmtId="1" fontId="6" fillId="5" borderId="258" xfId="0" applyNumberFormat="1" applyFont="1" applyFill="1" applyBorder="1" applyProtection="1">
      <protection locked="0"/>
    </xf>
    <xf numFmtId="1" fontId="6" fillId="5" borderId="260" xfId="0" applyNumberFormat="1" applyFont="1" applyFill="1" applyBorder="1" applyProtection="1">
      <protection locked="0"/>
    </xf>
    <xf numFmtId="1" fontId="6" fillId="0" borderId="261" xfId="0" applyNumberFormat="1" applyFont="1" applyBorder="1"/>
    <xf numFmtId="1" fontId="6" fillId="0" borderId="258" xfId="0" applyNumberFormat="1" applyFont="1" applyBorder="1"/>
    <xf numFmtId="1" fontId="6" fillId="5" borderId="262" xfId="0" applyNumberFormat="1" applyFont="1" applyFill="1" applyBorder="1" applyProtection="1">
      <protection locked="0"/>
    </xf>
    <xf numFmtId="1" fontId="6" fillId="5" borderId="263" xfId="0" applyNumberFormat="1" applyFont="1" applyFill="1" applyBorder="1" applyProtection="1">
      <protection locked="0"/>
    </xf>
    <xf numFmtId="1" fontId="6" fillId="5" borderId="105" xfId="0" applyNumberFormat="1" applyFont="1" applyFill="1" applyBorder="1" applyProtection="1">
      <protection locked="0"/>
    </xf>
    <xf numFmtId="1" fontId="6" fillId="5" borderId="265" xfId="0" applyNumberFormat="1" applyFont="1" applyFill="1" applyBorder="1" applyProtection="1">
      <protection locked="0"/>
    </xf>
    <xf numFmtId="1" fontId="6" fillId="5" borderId="268" xfId="0" applyNumberFormat="1" applyFont="1" applyFill="1" applyBorder="1" applyProtection="1">
      <protection locked="0"/>
    </xf>
    <xf numFmtId="1" fontId="6" fillId="5" borderId="269" xfId="0" applyNumberFormat="1" applyFont="1" applyFill="1" applyBorder="1" applyProtection="1">
      <protection locked="0"/>
    </xf>
    <xf numFmtId="1" fontId="6" fillId="5" borderId="270" xfId="0" applyNumberFormat="1" applyFont="1" applyFill="1" applyBorder="1" applyProtection="1">
      <protection locked="0"/>
    </xf>
    <xf numFmtId="1" fontId="6" fillId="5" borderId="271" xfId="0" applyNumberFormat="1" applyFont="1" applyFill="1" applyBorder="1" applyProtection="1">
      <protection locked="0"/>
    </xf>
    <xf numFmtId="1" fontId="6" fillId="0" borderId="268" xfId="0" applyNumberFormat="1" applyFont="1" applyBorder="1"/>
    <xf numFmtId="1" fontId="6" fillId="0" borderId="45" xfId="0" applyNumberFormat="1" applyFont="1" applyBorder="1" applyAlignment="1">
      <alignment horizontal="right" wrapText="1"/>
    </xf>
    <xf numFmtId="1" fontId="6" fillId="0" borderId="20" xfId="0" applyNumberFormat="1" applyFont="1" applyBorder="1" applyAlignment="1">
      <alignment horizontal="right" wrapText="1"/>
    </xf>
    <xf numFmtId="1" fontId="6" fillId="0" borderId="33" xfId="0" applyNumberFormat="1" applyFont="1" applyBorder="1" applyAlignment="1">
      <alignment horizontal="right" wrapText="1"/>
    </xf>
    <xf numFmtId="1" fontId="6" fillId="0" borderId="268" xfId="0" applyNumberFormat="1" applyFont="1" applyBorder="1" applyAlignment="1">
      <alignment horizontal="right"/>
    </xf>
    <xf numFmtId="1" fontId="6" fillId="0" borderId="237" xfId="0" applyNumberFormat="1" applyFont="1" applyBorder="1" applyAlignment="1">
      <alignment horizontal="right" wrapText="1"/>
    </xf>
    <xf numFmtId="1" fontId="3" fillId="3" borderId="0" xfId="0" applyNumberFormat="1" applyFont="1" applyFill="1" applyProtection="1">
      <protection locked="0"/>
    </xf>
    <xf numFmtId="1" fontId="6" fillId="15" borderId="21" xfId="0" applyNumberFormat="1" applyFont="1" applyFill="1" applyBorder="1" applyProtection="1">
      <protection locked="0"/>
    </xf>
    <xf numFmtId="1" fontId="6" fillId="5" borderId="285" xfId="0" applyNumberFormat="1" applyFont="1" applyFill="1" applyBorder="1" applyProtection="1">
      <protection locked="0"/>
    </xf>
    <xf numFmtId="1" fontId="6" fillId="0" borderId="30" xfId="0" applyNumberFormat="1" applyFont="1" applyBorder="1" applyAlignment="1">
      <alignment wrapText="1"/>
    </xf>
    <xf numFmtId="1" fontId="6" fillId="0" borderId="62" xfId="0" applyNumberFormat="1" applyFont="1" applyBorder="1" applyAlignment="1">
      <alignment wrapText="1"/>
    </xf>
    <xf numFmtId="1" fontId="6" fillId="0" borderId="38" xfId="0" applyNumberFormat="1" applyFont="1" applyBorder="1" applyAlignment="1">
      <alignment wrapText="1"/>
    </xf>
    <xf numFmtId="1" fontId="6" fillId="5" borderId="287" xfId="0" applyNumberFormat="1" applyFont="1" applyFill="1" applyBorder="1" applyProtection="1">
      <protection locked="0"/>
    </xf>
    <xf numFmtId="1" fontId="6" fillId="5" borderId="273" xfId="0" applyNumberFormat="1" applyFont="1" applyFill="1" applyBorder="1" applyProtection="1">
      <protection locked="0"/>
    </xf>
    <xf numFmtId="1" fontId="6" fillId="5" borderId="288" xfId="0" applyNumberFormat="1" applyFont="1" applyFill="1" applyBorder="1" applyProtection="1">
      <protection locked="0"/>
    </xf>
    <xf numFmtId="1" fontId="6" fillId="0" borderId="25" xfId="0" applyNumberFormat="1" applyFont="1" applyBorder="1" applyAlignment="1">
      <alignment horizontal="left" vertical="center" wrapText="1"/>
    </xf>
    <xf numFmtId="1" fontId="6" fillId="5" borderId="275" xfId="0" applyNumberFormat="1" applyFont="1" applyFill="1" applyBorder="1" applyProtection="1">
      <protection locked="0"/>
    </xf>
    <xf numFmtId="1" fontId="6" fillId="5" borderId="282" xfId="0" applyNumberFormat="1" applyFont="1" applyFill="1" applyBorder="1" applyProtection="1">
      <protection locked="0"/>
    </xf>
    <xf numFmtId="1" fontId="6" fillId="0" borderId="284" xfId="0" applyNumberFormat="1" applyFont="1" applyBorder="1"/>
    <xf numFmtId="1" fontId="6" fillId="0" borderId="275" xfId="0" applyNumberFormat="1" applyFont="1" applyBorder="1"/>
    <xf numFmtId="1" fontId="6" fillId="5" borderId="104" xfId="0" applyNumberFormat="1" applyFont="1" applyFill="1" applyBorder="1" applyProtection="1">
      <protection locked="0"/>
    </xf>
    <xf numFmtId="1" fontId="6" fillId="0" borderId="177" xfId="0" applyNumberFormat="1" applyFont="1" applyBorder="1" applyAlignment="1">
      <alignment vertical="center" wrapText="1"/>
    </xf>
    <xf numFmtId="1" fontId="6" fillId="4" borderId="240" xfId="0" applyNumberFormat="1" applyFont="1" applyFill="1" applyBorder="1"/>
    <xf numFmtId="1" fontId="6" fillId="4" borderId="9" xfId="0" applyNumberFormat="1" applyFont="1" applyFill="1" applyBorder="1"/>
    <xf numFmtId="1" fontId="6" fillId="0" borderId="31" xfId="0" applyNumberFormat="1" applyFont="1" applyBorder="1" applyAlignment="1">
      <alignment vertical="center" wrapText="1"/>
    </xf>
    <xf numFmtId="1" fontId="6" fillId="14" borderId="0" xfId="0" applyNumberFormat="1" applyFont="1" applyFill="1" applyProtection="1">
      <protection locked="0"/>
    </xf>
    <xf numFmtId="1" fontId="6" fillId="5" borderId="299" xfId="0" applyNumberFormat="1" applyFont="1" applyFill="1" applyBorder="1" applyProtection="1">
      <protection locked="0"/>
    </xf>
    <xf numFmtId="1" fontId="6" fillId="5" borderId="267" xfId="0" applyNumberFormat="1" applyFont="1" applyFill="1" applyBorder="1" applyProtection="1">
      <protection locked="0"/>
    </xf>
    <xf numFmtId="1" fontId="6" fillId="0" borderId="223" xfId="0" applyNumberFormat="1" applyFont="1" applyBorder="1"/>
    <xf numFmtId="1" fontId="6" fillId="0" borderId="284" xfId="0" applyNumberFormat="1" applyFont="1" applyBorder="1" applyAlignment="1">
      <alignment horizontal="right"/>
    </xf>
    <xf numFmtId="1" fontId="6" fillId="0" borderId="275" xfId="0" applyNumberFormat="1" applyFont="1" applyBorder="1" applyAlignment="1">
      <alignment horizontal="right"/>
    </xf>
    <xf numFmtId="1" fontId="6" fillId="0" borderId="273" xfId="0" applyNumberFormat="1" applyFont="1" applyBorder="1" applyAlignment="1">
      <alignment horizontal="right"/>
    </xf>
    <xf numFmtId="1" fontId="6" fillId="0" borderId="269" xfId="0" applyNumberFormat="1" applyFont="1" applyBorder="1"/>
    <xf numFmtId="1" fontId="6" fillId="0" borderId="291" xfId="0" applyNumberFormat="1" applyFont="1" applyBorder="1" applyAlignment="1">
      <alignment horizontal="center" vertical="center" wrapText="1"/>
    </xf>
    <xf numFmtId="1" fontId="6" fillId="0" borderId="72" xfId="0" applyNumberFormat="1" applyFont="1" applyBorder="1"/>
    <xf numFmtId="1" fontId="6" fillId="0" borderId="30" xfId="0" applyNumberFormat="1" applyFont="1" applyBorder="1"/>
    <xf numFmtId="1" fontId="6" fillId="5" borderId="302" xfId="0" applyNumberFormat="1" applyFont="1" applyFill="1" applyBorder="1" applyProtection="1">
      <protection locked="0"/>
    </xf>
    <xf numFmtId="1" fontId="6" fillId="0" borderId="221" xfId="0" applyNumberFormat="1" applyFont="1" applyBorder="1" applyAlignment="1">
      <alignment horizontal="center" vertical="center"/>
    </xf>
    <xf numFmtId="1" fontId="6" fillId="5" borderId="286" xfId="0" applyNumberFormat="1" applyFont="1" applyFill="1" applyBorder="1" applyProtection="1">
      <protection locked="0"/>
    </xf>
    <xf numFmtId="1" fontId="6" fillId="0" borderId="282" xfId="0" applyNumberFormat="1" applyFont="1" applyBorder="1"/>
    <xf numFmtId="1" fontId="6" fillId="5" borderId="266" xfId="0" applyNumberFormat="1" applyFont="1" applyFill="1" applyBorder="1" applyProtection="1">
      <protection locked="0"/>
    </xf>
    <xf numFmtId="1" fontId="6" fillId="0" borderId="283" xfId="0" applyNumberFormat="1" applyFont="1" applyBorder="1"/>
    <xf numFmtId="1" fontId="6" fillId="0" borderId="283" xfId="0" applyNumberFormat="1" applyFont="1" applyBorder="1" applyAlignment="1">
      <alignment horizontal="center" vertical="center"/>
    </xf>
    <xf numFmtId="1" fontId="6" fillId="5" borderId="290" xfId="0" applyNumberFormat="1" applyFont="1" applyFill="1" applyBorder="1" applyProtection="1">
      <protection locked="0"/>
    </xf>
    <xf numFmtId="1" fontId="6" fillId="3" borderId="269" xfId="0" applyNumberFormat="1" applyFont="1" applyFill="1" applyBorder="1"/>
    <xf numFmtId="1" fontId="2" fillId="3" borderId="0" xfId="0" applyNumberFormat="1" applyFont="1" applyFill="1" applyAlignment="1">
      <alignment vertical="center" wrapText="1"/>
    </xf>
    <xf numFmtId="1" fontId="6" fillId="0" borderId="237" xfId="0" applyNumberFormat="1" applyFont="1" applyBorder="1" applyAlignment="1">
      <alignment horizontal="center" vertical="center"/>
    </xf>
    <xf numFmtId="1" fontId="4" fillId="14" borderId="175" xfId="0" applyNumberFormat="1" applyFont="1" applyFill="1" applyBorder="1"/>
    <xf numFmtId="1" fontId="4" fillId="3" borderId="225" xfId="0" applyNumberFormat="1" applyFont="1" applyFill="1" applyBorder="1"/>
    <xf numFmtId="1" fontId="6" fillId="5" borderId="59" xfId="0" applyNumberFormat="1" applyFont="1" applyFill="1" applyBorder="1" applyAlignment="1" applyProtection="1">
      <alignment horizontal="right"/>
      <protection locked="0"/>
    </xf>
    <xf numFmtId="1" fontId="6" fillId="5" borderId="269" xfId="0" applyNumberFormat="1" applyFont="1" applyFill="1" applyBorder="1" applyAlignment="1" applyProtection="1">
      <alignment horizontal="right"/>
      <protection locked="0"/>
    </xf>
    <xf numFmtId="1" fontId="6" fillId="5" borderId="271" xfId="0" applyNumberFormat="1" applyFont="1" applyFill="1" applyBorder="1" applyAlignment="1" applyProtection="1">
      <alignment horizontal="right"/>
      <protection locked="0"/>
    </xf>
    <xf numFmtId="1" fontId="6" fillId="5" borderId="287" xfId="0" applyNumberFormat="1" applyFont="1" applyFill="1" applyBorder="1" applyAlignment="1" applyProtection="1">
      <alignment horizontal="right"/>
      <protection locked="0"/>
    </xf>
    <xf numFmtId="1" fontId="6" fillId="5" borderId="270" xfId="0" applyNumberFormat="1" applyFont="1" applyFill="1" applyBorder="1" applyAlignment="1" applyProtection="1">
      <alignment horizontal="right"/>
      <protection locked="0"/>
    </xf>
    <xf numFmtId="1" fontId="6" fillId="0" borderId="270" xfId="0" applyNumberFormat="1" applyFont="1" applyBorder="1" applyAlignment="1">
      <alignment horizontal="right" wrapText="1"/>
    </xf>
    <xf numFmtId="1" fontId="6" fillId="14" borderId="0" xfId="0" applyNumberFormat="1" applyFont="1" applyFill="1" applyAlignment="1">
      <alignment horizontal="left"/>
    </xf>
    <xf numFmtId="1" fontId="6" fillId="3" borderId="0" xfId="0" applyNumberFormat="1" applyFont="1" applyFill="1" applyAlignment="1">
      <alignment horizontal="left"/>
    </xf>
    <xf numFmtId="1" fontId="6" fillId="0" borderId="29" xfId="0" applyNumberFormat="1" applyFont="1" applyBorder="1" applyAlignment="1">
      <alignment wrapText="1"/>
    </xf>
    <xf numFmtId="1" fontId="6" fillId="0" borderId="29" xfId="0" applyNumberFormat="1" applyFont="1" applyBorder="1" applyAlignment="1">
      <alignment horizontal="left" wrapText="1"/>
    </xf>
    <xf numFmtId="1" fontId="6" fillId="0" borderId="25" xfId="0" applyNumberFormat="1" applyFont="1" applyBorder="1" applyAlignment="1">
      <alignment wrapText="1"/>
    </xf>
    <xf numFmtId="1" fontId="6" fillId="0" borderId="269" xfId="0" applyNumberFormat="1" applyFont="1" applyBorder="1" applyAlignment="1">
      <alignment wrapText="1"/>
    </xf>
    <xf numFmtId="1" fontId="6" fillId="0" borderId="24" xfId="0" applyNumberFormat="1" applyFont="1" applyBorder="1" applyAlignment="1">
      <alignment horizontal="left" wrapText="1"/>
    </xf>
    <xf numFmtId="1" fontId="6" fillId="0" borderId="269" xfId="0" applyNumberFormat="1" applyFont="1" applyBorder="1" applyAlignment="1">
      <alignment horizontal="left" wrapText="1"/>
    </xf>
    <xf numFmtId="1" fontId="6" fillId="5" borderId="91" xfId="0" applyNumberFormat="1" applyFont="1" applyFill="1" applyBorder="1" applyAlignment="1" applyProtection="1">
      <alignment horizontal="right"/>
      <protection locked="0"/>
    </xf>
    <xf numFmtId="1" fontId="6" fillId="5" borderId="238" xfId="0" applyNumberFormat="1" applyFont="1" applyFill="1" applyBorder="1" applyAlignment="1" applyProtection="1">
      <alignment horizontal="right"/>
      <protection locked="0"/>
    </xf>
    <xf numFmtId="1" fontId="6" fillId="5" borderId="319" xfId="0" applyNumberFormat="1" applyFont="1" applyFill="1" applyBorder="1" applyAlignment="1" applyProtection="1">
      <alignment horizontal="right"/>
      <protection locked="0"/>
    </xf>
    <xf numFmtId="1" fontId="6" fillId="5" borderId="272" xfId="0" applyNumberFormat="1" applyFont="1" applyFill="1" applyBorder="1" applyAlignment="1" applyProtection="1">
      <alignment horizontal="right"/>
      <protection locked="0"/>
    </xf>
    <xf numFmtId="1" fontId="6" fillId="5" borderId="286" xfId="0" applyNumberFormat="1" applyFont="1" applyFill="1" applyBorder="1" applyAlignment="1" applyProtection="1">
      <alignment horizontal="right"/>
      <protection locked="0"/>
    </xf>
    <xf numFmtId="1" fontId="6" fillId="0" borderId="273" xfId="0" applyNumberFormat="1" applyFont="1" applyBorder="1" applyAlignment="1">
      <alignment horizontal="right" wrapText="1"/>
    </xf>
    <xf numFmtId="1" fontId="6" fillId="3" borderId="303" xfId="0" applyNumberFormat="1" applyFont="1" applyFill="1" applyBorder="1" applyAlignment="1">
      <alignment horizontal="center" vertical="center"/>
    </xf>
    <xf numFmtId="1" fontId="6" fillId="5" borderId="21" xfId="0" applyNumberFormat="1" applyFont="1" applyFill="1" applyBorder="1" applyAlignment="1" applyProtection="1">
      <alignment horizontal="right"/>
      <protection locked="0"/>
    </xf>
    <xf numFmtId="1" fontId="6" fillId="5" borderId="22" xfId="0" applyNumberFormat="1" applyFont="1" applyFill="1" applyBorder="1" applyAlignment="1" applyProtection="1">
      <alignment horizontal="right"/>
      <protection locked="0"/>
    </xf>
    <xf numFmtId="1" fontId="6" fillId="5" borderId="57" xfId="0" applyNumberFormat="1" applyFont="1" applyFill="1" applyBorder="1" applyAlignment="1" applyProtection="1">
      <alignment horizontal="right"/>
      <protection locked="0"/>
    </xf>
    <xf numFmtId="1" fontId="6" fillId="5" borderId="20" xfId="0" applyNumberFormat="1" applyFont="1" applyFill="1" applyBorder="1" applyAlignment="1" applyProtection="1">
      <alignment horizontal="right"/>
      <protection locked="0"/>
    </xf>
    <xf numFmtId="1" fontId="6" fillId="5" borderId="66" xfId="0" applyNumberFormat="1" applyFont="1" applyFill="1" applyBorder="1" applyAlignment="1" applyProtection="1">
      <alignment horizontal="right"/>
      <protection locked="0"/>
    </xf>
    <xf numFmtId="1" fontId="6" fillId="0" borderId="62" xfId="0" applyNumberFormat="1" applyFont="1" applyBorder="1" applyAlignment="1">
      <alignment horizontal="right" wrapText="1"/>
    </xf>
    <xf numFmtId="1" fontId="6" fillId="5" borderId="73" xfId="0" applyNumberFormat="1" applyFont="1" applyFill="1" applyBorder="1" applyAlignment="1" applyProtection="1">
      <alignment horizontal="right"/>
      <protection locked="0"/>
    </xf>
    <xf numFmtId="1" fontId="13" fillId="0" borderId="245" xfId="0" applyNumberFormat="1" applyFont="1" applyBorder="1"/>
    <xf numFmtId="1" fontId="6" fillId="5" borderId="24" xfId="0" applyNumberFormat="1" applyFont="1" applyFill="1" applyBorder="1" applyAlignment="1" applyProtection="1">
      <alignment horizontal="right" wrapText="1"/>
      <protection locked="0"/>
    </xf>
    <xf numFmtId="1" fontId="6" fillId="5" borderId="37" xfId="0" applyNumberFormat="1" applyFont="1" applyFill="1" applyBorder="1" applyAlignment="1" applyProtection="1">
      <alignment horizontal="right" wrapText="1"/>
      <protection locked="0"/>
    </xf>
    <xf numFmtId="1" fontId="6" fillId="5" borderId="269" xfId="0" applyNumberFormat="1" applyFont="1" applyFill="1" applyBorder="1" applyAlignment="1" applyProtection="1">
      <alignment horizontal="right" wrapText="1"/>
      <protection locked="0"/>
    </xf>
    <xf numFmtId="1" fontId="6" fillId="5" borderId="236" xfId="0" applyNumberFormat="1" applyFont="1" applyFill="1" applyBorder="1" applyAlignment="1" applyProtection="1">
      <alignment horizontal="right" wrapText="1"/>
      <protection locked="0"/>
    </xf>
    <xf numFmtId="1" fontId="6" fillId="5" borderId="143" xfId="0" applyNumberFormat="1" applyFont="1" applyFill="1" applyBorder="1" applyAlignment="1" applyProtection="1">
      <alignment horizontal="right" wrapText="1"/>
      <protection locked="0"/>
    </xf>
    <xf numFmtId="1" fontId="6" fillId="5" borderId="175" xfId="0" applyNumberFormat="1" applyFont="1" applyFill="1" applyBorder="1" applyAlignment="1" applyProtection="1">
      <alignment horizontal="right" wrapText="1"/>
      <protection locked="0"/>
    </xf>
    <xf numFmtId="1" fontId="6" fillId="5" borderId="238" xfId="0" applyNumberFormat="1" applyFont="1" applyFill="1" applyBorder="1" applyAlignment="1" applyProtection="1">
      <alignment horizontal="right" wrapText="1"/>
      <protection locked="0"/>
    </xf>
    <xf numFmtId="1" fontId="6" fillId="5" borderId="75" xfId="0" applyNumberFormat="1" applyFont="1" applyFill="1" applyBorder="1" applyAlignment="1" applyProtection="1">
      <alignment horizontal="right" wrapText="1"/>
      <protection locked="0"/>
    </xf>
    <xf numFmtId="1" fontId="6" fillId="5" borderId="142" xfId="0" applyNumberFormat="1" applyFont="1" applyFill="1" applyBorder="1" applyAlignment="1" applyProtection="1">
      <alignment horizontal="right" wrapText="1"/>
      <protection locked="0"/>
    </xf>
    <xf numFmtId="1" fontId="6" fillId="5" borderId="144" xfId="0" applyNumberFormat="1" applyFont="1" applyFill="1" applyBorder="1" applyAlignment="1" applyProtection="1">
      <alignment horizontal="right" wrapText="1"/>
      <protection locked="0"/>
    </xf>
    <xf numFmtId="1" fontId="6" fillId="5" borderId="177" xfId="0" applyNumberFormat="1" applyFont="1" applyFill="1" applyBorder="1" applyAlignment="1" applyProtection="1">
      <alignment horizontal="right" wrapText="1"/>
      <protection locked="0"/>
    </xf>
    <xf numFmtId="1" fontId="6" fillId="0" borderId="21" xfId="0" applyNumberFormat="1" applyFont="1" applyBorder="1" applyAlignment="1">
      <alignment horizontal="right" wrapText="1"/>
    </xf>
    <xf numFmtId="1" fontId="6" fillId="5" borderId="36" xfId="0" applyNumberFormat="1" applyFont="1" applyFill="1" applyBorder="1" applyAlignment="1" applyProtection="1">
      <alignment horizontal="right" wrapText="1"/>
      <protection locked="0"/>
    </xf>
    <xf numFmtId="1" fontId="6" fillId="5" borderId="69" xfId="0" applyNumberFormat="1" applyFont="1" applyFill="1" applyBorder="1" applyAlignment="1" applyProtection="1">
      <alignment horizontal="right" wrapText="1"/>
      <protection locked="0"/>
    </xf>
    <xf numFmtId="1" fontId="6" fillId="5" borderId="40" xfId="0" applyNumberFormat="1" applyFont="1" applyFill="1" applyBorder="1" applyAlignment="1" applyProtection="1">
      <alignment horizontal="right" wrapText="1"/>
      <protection locked="0"/>
    </xf>
    <xf numFmtId="1" fontId="6" fillId="5" borderId="59" xfId="0" applyNumberFormat="1" applyFont="1" applyFill="1" applyBorder="1" applyAlignment="1" applyProtection="1">
      <alignment horizontal="right" wrapText="1"/>
      <protection locked="0"/>
    </xf>
    <xf numFmtId="1" fontId="6" fillId="5" borderId="38" xfId="0" applyNumberFormat="1" applyFont="1" applyFill="1" applyBorder="1" applyAlignment="1" applyProtection="1">
      <alignment horizontal="right" wrapText="1"/>
      <protection locked="0"/>
    </xf>
    <xf numFmtId="1" fontId="6" fillId="5" borderId="54" xfId="0" applyNumberFormat="1" applyFont="1" applyFill="1" applyBorder="1" applyAlignment="1" applyProtection="1">
      <alignment horizontal="right" wrapText="1"/>
      <protection locked="0"/>
    </xf>
    <xf numFmtId="1" fontId="6" fillId="5" borderId="50" xfId="0" applyNumberFormat="1" applyFont="1" applyFill="1" applyBorder="1" applyAlignment="1" applyProtection="1">
      <alignment horizontal="right" wrapText="1"/>
      <protection locked="0"/>
    </xf>
    <xf numFmtId="1" fontId="6" fillId="0" borderId="30" xfId="0" applyNumberFormat="1" applyFont="1" applyBorder="1" applyAlignment="1">
      <alignment horizontal="right" wrapText="1"/>
    </xf>
    <xf numFmtId="1" fontId="6" fillId="5" borderId="9" xfId="0" applyNumberFormat="1" applyFont="1" applyFill="1" applyBorder="1" applyAlignment="1" applyProtection="1">
      <alignment horizontal="right" wrapText="1"/>
      <protection locked="0"/>
    </xf>
    <xf numFmtId="1" fontId="6" fillId="5" borderId="34" xfId="0" applyNumberFormat="1" applyFont="1" applyFill="1" applyBorder="1" applyAlignment="1" applyProtection="1">
      <alignment horizontal="right" wrapText="1"/>
      <protection locked="0"/>
    </xf>
    <xf numFmtId="1" fontId="6" fillId="5" borderId="0" xfId="0" applyNumberFormat="1" applyFont="1" applyFill="1" applyAlignment="1" applyProtection="1">
      <alignment horizontal="right" wrapText="1"/>
      <protection locked="0"/>
    </xf>
    <xf numFmtId="1" fontId="6" fillId="5" borderId="35" xfId="0" applyNumberFormat="1" applyFont="1" applyFill="1" applyBorder="1" applyAlignment="1" applyProtection="1">
      <alignment horizontal="right" wrapText="1"/>
      <protection locked="0"/>
    </xf>
    <xf numFmtId="1" fontId="6" fillId="5" borderId="320" xfId="0" applyNumberFormat="1" applyFont="1" applyFill="1" applyBorder="1" applyAlignment="1" applyProtection="1">
      <alignment horizontal="right" wrapText="1"/>
      <protection locked="0"/>
    </xf>
    <xf numFmtId="1" fontId="6" fillId="5" borderId="33" xfId="0" applyNumberFormat="1" applyFont="1" applyFill="1" applyBorder="1" applyAlignment="1" applyProtection="1">
      <alignment horizontal="right" wrapText="1"/>
      <protection locked="0"/>
    </xf>
    <xf numFmtId="1" fontId="6" fillId="5" borderId="64" xfId="0" applyNumberFormat="1" applyFont="1" applyFill="1" applyBorder="1" applyAlignment="1" applyProtection="1">
      <alignment horizontal="right" wrapText="1"/>
      <protection locked="0"/>
    </xf>
    <xf numFmtId="1" fontId="6" fillId="5" borderId="68" xfId="0" applyNumberFormat="1" applyFont="1" applyFill="1" applyBorder="1" applyAlignment="1" applyProtection="1">
      <alignment horizontal="right" wrapText="1"/>
      <protection locked="0"/>
    </xf>
    <xf numFmtId="1" fontId="6" fillId="5" borderId="30" xfId="0" applyNumberFormat="1" applyFont="1" applyFill="1" applyBorder="1" applyAlignment="1" applyProtection="1">
      <alignment horizontal="right" wrapText="1"/>
      <protection locked="0"/>
    </xf>
    <xf numFmtId="1" fontId="6" fillId="5" borderId="257" xfId="0" applyNumberFormat="1" applyFont="1" applyFill="1" applyBorder="1" applyAlignment="1" applyProtection="1">
      <alignment horizontal="right" wrapText="1"/>
      <protection locked="0"/>
    </xf>
    <xf numFmtId="1" fontId="6" fillId="5" borderId="299" xfId="0" applyNumberFormat="1" applyFont="1" applyFill="1" applyBorder="1" applyAlignment="1" applyProtection="1">
      <alignment horizontal="right" wrapText="1"/>
      <protection locked="0"/>
    </xf>
    <xf numFmtId="1" fontId="6" fillId="5" borderId="260" xfId="0" applyNumberFormat="1" applyFont="1" applyFill="1" applyBorder="1" applyAlignment="1" applyProtection="1">
      <alignment horizontal="right" wrapText="1"/>
      <protection locked="0"/>
    </xf>
    <xf numFmtId="1" fontId="6" fillId="5" borderId="267" xfId="0" applyNumberFormat="1" applyFont="1" applyFill="1" applyBorder="1" applyAlignment="1" applyProtection="1">
      <alignment horizontal="right" wrapText="1"/>
      <protection locked="0"/>
    </xf>
    <xf numFmtId="1" fontId="6" fillId="5" borderId="321" xfId="0" applyNumberFormat="1" applyFont="1" applyFill="1" applyBorder="1" applyAlignment="1" applyProtection="1">
      <alignment horizontal="right" wrapText="1"/>
      <protection locked="0"/>
    </xf>
    <xf numFmtId="1" fontId="6" fillId="5" borderId="258" xfId="0" applyNumberFormat="1" applyFont="1" applyFill="1" applyBorder="1" applyAlignment="1" applyProtection="1">
      <alignment horizontal="right" wrapText="1"/>
      <protection locked="0"/>
    </xf>
    <xf numFmtId="1" fontId="6" fillId="5" borderId="259" xfId="0" applyNumberFormat="1" applyFont="1" applyFill="1" applyBorder="1" applyAlignment="1" applyProtection="1">
      <alignment horizontal="right" wrapText="1"/>
      <protection locked="0"/>
    </xf>
    <xf numFmtId="1" fontId="6" fillId="0" borderId="31" xfId="0" applyNumberFormat="1" applyFont="1" applyBorder="1" applyAlignment="1">
      <alignment horizontal="right" wrapText="1"/>
    </xf>
    <xf numFmtId="1" fontId="6" fillId="5" borderId="263" xfId="0" applyNumberFormat="1" applyFont="1" applyFill="1" applyBorder="1" applyAlignment="1" applyProtection="1">
      <alignment horizontal="right" wrapText="1"/>
      <protection locked="0"/>
    </xf>
    <xf numFmtId="1" fontId="6" fillId="5" borderId="300" xfId="0" applyNumberFormat="1" applyFont="1" applyFill="1" applyBorder="1" applyAlignment="1" applyProtection="1">
      <alignment horizontal="right" wrapText="1"/>
      <protection locked="0"/>
    </xf>
    <xf numFmtId="1" fontId="6" fillId="5" borderId="264" xfId="0" applyNumberFormat="1" applyFont="1" applyFill="1" applyBorder="1" applyAlignment="1" applyProtection="1">
      <alignment horizontal="right" wrapText="1"/>
      <protection locked="0"/>
    </xf>
    <xf numFmtId="1" fontId="6" fillId="5" borderId="112" xfId="0" applyNumberFormat="1" applyFont="1" applyFill="1" applyBorder="1" applyAlignment="1" applyProtection="1">
      <alignment horizontal="right" wrapText="1"/>
      <protection locked="0"/>
    </xf>
    <xf numFmtId="1" fontId="6" fillId="5" borderId="322" xfId="0" applyNumberFormat="1" applyFont="1" applyFill="1" applyBorder="1" applyAlignment="1" applyProtection="1">
      <alignment horizontal="right" wrapText="1"/>
      <protection locked="0"/>
    </xf>
    <xf numFmtId="1" fontId="6" fillId="5" borderId="105" xfId="0" applyNumberFormat="1" applyFont="1" applyFill="1" applyBorder="1" applyAlignment="1" applyProtection="1">
      <alignment horizontal="right" wrapText="1"/>
      <protection locked="0"/>
    </xf>
    <xf numFmtId="1" fontId="6" fillId="5" borderId="265" xfId="0" applyNumberFormat="1" applyFont="1" applyFill="1" applyBorder="1" applyAlignment="1" applyProtection="1">
      <alignment horizontal="right" wrapText="1"/>
      <protection locked="0"/>
    </xf>
    <xf numFmtId="1" fontId="6" fillId="5" borderId="262" xfId="0" applyNumberFormat="1" applyFont="1" applyFill="1" applyBorder="1" applyAlignment="1" applyProtection="1">
      <alignment horizontal="right" wrapText="1"/>
      <protection locked="0"/>
    </xf>
    <xf numFmtId="1" fontId="6" fillId="0" borderId="324" xfId="0" applyNumberFormat="1" applyFont="1" applyBorder="1" applyAlignment="1">
      <alignment horizontal="right" wrapText="1"/>
    </xf>
    <xf numFmtId="1" fontId="6" fillId="0" borderId="39" xfId="0" applyNumberFormat="1" applyFont="1" applyBorder="1" applyAlignment="1">
      <alignment horizontal="right" wrapText="1"/>
    </xf>
    <xf numFmtId="1" fontId="6" fillId="0" borderId="269" xfId="0" applyNumberFormat="1" applyFont="1" applyBorder="1" applyAlignment="1">
      <alignment horizontal="right" wrapText="1"/>
    </xf>
    <xf numFmtId="1" fontId="6" fillId="0" borderId="272" xfId="0" applyNumberFormat="1" applyFont="1" applyBorder="1" applyAlignment="1">
      <alignment horizontal="right" wrapText="1"/>
    </xf>
    <xf numFmtId="1" fontId="6" fillId="0" borderId="275" xfId="0" applyNumberFormat="1" applyFont="1" applyBorder="1" applyAlignment="1">
      <alignment horizontal="right" wrapText="1"/>
    </xf>
    <xf numFmtId="1" fontId="13" fillId="3" borderId="0" xfId="0" applyNumberFormat="1" applyFont="1" applyFill="1" applyAlignment="1">
      <alignment horizontal="left"/>
    </xf>
    <xf numFmtId="1" fontId="6" fillId="0" borderId="35" xfId="0" applyNumberFormat="1" applyFont="1" applyBorder="1" applyAlignment="1">
      <alignment vertical="center" wrapText="1"/>
    </xf>
    <xf numFmtId="1" fontId="6" fillId="0" borderId="286" xfId="0" applyNumberFormat="1" applyFont="1" applyBorder="1" applyAlignment="1">
      <alignment vertical="center" wrapText="1"/>
    </xf>
    <xf numFmtId="1" fontId="4" fillId="3" borderId="239" xfId="0" applyNumberFormat="1" applyFont="1" applyFill="1" applyBorder="1"/>
    <xf numFmtId="1" fontId="4" fillId="0" borderId="239" xfId="0" applyNumberFormat="1" applyFont="1" applyBorder="1"/>
    <xf numFmtId="1" fontId="6" fillId="0" borderId="274" xfId="0" applyNumberFormat="1" applyFont="1" applyBorder="1"/>
    <xf numFmtId="1" fontId="6" fillId="0" borderId="306" xfId="0" applyNumberFormat="1" applyFont="1" applyBorder="1"/>
    <xf numFmtId="1" fontId="6" fillId="0" borderId="284" xfId="0" applyNumberFormat="1" applyFont="1" applyBorder="1" applyAlignment="1">
      <alignment horizontal="right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72" xfId="0" applyNumberFormat="1" applyFont="1" applyBorder="1" applyAlignment="1">
      <alignment horizontal="right" wrapText="1"/>
    </xf>
    <xf numFmtId="1" fontId="6" fillId="0" borderId="61" xfId="0" applyNumberFormat="1" applyFont="1" applyBorder="1" applyAlignment="1">
      <alignment horizontal="center" vertical="center" wrapText="1"/>
    </xf>
    <xf numFmtId="1" fontId="6" fillId="0" borderId="40" xfId="0" applyNumberFormat="1" applyFont="1" applyBorder="1" applyAlignment="1">
      <alignment horizontal="center" vertical="center" wrapText="1"/>
    </xf>
    <xf numFmtId="1" fontId="6" fillId="0" borderId="286" xfId="0" applyNumberFormat="1" applyFont="1" applyBorder="1" applyAlignment="1">
      <alignment horizontal="center" vertical="center" wrapText="1"/>
    </xf>
    <xf numFmtId="1" fontId="6" fillId="17" borderId="0" xfId="0" applyNumberFormat="1" applyFont="1" applyFill="1" applyProtection="1">
      <protection locked="0"/>
    </xf>
    <xf numFmtId="1" fontId="6" fillId="3" borderId="0" xfId="0" applyNumberFormat="1" applyFont="1" applyFill="1" applyAlignment="1">
      <alignment horizontal="center" vertical="center"/>
    </xf>
    <xf numFmtId="1" fontId="11" fillId="3" borderId="0" xfId="0" applyNumberFormat="1" applyFont="1" applyFill="1" applyAlignment="1">
      <alignment horizontal="left"/>
    </xf>
    <xf numFmtId="1" fontId="6" fillId="0" borderId="328" xfId="0" applyNumberFormat="1" applyFont="1" applyBorder="1" applyAlignment="1">
      <alignment horizontal="right" wrapText="1"/>
    </xf>
    <xf numFmtId="1" fontId="6" fillId="5" borderId="331" xfId="0" applyNumberFormat="1" applyFont="1" applyFill="1" applyBorder="1" applyAlignment="1" applyProtection="1">
      <alignment wrapText="1"/>
      <protection locked="0"/>
    </xf>
    <xf numFmtId="1" fontId="6" fillId="14" borderId="175" xfId="0" applyNumberFormat="1" applyFont="1" applyFill="1" applyBorder="1" applyAlignment="1">
      <alignment wrapText="1"/>
    </xf>
    <xf numFmtId="1" fontId="6" fillId="0" borderId="175" xfId="0" applyNumberFormat="1" applyFont="1" applyBorder="1" applyAlignment="1">
      <alignment wrapText="1"/>
    </xf>
    <xf numFmtId="1" fontId="6" fillId="5" borderId="333" xfId="0" applyNumberFormat="1" applyFont="1" applyFill="1" applyBorder="1" applyProtection="1">
      <protection locked="0"/>
    </xf>
    <xf numFmtId="1" fontId="6" fillId="5" borderId="331" xfId="0" applyNumberFormat="1" applyFont="1" applyFill="1" applyBorder="1" applyProtection="1">
      <protection locked="0"/>
    </xf>
    <xf numFmtId="1" fontId="11" fillId="0" borderId="341" xfId="0" applyNumberFormat="1" applyFont="1" applyBorder="1"/>
    <xf numFmtId="1" fontId="6" fillId="4" borderId="344" xfId="0" applyNumberFormat="1" applyFont="1" applyFill="1" applyBorder="1"/>
    <xf numFmtId="1" fontId="6" fillId="4" borderId="331" xfId="0" applyNumberFormat="1" applyFont="1" applyFill="1" applyBorder="1"/>
    <xf numFmtId="1" fontId="6" fillId="0" borderId="328" xfId="0" applyNumberFormat="1" applyFont="1" applyBorder="1" applyAlignment="1">
      <alignment horizontal="right"/>
    </xf>
    <xf numFmtId="1" fontId="6" fillId="5" borderId="344" xfId="0" applyNumberFormat="1" applyFont="1" applyFill="1" applyBorder="1" applyProtection="1">
      <protection locked="0"/>
    </xf>
    <xf numFmtId="1" fontId="6" fillId="5" borderId="327" xfId="0" applyNumberFormat="1" applyFont="1" applyFill="1" applyBorder="1" applyProtection="1">
      <protection locked="0"/>
    </xf>
    <xf numFmtId="1" fontId="6" fillId="5" borderId="330" xfId="0" applyNumberFormat="1" applyFont="1" applyFill="1" applyBorder="1" applyProtection="1">
      <protection locked="0"/>
    </xf>
    <xf numFmtId="1" fontId="6" fillId="0" borderId="333" xfId="0" applyNumberFormat="1" applyFont="1" applyBorder="1" applyAlignment="1">
      <alignment vertical="center" wrapText="1"/>
    </xf>
    <xf numFmtId="1" fontId="6" fillId="0" borderId="24" xfId="0" applyNumberFormat="1" applyFont="1" applyBorder="1" applyAlignment="1">
      <alignment wrapText="1"/>
    </xf>
    <xf numFmtId="1" fontId="6" fillId="5" borderId="350" xfId="0" applyNumberFormat="1" applyFont="1" applyFill="1" applyBorder="1" applyProtection="1">
      <protection locked="0"/>
    </xf>
    <xf numFmtId="1" fontId="6" fillId="5" borderId="351" xfId="0" applyNumberFormat="1" applyFont="1" applyFill="1" applyBorder="1" applyProtection="1">
      <protection locked="0"/>
    </xf>
    <xf numFmtId="1" fontId="6" fillId="5" borderId="352" xfId="0" applyNumberFormat="1" applyFont="1" applyFill="1" applyBorder="1" applyProtection="1">
      <protection locked="0"/>
    </xf>
    <xf numFmtId="1" fontId="6" fillId="0" borderId="333" xfId="0" applyNumberFormat="1" applyFont="1" applyBorder="1" applyAlignment="1">
      <alignment horizontal="left" vertical="center"/>
    </xf>
    <xf numFmtId="1" fontId="6" fillId="5" borderId="336" xfId="0" applyNumberFormat="1" applyFont="1" applyFill="1" applyBorder="1" applyProtection="1">
      <protection locked="0"/>
    </xf>
    <xf numFmtId="1" fontId="6" fillId="5" borderId="337" xfId="0" applyNumberFormat="1" applyFont="1" applyFill="1" applyBorder="1" applyProtection="1">
      <protection locked="0"/>
    </xf>
    <xf numFmtId="1" fontId="6" fillId="5" borderId="353" xfId="0" applyNumberFormat="1" applyFont="1" applyFill="1" applyBorder="1" applyProtection="1">
      <protection locked="0"/>
    </xf>
    <xf numFmtId="1" fontId="6" fillId="5" borderId="354" xfId="0" applyNumberFormat="1" applyFont="1" applyFill="1" applyBorder="1" applyProtection="1">
      <protection locked="0"/>
    </xf>
    <xf numFmtId="1" fontId="6" fillId="5" borderId="328" xfId="0" applyNumberFormat="1" applyFont="1" applyFill="1" applyBorder="1" applyProtection="1">
      <protection locked="0"/>
    </xf>
    <xf numFmtId="1" fontId="6" fillId="4" borderId="330" xfId="0" applyNumberFormat="1" applyFont="1" applyFill="1" applyBorder="1"/>
    <xf numFmtId="1" fontId="6" fillId="5" borderId="114" xfId="0" applyNumberFormat="1" applyFont="1" applyFill="1" applyBorder="1" applyProtection="1">
      <protection locked="0"/>
    </xf>
    <xf numFmtId="1" fontId="6" fillId="0" borderId="336" xfId="0" applyNumberFormat="1" applyFont="1" applyBorder="1"/>
    <xf numFmtId="1" fontId="6" fillId="0" borderId="339" xfId="0" applyNumberFormat="1" applyFont="1" applyBorder="1"/>
    <xf numFmtId="1" fontId="6" fillId="5" borderId="332" xfId="0" applyNumberFormat="1" applyFont="1" applyFill="1" applyBorder="1" applyProtection="1">
      <protection locked="0"/>
    </xf>
    <xf numFmtId="1" fontId="6" fillId="0" borderId="337" xfId="0" applyNumberFormat="1" applyFont="1" applyBorder="1" applyAlignment="1">
      <alignment horizontal="center" vertical="center" wrapText="1"/>
    </xf>
    <xf numFmtId="1" fontId="6" fillId="0" borderId="339" xfId="0" applyNumberFormat="1" applyFont="1" applyBorder="1" applyAlignment="1">
      <alignment horizontal="right"/>
    </xf>
    <xf numFmtId="1" fontId="6" fillId="0" borderId="337" xfId="0" applyNumberFormat="1" applyFont="1" applyBorder="1" applyAlignment="1">
      <alignment horizontal="right"/>
    </xf>
    <xf numFmtId="1" fontId="6" fillId="0" borderId="339" xfId="0" applyNumberFormat="1" applyFont="1" applyBorder="1" applyAlignment="1">
      <alignment horizontal="right" wrapText="1"/>
    </xf>
    <xf numFmtId="1" fontId="6" fillId="0" borderId="50" xfId="0" applyNumberFormat="1" applyFont="1" applyBorder="1" applyAlignment="1">
      <alignment horizontal="right" wrapText="1"/>
    </xf>
    <xf numFmtId="1" fontId="6" fillId="5" borderId="356" xfId="0" applyNumberFormat="1" applyFont="1" applyFill="1" applyBorder="1" applyProtection="1">
      <protection locked="0"/>
    </xf>
    <xf numFmtId="1" fontId="6" fillId="5" borderId="360" xfId="0" applyNumberFormat="1" applyFont="1" applyFill="1" applyBorder="1" applyProtection="1">
      <protection locked="0"/>
    </xf>
    <xf numFmtId="1" fontId="6" fillId="12" borderId="38" xfId="0" applyNumberFormat="1" applyFont="1" applyFill="1" applyBorder="1"/>
    <xf numFmtId="1" fontId="6" fillId="12" borderId="37" xfId="0" applyNumberFormat="1" applyFont="1" applyFill="1" applyBorder="1"/>
    <xf numFmtId="1" fontId="6" fillId="5" borderId="372" xfId="0" applyNumberFormat="1" applyFont="1" applyFill="1" applyBorder="1" applyProtection="1">
      <protection locked="0"/>
    </xf>
    <xf numFmtId="1" fontId="6" fillId="0" borderId="371" xfId="0" applyNumberFormat="1" applyFont="1" applyBorder="1" applyAlignment="1">
      <alignment horizontal="center" vertical="center" wrapText="1"/>
    </xf>
    <xf numFmtId="1" fontId="6" fillId="0" borderId="373" xfId="0" applyNumberFormat="1" applyFont="1" applyBorder="1" applyAlignment="1">
      <alignment horizontal="center" vertical="center"/>
    </xf>
    <xf numFmtId="1" fontId="6" fillId="0" borderId="361" xfId="0" applyNumberFormat="1" applyFont="1" applyBorder="1" applyAlignment="1">
      <alignment horizontal="center" vertical="center"/>
    </xf>
    <xf numFmtId="1" fontId="11" fillId="3" borderId="0" xfId="0" applyNumberFormat="1" applyFont="1" applyFill="1" applyAlignment="1">
      <alignment horizontal="right"/>
    </xf>
    <xf numFmtId="1" fontId="11" fillId="3" borderId="0" xfId="0" applyNumberFormat="1" applyFont="1" applyFill="1" applyAlignment="1">
      <alignment horizontal="left" vertical="center" wrapText="1"/>
    </xf>
    <xf numFmtId="1" fontId="6" fillId="0" borderId="373" xfId="0" applyNumberFormat="1" applyFont="1" applyBorder="1" applyAlignment="1">
      <alignment horizontal="center" vertical="center" wrapText="1"/>
    </xf>
    <xf numFmtId="1" fontId="6" fillId="5" borderId="285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7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369" xfId="0" applyNumberFormat="1" applyFont="1" applyBorder="1" applyAlignment="1">
      <alignment horizontal="center" vertical="center" wrapText="1"/>
    </xf>
    <xf numFmtId="1" fontId="6" fillId="0" borderId="375" xfId="0" applyNumberFormat="1" applyFont="1" applyBorder="1"/>
    <xf numFmtId="1" fontId="6" fillId="4" borderId="56" xfId="0" applyNumberFormat="1" applyFont="1" applyFill="1" applyBorder="1"/>
    <xf numFmtId="1" fontId="6" fillId="5" borderId="357" xfId="0" applyNumberFormat="1" applyFont="1" applyFill="1" applyBorder="1" applyProtection="1">
      <protection locked="0"/>
    </xf>
    <xf numFmtId="1" fontId="6" fillId="0" borderId="356" xfId="0" applyNumberFormat="1" applyFont="1" applyBorder="1"/>
    <xf numFmtId="1" fontId="11" fillId="3" borderId="0" xfId="0" applyNumberFormat="1" applyFont="1" applyFill="1" applyAlignment="1">
      <alignment vertical="top"/>
    </xf>
    <xf numFmtId="1" fontId="11" fillId="3" borderId="0" xfId="0" applyNumberFormat="1" applyFont="1" applyFill="1" applyAlignment="1">
      <alignment horizontal="left" vertical="top"/>
    </xf>
    <xf numFmtId="1" fontId="10" fillId="3" borderId="0" xfId="0" applyNumberFormat="1" applyFont="1" applyFill="1" applyAlignment="1">
      <alignment horizontal="center" vertical="center" wrapText="1"/>
    </xf>
    <xf numFmtId="1" fontId="6" fillId="24" borderId="330" xfId="0" applyNumberFormat="1" applyFont="1" applyFill="1" applyBorder="1" applyProtection="1">
      <protection locked="0"/>
    </xf>
    <xf numFmtId="1" fontId="6" fillId="24" borderId="328" xfId="0" applyNumberFormat="1" applyFont="1" applyFill="1" applyBorder="1" applyProtection="1">
      <protection locked="0"/>
    </xf>
    <xf numFmtId="1" fontId="6" fillId="0" borderId="333" xfId="0" applyNumberFormat="1" applyFont="1" applyBorder="1"/>
    <xf numFmtId="1" fontId="6" fillId="3" borderId="0" xfId="0" applyNumberFormat="1" applyFont="1" applyFill="1" applyAlignment="1">
      <alignment horizontal="center" wrapText="1"/>
    </xf>
    <xf numFmtId="1" fontId="6" fillId="3" borderId="0" xfId="0" applyNumberFormat="1" applyFont="1" applyFill="1" applyAlignment="1">
      <alignment horizontal="center"/>
    </xf>
    <xf numFmtId="1" fontId="4" fillId="3" borderId="0" xfId="0" applyNumberFormat="1" applyFont="1" applyFill="1" applyAlignment="1">
      <alignment horizontal="left"/>
    </xf>
    <xf numFmtId="1" fontId="6" fillId="5" borderId="375" xfId="0" applyNumberFormat="1" applyFont="1" applyFill="1" applyBorder="1" applyProtection="1">
      <protection locked="0"/>
    </xf>
    <xf numFmtId="1" fontId="6" fillId="5" borderId="320" xfId="0" applyNumberFormat="1" applyFont="1" applyFill="1" applyBorder="1" applyProtection="1">
      <protection locked="0"/>
    </xf>
    <xf numFmtId="1" fontId="6" fillId="5" borderId="343" xfId="0" applyNumberFormat="1" applyFont="1" applyFill="1" applyBorder="1" applyProtection="1">
      <protection locked="0"/>
    </xf>
    <xf numFmtId="1" fontId="6" fillId="5" borderId="362" xfId="0" applyNumberFormat="1" applyFont="1" applyFill="1" applyBorder="1" applyProtection="1">
      <protection locked="0"/>
    </xf>
    <xf numFmtId="1" fontId="6" fillId="5" borderId="378" xfId="0" applyNumberFormat="1" applyFont="1" applyFill="1" applyBorder="1" applyProtection="1">
      <protection locked="0"/>
    </xf>
    <xf numFmtId="1" fontId="6" fillId="5" borderId="379" xfId="0" applyNumberFormat="1" applyFont="1" applyFill="1" applyBorder="1" applyProtection="1">
      <protection locked="0"/>
    </xf>
    <xf numFmtId="1" fontId="6" fillId="5" borderId="376" xfId="0" applyNumberFormat="1" applyFont="1" applyFill="1" applyBorder="1" applyProtection="1">
      <protection locked="0"/>
    </xf>
    <xf numFmtId="1" fontId="6" fillId="5" borderId="134" xfId="0" applyNumberFormat="1" applyFont="1" applyFill="1" applyBorder="1" applyProtection="1">
      <protection locked="0"/>
    </xf>
    <xf numFmtId="1" fontId="6" fillId="0" borderId="157" xfId="0" applyNumberFormat="1" applyFont="1" applyBorder="1" applyAlignment="1">
      <alignment horizontal="center" vertical="center" wrapText="1"/>
    </xf>
    <xf numFmtId="1" fontId="6" fillId="5" borderId="222" xfId="0" applyNumberFormat="1" applyFont="1" applyFill="1" applyBorder="1" applyProtection="1">
      <protection locked="0"/>
    </xf>
    <xf numFmtId="1" fontId="6" fillId="5" borderId="241" xfId="0" applyNumberFormat="1" applyFont="1" applyFill="1" applyBorder="1" applyProtection="1">
      <protection locked="0"/>
    </xf>
    <xf numFmtId="1" fontId="6" fillId="0" borderId="358" xfId="0" applyNumberFormat="1" applyFont="1" applyBorder="1" applyAlignment="1">
      <alignment horizontal="left" vertical="center" wrapText="1"/>
    </xf>
    <xf numFmtId="1" fontId="13" fillId="14" borderId="0" xfId="0" applyNumberFormat="1" applyFont="1" applyFill="1" applyAlignment="1">
      <alignment horizontal="left"/>
    </xf>
    <xf numFmtId="1" fontId="6" fillId="12" borderId="97" xfId="0" applyNumberFormat="1" applyFont="1" applyFill="1" applyBorder="1"/>
    <xf numFmtId="1" fontId="6" fillId="12" borderId="285" xfId="0" applyNumberFormat="1" applyFont="1" applyFill="1" applyBorder="1"/>
    <xf numFmtId="1" fontId="6" fillId="12" borderId="39" xfId="0" applyNumberFormat="1" applyFont="1" applyFill="1" applyBorder="1"/>
    <xf numFmtId="1" fontId="6" fillId="12" borderId="30" xfId="0" applyNumberFormat="1" applyFont="1" applyFill="1" applyBorder="1"/>
    <xf numFmtId="1" fontId="6" fillId="12" borderId="32" xfId="0" applyNumberFormat="1" applyFont="1" applyFill="1" applyBorder="1"/>
    <xf numFmtId="1" fontId="6" fillId="12" borderId="56" xfId="0" applyNumberFormat="1" applyFont="1" applyFill="1" applyBorder="1"/>
    <xf numFmtId="1" fontId="6" fillId="12" borderId="60" xfId="0" applyNumberFormat="1" applyFont="1" applyFill="1" applyBorder="1"/>
    <xf numFmtId="1" fontId="6" fillId="12" borderId="61" xfId="0" applyNumberFormat="1" applyFont="1" applyFill="1" applyBorder="1"/>
    <xf numFmtId="1" fontId="6" fillId="4" borderId="285" xfId="0" applyNumberFormat="1" applyFont="1" applyFill="1" applyBorder="1"/>
    <xf numFmtId="1" fontId="6" fillId="12" borderId="110" xfId="0" applyNumberFormat="1" applyFont="1" applyFill="1" applyBorder="1"/>
    <xf numFmtId="1" fontId="6" fillId="12" borderId="54" xfId="0" applyNumberFormat="1" applyFont="1" applyFill="1" applyBorder="1"/>
    <xf numFmtId="1" fontId="6" fillId="12" borderId="50" xfId="0" applyNumberFormat="1" applyFont="1" applyFill="1" applyBorder="1"/>
    <xf numFmtId="1" fontId="6" fillId="5" borderId="358" xfId="0" applyNumberFormat="1" applyFont="1" applyFill="1" applyBorder="1" applyProtection="1">
      <protection locked="0"/>
    </xf>
    <xf numFmtId="1" fontId="6" fillId="0" borderId="358" xfId="0" applyNumberFormat="1" applyFont="1" applyBorder="1"/>
    <xf numFmtId="1" fontId="6" fillId="12" borderId="344" xfId="0" applyNumberFormat="1" applyFont="1" applyFill="1" applyBorder="1"/>
    <xf numFmtId="1" fontId="6" fillId="12" borderId="357" xfId="0" applyNumberFormat="1" applyFont="1" applyFill="1" applyBorder="1"/>
    <xf numFmtId="1" fontId="6" fillId="12" borderId="356" xfId="0" applyNumberFormat="1" applyFont="1" applyFill="1" applyBorder="1"/>
    <xf numFmtId="1" fontId="6" fillId="12" borderId="331" xfId="0" applyNumberFormat="1" applyFont="1" applyFill="1" applyBorder="1"/>
    <xf numFmtId="1" fontId="6" fillId="14" borderId="175" xfId="0" applyNumberFormat="1" applyFont="1" applyFill="1" applyBorder="1"/>
    <xf numFmtId="1" fontId="6" fillId="0" borderId="70" xfId="0" applyNumberFormat="1" applyFont="1" applyBorder="1"/>
    <xf numFmtId="1" fontId="6" fillId="0" borderId="285" xfId="0" applyNumberFormat="1" applyFont="1" applyBorder="1"/>
    <xf numFmtId="1" fontId="6" fillId="0" borderId="69" xfId="0" applyNumberFormat="1" applyFont="1" applyBorder="1"/>
    <xf numFmtId="1" fontId="6" fillId="0" borderId="357" xfId="0" applyNumberFormat="1" applyFont="1" applyBorder="1"/>
    <xf numFmtId="1" fontId="6" fillId="12" borderId="22" xfId="0" applyNumberFormat="1" applyFont="1" applyFill="1" applyBorder="1"/>
    <xf numFmtId="1" fontId="6" fillId="12" borderId="20" xfId="0" applyNumberFormat="1" applyFont="1" applyFill="1" applyBorder="1"/>
    <xf numFmtId="1" fontId="6" fillId="4" borderId="358" xfId="0" applyNumberFormat="1" applyFont="1" applyFill="1" applyBorder="1"/>
    <xf numFmtId="1" fontId="6" fillId="4" borderId="221" xfId="0" applyNumberFormat="1" applyFont="1" applyFill="1" applyBorder="1"/>
    <xf numFmtId="1" fontId="6" fillId="12" borderId="36" xfId="0" applyNumberFormat="1" applyFont="1" applyFill="1" applyBorder="1"/>
    <xf numFmtId="1" fontId="6" fillId="5" borderId="363" xfId="0" applyNumberFormat="1" applyFont="1" applyFill="1" applyBorder="1" applyProtection="1">
      <protection locked="0"/>
    </xf>
    <xf numFmtId="1" fontId="6" fillId="5" borderId="364" xfId="0" applyNumberFormat="1" applyFont="1" applyFill="1" applyBorder="1" applyProtection="1">
      <protection locked="0"/>
    </xf>
    <xf numFmtId="1" fontId="6" fillId="4" borderId="363" xfId="0" applyNumberFormat="1" applyFont="1" applyFill="1" applyBorder="1"/>
    <xf numFmtId="1" fontId="6" fillId="0" borderId="69" xfId="0" applyNumberFormat="1" applyFont="1" applyBorder="1" applyAlignment="1">
      <alignment wrapText="1"/>
    </xf>
    <xf numFmtId="1" fontId="6" fillId="12" borderId="25" xfId="0" applyNumberFormat="1" applyFont="1" applyFill="1" applyBorder="1"/>
    <xf numFmtId="1" fontId="6" fillId="12" borderId="24" xfId="0" applyNumberFormat="1" applyFont="1" applyFill="1" applyBorder="1"/>
    <xf numFmtId="1" fontId="6" fillId="12" borderId="333" xfId="0" applyNumberFormat="1" applyFont="1" applyFill="1" applyBorder="1"/>
    <xf numFmtId="1" fontId="13" fillId="3" borderId="175" xfId="0" applyNumberFormat="1" applyFont="1" applyFill="1" applyBorder="1" applyAlignment="1">
      <alignment horizontal="left"/>
    </xf>
    <xf numFmtId="1" fontId="6" fillId="14" borderId="0" xfId="0" applyNumberFormat="1" applyFont="1" applyFill="1" applyAlignment="1">
      <alignment wrapText="1"/>
    </xf>
    <xf numFmtId="1" fontId="13" fillId="14" borderId="0" xfId="0" applyNumberFormat="1" applyFont="1" applyFill="1"/>
    <xf numFmtId="1" fontId="4" fillId="14" borderId="0" xfId="0" applyNumberFormat="1" applyFont="1" applyFill="1" applyAlignment="1">
      <alignment horizontal="left"/>
    </xf>
    <xf numFmtId="1" fontId="6" fillId="4" borderId="376" xfId="0" applyNumberFormat="1" applyFont="1" applyFill="1" applyBorder="1"/>
    <xf numFmtId="1" fontId="4" fillId="14" borderId="0" xfId="0" applyNumberFormat="1" applyFont="1" applyFill="1" applyAlignment="1">
      <alignment horizontal="left" wrapText="1"/>
    </xf>
    <xf numFmtId="1" fontId="6" fillId="14" borderId="0" xfId="0" applyNumberFormat="1" applyFont="1" applyFill="1" applyAlignment="1">
      <alignment horizontal="left" vertical="center"/>
    </xf>
    <xf numFmtId="1" fontId="6" fillId="14" borderId="0" xfId="0" applyNumberFormat="1" applyFont="1" applyFill="1" applyAlignment="1">
      <alignment vertical="top" wrapText="1"/>
    </xf>
    <xf numFmtId="1" fontId="6" fillId="12" borderId="21" xfId="0" applyNumberFormat="1" applyFont="1" applyFill="1" applyBorder="1"/>
    <xf numFmtId="1" fontId="6" fillId="0" borderId="227" xfId="0" applyNumberFormat="1" applyFont="1" applyBorder="1" applyAlignment="1">
      <alignment horizontal="right" vertical="center" wrapText="1"/>
    </xf>
    <xf numFmtId="1" fontId="6" fillId="0" borderId="9" xfId="0" applyNumberFormat="1" applyFont="1" applyBorder="1" applyAlignment="1">
      <alignment horizontal="right" vertical="center" wrapText="1"/>
    </xf>
    <xf numFmtId="1" fontId="11" fillId="3" borderId="0" xfId="0" applyNumberFormat="1" applyFont="1" applyFill="1" applyAlignment="1" applyProtection="1">
      <alignment horizontal="right"/>
      <protection locked="0"/>
    </xf>
    <xf numFmtId="1" fontId="6" fillId="3" borderId="0" xfId="0" applyNumberFormat="1" applyFont="1" applyFill="1" applyAlignment="1">
      <alignment horizontal="left" vertical="center"/>
    </xf>
    <xf numFmtId="1" fontId="6" fillId="4" borderId="256" xfId="0" applyNumberFormat="1" applyFont="1" applyFill="1" applyBorder="1"/>
    <xf numFmtId="1" fontId="6" fillId="5" borderId="381" xfId="0" applyNumberFormat="1" applyFont="1" applyFill="1" applyBorder="1" applyProtection="1">
      <protection locked="0"/>
    </xf>
    <xf numFmtId="1" fontId="6" fillId="5" borderId="324" xfId="0" applyNumberFormat="1" applyFont="1" applyFill="1" applyBorder="1" applyProtection="1">
      <protection locked="0"/>
    </xf>
    <xf numFmtId="1" fontId="6" fillId="0" borderId="54" xfId="0" applyNumberFormat="1" applyFont="1" applyBorder="1"/>
    <xf numFmtId="1" fontId="6" fillId="0" borderId="55" xfId="0" applyNumberFormat="1" applyFont="1" applyBorder="1"/>
    <xf numFmtId="1" fontId="13" fillId="3" borderId="0" xfId="0" applyNumberFormat="1" applyFont="1" applyFill="1" applyAlignment="1">
      <alignment horizontal="center" vertical="center"/>
    </xf>
    <xf numFmtId="1" fontId="20" fillId="21" borderId="0" xfId="0" applyNumberFormat="1" applyFont="1" applyFill="1" applyProtection="1">
      <protection locked="0"/>
    </xf>
    <xf numFmtId="1" fontId="6" fillId="5" borderId="393" xfId="0" applyNumberFormat="1" applyFont="1" applyFill="1" applyBorder="1" applyProtection="1">
      <protection locked="0"/>
    </xf>
    <xf numFmtId="1" fontId="6" fillId="0" borderId="275" xfId="23" applyNumberFormat="1" applyFont="1" applyBorder="1"/>
    <xf numFmtId="1" fontId="6" fillId="0" borderId="227" xfId="23" applyNumberFormat="1" applyFont="1" applyBorder="1"/>
    <xf numFmtId="1" fontId="6" fillId="0" borderId="284" xfId="23" applyNumberFormat="1" applyFont="1" applyBorder="1"/>
    <xf numFmtId="1" fontId="6" fillId="0" borderId="274" xfId="23" applyNumberFormat="1" applyFont="1" applyBorder="1" applyAlignment="1">
      <alignment horizontal="center" vertical="center" wrapText="1"/>
    </xf>
    <xf numFmtId="1" fontId="6" fillId="0" borderId="237" xfId="23" applyNumberFormat="1" applyFont="1" applyBorder="1" applyAlignment="1">
      <alignment horizontal="center" vertical="center" wrapText="1"/>
    </xf>
    <xf numFmtId="1" fontId="6" fillId="0" borderId="397" xfId="24" applyNumberFormat="1" applyFont="1" applyBorder="1" applyAlignment="1" applyProtection="1">
      <alignment horizontal="center" vertical="center"/>
      <protection hidden="1"/>
    </xf>
    <xf numFmtId="1" fontId="6" fillId="0" borderId="57" xfId="0" applyNumberFormat="1" applyFont="1" applyBorder="1"/>
    <xf numFmtId="1" fontId="38" fillId="3" borderId="0" xfId="0" applyNumberFormat="1" applyFont="1" applyFill="1"/>
    <xf numFmtId="1" fontId="6" fillId="5" borderId="401" xfId="0" applyNumberFormat="1" applyFont="1" applyFill="1" applyBorder="1" applyProtection="1">
      <protection locked="0"/>
    </xf>
    <xf numFmtId="1" fontId="6" fillId="0" borderId="393" xfId="0" applyNumberFormat="1" applyFont="1" applyBorder="1"/>
    <xf numFmtId="1" fontId="6" fillId="0" borderId="360" xfId="0" applyNumberFormat="1" applyFont="1" applyBorder="1"/>
    <xf numFmtId="1" fontId="6" fillId="0" borderId="397" xfId="0" applyNumberFormat="1" applyFont="1" applyBorder="1" applyAlignment="1">
      <alignment horizontal="center" vertical="center" wrapText="1"/>
    </xf>
    <xf numFmtId="1" fontId="6" fillId="0" borderId="389" xfId="0" applyNumberFormat="1" applyFont="1" applyBorder="1"/>
    <xf numFmtId="1" fontId="6" fillId="0" borderId="401" xfId="0" applyNumberFormat="1" applyFont="1" applyBorder="1"/>
    <xf numFmtId="1" fontId="6" fillId="0" borderId="396" xfId="0" applyNumberFormat="1" applyFont="1" applyBorder="1"/>
    <xf numFmtId="1" fontId="6" fillId="0" borderId="345" xfId="0" applyNumberFormat="1" applyFont="1" applyBorder="1"/>
    <xf numFmtId="1" fontId="6" fillId="0" borderId="376" xfId="0" applyNumberFormat="1" applyFont="1" applyBorder="1"/>
    <xf numFmtId="1" fontId="6" fillId="0" borderId="352" xfId="0" applyNumberFormat="1" applyFont="1" applyBorder="1"/>
    <xf numFmtId="1" fontId="6" fillId="0" borderId="275" xfId="0" applyNumberFormat="1" applyFont="1" applyBorder="1" applyAlignment="1">
      <alignment vertical="center"/>
    </xf>
    <xf numFmtId="1" fontId="6" fillId="0" borderId="274" xfId="0" applyNumberFormat="1" applyFont="1" applyBorder="1" applyAlignment="1">
      <alignment vertical="center"/>
    </xf>
    <xf numFmtId="1" fontId="6" fillId="0" borderId="284" xfId="0" applyNumberFormat="1" applyFont="1" applyBorder="1" applyAlignment="1">
      <alignment vertical="center"/>
    </xf>
    <xf numFmtId="1" fontId="6" fillId="0" borderId="351" xfId="0" applyNumberFormat="1" applyFont="1" applyBorder="1"/>
    <xf numFmtId="1" fontId="6" fillId="15" borderId="42" xfId="0" applyNumberFormat="1" applyFont="1" applyFill="1" applyBorder="1" applyProtection="1">
      <protection locked="0"/>
    </xf>
    <xf numFmtId="1" fontId="6" fillId="0" borderId="42" xfId="0" applyNumberFormat="1" applyFont="1" applyBorder="1"/>
    <xf numFmtId="1" fontId="6" fillId="0" borderId="350" xfId="0" applyNumberFormat="1" applyFont="1" applyBorder="1"/>
    <xf numFmtId="1" fontId="6" fillId="0" borderId="299" xfId="0" applyNumberFormat="1" applyFont="1" applyBorder="1"/>
    <xf numFmtId="1" fontId="6" fillId="0" borderId="257" xfId="0" applyNumberFormat="1" applyFont="1" applyBorder="1" applyAlignment="1">
      <alignment horizontal="left" vertical="center" wrapText="1"/>
    </xf>
    <xf numFmtId="1" fontId="6" fillId="0" borderId="404" xfId="0" applyNumberFormat="1" applyFont="1" applyBorder="1" applyAlignment="1">
      <alignment vertical="center"/>
    </xf>
    <xf numFmtId="1" fontId="6" fillId="0" borderId="405" xfId="0" applyNumberFormat="1" applyFont="1" applyBorder="1" applyAlignment="1">
      <alignment vertical="center"/>
    </xf>
    <xf numFmtId="1" fontId="6" fillId="0" borderId="406" xfId="0" applyNumberFormat="1" applyFont="1" applyBorder="1" applyAlignment="1">
      <alignment vertical="center"/>
    </xf>
    <xf numFmtId="1" fontId="6" fillId="0" borderId="32" xfId="0" applyNumberFormat="1" applyFont="1" applyBorder="1"/>
    <xf numFmtId="1" fontId="6" fillId="0" borderId="36" xfId="0" applyNumberFormat="1" applyFont="1" applyBorder="1"/>
    <xf numFmtId="1" fontId="6" fillId="0" borderId="406" xfId="0" applyNumberFormat="1" applyFont="1" applyBorder="1" applyAlignment="1">
      <alignment horizontal="center" vertical="center" wrapText="1"/>
    </xf>
    <xf numFmtId="1" fontId="6" fillId="0" borderId="404" xfId="0" applyNumberFormat="1" applyFont="1" applyBorder="1" applyAlignment="1">
      <alignment horizontal="center" vertical="center" wrapText="1"/>
    </xf>
    <xf numFmtId="1" fontId="6" fillId="0" borderId="405" xfId="0" applyNumberFormat="1" applyFont="1" applyBorder="1" applyAlignment="1">
      <alignment horizontal="center" vertical="center" wrapText="1"/>
    </xf>
    <xf numFmtId="1" fontId="6" fillId="14" borderId="408" xfId="0" applyNumberFormat="1" applyFont="1" applyFill="1" applyBorder="1" applyAlignment="1">
      <alignment wrapText="1"/>
    </xf>
    <xf numFmtId="1" fontId="6" fillId="0" borderId="408" xfId="0" applyNumberFormat="1" applyFont="1" applyBorder="1" applyAlignment="1">
      <alignment wrapText="1"/>
    </xf>
    <xf numFmtId="1" fontId="6" fillId="0" borderId="409" xfId="0" applyNumberFormat="1" applyFont="1" applyBorder="1" applyAlignment="1">
      <alignment wrapText="1"/>
    </xf>
    <xf numFmtId="1" fontId="6" fillId="0" borderId="410" xfId="0" applyNumberFormat="1" applyFont="1" applyBorder="1" applyAlignment="1">
      <alignment wrapText="1"/>
    </xf>
    <xf numFmtId="1" fontId="6" fillId="0" borderId="347" xfId="0" applyNumberFormat="1" applyFont="1" applyBorder="1" applyAlignment="1">
      <alignment wrapText="1"/>
    </xf>
    <xf numFmtId="1" fontId="13" fillId="0" borderId="408" xfId="0" applyNumberFormat="1" applyFont="1" applyBorder="1" applyAlignment="1">
      <alignment wrapText="1"/>
    </xf>
    <xf numFmtId="1" fontId="13" fillId="0" borderId="409" xfId="0" applyNumberFormat="1" applyFont="1" applyBorder="1" applyAlignment="1">
      <alignment wrapText="1"/>
    </xf>
    <xf numFmtId="1" fontId="13" fillId="3" borderId="408" xfId="0" applyNumberFormat="1" applyFont="1" applyFill="1" applyBorder="1" applyAlignment="1">
      <alignment wrapText="1"/>
    </xf>
    <xf numFmtId="1" fontId="13" fillId="0" borderId="347" xfId="0" applyNumberFormat="1" applyFont="1" applyBorder="1" applyAlignment="1">
      <alignment wrapText="1"/>
    </xf>
    <xf numFmtId="1" fontId="4" fillId="0" borderId="347" xfId="0" applyNumberFormat="1" applyFont="1" applyBorder="1"/>
    <xf numFmtId="1" fontId="6" fillId="0" borderId="20" xfId="0" applyNumberFormat="1" applyFont="1" applyBorder="1" applyAlignment="1">
      <alignment vertical="center" wrapText="1"/>
    </xf>
    <xf numFmtId="1" fontId="6" fillId="0" borderId="393" xfId="0" applyNumberFormat="1" applyFont="1" applyBorder="1" applyAlignment="1">
      <alignment horizontal="right"/>
    </xf>
    <xf numFmtId="1" fontId="6" fillId="0" borderId="397" xfId="0" applyNumberFormat="1" applyFont="1" applyBorder="1" applyAlignment="1">
      <alignment horizontal="right" wrapText="1"/>
    </xf>
    <xf numFmtId="1" fontId="6" fillId="0" borderId="397" xfId="0" applyNumberFormat="1" applyFont="1" applyBorder="1" applyAlignment="1">
      <alignment vertical="center" wrapText="1"/>
    </xf>
    <xf numFmtId="1" fontId="6" fillId="12" borderId="401" xfId="0" applyNumberFormat="1" applyFont="1" applyFill="1" applyBorder="1"/>
    <xf numFmtId="1" fontId="6" fillId="0" borderId="401" xfId="0" applyNumberFormat="1" applyFont="1" applyBorder="1" applyAlignment="1">
      <alignment horizontal="right"/>
    </xf>
    <xf numFmtId="1" fontId="6" fillId="0" borderId="360" xfId="0" applyNumberFormat="1" applyFont="1" applyBorder="1" applyAlignment="1">
      <alignment horizontal="right"/>
    </xf>
    <xf numFmtId="1" fontId="39" fillId="0" borderId="400" xfId="0" applyNumberFormat="1" applyFont="1" applyBorder="1"/>
    <xf numFmtId="1" fontId="13" fillId="14" borderId="400" xfId="0" applyNumberFormat="1" applyFont="1" applyFill="1" applyBorder="1" applyAlignment="1">
      <alignment wrapText="1"/>
    </xf>
    <xf numFmtId="1" fontId="6" fillId="0" borderId="400" xfId="0" applyNumberFormat="1" applyFont="1" applyBorder="1" applyAlignment="1">
      <alignment wrapText="1"/>
    </xf>
    <xf numFmtId="1" fontId="6" fillId="0" borderId="56" xfId="0" applyNumberFormat="1" applyFont="1" applyBorder="1"/>
    <xf numFmtId="1" fontId="6" fillId="0" borderId="394" xfId="0" applyNumberFormat="1" applyFont="1" applyBorder="1"/>
    <xf numFmtId="1" fontId="39" fillId="0" borderId="411" xfId="0" applyNumberFormat="1" applyFont="1" applyBorder="1"/>
    <xf numFmtId="1" fontId="13" fillId="14" borderId="411" xfId="0" applyNumberFormat="1" applyFont="1" applyFill="1" applyBorder="1" applyAlignment="1">
      <alignment wrapText="1"/>
    </xf>
    <xf numFmtId="1" fontId="6" fillId="0" borderId="411" xfId="0" applyNumberFormat="1" applyFont="1" applyBorder="1" applyAlignment="1">
      <alignment wrapText="1"/>
    </xf>
    <xf numFmtId="1" fontId="4" fillId="14" borderId="411" xfId="0" applyNumberFormat="1" applyFont="1" applyFill="1" applyBorder="1"/>
    <xf numFmtId="1" fontId="6" fillId="0" borderId="340" xfId="0" applyNumberFormat="1" applyFont="1" applyBorder="1"/>
    <xf numFmtId="1" fontId="6" fillId="0" borderId="335" xfId="0" applyNumberFormat="1" applyFont="1" applyBorder="1"/>
    <xf numFmtId="1" fontId="6" fillId="0" borderId="337" xfId="0" applyNumberFormat="1" applyFont="1" applyBorder="1"/>
    <xf numFmtId="1" fontId="6" fillId="0" borderId="335" xfId="0" applyNumberFormat="1" applyFont="1" applyBorder="1" applyAlignment="1">
      <alignment horizontal="center" vertical="center" wrapText="1"/>
    </xf>
    <xf numFmtId="1" fontId="6" fillId="0" borderId="412" xfId="0" applyNumberFormat="1" applyFont="1" applyBorder="1" applyAlignment="1">
      <alignment horizontal="center" vertical="center" wrapText="1"/>
    </xf>
    <xf numFmtId="1" fontId="6" fillId="14" borderId="411" xfId="0" applyNumberFormat="1" applyFont="1" applyFill="1" applyBorder="1" applyAlignment="1">
      <alignment wrapText="1"/>
    </xf>
    <xf numFmtId="1" fontId="6" fillId="14" borderId="415" xfId="0" applyNumberFormat="1" applyFont="1" applyFill="1" applyBorder="1" applyAlignment="1">
      <alignment wrapText="1"/>
    </xf>
    <xf numFmtId="1" fontId="6" fillId="14" borderId="99" xfId="0" applyNumberFormat="1" applyFont="1" applyFill="1" applyBorder="1" applyAlignment="1">
      <alignment wrapText="1"/>
    </xf>
    <xf numFmtId="1" fontId="13" fillId="14" borderId="0" xfId="0" applyNumberFormat="1" applyFont="1" applyFill="1" applyAlignment="1">
      <alignment wrapText="1"/>
    </xf>
    <xf numFmtId="1" fontId="6" fillId="0" borderId="257" xfId="0" applyNumberFormat="1" applyFont="1" applyBorder="1" applyAlignment="1">
      <alignment vertical="center" wrapText="1"/>
    </xf>
    <xf numFmtId="1" fontId="6" fillId="0" borderId="61" xfId="0" applyNumberFormat="1" applyFont="1" applyBorder="1" applyAlignment="1">
      <alignment vertical="center" wrapText="1"/>
    </xf>
    <xf numFmtId="1" fontId="6" fillId="14" borderId="411" xfId="0" applyNumberFormat="1" applyFont="1" applyFill="1" applyBorder="1" applyAlignment="1">
      <alignment vertical="center"/>
    </xf>
    <xf numFmtId="1" fontId="6" fillId="12" borderId="268" xfId="0" applyNumberFormat="1" applyFont="1" applyFill="1" applyBorder="1"/>
    <xf numFmtId="1" fontId="6" fillId="14" borderId="417" xfId="0" applyNumberFormat="1" applyFont="1" applyFill="1" applyBorder="1" applyAlignment="1">
      <alignment wrapText="1"/>
    </xf>
    <xf numFmtId="1" fontId="6" fillId="14" borderId="418" xfId="0" applyNumberFormat="1" applyFont="1" applyFill="1" applyBorder="1" applyAlignment="1">
      <alignment wrapText="1"/>
    </xf>
    <xf numFmtId="1" fontId="6" fillId="14" borderId="419" xfId="0" applyNumberFormat="1" applyFont="1" applyFill="1" applyBorder="1" applyAlignment="1">
      <alignment wrapText="1"/>
    </xf>
    <xf numFmtId="1" fontId="7" fillId="0" borderId="334" xfId="0" applyNumberFormat="1" applyFont="1" applyBorder="1" applyAlignment="1">
      <alignment horizontal="center" vertical="center" wrapText="1"/>
    </xf>
    <xf numFmtId="1" fontId="16" fillId="3" borderId="0" xfId="0" applyNumberFormat="1" applyFont="1" applyFill="1"/>
    <xf numFmtId="1" fontId="6" fillId="0" borderId="334" xfId="0" applyNumberFormat="1" applyFont="1" applyBorder="1"/>
    <xf numFmtId="1" fontId="6" fillId="3" borderId="416" xfId="0" applyNumberFormat="1" applyFont="1" applyFill="1" applyBorder="1"/>
    <xf numFmtId="1" fontId="5" fillId="14" borderId="0" xfId="0" applyNumberFormat="1" applyFont="1" applyFill="1" applyAlignment="1">
      <alignment wrapText="1"/>
    </xf>
    <xf numFmtId="1" fontId="2" fillId="14" borderId="0" xfId="0" applyNumberFormat="1" applyFont="1" applyFill="1" applyAlignment="1">
      <alignment wrapText="1"/>
    </xf>
    <xf numFmtId="1" fontId="39" fillId="14" borderId="411" xfId="0" applyNumberFormat="1" applyFont="1" applyFill="1" applyBorder="1"/>
    <xf numFmtId="1" fontId="6" fillId="0" borderId="376" xfId="0" applyNumberFormat="1" applyFont="1" applyBorder="1" applyAlignment="1">
      <alignment horizontal="right" wrapText="1"/>
    </xf>
    <xf numFmtId="1" fontId="6" fillId="0" borderId="424" xfId="0" applyNumberFormat="1" applyFont="1" applyBorder="1" applyAlignment="1">
      <alignment horizontal="right" wrapText="1"/>
    </xf>
    <xf numFmtId="1" fontId="6" fillId="0" borderId="425" xfId="0" applyNumberFormat="1" applyFont="1" applyBorder="1" applyAlignment="1">
      <alignment horizontal="right" wrapText="1"/>
    </xf>
    <xf numFmtId="1" fontId="6" fillId="14" borderId="411" xfId="0" applyNumberFormat="1" applyFont="1" applyFill="1" applyBorder="1"/>
    <xf numFmtId="1" fontId="6" fillId="0" borderId="401" xfId="0" applyNumberFormat="1" applyFont="1" applyBorder="1" applyAlignment="1">
      <alignment horizontal="right" wrapText="1"/>
    </xf>
    <xf numFmtId="1" fontId="6" fillId="4" borderId="425" xfId="0" applyNumberFormat="1" applyFont="1" applyFill="1" applyBorder="1"/>
    <xf numFmtId="1" fontId="6" fillId="5" borderId="425" xfId="0" applyNumberFormat="1" applyFont="1" applyFill="1" applyBorder="1" applyProtection="1">
      <protection locked="0"/>
    </xf>
    <xf numFmtId="1" fontId="6" fillId="0" borderId="375" xfId="0" applyNumberFormat="1" applyFont="1" applyBorder="1" applyAlignment="1">
      <alignment horizontal="right" wrapText="1"/>
    </xf>
    <xf numFmtId="1" fontId="6" fillId="0" borderId="346" xfId="0" applyNumberFormat="1" applyFont="1" applyBorder="1" applyAlignment="1">
      <alignment horizontal="right" wrapText="1"/>
    </xf>
    <xf numFmtId="1" fontId="6" fillId="0" borderId="337" xfId="0" applyNumberFormat="1" applyFont="1" applyBorder="1" applyAlignment="1">
      <alignment horizontal="right" wrapText="1"/>
    </xf>
    <xf numFmtId="1" fontId="6" fillId="0" borderId="346" xfId="0" applyNumberFormat="1" applyFont="1" applyBorder="1" applyAlignment="1">
      <alignment horizontal="center" vertical="center" wrapText="1"/>
    </xf>
    <xf numFmtId="1" fontId="4" fillId="3" borderId="422" xfId="0" applyNumberFormat="1" applyFont="1" applyFill="1" applyBorder="1"/>
    <xf numFmtId="1" fontId="4" fillId="0" borderId="422" xfId="0" applyNumberFormat="1" applyFont="1" applyBorder="1"/>
    <xf numFmtId="1" fontId="6" fillId="5" borderId="427" xfId="0" applyNumberFormat="1" applyFont="1" applyFill="1" applyBorder="1" applyProtection="1">
      <protection locked="0"/>
    </xf>
    <xf numFmtId="1" fontId="6" fillId="5" borderId="424" xfId="0" applyNumberFormat="1" applyFont="1" applyFill="1" applyBorder="1" applyProtection="1">
      <protection locked="0"/>
    </xf>
    <xf numFmtId="1" fontId="6" fillId="0" borderId="424" xfId="0" applyNumberFormat="1" applyFont="1" applyBorder="1" applyAlignment="1">
      <alignment horizontal="right"/>
    </xf>
    <xf numFmtId="1" fontId="6" fillId="0" borderId="425" xfId="0" applyNumberFormat="1" applyFont="1" applyBorder="1" applyAlignment="1">
      <alignment horizontal="right"/>
    </xf>
    <xf numFmtId="1" fontId="6" fillId="0" borderId="346" xfId="0" applyNumberFormat="1" applyFont="1" applyBorder="1" applyAlignment="1">
      <alignment vertical="center" wrapText="1"/>
    </xf>
    <xf numFmtId="1" fontId="6" fillId="0" borderId="337" xfId="0" applyNumberFormat="1" applyFont="1" applyBorder="1" applyAlignment="1">
      <alignment vertical="center" wrapText="1"/>
    </xf>
    <xf numFmtId="1" fontId="6" fillId="0" borderId="45" xfId="0" applyNumberFormat="1" applyFont="1" applyBorder="1" applyAlignment="1">
      <alignment vertical="center" wrapText="1"/>
    </xf>
    <xf numFmtId="1" fontId="6" fillId="0" borderId="424" xfId="0" applyNumberFormat="1" applyFont="1" applyBorder="1"/>
    <xf numFmtId="1" fontId="6" fillId="0" borderId="425" xfId="0" applyNumberFormat="1" applyFont="1" applyBorder="1" applyAlignment="1">
      <alignment vertical="center" wrapText="1"/>
    </xf>
    <xf numFmtId="1" fontId="6" fillId="0" borderId="328" xfId="0" applyNumberFormat="1" applyFont="1" applyBorder="1" applyAlignment="1">
      <alignment vertical="center" wrapText="1"/>
    </xf>
    <xf numFmtId="1" fontId="6" fillId="0" borderId="331" xfId="0" applyNumberFormat="1" applyFont="1" applyBorder="1" applyAlignment="1">
      <alignment vertical="center" wrapText="1"/>
    </xf>
    <xf numFmtId="1" fontId="4" fillId="0" borderId="338" xfId="0" applyNumberFormat="1" applyFont="1" applyBorder="1"/>
    <xf numFmtId="1" fontId="6" fillId="0" borderId="429" xfId="0" applyNumberFormat="1" applyFont="1" applyBorder="1" applyAlignment="1">
      <alignment horizontal="right" wrapText="1"/>
    </xf>
    <xf numFmtId="1" fontId="6" fillId="0" borderId="412" xfId="0" applyNumberFormat="1" applyFont="1" applyBorder="1" applyAlignment="1">
      <alignment horizontal="right" wrapText="1"/>
    </xf>
    <xf numFmtId="1" fontId="6" fillId="0" borderId="256" xfId="0" applyNumberFormat="1" applyFont="1" applyBorder="1" applyAlignment="1">
      <alignment horizontal="right"/>
    </xf>
    <xf numFmtId="1" fontId="6" fillId="0" borderId="261" xfId="0" applyNumberFormat="1" applyFont="1" applyBorder="1" applyAlignment="1">
      <alignment horizontal="right" wrapText="1"/>
    </xf>
    <xf numFmtId="1" fontId="6" fillId="0" borderId="258" xfId="0" applyNumberFormat="1" applyFont="1" applyBorder="1" applyAlignment="1">
      <alignment horizontal="right" wrapText="1"/>
    </xf>
    <xf numFmtId="1" fontId="6" fillId="14" borderId="425" xfId="0" applyNumberFormat="1" applyFont="1" applyFill="1" applyBorder="1" applyAlignment="1">
      <alignment horizontal="right" wrapText="1"/>
    </xf>
    <xf numFmtId="1" fontId="6" fillId="14" borderId="424" xfId="0" applyNumberFormat="1" applyFont="1" applyFill="1" applyBorder="1" applyAlignment="1">
      <alignment horizontal="right"/>
    </xf>
    <xf numFmtId="1" fontId="6" fillId="14" borderId="63" xfId="0" applyNumberFormat="1" applyFont="1" applyFill="1" applyBorder="1" applyAlignment="1">
      <alignment horizontal="right" wrapText="1"/>
    </xf>
    <xf numFmtId="1" fontId="6" fillId="0" borderId="331" xfId="0" applyNumberFormat="1" applyFont="1" applyBorder="1" applyAlignment="1">
      <alignment horizontal="right" wrapText="1"/>
    </xf>
    <xf numFmtId="1" fontId="6" fillId="0" borderId="335" xfId="0" applyNumberFormat="1" applyFont="1" applyBorder="1" applyAlignment="1">
      <alignment horizontal="right"/>
    </xf>
    <xf numFmtId="1" fontId="6" fillId="0" borderId="336" xfId="0" applyNumberFormat="1" applyFont="1" applyBorder="1" applyAlignment="1">
      <alignment horizontal="center" vertical="center" wrapText="1"/>
    </xf>
    <xf numFmtId="1" fontId="4" fillId="3" borderId="434" xfId="0" applyNumberFormat="1" applyFont="1" applyFill="1" applyBorder="1"/>
    <xf numFmtId="1" fontId="4" fillId="0" borderId="434" xfId="0" applyNumberFormat="1" applyFont="1" applyBorder="1"/>
    <xf numFmtId="1" fontId="5" fillId="3" borderId="0" xfId="0" applyNumberFormat="1" applyFont="1" applyFill="1" applyAlignment="1">
      <alignment wrapText="1"/>
    </xf>
    <xf numFmtId="1" fontId="5" fillId="3" borderId="433" xfId="0" applyNumberFormat="1" applyFont="1" applyFill="1" applyBorder="1" applyAlignment="1">
      <alignment wrapText="1"/>
    </xf>
    <xf numFmtId="1" fontId="6" fillId="0" borderId="438" xfId="0" applyNumberFormat="1" applyFont="1" applyBorder="1" applyAlignment="1">
      <alignment horizontal="center" vertical="center"/>
    </xf>
    <xf numFmtId="1" fontId="5" fillId="3" borderId="0" xfId="0" applyNumberFormat="1" applyFont="1" applyFill="1" applyProtection="1">
      <protection hidden="1"/>
    </xf>
    <xf numFmtId="1" fontId="6" fillId="3" borderId="0" xfId="0" applyNumberFormat="1" applyFont="1" applyFill="1" applyAlignment="1" applyProtection="1">
      <alignment wrapText="1"/>
      <protection hidden="1"/>
    </xf>
    <xf numFmtId="1" fontId="6" fillId="5" borderId="443" xfId="0" applyNumberFormat="1" applyFont="1" applyFill="1" applyBorder="1" applyProtection="1">
      <protection locked="0"/>
    </xf>
    <xf numFmtId="1" fontId="6" fillId="5" borderId="442" xfId="0" applyNumberFormat="1" applyFont="1" applyFill="1" applyBorder="1" applyProtection="1">
      <protection locked="0"/>
    </xf>
    <xf numFmtId="1" fontId="6" fillId="0" borderId="439" xfId="0" applyNumberFormat="1" applyFont="1" applyBorder="1" applyAlignment="1">
      <alignment horizontal="center" vertical="center" wrapText="1"/>
    </xf>
    <xf numFmtId="1" fontId="2" fillId="3" borderId="0" xfId="0" applyNumberFormat="1" applyFont="1" applyFill="1" applyAlignment="1">
      <alignment horizontal="left"/>
    </xf>
    <xf numFmtId="1" fontId="6" fillId="5" borderId="465" xfId="0" applyNumberFormat="1" applyFont="1" applyFill="1" applyBorder="1" applyProtection="1">
      <protection locked="0"/>
    </xf>
    <xf numFmtId="1" fontId="6" fillId="0" borderId="436" xfId="0" applyNumberFormat="1" applyFont="1" applyBorder="1"/>
    <xf numFmtId="1" fontId="6" fillId="0" borderId="447" xfId="0" applyNumberFormat="1" applyFont="1" applyBorder="1" applyAlignment="1">
      <alignment horizontal="center" vertical="center" wrapText="1"/>
    </xf>
    <xf numFmtId="1" fontId="6" fillId="5" borderId="464" xfId="0" applyNumberFormat="1" applyFont="1" applyFill="1" applyBorder="1" applyProtection="1">
      <protection locked="0"/>
    </xf>
    <xf numFmtId="1" fontId="6" fillId="5" borderId="447" xfId="0" applyNumberFormat="1" applyFont="1" applyFill="1" applyBorder="1" applyProtection="1">
      <protection locked="0"/>
    </xf>
    <xf numFmtId="1" fontId="6" fillId="5" borderId="467" xfId="0" applyNumberFormat="1" applyFont="1" applyFill="1" applyBorder="1" applyProtection="1">
      <protection locked="0"/>
    </xf>
    <xf numFmtId="1" fontId="6" fillId="0" borderId="443" xfId="0" applyNumberFormat="1" applyFont="1" applyBorder="1"/>
    <xf numFmtId="1" fontId="13" fillId="0" borderId="436" xfId="28" applyNumberFormat="1" applyFont="1" applyBorder="1"/>
    <xf numFmtId="1" fontId="13" fillId="0" borderId="450" xfId="28" applyNumberFormat="1" applyFont="1" applyBorder="1"/>
    <xf numFmtId="1" fontId="13" fillId="0" borderId="456" xfId="28" applyNumberFormat="1" applyFont="1" applyBorder="1"/>
    <xf numFmtId="1" fontId="13" fillId="0" borderId="438" xfId="28" applyNumberFormat="1" applyFont="1" applyBorder="1"/>
    <xf numFmtId="1" fontId="6" fillId="0" borderId="440" xfId="28" applyNumberFormat="1" applyFont="1" applyBorder="1"/>
    <xf numFmtId="1" fontId="6" fillId="0" borderId="24" xfId="28" applyNumberFormat="1" applyFont="1" applyBorder="1" applyAlignment="1">
      <alignment wrapText="1"/>
    </xf>
    <xf numFmtId="1" fontId="6" fillId="14" borderId="469" xfId="28" applyNumberFormat="1" applyFont="1" applyFill="1" applyBorder="1" applyProtection="1">
      <protection hidden="1"/>
    </xf>
    <xf numFmtId="1" fontId="6" fillId="14" borderId="470" xfId="28" applyNumberFormat="1" applyFont="1" applyFill="1" applyBorder="1"/>
    <xf numFmtId="1" fontId="6" fillId="14" borderId="469" xfId="28" applyNumberFormat="1" applyFont="1" applyFill="1" applyBorder="1"/>
    <xf numFmtId="1" fontId="6" fillId="5" borderId="22" xfId="28" applyNumberFormat="1" applyFont="1" applyFill="1" applyBorder="1" applyProtection="1">
      <protection locked="0"/>
    </xf>
    <xf numFmtId="1" fontId="6" fillId="5" borderId="54" xfId="28" applyNumberFormat="1" applyFont="1" applyFill="1" applyBorder="1" applyProtection="1">
      <protection locked="0"/>
    </xf>
    <xf numFmtId="1" fontId="6" fillId="5" borderId="110" xfId="28" applyNumberFormat="1" applyFont="1" applyFill="1" applyBorder="1" applyProtection="1">
      <protection locked="0"/>
    </xf>
    <xf numFmtId="1" fontId="6" fillId="5" borderId="30" xfId="28" applyNumberFormat="1" applyFont="1" applyFill="1" applyBorder="1" applyProtection="1">
      <protection locked="0"/>
    </xf>
    <xf numFmtId="1" fontId="6" fillId="0" borderId="362" xfId="28" applyNumberFormat="1" applyFont="1" applyBorder="1"/>
    <xf numFmtId="1" fontId="6" fillId="0" borderId="362" xfId="28" applyNumberFormat="1" applyFont="1" applyBorder="1" applyAlignment="1">
      <alignment wrapText="1"/>
    </xf>
    <xf numFmtId="1" fontId="6" fillId="5" borderId="36" xfId="28" applyNumberFormat="1" applyFont="1" applyFill="1" applyBorder="1" applyProtection="1">
      <protection locked="0"/>
    </xf>
    <xf numFmtId="1" fontId="6" fillId="0" borderId="37" xfId="28" applyNumberFormat="1" applyFont="1" applyBorder="1"/>
    <xf numFmtId="1" fontId="6" fillId="0" borderId="29" xfId="28" applyNumberFormat="1" applyFont="1" applyBorder="1" applyAlignment="1">
      <alignment wrapText="1"/>
    </xf>
    <xf numFmtId="1" fontId="6" fillId="0" borderId="469" xfId="28" applyNumberFormat="1" applyFont="1" applyBorder="1" applyProtection="1">
      <protection hidden="1"/>
    </xf>
    <xf numFmtId="1" fontId="6" fillId="0" borderId="470" xfId="28" applyNumberFormat="1" applyFont="1" applyBorder="1"/>
    <xf numFmtId="1" fontId="6" fillId="0" borderId="469" xfId="28" applyNumberFormat="1" applyFont="1" applyBorder="1"/>
    <xf numFmtId="1" fontId="6" fillId="0" borderId="37" xfId="28" applyNumberFormat="1" applyFont="1" applyBorder="1" applyAlignment="1">
      <alignment wrapText="1"/>
    </xf>
    <xf numFmtId="1" fontId="6" fillId="5" borderId="42" xfId="28" applyNumberFormat="1" applyFont="1" applyFill="1" applyBorder="1" applyProtection="1">
      <protection locked="0"/>
    </xf>
    <xf numFmtId="1" fontId="6" fillId="5" borderId="55" xfId="28" applyNumberFormat="1" applyFont="1" applyFill="1" applyBorder="1" applyProtection="1">
      <protection locked="0"/>
    </xf>
    <xf numFmtId="1" fontId="6" fillId="5" borderId="109" xfId="28" applyNumberFormat="1" applyFont="1" applyFill="1" applyBorder="1" applyProtection="1">
      <protection locked="0"/>
    </xf>
    <xf numFmtId="1" fontId="6" fillId="5" borderId="425" xfId="28" applyNumberFormat="1" applyFont="1" applyFill="1" applyBorder="1" applyProtection="1">
      <protection locked="0"/>
    </xf>
    <xf numFmtId="1" fontId="6" fillId="0" borderId="452" xfId="28" applyNumberFormat="1" applyFont="1" applyBorder="1"/>
    <xf numFmtId="1" fontId="6" fillId="0" borderId="436" xfId="28" applyNumberFormat="1" applyFont="1" applyBorder="1" applyAlignment="1">
      <alignment horizontal="center" vertical="center" wrapText="1"/>
    </xf>
    <xf numFmtId="1" fontId="6" fillId="0" borderId="450" xfId="28" applyNumberFormat="1" applyFont="1" applyBorder="1" applyAlignment="1">
      <alignment horizontal="center" vertical="center" wrapText="1"/>
    </xf>
    <xf numFmtId="1" fontId="6" fillId="0" borderId="438" xfId="28" applyNumberFormat="1" applyFont="1" applyBorder="1" applyAlignment="1">
      <alignment horizontal="center" vertical="center" wrapText="1"/>
    </xf>
    <xf numFmtId="1" fontId="6" fillId="0" borderId="471" xfId="28" applyNumberFormat="1" applyFont="1" applyBorder="1"/>
    <xf numFmtId="1" fontId="13" fillId="0" borderId="438" xfId="28" applyNumberFormat="1" applyFont="1" applyBorder="1" applyAlignment="1">
      <alignment horizontal="right"/>
    </xf>
    <xf numFmtId="1" fontId="6" fillId="0" borderId="440" xfId="28" applyNumberFormat="1" applyFont="1" applyBorder="1" applyAlignment="1">
      <alignment wrapText="1"/>
    </xf>
    <xf numFmtId="1" fontId="6" fillId="5" borderId="39" xfId="28" applyNumberFormat="1" applyFont="1" applyFill="1" applyBorder="1" applyProtection="1">
      <protection locked="0"/>
    </xf>
    <xf numFmtId="1" fontId="6" fillId="5" borderId="39" xfId="28" applyNumberFormat="1" applyFont="1" applyFill="1" applyBorder="1" applyAlignment="1" applyProtection="1">
      <alignment horizontal="right"/>
      <protection locked="0"/>
    </xf>
    <xf numFmtId="1" fontId="6" fillId="5" borderId="30" xfId="28" applyNumberFormat="1" applyFont="1" applyFill="1" applyBorder="1" applyAlignment="1" applyProtection="1">
      <alignment horizontal="right"/>
      <protection locked="0"/>
    </xf>
    <xf numFmtId="1" fontId="6" fillId="5" borderId="472" xfId="28" applyNumberFormat="1" applyFont="1" applyFill="1" applyBorder="1" applyProtection="1">
      <protection locked="0"/>
    </xf>
    <xf numFmtId="1" fontId="6" fillId="5" borderId="424" xfId="28" applyNumberFormat="1" applyFont="1" applyFill="1" applyBorder="1" applyProtection="1">
      <protection locked="0"/>
    </xf>
    <xf numFmtId="1" fontId="6" fillId="5" borderId="424" xfId="28" applyNumberFormat="1" applyFont="1" applyFill="1" applyBorder="1" applyAlignment="1" applyProtection="1">
      <alignment horizontal="right"/>
      <protection locked="0"/>
    </xf>
    <xf numFmtId="1" fontId="6" fillId="5" borderId="425" xfId="28" applyNumberFormat="1" applyFont="1" applyFill="1" applyBorder="1" applyAlignment="1" applyProtection="1">
      <alignment horizontal="right"/>
      <protection locked="0"/>
    </xf>
    <xf numFmtId="1" fontId="6" fillId="0" borderId="452" xfId="28" applyNumberFormat="1" applyFont="1" applyBorder="1" applyAlignment="1">
      <alignment wrapText="1"/>
    </xf>
    <xf numFmtId="1" fontId="6" fillId="0" borderId="473" xfId="28" applyNumberFormat="1" applyFont="1" applyBorder="1"/>
    <xf numFmtId="1" fontId="6" fillId="5" borderId="21" xfId="28" applyNumberFormat="1" applyFont="1" applyFill="1" applyBorder="1" applyAlignment="1" applyProtection="1">
      <alignment horizontal="right"/>
      <protection locked="0"/>
    </xf>
    <xf numFmtId="1" fontId="6" fillId="5" borderId="444" xfId="28" applyNumberFormat="1" applyFont="1" applyFill="1" applyBorder="1" applyAlignment="1" applyProtection="1">
      <alignment horizontal="right"/>
      <protection locked="0"/>
    </xf>
    <xf numFmtId="1" fontId="6" fillId="0" borderId="440" xfId="28" applyNumberFormat="1" applyFont="1" applyBorder="1" applyAlignment="1">
      <alignment horizontal="right"/>
    </xf>
    <xf numFmtId="1" fontId="6" fillId="5" borderId="68" xfId="28" applyNumberFormat="1" applyFont="1" applyFill="1" applyBorder="1" applyAlignment="1" applyProtection="1">
      <alignment horizontal="right"/>
      <protection locked="0"/>
    </xf>
    <xf numFmtId="1" fontId="6" fillId="0" borderId="428" xfId="28" applyNumberFormat="1" applyFont="1" applyBorder="1" applyAlignment="1">
      <alignment horizontal="right"/>
    </xf>
    <xf numFmtId="1" fontId="6" fillId="0" borderId="416" xfId="28" applyNumberFormat="1" applyFont="1" applyBorder="1" applyAlignment="1">
      <alignment wrapText="1"/>
    </xf>
    <xf numFmtId="1" fontId="6" fillId="5" borderId="435" xfId="28" applyNumberFormat="1" applyFont="1" applyFill="1" applyBorder="1" applyAlignment="1" applyProtection="1">
      <alignment horizontal="right"/>
      <protection locked="0"/>
    </xf>
    <xf numFmtId="1" fontId="6" fillId="14" borderId="470" xfId="28" applyNumberFormat="1" applyFont="1" applyFill="1" applyBorder="1" applyProtection="1">
      <protection hidden="1"/>
    </xf>
    <xf numFmtId="1" fontId="6" fillId="0" borderId="435" xfId="8" applyNumberFormat="1" applyFont="1" applyBorder="1" applyAlignment="1">
      <alignment horizontal="center" vertical="center"/>
    </xf>
    <xf numFmtId="1" fontId="6" fillId="0" borderId="440" xfId="28" applyNumberFormat="1" applyFont="1" applyBorder="1" applyAlignment="1">
      <alignment horizontal="center" vertical="center" wrapText="1"/>
    </xf>
    <xf numFmtId="1" fontId="6" fillId="0" borderId="474" xfId="28" applyNumberFormat="1" applyFont="1" applyBorder="1"/>
    <xf numFmtId="1" fontId="6" fillId="5" borderId="24" xfId="28" applyNumberFormat="1" applyFont="1" applyFill="1" applyBorder="1" applyProtection="1">
      <protection locked="0"/>
    </xf>
    <xf numFmtId="1" fontId="6" fillId="0" borderId="24" xfId="28" applyNumberFormat="1" applyFont="1" applyBorder="1" applyAlignment="1">
      <alignment horizontal="right"/>
    </xf>
    <xf numFmtId="1" fontId="6" fillId="5" borderId="426" xfId="28" applyNumberFormat="1" applyFont="1" applyFill="1" applyBorder="1" applyProtection="1">
      <protection locked="0"/>
    </xf>
    <xf numFmtId="1" fontId="6" fillId="0" borderId="426" xfId="28" applyNumberFormat="1" applyFont="1" applyBorder="1" applyAlignment="1">
      <alignment horizontal="right"/>
    </xf>
    <xf numFmtId="1" fontId="6" fillId="0" borderId="475" xfId="28" applyNumberFormat="1" applyFont="1" applyBorder="1" applyProtection="1">
      <protection hidden="1"/>
    </xf>
    <xf numFmtId="1" fontId="6" fillId="0" borderId="0" xfId="28" applyNumberFormat="1" applyFont="1"/>
    <xf numFmtId="1" fontId="6" fillId="0" borderId="470" xfId="28" applyNumberFormat="1" applyFont="1" applyBorder="1" applyProtection="1">
      <protection hidden="1"/>
    </xf>
    <xf numFmtId="1" fontId="6" fillId="5" borderId="24" xfId="28" applyNumberFormat="1" applyFont="1" applyFill="1" applyBorder="1" applyAlignment="1" applyProtection="1">
      <alignment horizontal="center"/>
      <protection locked="0"/>
    </xf>
    <xf numFmtId="1" fontId="6" fillId="5" borderId="428" xfId="28" applyNumberFormat="1" applyFont="1" applyFill="1" applyBorder="1" applyAlignment="1" applyProtection="1">
      <alignment horizontal="center"/>
      <protection locked="0"/>
    </xf>
    <xf numFmtId="1" fontId="6" fillId="5" borderId="25" xfId="28" applyNumberFormat="1" applyFont="1" applyFill="1" applyBorder="1" applyAlignment="1" applyProtection="1">
      <alignment horizontal="center"/>
      <protection locked="0"/>
    </xf>
    <xf numFmtId="1" fontId="6" fillId="0" borderId="0" xfId="28" applyNumberFormat="1" applyFont="1" applyProtection="1">
      <protection hidden="1"/>
    </xf>
    <xf numFmtId="1" fontId="6" fillId="0" borderId="476" xfId="28" applyNumberFormat="1" applyFont="1" applyBorder="1"/>
    <xf numFmtId="1" fontId="11" fillId="0" borderId="470" xfId="28" applyNumberFormat="1" applyFont="1" applyBorder="1"/>
    <xf numFmtId="1" fontId="6" fillId="5" borderId="351" xfId="28" applyNumberFormat="1" applyFont="1" applyFill="1" applyBorder="1" applyProtection="1">
      <protection locked="0"/>
    </xf>
    <xf numFmtId="1" fontId="6" fillId="5" borderId="376" xfId="28" applyNumberFormat="1" applyFont="1" applyFill="1" applyBorder="1" applyProtection="1">
      <protection locked="0"/>
    </xf>
    <xf numFmtId="1" fontId="6" fillId="5" borderId="352" xfId="28" applyNumberFormat="1" applyFont="1" applyFill="1" applyBorder="1" applyProtection="1">
      <protection locked="0"/>
    </xf>
    <xf numFmtId="1" fontId="6" fillId="0" borderId="24" xfId="28" applyNumberFormat="1" applyFont="1" applyBorder="1"/>
    <xf numFmtId="1" fontId="6" fillId="0" borderId="238" xfId="28" applyNumberFormat="1" applyFont="1" applyBorder="1"/>
    <xf numFmtId="1" fontId="6" fillId="5" borderId="62" xfId="28" applyNumberFormat="1" applyFont="1" applyFill="1" applyBorder="1" applyProtection="1">
      <protection locked="0"/>
    </xf>
    <xf numFmtId="1" fontId="6" fillId="5" borderId="38" xfId="28" applyNumberFormat="1" applyFont="1" applyFill="1" applyBorder="1" applyProtection="1">
      <protection locked="0"/>
    </xf>
    <xf numFmtId="1" fontId="6" fillId="0" borderId="40" xfId="28" applyNumberFormat="1" applyFont="1" applyBorder="1"/>
    <xf numFmtId="1" fontId="6" fillId="5" borderId="442" xfId="28" applyNumberFormat="1" applyFont="1" applyFill="1" applyBorder="1" applyProtection="1">
      <protection locked="0"/>
    </xf>
    <xf numFmtId="1" fontId="6" fillId="5" borderId="445" xfId="28" applyNumberFormat="1" applyFont="1" applyFill="1" applyBorder="1" applyProtection="1">
      <protection locked="0"/>
    </xf>
    <xf numFmtId="1" fontId="6" fillId="5" borderId="443" xfId="28" applyNumberFormat="1" applyFont="1" applyFill="1" applyBorder="1" applyProtection="1">
      <protection locked="0"/>
    </xf>
    <xf numFmtId="1" fontId="6" fillId="0" borderId="446" xfId="28" applyNumberFormat="1" applyFont="1" applyBorder="1"/>
    <xf numFmtId="1" fontId="6" fillId="0" borderId="470" xfId="28" applyNumberFormat="1" applyFont="1" applyBorder="1" applyAlignment="1">
      <alignment horizontal="center" vertical="center" wrapText="1"/>
    </xf>
    <xf numFmtId="1" fontId="6" fillId="0" borderId="465" xfId="28" applyNumberFormat="1" applyFont="1" applyBorder="1" applyAlignment="1">
      <alignment horizontal="center" vertical="center" wrapText="1"/>
    </xf>
    <xf numFmtId="1" fontId="6" fillId="0" borderId="447" xfId="28" applyNumberFormat="1" applyFont="1" applyBorder="1" applyAlignment="1">
      <alignment horizontal="center" vertical="center" wrapText="1"/>
    </xf>
    <xf numFmtId="1" fontId="6" fillId="0" borderId="221" xfId="28" applyNumberFormat="1" applyFont="1" applyBorder="1" applyAlignment="1">
      <alignment horizontal="center" vertical="center" wrapText="1"/>
    </xf>
    <xf numFmtId="1" fontId="4" fillId="0" borderId="0" xfId="28" applyNumberFormat="1" applyFont="1" applyAlignment="1">
      <alignment horizontal="center"/>
    </xf>
    <xf numFmtId="1" fontId="4" fillId="0" borderId="0" xfId="28" applyNumberFormat="1" applyFont="1"/>
    <xf numFmtId="2" fontId="6" fillId="6" borderId="477" xfId="14" applyNumberFormat="1" applyFont="1" applyBorder="1" applyAlignment="1" applyProtection="1">
      <alignment horizontal="center" vertical="center"/>
      <protection locked="0"/>
    </xf>
    <xf numFmtId="2" fontId="6" fillId="6" borderId="478" xfId="14" applyNumberFormat="1" applyFont="1" applyBorder="1" applyAlignment="1" applyProtection="1">
      <alignment horizontal="center" vertical="center"/>
      <protection locked="0"/>
    </xf>
    <xf numFmtId="2" fontId="6" fillId="6" borderId="479" xfId="14" applyNumberFormat="1" applyFont="1" applyBorder="1" applyAlignment="1" applyProtection="1">
      <alignment horizontal="center" vertical="center"/>
      <protection locked="0"/>
    </xf>
    <xf numFmtId="1" fontId="6" fillId="6" borderId="480" xfId="14" applyNumberFormat="1" applyFont="1" applyBorder="1" applyAlignment="1" applyProtection="1">
      <alignment horizontal="center" vertical="center"/>
      <protection locked="0"/>
    </xf>
    <xf numFmtId="1" fontId="6" fillId="3" borderId="24" xfId="28" applyNumberFormat="1" applyFont="1" applyFill="1" applyBorder="1" applyAlignment="1">
      <alignment horizontal="center" vertical="center"/>
    </xf>
    <xf numFmtId="2" fontId="6" fillId="6" borderId="115" xfId="14" applyNumberFormat="1" applyFont="1" applyAlignment="1" applyProtection="1">
      <alignment horizontal="center" vertical="center"/>
      <protection locked="0"/>
    </xf>
    <xf numFmtId="2" fontId="6" fillId="6" borderId="482" xfId="14" applyNumberFormat="1" applyFont="1" applyBorder="1" applyAlignment="1" applyProtection="1">
      <alignment horizontal="center" vertical="center"/>
      <protection locked="0"/>
    </xf>
    <xf numFmtId="1" fontId="6" fillId="6" borderId="115" xfId="14" applyNumberFormat="1" applyFont="1" applyAlignment="1" applyProtection="1">
      <alignment horizontal="center" vertical="center"/>
      <protection locked="0"/>
    </xf>
    <xf numFmtId="1" fontId="6" fillId="3" borderId="37" xfId="0" applyNumberFormat="1" applyFont="1" applyFill="1" applyBorder="1" applyAlignment="1">
      <alignment horizontal="center" vertical="center"/>
    </xf>
    <xf numFmtId="2" fontId="6" fillId="6" borderId="281" xfId="14" applyNumberFormat="1" applyFont="1" applyBorder="1" applyAlignment="1" applyProtection="1">
      <alignment horizontal="center" vertical="center"/>
      <protection locked="0"/>
    </xf>
    <xf numFmtId="1" fontId="6" fillId="6" borderId="281" xfId="14" applyNumberFormat="1" applyFont="1" applyBorder="1" applyAlignment="1" applyProtection="1">
      <alignment horizontal="center" vertical="center"/>
      <protection locked="0"/>
    </xf>
    <xf numFmtId="1" fontId="6" fillId="3" borderId="426" xfId="0" applyNumberFormat="1" applyFont="1" applyFill="1" applyBorder="1" applyAlignment="1">
      <alignment horizontal="center" vertical="center"/>
    </xf>
    <xf numFmtId="2" fontId="6" fillId="3" borderId="435" xfId="0" applyNumberFormat="1" applyFont="1" applyFill="1" applyBorder="1" applyAlignment="1">
      <alignment horizontal="center" vertical="center"/>
    </xf>
    <xf numFmtId="2" fontId="6" fillId="3" borderId="439" xfId="0" applyNumberFormat="1" applyFont="1" applyFill="1" applyBorder="1" applyAlignment="1">
      <alignment horizontal="center" vertical="center"/>
    </xf>
    <xf numFmtId="2" fontId="6" fillId="3" borderId="450" xfId="0" applyNumberFormat="1" applyFont="1" applyFill="1" applyBorder="1" applyAlignment="1">
      <alignment horizontal="center" vertical="center"/>
    </xf>
    <xf numFmtId="1" fontId="6" fillId="3" borderId="438" xfId="0" applyNumberFormat="1" applyFont="1" applyFill="1" applyBorder="1" applyAlignment="1">
      <alignment horizontal="center" vertical="center"/>
    </xf>
    <xf numFmtId="1" fontId="6" fillId="3" borderId="0" xfId="28" applyNumberFormat="1" applyFont="1" applyFill="1" applyProtection="1">
      <protection hidden="1"/>
    </xf>
    <xf numFmtId="1" fontId="2" fillId="3" borderId="0" xfId="28" applyNumberFormat="1" applyFont="1" applyFill="1" applyAlignment="1">
      <alignment vertical="center" wrapText="1"/>
    </xf>
    <xf numFmtId="1" fontId="6" fillId="5" borderId="133" xfId="0" applyNumberFormat="1" applyFont="1" applyFill="1" applyBorder="1" applyProtection="1">
      <protection locked="0"/>
    </xf>
    <xf numFmtId="1" fontId="6" fillId="5" borderId="86" xfId="0" applyNumberFormat="1" applyFont="1" applyFill="1" applyBorder="1" applyAlignment="1" applyProtection="1">
      <alignment horizontal="right"/>
      <protection locked="0"/>
    </xf>
    <xf numFmtId="1" fontId="6" fillId="5" borderId="94" xfId="0" applyNumberFormat="1" applyFont="1" applyFill="1" applyBorder="1" applyAlignment="1" applyProtection="1">
      <alignment horizontal="right"/>
      <protection locked="0"/>
    </xf>
    <xf numFmtId="1" fontId="6" fillId="5" borderId="84" xfId="0" applyNumberFormat="1" applyFont="1" applyFill="1" applyBorder="1" applyAlignment="1" applyProtection="1">
      <alignment horizontal="right"/>
      <protection locked="0"/>
    </xf>
    <xf numFmtId="1" fontId="2" fillId="3" borderId="0" xfId="0" applyNumberFormat="1" applyFont="1" applyFill="1" applyAlignment="1">
      <alignment vertical="center"/>
    </xf>
    <xf numFmtId="1" fontId="6" fillId="0" borderId="94" xfId="0" applyNumberFormat="1" applyFont="1" applyBorder="1"/>
    <xf numFmtId="1" fontId="6" fillId="0" borderId="102" xfId="0" applyNumberFormat="1" applyFont="1" applyBorder="1"/>
    <xf numFmtId="1" fontId="6" fillId="0" borderId="486" xfId="0" applyNumberFormat="1" applyFont="1" applyBorder="1"/>
    <xf numFmtId="1" fontId="6" fillId="0" borderId="436" xfId="0" applyNumberFormat="1" applyFont="1" applyBorder="1" applyAlignment="1">
      <alignment horizontal="center" vertical="center"/>
    </xf>
    <xf numFmtId="1" fontId="6" fillId="0" borderId="486" xfId="0" applyNumberFormat="1" applyFont="1" applyBorder="1" applyAlignment="1">
      <alignment horizontal="center" vertical="center"/>
    </xf>
    <xf numFmtId="1" fontId="6" fillId="0" borderId="457" xfId="0" applyNumberFormat="1" applyFont="1" applyBorder="1" applyAlignment="1">
      <alignment horizontal="center" vertical="center"/>
    </xf>
    <xf numFmtId="1" fontId="6" fillId="0" borderId="450" xfId="0" applyNumberFormat="1" applyFont="1" applyBorder="1" applyAlignment="1">
      <alignment horizontal="center" vertical="center"/>
    </xf>
    <xf numFmtId="1" fontId="6" fillId="0" borderId="450" xfId="0" applyNumberFormat="1" applyFont="1" applyBorder="1"/>
    <xf numFmtId="1" fontId="6" fillId="3" borderId="438" xfId="0" applyNumberFormat="1" applyFont="1" applyFill="1" applyBorder="1"/>
    <xf numFmtId="1" fontId="6" fillId="3" borderId="439" xfId="0" applyNumberFormat="1" applyFont="1" applyFill="1" applyBorder="1"/>
    <xf numFmtId="1" fontId="6" fillId="26" borderId="22" xfId="0" applyNumberFormat="1" applyFont="1" applyFill="1" applyBorder="1" applyProtection="1">
      <protection locked="0"/>
    </xf>
    <xf numFmtId="1" fontId="6" fillId="26" borderId="20" xfId="0" applyNumberFormat="1" applyFont="1" applyFill="1" applyBorder="1" applyProtection="1">
      <protection locked="0"/>
    </xf>
    <xf numFmtId="1" fontId="6" fillId="26" borderId="102" xfId="0" applyNumberFormat="1" applyFont="1" applyFill="1" applyBorder="1" applyProtection="1">
      <protection locked="0"/>
    </xf>
    <xf numFmtId="1" fontId="6" fillId="0" borderId="66" xfId="0" applyNumberFormat="1" applyFont="1" applyBorder="1"/>
    <xf numFmtId="1" fontId="6" fillId="26" borderId="36" xfId="0" applyNumberFormat="1" applyFont="1" applyFill="1" applyBorder="1" applyProtection="1">
      <protection locked="0"/>
    </xf>
    <xf numFmtId="1" fontId="6" fillId="26" borderId="38" xfId="0" applyNumberFormat="1" applyFont="1" applyFill="1" applyBorder="1" applyProtection="1">
      <protection locked="0"/>
    </xf>
    <xf numFmtId="1" fontId="6" fillId="26" borderId="101" xfId="0" applyNumberFormat="1" applyFont="1" applyFill="1" applyBorder="1" applyProtection="1">
      <protection locked="0"/>
    </xf>
    <xf numFmtId="1" fontId="6" fillId="0" borderId="59" xfId="0" applyNumberFormat="1" applyFont="1" applyBorder="1"/>
    <xf numFmtId="1" fontId="6" fillId="26" borderId="32" xfId="0" applyNumberFormat="1" applyFont="1" applyFill="1" applyBorder="1" applyProtection="1">
      <protection locked="0"/>
    </xf>
    <xf numFmtId="1" fontId="6" fillId="26" borderId="30" xfId="0" applyNumberFormat="1" applyFont="1" applyFill="1" applyBorder="1" applyProtection="1">
      <protection locked="0"/>
    </xf>
    <xf numFmtId="1" fontId="6" fillId="26" borderId="103" xfId="0" applyNumberFormat="1" applyFont="1" applyFill="1" applyBorder="1" applyProtection="1">
      <protection locked="0"/>
    </xf>
    <xf numFmtId="1" fontId="6" fillId="0" borderId="60" xfId="0" applyNumberFormat="1" applyFont="1" applyBorder="1"/>
    <xf numFmtId="1" fontId="6" fillId="26" borderId="442" xfId="0" applyNumberFormat="1" applyFont="1" applyFill="1" applyBorder="1" applyProtection="1">
      <protection locked="0"/>
    </xf>
    <xf numFmtId="1" fontId="6" fillId="26" borderId="443" xfId="0" applyNumberFormat="1" applyFont="1" applyFill="1" applyBorder="1" applyProtection="1">
      <protection locked="0"/>
    </xf>
    <xf numFmtId="1" fontId="6" fillId="26" borderId="489" xfId="0" applyNumberFormat="1" applyFont="1" applyFill="1" applyBorder="1" applyProtection="1">
      <protection locked="0"/>
    </xf>
    <xf numFmtId="1" fontId="6" fillId="5" borderId="489" xfId="0" applyNumberFormat="1" applyFont="1" applyFill="1" applyBorder="1" applyProtection="1">
      <protection locked="0"/>
    </xf>
    <xf numFmtId="1" fontId="6" fillId="0" borderId="466" xfId="0" applyNumberFormat="1" applyFont="1" applyBorder="1"/>
    <xf numFmtId="1" fontId="6" fillId="0" borderId="442" xfId="0" applyNumberFormat="1" applyFont="1" applyBorder="1"/>
    <xf numFmtId="1" fontId="6" fillId="0" borderId="463" xfId="0" applyNumberFormat="1" applyFont="1" applyBorder="1"/>
    <xf numFmtId="1" fontId="6" fillId="0" borderId="143" xfId="0" applyNumberFormat="1" applyFont="1" applyBorder="1"/>
    <xf numFmtId="1" fontId="2" fillId="3" borderId="0" xfId="0" applyNumberFormat="1" applyFont="1" applyFill="1" applyAlignment="1">
      <alignment horizontal="center" vertical="center" wrapText="1"/>
    </xf>
    <xf numFmtId="1" fontId="6" fillId="0" borderId="428" xfId="0" applyNumberFormat="1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left" vertical="center" wrapText="1"/>
    </xf>
    <xf numFmtId="1" fontId="6" fillId="0" borderId="449" xfId="0" applyNumberFormat="1" applyFont="1" applyBorder="1" applyAlignment="1">
      <alignment horizontal="center" vertical="center" wrapText="1"/>
    </xf>
    <xf numFmtId="1" fontId="2" fillId="3" borderId="0" xfId="0" applyNumberFormat="1" applyFont="1" applyFill="1" applyAlignment="1">
      <alignment horizontal="center" vertical="center"/>
    </xf>
    <xf numFmtId="1" fontId="6" fillId="3" borderId="24" xfId="0" applyNumberFormat="1" applyFont="1" applyFill="1" applyBorder="1" applyAlignment="1">
      <alignment horizontal="left" vertical="center" wrapText="1"/>
    </xf>
    <xf numFmtId="1" fontId="17" fillId="0" borderId="0" xfId="0" applyNumberFormat="1" applyFont="1" applyAlignment="1">
      <alignment horizontal="center" vertical="center" wrapText="1"/>
    </xf>
    <xf numFmtId="1" fontId="6" fillId="0" borderId="333" xfId="0" applyNumberFormat="1" applyFont="1" applyBorder="1" applyAlignment="1">
      <alignment horizontal="left" vertical="center" wrapText="1"/>
    </xf>
    <xf numFmtId="1" fontId="11" fillId="3" borderId="0" xfId="0" applyNumberFormat="1" applyFont="1" applyFill="1" applyAlignment="1">
      <alignment horizontal="center"/>
    </xf>
    <xf numFmtId="1" fontId="18" fillId="3" borderId="0" xfId="0" applyNumberFormat="1" applyFont="1" applyFill="1"/>
    <xf numFmtId="1" fontId="6" fillId="0" borderId="441" xfId="0" applyNumberFormat="1" applyFont="1" applyBorder="1" applyAlignment="1">
      <alignment horizontal="center" vertical="center"/>
    </xf>
    <xf numFmtId="1" fontId="6" fillId="0" borderId="495" xfId="0" applyNumberFormat="1" applyFont="1" applyBorder="1" applyAlignment="1">
      <alignment horizontal="center" vertical="center"/>
    </xf>
    <xf numFmtId="1" fontId="6" fillId="0" borderId="497" xfId="0" applyNumberFormat="1" applyFont="1" applyBorder="1"/>
    <xf numFmtId="1" fontId="6" fillId="0" borderId="495" xfId="0" applyNumberFormat="1" applyFont="1" applyBorder="1"/>
    <xf numFmtId="1" fontId="6" fillId="0" borderId="496" xfId="0" applyNumberFormat="1" applyFont="1" applyBorder="1"/>
    <xf numFmtId="1" fontId="6" fillId="0" borderId="498" xfId="0" applyNumberFormat="1" applyFont="1" applyBorder="1" applyAlignment="1">
      <alignment horizontal="left" vertical="center"/>
    </xf>
    <xf numFmtId="1" fontId="6" fillId="0" borderId="499" xfId="0" applyNumberFormat="1" applyFont="1" applyBorder="1"/>
    <xf numFmtId="1" fontId="6" fillId="0" borderId="499" xfId="0" applyNumberFormat="1" applyFont="1" applyBorder="1" applyAlignment="1">
      <alignment horizontal="left" vertical="center"/>
    </xf>
    <xf numFmtId="1" fontId="6" fillId="5" borderId="500" xfId="0" applyNumberFormat="1" applyFont="1" applyFill="1" applyBorder="1" applyProtection="1">
      <protection locked="0"/>
    </xf>
    <xf numFmtId="1" fontId="6" fillId="5" borderId="501" xfId="0" applyNumberFormat="1" applyFont="1" applyFill="1" applyBorder="1" applyProtection="1">
      <protection locked="0"/>
    </xf>
    <xf numFmtId="1" fontId="6" fillId="0" borderId="373" xfId="0" applyNumberFormat="1" applyFont="1" applyBorder="1"/>
    <xf numFmtId="1" fontId="6" fillId="0" borderId="501" xfId="0" applyNumberFormat="1" applyFont="1" applyBorder="1"/>
    <xf numFmtId="1" fontId="6" fillId="5" borderId="504" xfId="0" applyNumberFormat="1" applyFont="1" applyFill="1" applyBorder="1" applyProtection="1">
      <protection locked="0"/>
    </xf>
    <xf numFmtId="1" fontId="6" fillId="5" borderId="505" xfId="0" applyNumberFormat="1" applyFont="1" applyFill="1" applyBorder="1" applyProtection="1">
      <protection locked="0"/>
    </xf>
    <xf numFmtId="1" fontId="6" fillId="5" borderId="506" xfId="0" applyNumberFormat="1" applyFont="1" applyFill="1" applyBorder="1" applyProtection="1">
      <protection locked="0"/>
    </xf>
    <xf numFmtId="1" fontId="6" fillId="0" borderId="441" xfId="0" applyNumberFormat="1" applyFont="1" applyBorder="1" applyAlignment="1">
      <alignment horizontal="left" vertical="center" wrapText="1"/>
    </xf>
    <xf numFmtId="1" fontId="43" fillId="3" borderId="0" xfId="0" applyNumberFormat="1" applyFont="1" applyFill="1"/>
    <xf numFmtId="1" fontId="38" fillId="3" borderId="0" xfId="0" applyNumberFormat="1" applyFont="1" applyFill="1" applyProtection="1">
      <protection locked="0"/>
    </xf>
    <xf numFmtId="1" fontId="6" fillId="0" borderId="495" xfId="0" applyNumberFormat="1" applyFont="1" applyBorder="1" applyAlignment="1">
      <alignment horizontal="center" vertical="center" wrapText="1"/>
    </xf>
    <xf numFmtId="1" fontId="6" fillId="0" borderId="491" xfId="0" applyNumberFormat="1" applyFont="1" applyBorder="1" applyAlignment="1">
      <alignment horizontal="center" vertical="center" wrapText="1"/>
    </xf>
    <xf numFmtId="1" fontId="6" fillId="0" borderId="465" xfId="0" applyNumberFormat="1" applyFont="1" applyBorder="1" applyAlignment="1">
      <alignment horizontal="center" vertical="center" wrapText="1"/>
    </xf>
    <xf numFmtId="1" fontId="6" fillId="0" borderId="512" xfId="0" applyNumberFormat="1" applyFont="1" applyBorder="1" applyAlignment="1">
      <alignment horizontal="center" vertical="center" wrapText="1"/>
    </xf>
    <xf numFmtId="1" fontId="6" fillId="0" borderId="513" xfId="0" applyNumberFormat="1" applyFont="1" applyBorder="1" applyAlignment="1">
      <alignment horizontal="center" vertical="center" wrapText="1"/>
    </xf>
    <xf numFmtId="1" fontId="6" fillId="0" borderId="515" xfId="0" applyNumberFormat="1" applyFont="1" applyBorder="1"/>
    <xf numFmtId="1" fontId="6" fillId="4" borderId="516" xfId="0" applyNumberFormat="1" applyFont="1" applyFill="1" applyBorder="1"/>
    <xf numFmtId="1" fontId="6" fillId="4" borderId="517" xfId="0" applyNumberFormat="1" applyFont="1" applyFill="1" applyBorder="1"/>
    <xf numFmtId="1" fontId="6" fillId="4" borderId="500" xfId="0" applyNumberFormat="1" applyFont="1" applyFill="1" applyBorder="1"/>
    <xf numFmtId="1" fontId="6" fillId="4" borderId="504" xfId="0" applyNumberFormat="1" applyFont="1" applyFill="1" applyBorder="1"/>
    <xf numFmtId="1" fontId="6" fillId="5" borderId="516" xfId="0" applyNumberFormat="1" applyFont="1" applyFill="1" applyBorder="1" applyProtection="1">
      <protection locked="0"/>
    </xf>
    <xf numFmtId="1" fontId="6" fillId="5" borderId="517" xfId="0" applyNumberFormat="1" applyFont="1" applyFill="1" applyBorder="1" applyProtection="1">
      <protection locked="0"/>
    </xf>
    <xf numFmtId="1" fontId="6" fillId="5" borderId="518" xfId="0" applyNumberFormat="1" applyFont="1" applyFill="1" applyBorder="1" applyProtection="1">
      <protection locked="0"/>
    </xf>
    <xf numFmtId="1" fontId="6" fillId="12" borderId="516" xfId="0" applyNumberFormat="1" applyFont="1" applyFill="1" applyBorder="1"/>
    <xf numFmtId="1" fontId="6" fillId="0" borderId="510" xfId="0" applyNumberFormat="1" applyFont="1" applyBorder="1"/>
    <xf numFmtId="1" fontId="6" fillId="0" borderId="519" xfId="0" applyNumberFormat="1" applyFont="1" applyBorder="1"/>
    <xf numFmtId="1" fontId="6" fillId="12" borderId="500" xfId="0" applyNumberFormat="1" applyFont="1" applyFill="1" applyBorder="1"/>
    <xf numFmtId="1" fontId="6" fillId="12" borderId="517" xfId="0" applyNumberFormat="1" applyFont="1" applyFill="1" applyBorder="1"/>
    <xf numFmtId="1" fontId="6" fillId="12" borderId="518" xfId="0" applyNumberFormat="1" applyFont="1" applyFill="1" applyBorder="1"/>
    <xf numFmtId="1" fontId="6" fillId="12" borderId="504" xfId="0" applyNumberFormat="1" applyFont="1" applyFill="1" applyBorder="1"/>
    <xf numFmtId="1" fontId="6" fillId="4" borderId="518" xfId="0" applyNumberFormat="1" applyFont="1" applyFill="1" applyBorder="1"/>
    <xf numFmtId="1" fontId="6" fillId="0" borderId="432" xfId="0" applyNumberFormat="1" applyFont="1" applyBorder="1"/>
    <xf numFmtId="1" fontId="6" fillId="0" borderId="498" xfId="0" applyNumberFormat="1" applyFont="1" applyBorder="1"/>
    <xf numFmtId="1" fontId="6" fillId="0" borderId="499" xfId="0" applyNumberFormat="1" applyFont="1" applyBorder="1" applyAlignment="1">
      <alignment wrapText="1"/>
    </xf>
    <xf numFmtId="1" fontId="6" fillId="0" borderId="496" xfId="0" applyNumberFormat="1" applyFont="1" applyBorder="1" applyAlignment="1">
      <alignment horizontal="center" vertical="center" wrapText="1"/>
    </xf>
    <xf numFmtId="1" fontId="6" fillId="5" borderId="511" xfId="0" applyNumberFormat="1" applyFont="1" applyFill="1" applyBorder="1" applyProtection="1">
      <protection locked="0"/>
    </xf>
    <xf numFmtId="1" fontId="6" fillId="5" borderId="510" xfId="0" applyNumberFormat="1" applyFont="1" applyFill="1" applyBorder="1" applyProtection="1">
      <protection locked="0"/>
    </xf>
    <xf numFmtId="1" fontId="6" fillId="5" borderId="326" xfId="0" applyNumberFormat="1" applyFont="1" applyFill="1" applyBorder="1" applyProtection="1">
      <protection locked="0"/>
    </xf>
    <xf numFmtId="1" fontId="6" fillId="0" borderId="499" xfId="0" applyNumberFormat="1" applyFont="1" applyBorder="1" applyAlignment="1">
      <alignment vertical="center" wrapText="1"/>
    </xf>
    <xf numFmtId="1" fontId="6" fillId="0" borderId="432" xfId="0" applyNumberFormat="1" applyFont="1" applyBorder="1" applyAlignment="1">
      <alignment vertical="center" wrapText="1"/>
    </xf>
    <xf numFmtId="1" fontId="6" fillId="5" borderId="432" xfId="0" applyNumberFormat="1" applyFont="1" applyFill="1" applyBorder="1" applyProtection="1">
      <protection locked="0"/>
    </xf>
    <xf numFmtId="1" fontId="6" fillId="0" borderId="491" xfId="0" applyNumberFormat="1" applyFont="1" applyBorder="1" applyAlignment="1">
      <alignment vertical="center" wrapText="1"/>
    </xf>
    <xf numFmtId="1" fontId="6" fillId="0" borderId="502" xfId="0" applyNumberFormat="1" applyFont="1" applyBorder="1" applyAlignment="1">
      <alignment vertical="center" wrapText="1"/>
    </xf>
    <xf numFmtId="0" fontId="38" fillId="14" borderId="0" xfId="0" applyFont="1" applyFill="1"/>
    <xf numFmtId="1" fontId="32" fillId="0" borderId="346" xfId="0" applyNumberFormat="1" applyFont="1" applyBorder="1" applyAlignment="1">
      <alignment horizontal="center" vertical="center" wrapText="1"/>
    </xf>
    <xf numFmtId="1" fontId="6" fillId="4" borderId="328" xfId="0" applyNumberFormat="1" applyFont="1" applyFill="1" applyBorder="1"/>
    <xf numFmtId="1" fontId="6" fillId="5" borderId="526" xfId="0" applyNumberFormat="1" applyFont="1" applyFill="1" applyBorder="1" applyProtection="1">
      <protection locked="0"/>
    </xf>
    <xf numFmtId="1" fontId="6" fillId="5" borderId="527" xfId="0" applyNumberFormat="1" applyFont="1" applyFill="1" applyBorder="1" applyProtection="1">
      <protection locked="0"/>
    </xf>
    <xf numFmtId="1" fontId="6" fillId="5" borderId="528" xfId="0" applyNumberFormat="1" applyFont="1" applyFill="1" applyBorder="1" applyProtection="1">
      <protection locked="0"/>
    </xf>
    <xf numFmtId="1" fontId="6" fillId="0" borderId="504" xfId="0" applyNumberFormat="1" applyFont="1" applyBorder="1"/>
    <xf numFmtId="1" fontId="6" fillId="5" borderId="527" xfId="0" applyNumberFormat="1" applyFont="1" applyFill="1" applyBorder="1" applyAlignment="1" applyProtection="1">
      <alignment wrapText="1"/>
      <protection locked="0"/>
    </xf>
    <xf numFmtId="1" fontId="6" fillId="5" borderId="501" xfId="0" applyNumberFormat="1" applyFont="1" applyFill="1" applyBorder="1" applyAlignment="1" applyProtection="1">
      <alignment wrapText="1"/>
      <protection locked="0"/>
    </xf>
    <xf numFmtId="1" fontId="6" fillId="5" borderId="500" xfId="0" applyNumberFormat="1" applyFont="1" applyFill="1" applyBorder="1" applyAlignment="1" applyProtection="1">
      <alignment wrapText="1"/>
      <protection locked="0"/>
    </xf>
    <xf numFmtId="1" fontId="6" fillId="5" borderId="530" xfId="0" applyNumberFormat="1" applyFont="1" applyFill="1" applyBorder="1" applyProtection="1">
      <protection locked="0"/>
    </xf>
    <xf numFmtId="1" fontId="6" fillId="0" borderId="493" xfId="0" applyNumberFormat="1" applyFont="1" applyBorder="1" applyAlignment="1">
      <alignment vertical="center" wrapText="1"/>
    </xf>
    <xf numFmtId="1" fontId="6" fillId="0" borderId="425" xfId="0" applyNumberFormat="1" applyFont="1" applyBorder="1"/>
    <xf numFmtId="1" fontId="6" fillId="4" borderId="511" xfId="0" applyNumberFormat="1" applyFont="1" applyFill="1" applyBorder="1"/>
    <xf numFmtId="1" fontId="6" fillId="4" borderId="465" xfId="0" applyNumberFormat="1" applyFont="1" applyFill="1" applyBorder="1"/>
    <xf numFmtId="1" fontId="6" fillId="5" borderId="531" xfId="0" applyNumberFormat="1" applyFont="1" applyFill="1" applyBorder="1" applyProtection="1">
      <protection locked="0"/>
    </xf>
    <xf numFmtId="1" fontId="6" fillId="5" borderId="532" xfId="0" applyNumberFormat="1" applyFont="1" applyFill="1" applyBorder="1" applyProtection="1">
      <protection locked="0"/>
    </xf>
    <xf numFmtId="1" fontId="6" fillId="5" borderId="533" xfId="0" applyNumberFormat="1" applyFont="1" applyFill="1" applyBorder="1" applyProtection="1">
      <protection locked="0"/>
    </xf>
    <xf numFmtId="1" fontId="6" fillId="5" borderId="534" xfId="0" applyNumberFormat="1" applyFont="1" applyFill="1" applyBorder="1" applyProtection="1">
      <protection locked="0"/>
    </xf>
    <xf numFmtId="1" fontId="6" fillId="5" borderId="535" xfId="0" applyNumberFormat="1" applyFont="1" applyFill="1" applyBorder="1" applyProtection="1">
      <protection locked="0"/>
    </xf>
    <xf numFmtId="1" fontId="6" fillId="12" borderId="531" xfId="0" applyNumberFormat="1" applyFont="1" applyFill="1" applyBorder="1"/>
    <xf numFmtId="1" fontId="6" fillId="12" borderId="532" xfId="0" applyNumberFormat="1" applyFont="1" applyFill="1" applyBorder="1"/>
    <xf numFmtId="1" fontId="6" fillId="12" borderId="527" xfId="0" applyNumberFormat="1" applyFont="1" applyFill="1" applyBorder="1"/>
    <xf numFmtId="1" fontId="6" fillId="12" borderId="501" xfId="0" applyNumberFormat="1" applyFont="1" applyFill="1" applyBorder="1"/>
    <xf numFmtId="1" fontId="6" fillId="12" borderId="102" xfId="0" applyNumberFormat="1" applyFont="1" applyFill="1" applyBorder="1"/>
    <xf numFmtId="1" fontId="6" fillId="5" borderId="536" xfId="0" applyNumberFormat="1" applyFont="1" applyFill="1" applyBorder="1" applyProtection="1">
      <protection locked="0"/>
    </xf>
    <xf numFmtId="1" fontId="6" fillId="5" borderId="525" xfId="0" applyNumberFormat="1" applyFont="1" applyFill="1" applyBorder="1" applyProtection="1">
      <protection locked="0"/>
    </xf>
    <xf numFmtId="1" fontId="6" fillId="14" borderId="519" xfId="0" applyNumberFormat="1" applyFont="1" applyFill="1" applyBorder="1" applyAlignment="1">
      <alignment horizontal="left"/>
    </xf>
    <xf numFmtId="1" fontId="6" fillId="14" borderId="501" xfId="0" applyNumberFormat="1" applyFont="1" applyFill="1" applyBorder="1" applyAlignment="1">
      <alignment horizontal="left"/>
    </xf>
    <xf numFmtId="1" fontId="6" fillId="5" borderId="516" xfId="0" applyNumberFormat="1" applyFont="1" applyFill="1" applyBorder="1" applyAlignment="1" applyProtection="1">
      <alignment wrapText="1"/>
      <protection locked="0"/>
    </xf>
    <xf numFmtId="1" fontId="6" fillId="5" borderId="329" xfId="0" applyNumberFormat="1" applyFont="1" applyFill="1" applyBorder="1" applyProtection="1">
      <protection locked="0"/>
    </xf>
    <xf numFmtId="1" fontId="6" fillId="12" borderId="326" xfId="0" applyNumberFormat="1" applyFont="1" applyFill="1" applyBorder="1"/>
    <xf numFmtId="1" fontId="6" fillId="0" borderId="493" xfId="0" applyNumberFormat="1" applyFont="1" applyBorder="1" applyAlignment="1">
      <alignment horizontal="center" vertical="center" wrapText="1"/>
    </xf>
    <xf numFmtId="1" fontId="6" fillId="0" borderId="499" xfId="0" applyNumberFormat="1" applyFont="1" applyBorder="1" applyAlignment="1">
      <alignment horizontal="left" vertical="center" wrapText="1"/>
    </xf>
    <xf numFmtId="1" fontId="6" fillId="5" borderId="519" xfId="0" applyNumberFormat="1" applyFont="1" applyFill="1" applyBorder="1" applyProtection="1">
      <protection locked="0"/>
    </xf>
    <xf numFmtId="1" fontId="38" fillId="14" borderId="0" xfId="0" applyNumberFormat="1" applyFont="1" applyFill="1"/>
    <xf numFmtId="0" fontId="38" fillId="0" borderId="0" xfId="0" applyFont="1"/>
    <xf numFmtId="1" fontId="38" fillId="3" borderId="347" xfId="0" applyNumberFormat="1" applyFont="1" applyFill="1" applyBorder="1"/>
    <xf numFmtId="0" fontId="6" fillId="0" borderId="511" xfId="0" applyFont="1" applyBorder="1" applyAlignment="1">
      <alignment horizontal="center" vertical="center" wrapText="1"/>
    </xf>
    <xf numFmtId="0" fontId="6" fillId="0" borderId="495" xfId="0" applyFont="1" applyBorder="1" applyAlignment="1">
      <alignment horizontal="center" vertical="center" wrapText="1"/>
    </xf>
    <xf numFmtId="1" fontId="6" fillId="5" borderId="499" xfId="0" applyNumberFormat="1" applyFont="1" applyFill="1" applyBorder="1" applyProtection="1">
      <protection locked="0"/>
    </xf>
    <xf numFmtId="1" fontId="6" fillId="14" borderId="0" xfId="0" applyNumberFormat="1" applyFont="1" applyFill="1" applyAlignment="1">
      <alignment vertical="center"/>
    </xf>
    <xf numFmtId="1" fontId="6" fillId="0" borderId="539" xfId="0" applyNumberFormat="1" applyFont="1" applyBorder="1"/>
    <xf numFmtId="1" fontId="38" fillId="21" borderId="0" xfId="0" applyNumberFormat="1" applyFont="1" applyFill="1"/>
    <xf numFmtId="1" fontId="6" fillId="0" borderId="493" xfId="0" applyNumberFormat="1" applyFont="1" applyBorder="1" applyAlignment="1">
      <alignment horizontal="center" vertical="center"/>
    </xf>
    <xf numFmtId="1" fontId="6" fillId="0" borderId="511" xfId="0" applyNumberFormat="1" applyFont="1" applyBorder="1" applyAlignment="1">
      <alignment horizontal="center" vertical="center"/>
    </xf>
    <xf numFmtId="1" fontId="6" fillId="0" borderId="503" xfId="0" applyNumberFormat="1" applyFont="1" applyBorder="1" applyAlignment="1">
      <alignment vertical="center" wrapText="1"/>
    </xf>
    <xf numFmtId="1" fontId="6" fillId="3" borderId="503" xfId="0" applyNumberFormat="1" applyFont="1" applyFill="1" applyBorder="1"/>
    <xf numFmtId="1" fontId="6" fillId="3" borderId="495" xfId="0" applyNumberFormat="1" applyFont="1" applyFill="1" applyBorder="1"/>
    <xf numFmtId="1" fontId="6" fillId="3" borderId="496" xfId="0" applyNumberFormat="1" applyFont="1" applyFill="1" applyBorder="1"/>
    <xf numFmtId="1" fontId="6" fillId="3" borderId="336" xfId="0" applyNumberFormat="1" applyFont="1" applyFill="1" applyBorder="1"/>
    <xf numFmtId="1" fontId="6" fillId="3" borderId="346" xfId="0" applyNumberFormat="1" applyFont="1" applyFill="1" applyBorder="1"/>
    <xf numFmtId="1" fontId="6" fillId="0" borderId="515" xfId="0" applyNumberFormat="1" applyFont="1" applyBorder="1" applyAlignment="1">
      <alignment horizontal="left" vertical="center" wrapText="1"/>
    </xf>
    <xf numFmtId="1" fontId="6" fillId="0" borderId="519" xfId="0" applyNumberFormat="1" applyFont="1" applyBorder="1" applyAlignment="1">
      <alignment horizontal="left" vertical="center" wrapText="1"/>
    </xf>
    <xf numFmtId="1" fontId="17" fillId="0" borderId="262" xfId="0" applyNumberFormat="1" applyFont="1" applyBorder="1"/>
    <xf numFmtId="1" fontId="17" fillId="0" borderId="263" xfId="0" applyNumberFormat="1" applyFont="1" applyBorder="1"/>
    <xf numFmtId="1" fontId="6" fillId="5" borderId="323" xfId="0" applyNumberFormat="1" applyFont="1" applyFill="1" applyBorder="1" applyProtection="1">
      <protection locked="0"/>
    </xf>
    <xf numFmtId="1" fontId="6" fillId="5" borderId="554" xfId="0" applyNumberFormat="1" applyFont="1" applyFill="1" applyBorder="1" applyProtection="1">
      <protection locked="0"/>
    </xf>
    <xf numFmtId="1" fontId="6" fillId="0" borderId="519" xfId="0" applyNumberFormat="1" applyFont="1" applyBorder="1" applyAlignment="1">
      <alignment vertical="center" wrapText="1"/>
    </xf>
    <xf numFmtId="1" fontId="6" fillId="4" borderId="501" xfId="0" applyNumberFormat="1" applyFont="1" applyFill="1" applyBorder="1"/>
    <xf numFmtId="1" fontId="6" fillId="0" borderId="416" xfId="0" applyNumberFormat="1" applyFont="1" applyBorder="1" applyAlignment="1">
      <alignment vertical="center" wrapText="1"/>
    </xf>
    <xf numFmtId="1" fontId="17" fillId="3" borderId="0" xfId="0" applyNumberFormat="1" applyFont="1" applyFill="1" applyAlignment="1">
      <alignment horizontal="center" vertical="center" wrapText="1"/>
    </xf>
    <xf numFmtId="1" fontId="6" fillId="0" borderId="497" xfId="0" applyNumberFormat="1" applyFont="1" applyBorder="1" applyAlignment="1">
      <alignment horizontal="center" vertical="center" wrapText="1"/>
    </xf>
    <xf numFmtId="1" fontId="6" fillId="4" borderId="499" xfId="0" applyNumberFormat="1" applyFont="1" applyFill="1" applyBorder="1"/>
    <xf numFmtId="1" fontId="6" fillId="4" borderId="502" xfId="0" applyNumberFormat="1" applyFont="1" applyFill="1" applyBorder="1"/>
    <xf numFmtId="1" fontId="6" fillId="4" borderId="530" xfId="0" applyNumberFormat="1" applyFont="1" applyFill="1" applyBorder="1"/>
    <xf numFmtId="1" fontId="6" fillId="0" borderId="346" xfId="0" applyNumberFormat="1" applyFont="1" applyBorder="1"/>
    <xf numFmtId="1" fontId="6" fillId="0" borderId="512" xfId="0" applyNumberFormat="1" applyFont="1" applyBorder="1"/>
    <xf numFmtId="1" fontId="6" fillId="5" borderId="495" xfId="0" applyNumberFormat="1" applyFont="1" applyFill="1" applyBorder="1" applyProtection="1">
      <protection locked="0"/>
    </xf>
    <xf numFmtId="1" fontId="6" fillId="5" borderId="346" xfId="0" applyNumberFormat="1" applyFont="1" applyFill="1" applyBorder="1" applyProtection="1">
      <protection locked="0"/>
    </xf>
    <xf numFmtId="1" fontId="6" fillId="5" borderId="512" xfId="0" applyNumberFormat="1" applyFont="1" applyFill="1" applyBorder="1" applyProtection="1">
      <protection locked="0"/>
    </xf>
    <xf numFmtId="1" fontId="6" fillId="5" borderId="496" xfId="0" applyNumberFormat="1" applyFont="1" applyFill="1" applyBorder="1" applyProtection="1">
      <protection locked="0"/>
    </xf>
    <xf numFmtId="1" fontId="6" fillId="5" borderId="502" xfId="0" applyNumberFormat="1" applyFont="1" applyFill="1" applyBorder="1" applyProtection="1">
      <protection locked="0"/>
    </xf>
    <xf numFmtId="1" fontId="6" fillId="3" borderId="347" xfId="0" applyNumberFormat="1" applyFont="1" applyFill="1" applyBorder="1"/>
    <xf numFmtId="1" fontId="6" fillId="5" borderId="428" xfId="0" applyNumberFormat="1" applyFont="1" applyFill="1" applyBorder="1" applyProtection="1">
      <protection locked="0"/>
    </xf>
    <xf numFmtId="1" fontId="6" fillId="0" borderId="503" xfId="0" applyNumberFormat="1" applyFont="1" applyBorder="1"/>
    <xf numFmtId="1" fontId="6" fillId="0" borderId="510" xfId="0" applyNumberFormat="1" applyFont="1" applyBorder="1" applyAlignment="1">
      <alignment horizontal="right"/>
    </xf>
    <xf numFmtId="1" fontId="6" fillId="5" borderId="24" xfId="0" applyNumberFormat="1" applyFont="1" applyFill="1" applyBorder="1" applyAlignment="1" applyProtection="1">
      <alignment horizontal="right"/>
      <protection locked="0"/>
    </xf>
    <xf numFmtId="1" fontId="6" fillId="14" borderId="0" xfId="0" applyNumberFormat="1" applyFont="1" applyFill="1" applyAlignment="1">
      <alignment horizontal="left" wrapText="1"/>
    </xf>
    <xf numFmtId="1" fontId="4" fillId="3" borderId="347" xfId="0" applyNumberFormat="1" applyFont="1" applyFill="1" applyBorder="1"/>
    <xf numFmtId="1" fontId="9" fillId="3" borderId="347" xfId="0" applyNumberFormat="1" applyFont="1" applyFill="1" applyBorder="1"/>
    <xf numFmtId="1" fontId="6" fillId="0" borderId="333" xfId="0" applyNumberFormat="1" applyFont="1" applyBorder="1" applyAlignment="1">
      <alignment horizontal="center" vertical="center" wrapText="1"/>
    </xf>
    <xf numFmtId="1" fontId="6" fillId="5" borderId="539" xfId="0" applyNumberFormat="1" applyFont="1" applyFill="1" applyBorder="1" applyProtection="1">
      <protection locked="0"/>
    </xf>
    <xf numFmtId="1" fontId="6" fillId="4" borderId="431" xfId="0" applyNumberFormat="1" applyFont="1" applyFill="1" applyBorder="1"/>
    <xf numFmtId="1" fontId="6" fillId="4" borderId="506" xfId="0" applyNumberFormat="1" applyFont="1" applyFill="1" applyBorder="1"/>
    <xf numFmtId="1" fontId="9" fillId="0" borderId="0" xfId="0" applyNumberFormat="1" applyFont="1" applyAlignment="1">
      <alignment horizontal="center"/>
    </xf>
    <xf numFmtId="1" fontId="6" fillId="5" borderId="523" xfId="0" applyNumberFormat="1" applyFont="1" applyFill="1" applyBorder="1" applyProtection="1">
      <protection locked="0"/>
    </xf>
    <xf numFmtId="1" fontId="6" fillId="0" borderId="500" xfId="0" applyNumberFormat="1" applyFont="1" applyBorder="1" applyAlignment="1">
      <alignment horizontal="right" wrapText="1"/>
    </xf>
    <xf numFmtId="1" fontId="6" fillId="5" borderId="416" xfId="0" applyNumberFormat="1" applyFont="1" applyFill="1" applyBorder="1" applyProtection="1">
      <protection locked="0"/>
    </xf>
    <xf numFmtId="1" fontId="6" fillId="0" borderId="539" xfId="0" applyNumberFormat="1" applyFont="1" applyBorder="1" applyAlignment="1">
      <alignment horizontal="right"/>
    </xf>
    <xf numFmtId="1" fontId="6" fillId="0" borderId="376" xfId="0" applyNumberFormat="1" applyFont="1" applyBorder="1" applyAlignment="1">
      <alignment horizontal="right"/>
    </xf>
    <xf numFmtId="1" fontId="6" fillId="0" borderId="347" xfId="0" applyNumberFormat="1" applyFont="1" applyBorder="1" applyAlignment="1">
      <alignment horizontal="right"/>
    </xf>
    <xf numFmtId="1" fontId="6" fillId="0" borderId="523" xfId="0" applyNumberFormat="1" applyFont="1" applyBorder="1"/>
    <xf numFmtId="1" fontId="6" fillId="0" borderId="506" xfId="0" applyNumberFormat="1" applyFont="1" applyBorder="1"/>
    <xf numFmtId="1" fontId="6" fillId="3" borderId="336" xfId="25" applyNumberFormat="1" applyFont="1" applyFill="1" applyBorder="1" applyAlignment="1">
      <alignment horizontal="center" vertical="center" wrapText="1"/>
    </xf>
    <xf numFmtId="1" fontId="11" fillId="3" borderId="416" xfId="0" applyNumberFormat="1" applyFont="1" applyFill="1" applyBorder="1"/>
    <xf numFmtId="1" fontId="6" fillId="0" borderId="537" xfId="0" applyNumberFormat="1" applyFont="1" applyBorder="1" applyAlignment="1">
      <alignment horizontal="right" vertical="center"/>
    </xf>
    <xf numFmtId="1" fontId="11" fillId="0" borderId="416" xfId="0" applyNumberFormat="1" applyFont="1" applyBorder="1"/>
    <xf numFmtId="1" fontId="6" fillId="5" borderId="537" xfId="0" applyNumberFormat="1" applyFont="1" applyFill="1" applyBorder="1" applyProtection="1">
      <protection locked="0"/>
    </xf>
    <xf numFmtId="1" fontId="6" fillId="3" borderId="495" xfId="25" applyNumberFormat="1" applyFont="1" applyFill="1" applyBorder="1" applyAlignment="1">
      <alignment horizontal="center" vertical="center" wrapText="1"/>
    </xf>
    <xf numFmtId="1" fontId="6" fillId="3" borderId="346" xfId="25" applyNumberFormat="1" applyFont="1" applyFill="1" applyBorder="1" applyAlignment="1">
      <alignment horizontal="center" vertical="center" wrapText="1"/>
    </xf>
    <xf numFmtId="1" fontId="6" fillId="3" borderId="496" xfId="25" applyNumberFormat="1" applyFont="1" applyFill="1" applyBorder="1" applyAlignment="1">
      <alignment horizontal="center" vertical="center" wrapText="1"/>
    </xf>
    <xf numFmtId="1" fontId="6" fillId="5" borderId="333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331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328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326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499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500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517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501" xfId="0" applyNumberFormat="1" applyFont="1" applyFill="1" applyBorder="1" applyAlignment="1" applyProtection="1">
      <alignment horizontal="right" vertical="center" wrapText="1"/>
      <protection locked="0"/>
    </xf>
    <xf numFmtId="1" fontId="6" fillId="0" borderId="449" xfId="0" applyNumberFormat="1" applyFont="1" applyBorder="1"/>
    <xf numFmtId="1" fontId="6" fillId="3" borderId="512" xfId="25" applyNumberFormat="1" applyFont="1" applyFill="1" applyBorder="1" applyAlignment="1">
      <alignment horizontal="center" vertical="center" wrapText="1"/>
    </xf>
    <xf numFmtId="1" fontId="6" fillId="5" borderId="329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330" xfId="0" applyNumberFormat="1" applyFont="1" applyFill="1" applyBorder="1" applyAlignment="1" applyProtection="1">
      <alignment horizontal="right" vertical="center" wrapText="1"/>
      <protection locked="0"/>
    </xf>
    <xf numFmtId="1" fontId="11" fillId="3" borderId="0" xfId="0" applyNumberFormat="1" applyFont="1" applyFill="1" applyProtection="1">
      <protection locked="0"/>
    </xf>
    <xf numFmtId="1" fontId="6" fillId="3" borderId="493" xfId="25" applyNumberFormat="1" applyFont="1" applyFill="1" applyBorder="1" applyAlignment="1">
      <alignment horizontal="center" vertical="center" wrapText="1"/>
    </xf>
    <xf numFmtId="1" fontId="6" fillId="5" borderId="495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346" xfId="0" applyNumberFormat="1" applyFont="1" applyFill="1" applyBorder="1" applyAlignment="1" applyProtection="1">
      <alignment horizontal="right" vertical="center" wrapText="1"/>
      <protection locked="0"/>
    </xf>
    <xf numFmtId="1" fontId="6" fillId="3" borderId="333" xfId="0" applyNumberFormat="1" applyFont="1" applyFill="1" applyBorder="1" applyAlignment="1">
      <alignment horizontal="left" vertical="center" wrapText="1"/>
    </xf>
    <xf numFmtId="1" fontId="6" fillId="5" borderId="425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63" xfId="0" applyNumberFormat="1" applyFont="1" applyFill="1" applyBorder="1" applyAlignment="1" applyProtection="1">
      <alignment horizontal="right" vertical="center" wrapText="1"/>
      <protection locked="0"/>
    </xf>
    <xf numFmtId="1" fontId="6" fillId="3" borderId="499" xfId="0" applyNumberFormat="1" applyFont="1" applyFill="1" applyBorder="1" applyAlignment="1">
      <alignment horizontal="left" vertical="center" wrapText="1"/>
    </xf>
    <xf numFmtId="1" fontId="6" fillId="5" borderId="20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45" xfId="0" applyNumberFormat="1" applyFont="1" applyFill="1" applyBorder="1" applyAlignment="1" applyProtection="1">
      <alignment horizontal="right" vertical="center" wrapText="1"/>
      <protection locked="0"/>
    </xf>
    <xf numFmtId="1" fontId="11" fillId="3" borderId="0" xfId="0" applyNumberFormat="1" applyFont="1" applyFill="1" applyAlignment="1" applyProtection="1">
      <alignment horizontal="right" vertical="center" wrapText="1"/>
      <protection locked="0"/>
    </xf>
    <xf numFmtId="1" fontId="6" fillId="3" borderId="31" xfId="0" applyNumberFormat="1" applyFont="1" applyFill="1" applyBorder="1" applyAlignment="1">
      <alignment vertical="center" wrapText="1"/>
    </xf>
    <xf numFmtId="1" fontId="6" fillId="3" borderId="432" xfId="0" applyNumberFormat="1" applyFont="1" applyFill="1" applyBorder="1" applyAlignment="1">
      <alignment horizontal="left" vertical="center" wrapText="1"/>
    </xf>
    <xf numFmtId="1" fontId="13" fillId="3" borderId="497" xfId="0" applyNumberFormat="1" applyFont="1" applyFill="1" applyBorder="1" applyAlignment="1">
      <alignment horizontal="center" vertical="center" wrapText="1"/>
    </xf>
    <xf numFmtId="1" fontId="6" fillId="3" borderId="0" xfId="25" applyNumberFormat="1" applyFont="1" applyFill="1" applyAlignment="1">
      <alignment horizontal="center" vertical="center" wrapText="1"/>
    </xf>
    <xf numFmtId="1" fontId="6" fillId="5" borderId="333" xfId="0" applyNumberFormat="1" applyFont="1" applyFill="1" applyBorder="1" applyAlignment="1" applyProtection="1">
      <alignment vertical="center" wrapText="1"/>
      <protection locked="0"/>
    </xf>
    <xf numFmtId="1" fontId="6" fillId="5" borderId="499" xfId="0" applyNumberFormat="1" applyFont="1" applyFill="1" applyBorder="1" applyAlignment="1" applyProtection="1">
      <alignment vertical="center" wrapText="1"/>
      <protection locked="0"/>
    </xf>
    <xf numFmtId="1" fontId="6" fillId="3" borderId="0" xfId="25" applyNumberFormat="1" applyFont="1" applyFill="1" applyAlignment="1">
      <alignment vertical="center" wrapText="1"/>
    </xf>
    <xf numFmtId="1" fontId="6" fillId="5" borderId="24" xfId="0" applyNumberFormat="1" applyFont="1" applyFill="1" applyBorder="1" applyAlignment="1" applyProtection="1">
      <alignment vertical="center" wrapText="1"/>
      <protection locked="0"/>
    </xf>
    <xf numFmtId="1" fontId="4" fillId="3" borderId="347" xfId="25" applyNumberFormat="1" applyFont="1" applyFill="1" applyBorder="1"/>
    <xf numFmtId="1" fontId="4" fillId="3" borderId="347" xfId="25" applyNumberFormat="1" applyFont="1" applyFill="1" applyBorder="1" applyAlignment="1">
      <alignment wrapText="1"/>
    </xf>
    <xf numFmtId="1" fontId="6" fillId="3" borderId="493" xfId="0" applyNumberFormat="1" applyFont="1" applyFill="1" applyBorder="1" applyAlignment="1">
      <alignment horizontal="right" vertical="center" wrapText="1"/>
    </xf>
    <xf numFmtId="1" fontId="6" fillId="5" borderId="511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447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491" xfId="0" applyNumberFormat="1" applyFont="1" applyFill="1" applyBorder="1" applyAlignment="1" applyProtection="1">
      <alignment horizontal="right" vertical="center" wrapText="1"/>
      <protection locked="0"/>
    </xf>
    <xf numFmtId="1" fontId="6" fillId="3" borderId="326" xfId="0" applyNumberFormat="1" applyFont="1" applyFill="1" applyBorder="1" applyAlignment="1">
      <alignment horizontal="left" vertical="center" wrapText="1"/>
    </xf>
    <xf numFmtId="1" fontId="6" fillId="3" borderId="333" xfId="0" applyNumberFormat="1" applyFont="1" applyFill="1" applyBorder="1" applyAlignment="1">
      <alignment horizontal="right" vertical="center" wrapText="1"/>
    </xf>
    <xf numFmtId="1" fontId="6" fillId="3" borderId="499" xfId="0" applyNumberFormat="1" applyFont="1" applyFill="1" applyBorder="1"/>
    <xf numFmtId="1" fontId="6" fillId="3" borderId="498" xfId="0" applyNumberFormat="1" applyFont="1" applyFill="1" applyBorder="1"/>
    <xf numFmtId="1" fontId="4" fillId="3" borderId="0" xfId="0" applyNumberFormat="1" applyFont="1" applyFill="1" applyAlignment="1">
      <alignment horizontal="left" vertical="center" wrapText="1"/>
    </xf>
    <xf numFmtId="1" fontId="4" fillId="3" borderId="347" xfId="0" applyNumberFormat="1" applyFont="1" applyFill="1" applyBorder="1" applyAlignment="1">
      <alignment horizontal="left"/>
    </xf>
    <xf numFmtId="1" fontId="6" fillId="0" borderId="343" xfId="0" applyNumberFormat="1" applyFont="1" applyBorder="1"/>
    <xf numFmtId="1" fontId="11" fillId="5" borderId="333" xfId="0" applyNumberFormat="1" applyFont="1" applyFill="1" applyBorder="1" applyAlignment="1" applyProtection="1">
      <alignment wrapText="1"/>
      <protection locked="0"/>
    </xf>
    <xf numFmtId="1" fontId="6" fillId="0" borderId="66" xfId="0" applyNumberFormat="1" applyFont="1" applyBorder="1" applyAlignment="1">
      <alignment vertical="center" wrapText="1"/>
    </xf>
    <xf numFmtId="1" fontId="11" fillId="5" borderId="24" xfId="0" applyNumberFormat="1" applyFont="1" applyFill="1" applyBorder="1" applyAlignment="1" applyProtection="1">
      <alignment wrapText="1"/>
      <protection locked="0"/>
    </xf>
    <xf numFmtId="1" fontId="6" fillId="5" borderId="555" xfId="0" applyNumberFormat="1" applyFont="1" applyFill="1" applyBorder="1" applyProtection="1">
      <protection locked="0"/>
    </xf>
    <xf numFmtId="1" fontId="6" fillId="5" borderId="556" xfId="0" applyNumberFormat="1" applyFont="1" applyFill="1" applyBorder="1" applyProtection="1">
      <protection locked="0"/>
    </xf>
    <xf numFmtId="1" fontId="6" fillId="5" borderId="557" xfId="0" applyNumberFormat="1" applyFont="1" applyFill="1" applyBorder="1" applyProtection="1">
      <protection locked="0"/>
    </xf>
    <xf numFmtId="1" fontId="6" fillId="5" borderId="560" xfId="0" applyNumberFormat="1" applyFont="1" applyFill="1" applyBorder="1" applyProtection="1">
      <protection locked="0"/>
    </xf>
    <xf numFmtId="1" fontId="6" fillId="5" borderId="563" xfId="0" applyNumberFormat="1" applyFont="1" applyFill="1" applyBorder="1" applyProtection="1">
      <protection locked="0"/>
    </xf>
    <xf numFmtId="1" fontId="6" fillId="0" borderId="567" xfId="0" applyNumberFormat="1" applyFont="1" applyBorder="1" applyAlignment="1">
      <alignment horizontal="center" vertical="center"/>
    </xf>
    <xf numFmtId="1" fontId="6" fillId="5" borderId="585" xfId="0" applyNumberFormat="1" applyFont="1" applyFill="1" applyBorder="1" applyProtection="1">
      <protection locked="0"/>
    </xf>
    <xf numFmtId="1" fontId="6" fillId="5" borderId="591" xfId="0" applyNumberFormat="1" applyFont="1" applyFill="1" applyBorder="1" applyProtection="1">
      <protection locked="0"/>
    </xf>
    <xf numFmtId="1" fontId="6" fillId="5" borderId="579" xfId="0" applyNumberFormat="1" applyFont="1" applyFill="1" applyBorder="1" applyProtection="1">
      <protection locked="0"/>
    </xf>
    <xf numFmtId="1" fontId="6" fillId="5" borderId="597" xfId="0" applyNumberFormat="1" applyFont="1" applyFill="1" applyBorder="1" applyProtection="1">
      <protection locked="0"/>
    </xf>
    <xf numFmtId="1" fontId="6" fillId="5" borderId="596" xfId="0" applyNumberFormat="1" applyFont="1" applyFill="1" applyBorder="1" applyProtection="1">
      <protection locked="0"/>
    </xf>
    <xf numFmtId="1" fontId="5" fillId="14" borderId="14" xfId="0" applyNumberFormat="1" applyFont="1" applyFill="1" applyBorder="1" applyProtection="1">
      <protection hidden="1"/>
    </xf>
    <xf numFmtId="1" fontId="6" fillId="14" borderId="146" xfId="0" applyNumberFormat="1" applyFont="1" applyFill="1" applyBorder="1" applyAlignment="1">
      <alignment vertical="center"/>
    </xf>
    <xf numFmtId="1" fontId="6" fillId="14" borderId="50" xfId="0" applyNumberFormat="1" applyFont="1" applyFill="1" applyBorder="1" applyAlignment="1">
      <alignment vertical="center"/>
    </xf>
    <xf numFmtId="1" fontId="6" fillId="14" borderId="21" xfId="0" applyNumberFormat="1" applyFont="1" applyFill="1" applyBorder="1" applyAlignment="1">
      <alignment vertical="center"/>
    </xf>
    <xf numFmtId="1" fontId="6" fillId="5" borderId="559" xfId="0" applyNumberFormat="1" applyFont="1" applyFill="1" applyBorder="1" applyProtection="1">
      <protection locked="0"/>
    </xf>
    <xf numFmtId="1" fontId="6" fillId="0" borderId="593" xfId="28" applyNumberFormat="1" applyFont="1" applyBorder="1" applyAlignment="1">
      <alignment wrapText="1"/>
    </xf>
    <xf numFmtId="1" fontId="6" fillId="0" borderId="595" xfId="28" applyNumberFormat="1" applyFont="1" applyBorder="1" applyAlignment="1">
      <alignment horizontal="right"/>
    </xf>
    <xf numFmtId="1" fontId="6" fillId="0" borderId="523" xfId="28" applyNumberFormat="1" applyFont="1" applyBorder="1" applyAlignment="1">
      <alignment wrapText="1"/>
    </xf>
    <xf numFmtId="1" fontId="6" fillId="0" borderId="537" xfId="28" applyNumberFormat="1" applyFont="1" applyBorder="1" applyAlignment="1">
      <alignment horizontal="right"/>
    </xf>
    <xf numFmtId="1" fontId="6" fillId="5" borderId="431" xfId="0" applyNumberFormat="1" applyFont="1" applyFill="1" applyBorder="1" applyProtection="1">
      <protection locked="0"/>
    </xf>
    <xf numFmtId="1" fontId="6" fillId="5" borderId="609" xfId="0" applyNumberFormat="1" applyFont="1" applyFill="1" applyBorder="1" applyProtection="1">
      <protection locked="0"/>
    </xf>
    <xf numFmtId="1" fontId="6" fillId="5" borderId="610" xfId="0" applyNumberFormat="1" applyFont="1" applyFill="1" applyBorder="1" applyProtection="1">
      <protection locked="0"/>
    </xf>
    <xf numFmtId="1" fontId="6" fillId="5" borderId="611" xfId="0" applyNumberFormat="1" applyFont="1" applyFill="1" applyBorder="1" applyProtection="1">
      <protection locked="0"/>
    </xf>
    <xf numFmtId="1" fontId="6" fillId="5" borderId="612" xfId="0" applyNumberFormat="1" applyFont="1" applyFill="1" applyBorder="1" applyProtection="1">
      <protection locked="0"/>
    </xf>
    <xf numFmtId="1" fontId="6" fillId="5" borderId="594" xfId="0" applyNumberFormat="1" applyFont="1" applyFill="1" applyBorder="1" applyProtection="1">
      <protection locked="0"/>
    </xf>
    <xf numFmtId="1" fontId="6" fillId="5" borderId="588" xfId="0" applyNumberFormat="1" applyFont="1" applyFill="1" applyBorder="1" applyProtection="1">
      <protection locked="0"/>
    </xf>
    <xf numFmtId="1" fontId="6" fillId="5" borderId="602" xfId="0" applyNumberFormat="1" applyFont="1" applyFill="1" applyBorder="1" applyProtection="1">
      <protection locked="0"/>
    </xf>
    <xf numFmtId="1" fontId="10" fillId="3" borderId="0" xfId="0" applyNumberFormat="1" applyFont="1" applyFill="1" applyAlignment="1">
      <alignment horizontal="left"/>
    </xf>
    <xf numFmtId="1" fontId="6" fillId="5" borderId="622" xfId="0" applyNumberFormat="1" applyFont="1" applyFill="1" applyBorder="1" applyProtection="1">
      <protection locked="0"/>
    </xf>
    <xf numFmtId="1" fontId="6" fillId="5" borderId="623" xfId="0" applyNumberFormat="1" applyFont="1" applyFill="1" applyBorder="1" applyProtection="1">
      <protection locked="0"/>
    </xf>
    <xf numFmtId="1" fontId="6" fillId="5" borderId="614" xfId="0" applyNumberFormat="1" applyFont="1" applyFill="1" applyBorder="1" applyProtection="1">
      <protection locked="0"/>
    </xf>
    <xf numFmtId="1" fontId="6" fillId="5" borderId="619" xfId="0" applyNumberFormat="1" applyFont="1" applyFill="1" applyBorder="1" applyProtection="1">
      <protection locked="0"/>
    </xf>
    <xf numFmtId="1" fontId="6" fillId="5" borderId="618" xfId="0" applyNumberFormat="1" applyFont="1" applyFill="1" applyBorder="1" applyProtection="1">
      <protection locked="0"/>
    </xf>
    <xf numFmtId="1" fontId="6" fillId="5" borderId="624" xfId="0" applyNumberFormat="1" applyFont="1" applyFill="1" applyBorder="1" applyProtection="1">
      <protection locked="0"/>
    </xf>
    <xf numFmtId="1" fontId="6" fillId="5" borderId="587" xfId="0" applyNumberFormat="1" applyFont="1" applyFill="1" applyBorder="1" applyProtection="1">
      <protection locked="0"/>
    </xf>
    <xf numFmtId="1" fontId="6" fillId="5" borderId="581" xfId="0" applyNumberFormat="1" applyFont="1" applyFill="1" applyBorder="1" applyProtection="1">
      <protection locked="0"/>
    </xf>
    <xf numFmtId="1" fontId="6" fillId="5" borderId="616" xfId="0" applyNumberFormat="1" applyFont="1" applyFill="1" applyBorder="1" applyProtection="1">
      <protection locked="0"/>
    </xf>
    <xf numFmtId="1" fontId="6" fillId="5" borderId="620" xfId="0" applyNumberFormat="1" applyFont="1" applyFill="1" applyBorder="1" applyProtection="1">
      <protection locked="0"/>
    </xf>
    <xf numFmtId="1" fontId="6" fillId="5" borderId="615" xfId="0" applyNumberFormat="1" applyFont="1" applyFill="1" applyBorder="1" applyProtection="1">
      <protection locked="0"/>
    </xf>
    <xf numFmtId="1" fontId="6" fillId="5" borderId="580" xfId="0" applyNumberFormat="1" applyFont="1" applyFill="1" applyBorder="1" applyProtection="1">
      <protection locked="0"/>
    </xf>
    <xf numFmtId="1" fontId="11" fillId="14" borderId="0" xfId="0" applyNumberFormat="1" applyFont="1" applyFill="1" applyAlignment="1">
      <alignment horizontal="left" vertical="top"/>
    </xf>
    <xf numFmtId="1" fontId="11" fillId="14" borderId="0" xfId="0" applyNumberFormat="1" applyFont="1" applyFill="1" applyAlignment="1">
      <alignment vertical="top"/>
    </xf>
    <xf numFmtId="1" fontId="6" fillId="0" borderId="241" xfId="0" applyNumberFormat="1" applyFont="1" applyBorder="1" applyAlignment="1">
      <alignment horizontal="center" vertical="center" wrapText="1"/>
    </xf>
    <xf numFmtId="1" fontId="6" fillId="0" borderId="496" xfId="0" applyNumberFormat="1" applyFont="1" applyBorder="1" applyAlignment="1">
      <alignment horizontal="center" vertical="center"/>
    </xf>
    <xf numFmtId="1" fontId="6" fillId="0" borderId="362" xfId="0" applyNumberFormat="1" applyFont="1" applyBorder="1" applyAlignment="1">
      <alignment horizontal="left" vertical="center" wrapText="1"/>
    </xf>
    <xf numFmtId="1" fontId="6" fillId="0" borderId="227" xfId="0" applyNumberFormat="1" applyFont="1" applyBorder="1" applyAlignment="1">
      <alignment vertical="center" wrapText="1"/>
    </xf>
    <xf numFmtId="1" fontId="6" fillId="0" borderId="269" xfId="0" applyNumberFormat="1" applyFont="1" applyBorder="1" applyAlignment="1">
      <alignment horizontal="left" vertical="center" wrapText="1"/>
    </xf>
    <xf numFmtId="1" fontId="6" fillId="0" borderId="24" xfId="0" applyNumberFormat="1" applyFont="1" applyBorder="1" applyAlignment="1">
      <alignment horizontal="left" vertical="center" wrapText="1"/>
    </xf>
    <xf numFmtId="1" fontId="6" fillId="0" borderId="565" xfId="0" applyNumberFormat="1" applyFont="1" applyBorder="1" applyAlignment="1">
      <alignment horizontal="center" vertical="center" wrapText="1"/>
    </xf>
    <xf numFmtId="1" fontId="6" fillId="0" borderId="389" xfId="0" applyNumberFormat="1" applyFont="1" applyBorder="1" applyAlignment="1">
      <alignment horizontal="left" vertical="center" wrapText="1"/>
    </xf>
    <xf numFmtId="1" fontId="6" fillId="0" borderId="497" xfId="0" applyNumberFormat="1" applyFont="1" applyBorder="1" applyAlignment="1">
      <alignment horizontal="center" vertical="center"/>
    </xf>
    <xf numFmtId="1" fontId="6" fillId="0" borderId="331" xfId="0" applyNumberFormat="1" applyFont="1" applyBorder="1"/>
    <xf numFmtId="1" fontId="6" fillId="0" borderId="328" xfId="0" applyNumberFormat="1" applyFont="1" applyBorder="1"/>
    <xf numFmtId="1" fontId="6" fillId="0" borderId="330" xfId="0" applyNumberFormat="1" applyFont="1" applyBorder="1"/>
    <xf numFmtId="1" fontId="6" fillId="0" borderId="500" xfId="0" applyNumberFormat="1" applyFont="1" applyBorder="1"/>
    <xf numFmtId="1" fontId="6" fillId="0" borderId="20" xfId="0" applyNumberFormat="1" applyFont="1" applyBorder="1"/>
    <xf numFmtId="1" fontId="6" fillId="0" borderId="45" xfId="0" applyNumberFormat="1" applyFont="1" applyBorder="1"/>
    <xf numFmtId="1" fontId="6" fillId="0" borderId="22" xfId="0" applyNumberFormat="1" applyFont="1" applyBorder="1"/>
    <xf numFmtId="1" fontId="6" fillId="0" borderId="227" xfId="0" applyNumberFormat="1" applyFont="1" applyBorder="1"/>
    <xf numFmtId="0" fontId="9" fillId="3" borderId="0" xfId="0" applyFont="1" applyFill="1"/>
    <xf numFmtId="0" fontId="9" fillId="17" borderId="0" xfId="0" applyFont="1" applyFill="1" applyProtection="1">
      <protection locked="0"/>
    </xf>
    <xf numFmtId="0" fontId="9" fillId="0" borderId="0" xfId="0" applyFont="1"/>
    <xf numFmtId="3" fontId="9" fillId="3" borderId="0" xfId="0" applyNumberFormat="1" applyFont="1" applyFill="1"/>
    <xf numFmtId="0" fontId="38" fillId="17" borderId="0" xfId="0" applyFont="1" applyFill="1" applyProtection="1">
      <protection locked="0"/>
    </xf>
    <xf numFmtId="0" fontId="4" fillId="0" borderId="0" xfId="0" applyFont="1"/>
    <xf numFmtId="0" fontId="6" fillId="14" borderId="0" xfId="0" applyFont="1" applyFill="1"/>
    <xf numFmtId="0" fontId="6" fillId="17" borderId="0" xfId="0" applyFont="1" applyFill="1" applyProtection="1">
      <protection locked="0"/>
    </xf>
    <xf numFmtId="0" fontId="44" fillId="17" borderId="0" xfId="0" applyFont="1" applyFill="1" applyProtection="1">
      <protection locked="0"/>
    </xf>
    <xf numFmtId="0" fontId="44" fillId="0" borderId="0" xfId="0" applyFont="1"/>
    <xf numFmtId="0" fontId="6" fillId="0" borderId="240" xfId="0" applyFont="1" applyBorder="1" applyAlignment="1">
      <alignment horizontal="center" vertical="center"/>
    </xf>
    <xf numFmtId="0" fontId="6" fillId="0" borderId="240" xfId="0" applyFont="1" applyBorder="1" applyAlignment="1">
      <alignment horizontal="center" vertical="center" wrapText="1"/>
    </xf>
    <xf numFmtId="0" fontId="6" fillId="0" borderId="228" xfId="0" applyFont="1" applyBorder="1" applyAlignment="1">
      <alignment horizontal="center" vertical="center" wrapText="1"/>
    </xf>
    <xf numFmtId="0" fontId="6" fillId="0" borderId="227" xfId="0" applyFont="1" applyBorder="1" applyAlignment="1">
      <alignment horizontal="center" vertical="center" wrapText="1"/>
    </xf>
    <xf numFmtId="0" fontId="6" fillId="0" borderId="230" xfId="0" applyFont="1" applyBorder="1" applyAlignment="1">
      <alignment horizontal="center" vertical="center" wrapText="1"/>
    </xf>
    <xf numFmtId="0" fontId="6" fillId="0" borderId="226" xfId="0" applyFont="1" applyBorder="1" applyAlignment="1">
      <alignment horizontal="center" vertical="center" wrapText="1"/>
    </xf>
    <xf numFmtId="0" fontId="6" fillId="19" borderId="0" xfId="0" applyFont="1" applyFill="1" applyProtection="1">
      <protection locked="0"/>
    </xf>
    <xf numFmtId="0" fontId="6" fillId="0" borderId="235" xfId="0" applyFont="1" applyBorder="1" applyAlignment="1">
      <alignment horizontal="left" vertical="center" wrapText="1"/>
    </xf>
    <xf numFmtId="1" fontId="6" fillId="0" borderId="233" xfId="0" applyNumberFormat="1" applyFont="1" applyBorder="1"/>
    <xf numFmtId="1" fontId="6" fillId="15" borderId="68" xfId="0" applyNumberFormat="1" applyFont="1" applyFill="1" applyBorder="1" applyProtection="1">
      <protection locked="0"/>
    </xf>
    <xf numFmtId="1" fontId="6" fillId="14" borderId="0" xfId="0" applyNumberFormat="1" applyFont="1" applyFill="1" applyAlignment="1">
      <alignment vertical="top"/>
    </xf>
    <xf numFmtId="0" fontId="6" fillId="17" borderId="0" xfId="0" applyFont="1" applyFill="1"/>
    <xf numFmtId="0" fontId="6" fillId="19" borderId="0" xfId="0" applyFont="1" applyFill="1"/>
    <xf numFmtId="0" fontId="6" fillId="0" borderId="40" xfId="0" applyFont="1" applyBorder="1" applyAlignment="1">
      <alignment horizontal="left" vertical="center" wrapText="1"/>
    </xf>
    <xf numFmtId="1" fontId="6" fillId="15" borderId="39" xfId="0" applyNumberFormat="1" applyFont="1" applyFill="1" applyBorder="1" applyProtection="1">
      <protection locked="0"/>
    </xf>
    <xf numFmtId="0" fontId="6" fillId="0" borderId="23" xfId="0" applyFont="1" applyBorder="1" applyAlignment="1">
      <alignment horizontal="left" vertical="center" wrapText="1"/>
    </xf>
    <xf numFmtId="0" fontId="6" fillId="0" borderId="231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right" vertical="center" wrapText="1"/>
    </xf>
    <xf numFmtId="0" fontId="6" fillId="0" borderId="233" xfId="0" applyFont="1" applyBorder="1"/>
    <xf numFmtId="1" fontId="6" fillId="15" borderId="31" xfId="0" applyNumberFormat="1" applyFont="1" applyFill="1" applyBorder="1" applyProtection="1">
      <protection locked="0"/>
    </xf>
    <xf numFmtId="0" fontId="6" fillId="0" borderId="37" xfId="0" applyFont="1" applyBorder="1" applyAlignment="1">
      <alignment horizontal="left" vertical="center" wrapText="1"/>
    </xf>
    <xf numFmtId="0" fontId="6" fillId="0" borderId="31" xfId="0" applyFont="1" applyBorder="1"/>
    <xf numFmtId="1" fontId="6" fillId="0" borderId="25" xfId="0" applyNumberFormat="1" applyFont="1" applyBorder="1" applyAlignment="1">
      <alignment horizontal="right" vertical="center" wrapText="1"/>
    </xf>
    <xf numFmtId="0" fontId="6" fillId="0" borderId="50" xfId="0" applyFont="1" applyBorder="1"/>
    <xf numFmtId="1" fontId="6" fillId="15" borderId="50" xfId="0" applyNumberFormat="1" applyFont="1" applyFill="1" applyBorder="1" applyProtection="1">
      <protection locked="0"/>
    </xf>
    <xf numFmtId="0" fontId="6" fillId="0" borderId="25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21" xfId="0" applyFont="1" applyBorder="1"/>
    <xf numFmtId="1" fontId="6" fillId="14" borderId="227" xfId="0" applyNumberFormat="1" applyFont="1" applyFill="1" applyBorder="1"/>
    <xf numFmtId="1" fontId="6" fillId="0" borderId="89" xfId="0" applyNumberFormat="1" applyFont="1" applyBorder="1"/>
    <xf numFmtId="0" fontId="9" fillId="14" borderId="0" xfId="0" applyFont="1" applyFill="1"/>
    <xf numFmtId="0" fontId="9" fillId="19" borderId="0" xfId="0" applyFont="1" applyFill="1" applyProtection="1">
      <protection locked="0"/>
    </xf>
    <xf numFmtId="0" fontId="6" fillId="0" borderId="539" xfId="0" applyFont="1" applyBorder="1" applyAlignment="1">
      <alignment horizontal="center" vertical="center" wrapText="1"/>
    </xf>
    <xf numFmtId="0" fontId="6" fillId="0" borderId="578" xfId="0" applyFont="1" applyBorder="1" applyAlignment="1">
      <alignment horizontal="center" vertical="center" wrapText="1"/>
    </xf>
    <xf numFmtId="0" fontId="6" fillId="0" borderId="604" xfId="0" applyFont="1" applyBorder="1" applyAlignment="1">
      <alignment horizontal="center" vertical="center" wrapText="1"/>
    </xf>
    <xf numFmtId="0" fontId="6" fillId="0" borderId="434" xfId="0" applyFont="1" applyBorder="1" applyAlignment="1">
      <alignment horizontal="center" vertical="center" wrapText="1"/>
    </xf>
    <xf numFmtId="0" fontId="6" fillId="0" borderId="626" xfId="0" applyFont="1" applyBorder="1" applyAlignment="1">
      <alignment horizontal="center" vertical="center" wrapText="1"/>
    </xf>
    <xf numFmtId="0" fontId="6" fillId="0" borderId="431" xfId="0" applyFont="1" applyBorder="1" applyAlignment="1">
      <alignment horizontal="center" vertical="center" wrapText="1"/>
    </xf>
    <xf numFmtId="0" fontId="6" fillId="0" borderId="284" xfId="0" applyFont="1" applyBorder="1" applyAlignment="1">
      <alignment horizontal="center" vertical="center" wrapText="1"/>
    </xf>
    <xf numFmtId="0" fontId="6" fillId="0" borderId="599" xfId="0" applyFont="1" applyBorder="1" applyAlignment="1">
      <alignment horizontal="center" vertical="center" wrapText="1"/>
    </xf>
    <xf numFmtId="1" fontId="6" fillId="5" borderId="607" xfId="0" applyNumberFormat="1" applyFont="1" applyFill="1" applyBorder="1" applyProtection="1">
      <protection locked="0"/>
    </xf>
    <xf numFmtId="1" fontId="6" fillId="5" borderId="586" xfId="0" applyNumberFormat="1" applyFont="1" applyFill="1" applyBorder="1" applyProtection="1">
      <protection locked="0"/>
    </xf>
    <xf numFmtId="0" fontId="6" fillId="0" borderId="29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34" xfId="0" applyFont="1" applyBorder="1" applyAlignment="1">
      <alignment vertical="center" wrapText="1"/>
    </xf>
    <xf numFmtId="1" fontId="6" fillId="0" borderId="599" xfId="0" applyNumberFormat="1" applyFont="1" applyBorder="1"/>
    <xf numFmtId="0" fontId="6" fillId="0" borderId="575" xfId="0" applyFont="1" applyBorder="1" applyAlignment="1">
      <alignment horizontal="center" vertical="center" wrapText="1"/>
    </xf>
    <xf numFmtId="0" fontId="6" fillId="0" borderId="574" xfId="0" applyFont="1" applyBorder="1" applyAlignment="1">
      <alignment horizontal="center" vertical="center" wrapText="1"/>
    </xf>
    <xf numFmtId="1" fontId="6" fillId="0" borderId="231" xfId="0" applyNumberFormat="1" applyFont="1" applyBorder="1" applyAlignment="1">
      <alignment horizontal="right" vertical="center" wrapText="1"/>
    </xf>
    <xf numFmtId="1" fontId="6" fillId="15" borderId="555" xfId="0" applyNumberFormat="1" applyFont="1" applyFill="1" applyBorder="1" applyProtection="1">
      <protection locked="0"/>
    </xf>
    <xf numFmtId="1" fontId="6" fillId="15" borderId="63" xfId="0" applyNumberFormat="1" applyFont="1" applyFill="1" applyBorder="1" applyProtection="1">
      <protection locked="0"/>
    </xf>
    <xf numFmtId="1" fontId="6" fillId="15" borderId="73" xfId="0" applyNumberFormat="1" applyFont="1" applyFill="1" applyBorder="1" applyProtection="1">
      <protection locked="0"/>
    </xf>
    <xf numFmtId="1" fontId="6" fillId="15" borderId="328" xfId="0" applyNumberFormat="1" applyFont="1" applyFill="1" applyBorder="1" applyProtection="1">
      <protection locked="0"/>
    </xf>
    <xf numFmtId="1" fontId="6" fillId="15" borderId="525" xfId="0" applyNumberFormat="1" applyFont="1" applyFill="1" applyBorder="1" applyProtection="1">
      <protection locked="0"/>
    </xf>
    <xf numFmtId="1" fontId="6" fillId="15" borderId="605" xfId="0" applyNumberFormat="1" applyFont="1" applyFill="1" applyBorder="1" applyProtection="1">
      <protection locked="0"/>
    </xf>
    <xf numFmtId="1" fontId="6" fillId="5" borderId="606" xfId="0" applyNumberFormat="1" applyFont="1" applyFill="1" applyBorder="1" applyProtection="1">
      <protection locked="0"/>
    </xf>
    <xf numFmtId="0" fontId="44" fillId="0" borderId="50" xfId="0" applyFont="1" applyBorder="1"/>
    <xf numFmtId="0" fontId="6" fillId="0" borderId="238" xfId="0" applyFont="1" applyBorder="1" applyAlignment="1">
      <alignment horizontal="left" vertical="center" wrapText="1"/>
    </xf>
    <xf numFmtId="1" fontId="6" fillId="0" borderId="236" xfId="0" applyNumberFormat="1" applyFont="1" applyBorder="1" applyAlignment="1">
      <alignment horizontal="right" vertical="center" wrapText="1"/>
    </xf>
    <xf numFmtId="1" fontId="6" fillId="5" borderId="141" xfId="0" applyNumberFormat="1" applyFont="1" applyFill="1" applyBorder="1" applyProtection="1">
      <protection locked="0"/>
    </xf>
    <xf numFmtId="1" fontId="6" fillId="0" borderId="575" xfId="0" applyNumberFormat="1" applyFont="1" applyBorder="1"/>
    <xf numFmtId="0" fontId="6" fillId="0" borderId="227" xfId="0" applyFont="1" applyBorder="1" applyAlignment="1">
      <alignment horizontal="center" vertical="center"/>
    </xf>
    <xf numFmtId="0" fontId="6" fillId="0" borderId="31" xfId="0" applyFont="1" applyBorder="1" applyAlignment="1">
      <alignment horizontal="right" vertical="center" wrapText="1"/>
    </xf>
    <xf numFmtId="0" fontId="6" fillId="14" borderId="590" xfId="0" applyFont="1" applyFill="1" applyBorder="1" applyAlignment="1">
      <alignment horizontal="left" vertical="center" wrapText="1"/>
    </xf>
    <xf numFmtId="0" fontId="6" fillId="14" borderId="591" xfId="0" applyFont="1" applyFill="1" applyBorder="1" applyAlignment="1">
      <alignment horizontal="left" vertical="center" wrapText="1"/>
    </xf>
    <xf numFmtId="0" fontId="6" fillId="0" borderId="224" xfId="0" applyFont="1" applyBorder="1" applyAlignment="1">
      <alignment horizontal="left" vertical="center" wrapText="1"/>
    </xf>
    <xf numFmtId="0" fontId="6" fillId="0" borderId="227" xfId="0" applyFont="1" applyBorder="1" applyAlignment="1">
      <alignment horizontal="left" vertical="center" wrapText="1"/>
    </xf>
    <xf numFmtId="1" fontId="6" fillId="0" borderId="568" xfId="0" applyNumberFormat="1" applyFont="1" applyBorder="1"/>
    <xf numFmtId="1" fontId="6" fillId="0" borderId="598" xfId="0" applyNumberFormat="1" applyFont="1" applyBorder="1"/>
    <xf numFmtId="1" fontId="9" fillId="13" borderId="0" xfId="0" applyNumberFormat="1" applyFont="1" applyFill="1"/>
    <xf numFmtId="1" fontId="9" fillId="13" borderId="0" xfId="0" applyNumberFormat="1" applyFont="1" applyFill="1" applyProtection="1">
      <protection locked="0"/>
    </xf>
    <xf numFmtId="1" fontId="9" fillId="3" borderId="247" xfId="0" applyNumberFormat="1" applyFont="1" applyFill="1" applyBorder="1"/>
    <xf numFmtId="1" fontId="9" fillId="3" borderId="490" xfId="0" applyNumberFormat="1" applyFont="1" applyFill="1" applyBorder="1"/>
    <xf numFmtId="1" fontId="9" fillId="3" borderId="461" xfId="0" applyNumberFormat="1" applyFont="1" applyFill="1" applyBorder="1"/>
    <xf numFmtId="1" fontId="6" fillId="0" borderId="457" xfId="0" applyNumberFormat="1" applyFont="1" applyBorder="1" applyAlignment="1">
      <alignment vertical="center" wrapText="1"/>
    </xf>
    <xf numFmtId="1" fontId="6" fillId="0" borderId="599" xfId="0" applyNumberFormat="1" applyFont="1" applyBorder="1" applyAlignment="1">
      <alignment horizontal="center" vertical="center" wrapText="1"/>
    </xf>
    <xf numFmtId="1" fontId="6" fillId="0" borderId="465" xfId="0" applyNumberFormat="1" applyFont="1" applyBorder="1" applyAlignment="1">
      <alignment vertical="center" wrapText="1"/>
    </xf>
    <xf numFmtId="1" fontId="6" fillId="3" borderId="599" xfId="0" applyNumberFormat="1" applyFont="1" applyFill="1" applyBorder="1"/>
    <xf numFmtId="1" fontId="6" fillId="3" borderId="450" xfId="0" applyNumberFormat="1" applyFont="1" applyFill="1" applyBorder="1"/>
    <xf numFmtId="1" fontId="6" fillId="3" borderId="456" xfId="0" applyNumberFormat="1" applyFont="1" applyFill="1" applyBorder="1"/>
    <xf numFmtId="1" fontId="9" fillId="17" borderId="0" xfId="0" applyNumberFormat="1" applyFont="1" applyFill="1" applyProtection="1">
      <protection locked="0"/>
    </xf>
    <xf numFmtId="1" fontId="9" fillId="3" borderId="0" xfId="0" applyNumberFormat="1" applyFont="1" applyFill="1" applyProtection="1">
      <protection locked="0"/>
    </xf>
    <xf numFmtId="1" fontId="9" fillId="0" borderId="175" xfId="0" applyNumberFormat="1" applyFont="1" applyBorder="1"/>
    <xf numFmtId="1" fontId="9" fillId="18" borderId="0" xfId="0" applyNumberFormat="1" applyFont="1" applyFill="1" applyProtection="1">
      <protection locked="0"/>
    </xf>
    <xf numFmtId="1" fontId="6" fillId="14" borderId="35" xfId="0" applyNumberFormat="1" applyFont="1" applyFill="1" applyBorder="1" applyAlignment="1">
      <alignment vertical="center"/>
    </xf>
    <xf numFmtId="1" fontId="6" fillId="14" borderId="0" xfId="0" applyNumberFormat="1" applyFont="1" applyFill="1" applyAlignment="1">
      <alignment vertical="center" wrapText="1"/>
    </xf>
    <xf numFmtId="1" fontId="9" fillId="17" borderId="0" xfId="0" applyNumberFormat="1" applyFont="1" applyFill="1"/>
    <xf numFmtId="1" fontId="9" fillId="18" borderId="0" xfId="0" applyNumberFormat="1" applyFont="1" applyFill="1"/>
    <xf numFmtId="1" fontId="9" fillId="3" borderId="175" xfId="0" applyNumberFormat="1" applyFont="1" applyFill="1" applyBorder="1"/>
    <xf numFmtId="1" fontId="9" fillId="14" borderId="0" xfId="0" applyNumberFormat="1" applyFont="1" applyFill="1" applyProtection="1">
      <protection locked="0"/>
    </xf>
    <xf numFmtId="1" fontId="9" fillId="21" borderId="0" xfId="0" applyNumberFormat="1" applyFont="1" applyFill="1"/>
    <xf numFmtId="1" fontId="13" fillId="3" borderId="0" xfId="0" applyNumberFormat="1" applyFont="1" applyFill="1" applyProtection="1">
      <protection locked="0"/>
    </xf>
    <xf numFmtId="1" fontId="13" fillId="17" borderId="0" xfId="0" applyNumberFormat="1" applyFont="1" applyFill="1" applyProtection="1">
      <protection locked="0"/>
    </xf>
    <xf numFmtId="1" fontId="38" fillId="17" borderId="0" xfId="0" applyNumberFormat="1" applyFont="1" applyFill="1" applyProtection="1">
      <protection locked="0"/>
    </xf>
    <xf numFmtId="1" fontId="38" fillId="18" borderId="0" xfId="0" applyNumberFormat="1" applyFont="1" applyFill="1" applyProtection="1">
      <protection locked="0"/>
    </xf>
    <xf numFmtId="1" fontId="6" fillId="14" borderId="35" xfId="0" applyNumberFormat="1" applyFont="1" applyFill="1" applyBorder="1" applyAlignment="1" applyProtection="1">
      <alignment vertical="center"/>
      <protection locked="0"/>
    </xf>
    <xf numFmtId="1" fontId="38" fillId="17" borderId="0" xfId="0" applyNumberFormat="1" applyFont="1" applyFill="1"/>
    <xf numFmtId="1" fontId="38" fillId="18" borderId="0" xfId="0" applyNumberFormat="1" applyFont="1" applyFill="1"/>
    <xf numFmtId="1" fontId="6" fillId="14" borderId="0" xfId="0" applyNumberFormat="1" applyFont="1" applyFill="1" applyAlignment="1" applyProtection="1">
      <alignment vertical="center"/>
      <protection locked="0"/>
    </xf>
    <xf numFmtId="1" fontId="6" fillId="0" borderId="158" xfId="0" applyNumberFormat="1" applyFont="1" applyBorder="1" applyAlignment="1">
      <alignment horizontal="center" vertical="center" wrapText="1"/>
    </xf>
    <xf numFmtId="1" fontId="6" fillId="0" borderId="150" xfId="0" applyNumberFormat="1" applyFont="1" applyBorder="1" applyAlignment="1">
      <alignment horizontal="center" vertical="center"/>
    </xf>
    <xf numFmtId="1" fontId="4" fillId="3" borderId="164" xfId="0" applyNumberFormat="1" applyFont="1" applyFill="1" applyBorder="1"/>
    <xf numFmtId="1" fontId="6" fillId="0" borderId="180" xfId="0" applyNumberFormat="1" applyFont="1" applyBorder="1" applyAlignment="1">
      <alignment horizontal="center" vertical="center" wrapText="1"/>
    </xf>
    <xf numFmtId="1" fontId="6" fillId="0" borderId="135" xfId="0" applyNumberFormat="1" applyFont="1" applyBorder="1" applyAlignment="1">
      <alignment vertical="center"/>
    </xf>
    <xf numFmtId="1" fontId="6" fillId="5" borderId="180" xfId="0" applyNumberFormat="1" applyFont="1" applyFill="1" applyBorder="1" applyProtection="1">
      <protection locked="0"/>
    </xf>
    <xf numFmtId="1" fontId="6" fillId="5" borderId="160" xfId="0" applyNumberFormat="1" applyFont="1" applyFill="1" applyBorder="1" applyProtection="1">
      <protection locked="0"/>
    </xf>
    <xf numFmtId="1" fontId="6" fillId="5" borderId="135" xfId="0" applyNumberFormat="1" applyFont="1" applyFill="1" applyBorder="1" applyProtection="1">
      <protection locked="0"/>
    </xf>
    <xf numFmtId="1" fontId="38" fillId="3" borderId="35" xfId="0" applyNumberFormat="1" applyFont="1" applyFill="1" applyBorder="1"/>
    <xf numFmtId="1" fontId="6" fillId="0" borderId="492" xfId="0" applyNumberFormat="1" applyFont="1" applyBorder="1" applyAlignment="1">
      <alignment horizontal="center" vertical="center" wrapText="1"/>
    </xf>
    <xf numFmtId="1" fontId="38" fillId="3" borderId="19" xfId="0" applyNumberFormat="1" applyFont="1" applyFill="1" applyBorder="1"/>
    <xf numFmtId="1" fontId="6" fillId="0" borderId="174" xfId="0" applyNumberFormat="1" applyFont="1" applyBorder="1" applyAlignment="1">
      <alignment vertical="center" wrapText="1"/>
    </xf>
    <xf numFmtId="1" fontId="38" fillId="3" borderId="174" xfId="0" applyNumberFormat="1" applyFont="1" applyFill="1" applyBorder="1"/>
    <xf numFmtId="1" fontId="6" fillId="5" borderId="448" xfId="0" applyNumberFormat="1" applyFont="1" applyFill="1" applyBorder="1" applyProtection="1">
      <protection locked="0"/>
    </xf>
    <xf numFmtId="1" fontId="6" fillId="5" borderId="441" xfId="0" applyNumberFormat="1" applyFont="1" applyFill="1" applyBorder="1" applyProtection="1">
      <protection locked="0"/>
    </xf>
    <xf numFmtId="1" fontId="38" fillId="13" borderId="0" xfId="0" applyNumberFormat="1" applyFont="1" applyFill="1"/>
    <xf numFmtId="1" fontId="38" fillId="13" borderId="0" xfId="0" applyNumberFormat="1" applyFont="1" applyFill="1" applyProtection="1">
      <protection locked="0"/>
    </xf>
    <xf numFmtId="1" fontId="6" fillId="4" borderId="579" xfId="0" applyNumberFormat="1" applyFont="1" applyFill="1" applyBorder="1"/>
    <xf numFmtId="1" fontId="9" fillId="14" borderId="35" xfId="0" applyNumberFormat="1" applyFont="1" applyFill="1" applyBorder="1"/>
    <xf numFmtId="1" fontId="6" fillId="0" borderId="275" xfId="0" applyNumberFormat="1" applyFont="1" applyBorder="1" applyAlignment="1">
      <alignment horizontal="right" vertical="center" wrapText="1"/>
    </xf>
    <xf numFmtId="1" fontId="6" fillId="0" borderId="284" xfId="0" applyNumberFormat="1" applyFont="1" applyBorder="1" applyAlignment="1">
      <alignment horizontal="right" vertical="center" wrapText="1"/>
    </xf>
    <xf numFmtId="1" fontId="6" fillId="0" borderId="274" xfId="0" applyNumberFormat="1" applyFont="1" applyBorder="1" applyAlignment="1">
      <alignment horizontal="right" vertical="center" wrapText="1"/>
    </xf>
    <xf numFmtId="1" fontId="6" fillId="14" borderId="416" xfId="0" applyNumberFormat="1" applyFont="1" applyFill="1" applyBorder="1" applyAlignment="1" applyProtection="1">
      <alignment vertical="center"/>
      <protection locked="0"/>
    </xf>
    <xf numFmtId="1" fontId="6" fillId="14" borderId="0" xfId="0" applyNumberFormat="1" applyFont="1" applyFill="1" applyAlignment="1" applyProtection="1">
      <alignment vertical="top"/>
      <protection locked="0"/>
    </xf>
    <xf numFmtId="1" fontId="6" fillId="5" borderId="56" xfId="0" applyNumberFormat="1" applyFont="1" applyFill="1" applyBorder="1" applyAlignment="1" applyProtection="1">
      <alignment horizontal="right"/>
      <protection locked="0"/>
    </xf>
    <xf numFmtId="1" fontId="6" fillId="5" borderId="32" xfId="0" applyNumberFormat="1" applyFont="1" applyFill="1" applyBorder="1" applyAlignment="1" applyProtection="1">
      <alignment horizontal="right"/>
      <protection locked="0"/>
    </xf>
    <xf numFmtId="1" fontId="6" fillId="3" borderId="439" xfId="0" applyNumberFormat="1" applyFont="1" applyFill="1" applyBorder="1" applyAlignment="1">
      <alignment horizontal="center" vertical="center" wrapText="1"/>
    </xf>
    <xf numFmtId="2" fontId="6" fillId="3" borderId="563" xfId="0" applyNumberFormat="1" applyFont="1" applyFill="1" applyBorder="1" applyAlignment="1">
      <alignment horizontal="center" vertical="center"/>
    </xf>
    <xf numFmtId="2" fontId="6" fillId="3" borderId="585" xfId="0" applyNumberFormat="1" applyFont="1" applyFill="1" applyBorder="1" applyAlignment="1">
      <alignment horizontal="center" vertical="center"/>
    </xf>
    <xf numFmtId="2" fontId="6" fillId="3" borderId="539" xfId="0" applyNumberFormat="1" applyFont="1" applyFill="1" applyBorder="1" applyAlignment="1">
      <alignment horizontal="center" vertical="center"/>
    </xf>
    <xf numFmtId="1" fontId="6" fillId="0" borderId="51" xfId="28" applyNumberFormat="1" applyFont="1" applyBorder="1"/>
    <xf numFmtId="1" fontId="6" fillId="5" borderId="452" xfId="28" applyNumberFormat="1" applyFont="1" applyFill="1" applyBorder="1" applyAlignment="1" applyProtection="1">
      <alignment horizontal="center"/>
      <protection locked="0"/>
    </xf>
    <xf numFmtId="1" fontId="6" fillId="5" borderId="424" xfId="28" applyNumberFormat="1" applyFont="1" applyFill="1" applyBorder="1" applyAlignment="1" applyProtection="1">
      <alignment horizontal="center"/>
      <protection locked="0"/>
    </xf>
    <xf numFmtId="1" fontId="6" fillId="0" borderId="23" xfId="28" applyNumberFormat="1" applyFont="1" applyBorder="1"/>
    <xf numFmtId="1" fontId="6" fillId="5" borderId="558" xfId="28" applyNumberFormat="1" applyFont="1" applyFill="1" applyBorder="1" applyAlignment="1" applyProtection="1">
      <alignment horizontal="center"/>
      <protection locked="0"/>
    </xf>
    <xf numFmtId="1" fontId="6" fillId="5" borderId="556" xfId="28" applyNumberFormat="1" applyFont="1" applyFill="1" applyBorder="1" applyAlignment="1" applyProtection="1">
      <alignment horizontal="center"/>
      <protection locked="0"/>
    </xf>
    <xf numFmtId="1" fontId="6" fillId="0" borderId="416" xfId="28" applyNumberFormat="1" applyFont="1" applyBorder="1" applyAlignment="1">
      <alignment horizontal="left"/>
    </xf>
    <xf numFmtId="1" fontId="6" fillId="0" borderId="515" xfId="28" applyNumberFormat="1" applyFont="1" applyBorder="1"/>
    <xf numFmtId="1" fontId="6" fillId="5" borderId="498" xfId="28" applyNumberFormat="1" applyFont="1" applyFill="1" applyBorder="1" applyAlignment="1" applyProtection="1">
      <alignment horizontal="center"/>
      <protection locked="0"/>
    </xf>
    <xf numFmtId="1" fontId="6" fillId="5" borderId="31" xfId="28" applyNumberFormat="1" applyFont="1" applyFill="1" applyBorder="1" applyAlignment="1" applyProtection="1">
      <alignment horizontal="center"/>
      <protection locked="0"/>
    </xf>
    <xf numFmtId="1" fontId="6" fillId="0" borderId="523" xfId="28" applyNumberFormat="1" applyFont="1" applyBorder="1"/>
    <xf numFmtId="1" fontId="6" fillId="5" borderId="537" xfId="28" applyNumberFormat="1" applyFont="1" applyFill="1" applyBorder="1" applyAlignment="1" applyProtection="1">
      <alignment horizontal="center"/>
      <protection locked="0"/>
    </xf>
    <xf numFmtId="1" fontId="6" fillId="5" borderId="432" xfId="28" applyNumberFormat="1" applyFont="1" applyFill="1" applyBorder="1" applyAlignment="1" applyProtection="1">
      <alignment horizontal="center"/>
      <protection locked="0"/>
    </xf>
    <xf numFmtId="1" fontId="4" fillId="0" borderId="469" xfId="28" applyNumberFormat="1" applyFont="1" applyBorder="1" applyProtection="1">
      <protection hidden="1"/>
    </xf>
    <xf numFmtId="1" fontId="9" fillId="3" borderId="469" xfId="0" applyNumberFormat="1" applyFont="1" applyFill="1" applyBorder="1"/>
    <xf numFmtId="1" fontId="6" fillId="0" borderId="416" xfId="28" applyNumberFormat="1" applyFont="1" applyBorder="1"/>
    <xf numFmtId="1" fontId="4" fillId="0" borderId="475" xfId="28" applyNumberFormat="1" applyFont="1" applyBorder="1" applyProtection="1">
      <protection hidden="1"/>
    </xf>
    <xf numFmtId="1" fontId="6" fillId="0" borderId="427" xfId="28" applyNumberFormat="1" applyFont="1" applyBorder="1"/>
    <xf numFmtId="1" fontId="4" fillId="0" borderId="608" xfId="28" applyNumberFormat="1" applyFont="1" applyBorder="1" applyProtection="1">
      <protection hidden="1"/>
    </xf>
    <xf numFmtId="1" fontId="6" fillId="0" borderId="608" xfId="28" applyNumberFormat="1" applyFont="1" applyBorder="1" applyProtection="1">
      <protection hidden="1"/>
    </xf>
    <xf numFmtId="1" fontId="9" fillId="0" borderId="470" xfId="0" applyNumberFormat="1" applyFont="1" applyBorder="1"/>
    <xf numFmtId="1" fontId="9" fillId="14" borderId="469" xfId="0" applyNumberFormat="1" applyFont="1" applyFill="1" applyBorder="1"/>
    <xf numFmtId="1" fontId="6" fillId="0" borderId="537" xfId="0" applyNumberFormat="1" applyFont="1" applyBorder="1"/>
    <xf numFmtId="1" fontId="6" fillId="0" borderId="613" xfId="0" applyNumberFormat="1" applyFont="1" applyBorder="1"/>
    <xf numFmtId="1" fontId="6" fillId="0" borderId="370" xfId="0" applyNumberFormat="1" applyFont="1" applyBorder="1" applyAlignment="1">
      <alignment horizontal="center" vertical="center" wrapText="1"/>
    </xf>
    <xf numFmtId="1" fontId="6" fillId="24" borderId="356" xfId="0" applyNumberFormat="1" applyFont="1" applyFill="1" applyBorder="1" applyProtection="1">
      <protection locked="0"/>
    </xf>
    <xf numFmtId="1" fontId="11" fillId="0" borderId="0" xfId="0" applyNumberFormat="1" applyFont="1" applyAlignment="1">
      <alignment vertical="center"/>
    </xf>
    <xf numFmtId="1" fontId="11" fillId="14" borderId="0" xfId="0" applyNumberFormat="1" applyFont="1" applyFill="1" applyAlignment="1">
      <alignment horizontal="left"/>
    </xf>
    <xf numFmtId="1" fontId="9" fillId="0" borderId="341" xfId="0" applyNumberFormat="1" applyFont="1" applyBorder="1"/>
    <xf numFmtId="1" fontId="6" fillId="14" borderId="416" xfId="0" applyNumberFormat="1" applyFont="1" applyFill="1" applyBorder="1" applyAlignment="1">
      <alignment vertical="center"/>
    </xf>
    <xf numFmtId="1" fontId="9" fillId="3" borderId="0" xfId="0" applyNumberFormat="1" applyFont="1" applyFill="1" applyAlignment="1">
      <alignment horizontal="center"/>
    </xf>
    <xf numFmtId="1" fontId="6" fillId="0" borderId="69" xfId="0" applyNumberFormat="1" applyFont="1" applyBorder="1" applyAlignment="1">
      <alignment horizontal="center" vertical="center" wrapText="1"/>
    </xf>
    <xf numFmtId="1" fontId="6" fillId="0" borderId="264" xfId="0" applyNumberFormat="1" applyFont="1" applyBorder="1" applyAlignment="1">
      <alignment horizontal="center" vertical="center" wrapText="1"/>
    </xf>
    <xf numFmtId="1" fontId="9" fillId="0" borderId="243" xfId="0" applyNumberFormat="1" applyFont="1" applyBorder="1"/>
    <xf numFmtId="1" fontId="9" fillId="3" borderId="35" xfId="0" applyNumberFormat="1" applyFont="1" applyFill="1" applyBorder="1"/>
    <xf numFmtId="1" fontId="6" fillId="0" borderId="269" xfId="0" applyNumberFormat="1" applyFont="1" applyBorder="1" applyAlignment="1">
      <alignment horizontal="right" vertical="center" wrapText="1"/>
    </xf>
    <xf numFmtId="1" fontId="6" fillId="5" borderId="268" xfId="0" applyNumberFormat="1" applyFont="1" applyFill="1" applyBorder="1" applyAlignment="1" applyProtection="1">
      <alignment horizontal="right"/>
      <protection locked="0"/>
    </xf>
    <xf numFmtId="1" fontId="6" fillId="0" borderId="236" xfId="0" applyNumberFormat="1" applyFont="1" applyBorder="1" applyAlignment="1">
      <alignment horizontal="right" vertical="center"/>
    </xf>
    <xf numFmtId="1" fontId="6" fillId="3" borderId="275" xfId="0" applyNumberFormat="1" applyFont="1" applyFill="1" applyBorder="1"/>
    <xf numFmtId="1" fontId="6" fillId="3" borderId="274" xfId="0" applyNumberFormat="1" applyFont="1" applyFill="1" applyBorder="1"/>
    <xf numFmtId="1" fontId="6" fillId="0" borderId="226" xfId="0" applyNumberFormat="1" applyFont="1" applyBorder="1" applyAlignment="1">
      <alignment horizontal="right"/>
    </xf>
    <xf numFmtId="1" fontId="6" fillId="3" borderId="295" xfId="0" applyNumberFormat="1" applyFont="1" applyFill="1" applyBorder="1"/>
    <xf numFmtId="1" fontId="6" fillId="0" borderId="269" xfId="0" applyNumberFormat="1" applyFont="1" applyBorder="1" applyAlignment="1">
      <alignment horizontal="right"/>
    </xf>
    <xf numFmtId="1" fontId="6" fillId="0" borderId="37" xfId="0" applyNumberFormat="1" applyFont="1" applyBorder="1" applyAlignment="1">
      <alignment horizontal="right"/>
    </xf>
    <xf numFmtId="1" fontId="6" fillId="5" borderId="79" xfId="0" applyNumberFormat="1" applyFont="1" applyFill="1" applyBorder="1" applyAlignment="1" applyProtection="1">
      <alignment horizontal="right"/>
      <protection locked="0"/>
    </xf>
    <xf numFmtId="1" fontId="6" fillId="5" borderId="30" xfId="0" applyNumberFormat="1" applyFont="1" applyFill="1" applyBorder="1" applyAlignment="1" applyProtection="1">
      <alignment horizontal="right"/>
      <protection locked="0"/>
    </xf>
    <xf numFmtId="1" fontId="6" fillId="5" borderId="302" xfId="0" applyNumberFormat="1" applyFont="1" applyFill="1" applyBorder="1" applyAlignment="1" applyProtection="1">
      <alignment horizontal="right"/>
      <protection locked="0"/>
    </xf>
    <xf numFmtId="1" fontId="6" fillId="0" borderId="236" xfId="0" applyNumberFormat="1" applyFont="1" applyBorder="1" applyAlignment="1">
      <alignment horizontal="right"/>
    </xf>
    <xf numFmtId="1" fontId="9" fillId="17" borderId="0" xfId="0" applyNumberFormat="1" applyFont="1" applyFill="1" applyAlignment="1">
      <alignment wrapText="1"/>
    </xf>
    <xf numFmtId="1" fontId="13" fillId="0" borderId="28" xfId="0" applyNumberFormat="1" applyFont="1" applyBorder="1" applyAlignment="1">
      <alignment horizontal="center" vertical="center"/>
    </xf>
    <xf numFmtId="1" fontId="6" fillId="0" borderId="48" xfId="0" applyNumberFormat="1" applyFont="1" applyBorder="1"/>
    <xf numFmtId="1" fontId="9" fillId="17" borderId="0" xfId="0" applyNumberFormat="1" applyFont="1" applyFill="1" applyAlignment="1" applyProtection="1">
      <alignment wrapText="1"/>
      <protection locked="0"/>
    </xf>
    <xf numFmtId="1" fontId="6" fillId="3" borderId="164" xfId="0" applyNumberFormat="1" applyFont="1" applyFill="1" applyBorder="1"/>
    <xf numFmtId="1" fontId="6" fillId="0" borderId="106" xfId="0" applyNumberFormat="1" applyFont="1" applyBorder="1" applyProtection="1">
      <protection hidden="1"/>
    </xf>
    <xf numFmtId="1" fontId="6" fillId="0" borderId="107" xfId="0" applyNumberFormat="1" applyFont="1" applyBorder="1" applyProtection="1">
      <protection hidden="1"/>
    </xf>
    <xf numFmtId="1" fontId="6" fillId="0" borderId="205" xfId="0" applyNumberFormat="1" applyFont="1" applyBorder="1" applyAlignment="1">
      <alignment horizontal="center"/>
    </xf>
    <xf numFmtId="1" fontId="6" fillId="0" borderId="175" xfId="0" applyNumberFormat="1" applyFont="1" applyBorder="1" applyAlignment="1" applyProtection="1">
      <alignment horizontal="center" vertical="center"/>
      <protection hidden="1"/>
    </xf>
    <xf numFmtId="1" fontId="6" fillId="0" borderId="202" xfId="0" applyNumberFormat="1" applyFont="1" applyBorder="1" applyAlignment="1">
      <alignment horizontal="right"/>
    </xf>
    <xf numFmtId="1" fontId="6" fillId="0" borderId="213" xfId="0" applyNumberFormat="1" applyFont="1" applyBorder="1" applyAlignment="1">
      <alignment horizontal="right"/>
    </xf>
    <xf numFmtId="1" fontId="6" fillId="0" borderId="192" xfId="0" applyNumberFormat="1" applyFont="1" applyBorder="1" applyAlignment="1">
      <alignment horizontal="right"/>
    </xf>
    <xf numFmtId="1" fontId="6" fillId="5" borderId="27" xfId="0" applyNumberFormat="1" applyFont="1" applyFill="1" applyBorder="1" applyAlignment="1" applyProtection="1">
      <alignment horizontal="right"/>
      <protection locked="0"/>
    </xf>
    <xf numFmtId="1" fontId="6" fillId="5" borderId="74" xfId="0" applyNumberFormat="1" applyFont="1" applyFill="1" applyBorder="1" applyAlignment="1" applyProtection="1">
      <alignment horizontal="right"/>
      <protection locked="0"/>
    </xf>
    <xf numFmtId="1" fontId="6" fillId="5" borderId="28" xfId="0" applyNumberFormat="1" applyFont="1" applyFill="1" applyBorder="1" applyAlignment="1" applyProtection="1">
      <alignment horizontal="right"/>
      <protection locked="0"/>
    </xf>
    <xf numFmtId="1" fontId="6" fillId="5" borderId="98" xfId="0" applyNumberFormat="1" applyFont="1" applyFill="1" applyBorder="1" applyAlignment="1" applyProtection="1">
      <alignment horizontal="right"/>
      <protection locked="0"/>
    </xf>
    <xf numFmtId="1" fontId="6" fillId="5" borderId="97" xfId="0" applyNumberFormat="1" applyFont="1" applyFill="1" applyBorder="1" applyAlignment="1" applyProtection="1">
      <alignment horizontal="right"/>
      <protection locked="0"/>
    </xf>
    <xf numFmtId="1" fontId="6" fillId="0" borderId="205" xfId="0" applyNumberFormat="1" applyFont="1" applyBorder="1" applyAlignment="1" applyProtection="1">
      <alignment horizontal="center" vertical="center"/>
      <protection hidden="1"/>
    </xf>
    <xf numFmtId="1" fontId="6" fillId="5" borderId="202" xfId="0" applyNumberFormat="1" applyFont="1" applyFill="1" applyBorder="1" applyAlignment="1" applyProtection="1">
      <alignment horizontal="right"/>
      <protection locked="0"/>
    </xf>
    <xf numFmtId="1" fontId="6" fillId="5" borderId="160" xfId="0" applyNumberFormat="1" applyFont="1" applyFill="1" applyBorder="1" applyAlignment="1" applyProtection="1">
      <alignment horizontal="right"/>
      <protection locked="0"/>
    </xf>
    <xf numFmtId="1" fontId="6" fillId="5" borderId="203" xfId="0" applyNumberFormat="1" applyFont="1" applyFill="1" applyBorder="1" applyAlignment="1" applyProtection="1">
      <alignment horizontal="right"/>
      <protection locked="0"/>
    </xf>
    <xf numFmtId="1" fontId="6" fillId="5" borderId="214" xfId="0" applyNumberFormat="1" applyFont="1" applyFill="1" applyBorder="1" applyAlignment="1" applyProtection="1">
      <alignment horizontal="right"/>
      <protection locked="0"/>
    </xf>
    <xf numFmtId="1" fontId="6" fillId="0" borderId="216" xfId="0" applyNumberFormat="1" applyFont="1" applyBorder="1" applyAlignment="1">
      <alignment horizontal="left" vertical="center"/>
    </xf>
    <xf numFmtId="1" fontId="6" fillId="5" borderId="216" xfId="0" applyNumberFormat="1" applyFont="1" applyFill="1" applyBorder="1" applyProtection="1">
      <protection locked="0"/>
    </xf>
    <xf numFmtId="1" fontId="6" fillId="0" borderId="9" xfId="0" applyNumberFormat="1" applyFont="1" applyBorder="1" applyAlignment="1">
      <alignment horizontal="left" vertical="center"/>
    </xf>
    <xf numFmtId="1" fontId="6" fillId="5" borderId="174" xfId="0" applyNumberFormat="1" applyFont="1" applyFill="1" applyBorder="1" applyProtection="1">
      <protection locked="0"/>
    </xf>
    <xf numFmtId="1" fontId="21" fillId="3" borderId="191" xfId="0" applyNumberFormat="1" applyFont="1" applyFill="1" applyBorder="1" applyAlignment="1">
      <alignment vertical="center" wrapText="1"/>
    </xf>
    <xf numFmtId="1" fontId="21" fillId="3" borderId="0" xfId="0" applyNumberFormat="1" applyFont="1" applyFill="1" applyAlignment="1">
      <alignment vertical="center" wrapText="1"/>
    </xf>
    <xf numFmtId="1" fontId="9" fillId="0" borderId="138" xfId="0" applyNumberFormat="1" applyFont="1" applyBorder="1"/>
    <xf numFmtId="1" fontId="9" fillId="0" borderId="106" xfId="0" applyNumberFormat="1" applyFont="1" applyBorder="1"/>
    <xf numFmtId="1" fontId="9" fillId="0" borderId="107" xfId="0" applyNumberFormat="1" applyFont="1" applyBorder="1"/>
    <xf numFmtId="1" fontId="6" fillId="6" borderId="155" xfId="14" applyNumberFormat="1" applyFont="1" applyBorder="1" applyProtection="1">
      <protection locked="0"/>
    </xf>
    <xf numFmtId="1" fontId="38" fillId="14" borderId="0" xfId="0" applyNumberFormat="1" applyFont="1" applyFill="1" applyProtection="1">
      <protection locked="0"/>
    </xf>
    <xf numFmtId="1" fontId="38" fillId="0" borderId="0" xfId="0" applyNumberFormat="1" applyFont="1"/>
    <xf numFmtId="1" fontId="38" fillId="0" borderId="433" xfId="0" applyNumberFormat="1" applyFont="1" applyBorder="1"/>
    <xf numFmtId="1" fontId="38" fillId="14" borderId="433" xfId="0" applyNumberFormat="1" applyFont="1" applyFill="1" applyBorder="1"/>
    <xf numFmtId="0" fontId="38" fillId="14" borderId="0" xfId="0" applyFont="1" applyFill="1" applyAlignment="1">
      <alignment vertical="top" wrapText="1"/>
    </xf>
    <xf numFmtId="0" fontId="38" fillId="14" borderId="0" xfId="0" applyFont="1" applyFill="1" applyAlignment="1" applyProtection="1">
      <alignment vertical="top"/>
      <protection locked="0"/>
    </xf>
    <xf numFmtId="1" fontId="6" fillId="0" borderId="427" xfId="0" applyNumberFormat="1" applyFont="1" applyBorder="1" applyAlignment="1">
      <alignment horizontal="left" vertical="center" wrapText="1"/>
    </xf>
    <xf numFmtId="1" fontId="6" fillId="14" borderId="427" xfId="0" applyNumberFormat="1" applyFont="1" applyFill="1" applyBorder="1" applyAlignment="1">
      <alignment horizontal="left" vertical="center" wrapText="1"/>
    </xf>
    <xf numFmtId="1" fontId="6" fillId="0" borderId="420" xfId="0" applyNumberFormat="1" applyFont="1" applyBorder="1" applyAlignment="1">
      <alignment horizontal="left" vertical="center" wrapText="1"/>
    </xf>
    <xf numFmtId="1" fontId="38" fillId="14" borderId="411" xfId="0" applyNumberFormat="1" applyFont="1" applyFill="1" applyBorder="1"/>
    <xf numFmtId="1" fontId="39" fillId="0" borderId="0" xfId="0" applyNumberFormat="1" applyFont="1"/>
    <xf numFmtId="1" fontId="39" fillId="14" borderId="0" xfId="0" applyNumberFormat="1" applyFont="1" applyFill="1"/>
    <xf numFmtId="1" fontId="39" fillId="17" borderId="0" xfId="0" applyNumberFormat="1" applyFont="1" applyFill="1" applyProtection="1">
      <protection locked="0"/>
    </xf>
    <xf numFmtId="1" fontId="39" fillId="3" borderId="0" xfId="0" applyNumberFormat="1" applyFont="1" applyFill="1"/>
    <xf numFmtId="1" fontId="38" fillId="0" borderId="0" xfId="0" applyNumberFormat="1" applyFont="1" applyProtection="1">
      <protection locked="0"/>
    </xf>
    <xf numFmtId="1" fontId="38" fillId="3" borderId="400" xfId="0" applyNumberFormat="1" applyFont="1" applyFill="1" applyBorder="1"/>
    <xf numFmtId="1" fontId="43" fillId="0" borderId="0" xfId="0" applyNumberFormat="1" applyFont="1"/>
    <xf numFmtId="1" fontId="6" fillId="0" borderId="230" xfId="23" applyNumberFormat="1" applyFont="1" applyBorder="1" applyAlignment="1">
      <alignment horizontal="center" vertical="center" wrapText="1"/>
    </xf>
    <xf numFmtId="1" fontId="6" fillId="5" borderId="230" xfId="23" applyNumberFormat="1" applyFont="1" applyFill="1" applyBorder="1" applyProtection="1">
      <protection locked="0"/>
    </xf>
    <xf numFmtId="1" fontId="6" fillId="5" borderId="227" xfId="23" applyNumberFormat="1" applyFont="1" applyFill="1" applyBorder="1" applyProtection="1">
      <protection locked="0"/>
    </xf>
    <xf numFmtId="1" fontId="6" fillId="5" borderId="282" xfId="23" applyNumberFormat="1" applyFont="1" applyFill="1" applyBorder="1" applyProtection="1">
      <protection locked="0"/>
    </xf>
    <xf numFmtId="1" fontId="38" fillId="25" borderId="0" xfId="0" applyNumberFormat="1" applyFont="1" applyFill="1"/>
    <xf numFmtId="2" fontId="9" fillId="14" borderId="0" xfId="0" applyNumberFormat="1" applyFont="1" applyFill="1"/>
    <xf numFmtId="1" fontId="9" fillId="0" borderId="245" xfId="0" applyNumberFormat="1" applyFont="1" applyBorder="1"/>
    <xf numFmtId="1" fontId="9" fillId="14" borderId="245" xfId="0" applyNumberFormat="1" applyFont="1" applyFill="1" applyBorder="1"/>
    <xf numFmtId="1" fontId="6" fillId="0" borderId="618" xfId="0" applyNumberFormat="1" applyFont="1" applyBorder="1"/>
    <xf numFmtId="1" fontId="6" fillId="12" borderId="257" xfId="0" applyNumberFormat="1" applyFont="1" applyFill="1" applyBorder="1" applyAlignment="1">
      <alignment horizontal="right" wrapText="1"/>
    </xf>
    <xf numFmtId="1" fontId="6" fillId="12" borderId="9" xfId="0" applyNumberFormat="1" applyFont="1" applyFill="1" applyBorder="1" applyAlignment="1">
      <alignment horizontal="right" wrapText="1"/>
    </xf>
    <xf numFmtId="1" fontId="6" fillId="12" borderId="37" xfId="0" applyNumberFormat="1" applyFont="1" applyFill="1" applyBorder="1" applyAlignment="1">
      <alignment horizontal="right" wrapText="1"/>
    </xf>
    <xf numFmtId="1" fontId="6" fillId="12" borderId="236" xfId="0" applyNumberFormat="1" applyFont="1" applyFill="1" applyBorder="1" applyAlignment="1">
      <alignment horizontal="right" wrapText="1"/>
    </xf>
    <xf numFmtId="1" fontId="6" fillId="12" borderId="282" xfId="0" applyNumberFormat="1" applyFont="1" applyFill="1" applyBorder="1" applyAlignment="1">
      <alignment horizontal="right"/>
    </xf>
    <xf numFmtId="1" fontId="6" fillId="12" borderId="525" xfId="0" applyNumberFormat="1" applyFont="1" applyFill="1" applyBorder="1"/>
    <xf numFmtId="1" fontId="6" fillId="12" borderId="31" xfId="0" applyNumberFormat="1" applyFont="1" applyFill="1" applyBorder="1"/>
    <xf numFmtId="1" fontId="6" fillId="4" borderId="557" xfId="0" applyNumberFormat="1" applyFont="1" applyFill="1" applyBorder="1"/>
    <xf numFmtId="1" fontId="6" fillId="12" borderId="328" xfId="0" applyNumberFormat="1" applyFont="1" applyFill="1" applyBorder="1"/>
    <xf numFmtId="1" fontId="6" fillId="12" borderId="45" xfId="0" applyNumberFormat="1" applyFont="1" applyFill="1" applyBorder="1"/>
    <xf numFmtId="1" fontId="6" fillId="4" borderId="588" xfId="0" applyNumberFormat="1" applyFont="1" applyFill="1" applyBorder="1"/>
    <xf numFmtId="1" fontId="6" fillId="4" borderId="616" xfId="0" applyNumberFormat="1" applyFont="1" applyFill="1" applyBorder="1"/>
    <xf numFmtId="1" fontId="6" fillId="5" borderId="617" xfId="0" applyNumberFormat="1" applyFont="1" applyFill="1" applyBorder="1" applyProtection="1">
      <protection locked="0"/>
    </xf>
    <xf numFmtId="1" fontId="6" fillId="3" borderId="630" xfId="0" applyNumberFormat="1" applyFont="1" applyFill="1" applyBorder="1" applyAlignment="1">
      <alignment horizontal="center" vertical="center" wrapText="1"/>
    </xf>
    <xf numFmtId="2" fontId="6" fillId="3" borderId="275" xfId="0" applyNumberFormat="1" applyFont="1" applyFill="1" applyBorder="1" applyAlignment="1">
      <alignment horizontal="center" vertical="center"/>
    </xf>
    <xf numFmtId="2" fontId="6" fillId="3" borderId="284" xfId="0" applyNumberFormat="1" applyFont="1" applyFill="1" applyBorder="1" applyAlignment="1">
      <alignment horizontal="center" vertical="center"/>
    </xf>
    <xf numFmtId="2" fontId="6" fillId="3" borderId="630" xfId="0" applyNumberFormat="1" applyFont="1" applyFill="1" applyBorder="1" applyAlignment="1">
      <alignment horizontal="center" vertical="center"/>
    </xf>
    <xf numFmtId="1" fontId="6" fillId="0" borderId="584" xfId="17" applyNumberFormat="1" applyFont="1" applyBorder="1" applyAlignment="1">
      <alignment vertical="center" wrapText="1"/>
    </xf>
    <xf numFmtId="1" fontId="6" fillId="12" borderId="585" xfId="1" applyNumberFormat="1" applyFont="1" applyFill="1" applyBorder="1" applyProtection="1"/>
    <xf numFmtId="1" fontId="6" fillId="12" borderId="588" xfId="1" applyNumberFormat="1" applyFont="1" applyFill="1" applyBorder="1" applyProtection="1"/>
    <xf numFmtId="1" fontId="6" fillId="5" borderId="644" xfId="0" applyNumberFormat="1" applyFont="1" applyFill="1" applyBorder="1" applyProtection="1">
      <protection locked="0"/>
    </xf>
    <xf numFmtId="1" fontId="6" fillId="5" borderId="646" xfId="0" applyNumberFormat="1" applyFont="1" applyFill="1" applyBorder="1" applyProtection="1">
      <protection locked="0"/>
    </xf>
    <xf numFmtId="1" fontId="6" fillId="5" borderId="652" xfId="0" applyNumberFormat="1" applyFont="1" applyFill="1" applyBorder="1" applyProtection="1">
      <protection locked="0"/>
    </xf>
    <xf numFmtId="1" fontId="6" fillId="5" borderId="643" xfId="0" applyNumberFormat="1" applyFont="1" applyFill="1" applyBorder="1" applyProtection="1">
      <protection locked="0"/>
    </xf>
    <xf numFmtId="1" fontId="6" fillId="0" borderId="638" xfId="4" applyNumberFormat="1" applyFont="1" applyBorder="1" applyAlignment="1">
      <alignment horizontal="center" vertical="center" wrapText="1"/>
    </xf>
    <xf numFmtId="1" fontId="6" fillId="0" borderId="656" xfId="4" applyNumberFormat="1" applyFont="1" applyBorder="1" applyAlignment="1">
      <alignment horizontal="center" vertical="center" wrapText="1"/>
    </xf>
    <xf numFmtId="1" fontId="6" fillId="0" borderId="651" xfId="17" applyNumberFormat="1" applyFont="1" applyBorder="1" applyAlignment="1">
      <alignment vertical="center" wrapText="1"/>
    </xf>
    <xf numFmtId="1" fontId="6" fillId="5" borderId="644" xfId="1" applyNumberFormat="1" applyFont="1" applyFill="1" applyBorder="1" applyProtection="1">
      <protection locked="0"/>
    </xf>
    <xf numFmtId="1" fontId="6" fillId="5" borderId="652" xfId="1" applyNumberFormat="1" applyFont="1" applyFill="1" applyBorder="1" applyProtection="1">
      <protection locked="0"/>
    </xf>
    <xf numFmtId="1" fontId="6" fillId="12" borderId="614" xfId="1" applyNumberFormat="1" applyFont="1" applyFill="1" applyBorder="1" applyProtection="1"/>
    <xf numFmtId="1" fontId="6" fillId="12" borderId="616" xfId="1" applyNumberFormat="1" applyFont="1" applyFill="1" applyBorder="1" applyProtection="1"/>
    <xf numFmtId="1" fontId="6" fillId="0" borderId="635" xfId="17" applyNumberFormat="1" applyFont="1" applyBorder="1" applyAlignment="1">
      <alignment horizontal="center" vertical="center" wrapText="1"/>
    </xf>
    <xf numFmtId="1" fontId="6" fillId="0" borderId="638" xfId="1" applyNumberFormat="1" applyFont="1" applyBorder="1" applyAlignment="1">
      <alignment horizontal="right"/>
    </xf>
    <xf numFmtId="1" fontId="6" fillId="0" borderId="656" xfId="1" applyNumberFormat="1" applyFont="1" applyBorder="1" applyAlignment="1">
      <alignment horizontal="right"/>
    </xf>
    <xf numFmtId="1" fontId="6" fillId="14" borderId="95" xfId="0" applyNumberFormat="1" applyFont="1" applyFill="1" applyBorder="1" applyAlignment="1">
      <alignment wrapText="1"/>
    </xf>
    <xf numFmtId="1" fontId="6" fillId="14" borderId="648" xfId="0" applyNumberFormat="1" applyFont="1" applyFill="1" applyBorder="1" applyAlignment="1">
      <alignment wrapText="1"/>
    </xf>
    <xf numFmtId="1" fontId="6" fillId="0" borderId="648" xfId="0" applyNumberFormat="1" applyFont="1" applyBorder="1" applyAlignment="1">
      <alignment wrapText="1"/>
    </xf>
    <xf numFmtId="1" fontId="6" fillId="5" borderId="583" xfId="0" applyNumberFormat="1" applyFont="1" applyFill="1" applyBorder="1" applyProtection="1">
      <protection locked="0"/>
    </xf>
    <xf numFmtId="1" fontId="6" fillId="12" borderId="645" xfId="0" applyNumberFormat="1" applyFont="1" applyFill="1" applyBorder="1"/>
    <xf numFmtId="1" fontId="6" fillId="0" borderId="659" xfId="28" applyNumberFormat="1" applyFont="1" applyBorder="1" applyProtection="1">
      <protection hidden="1"/>
    </xf>
    <xf numFmtId="1" fontId="6" fillId="0" borderId="660" xfId="28" applyNumberFormat="1" applyFont="1" applyBorder="1" applyProtection="1">
      <protection hidden="1"/>
    </xf>
    <xf numFmtId="1" fontId="6" fillId="5" borderId="662" xfId="0" applyNumberFormat="1" applyFont="1" applyFill="1" applyBorder="1" applyProtection="1">
      <protection locked="0"/>
    </xf>
    <xf numFmtId="1" fontId="6" fillId="0" borderId="664" xfId="28" applyNumberFormat="1" applyFont="1" applyBorder="1" applyProtection="1">
      <protection hidden="1"/>
    </xf>
    <xf numFmtId="1" fontId="6" fillId="0" borderId="665" xfId="28" applyNumberFormat="1" applyFont="1" applyBorder="1" applyProtection="1">
      <protection hidden="1"/>
    </xf>
    <xf numFmtId="1" fontId="6" fillId="5" borderId="666" xfId="0" applyNumberFormat="1" applyFont="1" applyFill="1" applyBorder="1" applyProtection="1">
      <protection locked="0"/>
    </xf>
    <xf numFmtId="1" fontId="6" fillId="0" borderId="667" xfId="28" applyNumberFormat="1" applyFont="1" applyBorder="1" applyProtection="1">
      <protection hidden="1"/>
    </xf>
    <xf numFmtId="1" fontId="6" fillId="4" borderId="671" xfId="0" applyNumberFormat="1" applyFont="1" applyFill="1" applyBorder="1"/>
    <xf numFmtId="1" fontId="6" fillId="14" borderId="672" xfId="0" applyNumberFormat="1" applyFont="1" applyFill="1" applyBorder="1" applyAlignment="1">
      <alignment wrapText="1"/>
    </xf>
    <xf numFmtId="1" fontId="6" fillId="5" borderId="675" xfId="0" applyNumberFormat="1" applyFont="1" applyFill="1" applyBorder="1" applyProtection="1">
      <protection locked="0"/>
    </xf>
    <xf numFmtId="1" fontId="6" fillId="5" borderId="676" xfId="0" applyNumberFormat="1" applyFont="1" applyFill="1" applyBorder="1" applyProtection="1">
      <protection locked="0"/>
    </xf>
    <xf numFmtId="1" fontId="6" fillId="0" borderId="674" xfId="0" applyNumberFormat="1" applyFont="1" applyBorder="1" applyAlignment="1">
      <alignment horizontal="right" wrapText="1"/>
    </xf>
    <xf numFmtId="1" fontId="6" fillId="5" borderId="678" xfId="0" applyNumberFormat="1" applyFont="1" applyFill="1" applyBorder="1" applyProtection="1">
      <protection locked="0"/>
    </xf>
    <xf numFmtId="1" fontId="6" fillId="5" borderId="671" xfId="0" applyNumberFormat="1" applyFont="1" applyFill="1" applyBorder="1" applyProtection="1">
      <protection locked="0"/>
    </xf>
    <xf numFmtId="1" fontId="6" fillId="5" borderId="679" xfId="0" applyNumberFormat="1" applyFont="1" applyFill="1" applyBorder="1" applyProtection="1">
      <protection locked="0"/>
    </xf>
    <xf numFmtId="1" fontId="6" fillId="5" borderId="680" xfId="0" applyNumberFormat="1" applyFont="1" applyFill="1" applyBorder="1" applyProtection="1">
      <protection locked="0"/>
    </xf>
    <xf numFmtId="1" fontId="6" fillId="5" borderId="681" xfId="0" applyNumberFormat="1" applyFont="1" applyFill="1" applyBorder="1" applyProtection="1">
      <protection locked="0"/>
    </xf>
    <xf numFmtId="1" fontId="6" fillId="5" borderId="668" xfId="0" applyNumberFormat="1" applyFont="1" applyFill="1" applyBorder="1" applyProtection="1">
      <protection locked="0"/>
    </xf>
    <xf numFmtId="1" fontId="6" fillId="4" borderId="615" xfId="0" applyNumberFormat="1" applyFont="1" applyFill="1" applyBorder="1" applyAlignment="1">
      <alignment horizontal="right"/>
    </xf>
    <xf numFmtId="1" fontId="6" fillId="0" borderId="643" xfId="0" applyNumberFormat="1" applyFont="1" applyBorder="1"/>
    <xf numFmtId="1" fontId="6" fillId="0" borderId="684" xfId="0" applyNumberFormat="1" applyFont="1" applyBorder="1" applyAlignment="1">
      <alignment wrapText="1"/>
    </xf>
    <xf numFmtId="1" fontId="6" fillId="0" borderId="685" xfId="0" applyNumberFormat="1" applyFont="1" applyBorder="1"/>
    <xf numFmtId="1" fontId="6" fillId="0" borderId="652" xfId="0" applyNumberFormat="1" applyFont="1" applyBorder="1" applyAlignment="1">
      <alignment horizontal="right"/>
    </xf>
    <xf numFmtId="1" fontId="6" fillId="0" borderId="504" xfId="0" applyNumberFormat="1" applyFont="1" applyBorder="1" applyAlignment="1">
      <alignment horizontal="right"/>
    </xf>
    <xf numFmtId="1" fontId="6" fillId="5" borderId="674" xfId="0" applyNumberFormat="1" applyFont="1" applyFill="1" applyBorder="1" applyProtection="1">
      <protection locked="0"/>
    </xf>
    <xf numFmtId="1" fontId="6" fillId="5" borderId="673" xfId="0" applyNumberFormat="1" applyFont="1" applyFill="1" applyBorder="1" applyProtection="1">
      <protection locked="0"/>
    </xf>
    <xf numFmtId="1" fontId="6" fillId="5" borderId="699" xfId="0" applyNumberFormat="1" applyFont="1" applyFill="1" applyBorder="1" applyProtection="1">
      <protection locked="0"/>
    </xf>
    <xf numFmtId="1" fontId="6" fillId="0" borderId="643" xfId="0" applyNumberFormat="1" applyFont="1" applyBorder="1" applyAlignment="1">
      <alignment horizontal="center" vertical="center" wrapText="1"/>
    </xf>
    <xf numFmtId="1" fontId="6" fillId="0" borderId="684" xfId="0" applyNumberFormat="1" applyFont="1" applyBorder="1" applyAlignment="1">
      <alignment horizontal="center" vertical="center" wrapText="1"/>
    </xf>
    <xf numFmtId="1" fontId="6" fillId="0" borderId="643" xfId="0" applyNumberFormat="1" applyFont="1" applyBorder="1" applyAlignment="1">
      <alignment horizontal="center"/>
    </xf>
    <xf numFmtId="1" fontId="6" fillId="0" borderId="684" xfId="0" applyNumberFormat="1" applyFont="1" applyBorder="1" applyAlignment="1">
      <alignment horizontal="center"/>
    </xf>
    <xf numFmtId="1" fontId="6" fillId="0" borderId="685" xfId="0" applyNumberFormat="1" applyFont="1" applyBorder="1" applyAlignment="1">
      <alignment horizontal="center"/>
    </xf>
    <xf numFmtId="1" fontId="6" fillId="5" borderId="683" xfId="0" applyNumberFormat="1" applyFont="1" applyFill="1" applyBorder="1" applyProtection="1">
      <protection locked="0"/>
    </xf>
    <xf numFmtId="1" fontId="6" fillId="5" borderId="700" xfId="0" applyNumberFormat="1" applyFont="1" applyFill="1" applyBorder="1" applyProtection="1">
      <protection locked="0"/>
    </xf>
    <xf numFmtId="1" fontId="6" fillId="5" borderId="701" xfId="0" applyNumberFormat="1" applyFont="1" applyFill="1" applyBorder="1" applyProtection="1">
      <protection locked="0"/>
    </xf>
    <xf numFmtId="1" fontId="6" fillId="5" borderId="562" xfId="0" applyNumberFormat="1" applyFont="1" applyFill="1" applyBorder="1" applyProtection="1">
      <protection locked="0"/>
    </xf>
    <xf numFmtId="1" fontId="6" fillId="5" borderId="529" xfId="0" applyNumberFormat="1" applyFont="1" applyFill="1" applyBorder="1" applyProtection="1">
      <protection locked="0"/>
    </xf>
    <xf numFmtId="1" fontId="6" fillId="0" borderId="585" xfId="0" applyNumberFormat="1" applyFont="1" applyBorder="1" applyAlignment="1">
      <alignment horizontal="right" wrapText="1"/>
    </xf>
    <xf numFmtId="1" fontId="6" fillId="0" borderId="668" xfId="0" applyNumberFormat="1" applyFont="1" applyBorder="1" applyAlignment="1">
      <alignment horizontal="right" wrapText="1"/>
    </xf>
    <xf numFmtId="1" fontId="6" fillId="0" borderId="683" xfId="0" applyNumberFormat="1" applyFont="1" applyBorder="1" applyAlignment="1">
      <alignment horizontal="right"/>
    </xf>
    <xf numFmtId="1" fontId="6" fillId="5" borderId="705" xfId="0" applyNumberFormat="1" applyFont="1" applyFill="1" applyBorder="1" applyProtection="1">
      <protection locked="0"/>
    </xf>
    <xf numFmtId="1" fontId="6" fillId="5" borderId="703" xfId="0" applyNumberFormat="1" applyFont="1" applyFill="1" applyBorder="1" applyProtection="1">
      <protection locked="0"/>
    </xf>
    <xf numFmtId="1" fontId="6" fillId="5" borderId="685" xfId="0" applyNumberFormat="1" applyFont="1" applyFill="1" applyBorder="1" applyProtection="1">
      <protection locked="0"/>
    </xf>
    <xf numFmtId="1" fontId="6" fillId="0" borderId="702" xfId="0" applyNumberFormat="1" applyFont="1" applyBorder="1"/>
    <xf numFmtId="1" fontId="6" fillId="5" borderId="702" xfId="0" applyNumberFormat="1" applyFont="1" applyFill="1" applyBorder="1" applyProtection="1">
      <protection locked="0"/>
    </xf>
    <xf numFmtId="1" fontId="6" fillId="5" borderId="684" xfId="0" applyNumberFormat="1" applyFont="1" applyFill="1" applyBorder="1" applyProtection="1">
      <protection locked="0"/>
    </xf>
    <xf numFmtId="1" fontId="6" fillId="0" borderId="675" xfId="0" applyNumberFormat="1" applyFont="1" applyBorder="1"/>
    <xf numFmtId="1" fontId="6" fillId="5" borderId="514" xfId="0" applyNumberFormat="1" applyFont="1" applyFill="1" applyBorder="1" applyProtection="1">
      <protection locked="0"/>
    </xf>
    <xf numFmtId="1" fontId="6" fillId="0" borderId="684" xfId="28" applyNumberFormat="1" applyFont="1" applyBorder="1" applyAlignment="1">
      <alignment wrapText="1"/>
    </xf>
    <xf numFmtId="1" fontId="6" fillId="5" borderId="670" xfId="0" applyNumberFormat="1" applyFont="1" applyFill="1" applyBorder="1" applyProtection="1">
      <protection locked="0"/>
    </xf>
    <xf numFmtId="1" fontId="6" fillId="5" borderId="708" xfId="0" applyNumberFormat="1" applyFont="1" applyFill="1" applyBorder="1" applyProtection="1">
      <protection locked="0"/>
    </xf>
    <xf numFmtId="1" fontId="6" fillId="5" borderId="669" xfId="0" applyNumberFormat="1" applyFont="1" applyFill="1" applyBorder="1" applyProtection="1">
      <protection locked="0"/>
    </xf>
    <xf numFmtId="1" fontId="6" fillId="5" borderId="677" xfId="0" applyNumberFormat="1" applyFont="1" applyFill="1" applyBorder="1" applyProtection="1">
      <protection locked="0"/>
    </xf>
    <xf numFmtId="1" fontId="6" fillId="5" borderId="717" xfId="0" applyNumberFormat="1" applyFont="1" applyFill="1" applyBorder="1" applyProtection="1">
      <protection locked="0"/>
    </xf>
    <xf numFmtId="1" fontId="6" fillId="5" borderId="718" xfId="0" applyNumberFormat="1" applyFont="1" applyFill="1" applyBorder="1" applyProtection="1">
      <protection locked="0"/>
    </xf>
    <xf numFmtId="1" fontId="6" fillId="5" borderId="723" xfId="0" applyNumberFormat="1" applyFont="1" applyFill="1" applyBorder="1" applyProtection="1">
      <protection locked="0"/>
    </xf>
    <xf numFmtId="1" fontId="6" fillId="5" borderId="722" xfId="0" applyNumberFormat="1" applyFont="1" applyFill="1" applyBorder="1" applyProtection="1">
      <protection locked="0"/>
    </xf>
    <xf numFmtId="1" fontId="6" fillId="5" borderId="721" xfId="0" applyNumberFormat="1" applyFont="1" applyFill="1" applyBorder="1" applyProtection="1">
      <protection locked="0"/>
    </xf>
    <xf numFmtId="1" fontId="6" fillId="5" borderId="728" xfId="0" applyNumberFormat="1" applyFont="1" applyFill="1" applyBorder="1" applyProtection="1">
      <protection locked="0"/>
    </xf>
    <xf numFmtId="1" fontId="6" fillId="0" borderId="670" xfId="0" applyNumberFormat="1" applyFont="1" applyBorder="1" applyAlignment="1">
      <alignment horizontal="right" wrapText="1"/>
    </xf>
    <xf numFmtId="1" fontId="6" fillId="4" borderId="401" xfId="0" applyNumberFormat="1" applyFont="1" applyFill="1" applyBorder="1"/>
    <xf numFmtId="1" fontId="6" fillId="4" borderId="510" xfId="0" applyNumberFormat="1" applyFont="1" applyFill="1" applyBorder="1"/>
    <xf numFmtId="1" fontId="6" fillId="3" borderId="727" xfId="0" applyNumberFormat="1" applyFont="1" applyFill="1" applyBorder="1"/>
    <xf numFmtId="1" fontId="6" fillId="4" borderId="721" xfId="0" applyNumberFormat="1" applyFont="1" applyFill="1" applyBorder="1"/>
    <xf numFmtId="1" fontId="6" fillId="3" borderId="705" xfId="0" applyNumberFormat="1" applyFont="1" applyFill="1" applyBorder="1"/>
    <xf numFmtId="1" fontId="6" fillId="3" borderId="736" xfId="0" applyNumberFormat="1" applyFont="1" applyFill="1" applyBorder="1"/>
    <xf numFmtId="1" fontId="6" fillId="4" borderId="737" xfId="0" applyNumberFormat="1" applyFont="1" applyFill="1" applyBorder="1"/>
    <xf numFmtId="1" fontId="6" fillId="5" borderId="738" xfId="0" applyNumberFormat="1" applyFont="1" applyFill="1" applyBorder="1" applyProtection="1">
      <protection locked="0"/>
    </xf>
    <xf numFmtId="1" fontId="6" fillId="4" borderId="675" xfId="0" applyNumberFormat="1" applyFont="1" applyFill="1" applyBorder="1"/>
    <xf numFmtId="1" fontId="6" fillId="4" borderId="728" xfId="0" applyNumberFormat="1" applyFont="1" applyFill="1" applyBorder="1"/>
    <xf numFmtId="1" fontId="6" fillId="4" borderId="722" xfId="0" applyNumberFormat="1" applyFont="1" applyFill="1" applyBorder="1"/>
    <xf numFmtId="1" fontId="6" fillId="4" borderId="658" xfId="0" applyNumberFormat="1" applyFont="1" applyFill="1" applyBorder="1"/>
    <xf numFmtId="1" fontId="6" fillId="0" borderId="735" xfId="0" applyNumberFormat="1" applyFont="1" applyBorder="1" applyAlignment="1">
      <alignment horizontal="center" vertical="center" wrapText="1"/>
    </xf>
    <xf numFmtId="1" fontId="6" fillId="4" borderId="645" xfId="0" applyNumberFormat="1" applyFont="1" applyFill="1" applyBorder="1"/>
    <xf numFmtId="1" fontId="6" fillId="4" borderId="708" xfId="0" applyNumberFormat="1" applyFont="1" applyFill="1" applyBorder="1"/>
    <xf numFmtId="1" fontId="6" fillId="4" borderId="677" xfId="0" applyNumberFormat="1" applyFont="1" applyFill="1" applyBorder="1"/>
    <xf numFmtId="1" fontId="6" fillId="0" borderId="739" xfId="23" applyNumberFormat="1" applyFont="1" applyBorder="1" applyAlignment="1">
      <alignment horizontal="center" vertical="center" wrapText="1"/>
    </xf>
    <xf numFmtId="1" fontId="6" fillId="5" borderId="743" xfId="23" applyNumberFormat="1" applyFont="1" applyFill="1" applyBorder="1" applyProtection="1">
      <protection locked="0"/>
    </xf>
    <xf numFmtId="1" fontId="6" fillId="5" borderId="744" xfId="0" applyNumberFormat="1" applyFont="1" applyFill="1" applyBorder="1" applyProtection="1">
      <protection locked="0"/>
    </xf>
    <xf numFmtId="1" fontId="6" fillId="5" borderId="745" xfId="0" applyNumberFormat="1" applyFont="1" applyFill="1" applyBorder="1" applyProtection="1">
      <protection locked="0"/>
    </xf>
    <xf numFmtId="1" fontId="6" fillId="0" borderId="695" xfId="0" applyNumberFormat="1" applyFont="1" applyBorder="1"/>
    <xf numFmtId="1" fontId="6" fillId="4" borderId="680" xfId="0" applyNumberFormat="1" applyFont="1" applyFill="1" applyBorder="1"/>
    <xf numFmtId="1" fontId="6" fillId="4" borderId="559" xfId="0" applyNumberFormat="1" applyFont="1" applyFill="1" applyBorder="1"/>
    <xf numFmtId="1" fontId="6" fillId="5" borderId="747" xfId="0" applyNumberFormat="1" applyFont="1" applyFill="1" applyBorder="1" applyProtection="1">
      <protection locked="0"/>
    </xf>
    <xf numFmtId="1" fontId="6" fillId="4" borderId="698" xfId="0" applyNumberFormat="1" applyFont="1" applyFill="1" applyBorder="1"/>
    <xf numFmtId="1" fontId="6" fillId="5" borderId="743" xfId="0" applyNumberFormat="1" applyFont="1" applyFill="1" applyBorder="1" applyProtection="1">
      <protection locked="0"/>
    </xf>
    <xf numFmtId="1" fontId="6" fillId="5" borderId="725" xfId="0" applyNumberFormat="1" applyFont="1" applyFill="1" applyBorder="1" applyProtection="1">
      <protection locked="0"/>
    </xf>
    <xf numFmtId="1" fontId="6" fillId="4" borderId="683" xfId="0" applyNumberFormat="1" applyFont="1" applyFill="1" applyBorder="1"/>
    <xf numFmtId="1" fontId="6" fillId="4" borderId="674" xfId="0" applyNumberFormat="1" applyFont="1" applyFill="1" applyBorder="1"/>
    <xf numFmtId="1" fontId="6" fillId="0" borderId="742" xfId="0" applyNumberFormat="1" applyFont="1" applyBorder="1"/>
    <xf numFmtId="1" fontId="6" fillId="4" borderId="750" xfId="0" applyNumberFormat="1" applyFont="1" applyFill="1" applyBorder="1"/>
    <xf numFmtId="1" fontId="6" fillId="5" borderId="752" xfId="0" applyNumberFormat="1" applyFont="1" applyFill="1" applyBorder="1" applyProtection="1">
      <protection locked="0"/>
    </xf>
    <xf numFmtId="1" fontId="6" fillId="4" borderId="681" xfId="0" applyNumberFormat="1" applyFont="1" applyFill="1" applyBorder="1"/>
    <xf numFmtId="1" fontId="6" fillId="4" borderId="753" xfId="0" applyNumberFormat="1" applyFont="1" applyFill="1" applyBorder="1"/>
    <xf numFmtId="1" fontId="6" fillId="4" borderId="751" xfId="0" applyNumberFormat="1" applyFont="1" applyFill="1" applyBorder="1"/>
    <xf numFmtId="1" fontId="6" fillId="4" borderId="699" xfId="0" applyNumberFormat="1" applyFont="1" applyFill="1" applyBorder="1"/>
    <xf numFmtId="1" fontId="6" fillId="4" borderId="514" xfId="0" applyNumberFormat="1" applyFont="1" applyFill="1" applyBorder="1"/>
    <xf numFmtId="1" fontId="6" fillId="5" borderId="757" xfId="0" applyNumberFormat="1" applyFont="1" applyFill="1" applyBorder="1" applyProtection="1">
      <protection locked="0"/>
    </xf>
    <xf numFmtId="1" fontId="6" fillId="4" borderId="748" xfId="0" applyNumberFormat="1" applyFont="1" applyFill="1" applyBorder="1"/>
    <xf numFmtId="1" fontId="6" fillId="4" borderId="759" xfId="0" applyNumberFormat="1" applyFont="1" applyFill="1" applyBorder="1"/>
    <xf numFmtId="1" fontId="6" fillId="4" borderId="678" xfId="0" applyNumberFormat="1" applyFont="1" applyFill="1" applyBorder="1"/>
    <xf numFmtId="1" fontId="6" fillId="4" borderId="679" xfId="0" applyNumberFormat="1" applyFont="1" applyFill="1" applyBorder="1"/>
    <xf numFmtId="1" fontId="6" fillId="4" borderId="756" xfId="0" applyNumberFormat="1" applyFont="1" applyFill="1" applyBorder="1"/>
    <xf numFmtId="1" fontId="6" fillId="4" borderId="745" xfId="0" applyNumberFormat="1" applyFont="1" applyFill="1" applyBorder="1"/>
    <xf numFmtId="1" fontId="6" fillId="4" borderId="760" xfId="0" applyNumberFormat="1" applyFont="1" applyFill="1" applyBorder="1"/>
    <xf numFmtId="1" fontId="6" fillId="5" borderId="746" xfId="0" applyNumberFormat="1" applyFont="1" applyFill="1" applyBorder="1" applyProtection="1">
      <protection locked="0"/>
    </xf>
    <xf numFmtId="1" fontId="6" fillId="5" borderId="761" xfId="0" applyNumberFormat="1" applyFont="1" applyFill="1" applyBorder="1" applyProtection="1">
      <protection locked="0"/>
    </xf>
    <xf numFmtId="1" fontId="6" fillId="5" borderId="753" xfId="0" applyNumberFormat="1" applyFont="1" applyFill="1" applyBorder="1" applyProtection="1">
      <protection locked="0"/>
    </xf>
    <xf numFmtId="1" fontId="6" fillId="0" borderId="657" xfId="24" applyNumberFormat="1" applyFont="1" applyBorder="1" applyAlignment="1" applyProtection="1">
      <alignment horizontal="center" vertical="center"/>
      <protection hidden="1"/>
    </xf>
    <xf numFmtId="1" fontId="6" fillId="0" borderId="658" xfId="23" applyNumberFormat="1" applyFont="1" applyBorder="1" applyAlignment="1">
      <alignment horizontal="center" vertical="center" wrapText="1"/>
    </xf>
    <xf numFmtId="1" fontId="6" fillId="0" borderId="735" xfId="23" applyNumberFormat="1" applyFont="1" applyBorder="1" applyAlignment="1">
      <alignment horizontal="center" vertical="center" wrapText="1"/>
    </xf>
    <xf numFmtId="1" fontId="6" fillId="0" borderId="736" xfId="23" applyNumberFormat="1" applyFont="1" applyBorder="1"/>
    <xf numFmtId="1" fontId="6" fillId="5" borderId="757" xfId="23" applyNumberFormat="1" applyFont="1" applyFill="1" applyBorder="1" applyProtection="1">
      <protection locked="0"/>
    </xf>
    <xf numFmtId="1" fontId="6" fillId="0" borderId="685" xfId="23" applyNumberFormat="1" applyFont="1" applyBorder="1"/>
    <xf numFmtId="1" fontId="6" fillId="5" borderId="675" xfId="23" applyNumberFormat="1" applyFont="1" applyFill="1" applyBorder="1" applyProtection="1">
      <protection locked="0"/>
    </xf>
    <xf numFmtId="1" fontId="6" fillId="5" borderId="717" xfId="23" applyNumberFormat="1" applyFont="1" applyFill="1" applyBorder="1" applyProtection="1">
      <protection locked="0"/>
    </xf>
    <xf numFmtId="1" fontId="6" fillId="5" borderId="674" xfId="23" applyNumberFormat="1" applyFont="1" applyFill="1" applyBorder="1" applyProtection="1">
      <protection locked="0"/>
    </xf>
    <xf numFmtId="1" fontId="6" fillId="0" borderId="735" xfId="23" applyNumberFormat="1" applyFont="1" applyBorder="1"/>
    <xf numFmtId="1" fontId="6" fillId="0" borderId="742" xfId="23" applyNumberFormat="1" applyFont="1" applyBorder="1"/>
    <xf numFmtId="1" fontId="6" fillId="0" borderId="714" xfId="23" applyNumberFormat="1" applyFont="1" applyBorder="1"/>
    <xf numFmtId="1" fontId="6" fillId="0" borderId="739" xfId="23" applyNumberFormat="1" applyFont="1" applyBorder="1"/>
    <xf numFmtId="1" fontId="6" fillId="4" borderId="757" xfId="0" applyNumberFormat="1" applyFont="1" applyFill="1" applyBorder="1"/>
    <xf numFmtId="1" fontId="6" fillId="4" borderId="718" xfId="0" applyNumberFormat="1" applyFont="1" applyFill="1" applyBorder="1"/>
    <xf numFmtId="1" fontId="6" fillId="4" borderId="617" xfId="0" applyNumberFormat="1" applyFont="1" applyFill="1" applyBorder="1"/>
    <xf numFmtId="1" fontId="6" fillId="4" borderId="769" xfId="0" applyNumberFormat="1" applyFont="1" applyFill="1" applyBorder="1"/>
    <xf numFmtId="1" fontId="6" fillId="5" borderId="737" xfId="0" applyNumberFormat="1" applyFont="1" applyFill="1" applyBorder="1" applyProtection="1">
      <protection locked="0"/>
    </xf>
    <xf numFmtId="1" fontId="6" fillId="4" borderId="702" xfId="0" applyNumberFormat="1" applyFont="1" applyFill="1" applyBorder="1"/>
    <xf numFmtId="1" fontId="6" fillId="4" borderId="705" xfId="0" applyNumberFormat="1" applyFont="1" applyFill="1" applyBorder="1"/>
    <xf numFmtId="1" fontId="6" fillId="4" borderId="618" xfId="0" applyNumberFormat="1" applyFont="1" applyFill="1" applyBorder="1"/>
    <xf numFmtId="1" fontId="6" fillId="4" borderId="755" xfId="0" applyNumberFormat="1" applyFont="1" applyFill="1" applyBorder="1"/>
    <xf numFmtId="1" fontId="6" fillId="4" borderId="771" xfId="0" applyNumberFormat="1" applyFont="1" applyFill="1" applyBorder="1"/>
    <xf numFmtId="1" fontId="6" fillId="6" borderId="708" xfId="14" applyNumberFormat="1" applyFont="1" applyBorder="1" applyProtection="1">
      <protection locked="0"/>
    </xf>
    <xf numFmtId="1" fontId="6" fillId="6" borderId="683" xfId="14" applyNumberFormat="1" applyFont="1" applyBorder="1" applyProtection="1">
      <protection locked="0"/>
    </xf>
    <xf numFmtId="1" fontId="6" fillId="5" borderId="755" xfId="0" applyNumberFormat="1" applyFont="1" applyFill="1" applyBorder="1" applyProtection="1">
      <protection locked="0"/>
    </xf>
    <xf numFmtId="1" fontId="6" fillId="5" borderId="774" xfId="0" applyNumberFormat="1" applyFont="1" applyFill="1" applyBorder="1" applyProtection="1">
      <protection locked="0"/>
    </xf>
    <xf numFmtId="1" fontId="6" fillId="4" borderId="676" xfId="0" applyNumberFormat="1" applyFont="1" applyFill="1" applyBorder="1"/>
    <xf numFmtId="1" fontId="6" fillId="5" borderId="704" xfId="0" applyNumberFormat="1" applyFont="1" applyFill="1" applyBorder="1" applyProtection="1">
      <protection locked="0"/>
    </xf>
    <xf numFmtId="1" fontId="6" fillId="0" borderId="694" xfId="23" applyNumberFormat="1" applyFont="1" applyBorder="1" applyAlignment="1">
      <alignment horizontal="center" vertical="center" wrapText="1"/>
    </xf>
    <xf numFmtId="1" fontId="6" fillId="5" borderId="694" xfId="23" applyNumberFormat="1" applyFont="1" applyFill="1" applyBorder="1" applyProtection="1">
      <protection locked="0"/>
    </xf>
    <xf numFmtId="1" fontId="6" fillId="0" borderId="749" xfId="23" applyNumberFormat="1" applyFont="1" applyBorder="1" applyAlignment="1">
      <alignment horizontal="center" vertical="center" wrapText="1"/>
    </xf>
    <xf numFmtId="1" fontId="6" fillId="5" borderId="735" xfId="23" applyNumberFormat="1" applyFont="1" applyFill="1" applyBorder="1" applyProtection="1">
      <protection locked="0"/>
    </xf>
    <xf numFmtId="1" fontId="6" fillId="5" borderId="762" xfId="23" applyNumberFormat="1" applyFont="1" applyFill="1" applyBorder="1" applyProtection="1">
      <protection locked="0"/>
    </xf>
    <xf numFmtId="1" fontId="6" fillId="5" borderId="718" xfId="23" applyNumberFormat="1" applyFont="1" applyFill="1" applyBorder="1" applyProtection="1">
      <protection locked="0"/>
    </xf>
    <xf numFmtId="1" fontId="6" fillId="0" borderId="694" xfId="23" applyNumberFormat="1" applyFont="1" applyBorder="1"/>
    <xf numFmtId="1" fontId="6" fillId="5" borderId="772" xfId="23" applyNumberFormat="1" applyFont="1" applyFill="1" applyBorder="1" applyProtection="1">
      <protection locked="0"/>
    </xf>
    <xf numFmtId="1" fontId="6" fillId="0" borderId="776" xfId="0" applyNumberFormat="1" applyFont="1" applyBorder="1" applyAlignment="1">
      <alignment horizontal="center" vertical="center"/>
    </xf>
    <xf numFmtId="1" fontId="6" fillId="0" borderId="772" xfId="0" applyNumberFormat="1" applyFont="1" applyBorder="1" applyAlignment="1">
      <alignment horizontal="right" wrapText="1"/>
    </xf>
    <xf numFmtId="1" fontId="6" fillId="0" borderId="777" xfId="0" applyNumberFormat="1" applyFont="1" applyBorder="1" applyAlignment="1">
      <alignment horizontal="right"/>
    </xf>
    <xf numFmtId="1" fontId="6" fillId="0" borderId="675" xfId="0" applyNumberFormat="1" applyFont="1" applyBorder="1" applyAlignment="1">
      <alignment horizontal="right" wrapText="1"/>
    </xf>
    <xf numFmtId="1" fontId="6" fillId="0" borderId="674" xfId="0" applyNumberFormat="1" applyFont="1" applyBorder="1" applyAlignment="1">
      <alignment horizontal="right"/>
    </xf>
    <xf numFmtId="1" fontId="6" fillId="0" borderId="755" xfId="0" applyNumberFormat="1" applyFont="1" applyBorder="1" applyAlignment="1">
      <alignment horizontal="right"/>
    </xf>
    <xf numFmtId="1" fontId="6" fillId="0" borderId="773" xfId="0" applyNumberFormat="1" applyFont="1" applyBorder="1" applyAlignment="1">
      <alignment horizontal="right"/>
    </xf>
    <xf numFmtId="1" fontId="6" fillId="0" borderId="708" xfId="0" applyNumberFormat="1" applyFont="1" applyBorder="1" applyAlignment="1">
      <alignment horizontal="right"/>
    </xf>
    <xf numFmtId="1" fontId="6" fillId="0" borderId="670" xfId="0" applyNumberFormat="1" applyFont="1" applyBorder="1" applyAlignment="1">
      <alignment horizontal="right"/>
    </xf>
    <xf numFmtId="1" fontId="6" fillId="5" borderId="778" xfId="0" applyNumberFormat="1" applyFont="1" applyFill="1" applyBorder="1" applyProtection="1">
      <protection locked="0"/>
    </xf>
    <xf numFmtId="1" fontId="6" fillId="5" borderId="736" xfId="0" applyNumberFormat="1" applyFont="1" applyFill="1" applyBorder="1" applyAlignment="1" applyProtection="1">
      <alignment wrapText="1"/>
      <protection locked="0"/>
    </xf>
    <xf numFmtId="1" fontId="6" fillId="5" borderId="727" xfId="0" applyNumberFormat="1" applyFont="1" applyFill="1" applyBorder="1" applyAlignment="1" applyProtection="1">
      <alignment wrapText="1"/>
      <protection locked="0"/>
    </xf>
    <xf numFmtId="1" fontId="6" fillId="5" borderId="684" xfId="0" applyNumberFormat="1" applyFont="1" applyFill="1" applyBorder="1" applyAlignment="1" applyProtection="1">
      <alignment wrapText="1"/>
      <protection locked="0"/>
    </xf>
    <xf numFmtId="1" fontId="6" fillId="5" borderId="695" xfId="0" applyNumberFormat="1" applyFont="1" applyFill="1" applyBorder="1" applyAlignment="1" applyProtection="1">
      <alignment wrapText="1"/>
      <protection locked="0"/>
    </xf>
    <xf numFmtId="1" fontId="6" fillId="5" borderId="685" xfId="0" applyNumberFormat="1" applyFont="1" applyFill="1" applyBorder="1" applyAlignment="1" applyProtection="1">
      <alignment wrapText="1"/>
      <protection locked="0"/>
    </xf>
    <xf numFmtId="1" fontId="6" fillId="0" borderId="720" xfId="0" applyNumberFormat="1" applyFont="1" applyBorder="1" applyAlignment="1">
      <alignment horizontal="center" vertical="center" wrapText="1"/>
    </xf>
    <xf numFmtId="1" fontId="6" fillId="5" borderId="780" xfId="0" applyNumberFormat="1" applyFont="1" applyFill="1" applyBorder="1" applyProtection="1">
      <protection locked="0"/>
    </xf>
    <xf numFmtId="1" fontId="6" fillId="3" borderId="712" xfId="0" applyNumberFormat="1" applyFont="1" applyFill="1" applyBorder="1" applyAlignment="1">
      <alignment horizontal="center" vertical="center"/>
    </xf>
    <xf numFmtId="1" fontId="6" fillId="3" borderId="727" xfId="0" applyNumberFormat="1" applyFont="1" applyFill="1" applyBorder="1" applyAlignment="1">
      <alignment horizontal="center" vertical="center"/>
    </xf>
    <xf numFmtId="1" fontId="6" fillId="5" borderId="37" xfId="0" applyNumberFormat="1" applyFont="1" applyFill="1" applyBorder="1" applyAlignment="1" applyProtection="1">
      <alignment wrapText="1"/>
      <protection locked="0"/>
    </xf>
    <xf numFmtId="1" fontId="6" fillId="5" borderId="29" xfId="0" applyNumberFormat="1" applyFont="1" applyFill="1" applyBorder="1" applyAlignment="1" applyProtection="1">
      <alignment wrapText="1"/>
      <protection locked="0"/>
    </xf>
    <xf numFmtId="1" fontId="6" fillId="3" borderId="735" xfId="0" applyNumberFormat="1" applyFont="1" applyFill="1" applyBorder="1" applyAlignment="1">
      <alignment horizontal="center" vertical="center"/>
    </xf>
    <xf numFmtId="1" fontId="6" fillId="3" borderId="762" xfId="0" applyNumberFormat="1" applyFont="1" applyFill="1" applyBorder="1" applyAlignment="1">
      <alignment horizontal="center" vertical="center"/>
    </xf>
    <xf numFmtId="1" fontId="6" fillId="3" borderId="617" xfId="0" applyNumberFormat="1" applyFont="1" applyFill="1" applyBorder="1" applyAlignment="1">
      <alignment horizontal="center" vertical="center"/>
    </xf>
    <xf numFmtId="1" fontId="6" fillId="3" borderId="781" xfId="0" applyNumberFormat="1" applyFont="1" applyFill="1" applyBorder="1" applyAlignment="1">
      <alignment horizontal="center" vertical="center"/>
    </xf>
    <xf numFmtId="1" fontId="6" fillId="5" borderId="740" xfId="0" applyNumberFormat="1" applyFont="1" applyFill="1" applyBorder="1" applyProtection="1">
      <protection locked="0"/>
    </xf>
    <xf numFmtId="1" fontId="6" fillId="5" borderId="781" xfId="0" applyNumberFormat="1" applyFont="1" applyFill="1" applyBorder="1" applyProtection="1">
      <protection locked="0"/>
    </xf>
    <xf numFmtId="1" fontId="6" fillId="4" borderId="781" xfId="0" applyNumberFormat="1" applyFont="1" applyFill="1" applyBorder="1"/>
    <xf numFmtId="1" fontId="6" fillId="3" borderId="625" xfId="0" applyNumberFormat="1" applyFont="1" applyFill="1" applyBorder="1" applyAlignment="1">
      <alignment horizontal="center" vertical="center"/>
    </xf>
    <xf numFmtId="1" fontId="6" fillId="4" borderId="784" xfId="0" applyNumberFormat="1" applyFont="1" applyFill="1" applyBorder="1"/>
    <xf numFmtId="1" fontId="6" fillId="4" borderId="778" xfId="0" applyNumberFormat="1" applyFont="1" applyFill="1" applyBorder="1"/>
    <xf numFmtId="1" fontId="6" fillId="5" borderId="787" xfId="0" applyNumberFormat="1" applyFont="1" applyFill="1" applyBorder="1" applyProtection="1">
      <protection locked="0"/>
    </xf>
    <xf numFmtId="1" fontId="6" fillId="5" borderId="783" xfId="0" applyNumberFormat="1" applyFont="1" applyFill="1" applyBorder="1" applyProtection="1">
      <protection locked="0"/>
    </xf>
    <xf numFmtId="1" fontId="6" fillId="5" borderId="785" xfId="0" applyNumberFormat="1" applyFont="1" applyFill="1" applyBorder="1" applyProtection="1">
      <protection locked="0"/>
    </xf>
    <xf numFmtId="1" fontId="6" fillId="5" borderId="767" xfId="0" applyNumberFormat="1" applyFont="1" applyFill="1" applyBorder="1" applyProtection="1">
      <protection locked="0"/>
    </xf>
    <xf numFmtId="1" fontId="6" fillId="5" borderId="770" xfId="0" applyNumberFormat="1" applyFont="1" applyFill="1" applyBorder="1" applyProtection="1">
      <protection locked="0"/>
    </xf>
    <xf numFmtId="1" fontId="6" fillId="5" borderId="625" xfId="0" applyNumberFormat="1" applyFont="1" applyFill="1" applyBorder="1" applyProtection="1">
      <protection locked="0"/>
    </xf>
    <xf numFmtId="1" fontId="6" fillId="5" borderId="726" xfId="0" applyNumberFormat="1" applyFont="1" applyFill="1" applyBorder="1" applyProtection="1">
      <protection locked="0"/>
    </xf>
    <xf numFmtId="1" fontId="6" fillId="5" borderId="768" xfId="0" applyNumberFormat="1" applyFont="1" applyFill="1" applyBorder="1" applyProtection="1">
      <protection locked="0"/>
    </xf>
    <xf numFmtId="1" fontId="6" fillId="0" borderId="791" xfId="0" applyNumberFormat="1" applyFont="1" applyBorder="1" applyAlignment="1">
      <alignment horizontal="center" vertical="center" wrapText="1"/>
    </xf>
    <xf numFmtId="1" fontId="6" fillId="5" borderId="795" xfId="0" applyNumberFormat="1" applyFont="1" applyFill="1" applyBorder="1" applyProtection="1">
      <protection locked="0"/>
    </xf>
    <xf numFmtId="1" fontId="6" fillId="0" borderId="797" xfId="0" applyNumberFormat="1" applyFont="1" applyBorder="1" applyAlignment="1">
      <alignment horizontal="center" vertical="center" wrapText="1"/>
    </xf>
    <xf numFmtId="1" fontId="6" fillId="0" borderId="789" xfId="0" applyNumberFormat="1" applyFont="1" applyBorder="1" applyAlignment="1">
      <alignment horizontal="center" vertical="center" wrapText="1"/>
    </xf>
    <xf numFmtId="1" fontId="6" fillId="0" borderId="797" xfId="0" applyNumberFormat="1" applyFont="1" applyBorder="1" applyAlignment="1">
      <alignment horizontal="center" vertical="center"/>
    </xf>
    <xf numFmtId="1" fontId="6" fillId="0" borderId="791" xfId="0" applyNumberFormat="1" applyFont="1" applyBorder="1" applyAlignment="1">
      <alignment horizontal="center" vertical="center"/>
    </xf>
    <xf numFmtId="1" fontId="6" fillId="5" borderId="784" xfId="0" applyNumberFormat="1" applyFont="1" applyFill="1" applyBorder="1" applyProtection="1">
      <protection locked="0"/>
    </xf>
    <xf numFmtId="1" fontId="6" fillId="6" borderId="784" xfId="14" applyNumberFormat="1" applyFont="1" applyBorder="1" applyProtection="1">
      <protection locked="0"/>
    </xf>
    <xf numFmtId="1" fontId="6" fillId="6" borderId="787" xfId="14" applyNumberFormat="1" applyFont="1" applyBorder="1" applyProtection="1">
      <protection locked="0"/>
    </xf>
    <xf numFmtId="1" fontId="6" fillId="6" borderId="788" xfId="14" applyNumberFormat="1" applyFont="1" applyBorder="1" applyProtection="1">
      <protection locked="0"/>
    </xf>
    <xf numFmtId="1" fontId="6" fillId="6" borderId="699" xfId="14" applyNumberFormat="1" applyFont="1" applyBorder="1" applyProtection="1">
      <protection locked="0"/>
    </xf>
    <xf numFmtId="1" fontId="6" fillId="0" borderId="684" xfId="0" applyNumberFormat="1" applyFont="1" applyBorder="1"/>
    <xf numFmtId="1" fontId="6" fillId="4" borderId="424" xfId="0" applyNumberFormat="1" applyFont="1" applyFill="1" applyBorder="1"/>
    <xf numFmtId="0" fontId="6" fillId="0" borderId="789" xfId="0" applyFont="1" applyBorder="1" applyAlignment="1">
      <alignment horizontal="center" vertical="center" wrapText="1"/>
    </xf>
    <xf numFmtId="1" fontId="6" fillId="0" borderId="801" xfId="0" applyNumberFormat="1" applyFont="1" applyBorder="1" applyAlignment="1">
      <alignment horizontal="center" vertical="center" wrapText="1"/>
    </xf>
    <xf numFmtId="1" fontId="6" fillId="5" borderId="779" xfId="0" applyNumberFormat="1" applyFont="1" applyFill="1" applyBorder="1" applyProtection="1">
      <protection locked="0"/>
    </xf>
    <xf numFmtId="1" fontId="6" fillId="4" borderId="350" xfId="0" applyNumberFormat="1" applyFont="1" applyFill="1" applyBorder="1"/>
    <xf numFmtId="1" fontId="6" fillId="0" borderId="618" xfId="0" applyNumberFormat="1" applyFont="1" applyBorder="1" applyAlignment="1">
      <alignment horizontal="left" vertical="center"/>
    </xf>
    <xf numFmtId="1" fontId="6" fillId="12" borderId="728" xfId="0" applyNumberFormat="1" applyFont="1" applyFill="1" applyBorder="1"/>
    <xf numFmtId="1" fontId="6" fillId="12" borderId="510" xfId="0" applyNumberFormat="1" applyFont="1" applyFill="1" applyBorder="1"/>
    <xf numFmtId="1" fontId="6" fillId="0" borderId="695" xfId="0" applyNumberFormat="1" applyFont="1" applyBorder="1" applyAlignment="1">
      <alignment horizontal="left" vertical="center"/>
    </xf>
    <xf numFmtId="1" fontId="6" fillId="0" borderId="685" xfId="0" applyNumberFormat="1" applyFont="1" applyBorder="1" applyAlignment="1">
      <alignment horizontal="left" vertical="center"/>
    </xf>
    <xf numFmtId="1" fontId="6" fillId="5" borderId="805" xfId="0" applyNumberFormat="1" applyFont="1" applyFill="1" applyBorder="1" applyAlignment="1" applyProtection="1">
      <alignment wrapText="1"/>
      <protection locked="0"/>
    </xf>
    <xf numFmtId="1" fontId="6" fillId="5" borderId="774" xfId="0" applyNumberFormat="1" applyFont="1" applyFill="1" applyBorder="1" applyAlignment="1" applyProtection="1">
      <alignment wrapText="1"/>
      <protection locked="0"/>
    </xf>
    <xf numFmtId="1" fontId="6" fillId="0" borderId="809" xfId="0" applyNumberFormat="1" applyFont="1" applyBorder="1" applyAlignment="1">
      <alignment horizontal="right" wrapText="1"/>
    </xf>
    <xf numFmtId="1" fontId="6" fillId="5" borderId="811" xfId="0" applyNumberFormat="1" applyFont="1" applyFill="1" applyBorder="1" applyAlignment="1" applyProtection="1">
      <alignment wrapText="1"/>
      <protection locked="0"/>
    </xf>
    <xf numFmtId="1" fontId="6" fillId="5" borderId="812" xfId="0" applyNumberFormat="1" applyFont="1" applyFill="1" applyBorder="1" applyAlignment="1" applyProtection="1">
      <alignment wrapText="1"/>
      <protection locked="0"/>
    </xf>
    <xf numFmtId="1" fontId="6" fillId="5" borderId="813" xfId="0" applyNumberFormat="1" applyFont="1" applyFill="1" applyBorder="1" applyAlignment="1" applyProtection="1">
      <alignment wrapText="1"/>
      <protection locked="0"/>
    </xf>
    <xf numFmtId="1" fontId="6" fillId="5" borderId="814" xfId="0" applyNumberFormat="1" applyFont="1" applyFill="1" applyBorder="1" applyAlignment="1" applyProtection="1">
      <alignment wrapText="1"/>
      <protection locked="0"/>
    </xf>
    <xf numFmtId="1" fontId="6" fillId="12" borderId="814" xfId="0" applyNumberFormat="1" applyFont="1" applyFill="1" applyBorder="1" applyAlignment="1">
      <alignment wrapText="1"/>
    </xf>
    <xf numFmtId="1" fontId="6" fillId="0" borderId="805" xfId="0" applyNumberFormat="1" applyFont="1" applyBorder="1" applyAlignment="1">
      <alignment horizontal="right" wrapText="1"/>
    </xf>
    <xf numFmtId="1" fontId="6" fillId="4" borderId="814" xfId="0" applyNumberFormat="1" applyFont="1" applyFill="1" applyBorder="1" applyAlignment="1">
      <alignment wrapText="1"/>
    </xf>
    <xf numFmtId="1" fontId="6" fillId="12" borderId="811" xfId="0" applyNumberFormat="1" applyFont="1" applyFill="1" applyBorder="1" applyAlignment="1">
      <alignment wrapText="1"/>
    </xf>
    <xf numFmtId="1" fontId="6" fillId="4" borderId="813" xfId="0" applyNumberFormat="1" applyFont="1" applyFill="1" applyBorder="1" applyAlignment="1">
      <alignment wrapText="1"/>
    </xf>
    <xf numFmtId="1" fontId="6" fillId="12" borderId="813" xfId="0" applyNumberFormat="1" applyFont="1" applyFill="1" applyBorder="1" applyAlignment="1">
      <alignment wrapText="1"/>
    </xf>
    <xf numFmtId="1" fontId="6" fillId="4" borderId="811" xfId="0" applyNumberFormat="1" applyFont="1" applyFill="1" applyBorder="1" applyAlignment="1">
      <alignment wrapText="1"/>
    </xf>
    <xf numFmtId="1" fontId="6" fillId="3" borderId="258" xfId="0" applyNumberFormat="1" applyFont="1" applyFill="1" applyBorder="1" applyAlignment="1">
      <alignment horizontal="right" wrapText="1"/>
    </xf>
    <xf numFmtId="1" fontId="6" fillId="3" borderId="299" xfId="0" applyNumberFormat="1" applyFont="1" applyFill="1" applyBorder="1" applyAlignment="1">
      <alignment horizontal="right" wrapText="1"/>
    </xf>
    <xf numFmtId="1" fontId="6" fillId="3" borderId="321" xfId="0" applyNumberFormat="1" applyFont="1" applyFill="1" applyBorder="1" applyAlignment="1">
      <alignment horizontal="right" wrapText="1"/>
    </xf>
    <xf numFmtId="1" fontId="6" fillId="3" borderId="811" xfId="0" applyNumberFormat="1" applyFont="1" applyFill="1" applyBorder="1" applyAlignment="1">
      <alignment horizontal="right" wrapText="1"/>
    </xf>
    <xf numFmtId="1" fontId="6" fillId="3" borderId="814" xfId="0" applyNumberFormat="1" applyFont="1" applyFill="1" applyBorder="1" applyAlignment="1">
      <alignment horizontal="right" wrapText="1"/>
    </xf>
    <xf numFmtId="1" fontId="6" fillId="5" borderId="823" xfId="0" applyNumberFormat="1" applyFont="1" applyFill="1" applyBorder="1" applyProtection="1">
      <protection locked="0"/>
    </xf>
    <xf numFmtId="1" fontId="6" fillId="5" borderId="809" xfId="0" applyNumberFormat="1" applyFont="1" applyFill="1" applyBorder="1" applyProtection="1">
      <protection locked="0"/>
    </xf>
    <xf numFmtId="1" fontId="6" fillId="5" borderId="825" xfId="0" applyNumberFormat="1" applyFont="1" applyFill="1" applyBorder="1" applyProtection="1">
      <protection locked="0"/>
    </xf>
    <xf numFmtId="1" fontId="6" fillId="5" borderId="826" xfId="0" applyNumberFormat="1" applyFont="1" applyFill="1" applyBorder="1" applyProtection="1">
      <protection locked="0"/>
    </xf>
    <xf numFmtId="1" fontId="6" fillId="5" borderId="807" xfId="0" applyNumberFormat="1" applyFont="1" applyFill="1" applyBorder="1" applyProtection="1">
      <protection locked="0"/>
    </xf>
    <xf numFmtId="1" fontId="6" fillId="5" borderId="805" xfId="0" applyNumberFormat="1" applyFont="1" applyFill="1" applyBorder="1" applyProtection="1">
      <protection locked="0"/>
    </xf>
    <xf numFmtId="1" fontId="6" fillId="5" borderId="827" xfId="0" applyNumberFormat="1" applyFont="1" applyFill="1" applyBorder="1" applyProtection="1">
      <protection locked="0"/>
    </xf>
    <xf numFmtId="1" fontId="6" fillId="5" borderId="822" xfId="0" applyNumberFormat="1" applyFont="1" applyFill="1" applyBorder="1" applyProtection="1">
      <protection locked="0"/>
    </xf>
    <xf numFmtId="1" fontId="6" fillId="0" borderId="807" xfId="0" applyNumberFormat="1" applyFont="1" applyBorder="1"/>
    <xf numFmtId="1" fontId="6" fillId="0" borderId="811" xfId="0" applyNumberFormat="1" applyFont="1" applyBorder="1"/>
    <xf numFmtId="1" fontId="6" fillId="5" borderId="808" xfId="0" applyNumberFormat="1" applyFont="1" applyFill="1" applyBorder="1" applyProtection="1">
      <protection locked="0"/>
    </xf>
    <xf numFmtId="1" fontId="6" fillId="5" borderId="812" xfId="0" applyNumberFormat="1" applyFont="1" applyFill="1" applyBorder="1" applyProtection="1">
      <protection locked="0"/>
    </xf>
    <xf numFmtId="1" fontId="6" fillId="5" borderId="811" xfId="0" applyNumberFormat="1" applyFont="1" applyFill="1" applyBorder="1" applyProtection="1">
      <protection locked="0"/>
    </xf>
    <xf numFmtId="1" fontId="6" fillId="5" borderId="806" xfId="0" applyNumberFormat="1" applyFont="1" applyFill="1" applyBorder="1" applyProtection="1">
      <protection locked="0"/>
    </xf>
    <xf numFmtId="1" fontId="6" fillId="0" borderId="829" xfId="0" applyNumberFormat="1" applyFont="1" applyBorder="1"/>
    <xf numFmtId="1" fontId="6" fillId="5" borderId="816" xfId="0" applyNumberFormat="1" applyFont="1" applyFill="1" applyBorder="1" applyProtection="1">
      <protection locked="0"/>
    </xf>
    <xf numFmtId="1" fontId="6" fillId="5" borderId="821" xfId="0" applyNumberFormat="1" applyFont="1" applyFill="1" applyBorder="1" applyProtection="1">
      <protection locked="0"/>
    </xf>
    <xf numFmtId="1" fontId="6" fillId="0" borderId="808" xfId="0" applyNumberFormat="1" applyFont="1" applyBorder="1"/>
    <xf numFmtId="1" fontId="6" fillId="4" borderId="811" xfId="0" applyNumberFormat="1" applyFont="1" applyFill="1" applyBorder="1"/>
    <xf numFmtId="1" fontId="6" fillId="4" borderId="810" xfId="0" applyNumberFormat="1" applyFont="1" applyFill="1" applyBorder="1"/>
    <xf numFmtId="1" fontId="6" fillId="0" borderId="811" xfId="0" applyNumberFormat="1" applyFont="1" applyBorder="1" applyAlignment="1">
      <alignment horizontal="center" vertical="center" wrapText="1"/>
    </xf>
    <xf numFmtId="1" fontId="6" fillId="5" borderId="810" xfId="0" applyNumberFormat="1" applyFont="1" applyFill="1" applyBorder="1" applyProtection="1">
      <protection locked="0"/>
    </xf>
    <xf numFmtId="1" fontId="6" fillId="15" borderId="808" xfId="0" applyNumberFormat="1" applyFont="1" applyFill="1" applyBorder="1" applyProtection="1">
      <protection locked="0"/>
    </xf>
    <xf numFmtId="1" fontId="6" fillId="12" borderId="808" xfId="0" applyNumberFormat="1" applyFont="1" applyFill="1" applyBorder="1"/>
    <xf numFmtId="1" fontId="6" fillId="12" borderId="811" xfId="0" applyNumberFormat="1" applyFont="1" applyFill="1" applyBorder="1"/>
    <xf numFmtId="1" fontId="6" fillId="5" borderId="830" xfId="0" applyNumberFormat="1" applyFont="1" applyFill="1" applyBorder="1" applyProtection="1">
      <protection locked="0"/>
    </xf>
    <xf numFmtId="1" fontId="6" fillId="5" borderId="813" xfId="0" applyNumberFormat="1" applyFont="1" applyFill="1" applyBorder="1" applyProtection="1">
      <protection locked="0"/>
    </xf>
    <xf numFmtId="1" fontId="6" fillId="5" borderId="814" xfId="0" applyNumberFormat="1" applyFont="1" applyFill="1" applyBorder="1" applyProtection="1">
      <protection locked="0"/>
    </xf>
    <xf numFmtId="1" fontId="6" fillId="5" borderId="804" xfId="0" applyNumberFormat="1" applyFont="1" applyFill="1" applyBorder="1" applyProtection="1">
      <protection locked="0"/>
    </xf>
    <xf numFmtId="1" fontId="6" fillId="5" borderId="840" xfId="0" applyNumberFormat="1" applyFont="1" applyFill="1" applyBorder="1" applyProtection="1">
      <protection locked="0"/>
    </xf>
    <xf numFmtId="1" fontId="6" fillId="5" borderId="842" xfId="0" applyNumberFormat="1" applyFont="1" applyFill="1" applyBorder="1" applyProtection="1">
      <protection locked="0"/>
    </xf>
    <xf numFmtId="1" fontId="6" fillId="5" borderId="841" xfId="0" applyNumberFormat="1" applyFont="1" applyFill="1" applyBorder="1" applyProtection="1">
      <protection locked="0"/>
    </xf>
    <xf numFmtId="1" fontId="6" fillId="5" borderId="843" xfId="0" applyNumberFormat="1" applyFont="1" applyFill="1" applyBorder="1" applyProtection="1">
      <protection locked="0"/>
    </xf>
    <xf numFmtId="1" fontId="6" fillId="5" borderId="839" xfId="0" applyNumberFormat="1" applyFont="1" applyFill="1" applyBorder="1" applyProtection="1">
      <protection locked="0"/>
    </xf>
    <xf numFmtId="1" fontId="6" fillId="5" borderId="848" xfId="0" applyNumberFormat="1" applyFont="1" applyFill="1" applyBorder="1" applyProtection="1">
      <protection locked="0"/>
    </xf>
    <xf numFmtId="1" fontId="6" fillId="0" borderId="853" xfId="0" applyNumberFormat="1" applyFont="1" applyBorder="1" applyAlignment="1">
      <alignment horizontal="center" vertical="center" wrapText="1"/>
    </xf>
    <xf numFmtId="1" fontId="6" fillId="5" borderId="854" xfId="0" applyNumberFormat="1" applyFont="1" applyFill="1" applyBorder="1" applyProtection="1">
      <protection locked="0"/>
    </xf>
    <xf numFmtId="1" fontId="6" fillId="5" borderId="856" xfId="0" applyNumberFormat="1" applyFont="1" applyFill="1" applyBorder="1" applyProtection="1">
      <protection locked="0"/>
    </xf>
    <xf numFmtId="1" fontId="6" fillId="5" borderId="815" xfId="0" applyNumberFormat="1" applyFont="1" applyFill="1" applyBorder="1" applyProtection="1">
      <protection locked="0"/>
    </xf>
    <xf numFmtId="1" fontId="6" fillId="0" borderId="853" xfId="0" applyNumberFormat="1" applyFont="1" applyBorder="1"/>
    <xf numFmtId="1" fontId="6" fillId="0" borderId="847" xfId="0" applyNumberFormat="1" applyFont="1" applyBorder="1"/>
    <xf numFmtId="1" fontId="6" fillId="0" borderId="850" xfId="0" applyNumberFormat="1" applyFont="1" applyBorder="1"/>
    <xf numFmtId="1" fontId="6" fillId="0" borderId="855" xfId="0" applyNumberFormat="1" applyFont="1" applyBorder="1"/>
    <xf numFmtId="1" fontId="6" fillId="5" borderId="855" xfId="0" applyNumberFormat="1" applyFont="1" applyFill="1" applyBorder="1" applyProtection="1">
      <protection locked="0"/>
    </xf>
    <xf numFmtId="1" fontId="6" fillId="5" borderId="857" xfId="0" applyNumberFormat="1" applyFont="1" applyFill="1" applyBorder="1" applyProtection="1">
      <protection locked="0"/>
    </xf>
    <xf numFmtId="1" fontId="6" fillId="5" borderId="849" xfId="0" applyNumberFormat="1" applyFont="1" applyFill="1" applyBorder="1" applyProtection="1">
      <protection locked="0"/>
    </xf>
    <xf numFmtId="1" fontId="6" fillId="5" borderId="858" xfId="0" applyNumberFormat="1" applyFont="1" applyFill="1" applyBorder="1" applyProtection="1">
      <protection locked="0"/>
    </xf>
    <xf numFmtId="1" fontId="6" fillId="5" borderId="860" xfId="0" applyNumberFormat="1" applyFont="1" applyFill="1" applyBorder="1" applyProtection="1">
      <protection locked="0"/>
    </xf>
    <xf numFmtId="1" fontId="6" fillId="0" borderId="847" xfId="0" applyNumberFormat="1" applyFont="1" applyBorder="1" applyAlignment="1">
      <alignment horizontal="center" vertical="center" wrapText="1"/>
    </xf>
    <xf numFmtId="1" fontId="6" fillId="5" borderId="862" xfId="0" applyNumberFormat="1" applyFont="1" applyFill="1" applyBorder="1" applyProtection="1">
      <protection locked="0"/>
    </xf>
    <xf numFmtId="1" fontId="6" fillId="5" borderId="727" xfId="0" applyNumberFormat="1" applyFont="1" applyFill="1" applyBorder="1" applyProtection="1">
      <protection locked="0"/>
    </xf>
    <xf numFmtId="1" fontId="6" fillId="0" borderId="859" xfId="0" applyNumberFormat="1" applyFont="1" applyBorder="1" applyAlignment="1">
      <alignment horizontal="center" vertical="center" wrapText="1"/>
    </xf>
    <xf numFmtId="1" fontId="6" fillId="0" borderId="855" xfId="0" applyNumberFormat="1" applyFont="1" applyBorder="1" applyAlignment="1">
      <alignment horizontal="center" vertical="center" wrapText="1"/>
    </xf>
    <xf numFmtId="1" fontId="6" fillId="5" borderId="863" xfId="0" applyNumberFormat="1" applyFont="1" applyFill="1" applyBorder="1" applyProtection="1">
      <protection locked="0"/>
    </xf>
    <xf numFmtId="1" fontId="6" fillId="5" borderId="741" xfId="0" applyNumberFormat="1" applyFont="1" applyFill="1" applyBorder="1" applyProtection="1">
      <protection locked="0"/>
    </xf>
    <xf numFmtId="1" fontId="6" fillId="4" borderId="857" xfId="0" applyNumberFormat="1" applyFont="1" applyFill="1" applyBorder="1"/>
    <xf numFmtId="1" fontId="6" fillId="4" borderId="849" xfId="0" applyNumberFormat="1" applyFont="1" applyFill="1" applyBorder="1"/>
    <xf numFmtId="1" fontId="6" fillId="2" borderId="864" xfId="9" applyNumberFormat="1" applyFont="1" applyBorder="1" applyProtection="1">
      <protection locked="0"/>
    </xf>
    <xf numFmtId="1" fontId="6" fillId="5" borderId="865" xfId="0" applyNumberFormat="1" applyFont="1" applyFill="1" applyBorder="1" applyProtection="1">
      <protection locked="0"/>
    </xf>
    <xf numFmtId="1" fontId="6" fillId="5" borderId="866" xfId="0" applyNumberFormat="1" applyFont="1" applyFill="1" applyBorder="1" applyProtection="1">
      <protection locked="0"/>
    </xf>
    <xf numFmtId="1" fontId="6" fillId="5" borderId="867" xfId="0" applyNumberFormat="1" applyFont="1" applyFill="1" applyBorder="1" applyProtection="1">
      <protection locked="0"/>
    </xf>
    <xf numFmtId="1" fontId="6" fillId="5" borderId="868" xfId="0" applyNumberFormat="1" applyFont="1" applyFill="1" applyBorder="1" applyProtection="1">
      <protection locked="0"/>
    </xf>
    <xf numFmtId="1" fontId="6" fillId="2" borderId="869" xfId="9" applyNumberFormat="1" applyFont="1" applyBorder="1" applyProtection="1">
      <protection locked="0"/>
    </xf>
    <xf numFmtId="1" fontId="6" fillId="5" borderId="870" xfId="0" applyNumberFormat="1" applyFont="1" applyFill="1" applyBorder="1" applyProtection="1">
      <protection locked="0"/>
    </xf>
    <xf numFmtId="1" fontId="6" fillId="0" borderId="705" xfId="0" applyNumberFormat="1" applyFont="1" applyBorder="1"/>
    <xf numFmtId="1" fontId="6" fillId="5" borderId="871" xfId="0" applyNumberFormat="1" applyFont="1" applyFill="1" applyBorder="1" applyProtection="1">
      <protection locked="0"/>
    </xf>
    <xf numFmtId="1" fontId="6" fillId="0" borderId="725" xfId="0" applyNumberFormat="1" applyFont="1" applyBorder="1"/>
    <xf numFmtId="1" fontId="6" fillId="0" borderId="867" xfId="0" applyNumberFormat="1" applyFont="1" applyBorder="1" applyAlignment="1">
      <alignment horizontal="center" vertical="center" wrapText="1"/>
    </xf>
    <xf numFmtId="1" fontId="6" fillId="0" borderId="872" xfId="0" applyNumberFormat="1" applyFont="1" applyBorder="1" applyAlignment="1">
      <alignment horizontal="center" vertical="center" wrapText="1"/>
    </xf>
    <xf numFmtId="1" fontId="6" fillId="4" borderId="841" xfId="0" applyNumberFormat="1" applyFont="1" applyFill="1" applyBorder="1"/>
    <xf numFmtId="1" fontId="6" fillId="4" borderId="840" xfId="0" applyNumberFormat="1" applyFont="1" applyFill="1" applyBorder="1"/>
    <xf numFmtId="1" fontId="6" fillId="4" borderId="863" xfId="0" applyNumberFormat="1" applyFont="1" applyFill="1" applyBorder="1"/>
    <xf numFmtId="1" fontId="6" fillId="4" borderId="741" xfId="0" applyNumberFormat="1" applyFont="1" applyFill="1" applyBorder="1"/>
    <xf numFmtId="1" fontId="6" fillId="4" borderId="770" xfId="0" applyNumberFormat="1" applyFont="1" applyFill="1" applyBorder="1"/>
    <xf numFmtId="1" fontId="6" fillId="0" borderId="840" xfId="0" applyNumberFormat="1" applyFont="1" applyBorder="1" applyAlignment="1">
      <alignment horizontal="right"/>
    </xf>
    <xf numFmtId="1" fontId="6" fillId="0" borderId="768" xfId="0" applyNumberFormat="1" applyFont="1" applyBorder="1" applyAlignment="1">
      <alignment horizontal="right" wrapText="1"/>
    </xf>
    <xf numFmtId="1" fontId="6" fillId="0" borderId="818" xfId="0" applyNumberFormat="1" applyFont="1" applyBorder="1" applyAlignment="1">
      <alignment horizontal="right" wrapText="1"/>
    </xf>
    <xf numFmtId="1" fontId="6" fillId="0" borderId="510" xfId="0" applyNumberFormat="1" applyFont="1" applyBorder="1" applyAlignment="1">
      <alignment horizontal="right" wrapText="1"/>
    </xf>
    <xf numFmtId="1" fontId="6" fillId="0" borderId="824" xfId="0" applyNumberFormat="1" applyFont="1" applyBorder="1" applyAlignment="1">
      <alignment horizontal="right" wrapText="1"/>
    </xf>
    <xf numFmtId="1" fontId="6" fillId="0" borderId="873" xfId="0" applyNumberFormat="1" applyFont="1" applyBorder="1" applyAlignment="1">
      <alignment horizontal="center" vertical="center" wrapText="1"/>
    </xf>
    <xf numFmtId="1" fontId="6" fillId="0" borderId="843" xfId="0" applyNumberFormat="1" applyFont="1" applyBorder="1" applyAlignment="1">
      <alignment horizontal="right"/>
    </xf>
    <xf numFmtId="1" fontId="6" fillId="0" borderId="819" xfId="0" applyNumberFormat="1" applyFont="1" applyBorder="1" applyAlignment="1">
      <alignment horizontal="right" wrapText="1"/>
    </xf>
    <xf numFmtId="1" fontId="6" fillId="4" borderId="536" xfId="0" applyNumberFormat="1" applyFont="1" applyFill="1" applyBorder="1"/>
    <xf numFmtId="1" fontId="6" fillId="0" borderId="845" xfId="0" applyNumberFormat="1" applyFont="1" applyBorder="1"/>
    <xf numFmtId="1" fontId="6" fillId="5" borderId="874" xfId="0" applyNumberFormat="1" applyFont="1" applyFill="1" applyBorder="1" applyProtection="1">
      <protection locked="0"/>
    </xf>
    <xf numFmtId="1" fontId="6" fillId="5" borderId="873" xfId="0" applyNumberFormat="1" applyFont="1" applyFill="1" applyBorder="1" applyProtection="1">
      <protection locked="0"/>
    </xf>
    <xf numFmtId="1" fontId="6" fillId="5" borderId="877" xfId="0" applyNumberFormat="1" applyFont="1" applyFill="1" applyBorder="1" applyProtection="1">
      <protection locked="0"/>
    </xf>
    <xf numFmtId="1" fontId="6" fillId="5" borderId="875" xfId="0" applyNumberFormat="1" applyFont="1" applyFill="1" applyBorder="1" applyProtection="1">
      <protection locked="0"/>
    </xf>
    <xf numFmtId="1" fontId="6" fillId="5" borderId="881" xfId="0" applyNumberFormat="1" applyFont="1" applyFill="1" applyBorder="1" applyProtection="1">
      <protection locked="0"/>
    </xf>
    <xf numFmtId="1" fontId="6" fillId="5" borderId="882" xfId="0" applyNumberFormat="1" applyFont="1" applyFill="1" applyBorder="1" applyProtection="1">
      <protection locked="0"/>
    </xf>
    <xf numFmtId="1" fontId="6" fillId="0" borderId="428" xfId="0" applyNumberFormat="1" applyFont="1" applyBorder="1"/>
    <xf numFmtId="1" fontId="6" fillId="0" borderId="879" xfId="0" applyNumberFormat="1" applyFont="1" applyBorder="1" applyAlignment="1">
      <alignment horizontal="center" vertical="center" wrapText="1"/>
    </xf>
    <xf numFmtId="1" fontId="6" fillId="5" borderId="884" xfId="0" applyNumberFormat="1" applyFont="1" applyFill="1" applyBorder="1" applyProtection="1">
      <protection locked="0"/>
    </xf>
    <xf numFmtId="0" fontId="6" fillId="0" borderId="877" xfId="0" applyFont="1" applyBorder="1" applyAlignment="1">
      <alignment horizontal="center" vertical="center" wrapText="1"/>
    </xf>
    <xf numFmtId="1" fontId="6" fillId="0" borderId="875" xfId="0" applyNumberFormat="1" applyFont="1" applyBorder="1"/>
    <xf numFmtId="0" fontId="6" fillId="0" borderId="874" xfId="0" applyFont="1" applyBorder="1" applyAlignment="1">
      <alignment horizontal="center" vertical="center" wrapText="1"/>
    </xf>
    <xf numFmtId="1" fontId="6" fillId="0" borderId="863" xfId="0" applyNumberFormat="1" applyFont="1" applyBorder="1"/>
    <xf numFmtId="1" fontId="6" fillId="0" borderId="874" xfId="0" applyNumberFormat="1" applyFont="1" applyBorder="1"/>
    <xf numFmtId="0" fontId="6" fillId="0" borderId="866" xfId="0" applyFont="1" applyBorder="1" applyAlignment="1">
      <alignment horizontal="center" vertical="center" wrapText="1"/>
    </xf>
    <xf numFmtId="0" fontId="6" fillId="0" borderId="863" xfId="0" applyFont="1" applyBorder="1" applyAlignment="1">
      <alignment horizontal="right" vertical="center" wrapText="1"/>
    </xf>
    <xf numFmtId="1" fontId="6" fillId="0" borderId="863" xfId="0" applyNumberFormat="1" applyFont="1" applyBorder="1" applyAlignment="1">
      <alignment horizontal="right" vertical="center" wrapText="1"/>
    </xf>
    <xf numFmtId="0" fontId="6" fillId="0" borderId="808" xfId="0" applyFont="1" applyBorder="1" applyAlignment="1">
      <alignment horizontal="right" vertical="center" wrapText="1"/>
    </xf>
    <xf numFmtId="1" fontId="6" fillId="4" borderId="862" xfId="0" applyNumberFormat="1" applyFont="1" applyFill="1" applyBorder="1"/>
    <xf numFmtId="1" fontId="6" fillId="0" borderId="680" xfId="0" applyNumberFormat="1" applyFont="1" applyBorder="1"/>
    <xf numFmtId="1" fontId="6" fillId="5" borderId="879" xfId="0" applyNumberFormat="1" applyFont="1" applyFill="1" applyBorder="1" applyProtection="1">
      <protection locked="0"/>
    </xf>
    <xf numFmtId="1" fontId="6" fillId="5" borderId="760" xfId="0" applyNumberFormat="1" applyFont="1" applyFill="1" applyBorder="1" applyProtection="1">
      <protection locked="0"/>
    </xf>
    <xf numFmtId="1" fontId="6" fillId="5" borderId="758" xfId="0" applyNumberFormat="1" applyFont="1" applyFill="1" applyBorder="1" applyProtection="1">
      <protection locked="0"/>
    </xf>
    <xf numFmtId="1" fontId="6" fillId="15" borderId="811" xfId="0" applyNumberFormat="1" applyFont="1" applyFill="1" applyBorder="1" applyProtection="1">
      <protection locked="0"/>
    </xf>
    <xf numFmtId="1" fontId="6" fillId="12" borderId="814" xfId="0" applyNumberFormat="1" applyFont="1" applyFill="1" applyBorder="1"/>
    <xf numFmtId="1" fontId="6" fillId="4" borderId="814" xfId="0" applyNumberFormat="1" applyFont="1" applyFill="1" applyBorder="1"/>
    <xf numFmtId="1" fontId="6" fillId="15" borderId="814" xfId="0" applyNumberFormat="1" applyFont="1" applyFill="1" applyBorder="1" applyProtection="1">
      <protection locked="0"/>
    </xf>
    <xf numFmtId="0" fontId="46" fillId="14" borderId="0" xfId="0" applyFont="1" applyFill="1"/>
    <xf numFmtId="0" fontId="46" fillId="0" borderId="0" xfId="0" applyFont="1"/>
    <xf numFmtId="0" fontId="14" fillId="0" borderId="0" xfId="0" applyFont="1"/>
    <xf numFmtId="1" fontId="6" fillId="5" borderId="899" xfId="0" applyNumberFormat="1" applyFont="1" applyFill="1" applyBorder="1" applyProtection="1">
      <protection locked="0"/>
    </xf>
    <xf numFmtId="1" fontId="6" fillId="5" borderId="900" xfId="0" applyNumberFormat="1" applyFont="1" applyFill="1" applyBorder="1" applyProtection="1">
      <protection locked="0"/>
    </xf>
    <xf numFmtId="1" fontId="6" fillId="0" borderId="909" xfId="0" applyNumberFormat="1" applyFont="1" applyBorder="1" applyAlignment="1">
      <alignment horizontal="center" vertical="center" wrapText="1"/>
    </xf>
    <xf numFmtId="1" fontId="6" fillId="5" borderId="895" xfId="0" applyNumberFormat="1" applyFont="1" applyFill="1" applyBorder="1" applyProtection="1">
      <protection locked="0"/>
    </xf>
    <xf numFmtId="1" fontId="6" fillId="5" borderId="918" xfId="0" applyNumberFormat="1" applyFont="1" applyFill="1" applyBorder="1" applyProtection="1">
      <protection locked="0"/>
    </xf>
    <xf numFmtId="1" fontId="6" fillId="5" borderId="919" xfId="0" applyNumberFormat="1" applyFont="1" applyFill="1" applyBorder="1" applyProtection="1">
      <protection locked="0"/>
    </xf>
    <xf numFmtId="1" fontId="6" fillId="5" borderId="924" xfId="0" applyNumberFormat="1" applyFont="1" applyFill="1" applyBorder="1" applyProtection="1">
      <protection locked="0"/>
    </xf>
    <xf numFmtId="1" fontId="6" fillId="5" borderId="925" xfId="0" applyNumberFormat="1" applyFont="1" applyFill="1" applyBorder="1" applyProtection="1">
      <protection locked="0"/>
    </xf>
    <xf numFmtId="1" fontId="6" fillId="0" borderId="911" xfId="0" applyNumberFormat="1" applyFont="1" applyBorder="1" applyAlignment="1">
      <alignment horizontal="center" vertical="center"/>
    </xf>
    <xf numFmtId="1" fontId="6" fillId="5" borderId="887" xfId="0" applyNumberFormat="1" applyFont="1" applyFill="1" applyBorder="1" applyProtection="1">
      <protection locked="0"/>
    </xf>
    <xf numFmtId="1" fontId="6" fillId="5" borderId="928" xfId="0" applyNumberFormat="1" applyFont="1" applyFill="1" applyBorder="1" applyProtection="1">
      <protection locked="0"/>
    </xf>
    <xf numFmtId="1" fontId="6" fillId="0" borderId="901" xfId="0" applyNumberFormat="1" applyFont="1" applyBorder="1" applyAlignment="1">
      <alignment wrapText="1"/>
    </xf>
    <xf numFmtId="1" fontId="6" fillId="4" borderId="924" xfId="0" applyNumberFormat="1" applyFont="1" applyFill="1" applyBorder="1"/>
    <xf numFmtId="1" fontId="6" fillId="5" borderId="929" xfId="0" applyNumberFormat="1" applyFont="1" applyFill="1" applyBorder="1" applyProtection="1">
      <protection locked="0"/>
    </xf>
    <xf numFmtId="1" fontId="6" fillId="0" borderId="884" xfId="0" applyNumberFormat="1" applyFont="1" applyBorder="1" applyAlignment="1">
      <alignment horizontal="right" wrapText="1"/>
    </xf>
    <xf numFmtId="1" fontId="6" fillId="0" borderId="892" xfId="0" applyNumberFormat="1" applyFont="1" applyBorder="1"/>
    <xf numFmtId="1" fontId="6" fillId="0" borderId="912" xfId="0" applyNumberFormat="1" applyFont="1" applyBorder="1"/>
    <xf numFmtId="1" fontId="6" fillId="0" borderId="880" xfId="0" applyNumberFormat="1" applyFont="1" applyBorder="1"/>
    <xf numFmtId="1" fontId="6" fillId="0" borderId="885" xfId="0" applyNumberFormat="1" applyFont="1" applyBorder="1"/>
    <xf numFmtId="1" fontId="6" fillId="15" borderId="809" xfId="0" applyNumberFormat="1" applyFont="1" applyFill="1" applyBorder="1" applyProtection="1">
      <protection locked="0"/>
    </xf>
    <xf numFmtId="1" fontId="6" fillId="15" borderId="903" xfId="0" applyNumberFormat="1" applyFont="1" applyFill="1" applyBorder="1" applyProtection="1">
      <protection locked="0"/>
    </xf>
    <xf numFmtId="1" fontId="6" fillId="15" borderId="892" xfId="0" applyNumberFormat="1" applyFont="1" applyFill="1" applyBorder="1" applyProtection="1">
      <protection locked="0"/>
    </xf>
    <xf numFmtId="1" fontId="6" fillId="15" borderId="884" xfId="0" applyNumberFormat="1" applyFont="1" applyFill="1" applyBorder="1" applyProtection="1">
      <protection locked="0"/>
    </xf>
    <xf numFmtId="1" fontId="6" fillId="15" borderId="725" xfId="0" applyNumberFormat="1" applyFont="1" applyFill="1" applyBorder="1" applyProtection="1">
      <protection locked="0"/>
    </xf>
    <xf numFmtId="1" fontId="6" fillId="0" borderId="911" xfId="0" applyNumberFormat="1" applyFont="1" applyBorder="1" applyAlignment="1">
      <alignment horizontal="center" vertical="center" wrapText="1"/>
    </xf>
    <xf numFmtId="0" fontId="46" fillId="14" borderId="416" xfId="0" applyFont="1" applyFill="1" applyBorder="1"/>
    <xf numFmtId="0" fontId="47" fillId="0" borderId="0" xfId="0" applyFont="1"/>
    <xf numFmtId="1" fontId="6" fillId="5" borderId="946" xfId="0" applyNumberFormat="1" applyFont="1" applyFill="1" applyBorder="1" applyProtection="1">
      <protection locked="0"/>
    </xf>
    <xf numFmtId="1" fontId="6" fillId="0" borderId="863" xfId="23" applyNumberFormat="1" applyFont="1" applyBorder="1"/>
    <xf numFmtId="1" fontId="6" fillId="0" borderId="728" xfId="23" applyNumberFormat="1" applyFont="1" applyBorder="1"/>
    <xf numFmtId="1" fontId="6" fillId="0" borderId="424" xfId="23" applyNumberFormat="1" applyFont="1" applyBorder="1"/>
    <xf numFmtId="1" fontId="6" fillId="0" borderId="895" xfId="23" applyNumberFormat="1" applyFont="1" applyBorder="1"/>
    <xf numFmtId="1" fontId="6" fillId="0" borderId="784" xfId="23" applyNumberFormat="1" applyFont="1" applyBorder="1"/>
    <xf numFmtId="1" fontId="6" fillId="0" borderId="900" xfId="23" applyNumberFormat="1" applyFont="1" applyBorder="1"/>
    <xf numFmtId="1" fontId="6" fillId="5" borderId="895" xfId="1" applyNumberFormat="1" applyFont="1" applyFill="1" applyBorder="1" applyProtection="1">
      <protection locked="0"/>
    </xf>
    <xf numFmtId="1" fontId="6" fillId="5" borderId="784" xfId="1" applyNumberFormat="1" applyFont="1" applyFill="1" applyBorder="1" applyProtection="1">
      <protection locked="0"/>
    </xf>
    <xf numFmtId="1" fontId="6" fillId="5" borderId="924" xfId="1" applyNumberFormat="1" applyFont="1" applyFill="1" applyBorder="1" applyProtection="1">
      <protection locked="0"/>
    </xf>
    <xf numFmtId="1" fontId="6" fillId="5" borderId="708" xfId="1" applyNumberFormat="1" applyFont="1" applyFill="1" applyBorder="1" applyProtection="1">
      <protection locked="0"/>
    </xf>
    <xf numFmtId="1" fontId="6" fillId="5" borderId="918" xfId="1" applyNumberFormat="1" applyFont="1" applyFill="1" applyBorder="1" applyProtection="1">
      <protection locked="0"/>
    </xf>
    <xf numFmtId="1" fontId="6" fillId="0" borderId="944" xfId="1" applyNumberFormat="1" applyFont="1" applyBorder="1" applyAlignment="1">
      <alignment horizontal="right"/>
    </xf>
    <xf numFmtId="1" fontId="6" fillId="5" borderId="900" xfId="1" applyNumberFormat="1" applyFont="1" applyFill="1" applyBorder="1" applyProtection="1">
      <protection locked="0"/>
    </xf>
    <xf numFmtId="1" fontId="6" fillId="5" borderId="674" xfId="1" applyNumberFormat="1" applyFont="1" applyFill="1" applyBorder="1" applyProtection="1">
      <protection locked="0"/>
    </xf>
    <xf numFmtId="1" fontId="6" fillId="0" borderId="944" xfId="0" applyNumberFormat="1" applyFont="1" applyBorder="1" applyAlignment="1">
      <alignment horizontal="center" vertical="center"/>
    </xf>
    <xf numFmtId="1" fontId="6" fillId="5" borderId="949" xfId="1" applyNumberFormat="1" applyFont="1" applyFill="1" applyBorder="1" applyProtection="1">
      <protection locked="0"/>
    </xf>
    <xf numFmtId="1" fontId="6" fillId="5" borderId="919" xfId="1" applyNumberFormat="1" applyFont="1" applyFill="1" applyBorder="1" applyProtection="1">
      <protection locked="0"/>
    </xf>
    <xf numFmtId="1" fontId="6" fillId="5" borderId="949" xfId="0" applyNumberFormat="1" applyFont="1" applyFill="1" applyBorder="1" applyProtection="1">
      <protection locked="0"/>
    </xf>
    <xf numFmtId="1" fontId="6" fillId="5" borderId="894" xfId="0" applyNumberFormat="1" applyFont="1" applyFill="1" applyBorder="1" applyProtection="1">
      <protection locked="0"/>
    </xf>
    <xf numFmtId="1" fontId="6" fillId="5" borderId="934" xfId="0" applyNumberFormat="1" applyFont="1" applyFill="1" applyBorder="1" applyProtection="1">
      <protection locked="0"/>
    </xf>
    <xf numFmtId="1" fontId="6" fillId="5" borderId="956" xfId="0" applyNumberFormat="1" applyFont="1" applyFill="1" applyBorder="1" applyProtection="1">
      <protection locked="0"/>
    </xf>
    <xf numFmtId="1" fontId="6" fillId="5" borderId="957" xfId="0" applyNumberFormat="1" applyFont="1" applyFill="1" applyBorder="1" applyProtection="1">
      <protection locked="0"/>
    </xf>
    <xf numFmtId="1" fontId="6" fillId="0" borderId="955" xfId="0" applyNumberFormat="1" applyFont="1" applyBorder="1" applyAlignment="1">
      <alignment horizontal="center" vertical="center"/>
    </xf>
    <xf numFmtId="1" fontId="6" fillId="0" borderId="933" xfId="0" applyNumberFormat="1" applyFont="1" applyBorder="1" applyAlignment="1">
      <alignment horizontal="center" vertical="center" wrapText="1"/>
    </xf>
    <xf numFmtId="1" fontId="6" fillId="0" borderId="895" xfId="0" applyNumberFormat="1" applyFont="1" applyBorder="1"/>
    <xf numFmtId="1" fontId="6" fillId="0" borderId="900" xfId="0" applyNumberFormat="1" applyFont="1" applyBorder="1"/>
    <xf numFmtId="1" fontId="6" fillId="0" borderId="949" xfId="0" applyNumberFormat="1" applyFont="1" applyBorder="1"/>
    <xf numFmtId="1" fontId="6" fillId="0" borderId="918" xfId="0" applyNumberFormat="1" applyFont="1" applyBorder="1"/>
    <xf numFmtId="1" fontId="6" fillId="0" borderId="960" xfId="0" applyNumberFormat="1" applyFont="1" applyBorder="1"/>
    <xf numFmtId="1" fontId="6" fillId="24" borderId="922" xfId="0" applyNumberFormat="1" applyFont="1" applyFill="1" applyBorder="1" applyProtection="1">
      <protection locked="0"/>
    </xf>
    <xf numFmtId="1" fontId="6" fillId="5" borderId="960" xfId="0" applyNumberFormat="1" applyFont="1" applyFill="1" applyBorder="1" applyProtection="1">
      <protection locked="0"/>
    </xf>
    <xf numFmtId="1" fontId="6" fillId="0" borderId="909" xfId="28" applyNumberFormat="1" applyFont="1" applyBorder="1" applyAlignment="1">
      <alignment horizontal="center" vertical="center"/>
    </xf>
    <xf numFmtId="1" fontId="6" fillId="0" borderId="911" xfId="8" applyNumberFormat="1" applyFont="1" applyBorder="1" applyAlignment="1">
      <alignment horizontal="center" vertical="center" wrapText="1"/>
    </xf>
    <xf numFmtId="1" fontId="6" fillId="0" borderId="911" xfId="8" applyNumberFormat="1" applyFont="1" applyBorder="1" applyAlignment="1">
      <alignment horizontal="center" vertical="center"/>
    </xf>
    <xf numFmtId="1" fontId="6" fillId="5" borderId="909" xfId="28" applyNumberFormat="1" applyFont="1" applyFill="1" applyBorder="1" applyAlignment="1" applyProtection="1">
      <alignment horizontal="right"/>
      <protection locked="0"/>
    </xf>
    <xf numFmtId="1" fontId="6" fillId="5" borderId="911" xfId="28" applyNumberFormat="1" applyFont="1" applyFill="1" applyBorder="1" applyAlignment="1" applyProtection="1">
      <alignment horizontal="right"/>
      <protection locked="0"/>
    </xf>
    <xf numFmtId="1" fontId="6" fillId="5" borderId="863" xfId="28" applyNumberFormat="1" applyFont="1" applyFill="1" applyBorder="1" applyAlignment="1" applyProtection="1">
      <alignment horizontal="right"/>
      <protection locked="0"/>
    </xf>
    <xf numFmtId="1" fontId="6" fillId="5" borderId="728" xfId="28" applyNumberFormat="1" applyFont="1" applyFill="1" applyBorder="1" applyAlignment="1" applyProtection="1">
      <alignment horizontal="right"/>
      <protection locked="0"/>
    </xf>
    <xf numFmtId="1" fontId="6" fillId="5" borderId="401" xfId="28" applyNumberFormat="1" applyFont="1" applyFill="1" applyBorder="1" applyAlignment="1" applyProtection="1">
      <alignment horizontal="right"/>
      <protection locked="0"/>
    </xf>
    <xf numFmtId="1" fontId="6" fillId="5" borderId="375" xfId="28" applyNumberFormat="1" applyFont="1" applyFill="1" applyBorder="1" applyAlignment="1" applyProtection="1">
      <alignment horizontal="right"/>
      <protection locked="0"/>
    </xf>
    <xf numFmtId="1" fontId="6" fillId="5" borderId="895" xfId="28" applyNumberFormat="1" applyFont="1" applyFill="1" applyBorder="1" applyAlignment="1" applyProtection="1">
      <alignment horizontal="right"/>
      <protection locked="0"/>
    </xf>
    <xf numFmtId="1" fontId="6" fillId="5" borderId="784" xfId="28" applyNumberFormat="1" applyFont="1" applyFill="1" applyBorder="1" applyAlignment="1" applyProtection="1">
      <alignment horizontal="right"/>
      <protection locked="0"/>
    </xf>
    <xf numFmtId="1" fontId="6" fillId="5" borderId="924" xfId="28" applyNumberFormat="1" applyFont="1" applyFill="1" applyBorder="1" applyAlignment="1" applyProtection="1">
      <alignment horizontal="right"/>
      <protection locked="0"/>
    </xf>
    <xf numFmtId="1" fontId="6" fillId="5" borderId="919" xfId="28" applyNumberFormat="1" applyFont="1" applyFill="1" applyBorder="1" applyAlignment="1" applyProtection="1">
      <alignment horizontal="right"/>
      <protection locked="0"/>
    </xf>
    <xf numFmtId="1" fontId="6" fillId="0" borderId="945" xfId="0" applyNumberFormat="1" applyFont="1" applyBorder="1"/>
    <xf numFmtId="1" fontId="6" fillId="5" borderId="769" xfId="0" applyNumberFormat="1" applyFont="1" applyFill="1" applyBorder="1" applyProtection="1">
      <protection locked="0"/>
    </xf>
    <xf numFmtId="1" fontId="6" fillId="0" borderId="952" xfId="0" applyNumberFormat="1" applyFont="1" applyBorder="1"/>
    <xf numFmtId="1" fontId="6" fillId="0" borderId="933" xfId="0" applyNumberFormat="1" applyFont="1" applyBorder="1"/>
    <xf numFmtId="1" fontId="6" fillId="5" borderId="958" xfId="0" applyNumberFormat="1" applyFont="1" applyFill="1" applyBorder="1" applyProtection="1">
      <protection locked="0"/>
    </xf>
    <xf numFmtId="1" fontId="6" fillId="5" borderId="885" xfId="0" applyNumberFormat="1" applyFont="1" applyFill="1" applyBorder="1" applyProtection="1">
      <protection locked="0"/>
    </xf>
    <xf numFmtId="1" fontId="6" fillId="0" borderId="922" xfId="0" applyNumberFormat="1" applyFont="1" applyBorder="1" applyAlignment="1">
      <alignment vertical="center" wrapText="1"/>
    </xf>
    <xf numFmtId="1" fontId="6" fillId="5" borderId="962" xfId="0" applyNumberFormat="1" applyFont="1" applyFill="1" applyBorder="1" applyProtection="1">
      <protection locked="0"/>
    </xf>
    <xf numFmtId="1" fontId="6" fillId="5" borderId="883" xfId="0" applyNumberFormat="1" applyFont="1" applyFill="1" applyBorder="1" applyProtection="1">
      <protection locked="0"/>
    </xf>
    <xf numFmtId="1" fontId="6" fillId="5" borderId="959" xfId="0" applyNumberFormat="1" applyFont="1" applyFill="1" applyBorder="1" applyProtection="1">
      <protection locked="0"/>
    </xf>
    <xf numFmtId="0" fontId="5" fillId="0" borderId="955" xfId="0" applyFont="1" applyBorder="1" applyProtection="1">
      <protection hidden="1"/>
    </xf>
    <xf numFmtId="1" fontId="5" fillId="0" borderId="955" xfId="0" applyNumberFormat="1" applyFont="1" applyBorder="1" applyProtection="1">
      <protection hidden="1"/>
    </xf>
    <xf numFmtId="0" fontId="6" fillId="0" borderId="955" xfId="0" applyFont="1" applyBorder="1" applyProtection="1">
      <protection locked="0"/>
    </xf>
    <xf numFmtId="0" fontId="3" fillId="0" borderId="955" xfId="0" applyFont="1" applyBorder="1" applyProtection="1">
      <protection locked="0"/>
    </xf>
    <xf numFmtId="1" fontId="6" fillId="4" borderId="375" xfId="0" applyNumberFormat="1" applyFont="1" applyFill="1" applyBorder="1"/>
    <xf numFmtId="1" fontId="6" fillId="0" borderId="963" xfId="0" applyNumberFormat="1" applyFont="1" applyBorder="1"/>
    <xf numFmtId="1" fontId="6" fillId="0" borderId="901" xfId="0" applyNumberFormat="1" applyFont="1" applyBorder="1"/>
    <xf numFmtId="1" fontId="6" fillId="5" borderId="964" xfId="0" applyNumberFormat="1" applyFont="1" applyFill="1" applyBorder="1" applyProtection="1">
      <protection locked="0"/>
    </xf>
    <xf numFmtId="1" fontId="6" fillId="5" borderId="965" xfId="0" applyNumberFormat="1" applyFont="1" applyFill="1" applyBorder="1" applyProtection="1">
      <protection locked="0"/>
    </xf>
    <xf numFmtId="1" fontId="6" fillId="4" borderId="615" xfId="0" applyNumberFormat="1" applyFont="1" applyFill="1" applyBorder="1"/>
    <xf numFmtId="1" fontId="6" fillId="4" borderId="964" xfId="0" applyNumberFormat="1" applyFont="1" applyFill="1" applyBorder="1"/>
    <xf numFmtId="1" fontId="6" fillId="0" borderId="884" xfId="0" applyNumberFormat="1" applyFont="1" applyBorder="1"/>
    <xf numFmtId="1" fontId="6" fillId="0" borderId="894" xfId="0" applyNumberFormat="1" applyFont="1" applyBorder="1"/>
    <xf numFmtId="1" fontId="6" fillId="0" borderId="724" xfId="0" applyNumberFormat="1" applyFont="1" applyBorder="1"/>
    <xf numFmtId="1" fontId="6" fillId="0" borderId="861" xfId="0" applyNumberFormat="1" applyFont="1" applyBorder="1"/>
    <xf numFmtId="1" fontId="6" fillId="5" borderId="969" xfId="0" applyNumberFormat="1" applyFont="1" applyFill="1" applyBorder="1" applyProtection="1">
      <protection locked="0"/>
    </xf>
    <xf numFmtId="1" fontId="6" fillId="0" borderId="970" xfId="0" applyNumberFormat="1" applyFont="1" applyBorder="1"/>
    <xf numFmtId="1" fontId="6" fillId="0" borderId="948" xfId="0" applyNumberFormat="1" applyFont="1" applyBorder="1"/>
    <xf numFmtId="1" fontId="6" fillId="0" borderId="903" xfId="0" applyNumberFormat="1" applyFont="1" applyBorder="1"/>
    <xf numFmtId="1" fontId="6" fillId="0" borderId="960" xfId="0" applyNumberFormat="1" applyFont="1" applyBorder="1" applyAlignment="1">
      <alignment wrapText="1"/>
    </xf>
    <xf numFmtId="1" fontId="6" fillId="4" borderId="919" xfId="0" applyNumberFormat="1" applyFont="1" applyFill="1" applyBorder="1"/>
    <xf numFmtId="1" fontId="6" fillId="4" borderId="979" xfId="0" applyNumberFormat="1" applyFont="1" applyFill="1" applyBorder="1"/>
    <xf numFmtId="1" fontId="6" fillId="4" borderId="903" xfId="0" applyNumberFormat="1" applyFont="1" applyFill="1" applyBorder="1"/>
    <xf numFmtId="1" fontId="6" fillId="4" borderId="104" xfId="0" applyNumberFormat="1" applyFont="1" applyFill="1" applyBorder="1"/>
    <xf numFmtId="1" fontId="6" fillId="4" borderId="354" xfId="0" applyNumberFormat="1" applyFont="1" applyFill="1" applyBorder="1"/>
    <xf numFmtId="1" fontId="6" fillId="5" borderId="980" xfId="0" applyNumberFormat="1" applyFont="1" applyFill="1" applyBorder="1" applyProtection="1">
      <protection locked="0"/>
    </xf>
    <xf numFmtId="1" fontId="6" fillId="5" borderId="981" xfId="0" applyNumberFormat="1" applyFont="1" applyFill="1" applyBorder="1" applyProtection="1">
      <protection locked="0"/>
    </xf>
    <xf numFmtId="0" fontId="6" fillId="0" borderId="971" xfId="0" applyFont="1" applyBorder="1" applyAlignment="1">
      <alignment horizontal="center" vertical="center" wrapText="1"/>
    </xf>
    <xf numFmtId="0" fontId="6" fillId="0" borderId="945" xfId="0" applyFont="1" applyBorder="1" applyAlignment="1">
      <alignment horizontal="center" vertical="center" wrapText="1"/>
    </xf>
    <xf numFmtId="0" fontId="6" fillId="0" borderId="951" xfId="0" applyFont="1" applyBorder="1" applyAlignment="1">
      <alignment horizontal="center" vertical="center" wrapText="1"/>
    </xf>
    <xf numFmtId="1" fontId="6" fillId="5" borderId="979" xfId="0" applyNumberFormat="1" applyFont="1" applyFill="1" applyBorder="1" applyProtection="1">
      <protection locked="0"/>
    </xf>
    <xf numFmtId="1" fontId="6" fillId="0" borderId="971" xfId="0" applyNumberFormat="1" applyFont="1" applyBorder="1"/>
    <xf numFmtId="1" fontId="6" fillId="0" borderId="510" xfId="0" applyNumberFormat="1" applyFont="1" applyBorder="1" applyAlignment="1">
      <alignment horizontal="right" vertical="center" wrapText="1"/>
    </xf>
    <xf numFmtId="1" fontId="6" fillId="0" borderId="886" xfId="0" applyNumberFormat="1" applyFont="1" applyBorder="1" applyAlignment="1">
      <alignment horizontal="center" vertical="center" wrapText="1"/>
    </xf>
    <xf numFmtId="1" fontId="6" fillId="0" borderId="35" xfId="0" applyNumberFormat="1" applyFont="1" applyBorder="1" applyAlignment="1">
      <alignment horizontal="right" vertical="center" wrapText="1"/>
    </xf>
    <xf numFmtId="1" fontId="6" fillId="0" borderId="951" xfId="0" applyNumberFormat="1" applyFont="1" applyBorder="1" applyAlignment="1">
      <alignment horizontal="right" vertical="center" wrapText="1"/>
    </xf>
    <xf numFmtId="1" fontId="6" fillId="5" borderId="968" xfId="0" applyNumberFormat="1" applyFont="1" applyFill="1" applyBorder="1" applyProtection="1">
      <protection locked="0"/>
    </xf>
    <xf numFmtId="1" fontId="6" fillId="5" borderId="973" xfId="0" applyNumberFormat="1" applyFont="1" applyFill="1" applyBorder="1" applyProtection="1">
      <protection locked="0"/>
    </xf>
    <xf numFmtId="1" fontId="6" fillId="5" borderId="974" xfId="0" applyNumberFormat="1" applyFont="1" applyFill="1" applyBorder="1" applyProtection="1">
      <protection locked="0"/>
    </xf>
    <xf numFmtId="1" fontId="6" fillId="3" borderId="259" xfId="0" applyNumberFormat="1" applyFont="1" applyFill="1" applyBorder="1" applyAlignment="1">
      <alignment horizontal="right" wrapText="1"/>
    </xf>
    <xf numFmtId="1" fontId="6" fillId="5" borderId="768" xfId="0" applyNumberFormat="1" applyFont="1" applyFill="1" applyBorder="1" applyAlignment="1" applyProtection="1">
      <alignment wrapText="1"/>
      <protection locked="0"/>
    </xf>
    <xf numFmtId="1" fontId="6" fillId="12" borderId="71" xfId="0" applyNumberFormat="1" applyFont="1" applyFill="1" applyBorder="1" applyProtection="1">
      <protection locked="0"/>
    </xf>
    <xf numFmtId="1" fontId="6" fillId="0" borderId="732" xfId="0" applyNumberFormat="1" applyFont="1" applyBorder="1" applyAlignment="1">
      <alignment horizontal="center" vertical="center" wrapText="1"/>
    </xf>
    <xf numFmtId="1" fontId="6" fillId="0" borderId="733" xfId="0" applyNumberFormat="1" applyFont="1" applyBorder="1" applyAlignment="1">
      <alignment horizontal="center" vertical="center" wrapText="1"/>
    </xf>
    <xf numFmtId="1" fontId="6" fillId="0" borderId="239" xfId="0" applyNumberFormat="1" applyFont="1" applyBorder="1" applyAlignment="1">
      <alignment horizontal="center" vertical="center" wrapText="1"/>
    </xf>
    <xf numFmtId="1" fontId="6" fillId="0" borderId="175" xfId="0" applyNumberFormat="1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horizontal="left" vertical="center" wrapText="1"/>
    </xf>
    <xf numFmtId="1" fontId="6" fillId="0" borderId="432" xfId="0" applyNumberFormat="1" applyFont="1" applyBorder="1" applyAlignment="1">
      <alignment horizontal="center" vertical="center" wrapText="1"/>
    </xf>
    <xf numFmtId="1" fontId="6" fillId="0" borderId="734" xfId="0" applyNumberFormat="1" applyFont="1" applyBorder="1" applyAlignment="1">
      <alignment horizontal="center" vertical="center" wrapText="1"/>
    </xf>
    <xf numFmtId="1" fontId="6" fillId="0" borderId="224" xfId="0" applyNumberFormat="1" applyFont="1" applyBorder="1" applyAlignment="1">
      <alignment horizontal="center" vertical="center" wrapText="1"/>
    </xf>
    <xf numFmtId="1" fontId="6" fillId="0" borderId="225" xfId="0" applyNumberFormat="1" applyFont="1" applyBorder="1" applyAlignment="1">
      <alignment horizontal="center" vertical="center" wrapText="1"/>
    </xf>
    <xf numFmtId="1" fontId="6" fillId="0" borderId="227" xfId="0" applyNumberFormat="1" applyFont="1" applyBorder="1" applyAlignment="1">
      <alignment horizontal="center" vertical="center" wrapText="1"/>
    </xf>
    <xf numFmtId="1" fontId="6" fillId="0" borderId="236" xfId="0" applyNumberFormat="1" applyFont="1" applyBorder="1" applyAlignment="1">
      <alignment horizontal="center" vertical="center"/>
    </xf>
    <xf numFmtId="1" fontId="6" fillId="0" borderId="29" xfId="0" applyNumberFormat="1" applyFont="1" applyBorder="1" applyAlignment="1">
      <alignment horizontal="left" vertical="center" wrapText="1"/>
    </xf>
    <xf numFmtId="1" fontId="6" fillId="0" borderId="240" xfId="0" applyNumberFormat="1" applyFont="1" applyBorder="1" applyAlignment="1">
      <alignment horizontal="center" vertical="center" wrapText="1"/>
    </xf>
    <xf numFmtId="1" fontId="6" fillId="0" borderId="177" xfId="0" applyNumberFormat="1" applyFont="1" applyBorder="1" applyAlignment="1">
      <alignment horizontal="center" vertical="center" wrapText="1"/>
    </xf>
    <xf numFmtId="1" fontId="6" fillId="0" borderId="68" xfId="0" applyNumberFormat="1" applyFont="1" applyBorder="1" applyAlignment="1">
      <alignment horizontal="center" vertical="center" wrapText="1"/>
    </xf>
    <xf numFmtId="1" fontId="6" fillId="0" borderId="227" xfId="0" applyNumberFormat="1" applyFont="1" applyBorder="1" applyAlignment="1">
      <alignment horizontal="center" vertical="center"/>
    </xf>
    <xf numFmtId="1" fontId="6" fillId="0" borderId="240" xfId="23" applyNumberFormat="1" applyFont="1" applyBorder="1" applyAlignment="1">
      <alignment horizontal="center" vertical="center" wrapText="1"/>
    </xf>
    <xf numFmtId="1" fontId="6" fillId="0" borderId="230" xfId="0" applyNumberFormat="1" applyFont="1" applyBorder="1" applyAlignment="1">
      <alignment horizontal="center" vertical="center" wrapText="1"/>
    </xf>
    <xf numFmtId="1" fontId="6" fillId="0" borderId="274" xfId="0" applyNumberFormat="1" applyFont="1" applyBorder="1" applyAlignment="1">
      <alignment horizontal="center" vertical="center" wrapText="1"/>
    </xf>
    <xf numFmtId="1" fontId="6" fillId="0" borderId="345" xfId="0" applyNumberFormat="1" applyFont="1" applyBorder="1" applyAlignment="1">
      <alignment horizontal="center" vertical="center" wrapText="1"/>
    </xf>
    <xf numFmtId="1" fontId="6" fillId="0" borderId="698" xfId="23" applyNumberFormat="1" applyFont="1" applyBorder="1" applyAlignment="1">
      <alignment horizontal="center" vertical="center" wrapText="1"/>
    </xf>
    <xf numFmtId="1" fontId="6" fillId="0" borderId="284" xfId="0" applyNumberFormat="1" applyFont="1" applyBorder="1" applyAlignment="1">
      <alignment horizontal="center" vertical="center" wrapText="1"/>
    </xf>
    <xf numFmtId="1" fontId="6" fillId="0" borderId="275" xfId="0" applyNumberFormat="1" applyFont="1" applyBorder="1" applyAlignment="1">
      <alignment horizontal="center" vertical="center"/>
    </xf>
    <xf numFmtId="1" fontId="6" fillId="0" borderId="284" xfId="0" applyNumberFormat="1" applyFont="1" applyBorder="1" applyAlignment="1">
      <alignment horizontal="center" vertical="center"/>
    </xf>
    <xf numFmtId="1" fontId="6" fillId="0" borderId="37" xfId="0" applyNumberFormat="1" applyFont="1" applyBorder="1" applyAlignment="1">
      <alignment horizontal="left" vertical="center"/>
    </xf>
    <xf numFmtId="1" fontId="6" fillId="0" borderId="275" xfId="0" applyNumberFormat="1" applyFont="1" applyBorder="1" applyAlignment="1">
      <alignment horizontal="center" vertical="center" wrapText="1"/>
    </xf>
    <xf numFmtId="1" fontId="6" fillId="0" borderId="68" xfId="0" applyNumberFormat="1" applyFont="1" applyBorder="1" applyAlignment="1">
      <alignment horizontal="center" vertical="center"/>
    </xf>
    <xf numFmtId="1" fontId="6" fillId="0" borderId="339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1" fontId="6" fillId="0" borderId="37" xfId="0" applyNumberFormat="1" applyFont="1" applyBorder="1" applyAlignment="1">
      <alignment horizontal="center" vertical="center" wrapText="1"/>
    </xf>
    <xf numFmtId="1" fontId="6" fillId="0" borderId="24" xfId="0" applyNumberFormat="1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horizontal="left"/>
    </xf>
    <xf numFmtId="1" fontId="6" fillId="0" borderId="684" xfId="0" applyNumberFormat="1" applyFont="1" applyBorder="1" applyAlignment="1">
      <alignment horizontal="left" vertical="center" wrapText="1"/>
    </xf>
    <xf numFmtId="1" fontId="6" fillId="0" borderId="426" xfId="0" applyNumberFormat="1" applyFont="1" applyBorder="1" applyAlignment="1">
      <alignment horizontal="left" vertical="center" wrapText="1"/>
    </xf>
    <xf numFmtId="1" fontId="6" fillId="0" borderId="420" xfId="0" applyNumberFormat="1" applyFont="1" applyBorder="1" applyAlignment="1">
      <alignment horizontal="center" vertical="center" wrapText="1"/>
    </xf>
    <xf numFmtId="1" fontId="6" fillId="0" borderId="363" xfId="0" applyNumberFormat="1" applyFont="1" applyBorder="1" applyAlignment="1">
      <alignment horizontal="center" vertical="center" wrapText="1"/>
    </xf>
    <xf numFmtId="1" fontId="6" fillId="0" borderId="334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vertical="center" wrapText="1"/>
    </xf>
    <xf numFmtId="1" fontId="6" fillId="0" borderId="40" xfId="0" applyNumberFormat="1" applyFont="1" applyBorder="1" applyAlignment="1">
      <alignment horizontal="left" vertical="center" wrapText="1"/>
    </xf>
    <xf numFmtId="1" fontId="6" fillId="0" borderId="327" xfId="0" applyNumberFormat="1" applyFont="1" applyBorder="1" applyAlignment="1">
      <alignment vertical="center" wrapText="1"/>
    </xf>
    <xf numFmtId="1" fontId="6" fillId="0" borderId="40" xfId="0" applyNumberFormat="1" applyFont="1" applyBorder="1" applyAlignment="1">
      <alignment vertical="center" wrapText="1"/>
    </xf>
    <xf numFmtId="1" fontId="4" fillId="3" borderId="0" xfId="0" applyNumberFormat="1" applyFont="1" applyFill="1" applyAlignment="1">
      <alignment wrapText="1"/>
    </xf>
    <xf numFmtId="1" fontId="6" fillId="0" borderId="174" xfId="0" applyNumberFormat="1" applyFont="1" applyBorder="1" applyAlignment="1">
      <alignment horizontal="center" vertical="center"/>
    </xf>
    <xf numFmtId="1" fontId="6" fillId="0" borderId="174" xfId="0" applyNumberFormat="1" applyFont="1" applyBorder="1" applyAlignment="1">
      <alignment horizontal="center" vertical="center" wrapText="1"/>
    </xf>
    <xf numFmtId="1" fontId="6" fillId="0" borderId="173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left"/>
    </xf>
    <xf numFmtId="1" fontId="6" fillId="0" borderId="510" xfId="0" applyNumberFormat="1" applyFont="1" applyBorder="1" applyAlignment="1">
      <alignment horizontal="center" vertical="center"/>
    </xf>
    <xf numFmtId="1" fontId="6" fillId="0" borderId="537" xfId="0" applyNumberFormat="1" applyFont="1" applyBorder="1" applyAlignment="1">
      <alignment horizontal="center" vertical="center" wrapText="1"/>
    </xf>
    <xf numFmtId="1" fontId="6" fillId="0" borderId="282" xfId="0" applyNumberFormat="1" applyFont="1" applyBorder="1" applyAlignment="1">
      <alignment horizontal="center" vertical="center" wrapText="1"/>
    </xf>
    <xf numFmtId="1" fontId="6" fillId="0" borderId="226" xfId="0" applyNumberFormat="1" applyFont="1" applyBorder="1" applyAlignment="1">
      <alignment horizontal="center" vertical="center" wrapText="1"/>
    </xf>
    <xf numFmtId="1" fontId="6" fillId="0" borderId="282" xfId="0" applyNumberFormat="1" applyFont="1" applyBorder="1" applyAlignment="1">
      <alignment horizontal="center" vertical="center"/>
    </xf>
    <xf numFmtId="1" fontId="6" fillId="0" borderId="269" xfId="0" applyNumberFormat="1" applyFont="1" applyBorder="1" applyAlignment="1">
      <alignment horizontal="center" vertical="center" wrapText="1"/>
    </xf>
    <xf numFmtId="1" fontId="6" fillId="0" borderId="221" xfId="0" applyNumberFormat="1" applyFont="1" applyBorder="1" applyAlignment="1">
      <alignment horizontal="center" vertical="center" wrapText="1"/>
    </xf>
    <xf numFmtId="1" fontId="6" fillId="0" borderId="142" xfId="0" applyNumberFormat="1" applyFont="1" applyBorder="1" applyAlignment="1">
      <alignment horizontal="center" vertical="center" wrapText="1"/>
    </xf>
    <xf numFmtId="1" fontId="6" fillId="0" borderId="178" xfId="0" applyNumberFormat="1" applyFont="1" applyBorder="1" applyAlignment="1">
      <alignment horizontal="center" vertical="center" wrapText="1"/>
    </xf>
    <xf numFmtId="1" fontId="6" fillId="0" borderId="144" xfId="0" applyNumberFormat="1" applyFont="1" applyBorder="1" applyAlignment="1">
      <alignment horizontal="center" vertical="center" wrapText="1"/>
    </xf>
    <xf numFmtId="1" fontId="6" fillId="0" borderId="887" xfId="0" applyNumberFormat="1" applyFont="1" applyBorder="1" applyAlignment="1">
      <alignment horizontal="center" vertical="center" wrapText="1"/>
    </xf>
    <xf numFmtId="1" fontId="6" fillId="0" borderId="926" xfId="0" applyNumberFormat="1" applyFont="1" applyBorder="1" applyAlignment="1">
      <alignment horizontal="center" vertical="center" wrapText="1"/>
    </xf>
    <xf numFmtId="1" fontId="6" fillId="0" borderId="927" xfId="0" applyNumberFormat="1" applyFont="1" applyBorder="1" applyAlignment="1">
      <alignment horizontal="center" vertical="center" wrapText="1"/>
    </xf>
    <xf numFmtId="1" fontId="6" fillId="0" borderId="282" xfId="0" applyNumberFormat="1" applyFont="1" applyBorder="1" applyAlignment="1">
      <alignment horizontal="center"/>
    </xf>
    <xf numFmtId="1" fontId="6" fillId="0" borderId="844" xfId="0" applyNumberFormat="1" applyFont="1" applyBorder="1" applyAlignment="1">
      <alignment horizontal="center" vertical="center" wrapText="1"/>
    </xf>
    <xf numFmtId="1" fontId="6" fillId="0" borderId="437" xfId="0" applyNumberFormat="1" applyFont="1" applyBorder="1" applyAlignment="1">
      <alignment horizontal="center" vertical="center" wrapText="1"/>
    </xf>
    <xf numFmtId="1" fontId="6" fillId="0" borderId="692" xfId="0" applyNumberFormat="1" applyFont="1" applyBorder="1" applyAlignment="1">
      <alignment horizontal="center" vertical="center" wrapText="1"/>
    </xf>
    <xf numFmtId="1" fontId="6" fillId="0" borderId="849" xfId="0" applyNumberFormat="1" applyFont="1" applyBorder="1" applyAlignment="1">
      <alignment horizontal="center" vertical="center" wrapText="1"/>
    </xf>
    <xf numFmtId="1" fontId="6" fillId="0" borderId="795" xfId="0" applyNumberFormat="1" applyFont="1" applyBorder="1" applyAlignment="1">
      <alignment horizontal="center" vertical="center" wrapText="1"/>
    </xf>
    <xf numFmtId="1" fontId="6" fillId="0" borderId="871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/>
    </xf>
    <xf numFmtId="1" fontId="6" fillId="0" borderId="50" xfId="0" applyNumberFormat="1" applyFont="1" applyBorder="1" applyAlignment="1">
      <alignment horizontal="left" vertical="center"/>
    </xf>
    <xf numFmtId="1" fontId="6" fillId="0" borderId="242" xfId="0" applyNumberFormat="1" applyFont="1" applyBorder="1" applyAlignment="1">
      <alignment horizontal="center" vertical="center" wrapText="1"/>
    </xf>
    <xf numFmtId="1" fontId="6" fillId="0" borderId="152" xfId="0" applyNumberFormat="1" applyFont="1" applyBorder="1" applyAlignment="1">
      <alignment horizontal="center" vertical="center" wrapText="1"/>
    </xf>
    <xf numFmtId="1" fontId="6" fillId="0" borderId="237" xfId="0" applyNumberFormat="1" applyFont="1" applyBorder="1" applyAlignment="1">
      <alignment horizontal="center" vertical="center" wrapText="1"/>
    </xf>
    <xf numFmtId="1" fontId="6" fillId="0" borderId="177" xfId="0" applyNumberFormat="1" applyFont="1" applyBorder="1" applyAlignment="1">
      <alignment horizontal="left" vertical="center"/>
    </xf>
    <xf numFmtId="1" fontId="6" fillId="0" borderId="143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wrapText="1"/>
    </xf>
    <xf numFmtId="1" fontId="6" fillId="0" borderId="685" xfId="0" applyNumberFormat="1" applyFont="1" applyBorder="1" applyAlignment="1">
      <alignment horizontal="center" vertical="center" wrapText="1"/>
    </xf>
    <xf numFmtId="1" fontId="6" fillId="0" borderId="704" xfId="0" applyNumberFormat="1" applyFont="1" applyBorder="1" applyAlignment="1">
      <alignment horizontal="center" vertical="center" wrapText="1"/>
    </xf>
    <xf numFmtId="1" fontId="6" fillId="0" borderId="887" xfId="0" applyNumberFormat="1" applyFont="1" applyBorder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 wrapText="1"/>
    </xf>
    <xf numFmtId="1" fontId="6" fillId="0" borderId="35" xfId="0" applyNumberFormat="1" applyFont="1" applyBorder="1"/>
    <xf numFmtId="1" fontId="6" fillId="0" borderId="431" xfId="0" applyNumberFormat="1" applyFont="1" applyBorder="1" applyAlignment="1">
      <alignment horizontal="center" vertical="center" wrapText="1"/>
    </xf>
    <xf numFmtId="1" fontId="6" fillId="0" borderId="519" xfId="0" applyNumberFormat="1" applyFont="1" applyBorder="1" applyAlignment="1">
      <alignment horizontal="left"/>
    </xf>
    <xf numFmtId="1" fontId="6" fillId="0" borderId="519" xfId="0" applyNumberFormat="1" applyFont="1" applyBorder="1" applyAlignment="1">
      <alignment horizontal="left" wrapText="1"/>
    </xf>
    <xf numFmtId="1" fontId="6" fillId="0" borderId="23" xfId="0" applyNumberFormat="1" applyFont="1" applyBorder="1" applyAlignment="1">
      <alignment horizontal="left"/>
    </xf>
    <xf numFmtId="0" fontId="6" fillId="0" borderId="496" xfId="0" applyFont="1" applyBorder="1" applyAlignment="1">
      <alignment horizontal="center" vertical="center" wrapText="1"/>
    </xf>
    <xf numFmtId="0" fontId="6" fillId="0" borderId="507" xfId="0" applyFont="1" applyBorder="1" applyAlignment="1">
      <alignment horizontal="center" vertical="center" wrapText="1"/>
    </xf>
    <xf numFmtId="0" fontId="6" fillId="0" borderId="491" xfId="0" applyFont="1" applyBorder="1" applyAlignment="1">
      <alignment horizontal="center" vertical="center" wrapText="1"/>
    </xf>
    <xf numFmtId="1" fontId="6" fillId="0" borderId="361" xfId="0" applyNumberFormat="1" applyFont="1" applyBorder="1" applyAlignment="1">
      <alignment horizontal="center" vertical="center" wrapText="1"/>
    </xf>
    <xf numFmtId="1" fontId="6" fillId="0" borderId="368" xfId="0" applyNumberFormat="1" applyFont="1" applyBorder="1" applyAlignment="1">
      <alignment horizontal="center" vertical="center" wrapText="1"/>
    </xf>
    <xf numFmtId="1" fontId="6" fillId="0" borderId="114" xfId="0" applyNumberFormat="1" applyFont="1" applyBorder="1" applyAlignment="1">
      <alignment horizontal="center" vertical="center" wrapText="1"/>
    </xf>
    <xf numFmtId="1" fontId="2" fillId="3" borderId="0" xfId="0" applyNumberFormat="1" applyFont="1" applyFill="1" applyAlignment="1">
      <alignment wrapText="1"/>
    </xf>
    <xf numFmtId="1" fontId="6" fillId="0" borderId="241" xfId="28" applyNumberFormat="1" applyFont="1" applyBorder="1" applyAlignment="1">
      <alignment horizontal="center" vertical="center" wrapText="1"/>
    </xf>
    <xf numFmtId="1" fontId="6" fillId="0" borderId="449" xfId="28" applyNumberFormat="1" applyFont="1" applyBorder="1" applyAlignment="1">
      <alignment horizontal="center" vertical="center" wrapText="1"/>
    </xf>
    <xf numFmtId="1" fontId="6" fillId="0" borderId="435" xfId="28" applyNumberFormat="1" applyFont="1" applyBorder="1" applyAlignment="1">
      <alignment horizontal="center" vertical="center" wrapText="1"/>
    </xf>
    <xf numFmtId="1" fontId="6" fillId="3" borderId="440" xfId="0" applyNumberFormat="1" applyFont="1" applyFill="1" applyBorder="1" applyAlignment="1">
      <alignment horizontal="center" vertical="center"/>
    </xf>
    <xf numFmtId="1" fontId="4" fillId="0" borderId="175" xfId="0" applyNumberFormat="1" applyFont="1" applyBorder="1"/>
    <xf numFmtId="1" fontId="6" fillId="0" borderId="456" xfId="28" applyNumberFormat="1" applyFont="1" applyBorder="1" applyAlignment="1">
      <alignment horizontal="center" vertical="center" wrapText="1"/>
    </xf>
    <xf numFmtId="1" fontId="6" fillId="0" borderId="223" xfId="28" applyNumberFormat="1" applyFont="1" applyBorder="1" applyAlignment="1">
      <alignment horizontal="center" vertical="center" wrapText="1"/>
    </xf>
    <xf numFmtId="1" fontId="6" fillId="0" borderId="23" xfId="28" applyNumberFormat="1" applyFont="1" applyBorder="1" applyAlignment="1">
      <alignment horizontal="left"/>
    </xf>
    <xf numFmtId="1" fontId="6" fillId="0" borderId="39" xfId="0" applyNumberFormat="1" applyFont="1" applyBorder="1" applyAlignment="1">
      <alignment horizontal="left" vertical="center"/>
    </xf>
    <xf numFmtId="1" fontId="6" fillId="0" borderId="511" xfId="0" applyNumberFormat="1" applyFont="1" applyBorder="1" applyAlignment="1">
      <alignment horizontal="center" vertical="center" wrapText="1"/>
    </xf>
    <xf numFmtId="1" fontId="6" fillId="0" borderId="236" xfId="0" applyNumberFormat="1" applyFont="1" applyBorder="1" applyAlignment="1">
      <alignment horizontal="left" vertical="center" wrapText="1"/>
    </xf>
    <xf numFmtId="1" fontId="6" fillId="3" borderId="440" xfId="0" applyNumberFormat="1" applyFont="1" applyFill="1" applyBorder="1" applyAlignment="1">
      <alignment horizontal="center" vertical="center" wrapText="1"/>
    </xf>
    <xf numFmtId="1" fontId="6" fillId="0" borderId="135" xfId="0" applyNumberFormat="1" applyFont="1" applyBorder="1" applyAlignment="1">
      <alignment horizontal="center" vertical="center" wrapText="1"/>
    </xf>
    <xf numFmtId="1" fontId="6" fillId="0" borderId="41" xfId="0" applyNumberFormat="1" applyFont="1" applyBorder="1"/>
    <xf numFmtId="1" fontId="6" fillId="0" borderId="63" xfId="0" applyNumberFormat="1" applyFont="1" applyBorder="1"/>
    <xf numFmtId="1" fontId="6" fillId="0" borderId="137" xfId="0" applyNumberFormat="1" applyFont="1" applyBorder="1" applyAlignment="1">
      <alignment horizontal="center" vertical="center" wrapText="1"/>
    </xf>
    <xf numFmtId="1" fontId="6" fillId="0" borderId="149" xfId="0" applyNumberFormat="1" applyFont="1" applyBorder="1" applyAlignment="1">
      <alignment horizontal="center" vertical="center" wrapText="1"/>
    </xf>
    <xf numFmtId="0" fontId="6" fillId="0" borderId="684" xfId="0" applyFont="1" applyBorder="1"/>
    <xf numFmtId="1" fontId="6" fillId="5" borderId="766" xfId="23" applyNumberFormat="1" applyFont="1" applyFill="1" applyBorder="1" applyProtection="1">
      <protection locked="0"/>
    </xf>
    <xf numFmtId="1" fontId="6" fillId="5" borderId="770" xfId="23" applyNumberFormat="1" applyFont="1" applyFill="1" applyBorder="1" applyProtection="1">
      <protection locked="0"/>
    </xf>
    <xf numFmtId="1" fontId="6" fillId="0" borderId="749" xfId="23" applyNumberFormat="1" applyFont="1" applyBorder="1"/>
    <xf numFmtId="1" fontId="6" fillId="0" borderId="713" xfId="23" applyNumberFormat="1" applyFont="1" applyBorder="1" applyAlignment="1">
      <alignment horizontal="center" vertical="center" wrapText="1"/>
    </xf>
    <xf numFmtId="1" fontId="6" fillId="5" borderId="740" xfId="23" applyNumberFormat="1" applyFont="1" applyFill="1" applyBorder="1" applyProtection="1">
      <protection locked="0"/>
    </xf>
    <xf numFmtId="1" fontId="6" fillId="5" borderId="737" xfId="23" applyNumberFormat="1" applyFont="1" applyFill="1" applyBorder="1" applyProtection="1">
      <protection locked="0"/>
    </xf>
    <xf numFmtId="1" fontId="6" fillId="5" borderId="741" xfId="23" applyNumberFormat="1" applyFont="1" applyFill="1" applyBorder="1" applyProtection="1">
      <protection locked="0"/>
    </xf>
    <xf numFmtId="1" fontId="6" fillId="5" borderId="682" xfId="23" applyNumberFormat="1" applyFont="1" applyFill="1" applyBorder="1" applyProtection="1">
      <protection locked="0"/>
    </xf>
    <xf numFmtId="1" fontId="6" fillId="5" borderId="669" xfId="23" applyNumberFormat="1" applyFont="1" applyFill="1" applyBorder="1" applyProtection="1">
      <protection locked="0"/>
    </xf>
    <xf numFmtId="1" fontId="6" fillId="5" borderId="704" xfId="23" applyNumberFormat="1" applyFont="1" applyFill="1" applyBorder="1" applyProtection="1">
      <protection locked="0"/>
    </xf>
    <xf numFmtId="1" fontId="6" fillId="5" borderId="673" xfId="23" applyNumberFormat="1" applyFont="1" applyFill="1" applyBorder="1" applyProtection="1">
      <protection locked="0"/>
    </xf>
    <xf numFmtId="1" fontId="6" fillId="5" borderId="676" xfId="23" applyNumberFormat="1" applyFont="1" applyFill="1" applyBorder="1" applyProtection="1">
      <protection locked="0"/>
    </xf>
    <xf numFmtId="0" fontId="6" fillId="0" borderId="734" xfId="0" applyFont="1" applyBorder="1" applyAlignment="1">
      <alignment horizontal="center" vertical="center" wrapText="1"/>
    </xf>
    <xf numFmtId="1" fontId="21" fillId="3" borderId="161" xfId="0" applyNumberFormat="1" applyFont="1" applyFill="1" applyBorder="1" applyAlignment="1">
      <alignment vertical="center" wrapText="1"/>
    </xf>
    <xf numFmtId="1" fontId="6" fillId="0" borderId="749" xfId="0" applyNumberFormat="1" applyFont="1" applyBorder="1" applyAlignment="1">
      <alignment horizontal="center" vertical="center" wrapText="1"/>
    </xf>
    <xf numFmtId="1" fontId="6" fillId="5" borderId="766" xfId="0" applyNumberFormat="1" applyFont="1" applyFill="1" applyBorder="1" applyProtection="1">
      <protection locked="0"/>
    </xf>
    <xf numFmtId="1" fontId="43" fillId="14" borderId="0" xfId="0" applyNumberFormat="1" applyFont="1" applyFill="1"/>
    <xf numFmtId="1" fontId="43" fillId="14" borderId="0" xfId="0" applyNumberFormat="1" applyFont="1" applyFill="1" applyProtection="1">
      <protection locked="0"/>
    </xf>
    <xf numFmtId="1" fontId="38" fillId="28" borderId="0" xfId="0" applyNumberFormat="1" applyFont="1" applyFill="1" applyProtection="1">
      <protection locked="0"/>
    </xf>
    <xf numFmtId="1" fontId="38" fillId="28" borderId="0" xfId="0" applyNumberFormat="1" applyFont="1" applyFill="1"/>
    <xf numFmtId="1" fontId="4" fillId="0" borderId="449" xfId="0" applyNumberFormat="1" applyFont="1" applyBorder="1"/>
    <xf numFmtId="1" fontId="6" fillId="0" borderId="524" xfId="0" applyNumberFormat="1" applyFont="1" applyBorder="1" applyAlignment="1">
      <alignment horizontal="center" vertical="center" wrapText="1"/>
    </xf>
    <xf numFmtId="1" fontId="6" fillId="0" borderId="329" xfId="0" applyNumberFormat="1" applyFont="1" applyBorder="1"/>
    <xf numFmtId="1" fontId="38" fillId="0" borderId="326" xfId="0" applyNumberFormat="1" applyFont="1" applyBorder="1"/>
    <xf numFmtId="0" fontId="43" fillId="12" borderId="541" xfId="29" applyFont="1" applyFill="1" applyBorder="1"/>
    <xf numFmtId="0" fontId="43" fillId="12" borderId="542" xfId="29" applyFont="1" applyFill="1" applyBorder="1"/>
    <xf numFmtId="0" fontId="43" fillId="12" borderId="543" xfId="29" applyFont="1" applyFill="1" applyBorder="1"/>
    <xf numFmtId="1" fontId="6" fillId="12" borderId="528" xfId="0" applyNumberFormat="1" applyFont="1" applyFill="1" applyBorder="1"/>
    <xf numFmtId="1" fontId="6" fillId="0" borderId="516" xfId="0" applyNumberFormat="1" applyFont="1" applyBorder="1"/>
    <xf numFmtId="1" fontId="38" fillId="0" borderId="501" xfId="0" applyNumberFormat="1" applyFont="1" applyBorder="1"/>
    <xf numFmtId="0" fontId="43" fillId="12" borderId="544" xfId="29" applyFont="1" applyFill="1" applyBorder="1"/>
    <xf numFmtId="0" fontId="43" fillId="12" borderId="545" xfId="29" applyFont="1" applyFill="1" applyBorder="1"/>
    <xf numFmtId="0" fontId="43" fillId="12" borderId="546" xfId="29" applyFont="1" applyFill="1" applyBorder="1"/>
    <xf numFmtId="1" fontId="6" fillId="5" borderId="547" xfId="0" applyNumberFormat="1" applyFont="1" applyFill="1" applyBorder="1" applyProtection="1">
      <protection locked="0"/>
    </xf>
    <xf numFmtId="1" fontId="6" fillId="5" borderId="548" xfId="0" applyNumberFormat="1" applyFont="1" applyFill="1" applyBorder="1" applyProtection="1">
      <protection locked="0"/>
    </xf>
    <xf numFmtId="0" fontId="43" fillId="12" borderId="549" xfId="29" applyFont="1" applyFill="1" applyBorder="1"/>
    <xf numFmtId="0" fontId="43" fillId="12" borderId="550" xfId="29" applyFont="1" applyFill="1" applyBorder="1"/>
    <xf numFmtId="0" fontId="38" fillId="0" borderId="501" xfId="0" applyFont="1" applyBorder="1"/>
    <xf numFmtId="1" fontId="6" fillId="0" borderId="516" xfId="0" applyNumberFormat="1" applyFont="1" applyBorder="1" applyAlignment="1">
      <alignment wrapText="1"/>
    </xf>
    <xf numFmtId="0" fontId="43" fillId="12" borderId="551" xfId="29" applyFont="1" applyFill="1" applyBorder="1"/>
    <xf numFmtId="0" fontId="43" fillId="12" borderId="552" xfId="29" applyFont="1" applyFill="1" applyBorder="1"/>
    <xf numFmtId="0" fontId="6" fillId="0" borderId="516" xfId="0" applyFont="1" applyBorder="1"/>
    <xf numFmtId="0" fontId="43" fillId="12" borderId="553" xfId="29" applyFont="1" applyFill="1" applyBorder="1"/>
    <xf numFmtId="1" fontId="6" fillId="0" borderId="516" xfId="0" applyNumberFormat="1" applyFont="1" applyBorder="1" applyAlignment="1">
      <alignment horizontal="right"/>
    </xf>
    <xf numFmtId="1" fontId="38" fillId="0" borderId="21" xfId="0" applyNumberFormat="1" applyFont="1" applyBorder="1"/>
    <xf numFmtId="0" fontId="43" fillId="12" borderId="539" xfId="29" applyFont="1" applyFill="1" applyBorder="1"/>
    <xf numFmtId="0" fontId="43" fillId="12" borderId="506" xfId="29" applyFont="1" applyFill="1" applyBorder="1"/>
    <xf numFmtId="0" fontId="43" fillId="12" borderId="431" xfId="29" applyFont="1" applyFill="1" applyBorder="1"/>
    <xf numFmtId="0" fontId="38" fillId="0" borderId="525" xfId="0" applyFont="1" applyBorder="1"/>
    <xf numFmtId="0" fontId="38" fillId="0" borderId="31" xfId="0" applyFont="1" applyBorder="1"/>
    <xf numFmtId="0" fontId="38" fillId="0" borderId="516" xfId="0" applyFont="1" applyBorder="1"/>
    <xf numFmtId="0" fontId="6" fillId="0" borderId="24" xfId="0" applyFont="1" applyBorder="1"/>
    <xf numFmtId="0" fontId="38" fillId="0" borderId="57" xfId="0" applyFont="1" applyBorder="1"/>
    <xf numFmtId="0" fontId="38" fillId="0" borderId="21" xfId="0" applyFont="1" applyBorder="1"/>
    <xf numFmtId="1" fontId="4" fillId="3" borderId="719" xfId="0" applyNumberFormat="1" applyFont="1" applyFill="1" applyBorder="1"/>
    <xf numFmtId="0" fontId="48" fillId="0" borderId="971" xfId="0" applyFont="1" applyBorder="1" applyAlignment="1">
      <alignment horizontal="center" vertical="center" wrapText="1"/>
    </xf>
    <xf numFmtId="0" fontId="48" fillId="0" borderId="975" xfId="0" applyFont="1" applyBorder="1" applyAlignment="1">
      <alignment horizontal="center" vertical="center" wrapText="1"/>
    </xf>
    <xf numFmtId="0" fontId="48" fillId="0" borderId="972" xfId="0" applyFont="1" applyBorder="1" applyAlignment="1">
      <alignment horizontal="center" vertical="center" wrapText="1"/>
    </xf>
    <xf numFmtId="0" fontId="6" fillId="0" borderId="736" xfId="0" applyFont="1" applyBorder="1" applyAlignment="1">
      <alignment horizontal="left" vertical="center" wrapText="1"/>
    </xf>
    <xf numFmtId="1" fontId="48" fillId="0" borderId="736" xfId="0" applyNumberFormat="1" applyFont="1" applyBorder="1" applyAlignment="1">
      <alignment horizontal="right" vertical="center" wrapText="1"/>
    </xf>
    <xf numFmtId="0" fontId="6" fillId="0" borderId="684" xfId="0" applyFont="1" applyBorder="1" applyAlignment="1">
      <alignment horizontal="left" vertical="center" wrapText="1"/>
    </xf>
    <xf numFmtId="3" fontId="48" fillId="0" borderId="684" xfId="0" applyNumberFormat="1" applyFont="1" applyBorder="1" applyAlignment="1">
      <alignment horizontal="right" wrapText="1"/>
    </xf>
    <xf numFmtId="0" fontId="48" fillId="0" borderId="684" xfId="0" applyFont="1" applyBorder="1" applyAlignment="1">
      <alignment horizontal="right"/>
    </xf>
    <xf numFmtId="0" fontId="6" fillId="0" borderId="705" xfId="0" applyFont="1" applyBorder="1" applyAlignment="1">
      <alignment horizontal="left" vertical="center" wrapText="1"/>
    </xf>
    <xf numFmtId="0" fontId="48" fillId="0" borderId="685" xfId="0" applyFont="1" applyBorder="1" applyAlignment="1">
      <alignment horizontal="right"/>
    </xf>
    <xf numFmtId="0" fontId="48" fillId="0" borderId="735" xfId="0" applyFont="1" applyBorder="1" applyAlignment="1">
      <alignment horizontal="center" vertical="center" wrapText="1"/>
    </xf>
    <xf numFmtId="0" fontId="48" fillId="0" borderId="742" xfId="0" applyFont="1" applyBorder="1" applyAlignment="1">
      <alignment horizontal="center" vertical="center" wrapText="1"/>
    </xf>
    <xf numFmtId="0" fontId="48" fillId="0" borderId="742" xfId="0" applyFont="1" applyBorder="1" applyAlignment="1">
      <alignment horizontal="center"/>
    </xf>
    <xf numFmtId="0" fontId="48" fillId="0" borderId="762" xfId="0" applyFont="1" applyBorder="1" applyAlignment="1">
      <alignment horizontal="center"/>
    </xf>
    <xf numFmtId="1" fontId="6" fillId="5" borderId="765" xfId="0" applyNumberFormat="1" applyFont="1" applyFill="1" applyBorder="1" applyProtection="1">
      <protection locked="0"/>
    </xf>
    <xf numFmtId="1" fontId="6" fillId="5" borderId="977" xfId="0" applyNumberFormat="1" applyFont="1" applyFill="1" applyBorder="1" applyProtection="1">
      <protection locked="0"/>
    </xf>
    <xf numFmtId="0" fontId="48" fillId="0" borderId="684" xfId="0" applyFont="1" applyBorder="1" applyAlignment="1">
      <alignment horizontal="right" vertical="center" wrapText="1"/>
    </xf>
    <xf numFmtId="1" fontId="6" fillId="5" borderId="978" xfId="0" applyNumberFormat="1" applyFont="1" applyFill="1" applyBorder="1" applyProtection="1">
      <protection locked="0"/>
    </xf>
    <xf numFmtId="0" fontId="6" fillId="0" borderId="684" xfId="0" applyFont="1" applyBorder="1" applyAlignment="1">
      <alignment horizontal="left" wrapText="1"/>
    </xf>
    <xf numFmtId="0" fontId="6" fillId="0" borderId="684" xfId="0" applyFont="1" applyBorder="1" applyAlignment="1">
      <alignment wrapText="1"/>
    </xf>
    <xf numFmtId="0" fontId="6" fillId="0" borderId="705" xfId="0" applyFont="1" applyBorder="1" applyAlignment="1">
      <alignment wrapText="1"/>
    </xf>
    <xf numFmtId="0" fontId="48" fillId="0" borderId="705" xfId="0" applyFont="1" applyBorder="1" applyAlignment="1">
      <alignment horizontal="right"/>
    </xf>
    <xf numFmtId="1" fontId="6" fillId="5" borderId="916" xfId="0" applyNumberFormat="1" applyFont="1" applyFill="1" applyBorder="1" applyProtection="1">
      <protection locked="0"/>
    </xf>
    <xf numFmtId="0" fontId="6" fillId="0" borderId="736" xfId="0" applyFont="1" applyBorder="1" applyAlignment="1">
      <alignment wrapText="1"/>
    </xf>
    <xf numFmtId="1" fontId="6" fillId="0" borderId="736" xfId="0" applyNumberFormat="1" applyFont="1" applyBorder="1" applyAlignment="1">
      <alignment wrapText="1"/>
    </xf>
    <xf numFmtId="1" fontId="6" fillId="0" borderId="737" xfId="0" applyNumberFormat="1" applyFont="1" applyBorder="1" applyAlignment="1">
      <alignment wrapText="1"/>
    </xf>
    <xf numFmtId="1" fontId="48" fillId="0" borderId="743" xfId="0" applyNumberFormat="1" applyFont="1" applyBorder="1" applyAlignment="1">
      <alignment horizontal="right"/>
    </xf>
    <xf numFmtId="0" fontId="6" fillId="0" borderId="684" xfId="0" applyFont="1" applyBorder="1" applyAlignment="1">
      <alignment horizontal="right" wrapText="1"/>
    </xf>
    <xf numFmtId="0" fontId="6" fillId="0" borderId="670" xfId="0" applyFont="1" applyBorder="1" applyAlignment="1">
      <alignment horizontal="right" wrapText="1"/>
    </xf>
    <xf numFmtId="0" fontId="48" fillId="0" borderId="683" xfId="0" applyFont="1" applyBorder="1" applyAlignment="1">
      <alignment horizontal="right"/>
    </xf>
    <xf numFmtId="0" fontId="6" fillId="0" borderId="727" xfId="0" applyFont="1" applyBorder="1" applyAlignment="1">
      <alignment horizontal="right" wrapText="1"/>
    </xf>
    <xf numFmtId="0" fontId="6" fillId="0" borderId="721" xfId="0" applyFont="1" applyBorder="1" applyAlignment="1">
      <alignment horizontal="right" wrapText="1"/>
    </xf>
    <xf numFmtId="0" fontId="48" fillId="0" borderId="31" xfId="0" applyFont="1" applyBorder="1" applyAlignment="1">
      <alignment horizontal="right"/>
    </xf>
    <xf numFmtId="0" fontId="6" fillId="0" borderId="705" xfId="0" applyFont="1" applyBorder="1" applyAlignment="1">
      <alignment horizontal="left" wrapText="1"/>
    </xf>
    <xf numFmtId="0" fontId="6" fillId="0" borderId="705" xfId="0" applyFont="1" applyBorder="1" applyAlignment="1">
      <alignment horizontal="right" wrapText="1"/>
    </xf>
    <xf numFmtId="0" fontId="6" fillId="0" borderId="702" xfId="0" applyFont="1" applyBorder="1" applyAlignment="1">
      <alignment horizontal="right" wrapText="1"/>
    </xf>
    <xf numFmtId="0" fontId="48" fillId="0" borderId="674" xfId="0" applyFont="1" applyBorder="1" applyAlignment="1">
      <alignment horizontal="right"/>
    </xf>
    <xf numFmtId="1" fontId="6" fillId="5" borderId="661" xfId="0" applyNumberFormat="1" applyFont="1" applyFill="1" applyBorder="1" applyProtection="1">
      <protection locked="0"/>
    </xf>
    <xf numFmtId="0" fontId="48" fillId="0" borderId="712" xfId="0" applyFont="1" applyBorder="1" applyAlignment="1">
      <alignment horizontal="center"/>
    </xf>
    <xf numFmtId="0" fontId="6" fillId="0" borderId="736" xfId="0" applyFont="1" applyBorder="1" applyAlignment="1">
      <alignment horizontal="left" wrapText="1"/>
    </xf>
    <xf numFmtId="1" fontId="48" fillId="0" borderId="736" xfId="0" applyNumberFormat="1" applyFont="1" applyBorder="1" applyAlignment="1">
      <alignment horizontal="right" wrapText="1"/>
    </xf>
    <xf numFmtId="1" fontId="48" fillId="0" borderId="737" xfId="0" applyNumberFormat="1" applyFont="1" applyBorder="1" applyAlignment="1">
      <alignment horizontal="right" wrapText="1"/>
    </xf>
    <xf numFmtId="0" fontId="48" fillId="0" borderId="743" xfId="0" applyFont="1" applyBorder="1" applyAlignment="1">
      <alignment horizontal="right"/>
    </xf>
    <xf numFmtId="0" fontId="48" fillId="0" borderId="705" xfId="0" applyFont="1" applyBorder="1" applyAlignment="1">
      <alignment horizontal="right" wrapText="1"/>
    </xf>
    <xf numFmtId="0" fontId="48" fillId="0" borderId="702" xfId="0" applyFont="1" applyBorder="1" applyAlignment="1">
      <alignment horizontal="right" wrapText="1"/>
    </xf>
    <xf numFmtId="1" fontId="48" fillId="0" borderId="725" xfId="0" applyNumberFormat="1" applyFont="1" applyBorder="1" applyAlignment="1">
      <alignment horizontal="right" wrapText="1"/>
    </xf>
    <xf numFmtId="1" fontId="48" fillId="0" borderId="737" xfId="0" applyNumberFormat="1" applyFont="1" applyBorder="1" applyAlignment="1">
      <alignment horizontal="right" vertical="center" wrapText="1"/>
    </xf>
    <xf numFmtId="1" fontId="6" fillId="12" borderId="730" xfId="0" applyNumberFormat="1" applyFont="1" applyFill="1" applyBorder="1"/>
    <xf numFmtId="0" fontId="48" fillId="0" borderId="684" xfId="0" applyFont="1" applyBorder="1" applyAlignment="1">
      <alignment horizontal="right" wrapText="1"/>
    </xf>
    <xf numFmtId="0" fontId="48" fillId="0" borderId="670" xfId="0" applyFont="1" applyBorder="1" applyAlignment="1">
      <alignment horizontal="right" wrapText="1"/>
    </xf>
    <xf numFmtId="0" fontId="6" fillId="0" borderId="685" xfId="0" applyFont="1" applyBorder="1" applyAlignment="1">
      <alignment horizontal="left" wrapText="1"/>
    </xf>
    <xf numFmtId="0" fontId="38" fillId="0" borderId="705" xfId="0" applyFont="1" applyBorder="1" applyAlignment="1">
      <alignment horizontal="right"/>
    </xf>
    <xf numFmtId="0" fontId="38" fillId="0" borderId="702" xfId="0" applyFont="1" applyBorder="1" applyAlignment="1">
      <alignment horizontal="right"/>
    </xf>
    <xf numFmtId="1" fontId="38" fillId="0" borderId="725" xfId="0" applyNumberFormat="1" applyFont="1" applyBorder="1" applyAlignment="1">
      <alignment horizontal="right"/>
    </xf>
    <xf numFmtId="0" fontId="38" fillId="28" borderId="0" xfId="0" applyFont="1" applyFill="1"/>
    <xf numFmtId="0" fontId="38" fillId="0" borderId="0" xfId="0" applyFont="1" applyAlignment="1">
      <alignment wrapText="1"/>
    </xf>
    <xf numFmtId="0" fontId="4" fillId="0" borderId="175" xfId="0" applyFont="1" applyBorder="1" applyAlignment="1">
      <alignment wrapText="1"/>
    </xf>
    <xf numFmtId="0" fontId="38" fillId="18" borderId="0" xfId="0" applyFont="1" applyFill="1"/>
    <xf numFmtId="0" fontId="6" fillId="0" borderId="874" xfId="0" applyFont="1" applyBorder="1" applyAlignment="1">
      <alignment horizontal="center" vertical="center"/>
    </xf>
    <xf numFmtId="0" fontId="6" fillId="0" borderId="828" xfId="0" applyFont="1" applyBorder="1" applyAlignment="1">
      <alignment horizontal="center" vertical="center"/>
    </xf>
    <xf numFmtId="0" fontId="6" fillId="0" borderId="876" xfId="0" applyFont="1" applyBorder="1" applyAlignment="1">
      <alignment horizontal="center" vertical="center"/>
    </xf>
    <xf numFmtId="0" fontId="13" fillId="0" borderId="734" xfId="0" applyFont="1" applyBorder="1" applyAlignment="1">
      <alignment wrapText="1"/>
    </xf>
    <xf numFmtId="0" fontId="6" fillId="29" borderId="877" xfId="0" applyFont="1" applyFill="1" applyBorder="1" applyAlignment="1">
      <alignment horizontal="center" vertical="center" wrapText="1"/>
    </xf>
    <xf numFmtId="0" fontId="6" fillId="0" borderId="785" xfId="0" applyFont="1" applyBorder="1" applyAlignment="1">
      <alignment wrapText="1"/>
    </xf>
    <xf numFmtId="1" fontId="6" fillId="0" borderId="618" xfId="0" applyNumberFormat="1" applyFont="1" applyBorder="1" applyAlignment="1">
      <alignment wrapText="1"/>
    </xf>
    <xf numFmtId="0" fontId="6" fillId="0" borderId="725" xfId="0" applyFont="1" applyBorder="1" applyAlignment="1">
      <alignment wrapText="1"/>
    </xf>
    <xf numFmtId="1" fontId="38" fillId="0" borderId="725" xfId="0" applyNumberFormat="1" applyFont="1" applyBorder="1"/>
    <xf numFmtId="1" fontId="6" fillId="5" borderId="886" xfId="0" applyNumberFormat="1" applyFont="1" applyFill="1" applyBorder="1" applyProtection="1">
      <protection locked="0"/>
    </xf>
    <xf numFmtId="0" fontId="38" fillId="29" borderId="798" xfId="0" applyFont="1" applyFill="1" applyBorder="1"/>
    <xf numFmtId="1" fontId="38" fillId="0" borderId="424" xfId="0" applyNumberFormat="1" applyFont="1" applyBorder="1"/>
    <xf numFmtId="0" fontId="6" fillId="0" borderId="424" xfId="0" applyFont="1" applyBorder="1" applyAlignment="1">
      <alignment wrapText="1"/>
    </xf>
    <xf numFmtId="1" fontId="38" fillId="0" borderId="618" xfId="0" applyNumberFormat="1" applyFont="1" applyBorder="1"/>
    <xf numFmtId="0" fontId="4" fillId="0" borderId="795" xfId="0" applyFont="1" applyBorder="1" applyAlignment="1">
      <alignment wrapText="1"/>
    </xf>
    <xf numFmtId="0" fontId="38" fillId="0" borderId="734" xfId="0" applyFont="1" applyBorder="1" applyAlignment="1">
      <alignment horizontal="center" vertical="center" wrapText="1"/>
    </xf>
    <xf numFmtId="0" fontId="6" fillId="0" borderId="764" xfId="0" applyFont="1" applyBorder="1" applyAlignment="1">
      <alignment horizontal="center" vertical="center" wrapText="1"/>
    </xf>
    <xf numFmtId="0" fontId="6" fillId="0" borderId="801" xfId="0" applyFont="1" applyBorder="1" applyAlignment="1">
      <alignment horizontal="center" vertical="center" wrapText="1"/>
    </xf>
    <xf numFmtId="1" fontId="6" fillId="5" borderId="802" xfId="0" applyNumberFormat="1" applyFont="1" applyFill="1" applyBorder="1" applyProtection="1">
      <protection locked="0"/>
    </xf>
    <xf numFmtId="1" fontId="6" fillId="5" borderId="803" xfId="0" applyNumberFormat="1" applyFont="1" applyFill="1" applyBorder="1" applyProtection="1">
      <protection locked="0"/>
    </xf>
    <xf numFmtId="0" fontId="6" fillId="0" borderId="674" xfId="0" applyFont="1" applyBorder="1" applyAlignment="1">
      <alignment wrapText="1"/>
    </xf>
    <xf numFmtId="0" fontId="6" fillId="0" borderId="952" xfId="0" applyFont="1" applyBorder="1" applyAlignment="1">
      <alignment vertical="center"/>
    </xf>
    <xf numFmtId="0" fontId="6" fillId="0" borderId="797" xfId="0" applyFont="1" applyBorder="1" applyAlignment="1">
      <alignment vertical="center"/>
    </xf>
    <xf numFmtId="0" fontId="6" fillId="0" borderId="762" xfId="0" applyFont="1" applyBorder="1" applyAlignment="1">
      <alignment vertical="center"/>
    </xf>
    <xf numFmtId="1" fontId="38" fillId="0" borderId="785" xfId="0" applyNumberFormat="1" applyFont="1" applyBorder="1"/>
    <xf numFmtId="1" fontId="38" fillId="0" borderId="683" xfId="0" applyNumberFormat="1" applyFont="1" applyBorder="1"/>
    <xf numFmtId="0" fontId="43" fillId="0" borderId="734" xfId="0" applyFont="1" applyBorder="1" applyAlignment="1">
      <alignment wrapText="1"/>
    </xf>
    <xf numFmtId="0" fontId="6" fillId="0" borderId="735" xfId="0" applyFont="1" applyBorder="1" applyAlignment="1">
      <alignment horizontal="center" vertical="center"/>
    </xf>
    <xf numFmtId="0" fontId="6" fillId="0" borderId="797" xfId="0" applyFont="1" applyBorder="1" applyAlignment="1">
      <alignment horizontal="center" vertical="center"/>
    </xf>
    <xf numFmtId="0" fontId="6" fillId="0" borderId="762" xfId="0" applyFont="1" applyBorder="1" applyAlignment="1">
      <alignment horizontal="center" vertical="center"/>
    </xf>
    <xf numFmtId="1" fontId="38" fillId="0" borderId="684" xfId="0" applyNumberFormat="1" applyFont="1" applyBorder="1"/>
    <xf numFmtId="1" fontId="6" fillId="5" borderId="582" xfId="0" applyNumberFormat="1" applyFont="1" applyFill="1" applyBorder="1" applyProtection="1">
      <protection locked="0"/>
    </xf>
    <xf numFmtId="0" fontId="38" fillId="0" borderId="798" xfId="0" applyFont="1" applyBorder="1" applyAlignment="1">
      <alignment horizontal="center" vertical="center" wrapText="1"/>
    </xf>
    <xf numFmtId="0" fontId="43" fillId="0" borderId="798" xfId="0" applyFont="1" applyBorder="1" applyAlignment="1">
      <alignment horizontal="center" vertical="center" wrapText="1"/>
    </xf>
    <xf numFmtId="0" fontId="6" fillId="0" borderId="789" xfId="0" applyFont="1" applyBorder="1" applyAlignment="1">
      <alignment horizontal="center" vertical="center"/>
    </xf>
    <xf numFmtId="0" fontId="6" fillId="0" borderId="791" xfId="0" applyFont="1" applyBorder="1" applyAlignment="1">
      <alignment horizontal="center" vertical="center"/>
    </xf>
    <xf numFmtId="0" fontId="38" fillId="29" borderId="845" xfId="0" applyFont="1" applyFill="1" applyBorder="1" applyAlignment="1">
      <alignment horizontal="center"/>
    </xf>
    <xf numFmtId="0" fontId="6" fillId="29" borderId="875" xfId="0" applyFont="1" applyFill="1" applyBorder="1" applyAlignment="1">
      <alignment horizontal="center" vertical="center"/>
    </xf>
    <xf numFmtId="0" fontId="6" fillId="29" borderId="855" xfId="0" applyFont="1" applyFill="1" applyBorder="1" applyAlignment="1">
      <alignment horizontal="center" vertical="center"/>
    </xf>
    <xf numFmtId="0" fontId="6" fillId="29" borderId="875" xfId="0" applyFont="1" applyFill="1" applyBorder="1" applyAlignment="1">
      <alignment horizontal="center" vertical="center" wrapText="1"/>
    </xf>
    <xf numFmtId="1" fontId="6" fillId="14" borderId="618" xfId="0" applyNumberFormat="1" applyFont="1" applyFill="1" applyBorder="1"/>
    <xf numFmtId="1" fontId="6" fillId="14" borderId="695" xfId="0" applyNumberFormat="1" applyFont="1" applyFill="1" applyBorder="1"/>
    <xf numFmtId="1" fontId="6" fillId="14" borderId="705" xfId="0" applyNumberFormat="1" applyFont="1" applyFill="1" applyBorder="1"/>
    <xf numFmtId="0" fontId="13" fillId="0" borderId="945" xfId="0" applyFont="1" applyBorder="1" applyAlignment="1">
      <alignment wrapText="1"/>
    </xf>
    <xf numFmtId="0" fontId="38" fillId="29" borderId="798" xfId="0" applyFont="1" applyFill="1" applyBorder="1" applyAlignment="1">
      <alignment horizontal="center"/>
    </xf>
    <xf numFmtId="0" fontId="6" fillId="29" borderId="789" xfId="0" applyFont="1" applyFill="1" applyBorder="1" applyAlignment="1">
      <alignment horizontal="center" vertical="center"/>
    </xf>
    <xf numFmtId="0" fontId="6" fillId="29" borderId="791" xfId="0" applyFont="1" applyFill="1" applyBorder="1" applyAlignment="1">
      <alignment horizontal="center" vertical="center"/>
    </xf>
    <xf numFmtId="0" fontId="6" fillId="29" borderId="789" xfId="0" applyFont="1" applyFill="1" applyBorder="1" applyAlignment="1">
      <alignment horizontal="center" vertical="center" wrapText="1"/>
    </xf>
    <xf numFmtId="0" fontId="6" fillId="29" borderId="734" xfId="0" applyFont="1" applyFill="1" applyBorder="1" applyAlignment="1">
      <alignment horizontal="center" vertical="center" wrapText="1"/>
    </xf>
    <xf numFmtId="1" fontId="6" fillId="14" borderId="428" xfId="0" applyNumberFormat="1" applyFont="1" applyFill="1" applyBorder="1"/>
    <xf numFmtId="1" fontId="6" fillId="14" borderId="685" xfId="0" applyNumberFormat="1" applyFont="1" applyFill="1" applyBorder="1"/>
    <xf numFmtId="0" fontId="4" fillId="0" borderId="0" xfId="0" applyFont="1" applyAlignment="1">
      <alignment wrapText="1"/>
    </xf>
    <xf numFmtId="1" fontId="38" fillId="30" borderId="0" xfId="0" applyNumberFormat="1" applyFont="1" applyFill="1" applyAlignment="1">
      <alignment wrapText="1"/>
    </xf>
    <xf numFmtId="0" fontId="38" fillId="30" borderId="0" xfId="0" applyFont="1" applyFill="1"/>
    <xf numFmtId="1" fontId="6" fillId="0" borderId="0" xfId="28" applyNumberFormat="1" applyFont="1" applyAlignment="1">
      <alignment horizontal="right"/>
    </xf>
    <xf numFmtId="1" fontId="6" fillId="0" borderId="0" xfId="28" applyNumberFormat="1" applyFont="1" applyProtection="1">
      <protection locked="0"/>
    </xf>
    <xf numFmtId="1" fontId="6" fillId="0" borderId="896" xfId="0" applyNumberFormat="1" applyFont="1" applyBorder="1" applyAlignment="1">
      <alignment horizontal="center" vertical="center" wrapText="1"/>
    </xf>
    <xf numFmtId="0" fontId="6" fillId="0" borderId="922" xfId="0" applyFont="1" applyBorder="1" applyAlignment="1">
      <alignment vertical="center" wrapText="1"/>
    </xf>
    <xf numFmtId="0" fontId="6" fillId="0" borderId="960" xfId="0" applyFont="1" applyBorder="1" applyAlignment="1">
      <alignment vertical="center" wrapText="1"/>
    </xf>
    <xf numFmtId="1" fontId="6" fillId="0" borderId="960" xfId="0" applyNumberFormat="1" applyFont="1" applyBorder="1" applyAlignment="1">
      <alignment horizontal="right" vertical="center"/>
    </xf>
    <xf numFmtId="0" fontId="6" fillId="0" borderId="880" xfId="0" applyFont="1" applyBorder="1" applyAlignment="1">
      <alignment vertical="center" wrapText="1"/>
    </xf>
    <xf numFmtId="1" fontId="6" fillId="0" borderId="880" xfId="0" applyNumberFormat="1" applyFont="1" applyBorder="1" applyAlignment="1">
      <alignment horizontal="right" vertical="center"/>
    </xf>
    <xf numFmtId="1" fontId="6" fillId="3" borderId="896" xfId="0" applyNumberFormat="1" applyFont="1" applyFill="1" applyBorder="1" applyAlignment="1">
      <alignment horizontal="center" vertical="center" wrapText="1"/>
    </xf>
    <xf numFmtId="1" fontId="6" fillId="0" borderId="644" xfId="0" applyNumberFormat="1" applyFont="1" applyBorder="1"/>
    <xf numFmtId="1" fontId="6" fillId="0" borderId="666" xfId="0" applyNumberFormat="1" applyFont="1" applyBorder="1"/>
    <xf numFmtId="1" fontId="6" fillId="0" borderId="661" xfId="0" applyNumberFormat="1" applyFont="1" applyBorder="1"/>
    <xf numFmtId="1" fontId="6" fillId="0" borderId="635" xfId="0" applyNumberFormat="1" applyFont="1" applyBorder="1"/>
    <xf numFmtId="1" fontId="6" fillId="0" borderId="736" xfId="0" applyNumberFormat="1" applyFont="1" applyBorder="1" applyAlignment="1">
      <alignment vertical="center"/>
    </xf>
    <xf numFmtId="1" fontId="6" fillId="0" borderId="684" xfId="0" applyNumberFormat="1" applyFont="1" applyBorder="1" applyAlignment="1">
      <alignment horizontal="left" vertical="center"/>
    </xf>
    <xf numFmtId="0" fontId="43" fillId="12" borderId="930" xfId="29" applyFont="1" applyFill="1" applyBorder="1"/>
    <xf numFmtId="1" fontId="6" fillId="0" borderId="880" xfId="0" applyNumberFormat="1" applyFont="1" applyBorder="1" applyAlignment="1">
      <alignment vertical="center" wrapText="1"/>
    </xf>
    <xf numFmtId="0" fontId="13" fillId="0" borderId="725" xfId="0" applyFont="1" applyBorder="1" applyAlignment="1">
      <alignment wrapText="1"/>
    </xf>
    <xf numFmtId="0" fontId="6" fillId="0" borderId="969" xfId="0" applyFont="1" applyBorder="1" applyAlignment="1">
      <alignment wrapText="1"/>
    </xf>
    <xf numFmtId="1" fontId="6" fillId="0" borderId="966" xfId="0" applyNumberFormat="1" applyFont="1" applyBorder="1"/>
    <xf numFmtId="1" fontId="6" fillId="0" borderId="967" xfId="0" applyNumberFormat="1" applyFont="1" applyBorder="1"/>
    <xf numFmtId="1" fontId="6" fillId="0" borderId="979" xfId="0" applyNumberFormat="1" applyFont="1" applyBorder="1"/>
    <xf numFmtId="1" fontId="6" fillId="0" borderId="964" xfId="0" applyNumberFormat="1" applyFont="1" applyBorder="1"/>
    <xf numFmtId="1" fontId="6" fillId="0" borderId="979" xfId="0" applyNumberFormat="1" applyFont="1" applyBorder="1" applyAlignment="1">
      <alignment wrapText="1"/>
    </xf>
    <xf numFmtId="1" fontId="6" fillId="0" borderId="944" xfId="0" applyNumberFormat="1" applyFont="1" applyBorder="1"/>
    <xf numFmtId="1" fontId="6" fillId="0" borderId="975" xfId="0" applyNumberFormat="1" applyFont="1" applyBorder="1"/>
    <xf numFmtId="1" fontId="6" fillId="0" borderId="944" xfId="4" applyNumberFormat="1" applyFont="1" applyBorder="1" applyAlignment="1">
      <alignment horizontal="center" vertical="center" wrapText="1"/>
    </xf>
    <xf numFmtId="1" fontId="6" fillId="5" borderId="966" xfId="1" applyNumberFormat="1" applyFont="1" applyFill="1" applyBorder="1" applyProtection="1">
      <protection locked="0"/>
    </xf>
    <xf numFmtId="1" fontId="6" fillId="5" borderId="614" xfId="1" applyNumberFormat="1" applyFont="1" applyFill="1" applyBorder="1" applyProtection="1">
      <protection locked="0"/>
    </xf>
    <xf numFmtId="1" fontId="6" fillId="0" borderId="945" xfId="4" applyNumberFormat="1" applyFont="1" applyBorder="1" applyAlignment="1">
      <alignment horizontal="center" vertical="center" wrapText="1"/>
    </xf>
    <xf numFmtId="1" fontId="6" fillId="5" borderId="988" xfId="1" applyNumberFormat="1" applyFont="1" applyFill="1" applyBorder="1" applyProtection="1">
      <protection locked="0"/>
    </xf>
    <xf numFmtId="1" fontId="6" fillId="0" borderId="945" xfId="1" applyNumberFormat="1" applyFont="1" applyBorder="1" applyAlignment="1">
      <alignment horizontal="right"/>
    </xf>
    <xf numFmtId="1" fontId="6" fillId="29" borderId="789" xfId="0" applyNumberFormat="1" applyFont="1" applyFill="1" applyBorder="1"/>
    <xf numFmtId="1" fontId="6" fillId="29" borderId="797" xfId="0" applyNumberFormat="1" applyFont="1" applyFill="1" applyBorder="1"/>
    <xf numFmtId="1" fontId="6" fillId="29" borderId="791" xfId="0" applyNumberFormat="1" applyFont="1" applyFill="1" applyBorder="1"/>
    <xf numFmtId="1" fontId="6" fillId="29" borderId="790" xfId="0" applyNumberFormat="1" applyFont="1" applyFill="1" applyBorder="1"/>
    <xf numFmtId="1" fontId="6" fillId="29" borderId="801" xfId="0" applyNumberFormat="1" applyFont="1" applyFill="1" applyBorder="1"/>
    <xf numFmtId="1" fontId="6" fillId="29" borderId="734" xfId="0" applyNumberFormat="1" applyFont="1" applyFill="1" applyBorder="1"/>
    <xf numFmtId="1" fontId="6" fillId="29" borderId="798" xfId="0" applyNumberFormat="1" applyFont="1" applyFill="1" applyBorder="1"/>
    <xf numFmtId="1" fontId="6" fillId="12" borderId="757" xfId="0" applyNumberFormat="1" applyFont="1" applyFill="1" applyBorder="1"/>
    <xf numFmtId="1" fontId="6" fillId="12" borderId="751" xfId="0" applyNumberFormat="1" applyFont="1" applyFill="1" applyBorder="1"/>
    <xf numFmtId="1" fontId="6" fillId="12" borderId="723" xfId="0" applyNumberFormat="1" applyFont="1" applyFill="1" applyBorder="1"/>
    <xf numFmtId="1" fontId="6" fillId="12" borderId="708" xfId="0" applyNumberFormat="1" applyFont="1" applyFill="1" applyBorder="1"/>
    <xf numFmtId="1" fontId="6" fillId="12" borderId="699" xfId="0" applyNumberFormat="1" applyFont="1" applyFill="1" applyBorder="1"/>
    <xf numFmtId="1" fontId="6" fillId="12" borderId="717" xfId="0" applyNumberFormat="1" applyFont="1" applyFill="1" applyBorder="1"/>
    <xf numFmtId="1" fontId="6" fillId="12" borderId="755" xfId="0" applyNumberFormat="1" applyFont="1" applyFill="1" applyBorder="1"/>
    <xf numFmtId="1" fontId="6" fillId="12" borderId="376" xfId="0" applyNumberFormat="1" applyFont="1" applyFill="1" applyBorder="1"/>
    <xf numFmtId="1" fontId="6" fillId="12" borderId="514" xfId="0" applyNumberFormat="1" applyFont="1" applyFill="1" applyBorder="1"/>
    <xf numFmtId="1" fontId="6" fillId="12" borderId="758" xfId="0" applyNumberFormat="1" applyFont="1" applyFill="1" applyBorder="1"/>
    <xf numFmtId="1" fontId="6" fillId="12" borderId="752" xfId="0" applyNumberFormat="1" applyFont="1" applyFill="1" applyBorder="1"/>
    <xf numFmtId="1" fontId="6" fillId="12" borderId="745" xfId="0" applyNumberFormat="1" applyFont="1" applyFill="1" applyBorder="1"/>
    <xf numFmtId="1" fontId="6" fillId="12" borderId="583" xfId="0" applyNumberFormat="1" applyFont="1" applyFill="1" applyBorder="1"/>
    <xf numFmtId="1" fontId="9" fillId="14" borderId="991" xfId="0" applyNumberFormat="1" applyFont="1" applyFill="1" applyBorder="1"/>
    <xf numFmtId="0" fontId="50" fillId="0" borderId="0" xfId="0" applyFont="1"/>
    <xf numFmtId="1" fontId="52" fillId="3" borderId="0" xfId="0" applyNumberFormat="1" applyFont="1" applyFill="1"/>
    <xf numFmtId="1" fontId="51" fillId="3" borderId="0" xfId="0" applyNumberFormat="1" applyFont="1" applyFill="1"/>
    <xf numFmtId="1" fontId="6" fillId="5" borderId="1007" xfId="0" applyNumberFormat="1" applyFont="1" applyFill="1" applyBorder="1" applyProtection="1">
      <protection locked="0"/>
    </xf>
    <xf numFmtId="1" fontId="6" fillId="5" borderId="1006" xfId="0" applyNumberFormat="1" applyFont="1" applyFill="1" applyBorder="1" applyProtection="1">
      <protection locked="0"/>
    </xf>
    <xf numFmtId="1" fontId="33" fillId="3" borderId="0" xfId="0" applyNumberFormat="1" applyFont="1" applyFill="1"/>
    <xf numFmtId="1" fontId="33" fillId="0" borderId="0" xfId="0" applyNumberFormat="1" applyFont="1"/>
    <xf numFmtId="1" fontId="49" fillId="3" borderId="0" xfId="0" applyNumberFormat="1" applyFont="1" applyFill="1"/>
    <xf numFmtId="1" fontId="6" fillId="5" borderId="983" xfId="0" applyNumberFormat="1" applyFont="1" applyFill="1" applyBorder="1" applyProtection="1">
      <protection locked="0"/>
    </xf>
    <xf numFmtId="1" fontId="6" fillId="5" borderId="992" xfId="0" applyNumberFormat="1" applyFont="1" applyFill="1" applyBorder="1" applyProtection="1">
      <protection locked="0"/>
    </xf>
    <xf numFmtId="1" fontId="6" fillId="5" borderId="1003" xfId="0" applyNumberFormat="1" applyFont="1" applyFill="1" applyBorder="1" applyProtection="1">
      <protection locked="0"/>
    </xf>
    <xf numFmtId="1" fontId="6" fillId="5" borderId="1011" xfId="0" applyNumberFormat="1" applyFont="1" applyFill="1" applyBorder="1" applyProtection="1">
      <protection locked="0"/>
    </xf>
    <xf numFmtId="1" fontId="6" fillId="5" borderId="997" xfId="0" applyNumberFormat="1" applyFont="1" applyFill="1" applyBorder="1" applyProtection="1">
      <protection locked="0"/>
    </xf>
    <xf numFmtId="1" fontId="6" fillId="5" borderId="1002" xfId="0" applyNumberFormat="1" applyFont="1" applyFill="1" applyBorder="1" applyProtection="1">
      <protection locked="0"/>
    </xf>
    <xf numFmtId="1" fontId="6" fillId="0" borderId="992" xfId="0" applyNumberFormat="1" applyFont="1" applyBorder="1" applyAlignment="1">
      <alignment horizontal="left" vertical="center" wrapText="1"/>
    </xf>
    <xf numFmtId="1" fontId="6" fillId="0" borderId="996" xfId="0" applyNumberFormat="1" applyFont="1" applyBorder="1"/>
    <xf numFmtId="1" fontId="6" fillId="0" borderId="1002" xfId="0" applyNumberFormat="1" applyFont="1" applyBorder="1"/>
    <xf numFmtId="1" fontId="6" fillId="0" borderId="1004" xfId="0" applyNumberFormat="1" applyFont="1" applyBorder="1"/>
    <xf numFmtId="1" fontId="6" fillId="0" borderId="1000" xfId="0" applyNumberFormat="1" applyFont="1" applyBorder="1"/>
    <xf numFmtId="1" fontId="6" fillId="4" borderId="1002" xfId="0" applyNumberFormat="1" applyFont="1" applyFill="1" applyBorder="1"/>
    <xf numFmtId="1" fontId="6" fillId="4" borderId="1003" xfId="0" applyNumberFormat="1" applyFont="1" applyFill="1" applyBorder="1"/>
    <xf numFmtId="1" fontId="6" fillId="12" borderId="1002" xfId="0" applyNumberFormat="1" applyFont="1" applyFill="1" applyBorder="1"/>
    <xf numFmtId="1" fontId="6" fillId="12" borderId="1003" xfId="0" applyNumberFormat="1" applyFont="1" applyFill="1" applyBorder="1"/>
    <xf numFmtId="1" fontId="6" fillId="4" borderId="996" xfId="0" applyNumberFormat="1" applyFont="1" applyFill="1" applyBorder="1"/>
    <xf numFmtId="1" fontId="6" fillId="4" borderId="1015" xfId="0" applyNumberFormat="1" applyFont="1" applyFill="1" applyBorder="1"/>
    <xf numFmtId="1" fontId="6" fillId="4" borderId="1113" xfId="0" applyNumberFormat="1" applyFont="1" applyFill="1" applyBorder="1"/>
    <xf numFmtId="1" fontId="6" fillId="5" borderId="1046" xfId="0" applyNumberFormat="1" applyFont="1" applyFill="1" applyBorder="1" applyProtection="1">
      <protection locked="0"/>
    </xf>
    <xf numFmtId="1" fontId="6" fillId="0" borderId="1040" xfId="0" applyNumberFormat="1" applyFont="1" applyBorder="1" applyAlignment="1">
      <alignment horizontal="center" vertical="center"/>
    </xf>
    <xf numFmtId="1" fontId="6" fillId="5" borderId="1123" xfId="0" applyNumberFormat="1" applyFont="1" applyFill="1" applyBorder="1" applyProtection="1">
      <protection locked="0"/>
    </xf>
    <xf numFmtId="1" fontId="6" fillId="4" borderId="969" xfId="0" applyNumberFormat="1" applyFont="1" applyFill="1" applyBorder="1"/>
    <xf numFmtId="1" fontId="6" fillId="5" borderId="1020" xfId="0" applyNumberFormat="1" applyFont="1" applyFill="1" applyBorder="1" applyProtection="1">
      <protection locked="0"/>
    </xf>
    <xf numFmtId="1" fontId="6" fillId="4" borderId="1030" xfId="0" applyNumberFormat="1" applyFont="1" applyFill="1" applyBorder="1"/>
    <xf numFmtId="1" fontId="6" fillId="5" borderId="1031" xfId="0" applyNumberFormat="1" applyFont="1" applyFill="1" applyBorder="1" applyProtection="1">
      <protection locked="0"/>
    </xf>
    <xf numFmtId="1" fontId="6" fillId="4" borderId="1031" xfId="0" applyNumberFormat="1" applyFont="1" applyFill="1" applyBorder="1"/>
    <xf numFmtId="1" fontId="6" fillId="4" borderId="1034" xfId="0" applyNumberFormat="1" applyFont="1" applyFill="1" applyBorder="1"/>
    <xf numFmtId="1" fontId="6" fillId="5" borderId="1035" xfId="0" applyNumberFormat="1" applyFont="1" applyFill="1" applyBorder="1" applyProtection="1">
      <protection locked="0"/>
    </xf>
    <xf numFmtId="1" fontId="6" fillId="5" borderId="1036" xfId="0" applyNumberFormat="1" applyFont="1" applyFill="1" applyBorder="1" applyProtection="1">
      <protection locked="0"/>
    </xf>
    <xf numFmtId="1" fontId="6" fillId="4" borderId="1035" xfId="0" applyNumberFormat="1" applyFont="1" applyFill="1" applyBorder="1"/>
    <xf numFmtId="1" fontId="6" fillId="5" borderId="1042" xfId="0" applyNumberFormat="1" applyFont="1" applyFill="1" applyBorder="1" applyProtection="1">
      <protection locked="0"/>
    </xf>
    <xf numFmtId="1" fontId="6" fillId="5" borderId="1044" xfId="0" applyNumberFormat="1" applyFont="1" applyFill="1" applyBorder="1" applyProtection="1">
      <protection locked="0"/>
    </xf>
    <xf numFmtId="1" fontId="6" fillId="0" borderId="1043" xfId="0" applyNumberFormat="1" applyFont="1" applyBorder="1" applyAlignment="1">
      <alignment horizontal="center" vertical="center"/>
    </xf>
    <xf numFmtId="1" fontId="6" fillId="4" borderId="1042" xfId="0" applyNumberFormat="1" applyFont="1" applyFill="1" applyBorder="1"/>
    <xf numFmtId="1" fontId="6" fillId="5" borderId="1033" xfId="0" applyNumberFormat="1" applyFont="1" applyFill="1" applyBorder="1" applyProtection="1">
      <protection locked="0"/>
    </xf>
    <xf numFmtId="1" fontId="6" fillId="4" borderId="1037" xfId="0" applyNumberFormat="1" applyFont="1" applyFill="1" applyBorder="1"/>
    <xf numFmtId="1" fontId="6" fillId="4" borderId="1044" xfId="0" applyNumberFormat="1" applyFont="1" applyFill="1" applyBorder="1"/>
    <xf numFmtId="1" fontId="6" fillId="4" borderId="1121" xfId="0" applyNumberFormat="1" applyFont="1" applyFill="1" applyBorder="1"/>
    <xf numFmtId="1" fontId="6" fillId="4" borderId="1118" xfId="0" applyNumberFormat="1" applyFont="1" applyFill="1" applyBorder="1"/>
    <xf numFmtId="1" fontId="6" fillId="5" borderId="1121" xfId="0" applyNumberFormat="1" applyFont="1" applyFill="1" applyBorder="1" applyProtection="1">
      <protection locked="0"/>
    </xf>
    <xf numFmtId="1" fontId="6" fillId="4" borderId="1122" xfId="0" applyNumberFormat="1" applyFont="1" applyFill="1" applyBorder="1"/>
    <xf numFmtId="1" fontId="6" fillId="5" borderId="1053" xfId="0" applyNumberFormat="1" applyFont="1" applyFill="1" applyBorder="1" applyProtection="1">
      <protection locked="0"/>
    </xf>
    <xf numFmtId="1" fontId="6" fillId="6" borderId="1052" xfId="14" applyNumberFormat="1" applyFont="1" applyBorder="1" applyProtection="1">
      <protection locked="0"/>
    </xf>
    <xf numFmtId="1" fontId="6" fillId="4" borderId="1114" xfId="0" applyNumberFormat="1" applyFont="1" applyFill="1" applyBorder="1"/>
    <xf numFmtId="1" fontId="6" fillId="4" borderId="1117" xfId="0" applyNumberFormat="1" applyFont="1" applyFill="1" applyBorder="1"/>
    <xf numFmtId="1" fontId="6" fillId="4" borderId="1124" xfId="0" applyNumberFormat="1" applyFont="1" applyFill="1" applyBorder="1"/>
    <xf numFmtId="1" fontId="6" fillId="5" borderId="1122" xfId="0" applyNumberFormat="1" applyFont="1" applyFill="1" applyBorder="1" applyProtection="1">
      <protection locked="0"/>
    </xf>
    <xf numFmtId="1" fontId="6" fillId="4" borderId="1116" xfId="0" applyNumberFormat="1" applyFont="1" applyFill="1" applyBorder="1"/>
    <xf numFmtId="1" fontId="6" fillId="4" borderId="1119" xfId="0" applyNumberFormat="1" applyFont="1" applyFill="1" applyBorder="1"/>
    <xf numFmtId="1" fontId="6" fillId="5" borderId="1065" xfId="0" applyNumberFormat="1" applyFont="1" applyFill="1" applyBorder="1" applyProtection="1">
      <protection locked="0"/>
    </xf>
    <xf numFmtId="1" fontId="6" fillId="5" borderId="1061" xfId="0" applyNumberFormat="1" applyFont="1" applyFill="1" applyBorder="1" applyProtection="1">
      <protection locked="0"/>
    </xf>
    <xf numFmtId="1" fontId="6" fillId="5" borderId="1066" xfId="0" applyNumberFormat="1" applyFont="1" applyFill="1" applyBorder="1" applyProtection="1">
      <protection locked="0"/>
    </xf>
    <xf numFmtId="1" fontId="6" fillId="5" borderId="1024" xfId="0" applyNumberFormat="1" applyFont="1" applyFill="1" applyBorder="1" applyProtection="1">
      <protection locked="0"/>
    </xf>
    <xf numFmtId="1" fontId="6" fillId="5" borderId="1044" xfId="0" applyNumberFormat="1" applyFont="1" applyFill="1" applyBorder="1" applyAlignment="1" applyProtection="1">
      <alignment horizontal="right"/>
      <protection locked="0"/>
    </xf>
    <xf numFmtId="1" fontId="6" fillId="5" borderId="1068" xfId="0" applyNumberFormat="1" applyFont="1" applyFill="1" applyBorder="1" applyProtection="1">
      <protection locked="0"/>
    </xf>
    <xf numFmtId="1" fontId="6" fillId="5" borderId="1028" xfId="0" applyNumberFormat="1" applyFont="1" applyFill="1" applyBorder="1" applyProtection="1">
      <protection locked="0"/>
    </xf>
    <xf numFmtId="1" fontId="6" fillId="15" borderId="71" xfId="0" applyNumberFormat="1" applyFont="1" applyFill="1" applyBorder="1" applyProtection="1">
      <protection locked="0"/>
    </xf>
    <xf numFmtId="1" fontId="6" fillId="15" borderId="260" xfId="0" applyNumberFormat="1" applyFont="1" applyFill="1" applyBorder="1" applyProtection="1">
      <protection locked="0"/>
    </xf>
    <xf numFmtId="1" fontId="6" fillId="15" borderId="285" xfId="0" applyNumberFormat="1" applyFont="1" applyFill="1" applyBorder="1" applyProtection="1">
      <protection locked="0"/>
    </xf>
    <xf numFmtId="1" fontId="6" fillId="0" borderId="993" xfId="0" applyNumberFormat="1" applyFont="1" applyBorder="1" applyAlignment="1">
      <alignment horizontal="center" vertical="center"/>
    </xf>
    <xf numFmtId="1" fontId="6" fillId="5" borderId="1072" xfId="0" applyNumberFormat="1" applyFont="1" applyFill="1" applyBorder="1" applyProtection="1">
      <protection locked="0"/>
    </xf>
    <xf numFmtId="1" fontId="6" fillId="5" borderId="1077" xfId="0" applyNumberFormat="1" applyFont="1" applyFill="1" applyBorder="1" applyProtection="1">
      <protection locked="0"/>
    </xf>
    <xf numFmtId="1" fontId="6" fillId="5" borderId="1075" xfId="0" applyNumberFormat="1" applyFont="1" applyFill="1" applyBorder="1" applyProtection="1">
      <protection locked="0"/>
    </xf>
    <xf numFmtId="1" fontId="6" fillId="5" borderId="1076" xfId="0" applyNumberFormat="1" applyFont="1" applyFill="1" applyBorder="1" applyProtection="1">
      <protection locked="0"/>
    </xf>
    <xf numFmtId="1" fontId="6" fillId="5" borderId="1074" xfId="0" applyNumberFormat="1" applyFont="1" applyFill="1" applyBorder="1" applyProtection="1">
      <protection locked="0"/>
    </xf>
    <xf numFmtId="1" fontId="6" fillId="4" borderId="1075" xfId="0" applyNumberFormat="1" applyFont="1" applyFill="1" applyBorder="1"/>
    <xf numFmtId="1" fontId="6" fillId="5" borderId="1073" xfId="0" applyNumberFormat="1" applyFont="1" applyFill="1" applyBorder="1" applyProtection="1">
      <protection locked="0"/>
    </xf>
    <xf numFmtId="1" fontId="6" fillId="4" borderId="1072" xfId="0" applyNumberFormat="1" applyFont="1" applyFill="1" applyBorder="1"/>
    <xf numFmtId="1" fontId="6" fillId="5" borderId="1080" xfId="0" applyNumberFormat="1" applyFont="1" applyFill="1" applyBorder="1" applyProtection="1">
      <protection locked="0"/>
    </xf>
    <xf numFmtId="1" fontId="6" fillId="4" borderId="1074" xfId="0" applyNumberFormat="1" applyFont="1" applyFill="1" applyBorder="1"/>
    <xf numFmtId="1" fontId="6" fillId="5" borderId="1081" xfId="0" applyNumberFormat="1" applyFont="1" applyFill="1" applyBorder="1" applyProtection="1">
      <protection locked="0"/>
    </xf>
    <xf numFmtId="1" fontId="6" fillId="5" borderId="1078" xfId="0" applyNumberFormat="1" applyFont="1" applyFill="1" applyBorder="1" applyProtection="1">
      <protection locked="0"/>
    </xf>
    <xf numFmtId="1" fontId="6" fillId="5" borderId="1079" xfId="0" applyNumberFormat="1" applyFont="1" applyFill="1" applyBorder="1" applyProtection="1">
      <protection locked="0"/>
    </xf>
    <xf numFmtId="1" fontId="6" fillId="5" borderId="1083" xfId="0" applyNumberFormat="1" applyFont="1" applyFill="1" applyBorder="1" applyProtection="1">
      <protection locked="0"/>
    </xf>
    <xf numFmtId="1" fontId="6" fillId="5" borderId="1084" xfId="0" applyNumberFormat="1" applyFont="1" applyFill="1" applyBorder="1" applyProtection="1">
      <protection locked="0"/>
    </xf>
    <xf numFmtId="1" fontId="6" fillId="5" borderId="1085" xfId="0" applyNumberFormat="1" applyFont="1" applyFill="1" applyBorder="1" applyProtection="1">
      <protection locked="0"/>
    </xf>
    <xf numFmtId="1" fontId="6" fillId="5" borderId="1087" xfId="0" applyNumberFormat="1" applyFont="1" applyFill="1" applyBorder="1" applyProtection="1">
      <protection locked="0"/>
    </xf>
    <xf numFmtId="1" fontId="6" fillId="5" borderId="1090" xfId="0" applyNumberFormat="1" applyFont="1" applyFill="1" applyBorder="1" applyProtection="1">
      <protection locked="0"/>
    </xf>
    <xf numFmtId="1" fontId="6" fillId="0" borderId="1091" xfId="0" applyNumberFormat="1" applyFont="1" applyBorder="1"/>
    <xf numFmtId="1" fontId="6" fillId="4" borderId="1090" xfId="0" applyNumberFormat="1" applyFont="1" applyFill="1" applyBorder="1"/>
    <xf numFmtId="1" fontId="6" fillId="5" borderId="1089" xfId="0" applyNumberFormat="1" applyFont="1" applyFill="1" applyBorder="1" applyProtection="1">
      <protection locked="0"/>
    </xf>
    <xf numFmtId="1" fontId="6" fillId="0" borderId="1087" xfId="0" applyNumberFormat="1" applyFont="1" applyBorder="1"/>
    <xf numFmtId="1" fontId="6" fillId="15" borderId="1083" xfId="0" applyNumberFormat="1" applyFont="1" applyFill="1" applyBorder="1" applyProtection="1">
      <protection locked="0"/>
    </xf>
    <xf numFmtId="1" fontId="6" fillId="15" borderId="1090" xfId="0" applyNumberFormat="1" applyFont="1" applyFill="1" applyBorder="1" applyProtection="1">
      <protection locked="0"/>
    </xf>
    <xf numFmtId="1" fontId="6" fillId="15" borderId="1079" xfId="0" applyNumberFormat="1" applyFont="1" applyFill="1" applyBorder="1" applyProtection="1">
      <protection locked="0"/>
    </xf>
    <xf numFmtId="1" fontId="6" fillId="0" borderId="1093" xfId="0" applyNumberFormat="1" applyFont="1" applyBorder="1" applyAlignment="1">
      <alignment horizontal="center" vertical="center" wrapText="1"/>
    </xf>
    <xf numFmtId="1" fontId="6" fillId="5" borderId="1096" xfId="0" applyNumberFormat="1" applyFont="1" applyFill="1" applyBorder="1" applyProtection="1">
      <protection locked="0"/>
    </xf>
    <xf numFmtId="1" fontId="6" fillId="0" borderId="1100" xfId="0" applyNumberFormat="1" applyFont="1" applyBorder="1" applyAlignment="1">
      <alignment horizontal="center" vertical="center" wrapText="1"/>
    </xf>
    <xf numFmtId="1" fontId="6" fillId="0" borderId="1100" xfId="0" applyNumberFormat="1" applyFont="1" applyBorder="1"/>
    <xf numFmtId="1" fontId="6" fillId="5" borderId="1103" xfId="0" applyNumberFormat="1" applyFont="1" applyFill="1" applyBorder="1" applyProtection="1">
      <protection locked="0"/>
    </xf>
    <xf numFmtId="1" fontId="6" fillId="5" borderId="1097" xfId="0" applyNumberFormat="1" applyFont="1" applyFill="1" applyBorder="1" applyProtection="1">
      <protection locked="0"/>
    </xf>
    <xf numFmtId="1" fontId="6" fillId="5" borderId="1104" xfId="0" applyNumberFormat="1" applyFont="1" applyFill="1" applyBorder="1" applyProtection="1">
      <protection locked="0"/>
    </xf>
    <xf numFmtId="1" fontId="6" fillId="5" borderId="1105" xfId="0" applyNumberFormat="1" applyFont="1" applyFill="1" applyBorder="1" applyProtection="1">
      <protection locked="0"/>
    </xf>
    <xf numFmtId="1" fontId="6" fillId="4" borderId="1104" xfId="0" applyNumberFormat="1" applyFont="1" applyFill="1" applyBorder="1"/>
    <xf numFmtId="1" fontId="6" fillId="5" borderId="1104" xfId="0" applyNumberFormat="1" applyFont="1" applyFill="1" applyBorder="1" applyAlignment="1" applyProtection="1">
      <alignment wrapText="1"/>
      <protection locked="0"/>
    </xf>
    <xf numFmtId="1" fontId="6" fillId="0" borderId="1106" xfId="0" applyNumberFormat="1" applyFont="1" applyBorder="1" applyAlignment="1">
      <alignment horizontal="center" vertical="center"/>
    </xf>
    <xf numFmtId="1" fontId="6" fillId="5" borderId="1107" xfId="0" applyNumberFormat="1" applyFont="1" applyFill="1" applyBorder="1" applyProtection="1">
      <protection locked="0"/>
    </xf>
    <xf numFmtId="1" fontId="6" fillId="0" borderId="1096" xfId="0" applyNumberFormat="1" applyFont="1" applyBorder="1" applyAlignment="1">
      <alignment horizontal="center" vertical="center" wrapText="1"/>
    </xf>
    <xf numFmtId="1" fontId="6" fillId="0" borderId="1099" xfId="0" applyNumberFormat="1" applyFont="1" applyBorder="1" applyAlignment="1">
      <alignment horizontal="center" vertical="center" wrapText="1"/>
    </xf>
    <xf numFmtId="1" fontId="6" fillId="5" borderId="1104" xfId="0" applyNumberFormat="1" applyFont="1" applyFill="1" applyBorder="1" applyAlignment="1" applyProtection="1">
      <alignment horizontal="right"/>
      <protection locked="0"/>
    </xf>
    <xf numFmtId="1" fontId="6" fillId="0" borderId="1106" xfId="0" applyNumberFormat="1" applyFont="1" applyBorder="1" applyAlignment="1">
      <alignment horizontal="center" vertical="center" wrapText="1"/>
    </xf>
    <xf numFmtId="1" fontId="6" fillId="4" borderId="1097" xfId="0" applyNumberFormat="1" applyFont="1" applyFill="1" applyBorder="1"/>
    <xf numFmtId="1" fontId="6" fillId="5" borderId="1108" xfId="0" applyNumberFormat="1" applyFont="1" applyFill="1" applyBorder="1" applyProtection="1">
      <protection locked="0"/>
    </xf>
    <xf numFmtId="1" fontId="6" fillId="5" borderId="1112" xfId="0" applyNumberFormat="1" applyFont="1" applyFill="1" applyBorder="1" applyProtection="1">
      <protection locked="0"/>
    </xf>
    <xf numFmtId="1" fontId="6" fillId="5" borderId="1113" xfId="0" applyNumberFormat="1" applyFont="1" applyFill="1" applyBorder="1" applyProtection="1">
      <protection locked="0"/>
    </xf>
    <xf numFmtId="1" fontId="6" fillId="5" borderId="1114" xfId="0" applyNumberFormat="1" applyFont="1" applyFill="1" applyBorder="1" applyProtection="1">
      <protection locked="0"/>
    </xf>
    <xf numFmtId="1" fontId="6" fillId="5" borderId="1115" xfId="0" applyNumberFormat="1" applyFont="1" applyFill="1" applyBorder="1" applyProtection="1">
      <protection locked="0"/>
    </xf>
    <xf numFmtId="1" fontId="6" fillId="5" borderId="1116" xfId="0" applyNumberFormat="1" applyFont="1" applyFill="1" applyBorder="1" applyProtection="1">
      <protection locked="0"/>
    </xf>
    <xf numFmtId="1" fontId="6" fillId="5" borderId="1117" xfId="0" applyNumberFormat="1" applyFont="1" applyFill="1" applyBorder="1" applyProtection="1">
      <protection locked="0"/>
    </xf>
    <xf numFmtId="1" fontId="6" fillId="5" borderId="1111" xfId="0" applyNumberFormat="1" applyFont="1" applyFill="1" applyBorder="1" applyProtection="1">
      <protection locked="0"/>
    </xf>
    <xf numFmtId="1" fontId="6" fillId="0" borderId="1106" xfId="0" applyNumberFormat="1" applyFont="1" applyBorder="1"/>
    <xf numFmtId="1" fontId="6" fillId="5" borderId="1118" xfId="0" applyNumberFormat="1" applyFont="1" applyFill="1" applyBorder="1" applyProtection="1">
      <protection locked="0"/>
    </xf>
    <xf numFmtId="1" fontId="6" fillId="0" borderId="1101" xfId="0" applyNumberFormat="1" applyFont="1" applyBorder="1" applyAlignment="1">
      <alignment horizontal="center" vertical="center" wrapText="1"/>
    </xf>
    <xf numFmtId="1" fontId="6" fillId="5" borderId="1119" xfId="0" applyNumberFormat="1" applyFont="1" applyFill="1" applyBorder="1" applyProtection="1">
      <protection locked="0"/>
    </xf>
    <xf numFmtId="1" fontId="6" fillId="5" borderId="1120" xfId="0" applyNumberFormat="1" applyFont="1" applyFill="1" applyBorder="1" applyProtection="1">
      <protection locked="0"/>
    </xf>
    <xf numFmtId="1" fontId="6" fillId="5" borderId="1125" xfId="0" applyNumberFormat="1" applyFont="1" applyFill="1" applyBorder="1" applyProtection="1">
      <protection locked="0"/>
    </xf>
    <xf numFmtId="1" fontId="6" fillId="0" borderId="1093" xfId="0" applyNumberFormat="1" applyFont="1" applyBorder="1"/>
    <xf numFmtId="1" fontId="6" fillId="0" borderId="1126" xfId="0" applyNumberFormat="1" applyFont="1" applyBorder="1"/>
    <xf numFmtId="1" fontId="6" fillId="0" borderId="1111" xfId="0" applyNumberFormat="1" applyFont="1" applyBorder="1"/>
    <xf numFmtId="1" fontId="6" fillId="0" borderId="1127" xfId="0" applyNumberFormat="1" applyFont="1" applyBorder="1"/>
    <xf numFmtId="1" fontId="6" fillId="0" borderId="1102" xfId="0" applyNumberFormat="1" applyFont="1" applyBorder="1"/>
    <xf numFmtId="1" fontId="6" fillId="5" borderId="1128" xfId="0" applyNumberFormat="1" applyFont="1" applyFill="1" applyBorder="1" applyProtection="1">
      <protection locked="0"/>
    </xf>
    <xf numFmtId="1" fontId="6" fillId="0" borderId="1099" xfId="0" applyNumberFormat="1" applyFont="1" applyBorder="1"/>
    <xf numFmtId="1" fontId="6" fillId="0" borderId="1101" xfId="0" applyNumberFormat="1" applyFont="1" applyBorder="1"/>
    <xf numFmtId="1" fontId="6" fillId="5" borderId="1129" xfId="0" applyNumberFormat="1" applyFont="1" applyFill="1" applyBorder="1" applyProtection="1">
      <protection locked="0"/>
    </xf>
    <xf numFmtId="1" fontId="6" fillId="0" borderId="1101" xfId="0" applyNumberFormat="1" applyFont="1" applyBorder="1" applyAlignment="1">
      <alignment horizontal="center" vertical="center"/>
    </xf>
    <xf numFmtId="1" fontId="38" fillId="0" borderId="1130" xfId="0" applyNumberFormat="1" applyFont="1" applyBorder="1"/>
    <xf numFmtId="1" fontId="38" fillId="0" borderId="1131" xfId="0" applyNumberFormat="1" applyFont="1" applyBorder="1"/>
    <xf numFmtId="1" fontId="38" fillId="0" borderId="1132" xfId="0" applyNumberFormat="1" applyFont="1" applyBorder="1"/>
    <xf numFmtId="1" fontId="6" fillId="5" borderId="1140" xfId="0" applyNumberFormat="1" applyFont="1" applyFill="1" applyBorder="1" applyProtection="1">
      <protection locked="0"/>
    </xf>
    <xf numFmtId="1" fontId="6" fillId="5" borderId="1141" xfId="0" applyNumberFormat="1" applyFont="1" applyFill="1" applyBorder="1" applyProtection="1">
      <protection locked="0"/>
    </xf>
    <xf numFmtId="1" fontId="6" fillId="5" borderId="1142" xfId="0" applyNumberFormat="1" applyFont="1" applyFill="1" applyBorder="1" applyProtection="1">
      <protection locked="0"/>
    </xf>
    <xf numFmtId="1" fontId="6" fillId="5" borderId="1139" xfId="23" applyNumberFormat="1" applyFont="1" applyFill="1" applyBorder="1" applyProtection="1">
      <protection locked="0"/>
    </xf>
    <xf numFmtId="1" fontId="6" fillId="5" borderId="1118" xfId="23" applyNumberFormat="1" applyFont="1" applyFill="1" applyBorder="1" applyProtection="1">
      <protection locked="0"/>
    </xf>
    <xf numFmtId="1" fontId="6" fillId="5" borderId="1078" xfId="23" applyNumberFormat="1" applyFont="1" applyFill="1" applyBorder="1" applyProtection="1">
      <protection locked="0"/>
    </xf>
    <xf numFmtId="1" fontId="6" fillId="5" borderId="1144" xfId="23" applyNumberFormat="1" applyFont="1" applyFill="1" applyBorder="1" applyProtection="1">
      <protection locked="0"/>
    </xf>
    <xf numFmtId="1" fontId="6" fillId="5" borderId="1104" xfId="23" applyNumberFormat="1" applyFont="1" applyFill="1" applyBorder="1" applyProtection="1">
      <protection locked="0"/>
    </xf>
    <xf numFmtId="1" fontId="6" fillId="0" borderId="1096" xfId="23" applyNumberFormat="1" applyFont="1" applyBorder="1"/>
    <xf numFmtId="1" fontId="6" fillId="5" borderId="1091" xfId="23" applyNumberFormat="1" applyFont="1" applyFill="1" applyBorder="1" applyProtection="1">
      <protection locked="0"/>
    </xf>
    <xf numFmtId="1" fontId="6" fillId="0" borderId="1143" xfId="23" applyNumberFormat="1" applyFont="1" applyBorder="1"/>
    <xf numFmtId="1" fontId="6" fillId="5" borderId="1148" xfId="0" applyNumberFormat="1" applyFont="1" applyFill="1" applyBorder="1" applyProtection="1">
      <protection locked="0"/>
    </xf>
    <xf numFmtId="1" fontId="6" fillId="5" borderId="1149" xfId="0" applyNumberFormat="1" applyFont="1" applyFill="1" applyBorder="1" applyProtection="1">
      <protection locked="0"/>
    </xf>
    <xf numFmtId="1" fontId="6" fillId="15" borderId="1113" xfId="0" applyNumberFormat="1" applyFont="1" applyFill="1" applyBorder="1" applyProtection="1">
      <protection locked="0"/>
    </xf>
    <xf numFmtId="1" fontId="6" fillId="15" borderId="1116" xfId="0" applyNumberFormat="1" applyFont="1" applyFill="1" applyBorder="1" applyProtection="1">
      <protection locked="0"/>
    </xf>
    <xf numFmtId="1" fontId="6" fillId="15" borderId="1112" xfId="0" applyNumberFormat="1" applyFont="1" applyFill="1" applyBorder="1" applyProtection="1">
      <protection locked="0"/>
    </xf>
    <xf numFmtId="1" fontId="6" fillId="15" borderId="1117" xfId="0" applyNumberFormat="1" applyFont="1" applyFill="1" applyBorder="1" applyProtection="1">
      <protection locked="0"/>
    </xf>
    <xf numFmtId="1" fontId="6" fillId="15" borderId="1103" xfId="0" applyNumberFormat="1" applyFont="1" applyFill="1" applyBorder="1" applyProtection="1">
      <protection locked="0"/>
    </xf>
    <xf numFmtId="1" fontId="6" fillId="5" borderId="1150" xfId="0" applyNumberFormat="1" applyFont="1" applyFill="1" applyBorder="1" applyProtection="1">
      <protection locked="0"/>
    </xf>
    <xf numFmtId="1" fontId="6" fillId="15" borderId="1150" xfId="0" applyNumberFormat="1" applyFont="1" applyFill="1" applyBorder="1" applyProtection="1">
      <protection locked="0"/>
    </xf>
    <xf numFmtId="1" fontId="6" fillId="5" borderId="1124" xfId="0" applyNumberFormat="1" applyFont="1" applyFill="1" applyBorder="1" applyProtection="1">
      <protection locked="0"/>
    </xf>
    <xf numFmtId="1" fontId="6" fillId="15" borderId="1125" xfId="0" applyNumberFormat="1" applyFont="1" applyFill="1" applyBorder="1" applyProtection="1">
      <protection locked="0"/>
    </xf>
    <xf numFmtId="1" fontId="6" fillId="15" borderId="1105" xfId="0" applyNumberFormat="1" applyFont="1" applyFill="1" applyBorder="1" applyProtection="1">
      <protection locked="0"/>
    </xf>
    <xf numFmtId="1" fontId="6" fillId="5" borderId="1151" xfId="0" applyNumberFormat="1" applyFont="1" applyFill="1" applyBorder="1" applyProtection="1">
      <protection locked="0"/>
    </xf>
    <xf numFmtId="1" fontId="6" fillId="5" borderId="1152" xfId="0" applyNumberFormat="1" applyFont="1" applyFill="1" applyBorder="1" applyProtection="1">
      <protection locked="0"/>
    </xf>
    <xf numFmtId="1" fontId="6" fillId="0" borderId="1153" xfId="0" applyNumberFormat="1" applyFont="1" applyBorder="1" applyAlignment="1">
      <alignment vertical="center"/>
    </xf>
    <xf numFmtId="1" fontId="6" fillId="14" borderId="1153" xfId="0" applyNumberFormat="1" applyFont="1" applyFill="1" applyBorder="1" applyAlignment="1">
      <alignment vertical="center"/>
    </xf>
    <xf numFmtId="1" fontId="6" fillId="5" borderId="1145" xfId="0" applyNumberFormat="1" applyFont="1" applyFill="1" applyBorder="1" applyProtection="1">
      <protection locked="0"/>
    </xf>
    <xf numFmtId="1" fontId="6" fillId="15" borderId="0" xfId="0" applyNumberFormat="1" applyFont="1" applyFill="1" applyProtection="1">
      <protection locked="0"/>
    </xf>
    <xf numFmtId="1" fontId="6" fillId="5" borderId="1154" xfId="0" applyNumberFormat="1" applyFont="1" applyFill="1" applyBorder="1" applyProtection="1">
      <protection locked="0"/>
    </xf>
    <xf numFmtId="1" fontId="6" fillId="12" borderId="1150" xfId="0" applyNumberFormat="1" applyFont="1" applyFill="1" applyBorder="1"/>
    <xf numFmtId="1" fontId="6" fillId="12" borderId="1113" xfId="0" applyNumberFormat="1" applyFont="1" applyFill="1" applyBorder="1"/>
    <xf numFmtId="1" fontId="6" fillId="12" borderId="1125" xfId="0" applyNumberFormat="1" applyFont="1" applyFill="1" applyBorder="1"/>
    <xf numFmtId="1" fontId="6" fillId="12" borderId="1116" xfId="0" applyNumberFormat="1" applyFont="1" applyFill="1" applyBorder="1"/>
    <xf numFmtId="1" fontId="6" fillId="12" borderId="1141" xfId="0" applyNumberFormat="1" applyFont="1" applyFill="1" applyBorder="1"/>
    <xf numFmtId="1" fontId="6" fillId="12" borderId="1151" xfId="0" applyNumberFormat="1" applyFont="1" applyFill="1" applyBorder="1"/>
    <xf numFmtId="1" fontId="6" fillId="12" borderId="1124" xfId="0" applyNumberFormat="1" applyFont="1" applyFill="1" applyBorder="1"/>
    <xf numFmtId="1" fontId="6" fillId="12" borderId="1145" xfId="0" applyNumberFormat="1" applyFont="1" applyFill="1" applyBorder="1"/>
    <xf numFmtId="1" fontId="6" fillId="5" borderId="1156" xfId="0" applyNumberFormat="1" applyFont="1" applyFill="1" applyBorder="1" applyProtection="1">
      <protection locked="0"/>
    </xf>
    <xf numFmtId="1" fontId="21" fillId="3" borderId="0" xfId="0" applyNumberFormat="1" applyFont="1" applyFill="1" applyAlignment="1">
      <alignment wrapText="1"/>
    </xf>
    <xf numFmtId="1" fontId="6" fillId="0" borderId="1158" xfId="0" applyNumberFormat="1" applyFont="1" applyBorder="1" applyAlignment="1">
      <alignment horizontal="center" vertical="center" wrapText="1"/>
    </xf>
    <xf numFmtId="1" fontId="6" fillId="5" borderId="1160" xfId="0" applyNumberFormat="1" applyFont="1" applyFill="1" applyBorder="1" applyProtection="1">
      <protection locked="0"/>
    </xf>
    <xf numFmtId="1" fontId="6" fillId="5" borderId="1161" xfId="0" applyNumberFormat="1" applyFont="1" applyFill="1" applyBorder="1" applyProtection="1">
      <protection locked="0"/>
    </xf>
    <xf numFmtId="1" fontId="4" fillId="0" borderId="1162" xfId="0" applyNumberFormat="1" applyFont="1" applyBorder="1"/>
    <xf numFmtId="1" fontId="6" fillId="5" borderId="1068" xfId="0" applyNumberFormat="1" applyFont="1" applyFill="1" applyBorder="1" applyAlignment="1" applyProtection="1">
      <alignment horizontal="right"/>
      <protection locked="0"/>
    </xf>
    <xf numFmtId="1" fontId="6" fillId="5" borderId="1142" xfId="0" applyNumberFormat="1" applyFont="1" applyFill="1" applyBorder="1" applyAlignment="1" applyProtection="1">
      <alignment horizontal="right"/>
      <protection locked="0"/>
    </xf>
    <xf numFmtId="1" fontId="6" fillId="5" borderId="1096" xfId="0" applyNumberFormat="1" applyFont="1" applyFill="1" applyBorder="1" applyAlignment="1" applyProtection="1">
      <alignment horizontal="right"/>
      <protection locked="0"/>
    </xf>
    <xf numFmtId="1" fontId="6" fillId="5" borderId="1157" xfId="0" applyNumberFormat="1" applyFont="1" applyFill="1" applyBorder="1" applyAlignment="1" applyProtection="1">
      <alignment horizontal="right"/>
      <protection locked="0"/>
    </xf>
    <xf numFmtId="1" fontId="6" fillId="5" borderId="1065" xfId="0" applyNumberFormat="1" applyFont="1" applyFill="1" applyBorder="1" applyAlignment="1" applyProtection="1">
      <alignment horizontal="right"/>
      <protection locked="0"/>
    </xf>
    <xf numFmtId="1" fontId="6" fillId="5" borderId="1127" xfId="0" applyNumberFormat="1" applyFont="1" applyFill="1" applyBorder="1" applyAlignment="1" applyProtection="1">
      <alignment horizontal="right"/>
      <protection locked="0"/>
    </xf>
    <xf numFmtId="1" fontId="6" fillId="5" borderId="1143" xfId="0" applyNumberFormat="1" applyFont="1" applyFill="1" applyBorder="1" applyAlignment="1" applyProtection="1">
      <alignment horizontal="right"/>
      <protection locked="0"/>
    </xf>
    <xf numFmtId="1" fontId="6" fillId="5" borderId="1172" xfId="0" applyNumberFormat="1" applyFont="1" applyFill="1" applyBorder="1" applyProtection="1">
      <protection locked="0"/>
    </xf>
    <xf numFmtId="1" fontId="6" fillId="5" borderId="1092" xfId="0" applyNumberFormat="1" applyFont="1" applyFill="1" applyBorder="1" applyProtection="1">
      <protection locked="0"/>
    </xf>
    <xf numFmtId="1" fontId="6" fillId="5" borderId="1180" xfId="0" applyNumberFormat="1" applyFont="1" applyFill="1" applyBorder="1" applyProtection="1">
      <protection locked="0"/>
    </xf>
    <xf numFmtId="1" fontId="6" fillId="5" borderId="1181" xfId="0" applyNumberFormat="1" applyFont="1" applyFill="1" applyBorder="1" applyProtection="1">
      <protection locked="0"/>
    </xf>
    <xf numFmtId="1" fontId="6" fillId="5" borderId="1174" xfId="0" applyNumberFormat="1" applyFont="1" applyFill="1" applyBorder="1" applyProtection="1">
      <protection locked="0"/>
    </xf>
    <xf numFmtId="1" fontId="6" fillId="0" borderId="1189" xfId="0" applyNumberFormat="1" applyFont="1" applyBorder="1" applyAlignment="1">
      <alignment horizontal="center" vertical="center"/>
    </xf>
    <xf numFmtId="1" fontId="6" fillId="0" borderId="1196" xfId="0" applyNumberFormat="1" applyFont="1" applyBorder="1" applyAlignment="1">
      <alignment horizontal="center" vertical="center"/>
    </xf>
    <xf numFmtId="1" fontId="6" fillId="0" borderId="1197" xfId="0" applyNumberFormat="1" applyFont="1" applyBorder="1"/>
    <xf numFmtId="1" fontId="6" fillId="0" borderId="1196" xfId="0" applyNumberFormat="1" applyFont="1" applyBorder="1"/>
    <xf numFmtId="1" fontId="6" fillId="0" borderId="1198" xfId="0" applyNumberFormat="1" applyFont="1" applyBorder="1"/>
    <xf numFmtId="1" fontId="6" fillId="5" borderId="1169" xfId="0" applyNumberFormat="1" applyFont="1" applyFill="1" applyBorder="1" applyProtection="1">
      <protection locked="0"/>
    </xf>
    <xf numFmtId="1" fontId="6" fillId="5" borderId="1204" xfId="0" applyNumberFormat="1" applyFont="1" applyFill="1" applyBorder="1" applyProtection="1">
      <protection locked="0"/>
    </xf>
    <xf numFmtId="1" fontId="6" fillId="0" borderId="1205" xfId="0" applyNumberFormat="1" applyFont="1" applyBorder="1" applyAlignment="1">
      <alignment horizontal="right"/>
    </xf>
    <xf numFmtId="1" fontId="6" fillId="0" borderId="645" xfId="0" applyNumberFormat="1" applyFont="1" applyBorder="1" applyAlignment="1">
      <alignment horizontal="right"/>
    </xf>
    <xf numFmtId="1" fontId="6" fillId="0" borderId="1113" xfId="0" applyNumberFormat="1" applyFont="1" applyBorder="1" applyAlignment="1">
      <alignment horizontal="right"/>
    </xf>
    <xf numFmtId="1" fontId="6" fillId="0" borderId="1114" xfId="0" applyNumberFormat="1" applyFont="1" applyBorder="1" applyAlignment="1">
      <alignment horizontal="right"/>
    </xf>
    <xf numFmtId="1" fontId="6" fillId="0" borderId="730" xfId="0" applyNumberFormat="1" applyFont="1" applyBorder="1" applyAlignment="1">
      <alignment horizontal="right"/>
    </xf>
    <xf numFmtId="1" fontId="6" fillId="0" borderId="1024" xfId="0" applyNumberFormat="1" applyFont="1" applyBorder="1" applyAlignment="1">
      <alignment horizontal="right"/>
    </xf>
    <xf numFmtId="1" fontId="6" fillId="0" borderId="1116" xfId="0" applyNumberFormat="1" applyFont="1" applyBorder="1" applyAlignment="1">
      <alignment horizontal="right"/>
    </xf>
    <xf numFmtId="1" fontId="6" fillId="5" borderId="730" xfId="0" applyNumberFormat="1" applyFont="1" applyFill="1" applyBorder="1" applyProtection="1">
      <protection locked="0"/>
    </xf>
    <xf numFmtId="1" fontId="6" fillId="5" borderId="1203" xfId="0" applyNumberFormat="1" applyFont="1" applyFill="1" applyBorder="1" applyProtection="1">
      <protection locked="0"/>
    </xf>
    <xf numFmtId="1" fontId="6" fillId="4" borderId="1112" xfId="0" applyNumberFormat="1" applyFont="1" applyFill="1" applyBorder="1"/>
    <xf numFmtId="1" fontId="6" fillId="5" borderId="1207" xfId="0" applyNumberFormat="1" applyFont="1" applyFill="1" applyBorder="1" applyProtection="1">
      <protection locked="0"/>
    </xf>
    <xf numFmtId="1" fontId="6" fillId="5" borderId="1205" xfId="0" applyNumberFormat="1" applyFont="1" applyFill="1" applyBorder="1" applyProtection="1">
      <protection locked="0"/>
    </xf>
    <xf numFmtId="1" fontId="6" fillId="4" borderId="768" xfId="0" applyNumberFormat="1" applyFont="1" applyFill="1" applyBorder="1"/>
    <xf numFmtId="1" fontId="6" fillId="5" borderId="1206" xfId="0" applyNumberFormat="1" applyFont="1" applyFill="1" applyBorder="1" applyProtection="1">
      <protection locked="0"/>
    </xf>
    <xf numFmtId="1" fontId="49" fillId="14" borderId="0" xfId="0" applyNumberFormat="1" applyFont="1" applyFill="1"/>
    <xf numFmtId="1" fontId="6" fillId="0" borderId="884" xfId="0" applyNumberFormat="1" applyFont="1" applyBorder="1" applyAlignment="1">
      <alignment horizontal="center" vertical="center" wrapText="1"/>
    </xf>
    <xf numFmtId="1" fontId="6" fillId="0" borderId="1045" xfId="0" applyNumberFormat="1" applyFont="1" applyBorder="1" applyAlignment="1">
      <alignment horizontal="center" vertical="center"/>
    </xf>
    <xf numFmtId="1" fontId="6" fillId="2" borderId="1214" xfId="26" applyNumberFormat="1" applyFont="1" applyBorder="1" applyProtection="1">
      <protection locked="0"/>
    </xf>
    <xf numFmtId="1" fontId="6" fillId="2" borderId="1215" xfId="26" applyNumberFormat="1" applyFont="1" applyBorder="1" applyProtection="1">
      <protection locked="0"/>
    </xf>
    <xf numFmtId="1" fontId="6" fillId="2" borderId="1216" xfId="26" applyNumberFormat="1" applyFont="1" applyBorder="1" applyProtection="1">
      <protection locked="0"/>
    </xf>
    <xf numFmtId="1" fontId="6" fillId="0" borderId="1208" xfId="0" applyNumberFormat="1" applyFont="1" applyBorder="1" applyAlignment="1">
      <alignment horizontal="center" vertical="center" wrapText="1"/>
    </xf>
    <xf numFmtId="1" fontId="6" fillId="5" borderId="1208" xfId="0" applyNumberFormat="1" applyFont="1" applyFill="1" applyBorder="1" applyProtection="1">
      <protection locked="0"/>
    </xf>
    <xf numFmtId="1" fontId="6" fillId="5" borderId="1220" xfId="0" applyNumberFormat="1" applyFont="1" applyFill="1" applyBorder="1" applyProtection="1">
      <protection locked="0"/>
    </xf>
    <xf numFmtId="1" fontId="6" fillId="5" borderId="1221" xfId="0" applyNumberFormat="1" applyFont="1" applyFill="1" applyBorder="1" applyProtection="1">
      <protection locked="0"/>
    </xf>
    <xf numFmtId="1" fontId="6" fillId="5" borderId="1218" xfId="0" applyNumberFormat="1" applyFont="1" applyFill="1" applyBorder="1" applyProtection="1">
      <protection locked="0"/>
    </xf>
    <xf numFmtId="1" fontId="6" fillId="0" borderId="1220" xfId="0" applyNumberFormat="1" applyFont="1" applyBorder="1" applyAlignment="1">
      <alignment horizontal="center" vertical="center" wrapText="1"/>
    </xf>
    <xf numFmtId="1" fontId="6" fillId="0" borderId="1208" xfId="0" applyNumberFormat="1" applyFont="1" applyBorder="1"/>
    <xf numFmtId="1" fontId="6" fillId="0" borderId="1220" xfId="0" applyNumberFormat="1" applyFont="1" applyBorder="1"/>
    <xf numFmtId="1" fontId="6" fillId="0" borderId="1218" xfId="0" applyNumberFormat="1" applyFont="1" applyBorder="1"/>
    <xf numFmtId="1" fontId="6" fillId="0" borderId="1221" xfId="0" applyNumberFormat="1" applyFont="1" applyBorder="1"/>
    <xf numFmtId="1" fontId="6" fillId="0" borderId="1222" xfId="0" applyNumberFormat="1" applyFont="1" applyBorder="1" applyAlignment="1">
      <alignment wrapText="1"/>
    </xf>
    <xf numFmtId="1" fontId="4" fillId="14" borderId="1222" xfId="0" applyNumberFormat="1" applyFont="1" applyFill="1" applyBorder="1"/>
    <xf numFmtId="1" fontId="6" fillId="0" borderId="1221" xfId="0" applyNumberFormat="1" applyFont="1" applyBorder="1" applyAlignment="1">
      <alignment horizontal="center" vertical="center" wrapText="1"/>
    </xf>
    <xf numFmtId="1" fontId="6" fillId="12" borderId="1205" xfId="0" applyNumberFormat="1" applyFont="1" applyFill="1" applyBorder="1"/>
    <xf numFmtId="1" fontId="6" fillId="0" borderId="1203" xfId="0" applyNumberFormat="1" applyFont="1" applyBorder="1" applyAlignment="1">
      <alignment horizontal="center" vertical="center" wrapText="1"/>
    </xf>
    <xf numFmtId="1" fontId="6" fillId="0" borderId="1223" xfId="0" applyNumberFormat="1" applyFont="1" applyBorder="1" applyAlignment="1">
      <alignment horizontal="center" vertical="center" wrapText="1"/>
    </xf>
    <xf numFmtId="1" fontId="6" fillId="0" borderId="1217" xfId="0" applyNumberFormat="1" applyFont="1" applyBorder="1" applyAlignment="1">
      <alignment horizontal="center" vertical="center" wrapText="1"/>
    </xf>
    <xf numFmtId="1" fontId="6" fillId="14" borderId="1208" xfId="0" applyNumberFormat="1" applyFont="1" applyFill="1" applyBorder="1" applyAlignment="1">
      <alignment horizontal="center" vertical="center" wrapText="1"/>
    </xf>
    <xf numFmtId="1" fontId="6" fillId="14" borderId="1203" xfId="0" applyNumberFormat="1" applyFont="1" applyFill="1" applyBorder="1" applyAlignment="1">
      <alignment horizontal="center" vertical="center" wrapText="1"/>
    </xf>
    <xf numFmtId="1" fontId="6" fillId="15" borderId="968" xfId="0" applyNumberFormat="1" applyFont="1" applyFill="1" applyBorder="1" applyProtection="1">
      <protection locked="0"/>
    </xf>
    <xf numFmtId="1" fontId="6" fillId="15" borderId="1151" xfId="0" applyNumberFormat="1" applyFont="1" applyFill="1" applyBorder="1" applyProtection="1">
      <protection locked="0"/>
    </xf>
    <xf numFmtId="1" fontId="6" fillId="0" borderId="1220" xfId="0" applyNumberFormat="1" applyFont="1" applyBorder="1" applyAlignment="1">
      <alignment vertical="center"/>
    </xf>
    <xf numFmtId="1" fontId="6" fillId="14" borderId="1220" xfId="0" applyNumberFormat="1" applyFont="1" applyFill="1" applyBorder="1" applyAlignment="1">
      <alignment vertical="center"/>
    </xf>
    <xf numFmtId="1" fontId="6" fillId="15" borderId="299" xfId="0" applyNumberFormat="1" applyFont="1" applyFill="1" applyBorder="1" applyProtection="1">
      <protection locked="0"/>
    </xf>
    <xf numFmtId="1" fontId="6" fillId="15" borderId="1075" xfId="0" applyNumberFormat="1" applyFont="1" applyFill="1" applyBorder="1" applyProtection="1">
      <protection locked="0"/>
    </xf>
    <xf numFmtId="1" fontId="6" fillId="15" borderId="1024" xfId="0" applyNumberFormat="1" applyFont="1" applyFill="1" applyBorder="1" applyProtection="1">
      <protection locked="0"/>
    </xf>
    <xf numFmtId="1" fontId="6" fillId="5" borderId="1224" xfId="0" applyNumberFormat="1" applyFont="1" applyFill="1" applyBorder="1" applyProtection="1">
      <protection locked="0"/>
    </xf>
    <xf numFmtId="1" fontId="6" fillId="15" borderId="1006" xfId="0" applyNumberFormat="1" applyFont="1" applyFill="1" applyBorder="1" applyProtection="1">
      <protection locked="0"/>
    </xf>
    <xf numFmtId="1" fontId="6" fillId="0" borderId="1208" xfId="0" applyNumberFormat="1" applyFont="1" applyBorder="1" applyAlignment="1">
      <alignment vertical="center"/>
    </xf>
    <xf numFmtId="1" fontId="6" fillId="14" borderId="1208" xfId="0" applyNumberFormat="1" applyFont="1" applyFill="1" applyBorder="1" applyAlignment="1">
      <alignment vertical="center"/>
    </xf>
    <xf numFmtId="1" fontId="6" fillId="0" borderId="1005" xfId="0" applyNumberFormat="1" applyFont="1" applyBorder="1" applyAlignment="1">
      <alignment horizontal="center" vertical="center"/>
    </xf>
    <xf numFmtId="1" fontId="6" fillId="3" borderId="1221" xfId="0" applyNumberFormat="1" applyFont="1" applyFill="1" applyBorder="1"/>
    <xf numFmtId="1" fontId="6" fillId="5" borderId="1225" xfId="0" applyNumberFormat="1" applyFont="1" applyFill="1" applyBorder="1" applyProtection="1">
      <protection locked="0"/>
    </xf>
    <xf numFmtId="2" fontId="6" fillId="6" borderId="0" xfId="14" applyNumberFormat="1" applyFont="1" applyBorder="1" applyAlignment="1" applyProtection="1">
      <alignment horizontal="center" vertical="center"/>
      <protection locked="0"/>
    </xf>
    <xf numFmtId="1" fontId="6" fillId="4" borderId="1205" xfId="0" applyNumberFormat="1" applyFont="1" applyFill="1" applyBorder="1"/>
    <xf numFmtId="1" fontId="6" fillId="4" borderId="1207" xfId="0" applyNumberFormat="1" applyFont="1" applyFill="1" applyBorder="1"/>
    <xf numFmtId="1" fontId="6" fillId="4" borderId="1169" xfId="0" applyNumberFormat="1" applyFont="1" applyFill="1" applyBorder="1"/>
    <xf numFmtId="1" fontId="6" fillId="4" borderId="1183" xfId="0" applyNumberFormat="1" applyFont="1" applyFill="1" applyBorder="1"/>
    <xf numFmtId="1" fontId="6" fillId="4" borderId="1160" xfId="0" applyNumberFormat="1" applyFont="1" applyFill="1" applyBorder="1"/>
    <xf numFmtId="1" fontId="6" fillId="4" borderId="1089" xfId="0" applyNumberFormat="1" applyFont="1" applyFill="1" applyBorder="1"/>
    <xf numFmtId="1" fontId="6" fillId="4" borderId="1120" xfId="0" applyNumberFormat="1" applyFont="1" applyFill="1" applyBorder="1"/>
    <xf numFmtId="1" fontId="6" fillId="0" borderId="1227" xfId="0" applyNumberFormat="1" applyFont="1" applyBorder="1"/>
    <xf numFmtId="1" fontId="6" fillId="0" borderId="1233" xfId="0" applyNumberFormat="1" applyFont="1" applyBorder="1" applyAlignment="1">
      <alignment horizontal="center" vertical="center" wrapText="1"/>
    </xf>
    <xf numFmtId="1" fontId="6" fillId="0" borderId="1234" xfId="0" applyNumberFormat="1" applyFont="1" applyBorder="1" applyAlignment="1">
      <alignment horizontal="center" vertical="center" wrapText="1"/>
    </xf>
    <xf numFmtId="1" fontId="6" fillId="0" borderId="1235" xfId="0" applyNumberFormat="1" applyFont="1" applyBorder="1" applyAlignment="1">
      <alignment horizontal="center" vertical="center" wrapText="1"/>
    </xf>
    <xf numFmtId="1" fontId="6" fillId="0" borderId="1236" xfId="0" applyNumberFormat="1" applyFont="1" applyBorder="1" applyAlignment="1">
      <alignment horizontal="center" vertical="center" wrapText="1"/>
    </xf>
    <xf numFmtId="1" fontId="6" fillId="0" borderId="1237" xfId="0" applyNumberFormat="1" applyFont="1" applyBorder="1" applyAlignment="1">
      <alignment horizontal="center" vertical="center" wrapText="1"/>
    </xf>
    <xf numFmtId="1" fontId="6" fillId="14" borderId="1233" xfId="0" applyNumberFormat="1" applyFont="1" applyFill="1" applyBorder="1" applyAlignment="1">
      <alignment horizontal="center" vertical="center" wrapText="1"/>
    </xf>
    <xf numFmtId="1" fontId="6" fillId="14" borderId="1237" xfId="0" applyNumberFormat="1" applyFont="1" applyFill="1" applyBorder="1" applyAlignment="1">
      <alignment horizontal="center" vertical="center" wrapText="1"/>
    </xf>
    <xf numFmtId="1" fontId="6" fillId="14" borderId="1236" xfId="0" applyNumberFormat="1" applyFont="1" applyFill="1" applyBorder="1" applyAlignment="1">
      <alignment horizontal="center" vertical="center" wrapText="1"/>
    </xf>
    <xf numFmtId="1" fontId="6" fillId="5" borderId="1238" xfId="0" applyNumberFormat="1" applyFont="1" applyFill="1" applyBorder="1" applyProtection="1">
      <protection locked="0"/>
    </xf>
    <xf numFmtId="1" fontId="6" fillId="5" borderId="1239" xfId="0" applyNumberFormat="1" applyFont="1" applyFill="1" applyBorder="1" applyProtection="1">
      <protection locked="0"/>
    </xf>
    <xf numFmtId="1" fontId="6" fillId="15" borderId="1238" xfId="0" applyNumberFormat="1" applyFont="1" applyFill="1" applyBorder="1" applyProtection="1">
      <protection locked="0"/>
    </xf>
    <xf numFmtId="1" fontId="6" fillId="15" borderId="1239" xfId="0" applyNumberFormat="1" applyFont="1" applyFill="1" applyBorder="1" applyProtection="1">
      <protection locked="0"/>
    </xf>
    <xf numFmtId="1" fontId="6" fillId="0" borderId="1240" xfId="0" applyNumberFormat="1" applyFont="1" applyBorder="1" applyAlignment="1">
      <alignment horizontal="center" vertical="center"/>
    </xf>
    <xf numFmtId="1" fontId="6" fillId="5" borderId="1241" xfId="0" applyNumberFormat="1" applyFont="1" applyFill="1" applyBorder="1" applyProtection="1">
      <protection locked="0"/>
    </xf>
    <xf numFmtId="1" fontId="6" fillId="0" borderId="1233" xfId="0" applyNumberFormat="1" applyFont="1" applyBorder="1"/>
    <xf numFmtId="1" fontId="6" fillId="0" borderId="1236" xfId="0" applyNumberFormat="1" applyFont="1" applyBorder="1"/>
    <xf numFmtId="1" fontId="6" fillId="0" borderId="1235" xfId="0" applyNumberFormat="1" applyFont="1" applyBorder="1"/>
    <xf numFmtId="1" fontId="6" fillId="5" borderId="1242" xfId="23" applyNumberFormat="1" applyFont="1" applyFill="1" applyBorder="1" applyProtection="1">
      <protection locked="0"/>
    </xf>
    <xf numFmtId="1" fontId="52" fillId="14" borderId="0" xfId="0" applyNumberFormat="1" applyFont="1" applyFill="1"/>
    <xf numFmtId="1" fontId="6" fillId="5" borderId="1044" xfId="23" applyNumberFormat="1" applyFont="1" applyFill="1" applyBorder="1" applyProtection="1">
      <protection locked="0"/>
    </xf>
    <xf numFmtId="1" fontId="6" fillId="0" borderId="1244" xfId="0" applyNumberFormat="1" applyFont="1" applyBorder="1" applyAlignment="1">
      <alignment horizontal="center" vertical="center" wrapText="1"/>
    </xf>
    <xf numFmtId="1" fontId="6" fillId="2" borderId="1245" xfId="26" applyNumberFormat="1" applyFont="1" applyBorder="1" applyProtection="1">
      <protection locked="0"/>
    </xf>
    <xf numFmtId="1" fontId="6" fillId="5" borderId="1232" xfId="0" applyNumberFormat="1" applyFont="1" applyFill="1" applyBorder="1" applyProtection="1">
      <protection locked="0"/>
    </xf>
    <xf numFmtId="1" fontId="6" fillId="0" borderId="1229" xfId="0" applyNumberFormat="1" applyFont="1" applyBorder="1" applyAlignment="1">
      <alignment horizontal="center" vertical="center" wrapText="1"/>
    </xf>
    <xf numFmtId="1" fontId="6" fillId="2" borderId="1065" xfId="26" applyNumberFormat="1" applyFont="1" applyBorder="1" applyProtection="1">
      <protection locked="0"/>
    </xf>
    <xf numFmtId="1" fontId="6" fillId="3" borderId="1166" xfId="0" applyNumberFormat="1" applyFont="1" applyFill="1" applyBorder="1"/>
    <xf numFmtId="1" fontId="6" fillId="15" borderId="1261" xfId="0" applyNumberFormat="1" applyFont="1" applyFill="1" applyBorder="1" applyProtection="1">
      <protection locked="0"/>
    </xf>
    <xf numFmtId="1" fontId="6" fillId="0" borderId="1247" xfId="0" applyNumberFormat="1" applyFont="1" applyBorder="1" applyAlignment="1">
      <alignment horizontal="left"/>
    </xf>
    <xf numFmtId="1" fontId="6" fillId="5" borderId="1250" xfId="0" applyNumberFormat="1" applyFont="1" applyFill="1" applyBorder="1" applyProtection="1">
      <protection locked="0"/>
    </xf>
    <xf numFmtId="1" fontId="6" fillId="0" borderId="1256" xfId="0" applyNumberFormat="1" applyFont="1" applyBorder="1" applyAlignment="1">
      <alignment horizontal="center" vertical="center" wrapText="1"/>
    </xf>
    <xf numFmtId="1" fontId="6" fillId="5" borderId="1253" xfId="0" applyNumberFormat="1" applyFont="1" applyFill="1" applyBorder="1" applyProtection="1">
      <protection locked="0"/>
    </xf>
    <xf numFmtId="1" fontId="6" fillId="5" borderId="1258" xfId="0" applyNumberFormat="1" applyFont="1" applyFill="1" applyBorder="1" applyProtection="1">
      <protection locked="0"/>
    </xf>
    <xf numFmtId="1" fontId="6" fillId="0" borderId="1257" xfId="0" applyNumberFormat="1" applyFont="1" applyBorder="1" applyAlignment="1">
      <alignment horizontal="center" vertical="center"/>
    </xf>
    <xf numFmtId="1" fontId="6" fillId="5" borderId="1265" xfId="0" applyNumberFormat="1" applyFont="1" applyFill="1" applyBorder="1" applyProtection="1">
      <protection locked="0"/>
    </xf>
    <xf numFmtId="1" fontId="6" fillId="5" borderId="1266" xfId="0" applyNumberFormat="1" applyFont="1" applyFill="1" applyBorder="1" applyProtection="1">
      <protection locked="0"/>
    </xf>
    <xf numFmtId="1" fontId="6" fillId="12" borderId="863" xfId="0" applyNumberFormat="1" applyFont="1" applyFill="1" applyBorder="1" applyProtection="1">
      <protection locked="0"/>
    </xf>
    <xf numFmtId="1" fontId="6" fillId="12" borderId="728" xfId="0" applyNumberFormat="1" applyFont="1" applyFill="1" applyBorder="1" applyProtection="1">
      <protection locked="0"/>
    </xf>
    <xf numFmtId="1" fontId="6" fillId="0" borderId="1078" xfId="0" applyNumberFormat="1" applyFont="1" applyBorder="1"/>
    <xf numFmtId="1" fontId="6" fillId="0" borderId="1271" xfId="0" applyNumberFormat="1" applyFont="1" applyBorder="1"/>
    <xf numFmtId="1" fontId="6" fillId="6" borderId="1272" xfId="14" applyNumberFormat="1" applyFont="1" applyBorder="1" applyProtection="1">
      <protection locked="0"/>
    </xf>
    <xf numFmtId="1" fontId="6" fillId="0" borderId="1113" xfId="0" applyNumberFormat="1" applyFont="1" applyBorder="1"/>
    <xf numFmtId="1" fontId="6" fillId="6" borderId="1273" xfId="14" applyNumberFormat="1" applyFont="1" applyBorder="1" applyProtection="1">
      <protection locked="0"/>
    </xf>
    <xf numFmtId="1" fontId="6" fillId="6" borderId="1274" xfId="14" applyNumberFormat="1" applyFont="1" applyBorder="1" applyProtection="1">
      <protection locked="0"/>
    </xf>
    <xf numFmtId="1" fontId="6" fillId="0" borderId="1084" xfId="0" applyNumberFormat="1" applyFont="1" applyBorder="1"/>
    <xf numFmtId="1" fontId="6" fillId="6" borderId="1275" xfId="14" applyNumberFormat="1" applyFont="1" applyBorder="1" applyProtection="1">
      <protection locked="0"/>
    </xf>
    <xf numFmtId="1" fontId="6" fillId="6" borderId="1276" xfId="14" applyNumberFormat="1" applyFont="1" applyBorder="1" applyProtection="1">
      <protection locked="0"/>
    </xf>
    <xf numFmtId="1" fontId="6" fillId="6" borderId="887" xfId="14" applyNumberFormat="1" applyFont="1" applyBorder="1" applyProtection="1">
      <protection locked="0"/>
    </xf>
    <xf numFmtId="1" fontId="6" fillId="0" borderId="1277" xfId="0" applyNumberFormat="1" applyFont="1" applyBorder="1"/>
    <xf numFmtId="1" fontId="6" fillId="0" borderId="1281" xfId="0" applyNumberFormat="1" applyFont="1" applyBorder="1" applyAlignment="1">
      <alignment horizontal="center" vertical="center"/>
    </xf>
    <xf numFmtId="1" fontId="6" fillId="0" borderId="1282" xfId="0" applyNumberFormat="1" applyFont="1" applyBorder="1" applyAlignment="1">
      <alignment horizontal="center" vertical="center" wrapText="1"/>
    </xf>
    <xf numFmtId="1" fontId="6" fillId="6" borderId="1283" xfId="14" applyNumberFormat="1" applyFont="1" applyBorder="1" applyProtection="1">
      <protection locked="0"/>
    </xf>
    <xf numFmtId="1" fontId="6" fillId="6" borderId="1284" xfId="14" applyNumberFormat="1" applyFont="1" applyBorder="1" applyProtection="1">
      <protection locked="0"/>
    </xf>
    <xf numFmtId="1" fontId="6" fillId="6" borderId="1285" xfId="14" applyNumberFormat="1" applyFont="1" applyBorder="1" applyProtection="1">
      <protection locked="0"/>
    </xf>
    <xf numFmtId="1" fontId="6" fillId="6" borderId="1286" xfId="14" applyNumberFormat="1" applyFont="1" applyBorder="1" applyProtection="1">
      <protection locked="0"/>
    </xf>
    <xf numFmtId="1" fontId="6" fillId="6" borderId="1287" xfId="14" applyNumberFormat="1" applyFont="1" applyBorder="1" applyProtection="1">
      <protection locked="0"/>
    </xf>
    <xf numFmtId="1" fontId="6" fillId="6" borderId="1288" xfId="14" applyNumberFormat="1" applyFont="1" applyBorder="1" applyProtection="1">
      <protection locked="0"/>
    </xf>
    <xf numFmtId="1" fontId="6" fillId="6" borderId="1289" xfId="14" applyNumberFormat="1" applyFont="1" applyBorder="1" applyProtection="1">
      <protection locked="0"/>
    </xf>
    <xf numFmtId="1" fontId="6" fillId="6" borderId="1290" xfId="14" applyNumberFormat="1" applyFont="1" applyBorder="1" applyProtection="1">
      <protection locked="0"/>
    </xf>
    <xf numFmtId="1" fontId="6" fillId="6" borderId="1291" xfId="14" applyNumberFormat="1" applyFont="1" applyBorder="1" applyProtection="1">
      <protection locked="0"/>
    </xf>
    <xf numFmtId="1" fontId="6" fillId="6" borderId="1292" xfId="14" applyNumberFormat="1" applyFont="1" applyBorder="1" applyProtection="1">
      <protection locked="0"/>
    </xf>
    <xf numFmtId="1" fontId="6" fillId="6" borderId="1293" xfId="14" applyNumberFormat="1" applyFont="1" applyBorder="1" applyProtection="1">
      <protection locked="0"/>
    </xf>
    <xf numFmtId="1" fontId="6" fillId="6" borderId="1294" xfId="14" applyNumberFormat="1" applyFont="1" applyBorder="1" applyProtection="1">
      <protection locked="0"/>
    </xf>
    <xf numFmtId="1" fontId="6" fillId="6" borderId="1295" xfId="14" applyNumberFormat="1" applyFont="1" applyBorder="1" applyProtection="1">
      <protection locked="0"/>
    </xf>
    <xf numFmtId="1" fontId="6" fillId="6" borderId="1296" xfId="14" applyNumberFormat="1" applyFont="1" applyBorder="1" applyProtection="1">
      <protection locked="0"/>
    </xf>
    <xf numFmtId="1" fontId="6" fillId="6" borderId="455" xfId="14" applyNumberFormat="1" applyFont="1" applyBorder="1" applyProtection="1">
      <protection locked="0"/>
    </xf>
    <xf numFmtId="1" fontId="6" fillId="6" borderId="1297" xfId="14" applyNumberFormat="1" applyFont="1" applyBorder="1" applyProtection="1">
      <protection locked="0"/>
    </xf>
    <xf numFmtId="1" fontId="6" fillId="5" borderId="1301" xfId="0" applyNumberFormat="1" applyFont="1" applyFill="1" applyBorder="1" applyProtection="1">
      <protection locked="0"/>
    </xf>
    <xf numFmtId="1" fontId="6" fillId="5" borderId="1302" xfId="0" applyNumberFormat="1" applyFont="1" applyFill="1" applyBorder="1" applyProtection="1">
      <protection locked="0"/>
    </xf>
    <xf numFmtId="1" fontId="6" fillId="0" borderId="934" xfId="0" applyNumberFormat="1" applyFont="1" applyBorder="1"/>
    <xf numFmtId="1" fontId="6" fillId="0" borderId="1141" xfId="0" applyNumberFormat="1" applyFont="1" applyBorder="1"/>
    <xf numFmtId="1" fontId="6" fillId="5" borderId="1262" xfId="0" applyNumberFormat="1" applyFont="1" applyFill="1" applyBorder="1" applyProtection="1">
      <protection locked="0"/>
    </xf>
    <xf numFmtId="1" fontId="6" fillId="0" borderId="440" xfId="0" applyNumberFormat="1" applyFont="1" applyBorder="1" applyAlignment="1">
      <alignment horizontal="center" vertical="center"/>
    </xf>
    <xf numFmtId="1" fontId="6" fillId="5" borderId="1314" xfId="0" applyNumberFormat="1" applyFont="1" applyFill="1" applyBorder="1" applyAlignment="1" applyProtection="1">
      <alignment horizontal="right"/>
      <protection locked="0"/>
    </xf>
    <xf numFmtId="1" fontId="6" fillId="5" borderId="1315" xfId="0" applyNumberFormat="1" applyFont="1" applyFill="1" applyBorder="1" applyAlignment="1" applyProtection="1">
      <alignment horizontal="right"/>
      <protection locked="0"/>
    </xf>
    <xf numFmtId="1" fontId="6" fillId="5" borderId="1262" xfId="0" applyNumberFormat="1" applyFont="1" applyFill="1" applyBorder="1" applyAlignment="1" applyProtection="1">
      <alignment horizontal="right"/>
      <protection locked="0"/>
    </xf>
    <xf numFmtId="1" fontId="6" fillId="5" borderId="1316" xfId="0" applyNumberFormat="1" applyFont="1" applyFill="1" applyBorder="1" applyAlignment="1" applyProtection="1">
      <alignment horizontal="right"/>
      <protection locked="0"/>
    </xf>
    <xf numFmtId="1" fontId="6" fillId="5" borderId="1103" xfId="0" applyNumberFormat="1" applyFont="1" applyFill="1" applyBorder="1" applyAlignment="1" applyProtection="1">
      <alignment horizontal="right"/>
      <protection locked="0"/>
    </xf>
    <xf numFmtId="1" fontId="6" fillId="5" borderId="1317" xfId="0" applyNumberFormat="1" applyFont="1" applyFill="1" applyBorder="1" applyProtection="1">
      <protection locked="0"/>
    </xf>
    <xf numFmtId="1" fontId="6" fillId="0" borderId="1320" xfId="0" applyNumberFormat="1" applyFont="1" applyBorder="1"/>
    <xf numFmtId="1" fontId="6" fillId="5" borderId="1320" xfId="0" applyNumberFormat="1" applyFont="1" applyFill="1" applyBorder="1" applyProtection="1">
      <protection locked="0"/>
    </xf>
    <xf numFmtId="1" fontId="6" fillId="0" borderId="1318" xfId="0" applyNumberFormat="1" applyFont="1" applyBorder="1"/>
    <xf numFmtId="1" fontId="6" fillId="0" borderId="1269" xfId="0" applyNumberFormat="1" applyFont="1" applyBorder="1"/>
    <xf numFmtId="1" fontId="6" fillId="0" borderId="1307" xfId="0" applyNumberFormat="1" applyFont="1" applyBorder="1"/>
    <xf numFmtId="1" fontId="6" fillId="0" borderId="1313" xfId="0" applyNumberFormat="1" applyFont="1" applyBorder="1"/>
    <xf numFmtId="1" fontId="6" fillId="0" borderId="1006" xfId="0" applyNumberFormat="1" applyFont="1" applyBorder="1"/>
    <xf numFmtId="1" fontId="6" fillId="0" borderId="1306" xfId="0" applyNumberFormat="1" applyFont="1" applyBorder="1" applyProtection="1">
      <protection locked="0"/>
    </xf>
    <xf numFmtId="1" fontId="6" fillId="0" borderId="1314" xfId="0" applyNumberFormat="1" applyFont="1" applyBorder="1"/>
    <xf numFmtId="1" fontId="6" fillId="0" borderId="1258" xfId="0" applyNumberFormat="1" applyFont="1" applyBorder="1"/>
    <xf numFmtId="1" fontId="6" fillId="0" borderId="1044" xfId="0" applyNumberFormat="1" applyFont="1" applyBorder="1"/>
    <xf numFmtId="1" fontId="6" fillId="0" borderId="1265" xfId="0" applyNumberFormat="1" applyFont="1" applyBorder="1"/>
    <xf numFmtId="1" fontId="6" fillId="0" borderId="1307" xfId="0" applyNumberFormat="1" applyFont="1" applyBorder="1" applyAlignment="1">
      <alignment horizontal="center" vertical="center"/>
    </xf>
    <xf numFmtId="1" fontId="6" fillId="0" borderId="1315" xfId="0" applyNumberFormat="1" applyFont="1" applyBorder="1"/>
    <xf numFmtId="1" fontId="6" fillId="5" borderId="1105" xfId="0" applyNumberFormat="1" applyFont="1" applyFill="1" applyBorder="1" applyAlignment="1" applyProtection="1">
      <alignment horizontal="right"/>
      <protection locked="0"/>
    </xf>
    <xf numFmtId="1" fontId="6" fillId="5" borderId="1336" xfId="0" applyNumberFormat="1" applyFont="1" applyFill="1" applyBorder="1" applyProtection="1">
      <protection locked="0"/>
    </xf>
    <xf numFmtId="1" fontId="6" fillId="3" borderId="1374" xfId="0" applyNumberFormat="1" applyFont="1" applyFill="1" applyBorder="1"/>
    <xf numFmtId="1" fontId="6" fillId="26" borderId="1356" xfId="0" applyNumberFormat="1" applyFont="1" applyFill="1" applyBorder="1" applyProtection="1">
      <protection locked="0"/>
    </xf>
    <xf numFmtId="1" fontId="6" fillId="26" borderId="1360" xfId="0" applyNumberFormat="1" applyFont="1" applyFill="1" applyBorder="1" applyProtection="1">
      <protection locked="0"/>
    </xf>
    <xf numFmtId="1" fontId="6" fillId="26" borderId="1359" xfId="0" applyNumberFormat="1" applyFont="1" applyFill="1" applyBorder="1" applyProtection="1">
      <protection locked="0"/>
    </xf>
    <xf numFmtId="1" fontId="6" fillId="5" borderId="1259" xfId="0" applyNumberFormat="1" applyFont="1" applyFill="1" applyBorder="1" applyProtection="1">
      <protection locked="0"/>
    </xf>
    <xf numFmtId="1" fontId="6" fillId="0" borderId="1369" xfId="0" applyNumberFormat="1" applyFont="1" applyBorder="1" applyAlignment="1">
      <alignment horizontal="center" vertical="center"/>
    </xf>
    <xf numFmtId="1" fontId="6" fillId="0" borderId="1103" xfId="0" applyNumberFormat="1" applyFont="1" applyBorder="1"/>
    <xf numFmtId="1" fontId="6" fillId="0" borderId="1151" xfId="0" applyNumberFormat="1" applyFont="1" applyBorder="1"/>
    <xf numFmtId="1" fontId="6" fillId="0" borderId="1367" xfId="0" applyNumberFormat="1" applyFont="1" applyBorder="1" applyAlignment="1">
      <alignment horizontal="center" vertical="center"/>
    </xf>
    <xf numFmtId="1" fontId="6" fillId="0" borderId="1364" xfId="0" applyNumberFormat="1" applyFont="1" applyBorder="1" applyAlignment="1">
      <alignment horizontal="center" vertical="center" wrapText="1"/>
    </xf>
    <xf numFmtId="1" fontId="6" fillId="0" borderId="1365" xfId="0" applyNumberFormat="1" applyFont="1" applyBorder="1"/>
    <xf numFmtId="1" fontId="6" fillId="0" borderId="1120" xfId="0" applyNumberFormat="1" applyFont="1" applyBorder="1"/>
    <xf numFmtId="1" fontId="6" fillId="0" borderId="681" xfId="0" applyNumberFormat="1" applyFont="1" applyBorder="1"/>
    <xf numFmtId="1" fontId="6" fillId="0" borderId="1349" xfId="0" applyNumberFormat="1" applyFont="1" applyBorder="1"/>
    <xf numFmtId="1" fontId="6" fillId="0" borderId="1372" xfId="0" applyNumberFormat="1" applyFont="1" applyBorder="1"/>
    <xf numFmtId="1" fontId="6" fillId="0" borderId="1365" xfId="0" applyNumberFormat="1" applyFont="1" applyBorder="1" applyAlignment="1">
      <alignment horizontal="center" vertical="center"/>
    </xf>
    <xf numFmtId="1" fontId="6" fillId="0" borderId="1372" xfId="0" applyNumberFormat="1" applyFont="1" applyBorder="1" applyAlignment="1">
      <alignment horizontal="center" vertical="center"/>
    </xf>
    <xf numFmtId="1" fontId="6" fillId="0" borderId="1370" xfId="0" applyNumberFormat="1" applyFont="1" applyBorder="1" applyAlignment="1">
      <alignment horizontal="center" vertical="center"/>
    </xf>
    <xf numFmtId="1" fontId="6" fillId="26" borderId="1117" xfId="0" applyNumberFormat="1" applyFont="1" applyFill="1" applyBorder="1" applyProtection="1">
      <protection locked="0"/>
    </xf>
    <xf numFmtId="1" fontId="6" fillId="26" borderId="1259" xfId="0" applyNumberFormat="1" applyFont="1" applyFill="1" applyBorder="1" applyProtection="1">
      <protection locked="0"/>
    </xf>
    <xf numFmtId="1" fontId="6" fillId="26" borderId="1151" xfId="0" applyNumberFormat="1" applyFont="1" applyFill="1" applyBorder="1" applyProtection="1">
      <protection locked="0"/>
    </xf>
    <xf numFmtId="1" fontId="6" fillId="26" borderId="1141" xfId="0" applyNumberFormat="1" applyFont="1" applyFill="1" applyBorder="1" applyProtection="1">
      <protection locked="0"/>
    </xf>
    <xf numFmtId="1" fontId="6" fillId="0" borderId="1259" xfId="0" applyNumberFormat="1" applyFont="1" applyBorder="1"/>
    <xf numFmtId="1" fontId="6" fillId="0" borderId="1117" xfId="0" applyNumberFormat="1" applyFont="1" applyBorder="1"/>
    <xf numFmtId="1" fontId="6" fillId="0" borderId="1369" xfId="0" applyNumberFormat="1" applyFont="1" applyBorder="1" applyAlignment="1">
      <alignment vertical="center" wrapText="1"/>
    </xf>
    <xf numFmtId="1" fontId="6" fillId="0" borderId="1367" xfId="0" applyNumberFormat="1" applyFont="1" applyBorder="1" applyAlignment="1">
      <alignment horizontal="center" vertical="center" wrapText="1"/>
    </xf>
    <xf numFmtId="1" fontId="6" fillId="0" borderId="1366" xfId="0" applyNumberFormat="1" applyFont="1" applyBorder="1" applyAlignment="1">
      <alignment horizontal="center" vertical="center"/>
    </xf>
    <xf numFmtId="1" fontId="6" fillId="0" borderId="1348" xfId="0" applyNumberFormat="1" applyFont="1" applyBorder="1" applyAlignment="1">
      <alignment horizontal="center" vertical="center" wrapText="1"/>
    </xf>
    <xf numFmtId="1" fontId="4" fillId="3" borderId="1373" xfId="0" applyNumberFormat="1" applyFont="1" applyFill="1" applyBorder="1" applyAlignment="1">
      <alignment horizontal="left"/>
    </xf>
    <xf numFmtId="1" fontId="6" fillId="0" borderId="1390" xfId="0" applyNumberFormat="1" applyFont="1" applyBorder="1" applyAlignment="1">
      <alignment horizontal="center" vertical="center"/>
    </xf>
    <xf numFmtId="1" fontId="6" fillId="26" borderId="1142" xfId="0" applyNumberFormat="1" applyFont="1" applyFill="1" applyBorder="1" applyProtection="1">
      <protection locked="0"/>
    </xf>
    <xf numFmtId="1" fontId="6" fillId="26" borderId="1104" xfId="0" applyNumberFormat="1" applyFont="1" applyFill="1" applyBorder="1" applyProtection="1">
      <protection locked="0"/>
    </xf>
    <xf numFmtId="1" fontId="6" fillId="0" borderId="1397" xfId="0" applyNumberFormat="1" applyFont="1" applyBorder="1" applyAlignment="1">
      <alignment horizontal="center" vertical="center" wrapText="1"/>
    </xf>
    <xf numFmtId="1" fontId="6" fillId="15" borderId="1402" xfId="0" applyNumberFormat="1" applyFont="1" applyFill="1" applyBorder="1" applyProtection="1">
      <protection locked="0"/>
    </xf>
    <xf numFmtId="1" fontId="6" fillId="15" borderId="946" xfId="0" applyNumberFormat="1" applyFont="1" applyFill="1" applyBorder="1" applyProtection="1">
      <protection locked="0"/>
    </xf>
    <xf numFmtId="1" fontId="6" fillId="15" borderId="1170" xfId="0" applyNumberFormat="1" applyFont="1" applyFill="1" applyBorder="1" applyProtection="1">
      <protection locked="0"/>
    </xf>
    <xf numFmtId="1" fontId="6" fillId="0" borderId="1407" xfId="0" applyNumberFormat="1" applyFont="1" applyBorder="1" applyAlignment="1">
      <alignment horizontal="right" wrapText="1"/>
    </xf>
    <xf numFmtId="1" fontId="6" fillId="5" borderId="1408" xfId="0" applyNumberFormat="1" applyFont="1" applyFill="1" applyBorder="1" applyProtection="1">
      <protection locked="0"/>
    </xf>
    <xf numFmtId="1" fontId="6" fillId="5" borderId="1402" xfId="0" applyNumberFormat="1" applyFont="1" applyFill="1" applyBorder="1" applyProtection="1">
      <protection locked="0"/>
    </xf>
    <xf numFmtId="1" fontId="6" fillId="5" borderId="1409" xfId="0" applyNumberFormat="1" applyFont="1" applyFill="1" applyBorder="1" applyProtection="1">
      <protection locked="0"/>
    </xf>
    <xf numFmtId="1" fontId="6" fillId="5" borderId="1420" xfId="0" applyNumberFormat="1" applyFont="1" applyFill="1" applyBorder="1" applyAlignment="1" applyProtection="1">
      <alignment horizontal="right"/>
      <protection locked="0"/>
    </xf>
    <xf numFmtId="1" fontId="6" fillId="5" borderId="1404" xfId="0" applyNumberFormat="1" applyFont="1" applyFill="1" applyBorder="1" applyAlignment="1" applyProtection="1">
      <alignment horizontal="right"/>
      <protection locked="0"/>
    </xf>
    <xf numFmtId="1" fontId="6" fillId="12" borderId="1421" xfId="0" applyNumberFormat="1" applyFont="1" applyFill="1" applyBorder="1"/>
    <xf numFmtId="1" fontId="6" fillId="4" borderId="1028" xfId="0" applyNumberFormat="1" applyFont="1" applyFill="1" applyBorder="1"/>
    <xf numFmtId="1" fontId="6" fillId="4" borderId="1025" xfId="0" applyNumberFormat="1" applyFont="1" applyFill="1" applyBorder="1"/>
    <xf numFmtId="1" fontId="6" fillId="0" borderId="1124" xfId="0" applyNumberFormat="1" applyFont="1" applyBorder="1" applyAlignment="1">
      <alignment horizontal="left" wrapText="1"/>
    </xf>
    <xf numFmtId="1" fontId="6" fillId="4" borderId="1258" xfId="0" applyNumberFormat="1" applyFont="1" applyFill="1" applyBorder="1"/>
    <xf numFmtId="1" fontId="6" fillId="4" borderId="1179" xfId="0" applyNumberFormat="1" applyFont="1" applyFill="1" applyBorder="1"/>
    <xf numFmtId="1" fontId="6" fillId="0" borderId="1418" xfId="4" applyNumberFormat="1" applyFont="1" applyFill="1" applyBorder="1" applyAlignment="1">
      <alignment horizontal="center" vertical="center" wrapText="1"/>
    </xf>
    <xf numFmtId="1" fontId="6" fillId="5" borderId="1419" xfId="1" applyNumberFormat="1" applyFont="1" applyFill="1" applyBorder="1" applyProtection="1">
      <protection locked="0"/>
    </xf>
    <xf numFmtId="1" fontId="6" fillId="5" borderId="1020" xfId="1" applyNumberFormat="1" applyFont="1" applyFill="1" applyBorder="1" applyProtection="1">
      <protection locked="0"/>
    </xf>
    <xf numFmtId="1" fontId="6" fillId="5" borderId="1128" xfId="1" applyNumberFormat="1" applyFont="1" applyFill="1" applyBorder="1" applyProtection="1">
      <protection locked="0"/>
    </xf>
    <xf numFmtId="1" fontId="6" fillId="0" borderId="1418" xfId="1" applyNumberFormat="1" applyFont="1" applyBorder="1" applyAlignment="1">
      <alignment horizontal="right"/>
    </xf>
    <xf numFmtId="1" fontId="6" fillId="5" borderId="1422" xfId="1" applyNumberFormat="1" applyFont="1" applyFill="1" applyBorder="1" applyProtection="1">
      <protection locked="0"/>
    </xf>
    <xf numFmtId="1" fontId="6" fillId="5" borderId="1044" xfId="1" applyNumberFormat="1" applyFont="1" applyFill="1" applyBorder="1" applyProtection="1">
      <protection locked="0"/>
    </xf>
    <xf numFmtId="1" fontId="6" fillId="5" borderId="1258" xfId="1" applyNumberFormat="1" applyFont="1" applyFill="1" applyBorder="1" applyProtection="1">
      <protection locked="0"/>
    </xf>
    <xf numFmtId="1" fontId="6" fillId="0" borderId="1417" xfId="1" applyNumberFormat="1" applyFont="1" applyBorder="1" applyAlignment="1">
      <alignment horizontal="right"/>
    </xf>
    <xf numFmtId="1" fontId="6" fillId="0" borderId="1141" xfId="0" applyNumberFormat="1" applyFont="1" applyBorder="1" applyAlignment="1">
      <alignment horizontal="right" wrapText="1"/>
    </xf>
    <xf numFmtId="1" fontId="6" fillId="0" borderId="1181" xfId="0" applyNumberFormat="1" applyFont="1" applyBorder="1" applyAlignment="1">
      <alignment horizontal="right" wrapText="1"/>
    </xf>
    <xf numFmtId="1" fontId="6" fillId="0" borderId="1142" xfId="0" applyNumberFormat="1" applyFont="1" applyBorder="1" applyAlignment="1">
      <alignment horizontal="right" wrapText="1"/>
    </xf>
    <xf numFmtId="1" fontId="6" fillId="5" borderId="1424" xfId="0" applyNumberFormat="1" applyFont="1" applyFill="1" applyBorder="1" applyProtection="1">
      <protection locked="0"/>
    </xf>
    <xf numFmtId="1" fontId="6" fillId="5" borderId="1435" xfId="0" applyNumberFormat="1" applyFont="1" applyFill="1" applyBorder="1" applyProtection="1">
      <protection locked="0"/>
    </xf>
    <xf numFmtId="1" fontId="6" fillId="0" borderId="50" xfId="0" applyNumberFormat="1" applyFont="1" applyBorder="1" applyAlignment="1">
      <alignment vertical="center" wrapText="1"/>
    </xf>
    <xf numFmtId="1" fontId="6" fillId="0" borderId="590" xfId="28" applyNumberFormat="1" applyFont="1" applyBorder="1" applyAlignment="1">
      <alignment horizontal="left"/>
    </xf>
    <xf numFmtId="1" fontId="6" fillId="0" borderId="591" xfId="28" applyNumberFormat="1" applyFont="1" applyBorder="1" applyAlignment="1">
      <alignment horizontal="left"/>
    </xf>
    <xf numFmtId="1" fontId="6" fillId="0" borderId="556" xfId="28" applyNumberFormat="1" applyFont="1" applyBorder="1" applyAlignment="1">
      <alignment horizontal="left"/>
    </xf>
    <xf numFmtId="1" fontId="6" fillId="0" borderId="1413" xfId="0" applyNumberFormat="1" applyFont="1" applyBorder="1" applyAlignment="1">
      <alignment horizontal="right" wrapText="1"/>
    </xf>
    <xf numFmtId="1" fontId="6" fillId="0" borderId="1406" xfId="0" applyNumberFormat="1" applyFont="1" applyBorder="1" applyAlignment="1">
      <alignment horizontal="right" wrapText="1"/>
    </xf>
    <xf numFmtId="1" fontId="6" fillId="0" borderId="1414" xfId="0" applyNumberFormat="1" applyFont="1" applyBorder="1"/>
    <xf numFmtId="1" fontId="6" fillId="0" borderId="1259" xfId="0" applyNumberFormat="1" applyFont="1" applyBorder="1" applyAlignment="1">
      <alignment horizontal="right" wrapText="1"/>
    </xf>
    <xf numFmtId="1" fontId="6" fillId="0" borderId="1260" xfId="0" applyNumberFormat="1" applyFont="1" applyBorder="1" applyAlignment="1">
      <alignment horizontal="right" wrapText="1"/>
    </xf>
    <xf numFmtId="1" fontId="6" fillId="0" borderId="1104" xfId="0" applyNumberFormat="1" applyFont="1" applyBorder="1" applyAlignment="1">
      <alignment horizontal="right" wrapText="1"/>
    </xf>
    <xf numFmtId="1" fontId="6" fillId="0" borderId="433" xfId="0" applyNumberFormat="1" applyFont="1" applyBorder="1"/>
    <xf numFmtId="1" fontId="6" fillId="0" borderId="1131" xfId="0" applyNumberFormat="1" applyFont="1" applyBorder="1"/>
    <xf numFmtId="1" fontId="6" fillId="0" borderId="1130" xfId="0" applyNumberFormat="1" applyFont="1" applyBorder="1"/>
    <xf numFmtId="1" fontId="6" fillId="5" borderId="1020" xfId="28" applyNumberFormat="1" applyFont="1" applyFill="1" applyBorder="1" applyAlignment="1" applyProtection="1">
      <alignment horizontal="center"/>
      <protection locked="0"/>
    </xf>
    <xf numFmtId="1" fontId="6" fillId="5" borderId="1107" xfId="28" applyNumberFormat="1" applyFont="1" applyFill="1" applyBorder="1" applyAlignment="1" applyProtection="1">
      <alignment horizontal="center"/>
      <protection locked="0"/>
    </xf>
    <xf numFmtId="1" fontId="6" fillId="5" borderId="1443" xfId="28" applyNumberFormat="1" applyFont="1" applyFill="1" applyBorder="1" applyAlignment="1" applyProtection="1">
      <alignment horizontal="center"/>
      <protection locked="0"/>
    </xf>
    <xf numFmtId="1" fontId="6" fillId="5" borderId="1269" xfId="28" applyNumberFormat="1" applyFont="1" applyFill="1" applyBorder="1" applyAlignment="1" applyProtection="1">
      <alignment horizontal="center"/>
      <protection locked="0"/>
    </xf>
    <xf numFmtId="1" fontId="6" fillId="5" borderId="1262" xfId="28" applyNumberFormat="1" applyFont="1" applyFill="1" applyBorder="1" applyAlignment="1" applyProtection="1">
      <alignment horizontal="center"/>
      <protection locked="0"/>
    </xf>
    <xf numFmtId="1" fontId="6" fillId="5" borderId="1404" xfId="28" applyNumberFormat="1" applyFont="1" applyFill="1" applyBorder="1" applyAlignment="1" applyProtection="1">
      <alignment horizontal="center"/>
      <protection locked="0"/>
    </xf>
    <xf numFmtId="1" fontId="6" fillId="0" borderId="523" xfId="28" applyNumberFormat="1" applyFont="1" applyBorder="1" applyAlignment="1">
      <alignment horizontal="right"/>
    </xf>
    <xf numFmtId="1" fontId="6" fillId="5" borderId="1440" xfId="0" applyNumberFormat="1" applyFont="1" applyFill="1" applyBorder="1" applyProtection="1">
      <protection locked="0"/>
    </xf>
    <xf numFmtId="1" fontId="6" fillId="5" borderId="1447" xfId="0" applyNumberFormat="1" applyFont="1" applyFill="1" applyBorder="1" applyProtection="1">
      <protection locked="0"/>
    </xf>
    <xf numFmtId="1" fontId="6" fillId="0" borderId="1265" xfId="0" applyNumberFormat="1" applyFont="1" applyBorder="1" applyAlignment="1">
      <alignment horizontal="left" wrapText="1"/>
    </xf>
    <xf numFmtId="1" fontId="6" fillId="5" borderId="1421" xfId="0" applyNumberFormat="1" applyFont="1" applyFill="1" applyBorder="1" applyProtection="1">
      <protection locked="0"/>
    </xf>
    <xf numFmtId="1" fontId="6" fillId="5" borderId="1264" xfId="0" applyNumberFormat="1" applyFont="1" applyFill="1" applyBorder="1" applyProtection="1">
      <protection locked="0"/>
    </xf>
    <xf numFmtId="1" fontId="6" fillId="0" borderId="1265" xfId="0" applyNumberFormat="1" applyFont="1" applyBorder="1" applyAlignment="1">
      <alignment vertical="center" wrapText="1"/>
    </xf>
    <xf numFmtId="1" fontId="6" fillId="0" borderId="1325" xfId="0" applyNumberFormat="1" applyFont="1" applyBorder="1"/>
    <xf numFmtId="1" fontId="6" fillId="26" borderId="1325" xfId="0" applyNumberFormat="1" applyFont="1" applyFill="1" applyBorder="1" applyProtection="1">
      <protection locked="0"/>
    </xf>
    <xf numFmtId="1" fontId="6" fillId="0" borderId="1262" xfId="0" applyNumberFormat="1" applyFont="1" applyBorder="1" applyAlignment="1">
      <alignment vertical="center" wrapText="1"/>
    </xf>
    <xf numFmtId="1" fontId="6" fillId="0" borderId="808" xfId="0" applyNumberFormat="1" applyFont="1" applyBorder="1" applyAlignment="1">
      <alignment horizontal="right"/>
    </xf>
    <xf numFmtId="1" fontId="6" fillId="5" borderId="1494" xfId="0" applyNumberFormat="1" applyFont="1" applyFill="1" applyBorder="1" applyProtection="1">
      <protection locked="0"/>
    </xf>
    <xf numFmtId="1" fontId="6" fillId="5" borderId="1498" xfId="0" applyNumberFormat="1" applyFont="1" applyFill="1" applyBorder="1" applyProtection="1">
      <protection locked="0"/>
    </xf>
    <xf numFmtId="1" fontId="6" fillId="5" borderId="1502" xfId="0" applyNumberFormat="1" applyFont="1" applyFill="1" applyBorder="1" applyProtection="1">
      <protection locked="0"/>
    </xf>
    <xf numFmtId="1" fontId="6" fillId="5" borderId="1496" xfId="0" applyNumberFormat="1" applyFont="1" applyFill="1" applyBorder="1" applyProtection="1">
      <protection locked="0"/>
    </xf>
    <xf numFmtId="1" fontId="6" fillId="5" borderId="1493" xfId="0" applyNumberFormat="1" applyFont="1" applyFill="1" applyBorder="1" applyProtection="1">
      <protection locked="0"/>
    </xf>
    <xf numFmtId="1" fontId="6" fillId="5" borderId="1501" xfId="0" applyNumberFormat="1" applyFont="1" applyFill="1" applyBorder="1" applyProtection="1">
      <protection locked="0"/>
    </xf>
    <xf numFmtId="1" fontId="6" fillId="5" borderId="1495" xfId="0" applyNumberFormat="1" applyFont="1" applyFill="1" applyBorder="1" applyProtection="1">
      <protection locked="0"/>
    </xf>
    <xf numFmtId="1" fontId="6" fillId="5" borderId="1500" xfId="0" applyNumberFormat="1" applyFont="1" applyFill="1" applyBorder="1" applyProtection="1">
      <protection locked="0"/>
    </xf>
    <xf numFmtId="1" fontId="6" fillId="5" borderId="1507" xfId="0" applyNumberFormat="1" applyFont="1" applyFill="1" applyBorder="1" applyProtection="1">
      <protection locked="0"/>
    </xf>
    <xf numFmtId="1" fontId="6" fillId="5" borderId="1508" xfId="0" applyNumberFormat="1" applyFont="1" applyFill="1" applyBorder="1" applyProtection="1">
      <protection locked="0"/>
    </xf>
    <xf numFmtId="1" fontId="6" fillId="5" borderId="1452" xfId="0" applyNumberFormat="1" applyFont="1" applyFill="1" applyBorder="1" applyProtection="1">
      <protection locked="0"/>
    </xf>
    <xf numFmtId="1" fontId="6" fillId="5" borderId="1025" xfId="0" applyNumberFormat="1" applyFont="1" applyFill="1" applyBorder="1" applyProtection="1">
      <protection locked="0"/>
    </xf>
    <xf numFmtId="1" fontId="6" fillId="0" borderId="1508" xfId="0" applyNumberFormat="1" applyFont="1" applyBorder="1"/>
    <xf numFmtId="1" fontId="6" fillId="0" borderId="1493" xfId="0" applyNumberFormat="1" applyFont="1" applyBorder="1"/>
    <xf numFmtId="1" fontId="6" fillId="0" borderId="1494" xfId="0" applyNumberFormat="1" applyFont="1" applyBorder="1"/>
    <xf numFmtId="1" fontId="6" fillId="0" borderId="1507" xfId="0" applyNumberFormat="1" applyFont="1" applyBorder="1"/>
    <xf numFmtId="1" fontId="6" fillId="0" borderId="1180" xfId="0" applyNumberFormat="1" applyFont="1" applyBorder="1"/>
    <xf numFmtId="1" fontId="6" fillId="4" borderId="1105" xfId="0" applyNumberFormat="1" applyFont="1" applyFill="1" applyBorder="1"/>
    <xf numFmtId="1" fontId="6" fillId="4" borderId="1507" xfId="0" applyNumberFormat="1" applyFont="1" applyFill="1" applyBorder="1"/>
    <xf numFmtId="1" fontId="6" fillId="4" borderId="1508" xfId="0" applyNumberFormat="1" applyFont="1" applyFill="1" applyBorder="1"/>
    <xf numFmtId="1" fontId="6" fillId="4" borderId="1493" xfId="0" applyNumberFormat="1" applyFont="1" applyFill="1" applyBorder="1"/>
    <xf numFmtId="1" fontId="6" fillId="4" borderId="1103" xfId="0" applyNumberFormat="1" applyFont="1" applyFill="1" applyBorder="1"/>
    <xf numFmtId="1" fontId="6" fillId="4" borderId="1501" xfId="0" applyNumberFormat="1" applyFont="1" applyFill="1" applyBorder="1"/>
    <xf numFmtId="1" fontId="6" fillId="4" borderId="1502" xfId="0" applyNumberFormat="1" applyFont="1" applyFill="1" applyBorder="1"/>
    <xf numFmtId="1" fontId="6" fillId="4" borderId="1509" xfId="0" applyNumberFormat="1" applyFont="1" applyFill="1" applyBorder="1"/>
    <xf numFmtId="1" fontId="6" fillId="4" borderId="1498" xfId="0" applyNumberFormat="1" applyFont="1" applyFill="1" applyBorder="1"/>
    <xf numFmtId="1" fontId="6" fillId="4" borderId="1510" xfId="0" applyNumberFormat="1" applyFont="1" applyFill="1" applyBorder="1"/>
    <xf numFmtId="1" fontId="6" fillId="5" borderId="1509" xfId="0" applyNumberFormat="1" applyFont="1" applyFill="1" applyBorder="1" applyProtection="1">
      <protection locked="0"/>
    </xf>
    <xf numFmtId="1" fontId="6" fillId="26" borderId="1494" xfId="0" applyNumberFormat="1" applyFont="1" applyFill="1" applyBorder="1" applyProtection="1">
      <protection locked="0"/>
    </xf>
    <xf numFmtId="1" fontId="6" fillId="26" borderId="1507" xfId="0" applyNumberFormat="1" applyFont="1" applyFill="1" applyBorder="1" applyProtection="1">
      <protection locked="0"/>
    </xf>
    <xf numFmtId="1" fontId="6" fillId="26" borderId="1496" xfId="0" applyNumberFormat="1" applyFont="1" applyFill="1" applyBorder="1" applyProtection="1">
      <protection locked="0"/>
    </xf>
    <xf numFmtId="1" fontId="6" fillId="5" borderId="1510" xfId="0" applyNumberFormat="1" applyFont="1" applyFill="1" applyBorder="1" applyProtection="1">
      <protection locked="0"/>
    </xf>
    <xf numFmtId="1" fontId="6" fillId="26" borderId="1180" xfId="0" applyNumberFormat="1" applyFont="1" applyFill="1" applyBorder="1" applyProtection="1">
      <protection locked="0"/>
    </xf>
    <xf numFmtId="1" fontId="6" fillId="0" borderId="1424" xfId="0" applyNumberFormat="1" applyFont="1" applyBorder="1"/>
    <xf numFmtId="1" fontId="6" fillId="0" borderId="1499" xfId="0" applyNumberFormat="1" applyFont="1" applyBorder="1"/>
    <xf numFmtId="1" fontId="6" fillId="4" borderId="1107" xfId="0" applyNumberFormat="1" applyFont="1" applyFill="1" applyBorder="1"/>
    <xf numFmtId="1" fontId="6" fillId="15" borderId="1104" xfId="0" applyNumberFormat="1" applyFont="1" applyFill="1" applyBorder="1" applyProtection="1">
      <protection locked="0"/>
    </xf>
    <xf numFmtId="1" fontId="6" fillId="4" borderId="1496" xfId="0" applyNumberFormat="1" applyFont="1" applyFill="1" applyBorder="1"/>
    <xf numFmtId="1" fontId="6" fillId="0" borderId="1525" xfId="0" applyNumberFormat="1" applyFont="1" applyBorder="1"/>
    <xf numFmtId="1" fontId="6" fillId="0" borderId="1526" xfId="0" applyNumberFormat="1" applyFont="1" applyBorder="1" applyAlignment="1">
      <alignment horizontal="center" vertical="center"/>
    </xf>
    <xf numFmtId="1" fontId="6" fillId="0" borderId="1527" xfId="0" applyNumberFormat="1" applyFont="1" applyBorder="1" applyAlignment="1">
      <alignment horizontal="center" vertical="center"/>
    </xf>
    <xf numFmtId="1" fontId="6" fillId="0" borderId="1528" xfId="0" applyNumberFormat="1" applyFont="1" applyBorder="1" applyAlignment="1">
      <alignment horizontal="center" vertical="center"/>
    </xf>
    <xf numFmtId="1" fontId="6" fillId="0" borderId="1525" xfId="0" applyNumberFormat="1" applyFont="1" applyBorder="1" applyAlignment="1">
      <alignment horizontal="center" vertical="center"/>
    </xf>
    <xf numFmtId="1" fontId="6" fillId="5" borderId="1529" xfId="0" applyNumberFormat="1" applyFont="1" applyFill="1" applyBorder="1" applyProtection="1">
      <protection locked="0"/>
    </xf>
    <xf numFmtId="1" fontId="6" fillId="0" borderId="1530" xfId="0" applyNumberFormat="1" applyFont="1" applyBorder="1" applyAlignment="1">
      <alignment horizontal="center" vertical="center"/>
    </xf>
    <xf numFmtId="1" fontId="6" fillId="5" borderId="1531" xfId="0" applyNumberFormat="1" applyFont="1" applyFill="1" applyBorder="1" applyProtection="1">
      <protection locked="0"/>
    </xf>
    <xf numFmtId="1" fontId="6" fillId="5" borderId="1532" xfId="0" applyNumberFormat="1" applyFont="1" applyFill="1" applyBorder="1" applyProtection="1">
      <protection locked="0"/>
    </xf>
    <xf numFmtId="1" fontId="6" fillId="26" borderId="1529" xfId="0" applyNumberFormat="1" applyFont="1" applyFill="1" applyBorder="1" applyProtection="1">
      <protection locked="0"/>
    </xf>
    <xf numFmtId="1" fontId="6" fillId="26" borderId="1424" xfId="0" applyNumberFormat="1" applyFont="1" applyFill="1" applyBorder="1" applyProtection="1">
      <protection locked="0"/>
    </xf>
    <xf numFmtId="1" fontId="6" fillId="26" borderId="1510" xfId="0" applyNumberFormat="1" applyFont="1" applyFill="1" applyBorder="1" applyProtection="1">
      <protection locked="0"/>
    </xf>
    <xf numFmtId="1" fontId="6" fillId="26" borderId="1103" xfId="0" applyNumberFormat="1" applyFont="1" applyFill="1" applyBorder="1" applyProtection="1">
      <protection locked="0"/>
    </xf>
    <xf numFmtId="1" fontId="6" fillId="26" borderId="1532" xfId="0" applyNumberFormat="1" applyFont="1" applyFill="1" applyBorder="1" applyProtection="1">
      <protection locked="0"/>
    </xf>
    <xf numFmtId="1" fontId="6" fillId="5" borderId="1524" xfId="0" applyNumberFormat="1" applyFont="1" applyFill="1" applyBorder="1" applyProtection="1">
      <protection locked="0"/>
    </xf>
    <xf numFmtId="1" fontId="6" fillId="5" borderId="1533" xfId="0" applyNumberFormat="1" applyFont="1" applyFill="1" applyBorder="1" applyProtection="1">
      <protection locked="0"/>
    </xf>
    <xf numFmtId="1" fontId="6" fillId="5" borderId="1534" xfId="0" applyNumberFormat="1" applyFont="1" applyFill="1" applyBorder="1" applyProtection="1">
      <protection locked="0"/>
    </xf>
    <xf numFmtId="1" fontId="6" fillId="5" borderId="1535" xfId="0" applyNumberFormat="1" applyFont="1" applyFill="1" applyBorder="1" applyProtection="1">
      <protection locked="0"/>
    </xf>
    <xf numFmtId="1" fontId="6" fillId="0" borderId="595" xfId="0" applyNumberFormat="1" applyFont="1" applyBorder="1" applyAlignment="1">
      <alignment horizontal="left" vertical="center"/>
    </xf>
    <xf numFmtId="1" fontId="6" fillId="0" borderId="584" xfId="0" applyNumberFormat="1" applyFont="1" applyBorder="1" applyAlignment="1">
      <alignment horizontal="left" vertical="center"/>
    </xf>
    <xf numFmtId="1" fontId="6" fillId="0" borderId="537" xfId="0" applyNumberFormat="1" applyFont="1" applyBorder="1" applyAlignment="1">
      <alignment horizontal="left" vertical="center" wrapText="1"/>
    </xf>
    <xf numFmtId="1" fontId="6" fillId="0" borderId="1526" xfId="0" applyNumberFormat="1" applyFont="1" applyBorder="1"/>
    <xf numFmtId="1" fontId="6" fillId="0" borderId="1527" xfId="0" applyNumberFormat="1" applyFont="1" applyBorder="1"/>
    <xf numFmtId="1" fontId="6" fillId="4" borderId="1494" xfId="0" applyNumberFormat="1" applyFont="1" applyFill="1" applyBorder="1"/>
    <xf numFmtId="1" fontId="6" fillId="3" borderId="1525" xfId="0" applyNumberFormat="1" applyFont="1" applyFill="1" applyBorder="1"/>
    <xf numFmtId="1" fontId="6" fillId="0" borderId="1539" xfId="0" applyNumberFormat="1" applyFont="1" applyBorder="1" applyAlignment="1">
      <alignment horizontal="center" vertical="center" wrapText="1"/>
    </xf>
    <xf numFmtId="1" fontId="6" fillId="0" borderId="1528" xfId="0" applyNumberFormat="1" applyFont="1" applyBorder="1"/>
    <xf numFmtId="1" fontId="6" fillId="3" borderId="1530" xfId="0" applyNumberFormat="1" applyFont="1" applyFill="1" applyBorder="1"/>
    <xf numFmtId="1" fontId="6" fillId="3" borderId="1541" xfId="0" applyNumberFormat="1" applyFont="1" applyFill="1" applyBorder="1"/>
    <xf numFmtId="1" fontId="6" fillId="3" borderId="1523" xfId="0" applyNumberFormat="1" applyFont="1" applyFill="1" applyBorder="1"/>
    <xf numFmtId="1" fontId="6" fillId="5" borderId="1542" xfId="0" applyNumberFormat="1" applyFont="1" applyFill="1" applyBorder="1" applyProtection="1">
      <protection locked="0"/>
    </xf>
    <xf numFmtId="1" fontId="6" fillId="4" borderId="1542" xfId="0" applyNumberFormat="1" applyFont="1" applyFill="1" applyBorder="1"/>
    <xf numFmtId="1" fontId="6" fillId="4" borderId="1511" xfId="0" applyNumberFormat="1" applyFont="1" applyFill="1" applyBorder="1"/>
    <xf numFmtId="1" fontId="6" fillId="5" borderId="1515" xfId="0" applyNumberFormat="1" applyFont="1" applyFill="1" applyBorder="1" applyProtection="1">
      <protection locked="0"/>
    </xf>
    <xf numFmtId="1" fontId="6" fillId="3" borderId="1519" xfId="0" applyNumberFormat="1" applyFont="1" applyFill="1" applyBorder="1"/>
    <xf numFmtId="1" fontId="6" fillId="3" borderId="1526" xfId="0" applyNumberFormat="1" applyFont="1" applyFill="1" applyBorder="1"/>
    <xf numFmtId="1" fontId="6" fillId="5" borderId="1539" xfId="0" applyNumberFormat="1" applyFont="1" applyFill="1" applyBorder="1" applyProtection="1">
      <protection locked="0"/>
    </xf>
    <xf numFmtId="1" fontId="6" fillId="0" borderId="1540" xfId="0" applyNumberFormat="1" applyFont="1" applyBorder="1" applyAlignment="1">
      <alignment horizontal="center" vertical="center" wrapText="1"/>
    </xf>
    <xf numFmtId="1" fontId="13" fillId="0" borderId="440" xfId="2" applyNumberFormat="1" applyFont="1" applyBorder="1" applyAlignment="1">
      <alignment vertical="center"/>
    </xf>
    <xf numFmtId="1" fontId="6" fillId="0" borderId="50" xfId="0" applyNumberFormat="1" applyFont="1" applyBorder="1" applyAlignment="1" applyProtection="1">
      <alignment vertical="center" wrapText="1"/>
      <protection locked="0"/>
    </xf>
    <xf numFmtId="1" fontId="6" fillId="26" borderId="987" xfId="0" applyNumberFormat="1" applyFont="1" applyFill="1" applyBorder="1" applyProtection="1">
      <protection locked="0"/>
    </xf>
    <xf numFmtId="1" fontId="6" fillId="26" borderId="1545" xfId="0" applyNumberFormat="1" applyFont="1" applyFill="1" applyBorder="1" applyProtection="1">
      <protection locked="0"/>
    </xf>
    <xf numFmtId="1" fontId="6" fillId="3" borderId="1527" xfId="0" applyNumberFormat="1" applyFont="1" applyFill="1" applyBorder="1"/>
    <xf numFmtId="1" fontId="6" fillId="26" borderId="1536" xfId="0" applyNumberFormat="1" applyFont="1" applyFill="1" applyBorder="1" applyProtection="1">
      <protection locked="0"/>
    </xf>
    <xf numFmtId="1" fontId="6" fillId="5" borderId="1546" xfId="0" applyNumberFormat="1" applyFont="1" applyFill="1" applyBorder="1" applyProtection="1">
      <protection locked="0"/>
    </xf>
    <xf numFmtId="1" fontId="6" fillId="0" borderId="1526" xfId="0" applyNumberFormat="1" applyFont="1" applyBorder="1" applyAlignment="1">
      <alignment horizontal="center" vertical="center" wrapText="1"/>
    </xf>
    <xf numFmtId="1" fontId="6" fillId="5" borderId="1547" xfId="0" applyNumberFormat="1" applyFont="1" applyFill="1" applyBorder="1" applyProtection="1">
      <protection locked="0"/>
    </xf>
    <xf numFmtId="1" fontId="6" fillId="12" borderId="1151" xfId="0" applyNumberFormat="1" applyFont="1" applyFill="1" applyBorder="1" applyAlignment="1">
      <alignment wrapText="1"/>
    </xf>
    <xf numFmtId="1" fontId="6" fillId="12" borderId="1494" xfId="0" applyNumberFormat="1" applyFont="1" applyFill="1" applyBorder="1" applyAlignment="1">
      <alignment wrapText="1"/>
    </xf>
    <xf numFmtId="1" fontId="6" fillId="0" borderId="1497" xfId="0" applyNumberFormat="1" applyFont="1" applyBorder="1" applyAlignment="1">
      <alignment horizontal="right" wrapText="1"/>
    </xf>
    <xf numFmtId="1" fontId="6" fillId="5" borderId="1511" xfId="0" applyNumberFormat="1" applyFont="1" applyFill="1" applyBorder="1" applyProtection="1">
      <protection locked="0"/>
    </xf>
    <xf numFmtId="1" fontId="6" fillId="3" borderId="1127" xfId="0" applyNumberFormat="1" applyFont="1" applyFill="1" applyBorder="1" applyAlignment="1">
      <alignment horizontal="right" wrapText="1"/>
    </xf>
    <xf numFmtId="1" fontId="6" fillId="4" borderId="1024" xfId="0" applyNumberFormat="1" applyFont="1" applyFill="1" applyBorder="1"/>
    <xf numFmtId="1" fontId="6" fillId="14" borderId="1145" xfId="0" applyNumberFormat="1" applyFont="1" applyFill="1" applyBorder="1" applyAlignment="1">
      <alignment vertical="center"/>
    </xf>
    <xf numFmtId="1" fontId="6" fillId="4" borderId="1151" xfId="0" applyNumberFormat="1" applyFont="1" applyFill="1" applyBorder="1"/>
    <xf numFmtId="1" fontId="6" fillId="0" borderId="1249" xfId="0" applyNumberFormat="1" applyFont="1" applyBorder="1"/>
    <xf numFmtId="1" fontId="9" fillId="3" borderId="1555" xfId="0" applyNumberFormat="1" applyFont="1" applyFill="1" applyBorder="1"/>
    <xf numFmtId="1" fontId="6" fillId="0" borderId="1558" xfId="0" applyNumberFormat="1" applyFont="1" applyBorder="1" applyAlignment="1">
      <alignment horizontal="center" vertical="center" wrapText="1"/>
    </xf>
    <xf numFmtId="1" fontId="6" fillId="0" borderId="1559" xfId="0" applyNumberFormat="1" applyFont="1" applyBorder="1" applyAlignment="1">
      <alignment horizontal="center" vertical="center" wrapText="1"/>
    </xf>
    <xf numFmtId="1" fontId="6" fillId="0" borderId="1560" xfId="0" applyNumberFormat="1" applyFont="1" applyBorder="1" applyAlignment="1">
      <alignment horizontal="center" vertical="center" wrapText="1"/>
    </xf>
    <xf numFmtId="1" fontId="6" fillId="0" borderId="1554" xfId="0" applyNumberFormat="1" applyFont="1" applyBorder="1" applyAlignment="1">
      <alignment horizontal="center" vertical="center" wrapText="1"/>
    </xf>
    <xf numFmtId="1" fontId="6" fillId="0" borderId="1557" xfId="0" applyNumberFormat="1" applyFont="1" applyBorder="1" applyAlignment="1">
      <alignment horizontal="center" vertical="center" wrapText="1"/>
    </xf>
    <xf numFmtId="1" fontId="6" fillId="0" borderId="1497" xfId="0" applyNumberFormat="1" applyFont="1" applyBorder="1"/>
    <xf numFmtId="1" fontId="6" fillId="0" borderId="1510" xfId="0" applyNumberFormat="1" applyFont="1" applyBorder="1"/>
    <xf numFmtId="1" fontId="6" fillId="3" borderId="1501" xfId="0" applyNumberFormat="1" applyFont="1" applyFill="1" applyBorder="1"/>
    <xf numFmtId="1" fontId="6" fillId="5" borderId="1421" xfId="0" applyNumberFormat="1" applyFont="1" applyFill="1" applyBorder="1" applyAlignment="1" applyProtection="1">
      <alignment wrapText="1"/>
      <protection locked="0"/>
    </xf>
    <xf numFmtId="1" fontId="6" fillId="5" borderId="1501" xfId="0" applyNumberFormat="1" applyFont="1" applyFill="1" applyBorder="1" applyAlignment="1" applyProtection="1">
      <alignment wrapText="1"/>
      <protection locked="0"/>
    </xf>
    <xf numFmtId="1" fontId="6" fillId="0" borderId="363" xfId="0" applyNumberFormat="1" applyFont="1" applyBorder="1"/>
    <xf numFmtId="1" fontId="6" fillId="0" borderId="1495" xfId="0" applyNumberFormat="1" applyFont="1" applyBorder="1"/>
    <xf numFmtId="1" fontId="6" fillId="3" borderId="1104" xfId="0" applyNumberFormat="1" applyFont="1" applyFill="1" applyBorder="1"/>
    <xf numFmtId="1" fontId="6" fillId="0" borderId="1421" xfId="0" applyNumberFormat="1" applyFont="1" applyBorder="1" applyAlignment="1">
      <alignment horizontal="right"/>
    </xf>
    <xf numFmtId="1" fontId="6" fillId="0" borderId="1501" xfId="0" applyNumberFormat="1" applyFont="1" applyBorder="1" applyAlignment="1">
      <alignment horizontal="right"/>
    </xf>
    <xf numFmtId="1" fontId="6" fillId="5" borderId="1561" xfId="0" applyNumberFormat="1" applyFont="1" applyFill="1" applyBorder="1" applyAlignment="1" applyProtection="1">
      <alignment horizontal="right"/>
      <protection locked="0"/>
    </xf>
    <xf numFmtId="1" fontId="6" fillId="5" borderId="363" xfId="0" applyNumberFormat="1" applyFont="1" applyFill="1" applyBorder="1" applyAlignment="1" applyProtection="1">
      <alignment horizontal="right"/>
      <protection locked="0"/>
    </xf>
    <xf numFmtId="1" fontId="6" fillId="5" borderId="1562" xfId="0" applyNumberFormat="1" applyFont="1" applyFill="1" applyBorder="1" applyAlignment="1" applyProtection="1">
      <alignment horizontal="right"/>
      <protection locked="0"/>
    </xf>
    <xf numFmtId="1" fontId="6" fillId="5" borderId="880" xfId="0" applyNumberFormat="1" applyFont="1" applyFill="1" applyBorder="1" applyAlignment="1" applyProtection="1">
      <alignment horizontal="right"/>
      <protection locked="0"/>
    </xf>
    <xf numFmtId="1" fontId="6" fillId="5" borderId="1566" xfId="0" applyNumberFormat="1" applyFont="1" applyFill="1" applyBorder="1" applyAlignment="1" applyProtection="1">
      <alignment horizontal="right"/>
      <protection locked="0"/>
    </xf>
    <xf numFmtId="1" fontId="6" fillId="5" borderId="1567" xfId="0" applyNumberFormat="1" applyFont="1" applyFill="1" applyBorder="1" applyAlignment="1" applyProtection="1">
      <alignment horizontal="right"/>
      <protection locked="0"/>
    </xf>
    <xf numFmtId="1" fontId="6" fillId="5" borderId="1164" xfId="0" applyNumberFormat="1" applyFont="1" applyFill="1" applyBorder="1" applyAlignment="1" applyProtection="1">
      <alignment horizontal="right"/>
      <protection locked="0"/>
    </xf>
    <xf numFmtId="1" fontId="6" fillId="5" borderId="1092" xfId="0" applyNumberFormat="1" applyFont="1" applyFill="1" applyBorder="1" applyAlignment="1" applyProtection="1">
      <alignment horizontal="right"/>
      <protection locked="0"/>
    </xf>
    <xf numFmtId="1" fontId="6" fillId="4" borderId="1561" xfId="0" applyNumberFormat="1" applyFont="1" applyFill="1" applyBorder="1" applyAlignment="1">
      <alignment horizontal="right"/>
    </xf>
    <xf numFmtId="1" fontId="6" fillId="4" borderId="1562" xfId="0" applyNumberFormat="1" applyFont="1" applyFill="1" applyBorder="1" applyAlignment="1">
      <alignment horizontal="right"/>
    </xf>
    <xf numFmtId="1" fontId="6" fillId="0" borderId="1561" xfId="0" applyNumberFormat="1" applyFont="1" applyBorder="1" applyAlignment="1">
      <alignment horizontal="center" vertical="center" wrapText="1"/>
    </xf>
    <xf numFmtId="1" fontId="6" fillId="4" borderId="363" xfId="0" applyNumberFormat="1" applyFont="1" applyFill="1" applyBorder="1" applyAlignment="1">
      <alignment horizontal="right"/>
    </xf>
    <xf numFmtId="1" fontId="6" fillId="4" borderId="880" xfId="0" applyNumberFormat="1" applyFont="1" applyFill="1" applyBorder="1" applyAlignment="1">
      <alignment horizontal="right"/>
    </xf>
    <xf numFmtId="1" fontId="6" fillId="5" borderId="1554" xfId="0" applyNumberFormat="1" applyFont="1" applyFill="1" applyBorder="1" applyAlignment="1" applyProtection="1">
      <alignment horizontal="right"/>
      <protection locked="0"/>
    </xf>
    <xf numFmtId="1" fontId="6" fillId="0" borderId="1527" xfId="0" applyNumberFormat="1" applyFont="1" applyBorder="1" applyAlignment="1">
      <alignment horizontal="center" vertical="center" wrapText="1"/>
    </xf>
    <xf numFmtId="1" fontId="6" fillId="0" borderId="1528" xfId="0" applyNumberFormat="1" applyFont="1" applyBorder="1" applyAlignment="1">
      <alignment horizontal="center" vertical="center" wrapText="1"/>
    </xf>
    <xf numFmtId="1" fontId="6" fillId="5" borderId="1560" xfId="0" applyNumberFormat="1" applyFont="1" applyFill="1" applyBorder="1" applyAlignment="1" applyProtection="1">
      <alignment horizontal="right"/>
      <protection locked="0"/>
    </xf>
    <xf numFmtId="1" fontId="6" fillId="5" borderId="1527" xfId="0" applyNumberFormat="1" applyFont="1" applyFill="1" applyBorder="1" applyAlignment="1" applyProtection="1">
      <alignment horizontal="right"/>
      <protection locked="0"/>
    </xf>
    <xf numFmtId="1" fontId="6" fillId="5" borderId="1557" xfId="0" applyNumberFormat="1" applyFont="1" applyFill="1" applyBorder="1" applyAlignment="1" applyProtection="1">
      <alignment horizontal="right"/>
      <protection locked="0"/>
    </xf>
    <xf numFmtId="1" fontId="6" fillId="5" borderId="1419" xfId="0" applyNumberFormat="1" applyFont="1" applyFill="1" applyBorder="1" applyAlignment="1" applyProtection="1">
      <alignment horizontal="right"/>
      <protection locked="0"/>
    </xf>
    <xf numFmtId="1" fontId="6" fillId="5" borderId="1495" xfId="0" applyNumberFormat="1" applyFont="1" applyFill="1" applyBorder="1" applyAlignment="1" applyProtection="1">
      <alignment horizontal="right"/>
      <protection locked="0"/>
    </xf>
    <xf numFmtId="1" fontId="6" fillId="5" borderId="1107" xfId="0" applyNumberFormat="1" applyFont="1" applyFill="1" applyBorder="1" applyAlignment="1" applyProtection="1">
      <alignment horizontal="right"/>
      <protection locked="0"/>
    </xf>
    <xf numFmtId="1" fontId="6" fillId="0" borderId="23" xfId="0" applyNumberFormat="1" applyFont="1" applyBorder="1" applyAlignment="1">
      <alignment vertical="center" wrapText="1"/>
    </xf>
    <xf numFmtId="1" fontId="6" fillId="0" borderId="1530" xfId="0" applyNumberFormat="1" applyFont="1" applyBorder="1" applyAlignment="1">
      <alignment horizontal="center" vertical="center" wrapText="1"/>
    </xf>
    <xf numFmtId="1" fontId="6" fillId="12" borderId="1509" xfId="0" applyNumberFormat="1" applyFont="1" applyFill="1" applyBorder="1"/>
    <xf numFmtId="1" fontId="6" fillId="12" borderId="1501" xfId="0" applyNumberFormat="1" applyFont="1" applyFill="1" applyBorder="1"/>
    <xf numFmtId="1" fontId="6" fillId="0" borderId="1569" xfId="0" applyNumberFormat="1" applyFont="1" applyBorder="1" applyAlignment="1">
      <alignment horizontal="center" vertical="center" wrapText="1"/>
    </xf>
    <xf numFmtId="1" fontId="6" fillId="5" borderId="1569" xfId="0" applyNumberFormat="1" applyFont="1" applyFill="1" applyBorder="1" applyProtection="1">
      <protection locked="0"/>
    </xf>
    <xf numFmtId="1" fontId="6" fillId="5" borderId="1559" xfId="0" applyNumberFormat="1" applyFont="1" applyFill="1" applyBorder="1" applyProtection="1">
      <protection locked="0"/>
    </xf>
    <xf numFmtId="1" fontId="6" fillId="5" borderId="1566" xfId="0" applyNumberFormat="1" applyFont="1" applyFill="1" applyBorder="1" applyProtection="1">
      <protection locked="0"/>
    </xf>
    <xf numFmtId="1" fontId="6" fillId="5" borderId="1564" xfId="0" applyNumberFormat="1" applyFont="1" applyFill="1" applyBorder="1" applyProtection="1">
      <protection locked="0"/>
    </xf>
    <xf numFmtId="1" fontId="6" fillId="5" borderId="1493" xfId="0" applyNumberFormat="1" applyFont="1" applyFill="1" applyBorder="1" applyAlignment="1" applyProtection="1">
      <alignment horizontal="right"/>
      <protection locked="0"/>
    </xf>
    <xf numFmtId="1" fontId="6" fillId="0" borderId="1421" xfId="0" applyNumberFormat="1" applyFont="1" applyBorder="1"/>
    <xf numFmtId="1" fontId="6" fillId="5" borderId="1500" xfId="0" applyNumberFormat="1" applyFont="1" applyFill="1" applyBorder="1" applyAlignment="1" applyProtection="1">
      <alignment horizontal="right"/>
      <protection locked="0"/>
    </xf>
    <xf numFmtId="1" fontId="6" fillId="5" borderId="1583" xfId="0" applyNumberFormat="1" applyFont="1" applyFill="1" applyBorder="1" applyProtection="1">
      <protection locked="0"/>
    </xf>
    <xf numFmtId="1" fontId="6" fillId="5" borderId="1584" xfId="0" applyNumberFormat="1" applyFont="1" applyFill="1" applyBorder="1" applyProtection="1">
      <protection locked="0"/>
    </xf>
    <xf numFmtId="1" fontId="6" fillId="5" borderId="1582" xfId="0" applyNumberFormat="1" applyFont="1" applyFill="1" applyBorder="1" applyAlignment="1" applyProtection="1">
      <alignment wrapText="1"/>
      <protection locked="0"/>
    </xf>
    <xf numFmtId="1" fontId="6" fillId="5" borderId="1583" xfId="0" applyNumberFormat="1" applyFont="1" applyFill="1" applyBorder="1" applyAlignment="1" applyProtection="1">
      <alignment wrapText="1"/>
      <protection locked="0"/>
    </xf>
    <xf numFmtId="1" fontId="6" fillId="0" borderId="807" xfId="0" applyNumberFormat="1" applyFont="1" applyBorder="1" applyAlignment="1">
      <alignment horizontal="left" vertical="center" wrapText="1"/>
    </xf>
    <xf numFmtId="1" fontId="6" fillId="0" borderId="340" xfId="0" applyNumberFormat="1" applyFont="1" applyBorder="1" applyAlignment="1">
      <alignment horizontal="center" vertical="center" wrapText="1"/>
    </xf>
    <xf numFmtId="1" fontId="6" fillId="0" borderId="704" xfId="0" applyNumberFormat="1" applyFont="1" applyBorder="1" applyAlignment="1">
      <alignment vertical="center"/>
    </xf>
    <xf numFmtId="1" fontId="6" fillId="0" borderId="340" xfId="0" applyNumberFormat="1" applyFont="1" applyBorder="1" applyAlignment="1">
      <alignment vertical="center" wrapText="1"/>
    </xf>
    <xf numFmtId="1" fontId="6" fillId="0" borderId="706" xfId="0" applyNumberFormat="1" applyFont="1" applyBorder="1" applyAlignment="1">
      <alignment vertical="center"/>
    </xf>
    <xf numFmtId="1" fontId="6" fillId="0" borderId="1624" xfId="0" applyNumberFormat="1" applyFont="1" applyBorder="1" applyAlignment="1">
      <alignment horizontal="right" wrapText="1"/>
    </xf>
    <xf numFmtId="1" fontId="6" fillId="2" borderId="1628" xfId="9" applyNumberFormat="1" applyFont="1" applyBorder="1" applyAlignment="1" applyProtection="1">
      <alignment horizontal="right"/>
      <protection locked="0"/>
    </xf>
    <xf numFmtId="1" fontId="6" fillId="0" borderId="1625" xfId="0" applyNumberFormat="1" applyFont="1" applyBorder="1" applyAlignment="1">
      <alignment horizontal="right"/>
    </xf>
    <xf numFmtId="1" fontId="6" fillId="0" borderId="1066" xfId="0" applyNumberFormat="1" applyFont="1" applyBorder="1" applyAlignment="1">
      <alignment horizontal="right"/>
    </xf>
    <xf numFmtId="1" fontId="13" fillId="0" borderId="1625" xfId="0" applyNumberFormat="1" applyFont="1" applyBorder="1" applyAlignment="1">
      <alignment horizontal="left" vertical="center" wrapText="1"/>
    </xf>
    <xf numFmtId="1" fontId="6" fillId="0" borderId="1625" xfId="0" applyNumberFormat="1" applyFont="1" applyBorder="1"/>
    <xf numFmtId="1" fontId="6" fillId="0" borderId="1623" xfId="0" applyNumberFormat="1" applyFont="1" applyBorder="1"/>
    <xf numFmtId="1" fontId="6" fillId="0" borderId="1624" xfId="0" applyNumberFormat="1" applyFont="1" applyBorder="1" applyAlignment="1">
      <alignment horizontal="right"/>
    </xf>
    <xf numFmtId="1" fontId="13" fillId="0" borderId="1624" xfId="0" applyNumberFormat="1" applyFont="1" applyBorder="1" applyAlignment="1">
      <alignment horizontal="left" vertical="center"/>
    </xf>
    <xf numFmtId="1" fontId="6" fillId="2" borderId="1627" xfId="9" applyNumberFormat="1" applyFont="1" applyBorder="1" applyAlignment="1" applyProtection="1">
      <alignment horizontal="right"/>
      <protection locked="0"/>
    </xf>
    <xf numFmtId="1" fontId="6" fillId="5" borderId="1629" xfId="0" applyNumberFormat="1" applyFont="1" applyFill="1" applyBorder="1" applyProtection="1">
      <protection locked="0"/>
    </xf>
    <xf numFmtId="1" fontId="6" fillId="0" borderId="1622" xfId="0" applyNumberFormat="1" applyFont="1" applyBorder="1" applyAlignment="1">
      <alignment horizontal="right"/>
    </xf>
    <xf numFmtId="1" fontId="6" fillId="5" borderId="1611" xfId="0" applyNumberFormat="1" applyFont="1" applyFill="1" applyBorder="1" applyAlignment="1" applyProtection="1">
      <alignment wrapText="1"/>
      <protection locked="0"/>
    </xf>
    <xf numFmtId="1" fontId="6" fillId="3" borderId="1618" xfId="0" applyNumberFormat="1" applyFont="1" applyFill="1" applyBorder="1" applyAlignment="1">
      <alignment horizontal="center" vertical="center"/>
    </xf>
    <xf numFmtId="1" fontId="6" fillId="5" borderId="1610" xfId="0" applyNumberFormat="1" applyFont="1" applyFill="1" applyBorder="1" applyAlignment="1" applyProtection="1">
      <alignment wrapText="1"/>
      <protection locked="0"/>
    </xf>
    <xf numFmtId="1" fontId="6" fillId="5" borderId="1142" xfId="0" applyNumberFormat="1" applyFont="1" applyFill="1" applyBorder="1" applyAlignment="1" applyProtection="1">
      <alignment wrapText="1"/>
      <protection locked="0"/>
    </xf>
    <xf numFmtId="1" fontId="6" fillId="14" borderId="815" xfId="0" applyNumberFormat="1" applyFont="1" applyFill="1" applyBorder="1" applyAlignment="1">
      <alignment vertical="center" wrapText="1"/>
    </xf>
    <xf numFmtId="1" fontId="6" fillId="0" borderId="1625" xfId="0" applyNumberFormat="1" applyFont="1" applyBorder="1" applyAlignment="1">
      <alignment horizontal="right" wrapText="1"/>
    </xf>
    <xf numFmtId="1" fontId="6" fillId="3" borderId="35" xfId="0" applyNumberFormat="1" applyFont="1" applyFill="1" applyBorder="1" applyAlignment="1">
      <alignment vertical="center" wrapText="1"/>
    </xf>
    <xf numFmtId="1" fontId="6" fillId="5" borderId="1607" xfId="0" applyNumberFormat="1" applyFont="1" applyFill="1" applyBorder="1" applyProtection="1">
      <protection locked="0"/>
    </xf>
    <xf numFmtId="1" fontId="6" fillId="5" borderId="1611" xfId="0" applyNumberFormat="1" applyFont="1" applyFill="1" applyBorder="1" applyProtection="1">
      <protection locked="0"/>
    </xf>
    <xf numFmtId="1" fontId="6" fillId="5" borderId="1649" xfId="0" applyNumberFormat="1" applyFont="1" applyFill="1" applyBorder="1" applyProtection="1">
      <protection locked="0"/>
    </xf>
    <xf numFmtId="1" fontId="6" fillId="5" borderId="1651" xfId="0" applyNumberFormat="1" applyFont="1" applyFill="1" applyBorder="1" applyProtection="1">
      <protection locked="0"/>
    </xf>
    <xf numFmtId="1" fontId="6" fillId="5" borderId="1650" xfId="0" applyNumberFormat="1" applyFont="1" applyFill="1" applyBorder="1" applyProtection="1">
      <protection locked="0"/>
    </xf>
    <xf numFmtId="1" fontId="6" fillId="14" borderId="1652" xfId="0" applyNumberFormat="1" applyFont="1" applyFill="1" applyBorder="1" applyAlignment="1">
      <alignment wrapText="1"/>
    </xf>
    <xf numFmtId="1" fontId="6" fillId="5" borderId="1658" xfId="0" applyNumberFormat="1" applyFont="1" applyFill="1" applyBorder="1" applyProtection="1">
      <protection locked="0"/>
    </xf>
    <xf numFmtId="1" fontId="6" fillId="5" borderId="1661" xfId="0" applyNumberFormat="1" applyFont="1" applyFill="1" applyBorder="1" applyProtection="1">
      <protection locked="0"/>
    </xf>
    <xf numFmtId="1" fontId="6" fillId="5" borderId="1662" xfId="0" applyNumberFormat="1" applyFont="1" applyFill="1" applyBorder="1" applyProtection="1">
      <protection locked="0"/>
    </xf>
    <xf numFmtId="1" fontId="6" fillId="5" borderId="1667" xfId="0" applyNumberFormat="1" applyFont="1" applyFill="1" applyBorder="1" applyProtection="1">
      <protection locked="0"/>
    </xf>
    <xf numFmtId="1" fontId="6" fillId="0" borderId="1672" xfId="0" applyNumberFormat="1" applyFont="1" applyBorder="1" applyAlignment="1">
      <alignment horizontal="center" vertical="center" wrapText="1"/>
    </xf>
    <xf numFmtId="1" fontId="6" fillId="5" borderId="1675" xfId="0" applyNumberFormat="1" applyFont="1" applyFill="1" applyBorder="1" applyProtection="1">
      <protection locked="0"/>
    </xf>
    <xf numFmtId="1" fontId="6" fillId="5" borderId="1676" xfId="0" applyNumberFormat="1" applyFont="1" applyFill="1" applyBorder="1" applyProtection="1">
      <protection locked="0"/>
    </xf>
    <xf numFmtId="1" fontId="6" fillId="5" borderId="1678" xfId="0" applyNumberFormat="1" applyFont="1" applyFill="1" applyBorder="1" applyProtection="1">
      <protection locked="0"/>
    </xf>
    <xf numFmtId="1" fontId="6" fillId="15" borderId="1626" xfId="0" applyNumberFormat="1" applyFont="1" applyFill="1" applyBorder="1" applyProtection="1">
      <protection locked="0"/>
    </xf>
    <xf numFmtId="1" fontId="6" fillId="15" borderId="1669" xfId="0" applyNumberFormat="1" applyFont="1" applyFill="1" applyBorder="1" applyProtection="1">
      <protection locked="0"/>
    </xf>
    <xf numFmtId="1" fontId="6" fillId="15" borderId="1635" xfId="0" applyNumberFormat="1" applyFont="1" applyFill="1" applyBorder="1" applyProtection="1">
      <protection locked="0"/>
    </xf>
    <xf numFmtId="1" fontId="6" fillId="15" borderId="1682" xfId="0" applyNumberFormat="1" applyFont="1" applyFill="1" applyBorder="1" applyProtection="1">
      <protection locked="0"/>
    </xf>
    <xf numFmtId="1" fontId="6" fillId="0" borderId="1683" xfId="0" applyNumberFormat="1" applyFont="1" applyBorder="1" applyAlignment="1">
      <alignment horizontal="center" vertical="center" wrapText="1"/>
    </xf>
    <xf numFmtId="1" fontId="50" fillId="3" borderId="0" xfId="0" applyNumberFormat="1" applyFont="1" applyFill="1"/>
    <xf numFmtId="1" fontId="6" fillId="0" borderId="1684" xfId="0" applyNumberFormat="1" applyFont="1" applyBorder="1" applyAlignment="1">
      <alignment horizontal="center" vertical="center" wrapText="1"/>
    </xf>
    <xf numFmtId="1" fontId="6" fillId="0" borderId="1679" xfId="0" applyNumberFormat="1" applyFont="1" applyBorder="1" applyAlignment="1">
      <alignment horizontal="center" vertical="center" wrapText="1"/>
    </xf>
    <xf numFmtId="1" fontId="6" fillId="12" borderId="1421" xfId="0" applyNumberFormat="1" applyFont="1" applyFill="1" applyBorder="1" applyProtection="1">
      <protection locked="0"/>
    </xf>
    <xf numFmtId="1" fontId="6" fillId="0" borderId="427" xfId="0" applyNumberFormat="1" applyFont="1" applyBorder="1" applyAlignment="1">
      <alignment vertical="center"/>
    </xf>
    <xf numFmtId="1" fontId="4" fillId="3" borderId="986" xfId="0" applyNumberFormat="1" applyFont="1" applyFill="1" applyBorder="1"/>
    <xf numFmtId="1" fontId="4" fillId="0" borderId="986" xfId="0" applyNumberFormat="1" applyFont="1" applyBorder="1"/>
    <xf numFmtId="1" fontId="6" fillId="5" borderId="1680" xfId="23" applyNumberFormat="1" applyFont="1" applyFill="1" applyBorder="1" applyProtection="1">
      <protection locked="0"/>
    </xf>
    <xf numFmtId="1" fontId="6" fillId="5" borderId="1501" xfId="23" applyNumberFormat="1" applyFont="1" applyFill="1" applyBorder="1" applyProtection="1">
      <protection locked="0"/>
    </xf>
    <xf numFmtId="1" fontId="6" fillId="5" borderId="1421" xfId="23" applyNumberFormat="1" applyFont="1" applyFill="1" applyBorder="1" applyProtection="1">
      <protection locked="0"/>
    </xf>
    <xf numFmtId="1" fontId="6" fillId="5" borderId="1654" xfId="23" applyNumberFormat="1" applyFont="1" applyFill="1" applyBorder="1" applyProtection="1">
      <protection locked="0"/>
    </xf>
    <xf numFmtId="1" fontId="6" fillId="0" borderId="1684" xfId="23" applyNumberFormat="1" applyFont="1" applyBorder="1" applyAlignment="1">
      <alignment horizontal="center" vertical="center" wrapText="1"/>
    </xf>
    <xf numFmtId="1" fontId="6" fillId="0" borderId="1689" xfId="23" applyNumberFormat="1" applyFont="1" applyBorder="1" applyAlignment="1">
      <alignment horizontal="center" vertical="center" wrapText="1"/>
    </xf>
    <xf numFmtId="1" fontId="6" fillId="5" borderId="1632" xfId="23" applyNumberFormat="1" applyFont="1" applyFill="1" applyBorder="1" applyProtection="1">
      <protection locked="0"/>
    </xf>
    <xf numFmtId="1" fontId="6" fillId="5" borderId="1695" xfId="23" applyNumberFormat="1" applyFont="1" applyFill="1" applyBorder="1" applyProtection="1">
      <protection locked="0"/>
    </xf>
    <xf numFmtId="1" fontId="6" fillId="5" borderId="1498" xfId="23" applyNumberFormat="1" applyFont="1" applyFill="1" applyBorder="1" applyProtection="1">
      <protection locked="0"/>
    </xf>
    <xf numFmtId="1" fontId="6" fillId="5" borderId="1511" xfId="23" applyNumberFormat="1" applyFont="1" applyFill="1" applyBorder="1" applyProtection="1">
      <protection locked="0"/>
    </xf>
    <xf numFmtId="1" fontId="6" fillId="5" borderId="1493" xfId="23" applyNumberFormat="1" applyFont="1" applyFill="1" applyBorder="1" applyProtection="1">
      <protection locked="0"/>
    </xf>
    <xf numFmtId="1" fontId="6" fillId="5" borderId="1107" xfId="23" applyNumberFormat="1" applyFont="1" applyFill="1" applyBorder="1" applyProtection="1">
      <protection locked="0"/>
    </xf>
    <xf numFmtId="1" fontId="6" fillId="5" borderId="1649" xfId="23" applyNumberFormat="1" applyFont="1" applyFill="1" applyBorder="1" applyProtection="1">
      <protection locked="0"/>
    </xf>
    <xf numFmtId="1" fontId="6" fillId="5" borderId="1020" xfId="23" applyNumberFormat="1" applyFont="1" applyFill="1" applyBorder="1" applyProtection="1">
      <protection locked="0"/>
    </xf>
    <xf numFmtId="1" fontId="6" fillId="5" borderId="1691" xfId="23" applyNumberFormat="1" applyFont="1" applyFill="1" applyBorder="1" applyProtection="1">
      <protection locked="0"/>
    </xf>
    <xf numFmtId="1" fontId="6" fillId="5" borderId="1696" xfId="23" applyNumberFormat="1" applyFont="1" applyFill="1" applyBorder="1" applyProtection="1">
      <protection locked="0"/>
    </xf>
    <xf numFmtId="1" fontId="6" fillId="2" borderId="1684" xfId="9" applyNumberFormat="1" applyFont="1" applyBorder="1" applyAlignment="1" applyProtection="1">
      <alignment horizontal="right"/>
      <protection locked="0"/>
    </xf>
    <xf numFmtId="1" fontId="6" fillId="2" borderId="1679" xfId="9" applyNumberFormat="1" applyFont="1" applyBorder="1" applyAlignment="1" applyProtection="1">
      <alignment horizontal="right"/>
      <protection locked="0"/>
    </xf>
    <xf numFmtId="1" fontId="6" fillId="2" borderId="1671" xfId="9" applyNumberFormat="1" applyFont="1" applyBorder="1" applyAlignment="1" applyProtection="1">
      <alignment horizontal="right"/>
      <protection locked="0"/>
    </xf>
    <xf numFmtId="1" fontId="6" fillId="5" borderId="1697" xfId="0" applyNumberFormat="1" applyFont="1" applyFill="1" applyBorder="1" applyAlignment="1" applyProtection="1">
      <alignment horizontal="right"/>
      <protection locked="0"/>
    </xf>
    <xf numFmtId="1" fontId="6" fillId="0" borderId="1689" xfId="0" applyNumberFormat="1" applyFont="1" applyBorder="1" applyAlignment="1">
      <alignment horizontal="center" vertical="center" wrapText="1"/>
    </xf>
    <xf numFmtId="1" fontId="6" fillId="5" borderId="1632" xfId="0" applyNumberFormat="1" applyFont="1" applyFill="1" applyBorder="1" applyAlignment="1" applyProtection="1">
      <alignment horizontal="right"/>
      <protection locked="0"/>
    </xf>
    <xf numFmtId="1" fontId="6" fillId="5" borderId="1607" xfId="0" applyNumberFormat="1" applyFont="1" applyFill="1" applyBorder="1" applyAlignment="1" applyProtection="1">
      <alignment horizontal="right"/>
      <protection locked="0"/>
    </xf>
    <xf numFmtId="1" fontId="6" fillId="5" borderId="1547" xfId="0" applyNumberFormat="1" applyFont="1" applyFill="1" applyBorder="1" applyAlignment="1" applyProtection="1">
      <alignment horizontal="right"/>
      <protection locked="0"/>
    </xf>
    <xf numFmtId="1" fontId="6" fillId="5" borderId="1508" xfId="0" applyNumberFormat="1" applyFont="1" applyFill="1" applyBorder="1" applyAlignment="1" applyProtection="1">
      <alignment horizontal="right"/>
      <protection locked="0"/>
    </xf>
    <xf numFmtId="1" fontId="6" fillId="14" borderId="861" xfId="0" applyNumberFormat="1" applyFont="1" applyFill="1" applyBorder="1" applyAlignment="1">
      <alignment vertical="center"/>
    </xf>
    <xf numFmtId="1" fontId="6" fillId="14" borderId="1568" xfId="0" applyNumberFormat="1" applyFont="1" applyFill="1" applyBorder="1" applyAlignment="1">
      <alignment vertical="center" wrapText="1"/>
    </xf>
    <xf numFmtId="1" fontId="9" fillId="14" borderId="1079" xfId="0" applyNumberFormat="1" applyFont="1" applyFill="1" applyBorder="1"/>
    <xf numFmtId="1" fontId="6" fillId="0" borderId="1672" xfId="0" applyNumberFormat="1" applyFont="1" applyBorder="1" applyAlignment="1">
      <alignment horizontal="right" vertical="center" wrapText="1"/>
    </xf>
    <xf numFmtId="1" fontId="6" fillId="5" borderId="1698" xfId="0" applyNumberFormat="1" applyFont="1" applyFill="1" applyBorder="1" applyProtection="1">
      <protection locked="0"/>
    </xf>
    <xf numFmtId="1" fontId="6" fillId="5" borderId="1634" xfId="0" applyNumberFormat="1" applyFont="1" applyFill="1" applyBorder="1" applyProtection="1">
      <protection locked="0"/>
    </xf>
    <xf numFmtId="1" fontId="6" fillId="5" borderId="1647" xfId="0" applyNumberFormat="1" applyFont="1" applyFill="1" applyBorder="1" applyProtection="1">
      <protection locked="0"/>
    </xf>
    <xf numFmtId="1" fontId="6" fillId="3" borderId="1672" xfId="0" applyNumberFormat="1" applyFont="1" applyFill="1" applyBorder="1" applyAlignment="1">
      <alignment horizontal="center" vertical="center" wrapText="1"/>
    </xf>
    <xf numFmtId="1" fontId="6" fillId="5" borderId="1680" xfId="0" applyNumberFormat="1" applyFont="1" applyFill="1" applyBorder="1" applyProtection="1">
      <protection locked="0"/>
    </xf>
    <xf numFmtId="1" fontId="6" fillId="5" borderId="1632" xfId="0" applyNumberFormat="1" applyFont="1" applyFill="1" applyBorder="1" applyProtection="1">
      <protection locked="0"/>
    </xf>
    <xf numFmtId="1" fontId="6" fillId="5" borderId="1691" xfId="0" applyNumberFormat="1" applyFont="1" applyFill="1" applyBorder="1" applyProtection="1">
      <protection locked="0"/>
    </xf>
    <xf numFmtId="1" fontId="6" fillId="0" borderId="1671" xfId="0" applyNumberFormat="1" applyFont="1" applyBorder="1" applyAlignment="1">
      <alignment horizontal="center" vertical="center" wrapText="1"/>
    </xf>
    <xf numFmtId="1" fontId="6" fillId="5" borderId="1641" xfId="0" applyNumberFormat="1" applyFont="1" applyFill="1" applyBorder="1" applyProtection="1">
      <protection locked="0"/>
    </xf>
    <xf numFmtId="1" fontId="6" fillId="14" borderId="735" xfId="0" applyNumberFormat="1" applyFont="1" applyFill="1" applyBorder="1" applyAlignment="1">
      <alignment horizontal="center" vertical="center" wrapText="1"/>
    </xf>
    <xf numFmtId="1" fontId="6" fillId="5" borderId="1659" xfId="0" applyNumberFormat="1" applyFont="1" applyFill="1" applyBorder="1" applyProtection="1">
      <protection locked="0"/>
    </xf>
    <xf numFmtId="1" fontId="6" fillId="5" borderId="1620" xfId="0" applyNumberFormat="1" applyFont="1" applyFill="1" applyBorder="1" applyProtection="1">
      <protection locked="0"/>
    </xf>
    <xf numFmtId="1" fontId="6" fillId="5" borderId="1626" xfId="0" applyNumberFormat="1" applyFont="1" applyFill="1" applyBorder="1" applyProtection="1">
      <protection locked="0"/>
    </xf>
    <xf numFmtId="1" fontId="6" fillId="5" borderId="1692" xfId="0" applyNumberFormat="1" applyFont="1" applyFill="1" applyBorder="1" applyProtection="1">
      <protection locked="0"/>
    </xf>
    <xf numFmtId="1" fontId="6" fillId="5" borderId="1688" xfId="0" applyNumberFormat="1" applyFont="1" applyFill="1" applyBorder="1" applyProtection="1">
      <protection locked="0"/>
    </xf>
    <xf numFmtId="1" fontId="6" fillId="5" borderId="1612" xfId="0" applyNumberFormat="1" applyFont="1" applyFill="1" applyBorder="1" applyProtection="1">
      <protection locked="0"/>
    </xf>
    <xf numFmtId="1" fontId="6" fillId="5" borderId="1663" xfId="0" applyNumberFormat="1" applyFont="1" applyFill="1" applyBorder="1" applyProtection="1">
      <protection locked="0"/>
    </xf>
    <xf numFmtId="1" fontId="6" fillId="5" borderId="1685" xfId="0" applyNumberFormat="1" applyFont="1" applyFill="1" applyBorder="1" applyProtection="1">
      <protection locked="0"/>
    </xf>
    <xf numFmtId="1" fontId="11" fillId="14" borderId="0" xfId="0" applyNumberFormat="1" applyFont="1" applyFill="1" applyAlignment="1" applyProtection="1">
      <alignment horizontal="right"/>
      <protection locked="0"/>
    </xf>
    <xf numFmtId="1" fontId="11" fillId="14" borderId="0" xfId="0" applyNumberFormat="1" applyFont="1" applyFill="1" applyAlignment="1">
      <alignment horizontal="right"/>
    </xf>
    <xf numFmtId="1" fontId="6" fillId="0" borderId="1667" xfId="0" applyNumberFormat="1" applyFont="1" applyBorder="1" applyAlignment="1">
      <alignment horizontal="center" vertical="center" wrapText="1"/>
    </xf>
    <xf numFmtId="1" fontId="6" fillId="0" borderId="1626" xfId="0" applyNumberFormat="1" applyFont="1" applyBorder="1"/>
    <xf numFmtId="1" fontId="6" fillId="0" borderId="1689" xfId="0" applyNumberFormat="1" applyFont="1" applyBorder="1" applyAlignment="1">
      <alignment horizontal="right" vertical="center" wrapText="1"/>
    </xf>
    <xf numFmtId="1" fontId="6" fillId="5" borderId="1707" xfId="0" applyNumberFormat="1" applyFont="1" applyFill="1" applyBorder="1" applyProtection="1">
      <protection locked="0"/>
    </xf>
    <xf numFmtId="1" fontId="10" fillId="3" borderId="0" xfId="0" applyNumberFormat="1" applyFont="1" applyFill="1" applyAlignment="1" applyProtection="1">
      <alignment horizontal="left"/>
      <protection locked="0"/>
    </xf>
    <xf numFmtId="1" fontId="6" fillId="5" borderId="1674" xfId="0" applyNumberFormat="1" applyFont="1" applyFill="1" applyBorder="1" applyProtection="1">
      <protection locked="0"/>
    </xf>
    <xf numFmtId="1" fontId="6" fillId="5" borderId="1677" xfId="0" applyNumberFormat="1" applyFont="1" applyFill="1" applyBorder="1" applyProtection="1">
      <protection locked="0"/>
    </xf>
    <xf numFmtId="1" fontId="6" fillId="3" borderId="1679" xfId="0" applyNumberFormat="1" applyFont="1" applyFill="1" applyBorder="1" applyAlignment="1">
      <alignment horizontal="center" vertical="center" wrapText="1"/>
    </xf>
    <xf numFmtId="1" fontId="6" fillId="3" borderId="438" xfId="0" applyNumberFormat="1" applyFont="1" applyFill="1" applyBorder="1" applyAlignment="1">
      <alignment horizontal="center" vertical="center" wrapText="1"/>
    </xf>
    <xf numFmtId="1" fontId="6" fillId="12" borderId="1501" xfId="0" applyNumberFormat="1" applyFont="1" applyFill="1" applyBorder="1" applyProtection="1">
      <protection locked="0"/>
    </xf>
    <xf numFmtId="1" fontId="6" fillId="5" borderId="1708" xfId="0" applyNumberFormat="1" applyFont="1" applyFill="1" applyBorder="1" applyProtection="1">
      <protection locked="0"/>
    </xf>
    <xf numFmtId="1" fontId="6" fillId="5" borderId="1709" xfId="0" applyNumberFormat="1" applyFont="1" applyFill="1" applyBorder="1" applyProtection="1">
      <protection locked="0"/>
    </xf>
    <xf numFmtId="1" fontId="6" fillId="0" borderId="1583" xfId="0" applyNumberFormat="1" applyFont="1" applyBorder="1" applyAlignment="1">
      <alignment horizontal="right" wrapText="1"/>
    </xf>
    <xf numFmtId="1" fontId="6" fillId="0" borderId="1676" xfId="0" applyNumberFormat="1" applyFont="1" applyBorder="1" applyAlignment="1">
      <alignment horizontal="right" wrapText="1"/>
    </xf>
    <xf numFmtId="1" fontId="6" fillId="12" borderId="37" xfId="0" applyNumberFormat="1" applyFont="1" applyFill="1" applyBorder="1" applyProtection="1">
      <protection locked="0"/>
    </xf>
    <xf numFmtId="2" fontId="6" fillId="3" borderId="1672" xfId="0" applyNumberFormat="1" applyFont="1" applyFill="1" applyBorder="1" applyAlignment="1">
      <alignment horizontal="center" vertical="center"/>
    </xf>
    <xf numFmtId="2" fontId="6" fillId="3" borderId="1698" xfId="0" applyNumberFormat="1" applyFont="1" applyFill="1" applyBorder="1" applyAlignment="1">
      <alignment horizontal="center" vertical="center"/>
    </xf>
    <xf numFmtId="2" fontId="6" fillId="3" borderId="1674" xfId="0" applyNumberFormat="1" applyFont="1" applyFill="1" applyBorder="1" applyAlignment="1">
      <alignment horizontal="center" vertical="center"/>
    </xf>
    <xf numFmtId="2" fontId="6" fillId="3" borderId="1694" xfId="0" applyNumberFormat="1" applyFont="1" applyFill="1" applyBorder="1" applyAlignment="1">
      <alignment horizontal="center" vertical="center"/>
    </xf>
    <xf numFmtId="1" fontId="6" fillId="3" borderId="1684" xfId="0" applyNumberFormat="1" applyFont="1" applyFill="1" applyBorder="1" applyAlignment="1">
      <alignment horizontal="center" vertical="center" wrapText="1"/>
    </xf>
    <xf numFmtId="1" fontId="6" fillId="3" borderId="1667" xfId="0" applyNumberFormat="1" applyFont="1" applyFill="1" applyBorder="1" applyAlignment="1">
      <alignment horizontal="center" vertical="center" wrapText="1"/>
    </xf>
    <xf numFmtId="1" fontId="6" fillId="3" borderId="1671" xfId="0" applyNumberFormat="1" applyFont="1" applyFill="1" applyBorder="1" applyAlignment="1">
      <alignment horizontal="center" vertical="center" wrapText="1"/>
    </xf>
    <xf numFmtId="2" fontId="6" fillId="3" borderId="1684" xfId="0" applyNumberFormat="1" applyFont="1" applyFill="1" applyBorder="1" applyAlignment="1">
      <alignment horizontal="center" vertical="center"/>
    </xf>
    <xf numFmtId="2" fontId="6" fillId="3" borderId="1679" xfId="0" applyNumberFormat="1" applyFont="1" applyFill="1" applyBorder="1" applyAlignment="1">
      <alignment horizontal="center" vertical="center"/>
    </xf>
    <xf numFmtId="2" fontId="6" fillId="3" borderId="1667" xfId="0" applyNumberFormat="1" applyFont="1" applyFill="1" applyBorder="1" applyAlignment="1">
      <alignment horizontal="center" vertical="center"/>
    </xf>
    <xf numFmtId="2" fontId="6" fillId="3" borderId="1671" xfId="0" applyNumberFormat="1" applyFont="1" applyFill="1" applyBorder="1" applyAlignment="1">
      <alignment horizontal="center" vertical="center"/>
    </xf>
    <xf numFmtId="2" fontId="6" fillId="3" borderId="1649" xfId="0" applyNumberFormat="1" applyFont="1" applyFill="1" applyBorder="1" applyAlignment="1">
      <alignment horizontal="center" vertical="center"/>
    </xf>
    <xf numFmtId="2" fontId="6" fillId="6" borderId="1712" xfId="14" applyNumberFormat="1" applyFont="1" applyBorder="1" applyAlignment="1" applyProtection="1">
      <alignment horizontal="center" vertical="center"/>
      <protection locked="0"/>
    </xf>
    <xf numFmtId="2" fontId="6" fillId="6" borderId="1713" xfId="14" applyNumberFormat="1" applyFont="1" applyBorder="1" applyAlignment="1" applyProtection="1">
      <alignment horizontal="center" vertical="center"/>
      <protection locked="0"/>
    </xf>
    <xf numFmtId="2" fontId="6" fillId="3" borderId="1632" xfId="0" applyNumberFormat="1" applyFont="1" applyFill="1" applyBorder="1" applyAlignment="1">
      <alignment horizontal="center" vertical="center"/>
    </xf>
    <xf numFmtId="2" fontId="6" fillId="6" borderId="1714" xfId="14" applyNumberFormat="1" applyFont="1" applyBorder="1" applyAlignment="1" applyProtection="1">
      <alignment horizontal="center" vertical="center"/>
      <protection locked="0"/>
    </xf>
    <xf numFmtId="2" fontId="6" fillId="6" borderId="1715" xfId="14" applyNumberFormat="1" applyFont="1" applyBorder="1" applyAlignment="1" applyProtection="1">
      <alignment horizontal="center" vertical="center"/>
      <protection locked="0"/>
    </xf>
    <xf numFmtId="2" fontId="6" fillId="6" borderId="1716" xfId="14" applyNumberFormat="1" applyFont="1" applyBorder="1" applyAlignment="1" applyProtection="1">
      <alignment horizontal="center" vertical="center"/>
      <protection locked="0"/>
    </xf>
    <xf numFmtId="2" fontId="6" fillId="3" borderId="1583" xfId="0" applyNumberFormat="1" applyFont="1" applyFill="1" applyBorder="1" applyAlignment="1">
      <alignment horizontal="center" vertical="center"/>
    </xf>
    <xf numFmtId="2" fontId="6" fillId="6" borderId="1717" xfId="14" applyNumberFormat="1" applyFont="1" applyBorder="1" applyAlignment="1" applyProtection="1">
      <alignment horizontal="center" vertical="center"/>
      <protection locked="0"/>
    </xf>
    <xf numFmtId="2" fontId="6" fillId="6" borderId="1718" xfId="14" applyNumberFormat="1" applyFont="1" applyBorder="1" applyAlignment="1" applyProtection="1">
      <alignment horizontal="center" vertical="center"/>
      <protection locked="0"/>
    </xf>
    <xf numFmtId="2" fontId="6" fillId="6" borderId="1719" xfId="14" applyNumberFormat="1" applyFont="1" applyBorder="1" applyAlignment="1" applyProtection="1">
      <alignment horizontal="center" vertical="center"/>
      <protection locked="0"/>
    </xf>
    <xf numFmtId="2" fontId="6" fillId="3" borderId="1720" xfId="0" applyNumberFormat="1" applyFont="1" applyFill="1" applyBorder="1" applyAlignment="1">
      <alignment horizontal="center" vertical="center"/>
    </xf>
    <xf numFmtId="2" fontId="6" fillId="6" borderId="1721" xfId="14" applyNumberFormat="1" applyFont="1" applyBorder="1" applyAlignment="1" applyProtection="1">
      <alignment horizontal="center" vertical="center"/>
      <protection locked="0"/>
    </xf>
    <xf numFmtId="2" fontId="6" fillId="6" borderId="1722" xfId="14" applyNumberFormat="1" applyFont="1" applyBorder="1" applyAlignment="1" applyProtection="1">
      <alignment horizontal="center" vertical="center"/>
      <protection locked="0"/>
    </xf>
    <xf numFmtId="2" fontId="6" fillId="3" borderId="1661" xfId="0" applyNumberFormat="1" applyFont="1" applyFill="1" applyBorder="1" applyAlignment="1">
      <alignment horizontal="center" vertical="center"/>
    </xf>
    <xf numFmtId="2" fontId="6" fillId="6" borderId="1723" xfId="14" applyNumberFormat="1" applyFont="1" applyBorder="1" applyAlignment="1" applyProtection="1">
      <alignment horizontal="center" vertical="center"/>
      <protection locked="0"/>
    </xf>
    <xf numFmtId="2" fontId="6" fillId="6" borderId="1724" xfId="14" applyNumberFormat="1" applyFont="1" applyBorder="1" applyAlignment="1" applyProtection="1">
      <alignment horizontal="center" vertical="center"/>
      <protection locked="0"/>
    </xf>
    <xf numFmtId="2" fontId="6" fillId="6" borderId="1725" xfId="14" applyNumberFormat="1" applyFont="1" applyBorder="1" applyAlignment="1" applyProtection="1">
      <alignment horizontal="center" vertical="center"/>
      <protection locked="0"/>
    </xf>
    <xf numFmtId="1" fontId="6" fillId="14" borderId="37" xfId="0" applyNumberFormat="1" applyFont="1" applyFill="1" applyBorder="1" applyAlignment="1">
      <alignment horizontal="center" vertical="center"/>
    </xf>
    <xf numFmtId="2" fontId="6" fillId="6" borderId="1730" xfId="14" applyNumberFormat="1" applyFont="1" applyBorder="1" applyAlignment="1" applyProtection="1">
      <alignment horizontal="center" vertical="center"/>
      <protection locked="0"/>
    </xf>
    <xf numFmtId="2" fontId="6" fillId="6" borderId="1731" xfId="14" applyNumberFormat="1" applyFont="1" applyBorder="1" applyAlignment="1" applyProtection="1">
      <alignment horizontal="center" vertical="center"/>
      <protection locked="0"/>
    </xf>
    <xf numFmtId="2" fontId="6" fillId="6" borderId="1732" xfId="14" applyNumberFormat="1" applyFont="1" applyBorder="1" applyAlignment="1" applyProtection="1">
      <alignment horizontal="center" vertical="center"/>
      <protection locked="0"/>
    </xf>
    <xf numFmtId="2" fontId="6" fillId="6" borderId="1733" xfId="14" applyNumberFormat="1" applyFont="1" applyBorder="1" applyAlignment="1" applyProtection="1">
      <alignment horizontal="center" vertical="center"/>
      <protection locked="0"/>
    </xf>
    <xf numFmtId="0" fontId="50" fillId="14" borderId="0" xfId="0" applyFont="1" applyFill="1"/>
    <xf numFmtId="1" fontId="50" fillId="14" borderId="0" xfId="0" applyNumberFormat="1" applyFont="1" applyFill="1"/>
    <xf numFmtId="1" fontId="6" fillId="0" borderId="1800" xfId="0" applyNumberFormat="1" applyFont="1" applyBorder="1"/>
    <xf numFmtId="1" fontId="6" fillId="0" borderId="1647" xfId="0" applyNumberFormat="1" applyFont="1" applyBorder="1"/>
    <xf numFmtId="1" fontId="6" fillId="3" borderId="986" xfId="0" applyNumberFormat="1" applyFont="1" applyFill="1" applyBorder="1" applyAlignment="1">
      <alignment horizontal="left" vertical="center" wrapText="1"/>
    </xf>
    <xf numFmtId="1" fontId="6" fillId="0" borderId="986" xfId="0" applyNumberFormat="1" applyFont="1" applyBorder="1"/>
    <xf numFmtId="1" fontId="6" fillId="3" borderId="1421" xfId="0" applyNumberFormat="1" applyFont="1" applyFill="1" applyBorder="1"/>
    <xf numFmtId="1" fontId="6" fillId="3" borderId="1659" xfId="0" applyNumberFormat="1" applyFont="1" applyFill="1" applyBorder="1"/>
    <xf numFmtId="1" fontId="6" fillId="3" borderId="1611" xfId="0" applyNumberFormat="1" applyFont="1" applyFill="1" applyBorder="1"/>
    <xf numFmtId="1" fontId="6" fillId="3" borderId="1815" xfId="0" applyNumberFormat="1" applyFont="1" applyFill="1" applyBorder="1"/>
    <xf numFmtId="1" fontId="6" fillId="3" borderId="1816" xfId="0" applyNumberFormat="1" applyFont="1" applyFill="1" applyBorder="1" applyAlignment="1" applyProtection="1">
      <alignment wrapText="1"/>
      <protection hidden="1"/>
    </xf>
    <xf numFmtId="1" fontId="5" fillId="3" borderId="1816" xfId="0" applyNumberFormat="1" applyFont="1" applyFill="1" applyBorder="1" applyProtection="1">
      <protection hidden="1"/>
    </xf>
    <xf numFmtId="1" fontId="6" fillId="3" borderId="497" xfId="0" applyNumberFormat="1" applyFont="1" applyFill="1" applyBorder="1" applyAlignment="1">
      <alignment horizontal="center" vertical="center" wrapText="1"/>
    </xf>
    <xf numFmtId="1" fontId="6" fillId="3" borderId="1819" xfId="0" applyNumberFormat="1" applyFont="1" applyFill="1" applyBorder="1"/>
    <xf numFmtId="1" fontId="6" fillId="3" borderId="1820" xfId="0" applyNumberFormat="1" applyFont="1" applyFill="1" applyBorder="1"/>
    <xf numFmtId="1" fontId="6" fillId="3" borderId="1821" xfId="0" applyNumberFormat="1" applyFont="1" applyFill="1" applyBorder="1"/>
    <xf numFmtId="1" fontId="6" fillId="0" borderId="1820" xfId="0" applyNumberFormat="1" applyFont="1" applyBorder="1"/>
    <xf numFmtId="1" fontId="6" fillId="0" borderId="1822" xfId="0" applyNumberFormat="1" applyFont="1" applyBorder="1"/>
    <xf numFmtId="1" fontId="6" fillId="0" borderId="1821" xfId="0" applyNumberFormat="1" applyFont="1" applyBorder="1"/>
    <xf numFmtId="1" fontId="6" fillId="0" borderId="1820" xfId="0" applyNumberFormat="1" applyFont="1" applyBorder="1" applyProtection="1">
      <protection hidden="1"/>
    </xf>
    <xf numFmtId="1" fontId="32" fillId="0" borderId="1541" xfId="0" applyNumberFormat="1" applyFont="1" applyBorder="1" applyAlignment="1">
      <alignment horizontal="center" vertical="center" wrapText="1"/>
    </xf>
    <xf numFmtId="164" fontId="32" fillId="14" borderId="1066" xfId="32" applyNumberFormat="1" applyFont="1" applyFill="1" applyBorder="1" applyAlignment="1" applyProtection="1">
      <alignment vertical="center" wrapText="1"/>
    </xf>
    <xf numFmtId="164" fontId="32" fillId="14" borderId="901" xfId="32" applyNumberFormat="1" applyFont="1" applyFill="1" applyBorder="1" applyAlignment="1" applyProtection="1">
      <alignment vertical="center" wrapText="1"/>
    </xf>
    <xf numFmtId="1" fontId="6" fillId="5" borderId="708" xfId="0" applyNumberFormat="1" applyFont="1" applyFill="1" applyBorder="1" applyAlignment="1" applyProtection="1">
      <alignment wrapText="1"/>
      <protection locked="0"/>
    </xf>
    <xf numFmtId="1" fontId="6" fillId="5" borderId="1834" xfId="0" applyNumberFormat="1" applyFont="1" applyFill="1" applyBorder="1" applyAlignment="1" applyProtection="1">
      <alignment wrapText="1"/>
      <protection locked="0"/>
    </xf>
    <xf numFmtId="1" fontId="6" fillId="5" borderId="1832" xfId="0" applyNumberFormat="1" applyFont="1" applyFill="1" applyBorder="1" applyAlignment="1" applyProtection="1">
      <alignment wrapText="1"/>
      <protection locked="0"/>
    </xf>
    <xf numFmtId="1" fontId="6" fillId="0" borderId="1841" xfId="0" applyNumberFormat="1" applyFont="1" applyBorder="1" applyAlignment="1">
      <alignment horizontal="center" vertical="center" wrapText="1"/>
    </xf>
    <xf numFmtId="1" fontId="6" fillId="5" borderId="1805" xfId="0" applyNumberFormat="1" applyFont="1" applyFill="1" applyBorder="1" applyAlignment="1" applyProtection="1">
      <alignment wrapText="1"/>
      <protection locked="0"/>
    </xf>
    <xf numFmtId="1" fontId="6" fillId="5" borderId="1805" xfId="0" applyNumberFormat="1" applyFont="1" applyFill="1" applyBorder="1" applyProtection="1">
      <protection locked="0"/>
    </xf>
    <xf numFmtId="1" fontId="6" fillId="5" borderId="1827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844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845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846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827" xfId="0" applyNumberFormat="1" applyFont="1" applyFill="1" applyBorder="1" applyProtection="1">
      <protection locked="0"/>
    </xf>
    <xf numFmtId="1" fontId="6" fillId="5" borderId="1737" xfId="0" applyNumberFormat="1" applyFont="1" applyFill="1" applyBorder="1" applyProtection="1">
      <protection locked="0"/>
    </xf>
    <xf numFmtId="1" fontId="6" fillId="0" borderId="1832" xfId="0" applyNumberFormat="1" applyFont="1" applyBorder="1" applyAlignment="1">
      <alignment vertical="center" wrapText="1"/>
    </xf>
    <xf numFmtId="1" fontId="6" fillId="0" borderId="1668" xfId="0" applyNumberFormat="1" applyFont="1" applyBorder="1" applyAlignment="1">
      <alignment horizontal="center" vertical="center" wrapText="1"/>
    </xf>
    <xf numFmtId="1" fontId="56" fillId="36" borderId="0" xfId="6" applyNumberFormat="1" applyFont="1" applyFill="1" applyAlignment="1">
      <alignment wrapText="1"/>
    </xf>
    <xf numFmtId="0" fontId="57" fillId="0" borderId="0" xfId="6" applyFont="1"/>
    <xf numFmtId="1" fontId="6" fillId="0" borderId="1882" xfId="0" applyNumberFormat="1" applyFont="1" applyBorder="1" applyAlignment="1">
      <alignment horizontal="center" vertical="center" wrapText="1"/>
    </xf>
    <xf numFmtId="1" fontId="6" fillId="5" borderId="1872" xfId="0" applyNumberFormat="1" applyFont="1" applyFill="1" applyBorder="1" applyProtection="1">
      <protection locked="0"/>
    </xf>
    <xf numFmtId="1" fontId="6" fillId="0" borderId="1870" xfId="0" applyNumberFormat="1" applyFont="1" applyBorder="1" applyAlignment="1">
      <alignment horizontal="center" vertical="center" wrapText="1"/>
    </xf>
    <xf numFmtId="1" fontId="6" fillId="0" borderId="1874" xfId="0" applyNumberFormat="1" applyFont="1" applyBorder="1" applyAlignment="1">
      <alignment horizontal="center" vertical="center" wrapText="1"/>
    </xf>
    <xf numFmtId="1" fontId="6" fillId="5" borderId="1840" xfId="0" applyNumberFormat="1" applyFont="1" applyFill="1" applyBorder="1" applyProtection="1">
      <protection locked="0"/>
    </xf>
    <xf numFmtId="1" fontId="6" fillId="5" borderId="1883" xfId="0" applyNumberFormat="1" applyFont="1" applyFill="1" applyBorder="1" applyProtection="1">
      <protection locked="0"/>
    </xf>
    <xf numFmtId="1" fontId="6" fillId="5" borderId="1837" xfId="0" applyNumberFormat="1" applyFont="1" applyFill="1" applyBorder="1" applyProtection="1">
      <protection locked="0"/>
    </xf>
    <xf numFmtId="1" fontId="6" fillId="5" borderId="1701" xfId="0" applyNumberFormat="1" applyFont="1" applyFill="1" applyBorder="1" applyProtection="1">
      <protection locked="0"/>
    </xf>
    <xf numFmtId="1" fontId="38" fillId="3" borderId="1145" xfId="0" applyNumberFormat="1" applyFont="1" applyFill="1" applyBorder="1"/>
    <xf numFmtId="1" fontId="6" fillId="3" borderId="1699" xfId="25" applyNumberFormat="1" applyFont="1" applyFill="1" applyBorder="1" applyAlignment="1">
      <alignment horizontal="center" vertical="center" wrapText="1"/>
    </xf>
    <xf numFmtId="1" fontId="6" fillId="5" borderId="1884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421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834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841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650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708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662" xfId="0" applyNumberFormat="1" applyFont="1" applyFill="1" applyBorder="1" applyAlignment="1" applyProtection="1">
      <alignment horizontal="right" vertical="center" wrapText="1"/>
      <protection locked="0"/>
    </xf>
    <xf numFmtId="1" fontId="6" fillId="0" borderId="1902" xfId="0" applyNumberFormat="1" applyFont="1" applyBorder="1" applyAlignment="1">
      <alignment horizontal="center" vertical="center" wrapText="1"/>
    </xf>
    <xf numFmtId="1" fontId="6" fillId="14" borderId="1913" xfId="0" applyNumberFormat="1" applyFont="1" applyFill="1" applyBorder="1" applyAlignment="1">
      <alignment horizontal="center" vertical="center" wrapText="1"/>
    </xf>
    <xf numFmtId="1" fontId="6" fillId="0" borderId="1913" xfId="0" applyNumberFormat="1" applyFont="1" applyBorder="1" applyAlignment="1">
      <alignment horizontal="center" vertical="center" wrapText="1"/>
    </xf>
    <xf numFmtId="1" fontId="6" fillId="0" borderId="1913" xfId="0" applyNumberFormat="1" applyFont="1" applyBorder="1" applyAlignment="1">
      <alignment horizontal="center" vertical="center"/>
    </xf>
    <xf numFmtId="1" fontId="6" fillId="0" borderId="1914" xfId="0" applyNumberFormat="1" applyFont="1" applyBorder="1" applyAlignment="1">
      <alignment horizontal="center" vertical="center"/>
    </xf>
    <xf numFmtId="1" fontId="6" fillId="0" borderId="1640" xfId="0" applyNumberFormat="1" applyFont="1" applyBorder="1"/>
    <xf numFmtId="1" fontId="6" fillId="0" borderId="1145" xfId="0" applyNumberFormat="1" applyFont="1" applyBorder="1"/>
    <xf numFmtId="1" fontId="6" fillId="0" borderId="1925" xfId="0" applyNumberFormat="1" applyFont="1" applyBorder="1" applyAlignment="1">
      <alignment horizontal="center" vertical="center" wrapText="1"/>
    </xf>
    <xf numFmtId="1" fontId="6" fillId="0" borderId="1898" xfId="0" applyNumberFormat="1" applyFont="1" applyBorder="1" applyAlignment="1">
      <alignment horizontal="center" vertical="center" wrapText="1"/>
    </xf>
    <xf numFmtId="1" fontId="6" fillId="0" borderId="1914" xfId="0" applyNumberFormat="1" applyFont="1" applyBorder="1" applyAlignment="1">
      <alignment horizontal="center" vertical="center" wrapText="1"/>
    </xf>
    <xf numFmtId="1" fontId="6" fillId="0" borderId="1903" xfId="0" applyNumberFormat="1" applyFont="1" applyBorder="1" applyAlignment="1">
      <alignment horizontal="center" vertical="center"/>
    </xf>
    <xf numFmtId="1" fontId="6" fillId="0" borderId="1925" xfId="0" applyNumberFormat="1" applyFont="1" applyBorder="1" applyAlignment="1">
      <alignment horizontal="center" vertical="center"/>
    </xf>
    <xf numFmtId="1" fontId="6" fillId="5" borderId="1836" xfId="0" applyNumberFormat="1" applyFont="1" applyFill="1" applyBorder="1" applyProtection="1">
      <protection locked="0"/>
    </xf>
    <xf numFmtId="1" fontId="6" fillId="5" borderId="1834" xfId="0" applyNumberFormat="1" applyFont="1" applyFill="1" applyBorder="1" applyProtection="1">
      <protection locked="0"/>
    </xf>
    <xf numFmtId="1" fontId="6" fillId="5" borderId="1833" xfId="0" applyNumberFormat="1" applyFont="1" applyFill="1" applyBorder="1" applyProtection="1">
      <protection locked="0"/>
    </xf>
    <xf numFmtId="1" fontId="6" fillId="0" borderId="1833" xfId="0" applyNumberFormat="1" applyFont="1" applyBorder="1"/>
    <xf numFmtId="1" fontId="6" fillId="0" borderId="1836" xfId="0" applyNumberFormat="1" applyFont="1" applyBorder="1"/>
    <xf numFmtId="1" fontId="6" fillId="0" borderId="1824" xfId="0" applyNumberFormat="1" applyFont="1" applyBorder="1"/>
    <xf numFmtId="1" fontId="6" fillId="5" borderId="1837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65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494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424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103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640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076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15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152" xfId="0" applyNumberFormat="1" applyFont="1" applyFill="1" applyBorder="1" applyAlignment="1" applyProtection="1">
      <alignment horizontal="center" vertical="center" wrapText="1"/>
      <protection locked="0"/>
    </xf>
    <xf numFmtId="1" fontId="6" fillId="12" borderId="1151" xfId="0" applyNumberFormat="1" applyFont="1" applyFill="1" applyBorder="1" applyAlignment="1">
      <alignment horizontal="center" vertical="center" wrapText="1"/>
    </xf>
    <xf numFmtId="1" fontId="6" fillId="5" borderId="1677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768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928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2010" xfId="0" applyNumberFormat="1" applyFont="1" applyBorder="1" applyAlignment="1">
      <alignment horizontal="center" vertical="center" wrapText="1"/>
    </xf>
    <xf numFmtId="1" fontId="6" fillId="0" borderId="2005" xfId="0" applyNumberFormat="1" applyFont="1" applyBorder="1" applyAlignment="1">
      <alignment horizontal="center" vertical="center" wrapText="1"/>
    </xf>
    <xf numFmtId="1" fontId="6" fillId="0" borderId="2108" xfId="0" applyNumberFormat="1" applyFont="1" applyBorder="1" applyAlignment="1">
      <alignment horizontal="center" vertical="center" wrapText="1"/>
    </xf>
    <xf numFmtId="1" fontId="6" fillId="5" borderId="1044" xfId="28" applyNumberFormat="1" applyFont="1" applyFill="1" applyBorder="1" applyProtection="1">
      <protection locked="0"/>
    </xf>
    <xf numFmtId="1" fontId="6" fillId="5" borderId="1834" xfId="28" applyNumberFormat="1" applyFont="1" applyFill="1" applyBorder="1" applyProtection="1">
      <protection locked="0"/>
    </xf>
    <xf numFmtId="1" fontId="6" fillId="3" borderId="224" xfId="0" applyNumberFormat="1" applyFont="1" applyFill="1" applyBorder="1" applyAlignment="1">
      <alignment horizontal="center" vertical="center"/>
    </xf>
    <xf numFmtId="1" fontId="6" fillId="3" borderId="1556" xfId="0" applyNumberFormat="1" applyFont="1" applyFill="1" applyBorder="1" applyAlignment="1">
      <alignment horizontal="center" vertical="center" wrapText="1"/>
    </xf>
    <xf numFmtId="1" fontId="6" fillId="0" borderId="1565" xfId="0" applyNumberFormat="1" applyFont="1" applyBorder="1" applyAlignment="1">
      <alignment horizontal="center" vertical="center" wrapText="1"/>
    </xf>
    <xf numFmtId="1" fontId="6" fillId="0" borderId="1844" xfId="0" applyNumberFormat="1" applyFont="1" applyBorder="1" applyAlignment="1">
      <alignment horizontal="right"/>
    </xf>
    <xf numFmtId="1" fontId="6" fillId="0" borderId="1845" xfId="0" applyNumberFormat="1" applyFont="1" applyBorder="1" applyAlignment="1">
      <alignment horizontal="right"/>
    </xf>
    <xf numFmtId="1" fontId="6" fillId="0" borderId="1846" xfId="0" applyNumberFormat="1" applyFont="1" applyBorder="1" applyAlignment="1">
      <alignment horizontal="right"/>
    </xf>
    <xf numFmtId="1" fontId="6" fillId="5" borderId="1844" xfId="0" applyNumberFormat="1" applyFont="1" applyFill="1" applyBorder="1" applyProtection="1">
      <protection locked="0"/>
    </xf>
    <xf numFmtId="1" fontId="6" fillId="5" borderId="1846" xfId="0" applyNumberFormat="1" applyFont="1" applyFill="1" applyBorder="1" applyProtection="1">
      <protection locked="0"/>
    </xf>
    <xf numFmtId="1" fontId="6" fillId="5" borderId="1702" xfId="0" applyNumberFormat="1" applyFont="1" applyFill="1" applyBorder="1" applyProtection="1">
      <protection locked="0"/>
    </xf>
    <xf numFmtId="1" fontId="6" fillId="5" borderId="2108" xfId="0" applyNumberFormat="1" applyFont="1" applyFill="1" applyBorder="1" applyProtection="1">
      <protection locked="0"/>
    </xf>
    <xf numFmtId="1" fontId="6" fillId="5" borderId="1896" xfId="0" applyNumberFormat="1" applyFont="1" applyFill="1" applyBorder="1" applyProtection="1">
      <protection locked="0"/>
    </xf>
    <xf numFmtId="1" fontId="6" fillId="5" borderId="2113" xfId="0" applyNumberFormat="1" applyFont="1" applyFill="1" applyBorder="1" applyProtection="1">
      <protection locked="0"/>
    </xf>
    <xf numFmtId="1" fontId="53" fillId="3" borderId="0" xfId="0" applyNumberFormat="1" applyFont="1" applyFill="1" applyAlignment="1" applyProtection="1">
      <alignment horizontal="right"/>
      <protection locked="0"/>
    </xf>
    <xf numFmtId="1" fontId="53" fillId="3" borderId="0" xfId="0" applyNumberFormat="1" applyFont="1" applyFill="1" applyAlignment="1">
      <alignment horizontal="right"/>
    </xf>
    <xf numFmtId="1" fontId="49" fillId="3" borderId="0" xfId="0" applyNumberFormat="1" applyFont="1" applyFill="1" applyAlignment="1">
      <alignment vertical="center"/>
    </xf>
    <xf numFmtId="1" fontId="6" fillId="5" borderId="1832" xfId="0" applyNumberFormat="1" applyFont="1" applyFill="1" applyBorder="1" applyProtection="1">
      <protection locked="0"/>
    </xf>
    <xf numFmtId="1" fontId="6" fillId="4" borderId="1884" xfId="0" applyNumberFormat="1" applyFont="1" applyFill="1" applyBorder="1"/>
    <xf numFmtId="1" fontId="6" fillId="4" borderId="1694" xfId="0" applyNumberFormat="1" applyFont="1" applyFill="1" applyBorder="1"/>
    <xf numFmtId="1" fontId="6" fillId="4" borderId="1658" xfId="0" applyNumberFormat="1" applyFont="1" applyFill="1" applyBorder="1"/>
    <xf numFmtId="1" fontId="6" fillId="4" borderId="1612" xfId="0" applyNumberFormat="1" applyFont="1" applyFill="1" applyBorder="1"/>
    <xf numFmtId="1" fontId="6" fillId="4" borderId="1834" xfId="0" applyNumberFormat="1" applyFont="1" applyFill="1" applyBorder="1"/>
    <xf numFmtId="1" fontId="6" fillId="0" borderId="2092" xfId="0" applyNumberFormat="1" applyFont="1" applyBorder="1"/>
    <xf numFmtId="1" fontId="6" fillId="0" borderId="2113" xfId="0" applyNumberFormat="1" applyFont="1" applyBorder="1"/>
    <xf numFmtId="1" fontId="9" fillId="38" borderId="0" xfId="0" applyNumberFormat="1" applyFont="1" applyFill="1"/>
    <xf numFmtId="1" fontId="9" fillId="38" borderId="0" xfId="0" applyNumberFormat="1" applyFont="1" applyFill="1" applyProtection="1">
      <protection locked="0"/>
    </xf>
    <xf numFmtId="1" fontId="9" fillId="14" borderId="0" xfId="0" applyNumberFormat="1" applyFont="1" applyFill="1" applyAlignment="1" applyProtection="1">
      <alignment wrapText="1"/>
      <protection locked="0"/>
    </xf>
    <xf numFmtId="1" fontId="6" fillId="12" borderId="969" xfId="0" applyNumberFormat="1" applyFont="1" applyFill="1" applyBorder="1"/>
    <xf numFmtId="1" fontId="6" fillId="14" borderId="0" xfId="0" applyNumberFormat="1" applyFont="1" applyFill="1" applyAlignment="1" applyProtection="1">
      <alignment vertical="top" wrapText="1"/>
      <protection locked="0"/>
    </xf>
    <xf numFmtId="0" fontId="38" fillId="14" borderId="0" xfId="0" applyFont="1" applyFill="1" applyAlignment="1" applyProtection="1">
      <alignment vertical="top" wrapText="1"/>
      <protection locked="0"/>
    </xf>
    <xf numFmtId="1" fontId="6" fillId="14" borderId="0" xfId="0" applyNumberFormat="1" applyFont="1" applyFill="1" applyAlignment="1" applyProtection="1">
      <alignment wrapText="1"/>
      <protection locked="0"/>
    </xf>
    <xf numFmtId="1" fontId="6" fillId="0" borderId="0" xfId="0" applyNumberFormat="1" applyFont="1" applyAlignment="1" applyProtection="1">
      <alignment wrapText="1"/>
      <protection locked="0"/>
    </xf>
    <xf numFmtId="1" fontId="6" fillId="0" borderId="1222" xfId="0" applyNumberFormat="1" applyFont="1" applyBorder="1" applyAlignment="1" applyProtection="1">
      <alignment wrapText="1"/>
      <protection locked="0"/>
    </xf>
    <xf numFmtId="0" fontId="38" fillId="0" borderId="0" xfId="0" applyFont="1" applyProtection="1">
      <protection locked="0"/>
    </xf>
    <xf numFmtId="1" fontId="6" fillId="39" borderId="0" xfId="0" applyNumberFormat="1" applyFont="1" applyFill="1" applyProtection="1">
      <protection locked="0"/>
    </xf>
    <xf numFmtId="1" fontId="38" fillId="39" borderId="0" xfId="0" applyNumberFormat="1" applyFont="1" applyFill="1" applyProtection="1">
      <protection locked="0"/>
    </xf>
    <xf numFmtId="1" fontId="38" fillId="39" borderId="0" xfId="0" applyNumberFormat="1" applyFont="1" applyFill="1"/>
    <xf numFmtId="1" fontId="9" fillId="39" borderId="0" xfId="0" applyNumberFormat="1" applyFont="1" applyFill="1" applyProtection="1">
      <protection locked="0"/>
    </xf>
    <xf numFmtId="0" fontId="0" fillId="17" borderId="0" xfId="0" applyFill="1"/>
    <xf numFmtId="1" fontId="6" fillId="17" borderId="0" xfId="0" applyNumberFormat="1" applyFont="1" applyFill="1"/>
    <xf numFmtId="1" fontId="9" fillId="39" borderId="0" xfId="0" applyNumberFormat="1" applyFont="1" applyFill="1"/>
    <xf numFmtId="1" fontId="6" fillId="39" borderId="0" xfId="0" applyNumberFormat="1" applyFont="1" applyFill="1"/>
    <xf numFmtId="1" fontId="6" fillId="18" borderId="0" xfId="0" applyNumberFormat="1" applyFont="1" applyFill="1" applyProtection="1">
      <protection locked="0"/>
    </xf>
    <xf numFmtId="1" fontId="6" fillId="0" borderId="1675" xfId="0" applyNumberFormat="1" applyFont="1" applyBorder="1"/>
    <xf numFmtId="1" fontId="6" fillId="0" borderId="1675" xfId="0" applyNumberFormat="1" applyFont="1" applyBorder="1" applyAlignment="1">
      <alignment wrapText="1"/>
    </xf>
    <xf numFmtId="1" fontId="6" fillId="3" borderId="724" xfId="0" applyNumberFormat="1" applyFont="1" applyFill="1" applyBorder="1"/>
    <xf numFmtId="1" fontId="6" fillId="0" borderId="2119" xfId="0" applyNumberFormat="1" applyFont="1" applyBorder="1" applyAlignment="1">
      <alignment horizontal="center" vertical="center"/>
    </xf>
    <xf numFmtId="1" fontId="6" fillId="0" borderId="1838" xfId="0" applyNumberFormat="1" applyFont="1" applyBorder="1" applyAlignment="1">
      <alignment vertical="center" wrapText="1"/>
    </xf>
    <xf numFmtId="1" fontId="6" fillId="5" borderId="2128" xfId="0" applyNumberFormat="1" applyFont="1" applyFill="1" applyBorder="1" applyProtection="1">
      <protection locked="0"/>
    </xf>
    <xf numFmtId="1" fontId="6" fillId="5" borderId="1897" xfId="0" applyNumberFormat="1" applyFont="1" applyFill="1" applyBorder="1" applyProtection="1">
      <protection locked="0"/>
    </xf>
    <xf numFmtId="1" fontId="6" fillId="5" borderId="1811" xfId="0" applyNumberFormat="1" applyFont="1" applyFill="1" applyBorder="1" applyProtection="1">
      <protection locked="0"/>
    </xf>
    <xf numFmtId="1" fontId="6" fillId="5" borderId="917" xfId="0" applyNumberFormat="1" applyFont="1" applyFill="1" applyBorder="1" applyProtection="1">
      <protection locked="0"/>
    </xf>
    <xf numFmtId="1" fontId="6" fillId="3" borderId="1838" xfId="0" applyNumberFormat="1" applyFont="1" applyFill="1" applyBorder="1" applyAlignment="1">
      <alignment horizontal="right" wrapText="1"/>
    </xf>
    <xf numFmtId="1" fontId="6" fillId="0" borderId="1832" xfId="0" applyNumberFormat="1" applyFont="1" applyBorder="1"/>
    <xf numFmtId="1" fontId="6" fillId="0" borderId="1838" xfId="0" applyNumberFormat="1" applyFont="1" applyBorder="1"/>
    <xf numFmtId="1" fontId="6" fillId="0" borderId="1640" xfId="0" applyNumberFormat="1" applyFont="1" applyBorder="1" applyAlignment="1">
      <alignment vertical="center" wrapText="1"/>
    </xf>
    <xf numFmtId="1" fontId="6" fillId="4" borderId="1836" xfId="0" applyNumberFormat="1" applyFont="1" applyFill="1" applyBorder="1"/>
    <xf numFmtId="1" fontId="6" fillId="5" borderId="1720" xfId="0" applyNumberFormat="1" applyFont="1" applyFill="1" applyBorder="1" applyProtection="1">
      <protection locked="0"/>
    </xf>
    <xf numFmtId="1" fontId="6" fillId="5" borderId="1838" xfId="0" applyNumberFormat="1" applyFont="1" applyFill="1" applyBorder="1" applyProtection="1">
      <protection locked="0"/>
    </xf>
    <xf numFmtId="1" fontId="6" fillId="5" borderId="1845" xfId="0" applyNumberFormat="1" applyFont="1" applyFill="1" applyBorder="1" applyProtection="1">
      <protection locked="0"/>
    </xf>
    <xf numFmtId="1" fontId="6" fillId="5" borderId="1928" xfId="0" applyNumberFormat="1" applyFont="1" applyFill="1" applyBorder="1" applyProtection="1">
      <protection locked="0"/>
    </xf>
    <xf numFmtId="1" fontId="6" fillId="0" borderId="2092" xfId="0" applyNumberFormat="1" applyFont="1" applyBorder="1" applyAlignment="1">
      <alignment horizontal="center" vertical="center" wrapText="1"/>
    </xf>
    <xf numFmtId="1" fontId="6" fillId="0" borderId="1675" xfId="0" applyNumberFormat="1" applyFont="1" applyBorder="1" applyAlignment="1">
      <alignment horizontal="left"/>
    </xf>
    <xf numFmtId="1" fontId="6" fillId="5" borderId="1659" xfId="0" applyNumberFormat="1" applyFont="1" applyFill="1" applyBorder="1" applyAlignment="1" applyProtection="1">
      <alignment wrapText="1"/>
      <protection locked="0"/>
    </xf>
    <xf numFmtId="1" fontId="6" fillId="5" borderId="1836" xfId="0" applyNumberFormat="1" applyFont="1" applyFill="1" applyBorder="1" applyAlignment="1" applyProtection="1">
      <alignment wrapText="1"/>
      <protection locked="0"/>
    </xf>
    <xf numFmtId="1" fontId="6" fillId="5" borderId="1675" xfId="0" applyNumberFormat="1" applyFont="1" applyFill="1" applyBorder="1" applyAlignment="1" applyProtection="1">
      <alignment wrapText="1"/>
      <protection locked="0"/>
    </xf>
    <xf numFmtId="1" fontId="6" fillId="3" borderId="1841" xfId="0" applyNumberFormat="1" applyFont="1" applyFill="1" applyBorder="1"/>
    <xf numFmtId="1" fontId="6" fillId="3" borderId="2123" xfId="0" applyNumberFormat="1" applyFont="1" applyFill="1" applyBorder="1"/>
    <xf numFmtId="1" fontId="6" fillId="5" borderId="2142" xfId="0" applyNumberFormat="1" applyFont="1" applyFill="1" applyBorder="1" applyProtection="1">
      <protection locked="0"/>
    </xf>
    <xf numFmtId="1" fontId="6" fillId="0" borderId="1838" xfId="0" applyNumberFormat="1" applyFont="1" applyBorder="1" applyAlignment="1">
      <alignment horizontal="left" vertical="center" wrapText="1"/>
    </xf>
    <xf numFmtId="1" fontId="6" fillId="5" borderId="1666" xfId="0" applyNumberFormat="1" applyFont="1" applyFill="1" applyBorder="1" applyProtection="1">
      <protection locked="0"/>
    </xf>
    <xf numFmtId="1" fontId="6" fillId="3" borderId="1837" xfId="0" applyNumberFormat="1" applyFont="1" applyFill="1" applyBorder="1" applyAlignment="1">
      <alignment horizontal="right" wrapText="1"/>
    </xf>
    <xf numFmtId="1" fontId="6" fillId="3" borderId="1844" xfId="0" applyNumberFormat="1" applyFont="1" applyFill="1" applyBorder="1" applyAlignment="1">
      <alignment horizontal="right" wrapText="1"/>
    </xf>
    <xf numFmtId="1" fontId="6" fillId="0" borderId="2158" xfId="0" applyNumberFormat="1" applyFont="1" applyBorder="1"/>
    <xf numFmtId="1" fontId="6" fillId="0" borderId="1838" xfId="0" applyNumberFormat="1" applyFont="1" applyBorder="1" applyAlignment="1">
      <alignment horizontal="left"/>
    </xf>
    <xf numFmtId="1" fontId="6" fillId="0" borderId="1838" xfId="0" applyNumberFormat="1" applyFont="1" applyBorder="1" applyAlignment="1">
      <alignment horizontal="left" vertical="center"/>
    </xf>
    <xf numFmtId="1" fontId="6" fillId="3" borderId="1647" xfId="0" applyNumberFormat="1" applyFont="1" applyFill="1" applyBorder="1"/>
    <xf numFmtId="0" fontId="6" fillId="0" borderId="1675" xfId="0" applyFont="1" applyBorder="1" applyAlignment="1">
      <alignment vertical="center" wrapText="1"/>
    </xf>
    <xf numFmtId="1" fontId="58" fillId="38" borderId="0" xfId="0" applyNumberFormat="1" applyFont="1" applyFill="1" applyAlignment="1">
      <alignment wrapText="1"/>
    </xf>
    <xf numFmtId="1" fontId="59" fillId="38" borderId="0" xfId="0" applyNumberFormat="1" applyFont="1" applyFill="1" applyAlignment="1">
      <alignment wrapText="1"/>
    </xf>
    <xf numFmtId="1" fontId="60" fillId="38" borderId="0" xfId="0" applyNumberFormat="1" applyFont="1" applyFill="1" applyAlignment="1">
      <alignment wrapText="1"/>
    </xf>
    <xf numFmtId="1" fontId="38" fillId="42" borderId="0" xfId="0" applyNumberFormat="1" applyFont="1" applyFill="1" applyProtection="1">
      <protection locked="0"/>
    </xf>
    <xf numFmtId="1" fontId="38" fillId="42" borderId="0" xfId="0" applyNumberFormat="1" applyFont="1" applyFill="1"/>
    <xf numFmtId="1" fontId="6" fillId="0" borderId="762" xfId="0" applyNumberFormat="1" applyFont="1" applyBorder="1" applyAlignment="1">
      <alignment horizontal="center" vertical="center" wrapText="1"/>
    </xf>
    <xf numFmtId="1" fontId="6" fillId="0" borderId="510" xfId="0" applyNumberFormat="1" applyFont="1" applyBorder="1" applyAlignment="1">
      <alignment horizontal="center" vertical="center" wrapText="1"/>
    </xf>
    <xf numFmtId="1" fontId="6" fillId="0" borderId="1644" xfId="0" applyNumberFormat="1" applyFont="1" applyBorder="1" applyAlignment="1">
      <alignment horizontal="center" vertical="center" wrapText="1"/>
    </xf>
    <xf numFmtId="1" fontId="6" fillId="0" borderId="694" xfId="0" applyNumberFormat="1" applyFont="1" applyBorder="1" applyAlignment="1">
      <alignment horizontal="center" vertical="center" wrapText="1"/>
    </xf>
    <xf numFmtId="1" fontId="6" fillId="0" borderId="1673" xfId="0" applyNumberFormat="1" applyFont="1" applyBorder="1" applyAlignment="1">
      <alignment horizontal="center" vertical="center" wrapText="1"/>
    </xf>
    <xf numFmtId="1" fontId="6" fillId="0" borderId="1658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223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1" fontId="6" fillId="0" borderId="1138" xfId="0" applyNumberFormat="1" applyFont="1" applyBorder="1" applyAlignment="1">
      <alignment horizontal="center" vertical="center"/>
    </xf>
    <xf numFmtId="1" fontId="6" fillId="0" borderId="1615" xfId="0" applyNumberFormat="1" applyFont="1" applyBorder="1" applyAlignment="1">
      <alignment horizontal="center" vertical="center" wrapText="1"/>
    </xf>
    <xf numFmtId="1" fontId="6" fillId="0" borderId="1230" xfId="0" applyNumberFormat="1" applyFont="1" applyBorder="1" applyAlignment="1">
      <alignment horizontal="center" vertical="center" wrapText="1"/>
    </xf>
    <xf numFmtId="1" fontId="6" fillId="0" borderId="1232" xfId="0" applyNumberFormat="1" applyFont="1" applyBorder="1" applyAlignment="1">
      <alignment horizontal="center" vertical="center" wrapText="1"/>
    </xf>
    <xf numFmtId="1" fontId="6" fillId="0" borderId="1231" xfId="0" applyNumberFormat="1" applyFont="1" applyBorder="1" applyAlignment="1">
      <alignment horizontal="center" vertical="center" wrapText="1"/>
    </xf>
    <xf numFmtId="1" fontId="6" fillId="0" borderId="40" xfId="0" applyNumberFormat="1" applyFont="1" applyBorder="1" applyAlignment="1">
      <alignment horizontal="left" vertical="center"/>
    </xf>
    <xf numFmtId="1" fontId="6" fillId="0" borderId="40" xfId="0" applyNumberFormat="1" applyFont="1" applyBorder="1" applyAlignment="1">
      <alignment horizontal="left"/>
    </xf>
    <xf numFmtId="1" fontId="6" fillId="0" borderId="1280" xfId="0" applyNumberFormat="1" applyFont="1" applyBorder="1" applyAlignment="1">
      <alignment horizontal="center" vertical="center"/>
    </xf>
    <xf numFmtId="1" fontId="6" fillId="0" borderId="205" xfId="0" applyNumberFormat="1" applyFont="1" applyBorder="1" applyAlignment="1">
      <alignment horizontal="center" vertical="center"/>
    </xf>
    <xf numFmtId="1" fontId="6" fillId="0" borderId="2123" xfId="0" applyNumberFormat="1" applyFont="1" applyBorder="1" applyAlignment="1">
      <alignment horizontal="center" vertical="center" wrapText="1"/>
    </xf>
    <xf numFmtId="1" fontId="6" fillId="0" borderId="40" xfId="0" applyNumberFormat="1" applyFont="1" applyBorder="1" applyAlignment="1">
      <alignment wrapText="1"/>
    </xf>
    <xf numFmtId="1" fontId="6" fillId="0" borderId="286" xfId="0" applyNumberFormat="1" applyFont="1" applyBorder="1"/>
    <xf numFmtId="1" fontId="6" fillId="0" borderId="23" xfId="0" applyNumberFormat="1" applyFont="1" applyBorder="1" applyAlignment="1">
      <alignment wrapText="1"/>
    </xf>
    <xf numFmtId="1" fontId="6" fillId="0" borderId="1299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/>
    </xf>
    <xf numFmtId="1" fontId="6" fillId="0" borderId="23" xfId="0" applyNumberFormat="1" applyFont="1" applyBorder="1" applyAlignment="1">
      <alignment horizontal="left" vertical="center"/>
    </xf>
    <xf numFmtId="1" fontId="6" fillId="0" borderId="1670" xfId="0" applyNumberFormat="1" applyFont="1" applyBorder="1" applyAlignment="1">
      <alignment horizontal="center" vertical="center" wrapText="1"/>
    </xf>
    <xf numFmtId="1" fontId="6" fillId="0" borderId="1670" xfId="0" applyNumberFormat="1" applyFont="1" applyBorder="1" applyAlignment="1">
      <alignment horizontal="center" vertical="center"/>
    </xf>
    <xf numFmtId="1" fontId="6" fillId="0" borderId="1404" xfId="0" applyNumberFormat="1" applyFont="1" applyBorder="1" applyAlignment="1">
      <alignment horizontal="center" vertical="center" wrapText="1"/>
    </xf>
    <xf numFmtId="1" fontId="6" fillId="3" borderId="734" xfId="0" applyNumberFormat="1" applyFont="1" applyFill="1" applyBorder="1" applyAlignment="1">
      <alignment horizontal="center" vertical="center"/>
    </xf>
    <xf numFmtId="1" fontId="6" fillId="14" borderId="1884" xfId="0" applyNumberFormat="1" applyFont="1" applyFill="1" applyBorder="1" applyAlignment="1">
      <alignment horizontal="center" vertical="center" wrapText="1"/>
    </xf>
    <xf numFmtId="1" fontId="6" fillId="0" borderId="1519" xfId="0" applyNumberFormat="1" applyFont="1" applyBorder="1" applyAlignment="1">
      <alignment horizontal="center" vertical="center"/>
    </xf>
    <xf numFmtId="1" fontId="6" fillId="0" borderId="653" xfId="0" applyNumberFormat="1" applyFont="1" applyBorder="1" applyAlignment="1">
      <alignment horizontal="center" vertical="center" wrapText="1"/>
    </xf>
    <xf numFmtId="1" fontId="6" fillId="0" borderId="1659" xfId="0" applyNumberFormat="1" applyFont="1" applyBorder="1" applyAlignment="1">
      <alignment horizontal="left" vertical="center"/>
    </xf>
    <xf numFmtId="1" fontId="6" fillId="3" borderId="31" xfId="0" applyNumberFormat="1" applyFont="1" applyFill="1" applyBorder="1" applyAlignment="1">
      <alignment horizontal="left" vertical="center" wrapText="1"/>
    </xf>
    <xf numFmtId="1" fontId="6" fillId="0" borderId="1835" xfId="0" applyNumberFormat="1" applyFont="1" applyBorder="1" applyAlignment="1">
      <alignment horizontal="center" vertical="center" wrapText="1"/>
    </xf>
    <xf numFmtId="1" fontId="6" fillId="0" borderId="135" xfId="0" applyNumberFormat="1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left" vertical="center" wrapText="1"/>
    </xf>
    <xf numFmtId="1" fontId="6" fillId="0" borderId="861" xfId="0" applyNumberFormat="1" applyFont="1" applyBorder="1" applyAlignment="1">
      <alignment horizontal="center" vertical="center" wrapText="1"/>
    </xf>
    <xf numFmtId="1" fontId="6" fillId="0" borderId="2160" xfId="0" applyNumberFormat="1" applyFont="1" applyBorder="1" applyAlignment="1">
      <alignment horizontal="center" vertical="center" wrapText="1"/>
    </xf>
    <xf numFmtId="1" fontId="6" fillId="0" borderId="2164" xfId="0" applyNumberFormat="1" applyFont="1" applyBorder="1" applyAlignment="1">
      <alignment horizontal="center" vertical="center" wrapText="1"/>
    </xf>
    <xf numFmtId="0" fontId="6" fillId="0" borderId="590" xfId="0" applyFont="1" applyBorder="1" applyAlignment="1">
      <alignment horizontal="left" vertical="center" wrapText="1"/>
    </xf>
    <xf numFmtId="1" fontId="6" fillId="0" borderId="941" xfId="0" applyNumberFormat="1" applyFont="1" applyBorder="1" applyAlignment="1">
      <alignment horizontal="center" vertical="center" wrapText="1"/>
    </xf>
    <xf numFmtId="1" fontId="6" fillId="0" borderId="941" xfId="0" applyNumberFormat="1" applyFont="1" applyBorder="1" applyAlignment="1">
      <alignment horizontal="center" vertical="center"/>
    </xf>
    <xf numFmtId="1" fontId="6" fillId="0" borderId="1406" xfId="0" applyNumberFormat="1" applyFont="1" applyBorder="1" applyAlignment="1">
      <alignment horizontal="center" vertical="center" wrapText="1"/>
    </xf>
    <xf numFmtId="1" fontId="6" fillId="5" borderId="1592" xfId="0" applyNumberFormat="1" applyFont="1" applyFill="1" applyBorder="1" applyProtection="1">
      <protection locked="0"/>
    </xf>
    <xf numFmtId="1" fontId="6" fillId="5" borderId="2174" xfId="0" applyNumberFormat="1" applyFont="1" applyFill="1" applyBorder="1" applyProtection="1">
      <protection locked="0"/>
    </xf>
    <xf numFmtId="1" fontId="6" fillId="4" borderId="2170" xfId="0" applyNumberFormat="1" applyFont="1" applyFill="1" applyBorder="1"/>
    <xf numFmtId="1" fontId="6" fillId="4" borderId="1805" xfId="0" applyNumberFormat="1" applyFont="1" applyFill="1" applyBorder="1"/>
    <xf numFmtId="1" fontId="6" fillId="0" borderId="1827" xfId="0" applyNumberFormat="1" applyFont="1" applyBorder="1"/>
    <xf numFmtId="1" fontId="6" fillId="4" borderId="1662" xfId="0" applyNumberFormat="1" applyFont="1" applyFill="1" applyBorder="1"/>
    <xf numFmtId="1" fontId="6" fillId="0" borderId="2155" xfId="0" applyNumberFormat="1" applyFont="1" applyBorder="1"/>
    <xf numFmtId="1" fontId="6" fillId="3" borderId="2155" xfId="0" applyNumberFormat="1" applyFont="1" applyFill="1" applyBorder="1"/>
    <xf numFmtId="1" fontId="6" fillId="4" borderId="1634" xfId="0" applyNumberFormat="1" applyFont="1" applyFill="1" applyBorder="1"/>
    <xf numFmtId="1" fontId="6" fillId="4" borderId="1650" xfId="0" applyNumberFormat="1" applyFont="1" applyFill="1" applyBorder="1"/>
    <xf numFmtId="1" fontId="6" fillId="5" borderId="1884" xfId="0" applyNumberFormat="1" applyFont="1" applyFill="1" applyBorder="1" applyProtection="1">
      <protection locked="0"/>
    </xf>
    <xf numFmtId="1" fontId="6" fillId="3" borderId="2175" xfId="0" applyNumberFormat="1" applyFont="1" applyFill="1" applyBorder="1"/>
    <xf numFmtId="1" fontId="6" fillId="3" borderId="1498" xfId="14" applyNumberFormat="1" applyFont="1" applyFill="1" applyBorder="1" applyAlignment="1">
      <alignment horizontal="right"/>
    </xf>
    <xf numFmtId="1" fontId="6" fillId="3" borderId="1676" xfId="14" applyNumberFormat="1" applyFont="1" applyFill="1" applyBorder="1" applyAlignment="1">
      <alignment horizontal="right"/>
    </xf>
    <xf numFmtId="1" fontId="6" fillId="3" borderId="1496" xfId="14" applyNumberFormat="1" applyFont="1" applyFill="1" applyBorder="1" applyAlignment="1">
      <alignment horizontal="right"/>
    </xf>
    <xf numFmtId="1" fontId="6" fillId="15" borderId="1674" xfId="0" applyNumberFormat="1" applyFont="1" applyFill="1" applyBorder="1" applyProtection="1">
      <protection locked="0"/>
    </xf>
    <xf numFmtId="1" fontId="6" fillId="15" borderId="1496" xfId="0" applyNumberFormat="1" applyFont="1" applyFill="1" applyBorder="1" applyProtection="1">
      <protection locked="0"/>
    </xf>
    <xf numFmtId="1" fontId="6" fillId="15" borderId="1498" xfId="0" applyNumberFormat="1" applyFont="1" applyFill="1" applyBorder="1" applyProtection="1">
      <protection locked="0"/>
    </xf>
    <xf numFmtId="1" fontId="6" fillId="15" borderId="1676" xfId="0" applyNumberFormat="1" applyFont="1" applyFill="1" applyBorder="1" applyProtection="1">
      <protection locked="0"/>
    </xf>
    <xf numFmtId="1" fontId="6" fillId="15" borderId="1542" xfId="0" applyNumberFormat="1" applyFont="1" applyFill="1" applyBorder="1" applyProtection="1">
      <protection locked="0"/>
    </xf>
    <xf numFmtId="1" fontId="6" fillId="0" borderId="2175" xfId="0" applyNumberFormat="1" applyFont="1" applyBorder="1" applyAlignment="1">
      <alignment horizontal="left" vertical="center" wrapText="1"/>
    </xf>
    <xf numFmtId="1" fontId="6" fillId="5" borderId="2176" xfId="0" applyNumberFormat="1" applyFont="1" applyFill="1" applyBorder="1" applyProtection="1">
      <protection locked="0"/>
    </xf>
    <xf numFmtId="1" fontId="6" fillId="15" borderId="2176" xfId="0" applyNumberFormat="1" applyFont="1" applyFill="1" applyBorder="1" applyProtection="1">
      <protection locked="0"/>
    </xf>
    <xf numFmtId="1" fontId="6" fillId="15" borderId="1692" xfId="0" applyNumberFormat="1" applyFont="1" applyFill="1" applyBorder="1" applyProtection="1">
      <protection locked="0"/>
    </xf>
    <xf numFmtId="1" fontId="6" fillId="15" borderId="1709" xfId="0" applyNumberFormat="1" applyFont="1" applyFill="1" applyBorder="1" applyProtection="1">
      <protection locked="0"/>
    </xf>
    <xf numFmtId="1" fontId="6" fillId="15" borderId="1658" xfId="0" applyNumberFormat="1" applyFont="1" applyFill="1" applyBorder="1" applyProtection="1">
      <protection locked="0"/>
    </xf>
    <xf numFmtId="1" fontId="6" fillId="15" borderId="934" xfId="0" applyNumberFormat="1" applyFont="1" applyFill="1" applyBorder="1" applyProtection="1">
      <protection locked="0"/>
    </xf>
    <xf numFmtId="1" fontId="6" fillId="0" borderId="577" xfId="0" applyNumberFormat="1" applyFont="1" applyBorder="1" applyAlignment="1">
      <alignment horizontal="center" vertical="center" wrapText="1"/>
    </xf>
    <xf numFmtId="1" fontId="4" fillId="3" borderId="1668" xfId="0" applyNumberFormat="1" applyFont="1" applyFill="1" applyBorder="1"/>
    <xf numFmtId="1" fontId="6" fillId="0" borderId="1044" xfId="23" applyNumberFormat="1" applyFont="1" applyBorder="1" applyAlignment="1">
      <alignment horizontal="left" vertical="center" wrapText="1"/>
    </xf>
    <xf numFmtId="1" fontId="6" fillId="0" borderId="1118" xfId="23" applyNumberFormat="1" applyFont="1" applyBorder="1" applyAlignment="1">
      <alignment horizontal="left" vertical="center" wrapText="1"/>
    </xf>
    <xf numFmtId="1" fontId="6" fillId="0" borderId="1104" xfId="23" applyNumberFormat="1" applyFont="1" applyBorder="1" applyAlignment="1">
      <alignment horizontal="left" vertical="center" wrapText="1"/>
    </xf>
    <xf numFmtId="1" fontId="6" fillId="0" borderId="1242" xfId="23" applyNumberFormat="1" applyFont="1" applyBorder="1" applyAlignment="1">
      <alignment horizontal="left" vertical="center" wrapText="1"/>
    </xf>
    <xf numFmtId="1" fontId="6" fillId="0" borderId="1078" xfId="23" applyNumberFormat="1" applyFont="1" applyBorder="1" applyAlignment="1">
      <alignment horizontal="left" vertical="center" wrapText="1"/>
    </xf>
    <xf numFmtId="0" fontId="6" fillId="0" borderId="1826" xfId="0" applyFont="1" applyBorder="1" applyAlignment="1">
      <alignment horizontal="center" vertical="center"/>
    </xf>
    <xf numFmtId="1" fontId="6" fillId="0" borderId="1677" xfId="0" applyNumberFormat="1" applyFont="1" applyBorder="1" applyAlignment="1">
      <alignment horizontal="center" vertical="center" wrapText="1"/>
    </xf>
    <xf numFmtId="1" fontId="6" fillId="0" borderId="1699" xfId="0" applyNumberFormat="1" applyFont="1" applyBorder="1" applyAlignment="1">
      <alignment horizontal="center" vertical="center"/>
    </xf>
    <xf numFmtId="0" fontId="6" fillId="0" borderId="1828" xfId="0" applyFont="1" applyBorder="1" applyAlignment="1">
      <alignment vertical="center" wrapText="1"/>
    </xf>
    <xf numFmtId="1" fontId="6" fillId="0" borderId="1840" xfId="0" applyNumberFormat="1" applyFont="1" applyBorder="1"/>
    <xf numFmtId="1" fontId="6" fillId="0" borderId="1805" xfId="0" applyNumberFormat="1" applyFont="1" applyBorder="1"/>
    <xf numFmtId="1" fontId="6" fillId="0" borderId="1837" xfId="0" applyNumberFormat="1" applyFont="1" applyBorder="1"/>
    <xf numFmtId="1" fontId="6" fillId="0" borderId="1074" xfId="0" applyNumberFormat="1" applyFont="1" applyBorder="1"/>
    <xf numFmtId="0" fontId="6" fillId="0" borderId="1685" xfId="0" applyFont="1" applyBorder="1" applyAlignment="1">
      <alignment vertical="center" wrapText="1"/>
    </xf>
    <xf numFmtId="1" fontId="6" fillId="0" borderId="1720" xfId="0" applyNumberFormat="1" applyFont="1" applyBorder="1"/>
    <xf numFmtId="1" fontId="6" fillId="0" borderId="1658" xfId="0" applyNumberFormat="1" applyFont="1" applyBorder="1"/>
    <xf numFmtId="1" fontId="6" fillId="0" borderId="1644" xfId="0" applyNumberFormat="1" applyFont="1" applyBorder="1"/>
    <xf numFmtId="0" fontId="6" fillId="0" borderId="1647" xfId="0" applyFont="1" applyBorder="1" applyAlignment="1">
      <alignment vertical="center" wrapText="1"/>
    </xf>
    <xf numFmtId="0" fontId="6" fillId="0" borderId="1737" xfId="0" applyFont="1" applyBorder="1" applyAlignment="1">
      <alignment vertical="center" wrapText="1"/>
    </xf>
    <xf numFmtId="1" fontId="6" fillId="0" borderId="1677" xfId="0" applyNumberFormat="1" applyFont="1" applyBorder="1" applyAlignment="1">
      <alignment horizontal="center" vertical="center"/>
    </xf>
    <xf numFmtId="1" fontId="6" fillId="0" borderId="1871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vertical="center"/>
    </xf>
    <xf numFmtId="1" fontId="6" fillId="0" borderId="1699" xfId="0" applyNumberFormat="1" applyFont="1" applyBorder="1" applyAlignment="1">
      <alignment horizontal="center" vertical="center" wrapText="1"/>
    </xf>
    <xf numFmtId="1" fontId="6" fillId="14" borderId="1770" xfId="0" applyNumberFormat="1" applyFont="1" applyFill="1" applyBorder="1" applyAlignment="1">
      <alignment vertical="center" wrapText="1"/>
    </xf>
    <xf numFmtId="1" fontId="6" fillId="14" borderId="1632" xfId="0" applyNumberFormat="1" applyFont="1" applyFill="1" applyBorder="1" applyAlignment="1">
      <alignment horizontal="right" wrapText="1"/>
    </xf>
    <xf numFmtId="1" fontId="6" fillId="14" borderId="1607" xfId="0" applyNumberFormat="1" applyFont="1" applyFill="1" applyBorder="1" applyAlignment="1">
      <alignment horizontal="right" wrapText="1"/>
    </xf>
    <xf numFmtId="1" fontId="6" fillId="14" borderId="1739" xfId="0" applyNumberFormat="1" applyFont="1" applyFill="1" applyBorder="1" applyAlignment="1">
      <alignment horizontal="right"/>
    </xf>
    <xf numFmtId="1" fontId="6" fillId="14" borderId="1640" xfId="0" applyNumberFormat="1" applyFont="1" applyFill="1" applyBorder="1" applyAlignment="1">
      <alignment vertical="center" wrapText="1"/>
    </xf>
    <xf numFmtId="1" fontId="6" fillId="14" borderId="1649" xfId="0" applyNumberFormat="1" applyFont="1" applyFill="1" applyBorder="1" applyAlignment="1">
      <alignment horizontal="right" wrapText="1"/>
    </xf>
    <xf numFmtId="1" fontId="6" fillId="14" borderId="1650" xfId="0" applyNumberFormat="1" applyFont="1" applyFill="1" applyBorder="1" applyAlignment="1">
      <alignment horizontal="right" wrapText="1"/>
    </xf>
    <xf numFmtId="1" fontId="6" fillId="14" borderId="1421" xfId="0" applyNumberFormat="1" applyFont="1" applyFill="1" applyBorder="1" applyAlignment="1">
      <alignment horizontal="right"/>
    </xf>
    <xf numFmtId="1" fontId="6" fillId="14" borderId="1736" xfId="0" applyNumberFormat="1" applyFont="1" applyFill="1" applyBorder="1" applyAlignment="1">
      <alignment horizontal="center"/>
    </xf>
    <xf numFmtId="1" fontId="6" fillId="14" borderId="1738" xfId="0" applyNumberFormat="1" applyFont="1" applyFill="1" applyBorder="1" applyAlignment="1">
      <alignment horizontal="right"/>
    </xf>
    <xf numFmtId="1" fontId="6" fillId="14" borderId="1741" xfId="0" applyNumberFormat="1" applyFont="1" applyFill="1" applyBorder="1" applyAlignment="1">
      <alignment horizontal="right"/>
    </xf>
    <xf numFmtId="1" fontId="6" fillId="14" borderId="1726" xfId="0" applyNumberFormat="1" applyFont="1" applyFill="1" applyBorder="1" applyAlignment="1">
      <alignment horizontal="right"/>
    </xf>
    <xf numFmtId="1" fontId="6" fillId="14" borderId="1583" xfId="0" applyNumberFormat="1" applyFont="1" applyFill="1" applyBorder="1" applyAlignment="1">
      <alignment horizontal="right" wrapText="1"/>
    </xf>
    <xf numFmtId="1" fontId="6" fillId="14" borderId="1676" xfId="0" applyNumberFormat="1" applyFont="1" applyFill="1" applyBorder="1" applyAlignment="1">
      <alignment horizontal="right" wrapText="1"/>
    </xf>
    <xf numFmtId="1" fontId="6" fillId="14" borderId="1659" xfId="0" applyNumberFormat="1" applyFont="1" applyFill="1" applyBorder="1" applyAlignment="1">
      <alignment horizontal="right"/>
    </xf>
    <xf numFmtId="1" fontId="6" fillId="14" borderId="1826" xfId="0" applyNumberFormat="1" applyFont="1" applyFill="1" applyBorder="1" applyAlignment="1">
      <alignment horizontal="center"/>
    </xf>
    <xf numFmtId="1" fontId="6" fillId="14" borderId="1870" xfId="0" applyNumberFormat="1" applyFont="1" applyFill="1" applyBorder="1" applyAlignment="1">
      <alignment horizontal="right"/>
    </xf>
    <xf numFmtId="1" fontId="6" fillId="14" borderId="1841" xfId="0" applyNumberFormat="1" applyFont="1" applyFill="1" applyBorder="1" applyAlignment="1">
      <alignment horizontal="right"/>
    </xf>
    <xf numFmtId="1" fontId="6" fillId="14" borderId="1896" xfId="0" applyNumberFormat="1" applyFont="1" applyFill="1" applyBorder="1" applyAlignment="1">
      <alignment horizontal="right"/>
    </xf>
    <xf numFmtId="1" fontId="6" fillId="14" borderId="1709" xfId="0" applyNumberFormat="1" applyFont="1" applyFill="1" applyBorder="1"/>
    <xf numFmtId="1" fontId="6" fillId="14" borderId="1658" xfId="0" applyNumberFormat="1" applyFont="1" applyFill="1" applyBorder="1"/>
    <xf numFmtId="1" fontId="6" fillId="14" borderId="1824" xfId="0" applyNumberFormat="1" applyFont="1" applyFill="1" applyBorder="1"/>
    <xf numFmtId="1" fontId="6" fillId="0" borderId="1738" xfId="0" applyNumberFormat="1" applyFont="1" applyBorder="1" applyAlignment="1">
      <alignment horizontal="center" vertical="center" wrapText="1"/>
    </xf>
    <xf numFmtId="1" fontId="6" fillId="14" borderId="1738" xfId="0" applyNumberFormat="1" applyFont="1" applyFill="1" applyBorder="1"/>
    <xf numFmtId="1" fontId="6" fillId="14" borderId="1726" xfId="0" applyNumberFormat="1" applyFont="1" applyFill="1" applyBorder="1"/>
    <xf numFmtId="1" fontId="6" fillId="14" borderId="1740" xfId="0" applyNumberFormat="1" applyFont="1" applyFill="1" applyBorder="1"/>
    <xf numFmtId="1" fontId="6" fillId="14" borderId="1734" xfId="0" applyNumberFormat="1" applyFont="1" applyFill="1" applyBorder="1"/>
    <xf numFmtId="1" fontId="6" fillId="14" borderId="1772" xfId="0" applyNumberFormat="1" applyFont="1" applyFill="1" applyBorder="1"/>
    <xf numFmtId="1" fontId="6" fillId="14" borderId="1736" xfId="0" applyNumberFormat="1" applyFont="1" applyFill="1" applyBorder="1"/>
    <xf numFmtId="1" fontId="6" fillId="14" borderId="1898" xfId="0" applyNumberFormat="1" applyFont="1" applyFill="1" applyBorder="1"/>
    <xf numFmtId="1" fontId="6" fillId="14" borderId="1896" xfId="0" applyNumberFormat="1" applyFont="1" applyFill="1" applyBorder="1"/>
    <xf numFmtId="1" fontId="6" fillId="14" borderId="1903" xfId="0" applyNumberFormat="1" applyFont="1" applyFill="1" applyBorder="1"/>
    <xf numFmtId="1" fontId="6" fillId="14" borderId="1897" xfId="0" applyNumberFormat="1" applyFont="1" applyFill="1" applyBorder="1"/>
    <xf numFmtId="1" fontId="6" fillId="14" borderId="885" xfId="0" applyNumberFormat="1" applyFont="1" applyFill="1" applyBorder="1"/>
    <xf numFmtId="1" fontId="6" fillId="14" borderId="1810" xfId="0" applyNumberFormat="1" applyFont="1" applyFill="1" applyBorder="1"/>
    <xf numFmtId="1" fontId="6" fillId="14" borderId="1078" xfId="0" applyNumberFormat="1" applyFont="1" applyFill="1" applyBorder="1"/>
    <xf numFmtId="1" fontId="6" fillId="14" borderId="1737" xfId="0" applyNumberFormat="1" applyFont="1" applyFill="1" applyBorder="1"/>
    <xf numFmtId="1" fontId="6" fillId="0" borderId="1681" xfId="0" applyNumberFormat="1" applyFont="1" applyBorder="1" applyAlignment="1">
      <alignment horizontal="center" vertical="center" wrapText="1"/>
    </xf>
    <xf numFmtId="1" fontId="6" fillId="0" borderId="1694" xfId="0" applyNumberFormat="1" applyFont="1" applyBorder="1" applyAlignment="1">
      <alignment horizontal="center" vertical="center" wrapText="1"/>
    </xf>
    <xf numFmtId="1" fontId="6" fillId="0" borderId="1125" xfId="0" applyNumberFormat="1" applyFont="1" applyBorder="1" applyAlignment="1">
      <alignment vertical="center" wrapText="1"/>
    </xf>
    <xf numFmtId="1" fontId="6" fillId="0" borderId="1660" xfId="0" applyNumberFormat="1" applyFont="1" applyBorder="1" applyAlignment="1">
      <alignment vertical="center" wrapText="1"/>
    </xf>
    <xf numFmtId="1" fontId="6" fillId="0" borderId="1896" xfId="0" applyNumberFormat="1" applyFont="1" applyBorder="1" applyAlignment="1">
      <alignment horizontal="center" vertical="center" wrapText="1"/>
    </xf>
    <xf numFmtId="1" fontId="6" fillId="0" borderId="1499" xfId="0" applyNumberFormat="1" applyFont="1" applyBorder="1" applyAlignment="1">
      <alignment wrapText="1"/>
    </xf>
    <xf numFmtId="1" fontId="6" fillId="5" borderId="2177" xfId="0" applyNumberFormat="1" applyFont="1" applyFill="1" applyBorder="1" applyProtection="1">
      <protection locked="0"/>
    </xf>
    <xf numFmtId="1" fontId="6" fillId="2" borderId="2177" xfId="9" applyNumberFormat="1" applyFont="1" applyBorder="1" applyProtection="1">
      <protection locked="0"/>
    </xf>
    <xf numFmtId="1" fontId="6" fillId="2" borderId="2178" xfId="9" applyNumberFormat="1" applyFont="1" applyBorder="1" applyProtection="1">
      <protection locked="0"/>
    </xf>
    <xf numFmtId="1" fontId="6" fillId="4" borderId="1546" xfId="0" applyNumberFormat="1" applyFont="1" applyFill="1" applyBorder="1"/>
    <xf numFmtId="1" fontId="6" fillId="2" borderId="1546" xfId="9" applyNumberFormat="1" applyFont="1" applyBorder="1" applyProtection="1">
      <protection locked="0"/>
    </xf>
    <xf numFmtId="1" fontId="6" fillId="2" borderId="1498" xfId="9" applyNumberFormat="1" applyFont="1" applyBorder="1" applyProtection="1">
      <protection locked="0"/>
    </xf>
    <xf numFmtId="1" fontId="6" fillId="31" borderId="1498" xfId="0" applyNumberFormat="1" applyFont="1" applyFill="1" applyBorder="1"/>
    <xf numFmtId="1" fontId="6" fillId="31" borderId="1546" xfId="0" applyNumberFormat="1" applyFont="1" applyFill="1" applyBorder="1"/>
    <xf numFmtId="1" fontId="4" fillId="0" borderId="35" xfId="0" applyNumberFormat="1" applyFont="1" applyBorder="1"/>
    <xf numFmtId="1" fontId="6" fillId="14" borderId="2109" xfId="0" applyNumberFormat="1" applyFont="1" applyFill="1" applyBorder="1" applyAlignment="1">
      <alignment horizontal="center" vertical="center" wrapText="1"/>
    </xf>
    <xf numFmtId="1" fontId="6" fillId="14" borderId="2108" xfId="0" applyNumberFormat="1" applyFont="1" applyFill="1" applyBorder="1" applyAlignment="1">
      <alignment horizontal="center" vertical="center" wrapText="1"/>
    </xf>
    <xf numFmtId="1" fontId="6" fillId="14" borderId="1841" xfId="0" applyNumberFormat="1" applyFont="1" applyFill="1" applyBorder="1" applyAlignment="1">
      <alignment horizontal="center" vertical="center" wrapText="1"/>
    </xf>
    <xf numFmtId="1" fontId="6" fillId="14" borderId="1896" xfId="0" applyNumberFormat="1" applyFont="1" applyFill="1" applyBorder="1" applyAlignment="1">
      <alignment horizontal="center" vertical="center" wrapText="1"/>
    </xf>
    <xf numFmtId="1" fontId="6" fillId="14" borderId="2092" xfId="0" applyNumberFormat="1" applyFont="1" applyFill="1" applyBorder="1" applyAlignment="1">
      <alignment horizontal="center" vertical="center" wrapText="1"/>
    </xf>
    <xf numFmtId="1" fontId="6" fillId="14" borderId="2160" xfId="0" applyNumberFormat="1" applyFont="1" applyFill="1" applyBorder="1" applyAlignment="1">
      <alignment horizontal="center" vertical="center" wrapText="1"/>
    </xf>
    <xf numFmtId="1" fontId="6" fillId="14" borderId="2118" xfId="0" applyNumberFormat="1" applyFont="1" applyFill="1" applyBorder="1" applyAlignment="1">
      <alignment horizontal="center" vertical="center" wrapText="1"/>
    </xf>
    <xf numFmtId="1" fontId="6" fillId="16" borderId="2108" xfId="0" applyNumberFormat="1" applyFont="1" applyFill="1" applyBorder="1" applyAlignment="1">
      <alignment horizontal="center" vertical="center" wrapText="1"/>
    </xf>
    <xf numFmtId="1" fontId="6" fillId="16" borderId="2113" xfId="0" applyNumberFormat="1" applyFont="1" applyFill="1" applyBorder="1" applyAlignment="1">
      <alignment horizontal="center" vertical="center" wrapText="1"/>
    </xf>
    <xf numFmtId="1" fontId="6" fillId="0" borderId="2108" xfId="0" applyNumberFormat="1" applyFont="1" applyBorder="1" applyAlignment="1" applyProtection="1">
      <alignment horizontal="center" vertical="center" wrapText="1"/>
      <protection hidden="1"/>
    </xf>
    <xf numFmtId="1" fontId="6" fillId="0" borderId="1841" xfId="0" applyNumberFormat="1" applyFont="1" applyBorder="1" applyAlignment="1" applyProtection="1">
      <alignment horizontal="center" vertical="center" wrapText="1"/>
      <protection hidden="1"/>
    </xf>
    <xf numFmtId="1" fontId="6" fillId="0" borderId="2113" xfId="0" applyNumberFormat="1" applyFont="1" applyBorder="1" applyAlignment="1" applyProtection="1">
      <alignment horizontal="center" vertical="center" wrapText="1"/>
      <protection hidden="1"/>
    </xf>
    <xf numFmtId="1" fontId="6" fillId="14" borderId="2112" xfId="0" applyNumberFormat="1" applyFont="1" applyFill="1" applyBorder="1" applyProtection="1">
      <protection locked="0"/>
    </xf>
    <xf numFmtId="1" fontId="6" fillId="5" borderId="2119" xfId="0" applyNumberFormat="1" applyFont="1" applyFill="1" applyBorder="1" applyProtection="1">
      <protection locked="0"/>
    </xf>
    <xf numFmtId="1" fontId="6" fillId="5" borderId="2124" xfId="0" applyNumberFormat="1" applyFont="1" applyFill="1" applyBorder="1" applyProtection="1">
      <protection locked="0"/>
    </xf>
    <xf numFmtId="1" fontId="6" fillId="5" borderId="2172" xfId="0" applyNumberFormat="1" applyFont="1" applyFill="1" applyBorder="1" applyProtection="1">
      <protection locked="0"/>
    </xf>
    <xf numFmtId="1" fontId="6" fillId="14" borderId="2155" xfId="0" applyNumberFormat="1" applyFont="1" applyFill="1" applyBorder="1" applyProtection="1">
      <protection locked="0"/>
    </xf>
    <xf numFmtId="1" fontId="6" fillId="16" borderId="1837" xfId="0" applyNumberFormat="1" applyFont="1" applyFill="1" applyBorder="1" applyProtection="1">
      <protection locked="0"/>
    </xf>
    <xf numFmtId="1" fontId="6" fillId="16" borderId="1421" xfId="0" applyNumberFormat="1" applyFont="1" applyFill="1" applyBorder="1" applyProtection="1">
      <protection locked="0"/>
    </xf>
    <xf numFmtId="1" fontId="6" fillId="14" borderId="1827" xfId="0" applyNumberFormat="1" applyFont="1" applyFill="1" applyBorder="1" applyProtection="1">
      <protection locked="0"/>
    </xf>
    <xf numFmtId="1" fontId="6" fillId="14" borderId="1497" xfId="0" applyNumberFormat="1" applyFont="1" applyFill="1" applyBorder="1" applyProtection="1">
      <protection locked="0"/>
    </xf>
    <xf numFmtId="1" fontId="6" fillId="14" borderId="1675" xfId="0" applyNumberFormat="1" applyFont="1" applyFill="1" applyBorder="1" applyProtection="1">
      <protection locked="0"/>
    </xf>
    <xf numFmtId="1" fontId="6" fillId="14" borderId="1646" xfId="0" applyNumberFormat="1" applyFont="1" applyFill="1" applyBorder="1" applyProtection="1">
      <protection locked="0"/>
    </xf>
    <xf numFmtId="1" fontId="6" fillId="14" borderId="1647" xfId="0" applyNumberFormat="1" applyFont="1" applyFill="1" applyBorder="1" applyProtection="1">
      <protection locked="0"/>
    </xf>
    <xf numFmtId="1" fontId="6" fillId="16" borderId="1583" xfId="0" applyNumberFormat="1" applyFont="1" applyFill="1" applyBorder="1" applyProtection="1">
      <protection locked="0"/>
    </xf>
    <xf numFmtId="1" fontId="6" fillId="16" borderId="965" xfId="0" applyNumberFormat="1" applyFont="1" applyFill="1" applyBorder="1" applyProtection="1">
      <protection locked="0"/>
    </xf>
    <xf numFmtId="1" fontId="6" fillId="16" borderId="71" xfId="0" applyNumberFormat="1" applyFont="1" applyFill="1" applyBorder="1" applyProtection="1">
      <protection locked="0"/>
    </xf>
    <xf numFmtId="1" fontId="6" fillId="14" borderId="1838" xfId="0" applyNumberFormat="1" applyFont="1" applyFill="1" applyBorder="1" applyProtection="1">
      <protection locked="0"/>
    </xf>
    <xf numFmtId="1" fontId="6" fillId="14" borderId="1495" xfId="0" applyNumberFormat="1" applyFont="1" applyFill="1" applyBorder="1" applyProtection="1">
      <protection locked="0"/>
    </xf>
    <xf numFmtId="1" fontId="6" fillId="5" borderId="1843" xfId="0" applyNumberFormat="1" applyFont="1" applyFill="1" applyBorder="1" applyProtection="1">
      <protection locked="0"/>
    </xf>
    <xf numFmtId="1" fontId="6" fillId="16" borderId="1836" xfId="0" applyNumberFormat="1" applyFont="1" applyFill="1" applyBorder="1" applyProtection="1">
      <protection locked="0"/>
    </xf>
    <xf numFmtId="1" fontId="6" fillId="16" borderId="1843" xfId="0" applyNumberFormat="1" applyFont="1" applyFill="1" applyBorder="1" applyProtection="1">
      <protection locked="0"/>
    </xf>
    <xf numFmtId="1" fontId="13" fillId="0" borderId="2092" xfId="0" applyNumberFormat="1" applyFont="1" applyBorder="1" applyAlignment="1">
      <alignment horizontal="center" vertical="center"/>
    </xf>
    <xf numFmtId="1" fontId="6" fillId="0" borderId="2123" xfId="0" applyNumberFormat="1" applyFont="1" applyBorder="1"/>
    <xf numFmtId="1" fontId="6" fillId="3" borderId="1720" xfId="0" applyNumberFormat="1" applyFont="1" applyFill="1" applyBorder="1"/>
    <xf numFmtId="1" fontId="6" fillId="3" borderId="1658" xfId="0" applyNumberFormat="1" applyFont="1" applyFill="1" applyBorder="1"/>
    <xf numFmtId="1" fontId="6" fillId="3" borderId="725" xfId="0" applyNumberFormat="1" applyFont="1" applyFill="1" applyBorder="1"/>
    <xf numFmtId="1" fontId="4" fillId="0" borderId="510" xfId="0" applyNumberFormat="1" applyFont="1" applyBorder="1"/>
    <xf numFmtId="1" fontId="6" fillId="0" borderId="1306" xfId="0" applyNumberFormat="1" applyFont="1" applyBorder="1"/>
    <xf numFmtId="1" fontId="6" fillId="0" borderId="1127" xfId="0" applyNumberFormat="1" applyFont="1" applyBorder="1" applyAlignment="1">
      <alignment vertical="center"/>
    </xf>
    <xf numFmtId="1" fontId="6" fillId="0" borderId="1495" xfId="0" applyNumberFormat="1" applyFont="1" applyBorder="1" applyAlignment="1">
      <alignment vertical="center"/>
    </xf>
    <xf numFmtId="1" fontId="4" fillId="14" borderId="49" xfId="0" applyNumberFormat="1" applyFont="1" applyFill="1" applyBorder="1"/>
    <xf numFmtId="1" fontId="6" fillId="0" borderId="1300" xfId="0" applyNumberFormat="1" applyFont="1" applyBorder="1" applyAlignment="1">
      <alignment horizontal="center" vertical="center" wrapText="1"/>
    </xf>
    <xf numFmtId="1" fontId="4" fillId="14" borderId="225" xfId="0" applyNumberFormat="1" applyFont="1" applyFill="1" applyBorder="1"/>
    <xf numFmtId="1" fontId="4" fillId="3" borderId="175" xfId="0" applyNumberFormat="1" applyFont="1" applyFill="1" applyBorder="1" applyAlignment="1">
      <alignment horizontal="left"/>
    </xf>
    <xf numFmtId="1" fontId="4" fillId="3" borderId="2159" xfId="0" applyNumberFormat="1" applyFont="1" applyFill="1" applyBorder="1" applyAlignment="1">
      <alignment horizontal="left"/>
    </xf>
    <xf numFmtId="1" fontId="6" fillId="0" borderId="2162" xfId="0" applyNumberFormat="1" applyFont="1" applyBorder="1" applyAlignment="1">
      <alignment horizontal="center" vertical="center" wrapText="1"/>
    </xf>
    <xf numFmtId="1" fontId="6" fillId="0" borderId="2181" xfId="0" applyNumberFormat="1" applyFont="1" applyBorder="1"/>
    <xf numFmtId="1" fontId="6" fillId="0" borderId="2170" xfId="0" applyNumberFormat="1" applyFont="1" applyBorder="1"/>
    <xf numFmtId="1" fontId="6" fillId="0" borderId="2179" xfId="0" applyNumberFormat="1" applyFont="1" applyBorder="1"/>
    <xf numFmtId="1" fontId="6" fillId="5" borderId="2171" xfId="0" applyNumberFormat="1" applyFont="1" applyFill="1" applyBorder="1" applyProtection="1">
      <protection locked="0"/>
    </xf>
    <xf numFmtId="1" fontId="6" fillId="5" borderId="2161" xfId="0" applyNumberFormat="1" applyFont="1" applyFill="1" applyBorder="1" applyProtection="1">
      <protection locked="0"/>
    </xf>
    <xf numFmtId="1" fontId="6" fillId="5" borderId="2182" xfId="0" applyNumberFormat="1" applyFont="1" applyFill="1" applyBorder="1" applyProtection="1">
      <protection locked="0"/>
    </xf>
    <xf numFmtId="1" fontId="6" fillId="0" borderId="1502" xfId="0" applyNumberFormat="1" applyFont="1" applyBorder="1"/>
    <xf numFmtId="1" fontId="6" fillId="5" borderId="1499" xfId="0" applyNumberFormat="1" applyFont="1" applyFill="1" applyBorder="1" applyProtection="1">
      <protection locked="0"/>
    </xf>
    <xf numFmtId="1" fontId="6" fillId="0" borderId="1089" xfId="0" applyNumberFormat="1" applyFont="1" applyBorder="1"/>
    <xf numFmtId="1" fontId="6" fillId="0" borderId="1105" xfId="0" applyNumberFormat="1" applyFont="1" applyBorder="1"/>
    <xf numFmtId="1" fontId="6" fillId="0" borderId="845" xfId="28" applyNumberFormat="1" applyFont="1" applyBorder="1" applyAlignment="1">
      <alignment horizontal="center" vertical="center" wrapText="1"/>
    </xf>
    <xf numFmtId="1" fontId="6" fillId="0" borderId="1425" xfId="28" applyNumberFormat="1" applyFont="1" applyBorder="1" applyAlignment="1">
      <alignment horizontal="center" vertical="center" wrapText="1"/>
    </xf>
    <xf numFmtId="1" fontId="6" fillId="0" borderId="1418" xfId="28" applyNumberFormat="1" applyFont="1" applyBorder="1" applyAlignment="1">
      <alignment horizontal="center" vertical="center" wrapText="1"/>
    </xf>
    <xf numFmtId="1" fontId="4" fillId="14" borderId="475" xfId="28" applyNumberFormat="1" applyFont="1" applyFill="1" applyBorder="1" applyProtection="1">
      <protection hidden="1"/>
    </xf>
    <xf numFmtId="1" fontId="6" fillId="0" borderId="1444" xfId="28" applyNumberFormat="1" applyFont="1" applyBorder="1" applyAlignment="1">
      <alignment horizontal="center" vertical="center" wrapText="1"/>
    </xf>
    <xf numFmtId="1" fontId="6" fillId="0" borderId="1445" xfId="28" applyNumberFormat="1" applyFont="1" applyBorder="1" applyAlignment="1">
      <alignment horizontal="center" vertical="center" wrapText="1"/>
    </xf>
    <xf numFmtId="1" fontId="6" fillId="0" borderId="1897" xfId="28" applyNumberFormat="1" applyFont="1" applyBorder="1" applyAlignment="1">
      <alignment horizontal="center" vertical="center" wrapText="1"/>
    </xf>
    <xf numFmtId="1" fontId="6" fillId="0" borderId="1929" xfId="28" applyNumberFormat="1" applyFont="1" applyBorder="1" applyAlignment="1">
      <alignment horizontal="center" vertical="center" wrapText="1"/>
    </xf>
    <xf numFmtId="1" fontId="6" fillId="0" borderId="2183" xfId="28" applyNumberFormat="1" applyFont="1" applyBorder="1"/>
    <xf numFmtId="1" fontId="4" fillId="3" borderId="1642" xfId="0" applyNumberFormat="1" applyFont="1" applyFill="1" applyBorder="1" applyAlignment="1">
      <alignment horizontal="left"/>
    </xf>
    <xf numFmtId="1" fontId="6" fillId="0" borderId="1673" xfId="0" applyNumberFormat="1" applyFont="1" applyBorder="1" applyAlignment="1">
      <alignment wrapText="1"/>
    </xf>
    <xf numFmtId="1" fontId="6" fillId="5" borderId="300" xfId="0" applyNumberFormat="1" applyFont="1" applyFill="1" applyBorder="1" applyProtection="1">
      <protection locked="0"/>
    </xf>
    <xf numFmtId="1" fontId="6" fillId="5" borderId="1669" xfId="0" applyNumberFormat="1" applyFont="1" applyFill="1" applyBorder="1" applyProtection="1">
      <protection locked="0"/>
    </xf>
    <xf numFmtId="1" fontId="6" fillId="5" borderId="817" xfId="0" applyNumberFormat="1" applyFont="1" applyFill="1" applyBorder="1" applyProtection="1">
      <protection locked="0"/>
    </xf>
    <xf numFmtId="1" fontId="6" fillId="5" borderId="818" xfId="0" applyNumberFormat="1" applyFont="1" applyFill="1" applyBorder="1" applyProtection="1">
      <protection locked="0"/>
    </xf>
    <xf numFmtId="1" fontId="6" fillId="5" borderId="1706" xfId="0" applyNumberFormat="1" applyFont="1" applyFill="1" applyBorder="1" applyProtection="1">
      <protection locked="0"/>
    </xf>
    <xf numFmtId="1" fontId="6" fillId="5" borderId="819" xfId="0" applyNumberFormat="1" applyFont="1" applyFill="1" applyBorder="1" applyProtection="1">
      <protection locked="0"/>
    </xf>
    <xf numFmtId="1" fontId="6" fillId="5" borderId="820" xfId="0" applyNumberFormat="1" applyFont="1" applyFill="1" applyBorder="1" applyProtection="1">
      <protection locked="0"/>
    </xf>
    <xf numFmtId="1" fontId="6" fillId="0" borderId="1680" xfId="0" applyNumberFormat="1" applyFont="1" applyBorder="1" applyAlignment="1">
      <alignment vertical="center" wrapText="1"/>
    </xf>
    <xf numFmtId="1" fontId="6" fillId="5" borderId="1268" xfId="0" applyNumberFormat="1" applyFont="1" applyFill="1" applyBorder="1" applyProtection="1">
      <protection locked="0"/>
    </xf>
    <xf numFmtId="1" fontId="6" fillId="5" borderId="888" xfId="0" applyNumberFormat="1" applyFont="1" applyFill="1" applyBorder="1" applyProtection="1">
      <protection locked="0"/>
    </xf>
    <xf numFmtId="1" fontId="6" fillId="5" borderId="1699" xfId="0" applyNumberFormat="1" applyFont="1" applyFill="1" applyBorder="1" applyProtection="1">
      <protection locked="0"/>
    </xf>
    <xf numFmtId="1" fontId="6" fillId="5" borderId="1690" xfId="0" applyNumberFormat="1" applyFont="1" applyFill="1" applyBorder="1" applyProtection="1">
      <protection locked="0"/>
    </xf>
    <xf numFmtId="1" fontId="6" fillId="0" borderId="1706" xfId="0" applyNumberFormat="1" applyFont="1" applyBorder="1" applyAlignment="1">
      <alignment vertical="center" wrapText="1"/>
    </xf>
    <xf numFmtId="1" fontId="6" fillId="5" borderId="1705" xfId="0" applyNumberFormat="1" applyFont="1" applyFill="1" applyBorder="1" applyProtection="1">
      <protection locked="0"/>
    </xf>
    <xf numFmtId="1" fontId="6" fillId="3" borderId="1673" xfId="0" applyNumberFormat="1" applyFont="1" applyFill="1" applyBorder="1" applyAlignment="1">
      <alignment horizontal="center" vertical="center"/>
    </xf>
    <xf numFmtId="1" fontId="6" fillId="3" borderId="1673" xfId="0" applyNumberFormat="1" applyFont="1" applyFill="1" applyBorder="1" applyAlignment="1">
      <alignment horizontal="center" vertical="center" wrapText="1"/>
    </xf>
    <xf numFmtId="1" fontId="6" fillId="5" borderId="1673" xfId="0" applyNumberFormat="1" applyFont="1" applyFill="1" applyBorder="1" applyAlignment="1" applyProtection="1">
      <alignment vertical="center" wrapText="1"/>
      <protection locked="0"/>
    </xf>
    <xf numFmtId="1" fontId="6" fillId="0" borderId="1626" xfId="0" applyNumberFormat="1" applyFont="1" applyBorder="1" applyAlignment="1">
      <alignment horizontal="left" vertical="center"/>
    </xf>
    <xf numFmtId="1" fontId="6" fillId="5" borderId="1626" xfId="0" applyNumberFormat="1" applyFont="1" applyFill="1" applyBorder="1" applyAlignment="1" applyProtection="1">
      <alignment vertical="center" wrapText="1"/>
      <protection locked="0"/>
    </xf>
    <xf numFmtId="1" fontId="6" fillId="0" borderId="1688" xfId="0" applyNumberFormat="1" applyFont="1" applyBorder="1" applyAlignment="1">
      <alignment horizontal="left" vertical="center"/>
    </xf>
    <xf numFmtId="1" fontId="6" fillId="5" borderId="1688" xfId="0" applyNumberFormat="1" applyFont="1" applyFill="1" applyBorder="1" applyAlignment="1" applyProtection="1">
      <alignment vertical="center" wrapText="1"/>
      <protection locked="0"/>
    </xf>
    <xf numFmtId="1" fontId="6" fillId="5" borderId="1828" xfId="0" applyNumberFormat="1" applyFont="1" applyFill="1" applyBorder="1" applyAlignment="1" applyProtection="1">
      <alignment vertical="center" wrapText="1"/>
      <protection locked="0"/>
    </xf>
    <xf numFmtId="1" fontId="6" fillId="5" borderId="684" xfId="0" applyNumberFormat="1" applyFont="1" applyFill="1" applyBorder="1" applyAlignment="1" applyProtection="1">
      <alignment vertical="center" wrapText="1"/>
      <protection locked="0"/>
    </xf>
    <xf numFmtId="1" fontId="6" fillId="5" borderId="1737" xfId="0" applyNumberFormat="1" applyFont="1" applyFill="1" applyBorder="1" applyAlignment="1" applyProtection="1">
      <alignment vertical="center" wrapText="1"/>
      <protection locked="0"/>
    </xf>
    <xf numFmtId="1" fontId="6" fillId="0" borderId="1626" xfId="0" applyNumberFormat="1" applyFont="1" applyBorder="1" applyAlignment="1">
      <alignment vertical="center"/>
    </xf>
    <xf numFmtId="1" fontId="6" fillId="0" borderId="1654" xfId="0" applyNumberFormat="1" applyFont="1" applyBorder="1" applyAlignment="1">
      <alignment horizontal="left" vertical="center"/>
    </xf>
    <xf numFmtId="1" fontId="6" fillId="0" borderId="1626" xfId="0" applyNumberFormat="1" applyFont="1" applyBorder="1" applyAlignment="1">
      <alignment horizontal="left" vertical="center" wrapText="1"/>
    </xf>
    <xf numFmtId="1" fontId="6" fillId="14" borderId="1673" xfId="0" applyNumberFormat="1" applyFont="1" applyFill="1" applyBorder="1" applyAlignment="1">
      <alignment horizontal="center" vertical="center" wrapText="1"/>
    </xf>
    <xf numFmtId="1" fontId="6" fillId="5" borderId="1828" xfId="0" applyNumberFormat="1" applyFont="1" applyFill="1" applyBorder="1" applyProtection="1">
      <protection locked="0"/>
    </xf>
    <xf numFmtId="1" fontId="6" fillId="14" borderId="1421" xfId="0" applyNumberFormat="1" applyFont="1" applyFill="1" applyBorder="1" applyAlignment="1">
      <alignment horizontal="left" vertical="center"/>
    </xf>
    <xf numFmtId="1" fontId="6" fillId="5" borderId="1497" xfId="0" applyNumberFormat="1" applyFont="1" applyFill="1" applyBorder="1" applyProtection="1">
      <protection locked="0"/>
    </xf>
    <xf numFmtId="1" fontId="6" fillId="14" borderId="1501" xfId="0" applyNumberFormat="1" applyFont="1" applyFill="1" applyBorder="1" applyAlignment="1">
      <alignment horizontal="left" vertical="center"/>
    </xf>
    <xf numFmtId="1" fontId="6" fillId="14" borderId="510" xfId="0" applyNumberFormat="1" applyFont="1" applyFill="1" applyBorder="1" applyAlignment="1">
      <alignment horizontal="left" vertical="center" wrapText="1"/>
    </xf>
    <xf numFmtId="1" fontId="6" fillId="5" borderId="1684" xfId="0" applyNumberFormat="1" applyFont="1" applyFill="1" applyBorder="1" applyProtection="1">
      <protection locked="0"/>
    </xf>
    <xf numFmtId="1" fontId="6" fillId="5" borderId="1673" xfId="0" applyNumberFormat="1" applyFont="1" applyFill="1" applyBorder="1" applyProtection="1">
      <protection locked="0"/>
    </xf>
    <xf numFmtId="1" fontId="6" fillId="14" borderId="1667" xfId="0" applyNumberFormat="1" applyFont="1" applyFill="1" applyBorder="1" applyAlignment="1" applyProtection="1">
      <alignment horizontal="center" vertical="center" wrapText="1"/>
      <protection locked="0"/>
    </xf>
    <xf numFmtId="1" fontId="6" fillId="14" borderId="1659" xfId="0" applyNumberFormat="1" applyFont="1" applyFill="1" applyBorder="1" applyAlignment="1">
      <alignment vertical="center"/>
    </xf>
    <xf numFmtId="1" fontId="6" fillId="14" borderId="1611" xfId="0" applyNumberFormat="1" applyFont="1" applyFill="1" applyBorder="1" applyAlignment="1">
      <alignment vertical="center" wrapText="1"/>
    </xf>
    <xf numFmtId="1" fontId="6" fillId="5" borderId="1648" xfId="0" applyNumberFormat="1" applyFont="1" applyFill="1" applyBorder="1" applyProtection="1">
      <protection locked="0"/>
    </xf>
    <xf numFmtId="1" fontId="6" fillId="14" borderId="1592" xfId="0" applyNumberFormat="1" applyFont="1" applyFill="1" applyBorder="1" applyAlignment="1">
      <alignment vertical="center"/>
    </xf>
    <xf numFmtId="1" fontId="6" fillId="14" borderId="1838" xfId="0" applyNumberFormat="1" applyFont="1" applyFill="1" applyBorder="1" applyAlignment="1">
      <alignment horizontal="left" vertical="center"/>
    </xf>
    <xf numFmtId="1" fontId="6" fillId="14" borderId="1626" xfId="0" applyNumberFormat="1" applyFont="1" applyFill="1" applyBorder="1" applyAlignment="1">
      <alignment horizontal="left" vertical="center"/>
    </xf>
    <xf numFmtId="1" fontId="6" fillId="14" borderId="1648" xfId="0" applyNumberFormat="1" applyFont="1" applyFill="1" applyBorder="1" applyAlignment="1">
      <alignment horizontal="left" vertical="center" wrapText="1"/>
    </xf>
    <xf numFmtId="1" fontId="6" fillId="0" borderId="2142" xfId="0" applyNumberFormat="1" applyFont="1" applyBorder="1" applyAlignment="1">
      <alignment horizontal="right"/>
    </xf>
    <xf numFmtId="1" fontId="6" fillId="0" borderId="2177" xfId="0" applyNumberFormat="1" applyFont="1" applyBorder="1" applyAlignment="1">
      <alignment horizontal="right"/>
    </xf>
    <xf numFmtId="1" fontId="6" fillId="0" borderId="2178" xfId="0" applyNumberFormat="1" applyFont="1" applyBorder="1" applyAlignment="1">
      <alignment horizontal="right"/>
    </xf>
    <xf numFmtId="1" fontId="6" fillId="0" borderId="811" xfId="0" applyNumberFormat="1" applyFont="1" applyBorder="1" applyAlignment="1">
      <alignment horizontal="right"/>
    </xf>
    <xf numFmtId="1" fontId="6" fillId="0" borderId="1493" xfId="0" applyNumberFormat="1" applyFont="1" applyBorder="1" applyAlignment="1">
      <alignment horizontal="right"/>
    </xf>
    <xf numFmtId="1" fontId="6" fillId="0" borderId="805" xfId="0" applyNumberFormat="1" applyFont="1" applyBorder="1" applyAlignment="1">
      <alignment horizontal="right"/>
    </xf>
    <xf numFmtId="1" fontId="6" fillId="0" borderId="1494" xfId="0" applyNumberFormat="1" applyFont="1" applyBorder="1" applyAlignment="1">
      <alignment horizontal="right"/>
    </xf>
    <xf numFmtId="1" fontId="6" fillId="0" borderId="2177" xfId="0" applyNumberFormat="1" applyFont="1" applyBorder="1" applyAlignment="1">
      <alignment horizontal="right" wrapText="1"/>
    </xf>
    <xf numFmtId="1" fontId="6" fillId="0" borderId="1650" xfId="0" applyNumberFormat="1" applyFont="1" applyBorder="1" applyAlignment="1">
      <alignment horizontal="right" wrapText="1"/>
    </xf>
    <xf numFmtId="1" fontId="6" fillId="0" borderId="2168" xfId="0" applyNumberFormat="1" applyFont="1" applyBorder="1" applyAlignment="1">
      <alignment horizontal="right"/>
    </xf>
    <xf numFmtId="1" fontId="6" fillId="0" borderId="2185" xfId="0" applyNumberFormat="1" applyFont="1" applyBorder="1" applyAlignment="1">
      <alignment horizontal="right"/>
    </xf>
    <xf numFmtId="1" fontId="6" fillId="0" borderId="515" xfId="0" applyNumberFormat="1" applyFont="1" applyBorder="1" applyAlignment="1">
      <alignment wrapText="1"/>
    </xf>
    <xf numFmtId="1" fontId="6" fillId="0" borderId="1654" xfId="0" applyNumberFormat="1" applyFont="1" applyBorder="1" applyAlignment="1">
      <alignment horizontal="left" vertical="center" wrapText="1"/>
    </xf>
    <xf numFmtId="1" fontId="6" fillId="14" borderId="1899" xfId="25" applyNumberFormat="1" applyFont="1" applyFill="1" applyBorder="1" applyAlignment="1">
      <alignment horizontal="center" vertical="center" wrapText="1"/>
    </xf>
    <xf numFmtId="1" fontId="6" fillId="5" borderId="670" xfId="0" applyNumberFormat="1" applyFont="1" applyFill="1" applyBorder="1" applyAlignment="1" applyProtection="1">
      <alignment wrapText="1"/>
      <protection locked="0"/>
    </xf>
    <xf numFmtId="1" fontId="6" fillId="0" borderId="1495" xfId="0" applyNumberFormat="1" applyFont="1" applyBorder="1" applyAlignment="1">
      <alignment wrapText="1"/>
    </xf>
    <xf numFmtId="1" fontId="6" fillId="0" borderId="1647" xfId="0" applyNumberFormat="1" applyFont="1" applyBorder="1" applyAlignment="1">
      <alignment wrapText="1"/>
    </xf>
    <xf numFmtId="1" fontId="6" fillId="5" borderId="1837" xfId="0" applyNumberFormat="1" applyFont="1" applyFill="1" applyBorder="1" applyAlignment="1" applyProtection="1">
      <alignment wrapText="1"/>
      <protection locked="0"/>
    </xf>
    <xf numFmtId="1" fontId="6" fillId="5" borderId="1074" xfId="0" applyNumberFormat="1" applyFont="1" applyFill="1" applyBorder="1" applyAlignment="1" applyProtection="1">
      <alignment wrapText="1"/>
      <protection locked="0"/>
    </xf>
    <xf numFmtId="1" fontId="6" fillId="0" borderId="1592" xfId="0" applyNumberFormat="1" applyFont="1" applyBorder="1" applyAlignment="1">
      <alignment wrapText="1"/>
    </xf>
    <xf numFmtId="1" fontId="6" fillId="0" borderId="2155" xfId="0" applyNumberFormat="1" applyFont="1" applyBorder="1" applyAlignment="1">
      <alignment wrapText="1"/>
    </xf>
    <xf numFmtId="1" fontId="6" fillId="0" borderId="2184" xfId="0" applyNumberFormat="1" applyFont="1" applyBorder="1" applyAlignment="1">
      <alignment wrapText="1"/>
    </xf>
    <xf numFmtId="1" fontId="13" fillId="3" borderId="1079" xfId="0" applyNumberFormat="1" applyFont="1" applyFill="1" applyBorder="1"/>
    <xf numFmtId="1" fontId="6" fillId="3" borderId="1079" xfId="0" applyNumberFormat="1" applyFont="1" applyFill="1" applyBorder="1"/>
    <xf numFmtId="1" fontId="6" fillId="3" borderId="1826" xfId="0" applyNumberFormat="1" applyFont="1" applyFill="1" applyBorder="1"/>
    <xf numFmtId="1" fontId="6" fillId="3" borderId="1895" xfId="0" applyNumberFormat="1" applyFont="1" applyFill="1" applyBorder="1"/>
    <xf numFmtId="1" fontId="6" fillId="3" borderId="1899" xfId="0" applyNumberFormat="1" applyFont="1" applyFill="1" applyBorder="1"/>
    <xf numFmtId="0" fontId="4" fillId="0" borderId="0" xfId="0" applyFont="1" applyAlignment="1">
      <alignment vertical="center"/>
    </xf>
    <xf numFmtId="0" fontId="6" fillId="0" borderId="1826" xfId="0" applyFont="1" applyBorder="1" applyAlignment="1">
      <alignment horizontal="center"/>
    </xf>
    <xf numFmtId="0" fontId="6" fillId="0" borderId="1828" xfId="0" applyFont="1" applyBorder="1" applyAlignment="1">
      <alignment vertical="center"/>
    </xf>
    <xf numFmtId="0" fontId="6" fillId="0" borderId="684" xfId="0" applyFont="1" applyBorder="1" applyAlignment="1">
      <alignment vertical="center"/>
    </xf>
    <xf numFmtId="0" fontId="6" fillId="0" borderId="1737" xfId="0" applyFont="1" applyBorder="1" applyAlignment="1">
      <alignment vertical="center"/>
    </xf>
    <xf numFmtId="0" fontId="13" fillId="0" borderId="1826" xfId="0" applyFont="1" applyBorder="1" applyAlignment="1">
      <alignment vertical="center"/>
    </xf>
    <xf numFmtId="1" fontId="6" fillId="0" borderId="1826" xfId="0" applyNumberFormat="1" applyFont="1" applyBorder="1"/>
    <xf numFmtId="0" fontId="6" fillId="0" borderId="1828" xfId="0" applyFont="1" applyBorder="1"/>
    <xf numFmtId="0" fontId="6" fillId="0" borderId="1737" xfId="0" applyFont="1" applyBorder="1"/>
    <xf numFmtId="1" fontId="6" fillId="5" borderId="1838" xfId="0" applyNumberFormat="1" applyFont="1" applyFill="1" applyBorder="1" applyAlignment="1" applyProtection="1">
      <alignment wrapText="1"/>
      <protection locked="0"/>
    </xf>
    <xf numFmtId="0" fontId="13" fillId="0" borderId="1826" xfId="0" applyFont="1" applyBorder="1"/>
    <xf numFmtId="1" fontId="38" fillId="0" borderId="1826" xfId="0" applyNumberFormat="1" applyFont="1" applyBorder="1"/>
    <xf numFmtId="0" fontId="6" fillId="0" borderId="1828" xfId="0" applyFont="1" applyBorder="1" applyAlignment="1">
      <alignment horizontal="center" vertical="center"/>
    </xf>
    <xf numFmtId="1" fontId="6" fillId="5" borderId="1828" xfId="0" applyNumberFormat="1" applyFont="1" applyFill="1" applyBorder="1" applyAlignment="1" applyProtection="1">
      <alignment wrapText="1"/>
      <protection locked="0"/>
    </xf>
    <xf numFmtId="0" fontId="6" fillId="0" borderId="684" xfId="0" applyFont="1" applyBorder="1" applyAlignment="1">
      <alignment horizontal="center" vertical="center"/>
    </xf>
    <xf numFmtId="1" fontId="6" fillId="5" borderId="1647" xfId="0" applyNumberFormat="1" applyFont="1" applyFill="1" applyBorder="1" applyAlignment="1" applyProtection="1">
      <alignment wrapText="1"/>
      <protection locked="0"/>
    </xf>
    <xf numFmtId="0" fontId="6" fillId="0" borderId="1647" xfId="0" applyFont="1" applyBorder="1" applyAlignment="1">
      <alignment horizontal="center" vertical="center"/>
    </xf>
    <xf numFmtId="0" fontId="6" fillId="0" borderId="1737" xfId="0" applyFont="1" applyBorder="1" applyAlignment="1">
      <alignment horizontal="center" vertical="center"/>
    </xf>
    <xf numFmtId="1" fontId="6" fillId="5" borderId="1839" xfId="0" applyNumberFormat="1" applyFont="1" applyFill="1" applyBorder="1" applyAlignment="1" applyProtection="1">
      <alignment wrapText="1"/>
      <protection locked="0"/>
    </xf>
    <xf numFmtId="1" fontId="6" fillId="5" borderId="1737" xfId="0" applyNumberFormat="1" applyFont="1" applyFill="1" applyBorder="1" applyAlignment="1" applyProtection="1">
      <alignment wrapText="1"/>
      <protection locked="0"/>
    </xf>
    <xf numFmtId="1" fontId="6" fillId="5" borderId="1840" xfId="0" applyNumberFormat="1" applyFont="1" applyFill="1" applyBorder="1" applyAlignment="1" applyProtection="1">
      <alignment wrapText="1"/>
      <protection locked="0"/>
    </xf>
    <xf numFmtId="0" fontId="6" fillId="0" borderId="1675" xfId="0" applyFont="1" applyBorder="1" applyAlignment="1">
      <alignment horizontal="center" vertical="center"/>
    </xf>
    <xf numFmtId="1" fontId="6" fillId="5" borderId="1720" xfId="0" applyNumberFormat="1" applyFont="1" applyFill="1" applyBorder="1" applyAlignment="1" applyProtection="1">
      <alignment wrapText="1"/>
      <protection locked="0"/>
    </xf>
    <xf numFmtId="0" fontId="6" fillId="0" borderId="1838" xfId="0" applyFont="1" applyBorder="1" applyAlignment="1">
      <alignment horizontal="center" vertical="center"/>
    </xf>
    <xf numFmtId="0" fontId="6" fillId="0" borderId="1668" xfId="0" applyFont="1" applyBorder="1" applyAlignment="1">
      <alignment horizontal="center" vertical="center"/>
    </xf>
    <xf numFmtId="0" fontId="6" fillId="0" borderId="1826" xfId="0" applyFont="1" applyBorder="1" applyAlignment="1">
      <alignment horizontal="center" vertical="center" wrapText="1"/>
    </xf>
    <xf numFmtId="0" fontId="6" fillId="0" borderId="1736" xfId="0" applyFont="1" applyBorder="1" applyAlignment="1">
      <alignment horizontal="center" vertical="center" wrapText="1"/>
    </xf>
    <xf numFmtId="1" fontId="38" fillId="0" borderId="1519" xfId="0" applyNumberFormat="1" applyFont="1" applyBorder="1"/>
    <xf numFmtId="1" fontId="38" fillId="0" borderId="1736" xfId="0" applyNumberFormat="1" applyFont="1" applyBorder="1"/>
    <xf numFmtId="0" fontId="6" fillId="0" borderId="1736" xfId="0" applyFont="1" applyBorder="1" applyAlignment="1">
      <alignment horizontal="center" vertical="center"/>
    </xf>
    <xf numFmtId="0" fontId="6" fillId="0" borderId="1817" xfId="0" applyFont="1" applyBorder="1" applyAlignment="1">
      <alignment horizontal="center" vertical="center"/>
    </xf>
    <xf numFmtId="1" fontId="6" fillId="5" borderId="1817" xfId="0" applyNumberFormat="1" applyFont="1" applyFill="1" applyBorder="1" applyAlignment="1" applyProtection="1">
      <alignment wrapText="1"/>
      <protection locked="0"/>
    </xf>
    <xf numFmtId="0" fontId="13" fillId="0" borderId="1737" xfId="0" applyFont="1" applyBorder="1" applyAlignment="1">
      <alignment horizontal="center" vertical="center"/>
    </xf>
    <xf numFmtId="1" fontId="6" fillId="5" borderId="1649" xfId="0" applyNumberFormat="1" applyFont="1" applyFill="1" applyBorder="1" applyAlignment="1" applyProtection="1">
      <alignment wrapText="1"/>
      <protection locked="0"/>
    </xf>
    <xf numFmtId="1" fontId="6" fillId="0" borderId="1736" xfId="0" applyNumberFormat="1" applyFont="1" applyBorder="1"/>
    <xf numFmtId="0" fontId="13" fillId="0" borderId="1787" xfId="0" applyFont="1" applyBorder="1" applyAlignment="1">
      <alignment horizontal="center" vertical="center"/>
    </xf>
    <xf numFmtId="0" fontId="13" fillId="0" borderId="1736" xfId="0" applyFont="1" applyBorder="1" applyAlignment="1">
      <alignment horizontal="center" vertical="center" wrapText="1"/>
    </xf>
    <xf numFmtId="0" fontId="6" fillId="0" borderId="1647" xfId="0" applyFont="1" applyBorder="1"/>
    <xf numFmtId="0" fontId="6" fillId="0" borderId="1675" xfId="0" applyFont="1" applyBorder="1"/>
    <xf numFmtId="0" fontId="13" fillId="0" borderId="1736" xfId="0" applyFont="1" applyBorder="1"/>
    <xf numFmtId="1" fontId="38" fillId="0" borderId="1787" xfId="0" applyNumberFormat="1" applyFont="1" applyBorder="1"/>
    <xf numFmtId="0" fontId="13" fillId="0" borderId="1736" xfId="0" applyFont="1" applyBorder="1" applyAlignment="1">
      <alignment horizontal="center" vertical="center"/>
    </xf>
    <xf numFmtId="0" fontId="13" fillId="0" borderId="1826" xfId="0" applyFont="1" applyBorder="1" applyAlignment="1">
      <alignment horizontal="center"/>
    </xf>
    <xf numFmtId="0" fontId="13" fillId="0" borderId="1826" xfId="0" applyFont="1" applyBorder="1" applyAlignment="1">
      <alignment horizontal="center" vertical="center"/>
    </xf>
    <xf numFmtId="0" fontId="13" fillId="0" borderId="1826" xfId="0" applyFont="1" applyBorder="1" applyAlignment="1">
      <alignment horizontal="left" vertical="center"/>
    </xf>
    <xf numFmtId="1" fontId="6" fillId="0" borderId="0" xfId="0" applyNumberFormat="1" applyFont="1" applyAlignment="1">
      <alignment horizontal="left" wrapText="1"/>
    </xf>
    <xf numFmtId="1" fontId="4" fillId="36" borderId="1747" xfId="6" applyNumberFormat="1" applyFont="1" applyFill="1" applyBorder="1"/>
    <xf numFmtId="1" fontId="19" fillId="36" borderId="1747" xfId="6" applyNumberFormat="1" applyFont="1" applyFill="1" applyBorder="1"/>
    <xf numFmtId="1" fontId="34" fillId="0" borderId="0" xfId="6" applyNumberFormat="1" applyFont="1" applyAlignment="1">
      <alignment wrapText="1"/>
    </xf>
    <xf numFmtId="1" fontId="39" fillId="36" borderId="0" xfId="6" applyNumberFormat="1" applyFont="1" applyFill="1"/>
    <xf numFmtId="1" fontId="11" fillId="0" borderId="0" xfId="6" applyNumberFormat="1" applyFont="1"/>
    <xf numFmtId="1" fontId="6" fillId="0" borderId="1858" xfId="6" applyNumberFormat="1" applyFont="1" applyBorder="1" applyAlignment="1">
      <alignment horizontal="center" vertical="center" wrapText="1"/>
    </xf>
    <xf numFmtId="1" fontId="6" fillId="0" borderId="1859" xfId="6" applyNumberFormat="1" applyFont="1" applyBorder="1" applyAlignment="1">
      <alignment horizontal="center" vertical="center" wrapText="1"/>
    </xf>
    <xf numFmtId="1" fontId="6" fillId="0" borderId="1879" xfId="6" applyNumberFormat="1" applyFont="1" applyBorder="1" applyAlignment="1">
      <alignment horizontal="center" vertical="center" wrapText="1"/>
    </xf>
    <xf numFmtId="1" fontId="6" fillId="0" borderId="1792" xfId="6" applyNumberFormat="1" applyFont="1" applyBorder="1" applyAlignment="1">
      <alignment horizontal="center" vertical="center" wrapText="1"/>
    </xf>
    <xf numFmtId="1" fontId="6" fillId="0" borderId="1752" xfId="6" applyNumberFormat="1" applyFont="1" applyBorder="1" applyAlignment="1">
      <alignment horizontal="center" vertical="center" wrapText="1"/>
    </xf>
    <xf numFmtId="1" fontId="6" fillId="0" borderId="1759" xfId="6" applyNumberFormat="1" applyFont="1" applyBorder="1" applyAlignment="1">
      <alignment vertical="center"/>
    </xf>
    <xf numFmtId="1" fontId="6" fillId="0" borderId="1786" xfId="6" applyNumberFormat="1" applyFont="1" applyBorder="1"/>
    <xf numFmtId="1" fontId="6" fillId="37" borderId="1853" xfId="6" applyNumberFormat="1" applyFont="1" applyFill="1" applyBorder="1"/>
    <xf numFmtId="1" fontId="6" fillId="37" borderId="1848" xfId="6" applyNumberFormat="1" applyFont="1" applyFill="1" applyBorder="1"/>
    <xf numFmtId="1" fontId="6" fillId="0" borderId="1755" xfId="6" applyNumberFormat="1" applyFont="1" applyBorder="1" applyAlignment="1">
      <alignment vertical="center"/>
    </xf>
    <xf numFmtId="1" fontId="6" fillId="37" borderId="1764" xfId="6" applyNumberFormat="1" applyFont="1" applyFill="1" applyBorder="1"/>
    <xf numFmtId="1" fontId="6" fillId="37" borderId="1855" xfId="6" applyNumberFormat="1" applyFont="1" applyFill="1" applyBorder="1"/>
    <xf numFmtId="1" fontId="6" fillId="37" borderId="1783" xfId="6" applyNumberFormat="1" applyFont="1" applyFill="1" applyBorder="1"/>
    <xf numFmtId="1" fontId="6" fillId="0" borderId="1786" xfId="6" applyNumberFormat="1" applyFont="1" applyBorder="1" applyAlignment="1">
      <alignment vertical="center" wrapText="1"/>
    </xf>
    <xf numFmtId="1" fontId="6" fillId="0" borderId="1786" xfId="6" applyNumberFormat="1" applyFont="1" applyBorder="1" applyAlignment="1">
      <alignment vertical="center"/>
    </xf>
    <xf numFmtId="1" fontId="6" fillId="0" borderId="1761" xfId="6" applyNumberFormat="1" applyFont="1" applyBorder="1"/>
    <xf numFmtId="1" fontId="6" fillId="37" borderId="1765" xfId="6" applyNumberFormat="1" applyFont="1" applyFill="1" applyBorder="1"/>
    <xf numFmtId="1" fontId="6" fillId="37" borderId="1865" xfId="6" applyNumberFormat="1" applyFont="1" applyFill="1" applyBorder="1"/>
    <xf numFmtId="1" fontId="6" fillId="0" borderId="1767" xfId="6" applyNumberFormat="1" applyFont="1" applyBorder="1"/>
    <xf numFmtId="1" fontId="6" fillId="37" borderId="1867" xfId="6" applyNumberFormat="1" applyFont="1" applyFill="1" applyBorder="1"/>
    <xf numFmtId="1" fontId="6" fillId="37" borderId="1785" xfId="6" applyNumberFormat="1" applyFont="1" applyFill="1" applyBorder="1"/>
    <xf numFmtId="1" fontId="6" fillId="0" borderId="1736" xfId="0" applyNumberFormat="1" applyFont="1" applyBorder="1" applyAlignment="1">
      <alignment horizontal="center" vertical="center" wrapText="1"/>
    </xf>
    <xf numFmtId="1" fontId="6" fillId="0" borderId="1741" xfId="0" applyNumberFormat="1" applyFont="1" applyBorder="1" applyAlignment="1">
      <alignment horizontal="center" vertical="center" wrapText="1"/>
    </xf>
    <xf numFmtId="1" fontId="6" fillId="0" borderId="1772" xfId="0" applyNumberFormat="1" applyFont="1" applyBorder="1" applyAlignment="1">
      <alignment horizontal="center" vertical="center" wrapText="1"/>
    </xf>
    <xf numFmtId="1" fontId="6" fillId="0" borderId="1803" xfId="0" applyNumberFormat="1" applyFont="1" applyBorder="1" applyAlignment="1">
      <alignment horizontal="center" vertical="center" wrapText="1"/>
    </xf>
    <xf numFmtId="1" fontId="6" fillId="0" borderId="1615" xfId="0" applyNumberFormat="1" applyFont="1" applyBorder="1"/>
    <xf numFmtId="1" fontId="6" fillId="5" borderId="1808" xfId="0" applyNumberFormat="1" applyFont="1" applyFill="1" applyBorder="1" applyProtection="1">
      <protection locked="0"/>
    </xf>
    <xf numFmtId="1" fontId="6" fillId="5" borderId="1570" xfId="0" applyNumberFormat="1" applyFont="1" applyFill="1" applyBorder="1" applyProtection="1">
      <protection locked="0"/>
    </xf>
    <xf numFmtId="1" fontId="6" fillId="0" borderId="1739" xfId="0" applyNumberFormat="1" applyFont="1" applyBorder="1" applyAlignment="1">
      <alignment vertical="center"/>
    </xf>
    <xf numFmtId="1" fontId="6" fillId="5" borderId="1804" xfId="0" applyNumberFormat="1" applyFont="1" applyFill="1" applyBorder="1" applyProtection="1">
      <protection locked="0"/>
    </xf>
    <xf numFmtId="1" fontId="6" fillId="5" borderId="1812" xfId="0" applyNumberFormat="1" applyFont="1" applyFill="1" applyBorder="1" applyProtection="1">
      <protection locked="0"/>
    </xf>
    <xf numFmtId="1" fontId="6" fillId="0" borderId="1579" xfId="0" applyNumberFormat="1" applyFont="1" applyBorder="1"/>
    <xf numFmtId="1" fontId="6" fillId="5" borderId="1580" xfId="0" applyNumberFormat="1" applyFont="1" applyFill="1" applyBorder="1" applyProtection="1">
      <protection locked="0"/>
    </xf>
    <xf numFmtId="1" fontId="6" fillId="0" borderId="1737" xfId="0" applyNumberFormat="1" applyFont="1" applyBorder="1"/>
    <xf numFmtId="1" fontId="6" fillId="5" borderId="1809" xfId="0" applyNumberFormat="1" applyFont="1" applyFill="1" applyBorder="1" applyProtection="1">
      <protection locked="0"/>
    </xf>
    <xf numFmtId="1" fontId="6" fillId="5" borderId="1813" xfId="0" applyNumberFormat="1" applyFont="1" applyFill="1" applyBorder="1" applyProtection="1">
      <protection locked="0"/>
    </xf>
    <xf numFmtId="1" fontId="6" fillId="0" borderId="1592" xfId="0" applyNumberFormat="1" applyFont="1" applyBorder="1"/>
    <xf numFmtId="1" fontId="6" fillId="5" borderId="1703" xfId="0" applyNumberFormat="1" applyFont="1" applyFill="1" applyBorder="1" applyProtection="1">
      <protection locked="0"/>
    </xf>
    <xf numFmtId="1" fontId="6" fillId="0" borderId="1617" xfId="0" applyNumberFormat="1" applyFont="1" applyBorder="1" applyAlignment="1">
      <alignment horizontal="left" vertical="center"/>
    </xf>
    <xf numFmtId="1" fontId="6" fillId="0" borderId="1802" xfId="0" applyNumberFormat="1" applyFont="1" applyBorder="1"/>
    <xf numFmtId="1" fontId="6" fillId="0" borderId="1142" xfId="0" applyNumberFormat="1" applyFont="1" applyBorder="1" applyAlignment="1">
      <alignment horizontal="left" vertical="center"/>
    </xf>
    <xf numFmtId="1" fontId="6" fillId="0" borderId="1611" xfId="0" applyNumberFormat="1" applyFont="1" applyBorder="1" applyAlignment="1">
      <alignment vertical="center" wrapText="1"/>
    </xf>
    <xf numFmtId="1" fontId="6" fillId="0" borderId="1685" xfId="0" applyNumberFormat="1" applyFont="1" applyBorder="1"/>
    <xf numFmtId="1" fontId="6" fillId="0" borderId="1739" xfId="0" applyNumberFormat="1" applyFont="1" applyBorder="1" applyAlignment="1">
      <alignment vertical="center" wrapText="1"/>
    </xf>
    <xf numFmtId="1" fontId="6" fillId="0" borderId="1659" xfId="0" applyNumberFormat="1" applyFont="1" applyBorder="1" applyAlignment="1">
      <alignment vertical="center" wrapText="1"/>
    </xf>
    <xf numFmtId="1" fontId="6" fillId="5" borderId="1789" xfId="0" applyNumberFormat="1" applyFont="1" applyFill="1" applyBorder="1" applyProtection="1">
      <protection locked="0"/>
    </xf>
    <xf numFmtId="1" fontId="6" fillId="5" borderId="1741" xfId="0" applyNumberFormat="1" applyFont="1" applyFill="1" applyBorder="1" applyProtection="1">
      <protection locked="0"/>
    </xf>
    <xf numFmtId="1" fontId="6" fillId="5" borderId="1814" xfId="0" applyNumberFormat="1" applyFont="1" applyFill="1" applyBorder="1" applyProtection="1">
      <protection locked="0"/>
    </xf>
    <xf numFmtId="1" fontId="6" fillId="5" borderId="1803" xfId="0" applyNumberFormat="1" applyFont="1" applyFill="1" applyBorder="1" applyProtection="1">
      <protection locked="0"/>
    </xf>
    <xf numFmtId="1" fontId="6" fillId="0" borderId="1736" xfId="0" applyNumberFormat="1" applyFont="1" applyBorder="1" applyAlignment="1">
      <alignment horizontal="left" vertical="center"/>
    </xf>
    <xf numFmtId="1" fontId="6" fillId="0" borderId="1697" xfId="0" applyNumberFormat="1" applyFont="1" applyBorder="1" applyAlignment="1">
      <alignment horizontal="left" wrapText="1"/>
    </xf>
    <xf numFmtId="1" fontId="6" fillId="0" borderId="1666" xfId="0" applyNumberFormat="1" applyFont="1" applyBorder="1" applyAlignment="1">
      <alignment horizontal="left" wrapText="1"/>
    </xf>
    <xf numFmtId="1" fontId="6" fillId="0" borderId="1613" xfId="0" applyNumberFormat="1" applyFont="1" applyBorder="1" applyAlignment="1">
      <alignment horizontal="left" wrapText="1"/>
    </xf>
    <xf numFmtId="1" fontId="6" fillId="5" borderId="1697" xfId="0" applyNumberFormat="1" applyFont="1" applyFill="1" applyBorder="1" applyProtection="1">
      <protection locked="0"/>
    </xf>
    <xf numFmtId="1" fontId="6" fillId="0" borderId="1789" xfId="0" applyNumberFormat="1" applyFont="1" applyBorder="1"/>
    <xf numFmtId="1" fontId="6" fillId="0" borderId="1672" xfId="0" applyNumberFormat="1" applyFont="1" applyBorder="1"/>
    <xf numFmtId="1" fontId="6" fillId="0" borderId="1788" xfId="0" applyNumberFormat="1" applyFont="1" applyBorder="1"/>
    <xf numFmtId="1" fontId="6" fillId="0" borderId="1803" xfId="0" applyNumberFormat="1" applyFont="1" applyBorder="1"/>
    <xf numFmtId="1" fontId="4" fillId="3" borderId="1891" xfId="0" applyNumberFormat="1" applyFont="1" applyFill="1" applyBorder="1"/>
    <xf numFmtId="1" fontId="4" fillId="3" borderId="1079" xfId="0" applyNumberFormat="1" applyFont="1" applyFill="1" applyBorder="1"/>
    <xf numFmtId="1" fontId="6" fillId="0" borderId="1900" xfId="0" applyNumberFormat="1" applyFont="1" applyBorder="1" applyAlignment="1">
      <alignment horizontal="center" vertical="center"/>
    </xf>
    <xf numFmtId="1" fontId="6" fillId="0" borderId="1888" xfId="0" applyNumberFormat="1" applyFont="1" applyBorder="1" applyAlignment="1">
      <alignment horizontal="center" vertical="center" wrapText="1"/>
    </xf>
    <xf numFmtId="1" fontId="6" fillId="0" borderId="1893" xfId="0" applyNumberFormat="1" applyFont="1" applyBorder="1" applyAlignment="1">
      <alignment horizontal="center" vertical="center" wrapText="1"/>
    </xf>
    <xf numFmtId="1" fontId="6" fillId="0" borderId="1892" xfId="0" applyNumberFormat="1" applyFont="1" applyBorder="1" applyAlignment="1">
      <alignment horizontal="center" vertical="center" wrapText="1"/>
    </xf>
    <xf numFmtId="1" fontId="6" fillId="0" borderId="1828" xfId="0" applyNumberFormat="1" applyFont="1" applyBorder="1" applyAlignment="1">
      <alignment horizontal="left"/>
    </xf>
    <xf numFmtId="1" fontId="6" fillId="3" borderId="1905" xfId="14" applyNumberFormat="1" applyFont="1" applyFill="1" applyBorder="1" applyAlignment="1">
      <alignment horizontal="right"/>
    </xf>
    <xf numFmtId="1" fontId="6" fillId="3" borderId="1674" xfId="14" applyNumberFormat="1" applyFont="1" applyFill="1" applyBorder="1" applyAlignment="1">
      <alignment horizontal="right"/>
    </xf>
    <xf numFmtId="1" fontId="6" fillId="3" borderId="1659" xfId="14" applyNumberFormat="1" applyFont="1" applyFill="1" applyBorder="1" applyAlignment="1">
      <alignment horizontal="right"/>
    </xf>
    <xf numFmtId="1" fontId="6" fillId="3" borderId="1906" xfId="14" applyNumberFormat="1" applyFont="1" applyFill="1" applyBorder="1" applyAlignment="1">
      <alignment horizontal="right"/>
    </xf>
    <xf numFmtId="1" fontId="6" fillId="3" borderId="1424" xfId="14" applyNumberFormat="1" applyFont="1" applyFill="1" applyBorder="1" applyAlignment="1">
      <alignment horizontal="right"/>
    </xf>
    <xf numFmtId="1" fontId="6" fillId="3" borderId="1846" xfId="14" applyNumberFormat="1" applyFont="1" applyFill="1" applyBorder="1" applyAlignment="1">
      <alignment horizontal="right"/>
    </xf>
    <xf numFmtId="1" fontId="6" fillId="0" borderId="1737" xfId="0" applyNumberFormat="1" applyFont="1" applyBorder="1" applyAlignment="1">
      <alignment horizontal="left"/>
    </xf>
    <xf numFmtId="1" fontId="6" fillId="0" borderId="1901" xfId="0" applyNumberFormat="1" applyFont="1" applyBorder="1" applyAlignment="1">
      <alignment horizontal="center" vertical="center" wrapText="1"/>
    </xf>
    <xf numFmtId="1" fontId="6" fillId="3" borderId="1900" xfId="14" applyNumberFormat="1" applyFont="1" applyFill="1" applyBorder="1" applyAlignment="1">
      <alignment horizontal="right"/>
    </xf>
    <xf numFmtId="1" fontId="6" fillId="3" borderId="1898" xfId="14" applyNumberFormat="1" applyFont="1" applyFill="1" applyBorder="1" applyAlignment="1">
      <alignment horizontal="right"/>
    </xf>
    <xf numFmtId="1" fontId="6" fillId="3" borderId="1899" xfId="14" applyNumberFormat="1" applyFont="1" applyFill="1" applyBorder="1" applyAlignment="1">
      <alignment horizontal="right"/>
    </xf>
    <xf numFmtId="1" fontId="6" fillId="5" borderId="1895" xfId="0" applyNumberFormat="1" applyFont="1" applyFill="1" applyBorder="1" applyProtection="1">
      <protection locked="0"/>
    </xf>
    <xf numFmtId="1" fontId="6" fillId="5" borderId="1894" xfId="0" applyNumberFormat="1" applyFont="1" applyFill="1" applyBorder="1" applyProtection="1">
      <protection locked="0"/>
    </xf>
    <xf numFmtId="1" fontId="6" fillId="0" borderId="2192" xfId="0" applyNumberFormat="1" applyFont="1" applyBorder="1"/>
    <xf numFmtId="1" fontId="4" fillId="3" borderId="1313" xfId="0" applyNumberFormat="1" applyFont="1" applyFill="1" applyBorder="1" applyAlignment="1">
      <alignment horizontal="left"/>
    </xf>
    <xf numFmtId="1" fontId="6" fillId="0" borderId="1525" xfId="0" applyNumberFormat="1" applyFont="1" applyBorder="1" applyAlignment="1">
      <alignment horizontal="center" vertical="center" wrapText="1"/>
    </xf>
    <xf numFmtId="1" fontId="6" fillId="0" borderId="1400" xfId="0" applyNumberFormat="1" applyFont="1" applyBorder="1" applyAlignment="1">
      <alignment horizontal="center" vertical="center"/>
    </xf>
    <xf numFmtId="1" fontId="6" fillId="0" borderId="1397" xfId="0" applyNumberFormat="1" applyFont="1" applyBorder="1" applyAlignment="1">
      <alignment horizontal="center" vertical="center"/>
    </xf>
    <xf numFmtId="1" fontId="6" fillId="0" borderId="1396" xfId="0" applyNumberFormat="1" applyFont="1" applyBorder="1" applyAlignment="1">
      <alignment horizontal="center" vertical="center"/>
    </xf>
    <xf numFmtId="1" fontId="6" fillId="0" borderId="1387" xfId="0" applyNumberFormat="1" applyFont="1" applyBorder="1" applyAlignment="1">
      <alignment horizontal="center" vertical="center"/>
    </xf>
    <xf numFmtId="1" fontId="6" fillId="0" borderId="1398" xfId="0" applyNumberFormat="1" applyFont="1" applyBorder="1"/>
    <xf numFmtId="1" fontId="6" fillId="0" borderId="1397" xfId="0" applyNumberFormat="1" applyFont="1" applyBorder="1"/>
    <xf numFmtId="1" fontId="6" fillId="0" borderId="1400" xfId="0" applyNumberFormat="1" applyFont="1" applyBorder="1"/>
    <xf numFmtId="1" fontId="6" fillId="3" borderId="1397" xfId="0" applyNumberFormat="1" applyFont="1" applyFill="1" applyBorder="1"/>
    <xf numFmtId="1" fontId="6" fillId="3" borderId="1395" xfId="0" applyNumberFormat="1" applyFont="1" applyFill="1" applyBorder="1"/>
    <xf numFmtId="0" fontId="32" fillId="0" borderId="2155" xfId="0" applyFont="1" applyBorder="1" applyAlignment="1">
      <alignment vertical="center"/>
    </xf>
    <xf numFmtId="0" fontId="32" fillId="0" borderId="807" xfId="0" applyFont="1" applyBorder="1" applyAlignment="1">
      <alignment vertical="center"/>
    </xf>
    <xf numFmtId="0" fontId="32" fillId="0" borderId="1495" xfId="0" applyFont="1" applyBorder="1" applyAlignment="1">
      <alignment vertical="center"/>
    </xf>
    <xf numFmtId="0" fontId="6" fillId="0" borderId="1838" xfId="0" applyFont="1" applyBorder="1" applyAlignment="1">
      <alignment horizontal="left" vertical="center" wrapText="1"/>
    </xf>
    <xf numFmtId="0" fontId="6" fillId="0" borderId="1592" xfId="0" applyFont="1" applyBorder="1" applyAlignment="1">
      <alignment horizontal="right" vertical="center" wrapText="1"/>
    </xf>
    <xf numFmtId="0" fontId="6" fillId="0" borderId="2153" xfId="0" applyFont="1" applyBorder="1" applyAlignment="1">
      <alignment horizontal="right" vertical="center" wrapText="1"/>
    </xf>
    <xf numFmtId="0" fontId="9" fillId="14" borderId="0" xfId="0" applyFont="1" applyFill="1" applyProtection="1">
      <protection locked="0"/>
    </xf>
    <xf numFmtId="1" fontId="9" fillId="0" borderId="0" xfId="0" applyNumberFormat="1" applyFont="1" applyProtection="1">
      <protection locked="0"/>
    </xf>
    <xf numFmtId="1" fontId="6" fillId="0" borderId="1837" xfId="0" applyNumberFormat="1" applyFont="1" applyBorder="1" applyAlignment="1">
      <alignment horizontal="center" vertical="center" wrapText="1"/>
    </xf>
    <xf numFmtId="1" fontId="6" fillId="0" borderId="1650" xfId="0" applyNumberFormat="1" applyFont="1" applyBorder="1" applyAlignment="1">
      <alignment horizontal="center" vertical="center" wrapText="1"/>
    </xf>
    <xf numFmtId="1" fontId="6" fillId="5" borderId="142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81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814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128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108" xfId="0" applyNumberFormat="1" applyFont="1" applyFill="1" applyBorder="1" applyAlignment="1" applyProtection="1">
      <alignment horizontal="center" vertical="center" wrapText="1"/>
      <protection locked="0"/>
    </xf>
    <xf numFmtId="1" fontId="6" fillId="3" borderId="1837" xfId="0" applyNumberFormat="1" applyFont="1" applyFill="1" applyBorder="1" applyAlignment="1">
      <alignment horizontal="center" vertical="center" wrapText="1"/>
    </xf>
    <xf numFmtId="1" fontId="6" fillId="3" borderId="1650" xfId="0" applyNumberFormat="1" applyFont="1" applyFill="1" applyBorder="1" applyAlignment="1">
      <alignment horizontal="center" vertical="center" wrapText="1"/>
    </xf>
    <xf numFmtId="1" fontId="6" fillId="5" borderId="1077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129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149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494" xfId="0" applyNumberFormat="1" applyFont="1" applyBorder="1" applyAlignment="1">
      <alignment horizontal="center" vertical="center" wrapText="1"/>
    </xf>
    <xf numFmtId="1" fontId="6" fillId="5" borderId="2164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160" xfId="0" applyNumberFormat="1" applyFont="1" applyFill="1" applyBorder="1" applyAlignment="1" applyProtection="1">
      <alignment horizontal="center" vertical="center" wrapText="1"/>
      <protection locked="0"/>
    </xf>
    <xf numFmtId="0" fontId="38" fillId="23" borderId="811" xfId="0" applyFont="1" applyFill="1" applyBorder="1"/>
    <xf numFmtId="1" fontId="6" fillId="0" borderId="1493" xfId="0" applyNumberFormat="1" applyFont="1" applyBorder="1" applyAlignment="1">
      <alignment horizontal="right" wrapText="1"/>
    </xf>
    <xf numFmtId="1" fontId="6" fillId="15" borderId="2174" xfId="0" applyNumberFormat="1" applyFont="1" applyFill="1" applyBorder="1" applyProtection="1">
      <protection locked="0"/>
    </xf>
    <xf numFmtId="1" fontId="6" fillId="15" borderId="1928" xfId="0" applyNumberFormat="1" applyFont="1" applyFill="1" applyBorder="1" applyProtection="1">
      <protection locked="0"/>
    </xf>
    <xf numFmtId="1" fontId="6" fillId="0" borderId="1421" xfId="0" applyNumberFormat="1" applyFont="1" applyBorder="1" applyAlignment="1">
      <alignment horizontal="right" wrapText="1"/>
    </xf>
    <xf numFmtId="1" fontId="6" fillId="4" borderId="2174" xfId="0" applyNumberFormat="1" applyFont="1" applyFill="1" applyBorder="1"/>
    <xf numFmtId="1" fontId="6" fillId="4" borderId="1928" xfId="0" applyNumberFormat="1" applyFont="1" applyFill="1" applyBorder="1"/>
    <xf numFmtId="1" fontId="6" fillId="12" borderId="1837" xfId="0" applyNumberFormat="1" applyFont="1" applyFill="1" applyBorder="1"/>
    <xf numFmtId="1" fontId="6" fillId="5" borderId="2190" xfId="0" applyNumberFormat="1" applyFont="1" applyFill="1" applyBorder="1" applyProtection="1">
      <protection locked="0"/>
    </xf>
    <xf numFmtId="1" fontId="6" fillId="12" borderId="2184" xfId="0" applyNumberFormat="1" applyFont="1" applyFill="1" applyBorder="1"/>
    <xf numFmtId="1" fontId="6" fillId="12" borderId="1651" xfId="0" applyNumberFormat="1" applyFont="1" applyFill="1" applyBorder="1"/>
    <xf numFmtId="1" fontId="6" fillId="12" borderId="1692" xfId="0" applyNumberFormat="1" applyFont="1" applyFill="1" applyBorder="1"/>
    <xf numFmtId="1" fontId="6" fillId="3" borderId="2184" xfId="0" applyNumberFormat="1" applyFont="1" applyFill="1" applyBorder="1" applyAlignment="1">
      <alignment horizontal="right" wrapText="1"/>
    </xf>
    <xf numFmtId="1" fontId="6" fillId="3" borderId="2184" xfId="0" applyNumberFormat="1" applyFont="1" applyFill="1" applyBorder="1" applyAlignment="1">
      <alignment horizontal="right"/>
    </xf>
    <xf numFmtId="1" fontId="6" fillId="14" borderId="1927" xfId="0" applyNumberFormat="1" applyFont="1" applyFill="1" applyBorder="1"/>
    <xf numFmtId="1" fontId="6" fillId="14" borderId="1692" xfId="0" applyNumberFormat="1" applyFont="1" applyFill="1" applyBorder="1"/>
    <xf numFmtId="1" fontId="6" fillId="14" borderId="2190" xfId="0" applyNumberFormat="1" applyFont="1" applyFill="1" applyBorder="1"/>
    <xf numFmtId="1" fontId="6" fillId="14" borderId="2184" xfId="0" applyNumberFormat="1" applyFont="1" applyFill="1" applyBorder="1"/>
    <xf numFmtId="1" fontId="6" fillId="12" borderId="1494" xfId="0" applyNumberFormat="1" applyFont="1" applyFill="1" applyBorder="1"/>
    <xf numFmtId="1" fontId="6" fillId="12" borderId="1650" xfId="0" applyNumberFormat="1" applyFont="1" applyFill="1" applyBorder="1"/>
    <xf numFmtId="1" fontId="6" fillId="0" borderId="2184" xfId="0" applyNumberFormat="1" applyFont="1" applyBorder="1" applyAlignment="1">
      <alignment horizontal="left" vertical="center"/>
    </xf>
    <xf numFmtId="1" fontId="6" fillId="3" borderId="1421" xfId="0" applyNumberFormat="1" applyFont="1" applyFill="1" applyBorder="1" applyAlignment="1">
      <alignment horizontal="right" wrapText="1"/>
    </xf>
    <xf numFmtId="1" fontId="6" fillId="4" borderId="1837" xfId="0" applyNumberFormat="1" applyFont="1" applyFill="1" applyBorder="1"/>
    <xf numFmtId="1" fontId="6" fillId="4" borderId="1421" xfId="0" applyNumberFormat="1" applyFont="1" applyFill="1" applyBorder="1"/>
    <xf numFmtId="1" fontId="6" fillId="12" borderId="2174" xfId="0" applyNumberFormat="1" applyFont="1" applyFill="1" applyBorder="1"/>
    <xf numFmtId="1" fontId="6" fillId="3" borderId="1421" xfId="0" applyNumberFormat="1" applyFont="1" applyFill="1" applyBorder="1" applyAlignment="1">
      <alignment horizontal="right"/>
    </xf>
    <xf numFmtId="1" fontId="6" fillId="4" borderId="1108" xfId="0" applyNumberFormat="1" applyFont="1" applyFill="1" applyBorder="1"/>
    <xf numFmtId="1" fontId="6" fillId="12" borderId="1837" xfId="0" applyNumberFormat="1" applyFont="1" applyFill="1" applyBorder="1" applyProtection="1">
      <protection locked="0"/>
    </xf>
    <xf numFmtId="1" fontId="6" fillId="4" borderId="1424" xfId="0" applyNumberFormat="1" applyFont="1" applyFill="1" applyBorder="1"/>
    <xf numFmtId="1" fontId="6" fillId="4" borderId="2128" xfId="0" applyNumberFormat="1" applyFont="1" applyFill="1" applyBorder="1"/>
    <xf numFmtId="1" fontId="6" fillId="12" borderId="1149" xfId="0" applyNumberFormat="1" applyFont="1" applyFill="1" applyBorder="1"/>
    <xf numFmtId="1" fontId="6" fillId="4" borderId="1241" xfId="0" applyNumberFormat="1" applyFont="1" applyFill="1" applyBorder="1"/>
    <xf numFmtId="1" fontId="6" fillId="12" borderId="1108" xfId="0" applyNumberFormat="1" applyFont="1" applyFill="1" applyBorder="1"/>
    <xf numFmtId="1" fontId="10" fillId="3" borderId="1927" xfId="0" applyNumberFormat="1" applyFont="1" applyFill="1" applyBorder="1" applyAlignment="1">
      <alignment horizontal="left"/>
    </xf>
    <xf numFmtId="1" fontId="11" fillId="0" borderId="2195" xfId="0" applyNumberFormat="1" applyFont="1" applyBorder="1"/>
    <xf numFmtId="1" fontId="11" fillId="0" borderId="2196" xfId="0" applyNumberFormat="1" applyFont="1" applyBorder="1"/>
    <xf numFmtId="1" fontId="6" fillId="0" borderId="2198" xfId="0" applyNumberFormat="1" applyFont="1" applyBorder="1" applyAlignment="1">
      <alignment horizontal="center" vertical="center" wrapText="1"/>
    </xf>
    <xf numFmtId="1" fontId="6" fillId="14" borderId="1927" xfId="0" applyNumberFormat="1" applyFont="1" applyFill="1" applyBorder="1" applyAlignment="1">
      <alignment wrapText="1"/>
    </xf>
    <xf numFmtId="1" fontId="6" fillId="0" borderId="1927" xfId="0" applyNumberFormat="1" applyFont="1" applyBorder="1" applyAlignment="1">
      <alignment wrapText="1"/>
    </xf>
    <xf numFmtId="1" fontId="6" fillId="14" borderId="2200" xfId="0" applyNumberFormat="1" applyFont="1" applyFill="1" applyBorder="1" applyAlignment="1">
      <alignment wrapText="1"/>
    </xf>
    <xf numFmtId="1" fontId="6" fillId="14" borderId="2201" xfId="0" applyNumberFormat="1" applyFont="1" applyFill="1" applyBorder="1" applyAlignment="1">
      <alignment wrapText="1"/>
    </xf>
    <xf numFmtId="1" fontId="9" fillId="0" borderId="1825" xfId="0" applyNumberFormat="1" applyFont="1" applyBorder="1"/>
    <xf numFmtId="1" fontId="9" fillId="0" borderId="1825" xfId="0" applyNumberFormat="1" applyFont="1" applyBorder="1" applyProtection="1">
      <protection locked="0"/>
    </xf>
    <xf numFmtId="1" fontId="9" fillId="14" borderId="341" xfId="0" applyNumberFormat="1" applyFont="1" applyFill="1" applyBorder="1" applyProtection="1">
      <protection locked="0"/>
    </xf>
    <xf numFmtId="1" fontId="6" fillId="5" borderId="1494" xfId="0" applyNumberFormat="1" applyFont="1" applyFill="1" applyBorder="1" applyAlignment="1" applyProtection="1">
      <alignment wrapText="1"/>
      <protection locked="0"/>
    </xf>
    <xf numFmtId="1" fontId="6" fillId="5" borderId="1103" xfId="0" applyNumberFormat="1" applyFont="1" applyFill="1" applyBorder="1" applyAlignment="1" applyProtection="1">
      <alignment wrapText="1"/>
      <protection locked="0"/>
    </xf>
    <xf numFmtId="1" fontId="6" fillId="5" borderId="1507" xfId="0" applyNumberFormat="1" applyFont="1" applyFill="1" applyBorder="1" applyAlignment="1" applyProtection="1">
      <alignment wrapText="1"/>
      <protection locked="0"/>
    </xf>
    <xf numFmtId="1" fontId="6" fillId="5" borderId="1241" xfId="0" applyNumberFormat="1" applyFont="1" applyFill="1" applyBorder="1" applyAlignment="1" applyProtection="1">
      <alignment wrapText="1"/>
      <protection locked="0"/>
    </xf>
    <xf numFmtId="1" fontId="6" fillId="5" borderId="1651" xfId="0" applyNumberFormat="1" applyFont="1" applyFill="1" applyBorder="1" applyAlignment="1" applyProtection="1">
      <alignment wrapText="1"/>
      <protection locked="0"/>
    </xf>
    <xf numFmtId="1" fontId="6" fillId="5" borderId="1073" xfId="0" applyNumberFormat="1" applyFont="1" applyFill="1" applyBorder="1" applyAlignment="1" applyProtection="1">
      <alignment wrapText="1"/>
      <protection locked="0"/>
    </xf>
    <xf numFmtId="1" fontId="6" fillId="5" borderId="1650" xfId="0" applyNumberFormat="1" applyFont="1" applyFill="1" applyBorder="1" applyAlignment="1" applyProtection="1">
      <alignment wrapText="1"/>
      <protection locked="0"/>
    </xf>
    <xf numFmtId="1" fontId="6" fillId="5" borderId="1151" xfId="0" applyNumberFormat="1" applyFont="1" applyFill="1" applyBorder="1" applyAlignment="1" applyProtection="1">
      <alignment wrapText="1"/>
      <protection locked="0"/>
    </xf>
    <xf numFmtId="1" fontId="6" fillId="5" borderId="1424" xfId="0" applyNumberFormat="1" applyFont="1" applyFill="1" applyBorder="1" applyAlignment="1" applyProtection="1">
      <alignment wrapText="1"/>
      <protection locked="0"/>
    </xf>
    <xf numFmtId="1" fontId="6" fillId="5" borderId="1180" xfId="0" applyNumberFormat="1" applyFont="1" applyFill="1" applyBorder="1" applyAlignment="1" applyProtection="1">
      <alignment wrapText="1"/>
      <protection locked="0"/>
    </xf>
    <xf numFmtId="1" fontId="6" fillId="5" borderId="2128" xfId="0" applyNumberFormat="1" applyFont="1" applyFill="1" applyBorder="1" applyAlignment="1" applyProtection="1">
      <alignment wrapText="1"/>
      <protection locked="0"/>
    </xf>
    <xf numFmtId="1" fontId="6" fillId="12" borderId="2128" xfId="0" applyNumberFormat="1" applyFont="1" applyFill="1" applyBorder="1" applyAlignment="1">
      <alignment wrapText="1"/>
    </xf>
    <xf numFmtId="1" fontId="6" fillId="0" borderId="1103" xfId="0" applyNumberFormat="1" applyFont="1" applyBorder="1" applyAlignment="1">
      <alignment horizontal="right" wrapText="1"/>
    </xf>
    <xf numFmtId="1" fontId="6" fillId="12" borderId="1241" xfId="0" applyNumberFormat="1" applyFont="1" applyFill="1" applyBorder="1" applyAlignment="1">
      <alignment wrapText="1"/>
    </xf>
    <xf numFmtId="1" fontId="6" fillId="0" borderId="1424" xfId="0" applyNumberFormat="1" applyFont="1" applyBorder="1" applyAlignment="1">
      <alignment horizontal="right" wrapText="1"/>
    </xf>
    <xf numFmtId="1" fontId="6" fillId="12" borderId="1507" xfId="0" applyNumberFormat="1" applyFont="1" applyFill="1" applyBorder="1" applyAlignment="1">
      <alignment wrapText="1"/>
    </xf>
    <xf numFmtId="1" fontId="6" fillId="0" borderId="1658" xfId="0" applyNumberFormat="1" applyFont="1" applyBorder="1" applyAlignment="1">
      <alignment horizontal="right" wrapText="1"/>
    </xf>
    <xf numFmtId="1" fontId="6" fillId="0" borderId="2194" xfId="0" applyNumberFormat="1" applyFont="1" applyBorder="1" applyAlignment="1">
      <alignment horizontal="right" wrapText="1"/>
    </xf>
    <xf numFmtId="1" fontId="6" fillId="5" borderId="2194" xfId="0" applyNumberFormat="1" applyFont="1" applyFill="1" applyBorder="1" applyAlignment="1" applyProtection="1">
      <alignment wrapText="1"/>
      <protection locked="0"/>
    </xf>
    <xf numFmtId="1" fontId="6" fillId="12" borderId="2202" xfId="0" applyNumberFormat="1" applyFont="1" applyFill="1" applyBorder="1" applyAlignment="1">
      <alignment wrapText="1"/>
    </xf>
    <xf numFmtId="1" fontId="6" fillId="12" borderId="2203" xfId="0" applyNumberFormat="1" applyFont="1" applyFill="1" applyBorder="1" applyAlignment="1">
      <alignment wrapText="1"/>
    </xf>
    <xf numFmtId="1" fontId="6" fillId="12" borderId="1658" xfId="0" applyNumberFormat="1" applyFont="1" applyFill="1" applyBorder="1" applyAlignment="1">
      <alignment wrapText="1"/>
    </xf>
    <xf numFmtId="1" fontId="6" fillId="5" borderId="1658" xfId="0" applyNumberFormat="1" applyFont="1" applyFill="1" applyBorder="1" applyAlignment="1" applyProtection="1">
      <alignment wrapText="1"/>
      <protection locked="0"/>
    </xf>
    <xf numFmtId="1" fontId="6" fillId="5" borderId="1692" xfId="0" applyNumberFormat="1" applyFont="1" applyFill="1" applyBorder="1" applyAlignment="1" applyProtection="1">
      <alignment wrapText="1"/>
      <protection locked="0"/>
    </xf>
    <xf numFmtId="1" fontId="6" fillId="4" borderId="1151" xfId="0" applyNumberFormat="1" applyFont="1" applyFill="1" applyBorder="1" applyAlignment="1">
      <alignment wrapText="1"/>
    </xf>
    <xf numFmtId="1" fontId="6" fillId="4" borderId="1424" xfId="0" applyNumberFormat="1" applyFont="1" applyFill="1" applyBorder="1" applyAlignment="1">
      <alignment wrapText="1"/>
    </xf>
    <xf numFmtId="1" fontId="6" fillId="4" borderId="1494" xfId="0" applyNumberFormat="1" applyFont="1" applyFill="1" applyBorder="1" applyAlignment="1">
      <alignment wrapText="1"/>
    </xf>
    <xf numFmtId="1" fontId="6" fillId="4" borderId="1103" xfId="0" applyNumberFormat="1" applyFont="1" applyFill="1" applyBorder="1" applyAlignment="1">
      <alignment wrapText="1"/>
    </xf>
    <xf numFmtId="1" fontId="6" fillId="4" borderId="1837" xfId="0" applyNumberFormat="1" applyFont="1" applyFill="1" applyBorder="1" applyAlignment="1">
      <alignment wrapText="1"/>
    </xf>
    <xf numFmtId="1" fontId="6" fillId="4" borderId="1651" xfId="0" applyNumberFormat="1" applyFont="1" applyFill="1" applyBorder="1" applyAlignment="1">
      <alignment wrapText="1"/>
    </xf>
    <xf numFmtId="1" fontId="6" fillId="12" borderId="1651" xfId="0" applyNumberFormat="1" applyFont="1" applyFill="1" applyBorder="1" applyAlignment="1">
      <alignment wrapText="1"/>
    </xf>
    <xf numFmtId="1" fontId="6" fillId="12" borderId="1837" xfId="0" applyNumberFormat="1" applyFont="1" applyFill="1" applyBorder="1" applyAlignment="1">
      <alignment wrapText="1"/>
    </xf>
    <xf numFmtId="1" fontId="6" fillId="12" borderId="2174" xfId="0" applyNumberFormat="1" applyFont="1" applyFill="1" applyBorder="1" applyAlignment="1">
      <alignment wrapText="1"/>
    </xf>
    <xf numFmtId="1" fontId="6" fillId="12" borderId="1928" xfId="0" applyNumberFormat="1" applyFont="1" applyFill="1" applyBorder="1" applyAlignment="1">
      <alignment wrapText="1"/>
    </xf>
    <xf numFmtId="1" fontId="6" fillId="12" borderId="768" xfId="0" applyNumberFormat="1" applyFont="1" applyFill="1" applyBorder="1" applyAlignment="1">
      <alignment wrapText="1"/>
    </xf>
    <xf numFmtId="1" fontId="6" fillId="0" borderId="378" xfId="0" applyNumberFormat="1" applyFont="1" applyBorder="1" applyAlignment="1">
      <alignment horizontal="right" wrapText="1"/>
    </xf>
    <xf numFmtId="1" fontId="6" fillId="12" borderId="1692" xfId="0" applyNumberFormat="1" applyFont="1" applyFill="1" applyBorder="1" applyAlignment="1">
      <alignment wrapText="1"/>
    </xf>
    <xf numFmtId="1" fontId="6" fillId="12" borderId="378" xfId="0" applyNumberFormat="1" applyFont="1" applyFill="1" applyBorder="1" applyAlignment="1">
      <alignment wrapText="1"/>
    </xf>
    <xf numFmtId="1" fontId="6" fillId="5" borderId="1028" xfId="0" applyNumberFormat="1" applyFont="1" applyFill="1" applyBorder="1" applyAlignment="1" applyProtection="1">
      <alignment wrapText="1"/>
      <protection locked="0"/>
    </xf>
    <xf numFmtId="1" fontId="6" fillId="5" borderId="375" xfId="0" applyNumberFormat="1" applyFont="1" applyFill="1" applyBorder="1" applyAlignment="1" applyProtection="1">
      <alignment wrapText="1"/>
      <protection locked="0"/>
    </xf>
    <xf numFmtId="1" fontId="6" fillId="5" borderId="1928" xfId="0" applyNumberFormat="1" applyFont="1" applyFill="1" applyBorder="1" applyAlignment="1" applyProtection="1">
      <alignment wrapText="1"/>
      <protection locked="0"/>
    </xf>
    <xf numFmtId="1" fontId="6" fillId="3" borderId="1650" xfId="0" applyNumberFormat="1" applyFont="1" applyFill="1" applyBorder="1" applyAlignment="1">
      <alignment horizontal="right" wrapText="1"/>
    </xf>
    <xf numFmtId="1" fontId="6" fillId="3" borderId="1651" xfId="0" applyNumberFormat="1" applyFont="1" applyFill="1" applyBorder="1" applyAlignment="1">
      <alignment horizontal="right" wrapText="1"/>
    </xf>
    <xf numFmtId="1" fontId="6" fillId="3" borderId="1494" xfId="0" applyNumberFormat="1" applyFont="1" applyFill="1" applyBorder="1" applyAlignment="1">
      <alignment horizontal="right" wrapText="1"/>
    </xf>
    <xf numFmtId="1" fontId="6" fillId="3" borderId="1103" xfId="0" applyNumberFormat="1" applyFont="1" applyFill="1" applyBorder="1" applyAlignment="1">
      <alignment horizontal="right" wrapText="1"/>
    </xf>
    <xf numFmtId="1" fontId="6" fillId="3" borderId="1241" xfId="0" applyNumberFormat="1" applyFont="1" applyFill="1" applyBorder="1" applyAlignment="1">
      <alignment horizontal="right" wrapText="1"/>
    </xf>
    <xf numFmtId="1" fontId="6" fillId="5" borderId="824" xfId="0" applyNumberFormat="1" applyFont="1" applyFill="1" applyBorder="1" applyProtection="1">
      <protection locked="0"/>
    </xf>
    <xf numFmtId="1" fontId="6" fillId="12" borderId="1928" xfId="0" applyNumberFormat="1" applyFont="1" applyFill="1" applyBorder="1"/>
    <xf numFmtId="1" fontId="6" fillId="12" borderId="812" xfId="0" applyNumberFormat="1" applyFont="1" applyFill="1" applyBorder="1"/>
    <xf numFmtId="1" fontId="6" fillId="0" borderId="631" xfId="0" applyNumberFormat="1" applyFont="1" applyBorder="1" applyAlignment="1">
      <alignment horizontal="center" vertical="center" wrapText="1"/>
    </xf>
    <xf numFmtId="1" fontId="6" fillId="0" borderId="1680" xfId="0" applyNumberFormat="1" applyFont="1" applyBorder="1" applyAlignment="1">
      <alignment wrapText="1"/>
    </xf>
    <xf numFmtId="1" fontId="6" fillId="15" borderId="1680" xfId="0" applyNumberFormat="1" applyFont="1" applyFill="1" applyBorder="1" applyProtection="1">
      <protection locked="0"/>
    </xf>
    <xf numFmtId="1" fontId="6" fillId="0" borderId="71" xfId="0" applyNumberFormat="1" applyFont="1" applyBorder="1" applyAlignment="1">
      <alignment wrapText="1"/>
    </xf>
    <xf numFmtId="1" fontId="6" fillId="15" borderId="1421" xfId="0" applyNumberFormat="1" applyFont="1" applyFill="1" applyBorder="1" applyProtection="1">
      <protection locked="0"/>
    </xf>
    <xf numFmtId="1" fontId="6" fillId="0" borderId="1666" xfId="0" applyNumberFormat="1" applyFont="1" applyBorder="1" applyAlignment="1">
      <alignment wrapText="1"/>
    </xf>
    <xf numFmtId="1" fontId="6" fillId="15" borderId="1659" xfId="0" applyNumberFormat="1" applyFont="1" applyFill="1" applyBorder="1" applyProtection="1">
      <protection locked="0"/>
    </xf>
    <xf numFmtId="1" fontId="6" fillId="15" borderId="1264" xfId="0" applyNumberFormat="1" applyFont="1" applyFill="1" applyBorder="1" applyProtection="1">
      <protection locked="0"/>
    </xf>
    <xf numFmtId="0" fontId="6" fillId="0" borderId="2108" xfId="0" applyFont="1" applyBorder="1" applyAlignment="1">
      <alignment horizontal="center" vertical="center"/>
    </xf>
    <xf numFmtId="0" fontId="6" fillId="0" borderId="1841" xfId="0" applyFont="1" applyBorder="1" applyAlignment="1">
      <alignment horizontal="center" vertical="center"/>
    </xf>
    <xf numFmtId="0" fontId="6" fillId="0" borderId="1897" xfId="0" applyFont="1" applyBorder="1" applyAlignment="1">
      <alignment horizontal="center" vertical="center"/>
    </xf>
    <xf numFmtId="1" fontId="6" fillId="0" borderId="1664" xfId="0" applyNumberFormat="1" applyFont="1" applyBorder="1" applyAlignment="1">
      <alignment vertical="center" wrapText="1"/>
    </xf>
    <xf numFmtId="1" fontId="6" fillId="0" borderId="1146" xfId="0" applyNumberFormat="1" applyFont="1" applyBorder="1" applyAlignment="1">
      <alignment wrapText="1"/>
    </xf>
    <xf numFmtId="1" fontId="6" fillId="0" borderId="1209" xfId="0" applyNumberFormat="1" applyFont="1" applyBorder="1"/>
    <xf numFmtId="1" fontId="6" fillId="0" borderId="629" xfId="0" applyNumberFormat="1" applyFont="1" applyBorder="1" applyAlignment="1">
      <alignment horizontal="center" vertical="center"/>
    </xf>
    <xf numFmtId="1" fontId="6" fillId="0" borderId="2204" xfId="0" applyNumberFormat="1" applyFont="1" applyBorder="1" applyAlignment="1">
      <alignment horizontal="center" vertical="center" wrapText="1"/>
    </xf>
    <xf numFmtId="1" fontId="6" fillId="3" borderId="1494" xfId="14" applyNumberFormat="1" applyFont="1" applyFill="1" applyBorder="1" applyAlignment="1">
      <alignment horizontal="right"/>
    </xf>
    <xf numFmtId="1" fontId="6" fillId="3" borderId="1650" xfId="14" applyNumberFormat="1" applyFont="1" applyFill="1" applyBorder="1" applyAlignment="1">
      <alignment horizontal="right"/>
    </xf>
    <xf numFmtId="1" fontId="6" fillId="3" borderId="1651" xfId="14" applyNumberFormat="1" applyFont="1" applyFill="1" applyBorder="1" applyAlignment="1">
      <alignment horizontal="right"/>
    </xf>
    <xf numFmtId="1" fontId="6" fillId="6" borderId="2207" xfId="14" applyNumberFormat="1" applyFont="1" applyBorder="1" applyProtection="1">
      <protection locked="0"/>
    </xf>
    <xf numFmtId="1" fontId="6" fillId="6" borderId="2208" xfId="14" applyNumberFormat="1" applyFont="1" applyBorder="1" applyProtection="1">
      <protection locked="0"/>
    </xf>
    <xf numFmtId="1" fontId="6" fillId="0" borderId="2214" xfId="0" applyNumberFormat="1" applyFont="1" applyBorder="1" applyAlignment="1">
      <alignment horizontal="center" vertical="center"/>
    </xf>
    <xf numFmtId="1" fontId="6" fillId="0" borderId="2215" xfId="0" applyNumberFormat="1" applyFont="1" applyBorder="1" applyAlignment="1">
      <alignment horizontal="center" vertical="center"/>
    </xf>
    <xf numFmtId="1" fontId="6" fillId="0" borderId="2212" xfId="0" applyNumberFormat="1" applyFont="1" applyBorder="1" applyAlignment="1">
      <alignment horizontal="center" vertical="center"/>
    </xf>
    <xf numFmtId="1" fontId="6" fillId="0" borderId="2214" xfId="0" applyNumberFormat="1" applyFont="1" applyBorder="1" applyAlignment="1">
      <alignment horizontal="center" vertical="center" wrapText="1"/>
    </xf>
    <xf numFmtId="1" fontId="6" fillId="0" borderId="2216" xfId="0" applyNumberFormat="1" applyFont="1" applyBorder="1" applyAlignment="1">
      <alignment horizontal="center" vertical="center" wrapText="1"/>
    </xf>
    <xf numFmtId="1" fontId="6" fillId="0" borderId="2217" xfId="0" applyNumberFormat="1" applyFont="1" applyBorder="1" applyAlignment="1">
      <alignment horizontal="center" vertical="center" wrapText="1"/>
    </xf>
    <xf numFmtId="1" fontId="6" fillId="0" borderId="2220" xfId="0" applyNumberFormat="1" applyFont="1" applyBorder="1" applyAlignment="1">
      <alignment horizontal="right" wrapText="1"/>
    </xf>
    <xf numFmtId="1" fontId="6" fillId="5" borderId="2221" xfId="0" applyNumberFormat="1" applyFont="1" applyFill="1" applyBorder="1" applyAlignment="1" applyProtection="1">
      <alignment horizontal="right"/>
      <protection locked="0"/>
    </xf>
    <xf numFmtId="1" fontId="6" fillId="5" borderId="2222" xfId="0" applyNumberFormat="1" applyFont="1" applyFill="1" applyBorder="1" applyAlignment="1" applyProtection="1">
      <alignment horizontal="right"/>
      <protection locked="0"/>
    </xf>
    <xf numFmtId="1" fontId="6" fillId="5" borderId="2220" xfId="0" applyNumberFormat="1" applyFont="1" applyFill="1" applyBorder="1" applyAlignment="1" applyProtection="1">
      <alignment horizontal="right"/>
      <protection locked="0"/>
    </xf>
    <xf numFmtId="1" fontId="6" fillId="5" borderId="2223" xfId="0" applyNumberFormat="1" applyFont="1" applyFill="1" applyBorder="1" applyAlignment="1" applyProtection="1">
      <alignment horizontal="right"/>
      <protection locked="0"/>
    </xf>
    <xf numFmtId="1" fontId="6" fillId="5" borderId="378" xfId="0" applyNumberFormat="1" applyFont="1" applyFill="1" applyBorder="1" applyAlignment="1" applyProtection="1">
      <alignment horizontal="right"/>
      <protection locked="0"/>
    </xf>
    <xf numFmtId="1" fontId="6" fillId="5" borderId="2203" xfId="0" applyNumberFormat="1" applyFont="1" applyFill="1" applyBorder="1" applyAlignment="1" applyProtection="1">
      <alignment horizontal="right"/>
      <protection locked="0"/>
    </xf>
    <xf numFmtId="1" fontId="6" fillId="5" borderId="1709" xfId="0" applyNumberFormat="1" applyFont="1" applyFill="1" applyBorder="1" applyAlignment="1" applyProtection="1">
      <alignment horizontal="right"/>
      <protection locked="0"/>
    </xf>
    <xf numFmtId="1" fontId="6" fillId="5" borderId="1692" xfId="0" applyNumberFormat="1" applyFont="1" applyFill="1" applyBorder="1" applyAlignment="1" applyProtection="1">
      <alignment horizontal="right"/>
      <protection locked="0"/>
    </xf>
    <xf numFmtId="1" fontId="6" fillId="5" borderId="2219" xfId="0" applyNumberFormat="1" applyFont="1" applyFill="1" applyBorder="1" applyAlignment="1" applyProtection="1">
      <alignment horizontal="right"/>
      <protection locked="0"/>
    </xf>
    <xf numFmtId="1" fontId="6" fillId="0" borderId="2218" xfId="0" applyNumberFormat="1" applyFont="1" applyBorder="1" applyAlignment="1">
      <alignment horizontal="right" wrapText="1"/>
    </xf>
    <xf numFmtId="1" fontId="6" fillId="0" borderId="383" xfId="0" applyNumberFormat="1" applyFont="1" applyBorder="1" applyAlignment="1">
      <alignment horizontal="right"/>
    </xf>
    <xf numFmtId="1" fontId="6" fillId="0" borderId="2223" xfId="0" applyNumberFormat="1" applyFont="1" applyBorder="1" applyAlignment="1">
      <alignment horizontal="right"/>
    </xf>
    <xf numFmtId="1" fontId="6" fillId="5" borderId="1679" xfId="0" applyNumberFormat="1" applyFont="1" applyFill="1" applyBorder="1" applyProtection="1">
      <protection locked="0"/>
    </xf>
    <xf numFmtId="1" fontId="6" fillId="5" borderId="1689" xfId="0" applyNumberFormat="1" applyFont="1" applyFill="1" applyBorder="1" applyProtection="1">
      <protection locked="0"/>
    </xf>
    <xf numFmtId="1" fontId="11" fillId="5" borderId="1667" xfId="0" applyNumberFormat="1" applyFont="1" applyFill="1" applyBorder="1" applyProtection="1">
      <protection locked="0"/>
    </xf>
    <xf numFmtId="1" fontId="11" fillId="5" borderId="1673" xfId="0" applyNumberFormat="1" applyFont="1" applyFill="1" applyBorder="1" applyProtection="1">
      <protection locked="0"/>
    </xf>
    <xf numFmtId="1" fontId="6" fillId="14" borderId="1672" xfId="0" applyNumberFormat="1" applyFont="1" applyFill="1" applyBorder="1" applyAlignment="1">
      <alignment horizontal="center" vertical="center" wrapText="1"/>
    </xf>
    <xf numFmtId="1" fontId="6" fillId="14" borderId="1667" xfId="0" applyNumberFormat="1" applyFont="1" applyFill="1" applyBorder="1" applyAlignment="1">
      <alignment horizontal="center" vertical="center" wrapText="1"/>
    </xf>
    <xf numFmtId="1" fontId="6" fillId="0" borderId="1655" xfId="0" applyNumberFormat="1" applyFont="1" applyBorder="1" applyAlignment="1">
      <alignment vertical="center" wrapText="1"/>
    </xf>
    <xf numFmtId="1" fontId="6" fillId="0" borderId="1626" xfId="0" applyNumberFormat="1" applyFont="1" applyBorder="1" applyAlignment="1">
      <alignment horizontal="right" vertical="center"/>
    </xf>
    <xf numFmtId="1" fontId="6" fillId="0" borderId="1640" xfId="0" applyNumberFormat="1" applyFont="1" applyBorder="1" applyAlignment="1">
      <alignment wrapText="1"/>
    </xf>
    <xf numFmtId="1" fontId="6" fillId="0" borderId="1639" xfId="0" applyNumberFormat="1" applyFont="1" applyBorder="1" applyAlignment="1">
      <alignment wrapText="1"/>
    </xf>
    <xf numFmtId="1" fontId="6" fillId="0" borderId="1613" xfId="0" applyNumberFormat="1" applyFont="1" applyBorder="1" applyAlignment="1">
      <alignment wrapText="1"/>
    </xf>
    <xf numFmtId="1" fontId="6" fillId="0" borderId="1685" xfId="0" applyNumberFormat="1" applyFont="1" applyBorder="1" applyAlignment="1">
      <alignment wrapText="1"/>
    </xf>
    <xf numFmtId="1" fontId="6" fillId="14" borderId="1828" xfId="0" applyNumberFormat="1" applyFont="1" applyFill="1" applyBorder="1" applyAlignment="1">
      <alignment horizontal="left" wrapText="1"/>
    </xf>
    <xf numFmtId="1" fontId="6" fillId="15" borderId="1828" xfId="0" applyNumberFormat="1" applyFont="1" applyFill="1" applyBorder="1" applyProtection="1">
      <protection locked="0"/>
    </xf>
    <xf numFmtId="1" fontId="6" fillId="14" borderId="1737" xfId="0" applyNumberFormat="1" applyFont="1" applyFill="1" applyBorder="1" applyAlignment="1">
      <alignment horizontal="left" wrapText="1"/>
    </xf>
    <xf numFmtId="1" fontId="6" fillId="14" borderId="1828" xfId="0" applyNumberFormat="1" applyFont="1" applyFill="1" applyBorder="1"/>
    <xf numFmtId="1" fontId="6" fillId="14" borderId="1011" xfId="0" applyNumberFormat="1" applyFont="1" applyFill="1" applyBorder="1"/>
    <xf numFmtId="1" fontId="6" fillId="15" borderId="1737" xfId="0" applyNumberFormat="1" applyFont="1" applyFill="1" applyBorder="1" applyProtection="1">
      <protection locked="0"/>
    </xf>
    <xf numFmtId="1" fontId="6" fillId="3" borderId="1673" xfId="0" applyNumberFormat="1" applyFont="1" applyFill="1" applyBorder="1" applyAlignment="1">
      <alignment horizontal="center" wrapText="1"/>
    </xf>
    <xf numFmtId="1" fontId="6" fillId="14" borderId="1673" xfId="0" applyNumberFormat="1" applyFont="1" applyFill="1" applyBorder="1" applyAlignment="1" applyProtection="1">
      <alignment vertical="center"/>
      <protection locked="0"/>
    </xf>
    <xf numFmtId="1" fontId="6" fillId="5" borderId="1672" xfId="0" applyNumberFormat="1" applyFont="1" applyFill="1" applyBorder="1" applyProtection="1">
      <protection locked="0"/>
    </xf>
    <xf numFmtId="1" fontId="6" fillId="5" borderId="1683" xfId="0" applyNumberFormat="1" applyFont="1" applyFill="1" applyBorder="1" applyProtection="1">
      <protection locked="0"/>
    </xf>
    <xf numFmtId="1" fontId="6" fillId="0" borderId="1255" xfId="0" applyNumberFormat="1" applyFont="1" applyBorder="1" applyAlignment="1">
      <alignment horizontal="center" vertical="center" wrapText="1"/>
    </xf>
    <xf numFmtId="1" fontId="6" fillId="0" borderId="946" xfId="0" applyNumberFormat="1" applyFont="1" applyBorder="1" applyAlignment="1">
      <alignment horizontal="left" vertical="center" wrapText="1"/>
    </xf>
    <xf numFmtId="1" fontId="6" fillId="0" borderId="1404" xfId="0" applyNumberFormat="1" applyFont="1" applyBorder="1" applyAlignment="1">
      <alignment horizontal="center" vertical="center"/>
    </xf>
    <xf numFmtId="1" fontId="6" fillId="0" borderId="1405" xfId="0" applyNumberFormat="1" applyFont="1" applyBorder="1" applyAlignment="1">
      <alignment horizontal="center" vertical="center" wrapText="1"/>
    </xf>
    <xf numFmtId="1" fontId="6" fillId="15" borderId="1403" xfId="0" applyNumberFormat="1" applyFont="1" applyFill="1" applyBorder="1" applyProtection="1">
      <protection locked="0"/>
    </xf>
    <xf numFmtId="1" fontId="6" fillId="15" borderId="1262" xfId="0" applyNumberFormat="1" applyFont="1" applyFill="1" applyBorder="1" applyProtection="1">
      <protection locked="0"/>
    </xf>
    <xf numFmtId="1" fontId="6" fillId="0" borderId="1655" xfId="0" applyNumberFormat="1" applyFont="1" applyBorder="1" applyAlignment="1">
      <alignment vertical="center"/>
    </xf>
    <xf numFmtId="0" fontId="6" fillId="0" borderId="1657" xfId="0" applyFont="1" applyBorder="1"/>
    <xf numFmtId="1" fontId="6" fillId="15" borderId="1657" xfId="0" applyNumberFormat="1" applyFont="1" applyFill="1" applyBorder="1" applyProtection="1">
      <protection locked="0"/>
    </xf>
    <xf numFmtId="1" fontId="6" fillId="15" borderId="1654" xfId="0" applyNumberFormat="1" applyFont="1" applyFill="1" applyBorder="1" applyProtection="1">
      <protection locked="0"/>
    </xf>
    <xf numFmtId="1" fontId="2" fillId="14" borderId="0" xfId="0" applyNumberFormat="1" applyFont="1" applyFill="1"/>
    <xf numFmtId="1" fontId="6" fillId="0" borderId="1089" xfId="0" applyNumberFormat="1" applyFont="1" applyBorder="1" applyAlignment="1">
      <alignment vertical="center"/>
    </xf>
    <xf numFmtId="1" fontId="6" fillId="0" borderId="223" xfId="0" applyNumberFormat="1" applyFont="1" applyBorder="1" applyAlignment="1">
      <alignment horizontal="left" vertical="center" wrapText="1"/>
    </xf>
    <xf numFmtId="1" fontId="4" fillId="0" borderId="223" xfId="0" applyNumberFormat="1" applyFont="1" applyBorder="1"/>
    <xf numFmtId="1" fontId="6" fillId="0" borderId="286" xfId="0" applyNumberFormat="1" applyFont="1" applyBorder="1" applyAlignment="1">
      <alignment vertical="center"/>
    </xf>
    <xf numFmtId="1" fontId="6" fillId="0" borderId="23" xfId="0" applyNumberFormat="1" applyFont="1" applyBorder="1" applyAlignment="1">
      <alignment vertical="center"/>
    </xf>
    <xf numFmtId="1" fontId="6" fillId="3" borderId="1425" xfId="0" applyNumberFormat="1" applyFont="1" applyFill="1" applyBorder="1" applyAlignment="1">
      <alignment horizontal="center" vertical="center" wrapText="1"/>
    </xf>
    <xf numFmtId="1" fontId="6" fillId="3" borderId="1396" xfId="0" applyNumberFormat="1" applyFont="1" applyFill="1" applyBorder="1" applyAlignment="1" applyProtection="1">
      <alignment horizontal="center"/>
      <protection locked="0"/>
    </xf>
    <xf numFmtId="1" fontId="6" fillId="3" borderId="227" xfId="0" applyNumberFormat="1" applyFont="1" applyFill="1" applyBorder="1" applyAlignment="1" applyProtection="1">
      <alignment horizontal="center"/>
      <protection locked="0"/>
    </xf>
    <xf numFmtId="1" fontId="6" fillId="3" borderId="286" xfId="0" applyNumberFormat="1" applyFont="1" applyFill="1" applyBorder="1" applyAlignment="1">
      <alignment vertical="center" wrapText="1"/>
    </xf>
    <xf numFmtId="1" fontId="6" fillId="3" borderId="1304" xfId="0" applyNumberFormat="1" applyFont="1" applyFill="1" applyBorder="1" applyAlignment="1">
      <alignment horizontal="right" wrapText="1"/>
    </xf>
    <xf numFmtId="1" fontId="6" fillId="3" borderId="987" xfId="0" applyNumberFormat="1" applyFont="1" applyFill="1" applyBorder="1" applyAlignment="1">
      <alignment horizontal="right"/>
    </xf>
    <xf numFmtId="1" fontId="6" fillId="3" borderId="268" xfId="0" applyNumberFormat="1" applyFont="1" applyFill="1" applyBorder="1" applyAlignment="1">
      <alignment horizontal="right"/>
    </xf>
    <xf numFmtId="1" fontId="6" fillId="4" borderId="318" xfId="0" applyNumberFormat="1" applyFont="1" applyFill="1" applyBorder="1" applyAlignment="1">
      <alignment horizontal="right"/>
    </xf>
    <xf numFmtId="1" fontId="6" fillId="4" borderId="31" xfId="0" applyNumberFormat="1" applyFont="1" applyFill="1" applyBorder="1" applyAlignment="1">
      <alignment horizontal="right"/>
    </xf>
    <xf numFmtId="1" fontId="6" fillId="4" borderId="73" xfId="0" applyNumberFormat="1" applyFont="1" applyFill="1" applyBorder="1" applyAlignment="1">
      <alignment horizontal="right"/>
    </xf>
    <xf numFmtId="1" fontId="6" fillId="4" borderId="317" xfId="0" applyNumberFormat="1" applyFont="1" applyFill="1" applyBorder="1" applyAlignment="1">
      <alignment horizontal="right"/>
    </xf>
    <xf numFmtId="1" fontId="6" fillId="2" borderId="316" xfId="15" applyNumberFormat="1" applyFont="1" applyBorder="1" applyAlignment="1" applyProtection="1">
      <alignment horizontal="right"/>
      <protection locked="0"/>
    </xf>
    <xf numFmtId="1" fontId="6" fillId="2" borderId="315" xfId="15" applyNumberFormat="1" applyFont="1" applyBorder="1" applyAlignment="1" applyProtection="1">
      <alignment horizontal="right"/>
      <protection locked="0"/>
    </xf>
    <xf numFmtId="1" fontId="6" fillId="2" borderId="314" xfId="15" applyNumberFormat="1" applyFont="1" applyBorder="1" applyAlignment="1" applyProtection="1">
      <alignment horizontal="right"/>
      <protection locked="0"/>
    </xf>
    <xf numFmtId="1" fontId="6" fillId="2" borderId="313" xfId="15" applyNumberFormat="1" applyFont="1" applyBorder="1" applyAlignment="1" applyProtection="1">
      <alignment horizontal="right"/>
      <protection locked="0"/>
    </xf>
    <xf numFmtId="1" fontId="6" fillId="3" borderId="1424" xfId="0" applyNumberFormat="1" applyFont="1" applyFill="1" applyBorder="1" applyAlignment="1">
      <alignment horizontal="right"/>
    </xf>
    <xf numFmtId="1" fontId="6" fillId="2" borderId="311" xfId="15" applyNumberFormat="1" applyFont="1" applyBorder="1" applyAlignment="1" applyProtection="1">
      <alignment horizontal="right"/>
      <protection locked="0"/>
    </xf>
    <xf numFmtId="1" fontId="6" fillId="2" borderId="310" xfId="15" applyNumberFormat="1" applyFont="1" applyBorder="1" applyAlignment="1" applyProtection="1">
      <alignment horizontal="right"/>
      <protection locked="0"/>
    </xf>
    <xf numFmtId="1" fontId="6" fillId="2" borderId="193" xfId="15" applyNumberFormat="1" applyFont="1" applyBorder="1" applyAlignment="1" applyProtection="1">
      <alignment horizontal="right"/>
      <protection locked="0"/>
    </xf>
    <xf numFmtId="1" fontId="6" fillId="2" borderId="312" xfId="15" applyNumberFormat="1" applyFont="1" applyBorder="1" applyAlignment="1" applyProtection="1">
      <alignment horizontal="right"/>
      <protection locked="0"/>
    </xf>
    <xf numFmtId="1" fontId="6" fillId="3" borderId="61" xfId="0" applyNumberFormat="1" applyFont="1" applyFill="1" applyBorder="1" applyAlignment="1">
      <alignment vertical="center" wrapText="1"/>
    </xf>
    <xf numFmtId="1" fontId="6" fillId="3" borderId="23" xfId="0" applyNumberFormat="1" applyFont="1" applyFill="1" applyBorder="1" applyAlignment="1">
      <alignment vertical="center" wrapText="1"/>
    </xf>
    <xf numFmtId="1" fontId="6" fillId="3" borderId="1262" xfId="0" applyNumberFormat="1" applyFont="1" applyFill="1" applyBorder="1" applyAlignment="1">
      <alignment horizontal="right" wrapText="1"/>
    </xf>
    <xf numFmtId="1" fontId="6" fillId="3" borderId="1103" xfId="0" applyNumberFormat="1" applyFont="1" applyFill="1" applyBorder="1" applyAlignment="1">
      <alignment horizontal="right"/>
    </xf>
    <xf numFmtId="1" fontId="6" fillId="2" borderId="67" xfId="15" applyNumberFormat="1" applyFont="1" applyBorder="1" applyAlignment="1" applyProtection="1">
      <alignment horizontal="right"/>
      <protection locked="0"/>
    </xf>
    <xf numFmtId="1" fontId="6" fillId="2" borderId="307" xfId="15" applyNumberFormat="1" applyFont="1" applyBorder="1" applyAlignment="1" applyProtection="1">
      <alignment horizontal="right"/>
      <protection locked="0"/>
    </xf>
    <xf numFmtId="1" fontId="6" fillId="2" borderId="309" xfId="15" applyNumberFormat="1" applyFont="1" applyBorder="1" applyAlignment="1" applyProtection="1">
      <alignment horizontal="right"/>
      <protection locked="0"/>
    </xf>
    <xf numFmtId="1" fontId="6" fillId="2" borderId="308" xfId="15" applyNumberFormat="1" applyFont="1" applyBorder="1" applyAlignment="1" applyProtection="1">
      <alignment horizontal="right"/>
      <protection locked="0"/>
    </xf>
    <xf numFmtId="1" fontId="6" fillId="0" borderId="2225" xfId="0" applyNumberFormat="1" applyFont="1" applyBorder="1"/>
    <xf numFmtId="2" fontId="6" fillId="3" borderId="0" xfId="0" applyNumberFormat="1" applyFont="1" applyFill="1" applyAlignment="1">
      <alignment horizontal="center" vertical="center"/>
    </xf>
    <xf numFmtId="1" fontId="6" fillId="0" borderId="0" xfId="14" applyNumberFormat="1" applyFont="1" applyFill="1" applyBorder="1" applyAlignment="1" applyProtection="1">
      <alignment horizontal="center" vertical="center"/>
      <protection locked="0"/>
    </xf>
    <xf numFmtId="2" fontId="6" fillId="0" borderId="0" xfId="14" applyNumberFormat="1" applyFont="1" applyFill="1" applyBorder="1" applyAlignment="1" applyProtection="1">
      <alignment horizontal="center" vertical="center"/>
      <protection locked="0"/>
    </xf>
    <xf numFmtId="1" fontId="4" fillId="0" borderId="2228" xfId="28" applyNumberFormat="1" applyFont="1" applyBorder="1" applyAlignment="1">
      <alignment horizontal="center"/>
    </xf>
    <xf numFmtId="1" fontId="4" fillId="0" borderId="2229" xfId="28" applyNumberFormat="1" applyFont="1" applyBorder="1" applyAlignment="1">
      <alignment horizontal="center"/>
    </xf>
    <xf numFmtId="2" fontId="6" fillId="6" borderId="2230" xfId="14" applyNumberFormat="1" applyFont="1" applyBorder="1" applyAlignment="1" applyProtection="1">
      <alignment horizontal="center" vertical="center"/>
      <protection locked="0"/>
    </xf>
    <xf numFmtId="2" fontId="6" fillId="6" borderId="2231" xfId="14" applyNumberFormat="1" applyFont="1" applyBorder="1" applyAlignment="1" applyProtection="1">
      <alignment horizontal="center" vertical="center"/>
      <protection locked="0"/>
    </xf>
    <xf numFmtId="2" fontId="6" fillId="0" borderId="0" xfId="0" applyNumberFormat="1" applyFont="1" applyAlignment="1">
      <alignment horizontal="center" vertical="center"/>
    </xf>
    <xf numFmtId="1" fontId="6" fillId="0" borderId="2232" xfId="28" applyNumberFormat="1" applyFont="1" applyBorder="1" applyProtection="1">
      <protection hidden="1"/>
    </xf>
    <xf numFmtId="2" fontId="13" fillId="0" borderId="0" xfId="14" applyNumberFormat="1" applyFont="1" applyFill="1" applyBorder="1" applyAlignment="1" applyProtection="1">
      <alignment horizontal="center" vertical="center"/>
      <protection locked="0"/>
    </xf>
    <xf numFmtId="1" fontId="2" fillId="3" borderId="0" xfId="28" applyNumberFormat="1" applyFont="1" applyFill="1" applyAlignment="1">
      <alignment horizontal="left" vertical="center"/>
    </xf>
    <xf numFmtId="1" fontId="4" fillId="14" borderId="1653" xfId="28" applyNumberFormat="1" applyFont="1" applyFill="1" applyBorder="1"/>
    <xf numFmtId="1" fontId="6" fillId="0" borderId="2227" xfId="0" applyNumberFormat="1" applyFont="1" applyBorder="1" applyAlignment="1">
      <alignment horizontal="center" vertical="center" wrapText="1"/>
    </xf>
    <xf numFmtId="1" fontId="6" fillId="5" borderId="2236" xfId="0" applyNumberFormat="1" applyFont="1" applyFill="1" applyBorder="1" applyProtection="1">
      <protection locked="0"/>
    </xf>
    <xf numFmtId="1" fontId="6" fillId="0" borderId="1497" xfId="0" applyNumberFormat="1" applyFont="1" applyBorder="1" applyAlignment="1">
      <alignment horizontal="left" vertical="center" wrapText="1"/>
    </xf>
    <xf numFmtId="1" fontId="6" fillId="5" borderId="2242" xfId="0" applyNumberFormat="1" applyFont="1" applyFill="1" applyBorder="1" applyProtection="1">
      <protection locked="0"/>
    </xf>
    <xf numFmtId="1" fontId="6" fillId="0" borderId="2224" xfId="0" applyNumberFormat="1" applyFont="1" applyBorder="1" applyAlignment="1">
      <alignment horizontal="center" vertical="center"/>
    </xf>
    <xf numFmtId="1" fontId="6" fillId="0" borderId="25" xfId="0" applyNumberFormat="1" applyFont="1" applyBorder="1" applyAlignment="1">
      <alignment vertical="center" wrapText="1"/>
    </xf>
    <xf numFmtId="1" fontId="6" fillId="5" borderId="2209" xfId="0" applyNumberFormat="1" applyFont="1" applyFill="1" applyBorder="1" applyProtection="1">
      <protection locked="0"/>
    </xf>
    <xf numFmtId="1" fontId="6" fillId="5" borderId="2219" xfId="0" applyNumberFormat="1" applyFont="1" applyFill="1" applyBorder="1" applyProtection="1">
      <protection locked="0"/>
    </xf>
    <xf numFmtId="1" fontId="6" fillId="5" borderId="2243" xfId="0" applyNumberFormat="1" applyFont="1" applyFill="1" applyBorder="1" applyProtection="1">
      <protection locked="0"/>
    </xf>
    <xf numFmtId="1" fontId="6" fillId="5" borderId="2245" xfId="0" applyNumberFormat="1" applyFont="1" applyFill="1" applyBorder="1" applyProtection="1">
      <protection locked="0"/>
    </xf>
    <xf numFmtId="1" fontId="6" fillId="5" borderId="2244" xfId="0" applyNumberFormat="1" applyFont="1" applyFill="1" applyBorder="1" applyProtection="1">
      <protection locked="0"/>
    </xf>
    <xf numFmtId="1" fontId="6" fillId="0" borderId="1319" xfId="0" applyNumberFormat="1" applyFont="1" applyBorder="1" applyAlignment="1">
      <alignment horizontal="center" vertical="center" wrapText="1"/>
    </xf>
    <xf numFmtId="1" fontId="6" fillId="0" borderId="1268" xfId="0" applyNumberFormat="1" applyFont="1" applyBorder="1" applyAlignment="1">
      <alignment horizontal="left" wrapText="1"/>
    </xf>
    <xf numFmtId="1" fontId="6" fillId="0" borderId="1127" xfId="0" applyNumberFormat="1" applyFont="1" applyBorder="1" applyAlignment="1">
      <alignment horizontal="left" wrapText="1"/>
    </xf>
    <xf numFmtId="1" fontId="6" fillId="0" borderId="1262" xfId="0" applyNumberFormat="1" applyFont="1" applyBorder="1" applyAlignment="1">
      <alignment horizontal="left" wrapText="1"/>
    </xf>
    <xf numFmtId="1" fontId="6" fillId="0" borderId="741" xfId="0" applyNumberFormat="1" applyFont="1" applyBorder="1"/>
    <xf numFmtId="1" fontId="6" fillId="0" borderId="1827" xfId="0" applyNumberFormat="1" applyFont="1" applyBorder="1" applyAlignment="1">
      <alignment horizontal="left" vertical="center"/>
    </xf>
    <xf numFmtId="1" fontId="6" fillId="14" borderId="1846" xfId="0" applyNumberFormat="1" applyFont="1" applyFill="1" applyBorder="1" applyAlignment="1">
      <alignment horizontal="left" vertical="center" wrapText="1"/>
    </xf>
    <xf numFmtId="1" fontId="6" fillId="0" borderId="2224" xfId="0" applyNumberFormat="1" applyFont="1" applyBorder="1" applyAlignment="1">
      <alignment horizontal="left" vertical="center"/>
    </xf>
    <xf numFmtId="1" fontId="6" fillId="0" borderId="1564" xfId="0" applyNumberFormat="1" applyFont="1" applyBorder="1" applyAlignment="1">
      <alignment horizontal="center" vertical="center" wrapText="1"/>
    </xf>
    <xf numFmtId="1" fontId="6" fillId="5" borderId="1495" xfId="0" applyNumberFormat="1" applyFont="1" applyFill="1" applyBorder="1" applyAlignment="1" applyProtection="1">
      <alignment wrapText="1"/>
      <protection locked="0"/>
    </xf>
    <xf numFmtId="1" fontId="6" fillId="0" borderId="1501" xfId="0" applyNumberFormat="1" applyFont="1" applyBorder="1" applyAlignment="1">
      <alignment wrapText="1"/>
    </xf>
    <xf numFmtId="1" fontId="6" fillId="0" borderId="1501" xfId="0" applyNumberFormat="1" applyFont="1" applyBorder="1"/>
    <xf numFmtId="1" fontId="6" fillId="0" borderId="502" xfId="0" applyNumberFormat="1" applyFont="1" applyBorder="1" applyAlignment="1">
      <alignment horizontal="left" vertical="center"/>
    </xf>
    <xf numFmtId="1" fontId="6" fillId="3" borderId="24" xfId="0" applyNumberFormat="1" applyFont="1" applyFill="1" applyBorder="1" applyAlignment="1">
      <alignment horizontal="left" vertical="center"/>
    </xf>
    <xf numFmtId="1" fontId="4" fillId="36" borderId="1750" xfId="6" applyNumberFormat="1" applyFont="1" applyFill="1" applyBorder="1" applyAlignment="1">
      <alignment wrapText="1"/>
    </xf>
    <xf numFmtId="1" fontId="6" fillId="0" borderId="1751" xfId="6" applyNumberFormat="1" applyFont="1" applyBorder="1" applyAlignment="1">
      <alignment horizontal="center" vertical="center" wrapText="1"/>
    </xf>
    <xf numFmtId="1" fontId="6" fillId="0" borderId="1744" xfId="6" applyNumberFormat="1" applyFont="1" applyBorder="1" applyAlignment="1">
      <alignment horizontal="center" vertical="center" wrapText="1"/>
    </xf>
    <xf numFmtId="1" fontId="6" fillId="0" borderId="1860" xfId="6" applyNumberFormat="1" applyFont="1" applyBorder="1" applyAlignment="1">
      <alignment horizontal="center" vertical="center" wrapText="1"/>
    </xf>
    <xf numFmtId="1" fontId="6" fillId="0" borderId="1745" xfId="6" applyNumberFormat="1" applyFont="1" applyBorder="1" applyAlignment="1">
      <alignment horizontal="center" vertical="center" wrapText="1"/>
    </xf>
    <xf numFmtId="1" fontId="6" fillId="0" borderId="1766" xfId="6" applyNumberFormat="1" applyFont="1" applyBorder="1" applyAlignment="1">
      <alignment horizontal="right"/>
    </xf>
    <xf numFmtId="1" fontId="6" fillId="0" borderId="1855" xfId="6" applyNumberFormat="1" applyFont="1" applyBorder="1" applyAlignment="1">
      <alignment horizontal="right"/>
    </xf>
    <xf numFmtId="1" fontId="6" fillId="0" borderId="1757" xfId="6" applyNumberFormat="1" applyFont="1" applyBorder="1" applyAlignment="1">
      <alignment horizontal="right"/>
    </xf>
    <xf numFmtId="1" fontId="6" fillId="37" borderId="1793" xfId="6" applyNumberFormat="1" applyFont="1" applyFill="1" applyBorder="1"/>
    <xf numFmtId="1" fontId="6" fillId="37" borderId="1861" xfId="6" applyNumberFormat="1" applyFont="1" applyFill="1" applyBorder="1"/>
    <xf numFmtId="1" fontId="6" fillId="0" borderId="1764" xfId="6" applyNumberFormat="1" applyFont="1" applyBorder="1" applyAlignment="1">
      <alignment horizontal="right"/>
    </xf>
    <xf numFmtId="1" fontId="6" fillId="37" borderId="1863" xfId="6" applyNumberFormat="1" applyFont="1" applyFill="1" applyBorder="1"/>
    <xf numFmtId="1" fontId="6" fillId="0" borderId="1765" xfId="6" applyNumberFormat="1" applyFont="1" applyBorder="1" applyAlignment="1">
      <alignment horizontal="right" wrapText="1"/>
    </xf>
    <xf numFmtId="1" fontId="6" fillId="0" borderId="1865" xfId="6" applyNumberFormat="1" applyFont="1" applyBorder="1" applyAlignment="1">
      <alignment horizontal="right" wrapText="1"/>
    </xf>
    <xf numFmtId="1" fontId="6" fillId="0" borderId="1762" xfId="6" applyNumberFormat="1" applyFont="1" applyBorder="1" applyAlignment="1">
      <alignment horizontal="right" wrapText="1"/>
    </xf>
    <xf numFmtId="1" fontId="6" fillId="37" borderId="1866" xfId="6" applyNumberFormat="1" applyFont="1" applyFill="1" applyBorder="1"/>
    <xf numFmtId="1" fontId="6" fillId="37" borderId="1779" xfId="6" applyNumberFormat="1" applyFont="1" applyFill="1" applyBorder="1"/>
    <xf numFmtId="1" fontId="6" fillId="0" borderId="1767" xfId="6" applyNumberFormat="1" applyFont="1" applyBorder="1" applyAlignment="1">
      <alignment vertical="center" wrapText="1"/>
    </xf>
    <xf numFmtId="1" fontId="6" fillId="37" borderId="1766" xfId="6" applyNumberFormat="1" applyFont="1" applyFill="1" applyBorder="1"/>
    <xf numFmtId="1" fontId="6" fillId="37" borderId="1869" xfId="6" applyNumberFormat="1" applyFont="1" applyFill="1" applyBorder="1"/>
    <xf numFmtId="1" fontId="6" fillId="0" borderId="1764" xfId="6" applyNumberFormat="1" applyFont="1" applyBorder="1" applyAlignment="1">
      <alignment vertical="center" wrapText="1"/>
    </xf>
    <xf numFmtId="1" fontId="6" fillId="0" borderId="1765" xfId="6" applyNumberFormat="1" applyFont="1" applyBorder="1" applyAlignment="1">
      <alignment vertical="center" wrapText="1"/>
    </xf>
    <xf numFmtId="1" fontId="6" fillId="0" borderId="24" xfId="0" applyNumberFormat="1" applyFont="1" applyBorder="1" applyAlignment="1">
      <alignment horizontal="left"/>
    </xf>
    <xf numFmtId="1" fontId="6" fillId="0" borderId="1066" xfId="0" applyNumberFormat="1" applyFont="1" applyBorder="1" applyAlignment="1">
      <alignment horizontal="left" vertical="center"/>
    </xf>
    <xf numFmtId="1" fontId="6" fillId="0" borderId="1736" xfId="0" applyNumberFormat="1" applyFont="1" applyBorder="1" applyAlignment="1">
      <alignment horizontal="center" wrapText="1"/>
    </xf>
    <xf numFmtId="1" fontId="6" fillId="0" borderId="1770" xfId="0" applyNumberFormat="1" applyFont="1" applyBorder="1" applyAlignment="1">
      <alignment vertical="center" wrapText="1"/>
    </xf>
    <xf numFmtId="1" fontId="6" fillId="5" borderId="1771" xfId="0" applyNumberFormat="1" applyFont="1" applyFill="1" applyBorder="1" applyAlignment="1" applyProtection="1">
      <alignment wrapText="1"/>
      <protection locked="0"/>
    </xf>
    <xf numFmtId="1" fontId="6" fillId="5" borderId="1685" xfId="0" applyNumberFormat="1" applyFont="1" applyFill="1" applyBorder="1" applyAlignment="1" applyProtection="1">
      <alignment wrapText="1"/>
      <protection locked="0"/>
    </xf>
    <xf numFmtId="1" fontId="6" fillId="0" borderId="2216" xfId="0" applyNumberFormat="1" applyFont="1" applyBorder="1"/>
    <xf numFmtId="1" fontId="13" fillId="0" borderId="0" xfId="0" applyNumberFormat="1" applyFont="1" applyAlignment="1">
      <alignment wrapText="1"/>
    </xf>
    <xf numFmtId="1" fontId="64" fillId="3" borderId="175" xfId="0" applyNumberFormat="1" applyFont="1" applyFill="1" applyBorder="1"/>
    <xf numFmtId="1" fontId="32" fillId="0" borderId="269" xfId="0" applyNumberFormat="1" applyFont="1" applyBorder="1" applyAlignment="1">
      <alignment horizontal="left" vertical="center"/>
    </xf>
    <xf numFmtId="1" fontId="32" fillId="0" borderId="37" xfId="0" applyNumberFormat="1" applyFont="1" applyBorder="1" applyAlignment="1">
      <alignment horizontal="left" vertical="center" wrapText="1"/>
    </xf>
    <xf numFmtId="1" fontId="32" fillId="0" borderId="584" xfId="0" applyNumberFormat="1" applyFont="1" applyBorder="1" applyAlignment="1">
      <alignment horizontal="left" vertical="center"/>
    </xf>
    <xf numFmtId="1" fontId="6" fillId="4" borderId="2216" xfId="0" applyNumberFormat="1" applyFont="1" applyFill="1" applyBorder="1"/>
    <xf numFmtId="0" fontId="65" fillId="0" borderId="0" xfId="0" applyFont="1"/>
    <xf numFmtId="0" fontId="61" fillId="0" borderId="0" xfId="0" applyFont="1"/>
    <xf numFmtId="1" fontId="66" fillId="3" borderId="0" xfId="0" applyNumberFormat="1" applyFont="1" applyFill="1" applyAlignment="1">
      <alignment horizontal="center" vertical="center" wrapText="1"/>
    </xf>
    <xf numFmtId="0" fontId="66" fillId="0" borderId="0" xfId="0" applyFont="1"/>
    <xf numFmtId="0" fontId="67" fillId="0" borderId="0" xfId="0" applyFont="1" applyAlignment="1">
      <alignment horizontal="center" vertical="center"/>
    </xf>
    <xf numFmtId="1" fontId="32" fillId="0" borderId="0" xfId="0" applyNumberFormat="1" applyFont="1" applyAlignment="1">
      <alignment horizontal="center" vertical="center" wrapText="1"/>
    </xf>
    <xf numFmtId="1" fontId="32" fillId="0" borderId="0" xfId="0" applyNumberFormat="1" applyFont="1" applyAlignment="1">
      <alignment horizontal="center" vertical="center"/>
    </xf>
    <xf numFmtId="1" fontId="32" fillId="0" borderId="1754" xfId="0" applyNumberFormat="1" applyFont="1" applyBorder="1" applyAlignment="1">
      <alignment horizontal="center" vertical="center" wrapText="1"/>
    </xf>
    <xf numFmtId="1" fontId="32" fillId="0" borderId="1792" xfId="0" applyNumberFormat="1" applyFont="1" applyBorder="1" applyAlignment="1">
      <alignment horizontal="center" vertical="center" wrapText="1"/>
    </xf>
    <xf numFmtId="1" fontId="32" fillId="0" borderId="1752" xfId="0" applyNumberFormat="1" applyFont="1" applyBorder="1" applyAlignment="1">
      <alignment horizontal="center" vertical="center" wrapText="1"/>
    </xf>
    <xf numFmtId="1" fontId="32" fillId="0" borderId="1782" xfId="0" applyNumberFormat="1" applyFont="1" applyBorder="1" applyAlignment="1">
      <alignment horizontal="center" vertical="center" wrapText="1"/>
    </xf>
    <xf numFmtId="1" fontId="32" fillId="0" borderId="1726" xfId="0" applyNumberFormat="1" applyFont="1" applyBorder="1" applyAlignment="1">
      <alignment horizontal="center" vertical="center" wrapText="1"/>
    </xf>
    <xf numFmtId="1" fontId="32" fillId="0" borderId="1738" xfId="0" applyNumberFormat="1" applyFont="1" applyBorder="1" applyAlignment="1">
      <alignment horizontal="center" vertical="center" wrapText="1"/>
    </xf>
    <xf numFmtId="1" fontId="32" fillId="0" borderId="1781" xfId="0" applyNumberFormat="1" applyFont="1" applyBorder="1" applyAlignment="1">
      <alignment horizontal="center" vertical="center" wrapText="1"/>
    </xf>
    <xf numFmtId="0" fontId="32" fillId="0" borderId="1759" xfId="0" applyFont="1" applyBorder="1"/>
    <xf numFmtId="1" fontId="32" fillId="35" borderId="1757" xfId="0" applyNumberFormat="1" applyFont="1" applyFill="1" applyBorder="1"/>
    <xf numFmtId="1" fontId="32" fillId="35" borderId="1793" xfId="0" applyNumberFormat="1" applyFont="1" applyFill="1" applyBorder="1"/>
    <xf numFmtId="1" fontId="32" fillId="32" borderId="1763" xfId="0" applyNumberFormat="1" applyFont="1" applyFill="1" applyBorder="1" applyProtection="1">
      <protection locked="0"/>
    </xf>
    <xf numFmtId="1" fontId="32" fillId="32" borderId="1757" xfId="0" applyNumberFormat="1" applyFont="1" applyFill="1" applyBorder="1" applyProtection="1">
      <protection locked="0"/>
    </xf>
    <xf numFmtId="1" fontId="32" fillId="32" borderId="1774" xfId="0" applyNumberFormat="1" applyFont="1" applyFill="1" applyBorder="1" applyProtection="1">
      <protection locked="0"/>
    </xf>
    <xf numFmtId="1" fontId="32" fillId="32" borderId="1775" xfId="0" applyNumberFormat="1" applyFont="1" applyFill="1" applyBorder="1" applyProtection="1">
      <protection locked="0"/>
    </xf>
    <xf numFmtId="1" fontId="32" fillId="32" borderId="1783" xfId="0" applyNumberFormat="1" applyFont="1" applyFill="1" applyBorder="1" applyProtection="1">
      <protection locked="0"/>
    </xf>
    <xf numFmtId="1" fontId="32" fillId="32" borderId="1778" xfId="0" applyNumberFormat="1" applyFont="1" applyFill="1" applyBorder="1" applyProtection="1">
      <protection locked="0"/>
    </xf>
    <xf numFmtId="0" fontId="32" fillId="0" borderId="1755" xfId="0" applyFont="1" applyBorder="1"/>
    <xf numFmtId="1" fontId="32" fillId="35" borderId="1764" xfId="0" applyNumberFormat="1" applyFont="1" applyFill="1" applyBorder="1"/>
    <xf numFmtId="1" fontId="32" fillId="32" borderId="1764" xfId="0" applyNumberFormat="1" applyFont="1" applyFill="1" applyBorder="1" applyProtection="1">
      <protection locked="0"/>
    </xf>
    <xf numFmtId="0" fontId="32" fillId="0" borderId="1755" xfId="0" applyFont="1" applyBorder="1" applyAlignment="1">
      <alignment wrapText="1"/>
    </xf>
    <xf numFmtId="0" fontId="32" fillId="0" borderId="1753" xfId="0" applyFont="1" applyBorder="1"/>
    <xf numFmtId="1" fontId="32" fillId="35" borderId="1762" xfId="0" applyNumberFormat="1" applyFont="1" applyFill="1" applyBorder="1"/>
    <xf numFmtId="1" fontId="32" fillId="35" borderId="1765" xfId="0" applyNumberFormat="1" applyFont="1" applyFill="1" applyBorder="1"/>
    <xf numFmtId="1" fontId="32" fillId="32" borderId="1765" xfId="0" applyNumberFormat="1" applyFont="1" applyFill="1" applyBorder="1" applyProtection="1">
      <protection locked="0"/>
    </xf>
    <xf numFmtId="1" fontId="32" fillId="32" borderId="1762" xfId="0" applyNumberFormat="1" applyFont="1" applyFill="1" applyBorder="1" applyProtection="1">
      <protection locked="0"/>
    </xf>
    <xf numFmtId="1" fontId="32" fillId="32" borderId="1776" xfId="0" applyNumberFormat="1" applyFont="1" applyFill="1" applyBorder="1" applyProtection="1">
      <protection locked="0"/>
    </xf>
    <xf numFmtId="1" fontId="32" fillId="32" borderId="1784" xfId="0" applyNumberFormat="1" applyFont="1" applyFill="1" applyBorder="1" applyProtection="1">
      <protection locked="0"/>
    </xf>
    <xf numFmtId="1" fontId="32" fillId="32" borderId="1779" xfId="0" applyNumberFormat="1" applyFont="1" applyFill="1" applyBorder="1" applyProtection="1">
      <protection locked="0"/>
    </xf>
    <xf numFmtId="1" fontId="32" fillId="35" borderId="1760" xfId="0" applyNumberFormat="1" applyFont="1" applyFill="1" applyBorder="1"/>
    <xf numFmtId="1" fontId="32" fillId="35" borderId="1766" xfId="0" applyNumberFormat="1" applyFont="1" applyFill="1" applyBorder="1"/>
    <xf numFmtId="1" fontId="32" fillId="32" borderId="1766" xfId="0" applyNumberFormat="1" applyFont="1" applyFill="1" applyBorder="1" applyProtection="1">
      <protection locked="0"/>
    </xf>
    <xf numFmtId="1" fontId="32" fillId="32" borderId="1760" xfId="0" applyNumberFormat="1" applyFont="1" applyFill="1" applyBorder="1" applyProtection="1">
      <protection locked="0"/>
    </xf>
    <xf numFmtId="1" fontId="32" fillId="32" borderId="1777" xfId="0" applyNumberFormat="1" applyFont="1" applyFill="1" applyBorder="1" applyProtection="1">
      <protection locked="0"/>
    </xf>
    <xf numFmtId="1" fontId="32" fillId="32" borderId="1785" xfId="0" applyNumberFormat="1" applyFont="1" applyFill="1" applyBorder="1" applyProtection="1">
      <protection locked="0"/>
    </xf>
    <xf numFmtId="0" fontId="32" fillId="0" borderId="1761" xfId="0" applyFont="1" applyBorder="1"/>
    <xf numFmtId="1" fontId="32" fillId="0" borderId="1789" xfId="0" applyNumberFormat="1" applyFont="1" applyBorder="1" applyAlignment="1">
      <alignment horizontal="center" vertical="center" wrapText="1"/>
    </xf>
    <xf numFmtId="1" fontId="32" fillId="0" borderId="1788" xfId="0" applyNumberFormat="1" applyFont="1" applyBorder="1" applyAlignment="1">
      <alignment horizontal="center" vertical="center" wrapText="1"/>
    </xf>
    <xf numFmtId="0" fontId="32" fillId="0" borderId="1754" xfId="0" applyFont="1" applyBorder="1" applyAlignment="1">
      <alignment horizontal="center" vertical="center" wrapText="1"/>
    </xf>
    <xf numFmtId="0" fontId="32" fillId="0" borderId="1754" xfId="0" applyFont="1" applyBorder="1" applyAlignment="1">
      <alignment horizontal="center" wrapText="1"/>
    </xf>
    <xf numFmtId="0" fontId="32" fillId="0" borderId="1767" xfId="0" applyFont="1" applyBorder="1" applyAlignment="1">
      <alignment wrapText="1"/>
    </xf>
    <xf numFmtId="1" fontId="32" fillId="35" borderId="1755" xfId="0" applyNumberFormat="1" applyFont="1" applyFill="1" applyBorder="1"/>
    <xf numFmtId="1" fontId="32" fillId="32" borderId="1790" xfId="0" applyNumberFormat="1" applyFont="1" applyFill="1" applyBorder="1" applyProtection="1">
      <protection locked="0"/>
    </xf>
    <xf numFmtId="0" fontId="32" fillId="0" borderId="1786" xfId="0" applyFont="1" applyBorder="1" applyAlignment="1">
      <alignment wrapText="1"/>
    </xf>
    <xf numFmtId="0" fontId="32" fillId="0" borderId="1786" xfId="0" applyFont="1" applyBorder="1"/>
    <xf numFmtId="0" fontId="32" fillId="0" borderId="1791" xfId="0" applyFont="1" applyBorder="1" applyAlignment="1">
      <alignment wrapText="1"/>
    </xf>
    <xf numFmtId="1" fontId="32" fillId="35" borderId="1753" xfId="0" applyNumberFormat="1" applyFont="1" applyFill="1" applyBorder="1"/>
    <xf numFmtId="1" fontId="32" fillId="35" borderId="1794" xfId="0" applyNumberFormat="1" applyFont="1" applyFill="1" applyBorder="1"/>
    <xf numFmtId="1" fontId="32" fillId="35" borderId="1751" xfId="0" applyNumberFormat="1" applyFont="1" applyFill="1" applyBorder="1"/>
    <xf numFmtId="1" fontId="32" fillId="32" borderId="1794" xfId="0" applyNumberFormat="1" applyFont="1" applyFill="1" applyBorder="1" applyProtection="1">
      <protection locked="0"/>
    </xf>
    <xf numFmtId="1" fontId="32" fillId="32" borderId="1751" xfId="0" applyNumberFormat="1" applyFont="1" applyFill="1" applyBorder="1" applyProtection="1">
      <protection locked="0"/>
    </xf>
    <xf numFmtId="1" fontId="32" fillId="32" borderId="1795" xfId="0" applyNumberFormat="1" applyFont="1" applyFill="1" applyBorder="1" applyProtection="1">
      <protection locked="0"/>
    </xf>
    <xf numFmtId="1" fontId="32" fillId="32" borderId="1753" xfId="0" applyNumberFormat="1" applyFont="1" applyFill="1" applyBorder="1" applyProtection="1">
      <protection locked="0"/>
    </xf>
    <xf numFmtId="0" fontId="67" fillId="0" borderId="0" xfId="0" applyFont="1"/>
    <xf numFmtId="1" fontId="32" fillId="0" borderId="1796" xfId="0" applyNumberFormat="1" applyFont="1" applyBorder="1" applyAlignment="1">
      <alignment horizontal="center" vertical="center" wrapText="1"/>
    </xf>
    <xf numFmtId="0" fontId="68" fillId="0" borderId="1850" xfId="0" applyFont="1" applyBorder="1" applyAlignment="1">
      <alignment horizontal="center" wrapText="1"/>
    </xf>
    <xf numFmtId="0" fontId="68" fillId="0" borderId="1851" xfId="0" applyFont="1" applyBorder="1" applyAlignment="1">
      <alignment horizontal="center" wrapText="1"/>
    </xf>
    <xf numFmtId="1" fontId="32" fillId="35" borderId="1759" xfId="0" applyNumberFormat="1" applyFont="1" applyFill="1" applyBorder="1"/>
    <xf numFmtId="1" fontId="32" fillId="32" borderId="1847" xfId="0" applyNumberFormat="1" applyFont="1" applyFill="1" applyBorder="1" applyProtection="1">
      <protection locked="0"/>
    </xf>
    <xf numFmtId="1" fontId="32" fillId="32" borderId="1768" xfId="0" applyNumberFormat="1" applyFont="1" applyFill="1" applyBorder="1" applyProtection="1">
      <protection locked="0"/>
    </xf>
    <xf numFmtId="1" fontId="32" fillId="32" borderId="1848" xfId="0" applyNumberFormat="1" applyFont="1" applyFill="1" applyBorder="1" applyProtection="1">
      <protection locked="0"/>
    </xf>
    <xf numFmtId="1" fontId="32" fillId="32" borderId="1852" xfId="0" applyNumberFormat="1" applyFont="1" applyFill="1" applyBorder="1" applyProtection="1">
      <protection locked="0"/>
    </xf>
    <xf numFmtId="1" fontId="32" fillId="32" borderId="1853" xfId="0" applyNumberFormat="1" applyFont="1" applyFill="1" applyBorder="1" applyProtection="1">
      <protection locked="0"/>
    </xf>
    <xf numFmtId="1" fontId="32" fillId="32" borderId="1854" xfId="0" applyNumberFormat="1" applyFont="1" applyFill="1" applyBorder="1" applyProtection="1">
      <protection locked="0"/>
    </xf>
    <xf numFmtId="1" fontId="32" fillId="32" borderId="1855" xfId="0" applyNumberFormat="1" applyFont="1" applyFill="1" applyBorder="1" applyProtection="1">
      <protection locked="0"/>
    </xf>
    <xf numFmtId="1" fontId="32" fillId="35" borderId="1797" xfId="0" applyNumberFormat="1" applyFont="1" applyFill="1" applyBorder="1"/>
    <xf numFmtId="1" fontId="32" fillId="32" borderId="1797" xfId="0" applyNumberFormat="1" applyFont="1" applyFill="1" applyBorder="1" applyProtection="1">
      <protection locked="0"/>
    </xf>
    <xf numFmtId="1" fontId="32" fillId="32" borderId="1758" xfId="0" applyNumberFormat="1" applyFont="1" applyFill="1" applyBorder="1" applyProtection="1">
      <protection locked="0"/>
    </xf>
    <xf numFmtId="1" fontId="32" fillId="32" borderId="1849" xfId="0" applyNumberFormat="1" applyFont="1" applyFill="1" applyBorder="1" applyProtection="1">
      <protection locked="0"/>
    </xf>
    <xf numFmtId="1" fontId="32" fillId="32" borderId="1856" xfId="0" applyNumberFormat="1" applyFont="1" applyFill="1" applyBorder="1" applyProtection="1">
      <protection locked="0"/>
    </xf>
    <xf numFmtId="1" fontId="32" fillId="32" borderId="1857" xfId="0" applyNumberFormat="1" applyFont="1" applyFill="1" applyBorder="1" applyProtection="1">
      <protection locked="0"/>
    </xf>
    <xf numFmtId="0" fontId="64" fillId="0" borderId="0" xfId="0" applyFont="1"/>
    <xf numFmtId="1" fontId="32" fillId="35" borderId="1752" xfId="0" applyNumberFormat="1" applyFont="1" applyFill="1" applyBorder="1" applyAlignment="1">
      <alignment horizontal="center" vertical="center"/>
    </xf>
    <xf numFmtId="1" fontId="32" fillId="35" borderId="1752" xfId="0" applyNumberFormat="1" applyFont="1" applyFill="1" applyBorder="1" applyAlignment="1">
      <alignment horizontal="center" vertical="center" wrapText="1"/>
    </xf>
    <xf numFmtId="1" fontId="32" fillId="32" borderId="1798" xfId="0" applyNumberFormat="1" applyFont="1" applyFill="1" applyBorder="1" applyProtection="1">
      <protection locked="0"/>
    </xf>
    <xf numFmtId="1" fontId="32" fillId="32" borderId="1799" xfId="0" applyNumberFormat="1" applyFont="1" applyFill="1" applyBorder="1" applyProtection="1">
      <protection locked="0"/>
    </xf>
    <xf numFmtId="1" fontId="32" fillId="33" borderId="1799" xfId="0" applyNumberFormat="1" applyFont="1" applyFill="1" applyBorder="1"/>
    <xf numFmtId="1" fontId="32" fillId="34" borderId="0" xfId="0" applyNumberFormat="1" applyFont="1" applyFill="1"/>
    <xf numFmtId="0" fontId="67" fillId="0" borderId="1754" xfId="0" applyFont="1" applyBorder="1"/>
    <xf numFmtId="1" fontId="32" fillId="35" borderId="1752" xfId="0" applyNumberFormat="1" applyFont="1" applyFill="1" applyBorder="1" applyAlignment="1">
      <alignment horizontal="center" wrapText="1"/>
    </xf>
    <xf numFmtId="1" fontId="32" fillId="33" borderId="1760" xfId="0" applyNumberFormat="1" applyFont="1" applyFill="1" applyBorder="1"/>
    <xf numFmtId="1" fontId="32" fillId="33" borderId="1762" xfId="0" applyNumberFormat="1" applyFont="1" applyFill="1" applyBorder="1"/>
    <xf numFmtId="0" fontId="32" fillId="0" borderId="1754" xfId="0" applyFont="1" applyBorder="1" applyAlignment="1">
      <alignment horizontal="center" vertical="center"/>
    </xf>
    <xf numFmtId="1" fontId="32" fillId="33" borderId="1768" xfId="0" applyNumberFormat="1" applyFont="1" applyFill="1" applyBorder="1"/>
    <xf numFmtId="1" fontId="32" fillId="33" borderId="1757" xfId="0" applyNumberFormat="1" applyFont="1" applyFill="1" applyBorder="1"/>
    <xf numFmtId="0" fontId="0" fillId="33" borderId="1755" xfId="0" applyFill="1" applyBorder="1"/>
    <xf numFmtId="0" fontId="0" fillId="32" borderId="1755" xfId="0" applyFill="1" applyBorder="1" applyProtection="1">
      <protection locked="0"/>
    </xf>
    <xf numFmtId="0" fontId="0" fillId="33" borderId="1761" xfId="0" applyFill="1" applyBorder="1"/>
    <xf numFmtId="0" fontId="0" fillId="32" borderId="1761" xfId="0" applyFill="1" applyBorder="1" applyProtection="1">
      <protection locked="0"/>
    </xf>
    <xf numFmtId="1" fontId="0" fillId="21" borderId="0" xfId="0" applyNumberFormat="1" applyFill="1"/>
    <xf numFmtId="0" fontId="0" fillId="21" borderId="0" xfId="0" applyFill="1"/>
    <xf numFmtId="1" fontId="65" fillId="3" borderId="0" xfId="0" applyNumberFormat="1" applyFont="1" applyFill="1"/>
    <xf numFmtId="164" fontId="69" fillId="14" borderId="0" xfId="32" applyNumberFormat="1" applyFont="1" applyFill="1" applyProtection="1"/>
    <xf numFmtId="164" fontId="70" fillId="14" borderId="0" xfId="33" applyNumberFormat="1" applyFont="1" applyFill="1" applyAlignment="1" applyProtection="1"/>
    <xf numFmtId="0" fontId="70" fillId="14" borderId="0" xfId="0" applyFont="1" applyFill="1"/>
    <xf numFmtId="0" fontId="70" fillId="0" borderId="0" xfId="0" applyFont="1"/>
    <xf numFmtId="164" fontId="69" fillId="14" borderId="0" xfId="32" applyNumberFormat="1" applyFont="1" applyFill="1" applyBorder="1" applyProtection="1"/>
    <xf numFmtId="164" fontId="69" fillId="14" borderId="0" xfId="33" applyNumberFormat="1" applyFont="1" applyFill="1" applyAlignment="1" applyProtection="1"/>
    <xf numFmtId="164" fontId="69" fillId="14" borderId="0" xfId="33" applyNumberFormat="1" applyFont="1" applyFill="1" applyAlignment="1" applyProtection="1">
      <alignment horizontal="center"/>
    </xf>
    <xf numFmtId="164" fontId="69" fillId="14" borderId="0" xfId="32" applyNumberFormat="1" applyFont="1" applyFill="1" applyAlignment="1" applyProtection="1"/>
    <xf numFmtId="0" fontId="69" fillId="14" borderId="0" xfId="0" applyFont="1" applyFill="1"/>
    <xf numFmtId="0" fontId="69" fillId="14" borderId="0" xfId="0" applyFont="1" applyFill="1" applyAlignment="1">
      <alignment horizontal="center"/>
    </xf>
    <xf numFmtId="0" fontId="70" fillId="14" borderId="0" xfId="6" applyFont="1" applyFill="1"/>
    <xf numFmtId="164" fontId="64" fillId="14" borderId="897" xfId="32" applyNumberFormat="1" applyFont="1" applyFill="1" applyBorder="1" applyAlignment="1" applyProtection="1">
      <alignment horizontal="left"/>
    </xf>
    <xf numFmtId="164" fontId="70" fillId="14" borderId="0" xfId="32" applyNumberFormat="1" applyFont="1" applyFill="1" applyProtection="1"/>
    <xf numFmtId="1" fontId="70" fillId="0" borderId="890" xfId="0" applyNumberFormat="1" applyFont="1" applyBorder="1" applyAlignment="1">
      <alignment horizontal="center" vertical="center" wrapText="1"/>
    </xf>
    <xf numFmtId="1" fontId="70" fillId="0" borderId="873" xfId="0" applyNumberFormat="1" applyFont="1" applyBorder="1" applyAlignment="1">
      <alignment horizontal="center" vertical="center" wrapText="1"/>
    </xf>
    <xf numFmtId="1" fontId="70" fillId="0" borderId="891" xfId="0" applyNumberFormat="1" applyFont="1" applyBorder="1" applyAlignment="1">
      <alignment horizontal="center" vertical="center" wrapText="1"/>
    </xf>
    <xf numFmtId="1" fontId="70" fillId="0" borderId="873" xfId="0" applyNumberFormat="1" applyFont="1" applyBorder="1" applyAlignment="1">
      <alignment horizontal="center" vertical="center"/>
    </xf>
    <xf numFmtId="1" fontId="70" fillId="0" borderId="847" xfId="0" applyNumberFormat="1" applyFont="1" applyBorder="1" applyAlignment="1">
      <alignment horizontal="center" vertical="center"/>
    </xf>
    <xf numFmtId="164" fontId="70" fillId="14" borderId="1398" xfId="32" applyNumberFormat="1" applyFont="1" applyFill="1" applyBorder="1" applyAlignment="1" applyProtection="1">
      <alignment horizontal="center" vertical="center" wrapText="1"/>
    </xf>
    <xf numFmtId="164" fontId="70" fillId="14" borderId="1400" xfId="32" applyNumberFormat="1" applyFont="1" applyFill="1" applyBorder="1" applyAlignment="1" applyProtection="1">
      <alignment horizontal="center" vertical="center"/>
    </xf>
    <xf numFmtId="164" fontId="32" fillId="14" borderId="898" xfId="32" applyNumberFormat="1" applyFont="1" applyFill="1" applyBorder="1" applyProtection="1"/>
    <xf numFmtId="166" fontId="70" fillId="14" borderId="618" xfId="32" applyNumberFormat="1" applyFont="1" applyFill="1" applyBorder="1" applyAlignment="1" applyProtection="1">
      <alignment horizontal="center"/>
    </xf>
    <xf numFmtId="1" fontId="32" fillId="5" borderId="808" xfId="0" applyNumberFormat="1" applyFont="1" applyFill="1" applyBorder="1" applyProtection="1">
      <protection locked="0"/>
    </xf>
    <xf numFmtId="1" fontId="32" fillId="5" borderId="809" xfId="0" applyNumberFormat="1" applyFont="1" applyFill="1" applyBorder="1" applyProtection="1">
      <protection locked="0"/>
    </xf>
    <xf numFmtId="1" fontId="32" fillId="5" borderId="899" xfId="0" applyNumberFormat="1" applyFont="1" applyFill="1" applyBorder="1" applyProtection="1">
      <protection locked="0"/>
    </xf>
    <xf numFmtId="1" fontId="32" fillId="5" borderId="784" xfId="0" applyNumberFormat="1" applyFont="1" applyFill="1" applyBorder="1" applyProtection="1">
      <protection locked="0"/>
    </xf>
    <xf numFmtId="1" fontId="32" fillId="5" borderId="816" xfId="0" applyNumberFormat="1" applyFont="1" applyFill="1" applyBorder="1" applyProtection="1">
      <protection locked="0"/>
    </xf>
    <xf numFmtId="1" fontId="32" fillId="5" borderId="1408" xfId="0" applyNumberFormat="1" applyFont="1" applyFill="1" applyBorder="1" applyProtection="1">
      <protection locked="0"/>
    </xf>
    <xf numFmtId="1" fontId="32" fillId="5" borderId="1410" xfId="0" applyNumberFormat="1" applyFont="1" applyFill="1" applyBorder="1" applyProtection="1">
      <protection locked="0"/>
    </xf>
    <xf numFmtId="1" fontId="32" fillId="5" borderId="1402" xfId="0" applyNumberFormat="1" applyFont="1" applyFill="1" applyBorder="1" applyProtection="1">
      <protection locked="0"/>
    </xf>
    <xf numFmtId="1" fontId="32" fillId="5" borderId="900" xfId="0" applyNumberFormat="1" applyFont="1" applyFill="1" applyBorder="1" applyProtection="1">
      <protection locked="0"/>
    </xf>
    <xf numFmtId="164" fontId="32" fillId="14" borderId="901" xfId="32" applyNumberFormat="1" applyFont="1" applyFill="1" applyBorder="1" applyProtection="1"/>
    <xf numFmtId="1" fontId="32" fillId="5" borderId="902" xfId="0" applyNumberFormat="1" applyFont="1" applyFill="1" applyBorder="1" applyProtection="1">
      <protection locked="0"/>
    </xf>
    <xf numFmtId="1" fontId="32" fillId="5" borderId="811" xfId="0" applyNumberFormat="1" applyFont="1" applyFill="1" applyBorder="1" applyProtection="1">
      <protection locked="0"/>
    </xf>
    <xf numFmtId="1" fontId="32" fillId="5" borderId="1265" xfId="0" applyNumberFormat="1" applyFont="1" applyFill="1" applyBorder="1" applyProtection="1">
      <protection locked="0"/>
    </xf>
    <xf numFmtId="1" fontId="32" fillId="5" borderId="1128" xfId="0" applyNumberFormat="1" applyFont="1" applyFill="1" applyBorder="1" applyProtection="1">
      <protection locked="0"/>
    </xf>
    <xf numFmtId="1" fontId="32" fillId="5" borderId="1258" xfId="0" applyNumberFormat="1" applyFont="1" applyFill="1" applyBorder="1" applyProtection="1">
      <protection locked="0"/>
    </xf>
    <xf numFmtId="1" fontId="32" fillId="5" borderId="903" xfId="0" applyNumberFormat="1" applyFont="1" applyFill="1" applyBorder="1" applyProtection="1">
      <protection locked="0"/>
    </xf>
    <xf numFmtId="164" fontId="32" fillId="14" borderId="779" xfId="32" applyNumberFormat="1" applyFont="1" applyFill="1" applyBorder="1" applyAlignment="1" applyProtection="1">
      <alignment vertical="center"/>
    </xf>
    <xf numFmtId="164" fontId="32" fillId="14" borderId="880" xfId="32" applyNumberFormat="1" applyFont="1" applyFill="1" applyBorder="1" applyAlignment="1" applyProtection="1">
      <alignment horizontal="left"/>
    </xf>
    <xf numFmtId="164" fontId="32" fillId="14" borderId="907" xfId="32" applyNumberFormat="1" applyFont="1" applyFill="1" applyBorder="1" applyProtection="1"/>
    <xf numFmtId="166" fontId="70" fillId="14" borderId="908" xfId="32" applyNumberFormat="1" applyFont="1" applyFill="1" applyBorder="1" applyAlignment="1" applyProtection="1">
      <alignment horizontal="center"/>
    </xf>
    <xf numFmtId="166" fontId="70" fillId="14" borderId="909" xfId="32" applyNumberFormat="1" applyFont="1" applyFill="1" applyBorder="1" applyAlignment="1" applyProtection="1">
      <alignment horizontal="center"/>
    </xf>
    <xf numFmtId="166" fontId="70" fillId="14" borderId="910" xfId="32" applyNumberFormat="1" applyFont="1" applyFill="1" applyBorder="1" applyAlignment="1" applyProtection="1">
      <alignment horizontal="center"/>
    </xf>
    <xf numFmtId="166" fontId="70" fillId="14" borderId="911" xfId="32" applyNumberFormat="1" applyFont="1" applyFill="1" applyBorder="1" applyAlignment="1" applyProtection="1">
      <alignment horizontal="center"/>
    </xf>
    <xf numFmtId="166" fontId="70" fillId="14" borderId="912" xfId="32" applyNumberFormat="1" applyFont="1" applyFill="1" applyBorder="1" applyAlignment="1" applyProtection="1">
      <alignment horizontal="center"/>
    </xf>
    <xf numFmtId="166" fontId="70" fillId="14" borderId="1398" xfId="32" applyNumberFormat="1" applyFont="1" applyFill="1" applyBorder="1" applyAlignment="1" applyProtection="1">
      <alignment horizontal="center"/>
    </xf>
    <xf numFmtId="166" fontId="70" fillId="14" borderId="1400" xfId="32" applyNumberFormat="1" applyFont="1" applyFill="1" applyBorder="1" applyAlignment="1" applyProtection="1">
      <alignment horizontal="center"/>
    </xf>
    <xf numFmtId="166" fontId="70" fillId="14" borderId="1299" xfId="32" applyNumberFormat="1" applyFont="1" applyFill="1" applyBorder="1" applyAlignment="1" applyProtection="1">
      <alignment horizontal="center"/>
    </xf>
    <xf numFmtId="166" fontId="70" fillId="14" borderId="913" xfId="32" applyNumberFormat="1" applyFont="1" applyFill="1" applyBorder="1" applyAlignment="1" applyProtection="1">
      <alignment horizontal="center"/>
    </xf>
    <xf numFmtId="166" fontId="70" fillId="14" borderId="0" xfId="32" applyNumberFormat="1" applyFont="1" applyFill="1" applyBorder="1" applyAlignment="1" applyProtection="1">
      <alignment horizontal="center"/>
    </xf>
    <xf numFmtId="1" fontId="32" fillId="0" borderId="1736" xfId="449" applyNumberFormat="1" applyFont="1" applyBorder="1" applyAlignment="1">
      <alignment horizontal="center" vertical="center"/>
    </xf>
    <xf numFmtId="1" fontId="32" fillId="0" borderId="1736" xfId="449" applyNumberFormat="1" applyFont="1" applyBorder="1" applyAlignment="1">
      <alignment horizontal="center" vertical="center" wrapText="1"/>
    </xf>
    <xf numFmtId="1" fontId="32" fillId="0" borderId="1800" xfId="449" applyNumberFormat="1" applyFont="1" applyBorder="1" applyAlignment="1">
      <alignment horizontal="center" vertical="center" wrapText="1"/>
    </xf>
    <xf numFmtId="0" fontId="32" fillId="0" borderId="1771" xfId="449" applyFont="1" applyBorder="1" applyAlignment="1">
      <alignment horizontal="left" vertical="center" wrapText="1"/>
    </xf>
    <xf numFmtId="1" fontId="32" fillId="0" borderId="1771" xfId="449" applyNumberFormat="1" applyFont="1" applyBorder="1" applyAlignment="1">
      <alignment horizontal="center" vertical="center" wrapText="1"/>
    </xf>
    <xf numFmtId="1" fontId="32" fillId="5" borderId="1771" xfId="449" applyNumberFormat="1" applyFont="1" applyFill="1" applyBorder="1" applyProtection="1">
      <protection locked="0"/>
    </xf>
    <xf numFmtId="1" fontId="32" fillId="5" borderId="1704" xfId="449" applyNumberFormat="1" applyFont="1" applyFill="1" applyBorder="1" applyProtection="1">
      <protection locked="0"/>
    </xf>
    <xf numFmtId="1" fontId="32" fillId="15" borderId="1739" xfId="449" applyNumberFormat="1" applyFont="1" applyFill="1" applyBorder="1" applyProtection="1">
      <protection locked="0"/>
    </xf>
    <xf numFmtId="1" fontId="32" fillId="15" borderId="1771" xfId="449" applyNumberFormat="1" applyFont="1" applyFill="1" applyBorder="1" applyProtection="1">
      <protection locked="0"/>
    </xf>
    <xf numFmtId="0" fontId="32" fillId="0" borderId="1675" xfId="449" applyFont="1" applyBorder="1" applyAlignment="1">
      <alignment horizontal="left" vertical="center" wrapText="1"/>
    </xf>
    <xf numFmtId="1" fontId="32" fillId="0" borderId="1675" xfId="449" applyNumberFormat="1" applyFont="1" applyBorder="1" applyAlignment="1">
      <alignment horizontal="center" vertical="center" wrapText="1"/>
    </xf>
    <xf numFmtId="1" fontId="32" fillId="5" borderId="1675" xfId="449" applyNumberFormat="1" applyFont="1" applyFill="1" applyBorder="1" applyProtection="1">
      <protection locked="0"/>
    </xf>
    <xf numFmtId="1" fontId="32" fillId="5" borderId="1678" xfId="449" applyNumberFormat="1" applyFont="1" applyFill="1" applyBorder="1" applyProtection="1">
      <protection locked="0"/>
    </xf>
    <xf numFmtId="1" fontId="32" fillId="15" borderId="1659" xfId="449" applyNumberFormat="1" applyFont="1" applyFill="1" applyBorder="1" applyProtection="1">
      <protection locked="0"/>
    </xf>
    <xf numFmtId="1" fontId="32" fillId="15" borderId="1675" xfId="449" applyNumberFormat="1" applyFont="1" applyFill="1" applyBorder="1" applyProtection="1">
      <protection locked="0"/>
    </xf>
    <xf numFmtId="0" fontId="32" fillId="0" borderId="1685" xfId="449" applyFont="1" applyBorder="1" applyAlignment="1">
      <alignment horizontal="left" vertical="center" wrapText="1"/>
    </xf>
    <xf numFmtId="1" fontId="32" fillId="0" borderId="1685" xfId="449" applyNumberFormat="1" applyFont="1" applyBorder="1" applyAlignment="1">
      <alignment horizontal="center" vertical="center" wrapText="1"/>
    </xf>
    <xf numFmtId="1" fontId="32" fillId="5" borderId="1685" xfId="449" applyNumberFormat="1" applyFont="1" applyFill="1" applyBorder="1" applyProtection="1">
      <protection locked="0"/>
    </xf>
    <xf numFmtId="1" fontId="32" fillId="5" borderId="1264" xfId="449" applyNumberFormat="1" applyFont="1" applyFill="1" applyBorder="1" applyProtection="1">
      <protection locked="0"/>
    </xf>
    <xf numFmtId="1" fontId="32" fillId="15" borderId="1611" xfId="449" applyNumberFormat="1" applyFont="1" applyFill="1" applyBorder="1" applyProtection="1">
      <protection locked="0"/>
    </xf>
    <xf numFmtId="1" fontId="32" fillId="15" borderId="1685" xfId="449" applyNumberFormat="1" applyFont="1" applyFill="1" applyBorder="1" applyProtection="1">
      <protection locked="0"/>
    </xf>
    <xf numFmtId="1" fontId="32" fillId="0" borderId="1667" xfId="449" applyNumberFormat="1" applyFont="1" applyBorder="1" applyAlignment="1">
      <alignment horizontal="center" vertical="center" wrapText="1"/>
    </xf>
    <xf numFmtId="164" fontId="70" fillId="14" borderId="0" xfId="32" applyNumberFormat="1" applyFont="1" applyFill="1" applyBorder="1" applyProtection="1"/>
    <xf numFmtId="164" fontId="70" fillId="14" borderId="0" xfId="32" applyNumberFormat="1" applyFont="1" applyFill="1" applyBorder="1" applyAlignment="1" applyProtection="1">
      <alignment horizontal="center"/>
    </xf>
    <xf numFmtId="1" fontId="70" fillId="0" borderId="909" xfId="0" applyNumberFormat="1" applyFont="1" applyBorder="1" applyAlignment="1">
      <alignment horizontal="center" vertical="center" wrapText="1"/>
    </xf>
    <xf numFmtId="1" fontId="70" fillId="0" borderId="911" xfId="0" applyNumberFormat="1" applyFont="1" applyBorder="1" applyAlignment="1">
      <alignment horizontal="center" vertical="center" wrapText="1"/>
    </xf>
    <xf numFmtId="1" fontId="70" fillId="0" borderId="910" xfId="0" applyNumberFormat="1" applyFont="1" applyBorder="1" applyAlignment="1">
      <alignment horizontal="center" vertical="center" wrapText="1"/>
    </xf>
    <xf numFmtId="1" fontId="70" fillId="0" borderId="915" xfId="0" applyNumberFormat="1" applyFont="1" applyBorder="1" applyAlignment="1">
      <alignment horizontal="center" vertical="center" wrapText="1"/>
    </xf>
    <xf numFmtId="1" fontId="70" fillId="0" borderId="912" xfId="0" applyNumberFormat="1" applyFont="1" applyBorder="1" applyAlignment="1">
      <alignment horizontal="center" vertical="center" wrapText="1"/>
    </xf>
    <xf numFmtId="0" fontId="32" fillId="0" borderId="2092" xfId="449" applyFont="1" applyBorder="1" applyAlignment="1">
      <alignment horizontal="left" vertical="center" wrapText="1"/>
    </xf>
    <xf numFmtId="166" fontId="70" fillId="14" borderId="2092" xfId="32" applyNumberFormat="1" applyFont="1" applyFill="1" applyBorder="1" applyAlignment="1" applyProtection="1">
      <alignment horizontal="center" vertical="center"/>
    </xf>
    <xf numFmtId="1" fontId="32" fillId="5" borderId="2108" xfId="0" applyNumberFormat="1" applyFont="1" applyFill="1" applyBorder="1" applyProtection="1">
      <protection locked="0"/>
    </xf>
    <xf numFmtId="1" fontId="32" fillId="5" borderId="1841" xfId="0" applyNumberFormat="1" applyFont="1" applyFill="1" applyBorder="1" applyProtection="1">
      <protection locked="0"/>
    </xf>
    <xf numFmtId="1" fontId="32" fillId="5" borderId="1896" xfId="0" applyNumberFormat="1" applyFont="1" applyFill="1" applyBorder="1" applyProtection="1">
      <protection locked="0"/>
    </xf>
    <xf numFmtId="1" fontId="32" fillId="5" borderId="2092" xfId="0" applyNumberFormat="1" applyFont="1" applyFill="1" applyBorder="1" applyProtection="1">
      <protection locked="0"/>
    </xf>
    <xf numFmtId="1" fontId="32" fillId="5" borderId="2114" xfId="0" applyNumberFormat="1" applyFont="1" applyFill="1" applyBorder="1" applyProtection="1">
      <protection locked="0"/>
    </xf>
    <xf numFmtId="1" fontId="32" fillId="5" borderId="2113" xfId="0" applyNumberFormat="1" applyFont="1" applyFill="1" applyBorder="1" applyProtection="1">
      <protection locked="0"/>
    </xf>
    <xf numFmtId="164" fontId="64" fillId="14" borderId="1825" xfId="32" applyNumberFormat="1" applyFont="1" applyFill="1" applyBorder="1" applyAlignment="1" applyProtection="1">
      <alignment horizontal="left"/>
    </xf>
    <xf numFmtId="166" fontId="70" fillId="0" borderId="0" xfId="32" applyNumberFormat="1" applyFont="1" applyBorder="1" applyAlignment="1" applyProtection="1">
      <alignment horizontal="center"/>
    </xf>
    <xf numFmtId="1" fontId="32" fillId="0" borderId="0" xfId="0" applyNumberFormat="1" applyFont="1" applyProtection="1">
      <protection locked="0"/>
    </xf>
    <xf numFmtId="0" fontId="72" fillId="0" borderId="0" xfId="0" applyFont="1"/>
    <xf numFmtId="1" fontId="32" fillId="0" borderId="909" xfId="0" applyNumberFormat="1" applyFont="1" applyBorder="1" applyAlignment="1">
      <alignment horizontal="center" vertical="center" wrapText="1"/>
    </xf>
    <xf numFmtId="1" fontId="32" fillId="0" borderId="911" xfId="0" applyNumberFormat="1" applyFont="1" applyBorder="1" applyAlignment="1">
      <alignment horizontal="center" vertical="center" wrapText="1"/>
    </xf>
    <xf numFmtId="1" fontId="32" fillId="0" borderId="912" xfId="0" applyNumberFormat="1" applyFont="1" applyBorder="1" applyAlignment="1">
      <alignment horizontal="center" vertical="center" wrapText="1"/>
    </xf>
    <xf numFmtId="164" fontId="32" fillId="14" borderId="971" xfId="32" applyNumberFormat="1" applyFont="1" applyFill="1" applyBorder="1" applyAlignment="1" applyProtection="1">
      <alignment horizontal="center" vertical="center" wrapText="1"/>
    </xf>
    <xf numFmtId="164" fontId="32" fillId="14" borderId="913" xfId="32" applyNumberFormat="1" applyFont="1" applyFill="1" applyBorder="1" applyAlignment="1" applyProtection="1">
      <alignment horizontal="center" vertical="center"/>
    </xf>
    <xf numFmtId="1" fontId="32" fillId="0" borderId="971" xfId="0" applyNumberFormat="1" applyFont="1" applyBorder="1" applyAlignment="1">
      <alignment horizontal="center" vertical="center" wrapText="1"/>
    </xf>
    <xf numFmtId="1" fontId="32" fillId="0" borderId="913" xfId="0" applyNumberFormat="1" applyFont="1" applyBorder="1" applyAlignment="1">
      <alignment horizontal="center" vertical="center" wrapText="1"/>
    </xf>
    <xf numFmtId="1" fontId="32" fillId="0" borderId="907" xfId="0" applyNumberFormat="1" applyFont="1" applyBorder="1" applyAlignment="1">
      <alignment horizontal="center" vertical="center"/>
    </xf>
    <xf numFmtId="1" fontId="32" fillId="0" borderId="909" xfId="0" applyNumberFormat="1" applyFont="1" applyBorder="1" applyAlignment="1">
      <alignment horizontal="center" vertical="center"/>
    </xf>
    <xf numFmtId="1" fontId="32" fillId="0" borderId="975" xfId="0" applyNumberFormat="1" applyFont="1" applyBorder="1" applyAlignment="1">
      <alignment horizontal="center" vertical="center" wrapText="1"/>
    </xf>
    <xf numFmtId="1" fontId="32" fillId="0" borderId="1841" xfId="0" applyNumberFormat="1" applyFont="1" applyBorder="1" applyAlignment="1">
      <alignment horizontal="center" vertical="center" wrapText="1"/>
    </xf>
    <xf numFmtId="1" fontId="32" fillId="0" borderId="1835" xfId="0" applyNumberFormat="1" applyFont="1" applyBorder="1" applyAlignment="1">
      <alignment horizontal="center" vertical="center" wrapText="1"/>
    </xf>
    <xf numFmtId="1" fontId="32" fillId="0" borderId="892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 wrapText="1"/>
    </xf>
    <xf numFmtId="1" fontId="32" fillId="0" borderId="1640" xfId="0" applyNumberFormat="1" applyFont="1" applyBorder="1"/>
    <xf numFmtId="1" fontId="32" fillId="5" borderId="1840" xfId="0" applyNumberFormat="1" applyFont="1" applyFill="1" applyBorder="1" applyProtection="1">
      <protection locked="0"/>
    </xf>
    <xf numFmtId="1" fontId="32" fillId="5" borderId="1607" xfId="0" applyNumberFormat="1" applyFont="1" applyFill="1" applyBorder="1" applyProtection="1">
      <protection locked="0"/>
    </xf>
    <xf numFmtId="1" fontId="32" fillId="2" borderId="2205" xfId="9" applyNumberFormat="1" applyFont="1" applyBorder="1" applyProtection="1">
      <protection locked="0"/>
    </xf>
    <xf numFmtId="1" fontId="32" fillId="2" borderId="2206" xfId="9" applyNumberFormat="1" applyFont="1" applyBorder="1" applyProtection="1">
      <protection locked="0"/>
    </xf>
    <xf numFmtId="1" fontId="32" fillId="5" borderId="895" xfId="0" applyNumberFormat="1" applyFont="1" applyFill="1" applyBorder="1" applyProtection="1">
      <protection locked="0"/>
    </xf>
    <xf numFmtId="1" fontId="32" fillId="0" borderId="917" xfId="0" applyNumberFormat="1" applyFont="1" applyBorder="1"/>
    <xf numFmtId="1" fontId="32" fillId="5" borderId="823" xfId="0" applyNumberFormat="1" applyFont="1" applyFill="1" applyBorder="1" applyProtection="1">
      <protection locked="0"/>
    </xf>
    <xf numFmtId="1" fontId="32" fillId="5" borderId="918" xfId="0" applyNumberFormat="1" applyFont="1" applyFill="1" applyBorder="1" applyProtection="1">
      <protection locked="0"/>
    </xf>
    <xf numFmtId="1" fontId="32" fillId="0" borderId="1499" xfId="0" applyNumberFormat="1" applyFont="1" applyBorder="1"/>
    <xf numFmtId="166" fontId="70" fillId="14" borderId="1269" xfId="32" applyNumberFormat="1" applyFont="1" applyFill="1" applyBorder="1" applyAlignment="1" applyProtection="1">
      <alignment horizontal="center"/>
    </xf>
    <xf numFmtId="1" fontId="32" fillId="5" borderId="708" xfId="0" applyNumberFormat="1" applyFont="1" applyFill="1" applyBorder="1" applyProtection="1">
      <protection locked="0"/>
    </xf>
    <xf numFmtId="1" fontId="32" fillId="5" borderId="1084" xfId="0" applyNumberFormat="1" applyFont="1" applyFill="1" applyBorder="1" applyProtection="1">
      <protection locked="0"/>
    </xf>
    <xf numFmtId="1" fontId="32" fillId="5" borderId="1075" xfId="0" applyNumberFormat="1" applyFont="1" applyFill="1" applyBorder="1" applyProtection="1">
      <protection locked="0"/>
    </xf>
    <xf numFmtId="1" fontId="32" fillId="5" borderId="1074" xfId="0" applyNumberFormat="1" applyFont="1" applyFill="1" applyBorder="1" applyProtection="1">
      <protection locked="0"/>
    </xf>
    <xf numFmtId="1" fontId="32" fillId="5" borderId="1076" xfId="0" applyNumberFormat="1" applyFont="1" applyFill="1" applyBorder="1" applyProtection="1">
      <protection locked="0"/>
    </xf>
    <xf numFmtId="1" fontId="32" fillId="5" borderId="1501" xfId="0" applyNumberFormat="1" applyFont="1" applyFill="1" applyBorder="1" applyProtection="1">
      <protection locked="0"/>
    </xf>
    <xf numFmtId="1" fontId="32" fillId="4" borderId="708" xfId="0" applyNumberFormat="1" applyFont="1" applyFill="1" applyBorder="1"/>
    <xf numFmtId="1" fontId="32" fillId="4" borderId="811" xfId="0" applyNumberFormat="1" applyFont="1" applyFill="1" applyBorder="1"/>
    <xf numFmtId="1" fontId="32" fillId="4" borderId="808" xfId="0" applyNumberFormat="1" applyFont="1" applyFill="1" applyBorder="1"/>
    <xf numFmtId="1" fontId="32" fillId="2" borderId="708" xfId="9" applyNumberFormat="1" applyFont="1" applyBorder="1" applyProtection="1">
      <protection locked="0"/>
    </xf>
    <xf numFmtId="1" fontId="32" fillId="2" borderId="808" xfId="9" applyNumberFormat="1" applyFont="1" applyBorder="1" applyProtection="1">
      <protection locked="0"/>
    </xf>
    <xf numFmtId="1" fontId="32" fillId="0" borderId="0" xfId="0" applyNumberFormat="1" applyFont="1"/>
    <xf numFmtId="1" fontId="32" fillId="0" borderId="1499" xfId="0" applyNumberFormat="1" applyFont="1" applyBorder="1" applyAlignment="1">
      <alignment wrapText="1"/>
    </xf>
    <xf numFmtId="1" fontId="32" fillId="5" borderId="825" xfId="0" applyNumberFormat="1" applyFont="1" applyFill="1" applyBorder="1" applyProtection="1">
      <protection locked="0"/>
    </xf>
    <xf numFmtId="0" fontId="70" fillId="0" borderId="0" xfId="33" applyFont="1" applyBorder="1" applyAlignment="1" applyProtection="1"/>
    <xf numFmtId="1" fontId="32" fillId="5" borderId="1498" xfId="0" applyNumberFormat="1" applyFont="1" applyFill="1" applyBorder="1" applyProtection="1">
      <protection locked="0"/>
    </xf>
    <xf numFmtId="1" fontId="32" fillId="5" borderId="1496" xfId="0" applyNumberFormat="1" applyFont="1" applyFill="1" applyBorder="1" applyProtection="1">
      <protection locked="0"/>
    </xf>
    <xf numFmtId="1" fontId="32" fillId="5" borderId="1546" xfId="0" applyNumberFormat="1" applyFont="1" applyFill="1" applyBorder="1" applyProtection="1">
      <protection locked="0"/>
    </xf>
    <xf numFmtId="1" fontId="32" fillId="5" borderId="1542" xfId="0" applyNumberFormat="1" applyFont="1" applyFill="1" applyBorder="1" applyProtection="1">
      <protection locked="0"/>
    </xf>
    <xf numFmtId="1" fontId="32" fillId="31" borderId="808" xfId="0" applyNumberFormat="1" applyFont="1" applyFill="1" applyBorder="1"/>
    <xf numFmtId="1" fontId="32" fillId="31" borderId="708" xfId="0" applyNumberFormat="1" applyFont="1" applyFill="1" applyBorder="1"/>
    <xf numFmtId="1" fontId="32" fillId="0" borderId="1145" xfId="0" applyNumberFormat="1" applyFont="1" applyBorder="1"/>
    <xf numFmtId="1" fontId="32" fillId="5" borderId="1493" xfId="0" applyNumberFormat="1" applyFont="1" applyFill="1" applyBorder="1" applyProtection="1">
      <protection locked="0"/>
    </xf>
    <xf numFmtId="1" fontId="32" fillId="5" borderId="805" xfId="0" applyNumberFormat="1" applyFont="1" applyFill="1" applyBorder="1" applyProtection="1">
      <protection locked="0"/>
    </xf>
    <xf numFmtId="1" fontId="32" fillId="5" borderId="1494" xfId="0" applyNumberFormat="1" applyFont="1" applyFill="1" applyBorder="1" applyProtection="1">
      <protection locked="0"/>
    </xf>
    <xf numFmtId="164" fontId="70" fillId="14" borderId="907" xfId="32" applyNumberFormat="1" applyFont="1" applyFill="1" applyBorder="1" applyAlignment="1" applyProtection="1">
      <alignment vertical="center" wrapText="1"/>
    </xf>
    <xf numFmtId="166" fontId="70" fillId="14" borderId="908" xfId="34" applyNumberFormat="1" applyFont="1" applyFill="1" applyBorder="1" applyAlignment="1" applyProtection="1">
      <alignment horizontal="center"/>
    </xf>
    <xf numFmtId="166" fontId="70" fillId="14" borderId="909" xfId="34" applyNumberFormat="1" applyFont="1" applyFill="1" applyBorder="1" applyProtection="1"/>
    <xf numFmtId="166" fontId="70" fillId="14" borderId="911" xfId="34" applyNumberFormat="1" applyFont="1" applyFill="1" applyBorder="1" applyProtection="1"/>
    <xf numFmtId="166" fontId="70" fillId="14" borderId="910" xfId="34" applyNumberFormat="1" applyFont="1" applyFill="1" applyBorder="1" applyProtection="1"/>
    <xf numFmtId="166" fontId="70" fillId="14" borderId="913" xfId="34" applyNumberFormat="1" applyFont="1" applyFill="1" applyBorder="1" applyProtection="1"/>
    <xf numFmtId="166" fontId="70" fillId="14" borderId="971" xfId="34" applyNumberFormat="1" applyFont="1" applyFill="1" applyBorder="1" applyProtection="1"/>
    <xf numFmtId="166" fontId="70" fillId="14" borderId="908" xfId="34" applyNumberFormat="1" applyFont="1" applyFill="1" applyBorder="1" applyProtection="1"/>
    <xf numFmtId="166" fontId="70" fillId="14" borderId="975" xfId="34" applyNumberFormat="1" applyFont="1" applyFill="1" applyBorder="1" applyProtection="1"/>
    <xf numFmtId="166" fontId="70" fillId="14" borderId="952" xfId="34" applyNumberFormat="1" applyFont="1" applyFill="1" applyBorder="1" applyProtection="1"/>
    <xf numFmtId="166" fontId="70" fillId="14" borderId="951" xfId="34" applyNumberFormat="1" applyFont="1" applyFill="1" applyBorder="1" applyProtection="1"/>
    <xf numFmtId="1" fontId="65" fillId="0" borderId="724" xfId="0" applyNumberFormat="1" applyFont="1" applyBorder="1"/>
    <xf numFmtId="1" fontId="32" fillId="3" borderId="0" xfId="0" applyNumberFormat="1" applyFont="1" applyFill="1"/>
    <xf numFmtId="0" fontId="70" fillId="14" borderId="0" xfId="33" applyFont="1" applyFill="1" applyAlignment="1" applyProtection="1"/>
    <xf numFmtId="1" fontId="32" fillId="0" borderId="911" xfId="0" applyNumberFormat="1" applyFont="1" applyBorder="1" applyAlignment="1">
      <alignment horizontal="center" vertical="center"/>
    </xf>
    <xf numFmtId="1" fontId="32" fillId="0" borderId="913" xfId="0" applyNumberFormat="1" applyFont="1" applyBorder="1" applyAlignment="1">
      <alignment horizontal="center" vertical="center"/>
    </xf>
    <xf numFmtId="1" fontId="32" fillId="0" borderId="926" xfId="0" applyNumberFormat="1" applyFont="1" applyBorder="1" applyAlignment="1">
      <alignment horizontal="center" vertical="center" wrapText="1"/>
    </xf>
    <xf numFmtId="1" fontId="32" fillId="0" borderId="887" xfId="0" applyNumberFormat="1" applyFont="1" applyBorder="1" applyAlignment="1">
      <alignment horizontal="center" vertical="center" wrapText="1"/>
    </xf>
    <xf numFmtId="1" fontId="32" fillId="0" borderId="872" xfId="0" applyNumberFormat="1" applyFont="1" applyBorder="1" applyAlignment="1">
      <alignment horizontal="center" vertical="center" wrapText="1"/>
    </xf>
    <xf numFmtId="1" fontId="32" fillId="0" borderId="909" xfId="0" applyNumberFormat="1" applyFont="1" applyBorder="1" applyAlignment="1">
      <alignment horizontal="right"/>
    </xf>
    <xf numFmtId="1" fontId="32" fillId="0" borderId="927" xfId="0" applyNumberFormat="1" applyFont="1" applyBorder="1" applyAlignment="1">
      <alignment horizontal="right"/>
    </xf>
    <xf numFmtId="1" fontId="32" fillId="0" borderId="887" xfId="0" applyNumberFormat="1" applyFont="1" applyBorder="1" applyAlignment="1">
      <alignment horizontal="right"/>
    </xf>
    <xf numFmtId="1" fontId="32" fillId="5" borderId="926" xfId="0" applyNumberFormat="1" applyFont="1" applyFill="1" applyBorder="1" applyProtection="1">
      <protection locked="0"/>
    </xf>
    <xf numFmtId="1" fontId="32" fillId="5" borderId="887" xfId="0" applyNumberFormat="1" applyFont="1" applyFill="1" applyBorder="1" applyProtection="1">
      <protection locked="0"/>
    </xf>
    <xf numFmtId="1" fontId="32" fillId="5" borderId="872" xfId="0" applyNumberFormat="1" applyFont="1" applyFill="1" applyBorder="1" applyProtection="1">
      <protection locked="0"/>
    </xf>
    <xf numFmtId="1" fontId="32" fillId="5" borderId="952" xfId="0" applyNumberFormat="1" applyFont="1" applyFill="1" applyBorder="1" applyProtection="1">
      <protection locked="0"/>
    </xf>
    <xf numFmtId="1" fontId="32" fillId="5" borderId="912" xfId="0" applyNumberFormat="1" applyFont="1" applyFill="1" applyBorder="1" applyProtection="1">
      <protection locked="0"/>
    </xf>
    <xf numFmtId="1" fontId="32" fillId="5" borderId="945" xfId="0" applyNumberFormat="1" applyFont="1" applyFill="1" applyBorder="1" applyProtection="1">
      <protection locked="0"/>
    </xf>
    <xf numFmtId="1" fontId="32" fillId="0" borderId="922" xfId="0" applyNumberFormat="1" applyFont="1" applyBorder="1"/>
    <xf numFmtId="1" fontId="32" fillId="0" borderId="614" xfId="0" applyNumberFormat="1" applyFont="1" applyBorder="1" applyAlignment="1">
      <alignment horizontal="right" wrapText="1"/>
    </xf>
    <xf numFmtId="1" fontId="32" fillId="4" borderId="784" xfId="0" applyNumberFormat="1" applyFont="1" applyFill="1" applyBorder="1" applyAlignment="1">
      <alignment horizontal="right"/>
    </xf>
    <xf numFmtId="1" fontId="32" fillId="4" borderId="895" xfId="0" applyNumberFormat="1" applyFont="1" applyFill="1" applyBorder="1"/>
    <xf numFmtId="1" fontId="32" fillId="4" borderId="900" xfId="0" applyNumberFormat="1" applyFont="1" applyFill="1" applyBorder="1"/>
    <xf numFmtId="1" fontId="32" fillId="5" borderId="617" xfId="0" applyNumberFormat="1" applyFont="1" applyFill="1" applyBorder="1" applyProtection="1">
      <protection locked="0"/>
    </xf>
    <xf numFmtId="1" fontId="32" fillId="5" borderId="722" xfId="0" applyNumberFormat="1" applyFont="1" applyFill="1" applyBorder="1" applyProtection="1">
      <protection locked="0"/>
    </xf>
    <xf numFmtId="1" fontId="32" fillId="5" borderId="424" xfId="0" applyNumberFormat="1" applyFont="1" applyFill="1" applyBorder="1" applyProtection="1">
      <protection locked="0"/>
    </xf>
    <xf numFmtId="1" fontId="32" fillId="0" borderId="901" xfId="0" applyNumberFormat="1" applyFont="1" applyBorder="1" applyAlignment="1">
      <alignment wrapText="1"/>
    </xf>
    <xf numFmtId="1" fontId="32" fillId="0" borderId="808" xfId="0" applyNumberFormat="1" applyFont="1" applyBorder="1" applyAlignment="1">
      <alignment horizontal="right" wrapText="1"/>
    </xf>
    <xf numFmtId="1" fontId="32" fillId="0" borderId="809" xfId="0" applyNumberFormat="1" applyFont="1" applyBorder="1" applyAlignment="1">
      <alignment horizontal="right"/>
    </xf>
    <xf numFmtId="1" fontId="32" fillId="0" borderId="903" xfId="0" applyNumberFormat="1" applyFont="1" applyBorder="1" applyAlignment="1">
      <alignment horizontal="right"/>
    </xf>
    <xf numFmtId="1" fontId="32" fillId="5" borderId="949" xfId="0" applyNumberFormat="1" applyFont="1" applyFill="1" applyBorder="1" applyProtection="1">
      <protection locked="0"/>
    </xf>
    <xf numFmtId="1" fontId="32" fillId="5" borderId="956" xfId="0" applyNumberFormat="1" applyFont="1" applyFill="1" applyBorder="1" applyProtection="1">
      <protection locked="0"/>
    </xf>
    <xf numFmtId="1" fontId="32" fillId="5" borderId="901" xfId="0" applyNumberFormat="1" applyFont="1" applyFill="1" applyBorder="1" applyProtection="1">
      <protection locked="0"/>
    </xf>
    <xf numFmtId="1" fontId="32" fillId="5" borderId="699" xfId="0" applyNumberFormat="1" applyFont="1" applyFill="1" applyBorder="1" applyProtection="1">
      <protection locked="0"/>
    </xf>
    <xf numFmtId="1" fontId="32" fillId="5" borderId="958" xfId="0" applyNumberFormat="1" applyFont="1" applyFill="1" applyBorder="1" applyProtection="1">
      <protection locked="0"/>
    </xf>
    <xf numFmtId="1" fontId="32" fillId="0" borderId="925" xfId="0" applyNumberFormat="1" applyFont="1" applyBorder="1"/>
    <xf numFmtId="1" fontId="32" fillId="0" borderId="892" xfId="0" applyNumberFormat="1" applyFont="1" applyBorder="1" applyAlignment="1">
      <alignment horizontal="right"/>
    </xf>
    <xf numFmtId="1" fontId="32" fillId="0" borderId="884" xfId="0" applyNumberFormat="1" applyFont="1" applyBorder="1" applyAlignment="1">
      <alignment horizontal="right"/>
    </xf>
    <xf numFmtId="1" fontId="32" fillId="0" borderId="725" xfId="0" applyNumberFormat="1" applyFont="1" applyBorder="1" applyAlignment="1">
      <alignment horizontal="right"/>
    </xf>
    <xf numFmtId="1" fontId="32" fillId="4" borderId="924" xfId="0" applyNumberFormat="1" applyFont="1" applyFill="1" applyBorder="1"/>
    <xf numFmtId="1" fontId="32" fillId="4" borderId="674" xfId="0" applyNumberFormat="1" applyFont="1" applyFill="1" applyBorder="1"/>
    <xf numFmtId="1" fontId="32" fillId="5" borderId="924" xfId="0" applyNumberFormat="1" applyFont="1" applyFill="1" applyBorder="1" applyProtection="1">
      <protection locked="0"/>
    </xf>
    <xf numFmtId="1" fontId="32" fillId="5" borderId="920" xfId="0" applyNumberFormat="1" applyFont="1" applyFill="1" applyBorder="1" applyProtection="1">
      <protection locked="0"/>
    </xf>
    <xf numFmtId="1" fontId="32" fillId="5" borderId="674" xfId="0" applyNumberFormat="1" applyFont="1" applyFill="1" applyBorder="1" applyProtection="1">
      <protection locked="0"/>
    </xf>
    <xf numFmtId="1" fontId="32" fillId="4" borderId="770" xfId="0" applyNumberFormat="1" applyFont="1" applyFill="1" applyBorder="1"/>
    <xf numFmtId="1" fontId="32" fillId="0" borderId="614" xfId="0" applyNumberFormat="1" applyFont="1" applyBorder="1" applyAlignment="1">
      <alignment horizontal="right"/>
    </xf>
    <xf numFmtId="1" fontId="32" fillId="0" borderId="615" xfId="0" applyNumberFormat="1" applyFont="1" applyBorder="1" applyAlignment="1">
      <alignment horizontal="right"/>
    </xf>
    <xf numFmtId="1" fontId="32" fillId="0" borderId="424" xfId="0" applyNumberFormat="1" applyFont="1" applyBorder="1" applyAlignment="1">
      <alignment horizontal="right"/>
    </xf>
    <xf numFmtId="1" fontId="32" fillId="5" borderId="863" xfId="0" applyNumberFormat="1" applyFont="1" applyFill="1" applyBorder="1" applyProtection="1">
      <protection locked="0"/>
    </xf>
    <xf numFmtId="1" fontId="32" fillId="5" borderId="613" xfId="0" applyNumberFormat="1" applyFont="1" applyFill="1" applyBorder="1" applyProtection="1">
      <protection locked="0"/>
    </xf>
    <xf numFmtId="1" fontId="32" fillId="5" borderId="752" xfId="0" applyNumberFormat="1" applyFont="1" applyFill="1" applyBorder="1" applyProtection="1">
      <protection locked="0"/>
    </xf>
    <xf numFmtId="1" fontId="32" fillId="0" borderId="808" xfId="0" applyNumberFormat="1" applyFont="1" applyBorder="1" applyAlignment="1">
      <alignment horizontal="right"/>
    </xf>
    <xf numFmtId="1" fontId="32" fillId="0" borderId="808" xfId="0" applyNumberFormat="1" applyFont="1" applyBorder="1" applyAlignment="1">
      <alignment horizontal="right" shrinkToFit="1"/>
    </xf>
    <xf numFmtId="1" fontId="32" fillId="0" borderId="809" xfId="0" applyNumberFormat="1" applyFont="1" applyBorder="1" applyAlignment="1">
      <alignment horizontal="right" shrinkToFit="1"/>
    </xf>
    <xf numFmtId="1" fontId="32" fillId="0" borderId="924" xfId="0" applyNumberFormat="1" applyFont="1" applyBorder="1" applyAlignment="1">
      <alignment horizontal="right"/>
    </xf>
    <xf numFmtId="1" fontId="32" fillId="0" borderId="905" xfId="0" applyNumberFormat="1" applyFont="1" applyBorder="1" applyAlignment="1">
      <alignment horizontal="right"/>
    </xf>
    <xf numFmtId="1" fontId="32" fillId="0" borderId="674" xfId="0" applyNumberFormat="1" applyFont="1" applyBorder="1" applyAlignment="1">
      <alignment horizontal="right"/>
    </xf>
    <xf numFmtId="1" fontId="32" fillId="5" borderId="923" xfId="0" applyNumberFormat="1" applyFont="1" applyFill="1" applyBorder="1" applyProtection="1">
      <protection locked="0"/>
    </xf>
    <xf numFmtId="1" fontId="32" fillId="5" borderId="929" xfId="0" applyNumberFormat="1" applyFont="1" applyFill="1" applyBorder="1" applyProtection="1">
      <protection locked="0"/>
    </xf>
    <xf numFmtId="1" fontId="32" fillId="5" borderId="959" xfId="0" applyNumberFormat="1" applyFont="1" applyFill="1" applyBorder="1" applyProtection="1">
      <protection locked="0"/>
    </xf>
    <xf numFmtId="1" fontId="32" fillId="5" borderId="906" xfId="0" applyNumberFormat="1" applyFont="1" applyFill="1" applyBorder="1" applyProtection="1">
      <protection locked="0"/>
    </xf>
    <xf numFmtId="1" fontId="32" fillId="0" borderId="892" xfId="0" applyNumberFormat="1" applyFont="1" applyBorder="1" applyAlignment="1">
      <alignment horizontal="right" wrapText="1"/>
    </xf>
    <xf numFmtId="1" fontId="32" fillId="0" borderId="884" xfId="0" applyNumberFormat="1" applyFont="1" applyBorder="1" applyAlignment="1">
      <alignment horizontal="right" wrapText="1"/>
    </xf>
    <xf numFmtId="1" fontId="32" fillId="0" borderId="892" xfId="0" applyNumberFormat="1" applyFont="1" applyBorder="1"/>
    <xf numFmtId="1" fontId="32" fillId="0" borderId="725" xfId="0" applyNumberFormat="1" applyFont="1" applyBorder="1"/>
    <xf numFmtId="1" fontId="32" fillId="0" borderId="909" xfId="0" applyNumberFormat="1" applyFont="1" applyBorder="1"/>
    <xf numFmtId="1" fontId="32" fillId="0" borderId="912" xfId="0" applyNumberFormat="1" applyFont="1" applyBorder="1"/>
    <xf numFmtId="1" fontId="32" fillId="0" borderId="950" xfId="0" applyNumberFormat="1" applyFont="1" applyBorder="1"/>
    <xf numFmtId="1" fontId="32" fillId="0" borderId="933" xfId="0" applyNumberFormat="1" applyFont="1" applyBorder="1"/>
    <xf numFmtId="1" fontId="32" fillId="0" borderId="882" xfId="0" applyNumberFormat="1" applyFont="1" applyBorder="1"/>
    <xf numFmtId="1" fontId="32" fillId="0" borderId="885" xfId="0" applyNumberFormat="1" applyFont="1" applyBorder="1"/>
    <xf numFmtId="166" fontId="70" fillId="14" borderId="725" xfId="34" applyNumberFormat="1" applyFont="1" applyFill="1" applyBorder="1" applyProtection="1"/>
    <xf numFmtId="0" fontId="70" fillId="14" borderId="0" xfId="33" applyFont="1" applyFill="1" applyBorder="1" applyAlignment="1" applyProtection="1">
      <alignment horizontal="left"/>
    </xf>
    <xf numFmtId="164" fontId="70" fillId="14" borderId="0" xfId="13" applyFont="1" applyFill="1" applyBorder="1" applyAlignment="1" applyProtection="1"/>
    <xf numFmtId="0" fontId="69" fillId="14" borderId="0" xfId="33" applyFont="1" applyFill="1" applyBorder="1" applyAlignment="1" applyProtection="1"/>
    <xf numFmtId="0" fontId="64" fillId="14" borderId="0" xfId="33" applyFont="1" applyFill="1" applyBorder="1" applyAlignment="1" applyProtection="1"/>
    <xf numFmtId="1" fontId="32" fillId="3" borderId="908" xfId="0" applyNumberFormat="1" applyFont="1" applyFill="1" applyBorder="1" applyAlignment="1">
      <alignment horizontal="center" vertical="center" wrapText="1"/>
    </xf>
    <xf numFmtId="1" fontId="32" fillId="3" borderId="913" xfId="0" applyNumberFormat="1" applyFont="1" applyFill="1" applyBorder="1" applyAlignment="1">
      <alignment horizontal="center" vertical="center" wrapText="1"/>
    </xf>
    <xf numFmtId="1" fontId="32" fillId="0" borderId="908" xfId="0" applyNumberFormat="1" applyFont="1" applyBorder="1" applyAlignment="1">
      <alignment horizontal="center" vertical="center" wrapText="1"/>
    </xf>
    <xf numFmtId="1" fontId="32" fillId="0" borderId="1526" xfId="0" applyNumberFormat="1" applyFont="1" applyBorder="1" applyAlignment="1">
      <alignment horizontal="center" vertical="center" wrapText="1"/>
    </xf>
    <xf numFmtId="1" fontId="32" fillId="0" borderId="1528" xfId="0" applyNumberFormat="1" applyFont="1" applyBorder="1" applyAlignment="1">
      <alignment horizontal="center" vertical="center" wrapText="1"/>
    </xf>
    <xf numFmtId="1" fontId="32" fillId="5" borderId="614" xfId="0" applyNumberFormat="1" applyFont="1" applyFill="1" applyBorder="1" applyProtection="1">
      <protection locked="0"/>
    </xf>
    <xf numFmtId="1" fontId="32" fillId="5" borderId="615" xfId="0" applyNumberFormat="1" applyFont="1" applyFill="1" applyBorder="1" applyProtection="1">
      <protection locked="0"/>
    </xf>
    <xf numFmtId="1" fontId="32" fillId="5" borderId="620" xfId="0" applyNumberFormat="1" applyFont="1" applyFill="1" applyBorder="1" applyProtection="1">
      <protection locked="0"/>
    </xf>
    <xf numFmtId="1" fontId="32" fillId="5" borderId="583" xfId="0" applyNumberFormat="1" applyFont="1" applyFill="1" applyBorder="1" applyProtection="1">
      <protection locked="0"/>
    </xf>
    <xf numFmtId="1" fontId="32" fillId="0" borderId="907" xfId="0" applyNumberFormat="1" applyFont="1" applyBorder="1" applyAlignment="1">
      <alignment vertical="center" wrapText="1"/>
    </xf>
    <xf numFmtId="1" fontId="32" fillId="0" borderId="908" xfId="0" applyNumberFormat="1" applyFont="1" applyBorder="1" applyAlignment="1">
      <alignment horizontal="center" wrapText="1"/>
    </xf>
    <xf numFmtId="1" fontId="32" fillId="0" borderId="913" xfId="0" applyNumberFormat="1" applyFont="1" applyBorder="1" applyAlignment="1">
      <alignment horizontal="right" wrapText="1"/>
    </xf>
    <xf numFmtId="1" fontId="32" fillId="0" borderId="908" xfId="0" applyNumberFormat="1" applyFont="1" applyBorder="1" applyAlignment="1">
      <alignment horizontal="right"/>
    </xf>
    <xf numFmtId="1" fontId="32" fillId="0" borderId="911" xfId="0" applyNumberFormat="1" applyFont="1" applyBorder="1" applyAlignment="1">
      <alignment horizontal="right"/>
    </xf>
    <xf numFmtId="1" fontId="32" fillId="0" borderId="933" xfId="0" applyNumberFormat="1" applyFont="1" applyBorder="1" applyAlignment="1">
      <alignment horizontal="right"/>
    </xf>
    <xf numFmtId="1" fontId="32" fillId="0" borderId="882" xfId="0" applyNumberFormat="1" applyFont="1" applyBorder="1" applyAlignment="1">
      <alignment horizontal="right"/>
    </xf>
    <xf numFmtId="1" fontId="32" fillId="3" borderId="975" xfId="0" applyNumberFormat="1" applyFont="1" applyFill="1" applyBorder="1" applyAlignment="1">
      <alignment horizontal="right"/>
    </xf>
    <xf numFmtId="1" fontId="32" fillId="3" borderId="913" xfId="0" applyNumberFormat="1" applyFont="1" applyFill="1" applyBorder="1" applyAlignment="1">
      <alignment horizontal="right"/>
    </xf>
    <xf numFmtId="0" fontId="64" fillId="14" borderId="1518" xfId="33" applyFont="1" applyFill="1" applyBorder="1" applyAlignment="1" applyProtection="1"/>
    <xf numFmtId="164" fontId="70" fillId="14" borderId="1518" xfId="13" applyFont="1" applyFill="1" applyBorder="1" applyAlignment="1" applyProtection="1"/>
    <xf numFmtId="0" fontId="69" fillId="14" borderId="1518" xfId="33" applyFont="1" applyFill="1" applyBorder="1" applyAlignment="1" applyProtection="1"/>
    <xf numFmtId="0" fontId="70" fillId="14" borderId="1518" xfId="33" applyFont="1" applyFill="1" applyBorder="1" applyAlignment="1" applyProtection="1"/>
    <xf numFmtId="1" fontId="32" fillId="3" borderId="1520" xfId="0" applyNumberFormat="1" applyFont="1" applyFill="1" applyBorder="1" applyAlignment="1">
      <alignment horizontal="center" vertical="center" wrapText="1"/>
    </xf>
    <xf numFmtId="1" fontId="32" fillId="0" borderId="1478" xfId="0" applyNumberFormat="1" applyFont="1" applyBorder="1" applyAlignment="1">
      <alignment horizontal="center" vertical="center" wrapText="1"/>
    </xf>
    <xf numFmtId="166" fontId="32" fillId="14" borderId="1269" xfId="32" applyNumberFormat="1" applyFont="1" applyFill="1" applyBorder="1" applyAlignment="1" applyProtection="1">
      <alignment horizontal="center"/>
    </xf>
    <xf numFmtId="1" fontId="32" fillId="5" borderId="1269" xfId="0" applyNumberFormat="1" applyFont="1" applyFill="1" applyBorder="1" applyProtection="1">
      <protection locked="0"/>
    </xf>
    <xf numFmtId="1" fontId="32" fillId="5" borderId="1421" xfId="0" applyNumberFormat="1" applyFont="1" applyFill="1" applyBorder="1" applyProtection="1">
      <protection locked="0"/>
    </xf>
    <xf numFmtId="1" fontId="32" fillId="5" borderId="1073" xfId="0" applyNumberFormat="1" applyFont="1" applyFill="1" applyBorder="1" applyProtection="1">
      <protection locked="0"/>
    </xf>
    <xf numFmtId="166" fontId="32" fillId="14" borderId="618" xfId="32" applyNumberFormat="1" applyFont="1" applyFill="1" applyBorder="1" applyAlignment="1" applyProtection="1">
      <alignment horizontal="center"/>
    </xf>
    <xf numFmtId="1" fontId="32" fillId="5" borderId="807" xfId="0" applyNumberFormat="1" applyFont="1" applyFill="1" applyBorder="1" applyProtection="1">
      <protection locked="0"/>
    </xf>
    <xf numFmtId="1" fontId="32" fillId="0" borderId="908" xfId="0" applyNumberFormat="1" applyFont="1" applyBorder="1" applyAlignment="1">
      <alignment horizontal="right" wrapText="1"/>
    </xf>
    <xf numFmtId="1" fontId="32" fillId="0" borderId="913" xfId="0" applyNumberFormat="1" applyFont="1" applyBorder="1" applyAlignment="1">
      <alignment horizontal="right"/>
    </xf>
    <xf numFmtId="1" fontId="32" fillId="0" borderId="975" xfId="0" applyNumberFormat="1" applyFont="1" applyBorder="1" applyAlignment="1">
      <alignment horizontal="right"/>
    </xf>
    <xf numFmtId="1" fontId="32" fillId="3" borderId="1541" xfId="0" applyNumberFormat="1" applyFont="1" applyFill="1" applyBorder="1" applyAlignment="1">
      <alignment horizontal="right"/>
    </xf>
    <xf numFmtId="1" fontId="32" fillId="3" borderId="1519" xfId="0" applyNumberFormat="1" applyFont="1" applyFill="1" applyBorder="1" applyAlignment="1">
      <alignment horizontal="right"/>
    </xf>
    <xf numFmtId="0" fontId="64" fillId="14" borderId="0" xfId="0" applyFont="1" applyFill="1"/>
    <xf numFmtId="164" fontId="64" fillId="14" borderId="1549" xfId="32" applyNumberFormat="1" applyFont="1" applyFill="1" applyBorder="1" applyAlignment="1" applyProtection="1">
      <alignment horizontal="left"/>
    </xf>
    <xf numFmtId="0" fontId="70" fillId="14" borderId="175" xfId="0" applyFont="1" applyFill="1" applyBorder="1"/>
    <xf numFmtId="164" fontId="32" fillId="14" borderId="1526" xfId="32" applyNumberFormat="1" applyFont="1" applyFill="1" applyBorder="1" applyAlignment="1" applyProtection="1">
      <alignment horizontal="center" vertical="center" wrapText="1"/>
    </xf>
    <xf numFmtId="164" fontId="32" fillId="14" borderId="1523" xfId="32" applyNumberFormat="1" applyFont="1" applyFill="1" applyBorder="1" applyAlignment="1" applyProtection="1">
      <alignment horizontal="center" vertical="center"/>
    </xf>
    <xf numFmtId="1" fontId="32" fillId="0" borderId="935" xfId="0" applyNumberFormat="1" applyFont="1" applyBorder="1" applyAlignment="1">
      <alignment vertical="center" wrapText="1"/>
    </xf>
    <xf numFmtId="1" fontId="32" fillId="3" borderId="922" xfId="0" applyNumberFormat="1" applyFont="1" applyFill="1" applyBorder="1" applyAlignment="1">
      <alignment horizontal="center" vertical="center"/>
    </xf>
    <xf numFmtId="1" fontId="32" fillId="15" borderId="808" xfId="0" applyNumberFormat="1" applyFont="1" applyFill="1" applyBorder="1" applyProtection="1">
      <protection locked="0"/>
    </xf>
    <xf numFmtId="1" fontId="32" fillId="15" borderId="809" xfId="0" applyNumberFormat="1" applyFont="1" applyFill="1" applyBorder="1" applyProtection="1">
      <protection locked="0"/>
    </xf>
    <xf numFmtId="1" fontId="32" fillId="15" borderId="903" xfId="0" applyNumberFormat="1" applyFont="1" applyFill="1" applyBorder="1" applyProtection="1">
      <protection locked="0"/>
    </xf>
    <xf numFmtId="1" fontId="32" fillId="15" borderId="1084" xfId="0" applyNumberFormat="1" applyFont="1" applyFill="1" applyBorder="1" applyProtection="1">
      <protection locked="0"/>
    </xf>
    <xf numFmtId="1" fontId="32" fillId="15" borderId="1020" xfId="0" applyNumberFormat="1" applyFont="1" applyFill="1" applyBorder="1" applyProtection="1">
      <protection locked="0"/>
    </xf>
    <xf numFmtId="1" fontId="32" fillId="15" borderId="2117" xfId="0" applyNumberFormat="1" applyFont="1" applyFill="1" applyBorder="1" applyProtection="1">
      <protection locked="0"/>
    </xf>
    <xf numFmtId="1" fontId="32" fillId="15" borderId="717" xfId="0" applyNumberFormat="1" applyFont="1" applyFill="1" applyBorder="1" applyProtection="1">
      <protection locked="0"/>
    </xf>
    <xf numFmtId="1" fontId="32" fillId="15" borderId="964" xfId="0" applyNumberFormat="1" applyFont="1" applyFill="1" applyBorder="1" applyProtection="1">
      <protection locked="0"/>
    </xf>
    <xf numFmtId="1" fontId="32" fillId="0" borderId="936" xfId="0" applyNumberFormat="1" applyFont="1" applyBorder="1" applyAlignment="1">
      <alignment vertical="center" wrapText="1"/>
    </xf>
    <xf numFmtId="1" fontId="32" fillId="3" borderId="807" xfId="0" applyNumberFormat="1" applyFont="1" applyFill="1" applyBorder="1" applyAlignment="1">
      <alignment horizontal="center" vertical="center"/>
    </xf>
    <xf numFmtId="1" fontId="32" fillId="15" borderId="979" xfId="0" applyNumberFormat="1" applyFont="1" applyFill="1" applyBorder="1" applyProtection="1">
      <protection locked="0"/>
    </xf>
    <xf numFmtId="1" fontId="32" fillId="15" borderId="973" xfId="0" applyNumberFormat="1" applyFont="1" applyFill="1" applyBorder="1" applyProtection="1">
      <protection locked="0"/>
    </xf>
    <xf numFmtId="1" fontId="32" fillId="0" borderId="969" xfId="0" applyNumberFormat="1" applyFont="1" applyBorder="1" applyAlignment="1">
      <alignment vertical="center" wrapText="1"/>
    </xf>
    <xf numFmtId="1" fontId="32" fillId="3" borderId="880" xfId="0" applyNumberFormat="1" applyFont="1" applyFill="1" applyBorder="1" applyAlignment="1">
      <alignment horizontal="center" vertical="center"/>
    </xf>
    <xf numFmtId="1" fontId="32" fillId="15" borderId="892" xfId="0" applyNumberFormat="1" applyFont="1" applyFill="1" applyBorder="1" applyProtection="1">
      <protection locked="0"/>
    </xf>
    <xf numFmtId="1" fontId="32" fillId="15" borderId="884" xfId="0" applyNumberFormat="1" applyFont="1" applyFill="1" applyBorder="1" applyProtection="1">
      <protection locked="0"/>
    </xf>
    <xf numFmtId="1" fontId="32" fillId="15" borderId="725" xfId="0" applyNumberFormat="1" applyFont="1" applyFill="1" applyBorder="1" applyProtection="1">
      <protection locked="0"/>
    </xf>
    <xf numFmtId="1" fontId="32" fillId="15" borderId="886" xfId="0" applyNumberFormat="1" applyFont="1" applyFill="1" applyBorder="1" applyProtection="1">
      <protection locked="0"/>
    </xf>
    <xf numFmtId="1" fontId="32" fillId="15" borderId="1813" xfId="0" applyNumberFormat="1" applyFont="1" applyFill="1" applyBorder="1" applyProtection="1">
      <protection locked="0"/>
    </xf>
    <xf numFmtId="1" fontId="32" fillId="15" borderId="1694" xfId="0" applyNumberFormat="1" applyFont="1" applyFill="1" applyBorder="1" applyProtection="1">
      <protection locked="0"/>
    </xf>
    <xf numFmtId="1" fontId="32" fillId="0" borderId="910" xfId="0" applyNumberFormat="1" applyFont="1" applyBorder="1" applyAlignment="1">
      <alignment horizontal="center" vertical="center" wrapText="1"/>
    </xf>
    <xf numFmtId="1" fontId="32" fillId="0" borderId="898" xfId="0" applyNumberFormat="1" applyFont="1" applyBorder="1" applyAlignment="1">
      <alignment vertical="center" wrapText="1"/>
    </xf>
    <xf numFmtId="1" fontId="32" fillId="3" borderId="895" xfId="35" applyNumberFormat="1" applyFont="1" applyFill="1" applyBorder="1" applyAlignment="1">
      <alignment horizontal="right"/>
    </xf>
    <xf numFmtId="1" fontId="32" fillId="3" borderId="784" xfId="35" applyNumberFormat="1" applyFont="1" applyFill="1" applyBorder="1" applyAlignment="1">
      <alignment horizontal="right"/>
    </xf>
    <xf numFmtId="1" fontId="32" fillId="3" borderId="900" xfId="35" applyNumberFormat="1" applyFont="1" applyFill="1" applyBorder="1" applyAlignment="1">
      <alignment horizontal="right"/>
    </xf>
    <xf numFmtId="1" fontId="32" fillId="15" borderId="895" xfId="0" applyNumberFormat="1" applyFont="1" applyFill="1" applyBorder="1" applyProtection="1">
      <protection locked="0"/>
    </xf>
    <xf numFmtId="1" fontId="32" fillId="15" borderId="900" xfId="0" applyNumberFormat="1" applyFont="1" applyFill="1" applyBorder="1" applyProtection="1">
      <protection locked="0"/>
    </xf>
    <xf numFmtId="1" fontId="32" fillId="15" borderId="899" xfId="0" applyNumberFormat="1" applyFont="1" applyFill="1" applyBorder="1" applyProtection="1">
      <protection locked="0"/>
    </xf>
    <xf numFmtId="1" fontId="32" fillId="15" borderId="784" xfId="0" applyNumberFormat="1" applyFont="1" applyFill="1" applyBorder="1" applyProtection="1">
      <protection locked="0"/>
    </xf>
    <xf numFmtId="1" fontId="32" fillId="15" borderId="816" xfId="0" applyNumberFormat="1" applyFont="1" applyFill="1" applyBorder="1" applyProtection="1">
      <protection locked="0"/>
    </xf>
    <xf numFmtId="1" fontId="32" fillId="0" borderId="901" xfId="0" applyNumberFormat="1" applyFont="1" applyBorder="1" applyAlignment="1">
      <alignment vertical="center" wrapText="1"/>
    </xf>
    <xf numFmtId="1" fontId="32" fillId="3" borderId="808" xfId="35" applyNumberFormat="1" applyFont="1" applyFill="1" applyBorder="1" applyAlignment="1">
      <alignment horizontal="right"/>
    </xf>
    <xf numFmtId="1" fontId="32" fillId="3" borderId="809" xfId="35" applyNumberFormat="1" applyFont="1" applyFill="1" applyBorder="1" applyAlignment="1">
      <alignment horizontal="right"/>
    </xf>
    <xf numFmtId="1" fontId="32" fillId="3" borderId="903" xfId="35" applyNumberFormat="1" applyFont="1" applyFill="1" applyBorder="1" applyAlignment="1">
      <alignment horizontal="right"/>
    </xf>
    <xf numFmtId="1" fontId="32" fillId="15" borderId="902" xfId="0" applyNumberFormat="1" applyFont="1" applyFill="1" applyBorder="1" applyProtection="1">
      <protection locked="0"/>
    </xf>
    <xf numFmtId="1" fontId="32" fillId="15" borderId="811" xfId="0" applyNumberFormat="1" applyFont="1" applyFill="1" applyBorder="1" applyProtection="1">
      <protection locked="0"/>
    </xf>
    <xf numFmtId="1" fontId="32" fillId="0" borderId="1262" xfId="0" applyNumberFormat="1" applyFont="1" applyBorder="1" applyAlignment="1">
      <alignment vertical="center" wrapText="1"/>
    </xf>
    <xf numFmtId="1" fontId="32" fillId="3" borderId="1259" xfId="35" applyNumberFormat="1" applyFont="1" applyFill="1" applyBorder="1" applyAlignment="1">
      <alignment horizontal="right"/>
    </xf>
    <xf numFmtId="1" fontId="32" fillId="3" borderId="1260" xfId="35" applyNumberFormat="1" applyFont="1" applyFill="1" applyBorder="1" applyAlignment="1">
      <alignment horizontal="right"/>
    </xf>
    <xf numFmtId="1" fontId="32" fillId="3" borderId="1104" xfId="35" applyNumberFormat="1" applyFont="1" applyFill="1" applyBorder="1" applyAlignment="1">
      <alignment horizontal="right"/>
    </xf>
    <xf numFmtId="1" fontId="32" fillId="15" borderId="1259" xfId="0" applyNumberFormat="1" applyFont="1" applyFill="1" applyBorder="1" applyProtection="1">
      <protection locked="0"/>
    </xf>
    <xf numFmtId="1" fontId="32" fillId="15" borderId="1104" xfId="0" applyNumberFormat="1" applyFont="1" applyFill="1" applyBorder="1" applyProtection="1">
      <protection locked="0"/>
    </xf>
    <xf numFmtId="1" fontId="32" fillId="15" borderId="1103" xfId="0" applyNumberFormat="1" applyFont="1" applyFill="1" applyBorder="1" applyProtection="1">
      <protection locked="0"/>
    </xf>
    <xf numFmtId="1" fontId="32" fillId="15" borderId="1260" xfId="0" applyNumberFormat="1" applyFont="1" applyFill="1" applyBorder="1" applyProtection="1">
      <protection locked="0"/>
    </xf>
    <xf numFmtId="1" fontId="32" fillId="15" borderId="1117" xfId="0" applyNumberFormat="1" applyFont="1" applyFill="1" applyBorder="1" applyProtection="1">
      <protection locked="0"/>
    </xf>
    <xf numFmtId="1" fontId="32" fillId="0" borderId="112" xfId="0" applyNumberFormat="1" applyFont="1" applyBorder="1"/>
    <xf numFmtId="1" fontId="32" fillId="3" borderId="105" xfId="35" applyNumberFormat="1" applyFont="1" applyFill="1" applyBorder="1" applyAlignment="1">
      <alignment horizontal="right"/>
    </xf>
    <xf numFmtId="1" fontId="32" fillId="3" borderId="266" xfId="35" applyNumberFormat="1" applyFont="1" applyFill="1" applyBorder="1" applyAlignment="1">
      <alignment horizontal="right"/>
    </xf>
    <xf numFmtId="1" fontId="32" fillId="3" borderId="262" xfId="35" applyNumberFormat="1" applyFont="1" applyFill="1" applyBorder="1" applyAlignment="1">
      <alignment horizontal="right"/>
    </xf>
    <xf numFmtId="1" fontId="32" fillId="0" borderId="105" xfId="0" applyNumberFormat="1" applyFont="1" applyBorder="1" applyAlignment="1">
      <alignment horizontal="center" vertical="center" wrapText="1"/>
    </xf>
    <xf numFmtId="1" fontId="32" fillId="0" borderId="262" xfId="0" applyNumberFormat="1" applyFont="1" applyBorder="1" applyAlignment="1">
      <alignment horizontal="center" vertical="center" wrapText="1"/>
    </xf>
    <xf numFmtId="1" fontId="32" fillId="0" borderId="265" xfId="0" applyNumberFormat="1" applyFont="1" applyBorder="1" applyAlignment="1">
      <alignment horizontal="center" vertical="center" wrapText="1"/>
    </xf>
    <xf numFmtId="1" fontId="32" fillId="0" borderId="266" xfId="0" applyNumberFormat="1" applyFont="1" applyBorder="1" applyAlignment="1">
      <alignment horizontal="center" vertical="center" wrapText="1"/>
    </xf>
    <xf numFmtId="1" fontId="32" fillId="0" borderId="300" xfId="0" applyNumberFormat="1" applyFont="1" applyBorder="1" applyAlignment="1">
      <alignment horizontal="center" vertical="center" wrapText="1"/>
    </xf>
    <xf numFmtId="1" fontId="32" fillId="0" borderId="264" xfId="0" applyNumberFormat="1" applyFont="1" applyBorder="1" applyAlignment="1">
      <alignment horizontal="center" vertical="center" wrapText="1"/>
    </xf>
    <xf numFmtId="1" fontId="32" fillId="3" borderId="614" xfId="35" applyNumberFormat="1" applyFont="1" applyFill="1" applyBorder="1" applyAlignment="1">
      <alignment horizontal="right"/>
    </xf>
    <xf numFmtId="1" fontId="32" fillId="3" borderId="615" xfId="35" applyNumberFormat="1" applyFont="1" applyFill="1" applyBorder="1" applyAlignment="1">
      <alignment horizontal="right"/>
    </xf>
    <xf numFmtId="1" fontId="32" fillId="3" borderId="424" xfId="35" applyNumberFormat="1" applyFont="1" applyFill="1" applyBorder="1" applyAlignment="1">
      <alignment horizontal="right"/>
    </xf>
    <xf numFmtId="1" fontId="32" fillId="15" borderId="614" xfId="0" applyNumberFormat="1" applyFont="1" applyFill="1" applyBorder="1" applyProtection="1">
      <protection locked="0"/>
    </xf>
    <xf numFmtId="1" fontId="32" fillId="15" borderId="424" xfId="0" applyNumberFormat="1" applyFont="1" applyFill="1" applyBorder="1" applyProtection="1">
      <protection locked="0"/>
    </xf>
    <xf numFmtId="1" fontId="32" fillId="15" borderId="617" xfId="0" applyNumberFormat="1" applyFont="1" applyFill="1" applyBorder="1" applyProtection="1">
      <protection locked="0"/>
    </xf>
    <xf numFmtId="1" fontId="32" fillId="15" borderId="615" xfId="0" applyNumberFormat="1" applyFont="1" applyFill="1" applyBorder="1" applyProtection="1">
      <protection locked="0"/>
    </xf>
    <xf numFmtId="1" fontId="32" fillId="15" borderId="616" xfId="0" applyNumberFormat="1" applyFont="1" applyFill="1" applyBorder="1" applyProtection="1">
      <protection locked="0"/>
    </xf>
    <xf numFmtId="1" fontId="32" fillId="0" borderId="1089" xfId="0" applyNumberFormat="1" applyFont="1" applyBorder="1" applyAlignment="1">
      <alignment vertical="center" wrapText="1"/>
    </xf>
    <xf numFmtId="1" fontId="32" fillId="0" borderId="1412" xfId="0" applyNumberFormat="1" applyFont="1" applyBorder="1"/>
    <xf numFmtId="1" fontId="32" fillId="3" borderId="1413" xfId="35" applyNumberFormat="1" applyFont="1" applyFill="1" applyBorder="1" applyAlignment="1">
      <alignment horizontal="right"/>
    </xf>
    <xf numFmtId="1" fontId="32" fillId="3" borderId="884" xfId="35" applyNumberFormat="1" applyFont="1" applyFill="1" applyBorder="1" applyAlignment="1">
      <alignment horizontal="right"/>
    </xf>
    <xf numFmtId="1" fontId="32" fillId="3" borderId="1406" xfId="35" applyNumberFormat="1" applyFont="1" applyFill="1" applyBorder="1" applyAlignment="1">
      <alignment horizontal="right"/>
    </xf>
    <xf numFmtId="1" fontId="32" fillId="0" borderId="1413" xfId="0" applyNumberFormat="1" applyFont="1" applyBorder="1" applyAlignment="1">
      <alignment horizontal="center" vertical="center" wrapText="1"/>
    </xf>
    <xf numFmtId="1" fontId="32" fillId="0" borderId="1406" xfId="0" applyNumberFormat="1" applyFont="1" applyBorder="1" applyAlignment="1">
      <alignment horizontal="center" vertical="center" wrapText="1"/>
    </xf>
    <xf numFmtId="1" fontId="32" fillId="0" borderId="1414" xfId="0" applyNumberFormat="1" applyFont="1" applyBorder="1" applyAlignment="1">
      <alignment horizontal="center" vertical="center" wrapText="1"/>
    </xf>
    <xf numFmtId="1" fontId="32" fillId="0" borderId="884" xfId="0" applyNumberFormat="1" applyFont="1" applyBorder="1" applyAlignment="1">
      <alignment horizontal="center" vertical="center" wrapText="1"/>
    </xf>
    <xf numFmtId="1" fontId="32" fillId="0" borderId="1006" xfId="0" applyNumberFormat="1" applyFont="1" applyBorder="1" applyAlignment="1">
      <alignment horizontal="center" vertical="center" wrapText="1"/>
    </xf>
    <xf numFmtId="1" fontId="32" fillId="0" borderId="1343" xfId="0" applyNumberFormat="1" applyFont="1" applyBorder="1" applyAlignment="1">
      <alignment horizontal="center" vertical="center" wrapText="1"/>
    </xf>
    <xf numFmtId="1" fontId="65" fillId="3" borderId="724" xfId="0" applyNumberFormat="1" applyFont="1" applyFill="1" applyBorder="1"/>
    <xf numFmtId="1" fontId="32" fillId="0" borderId="0" xfId="0" applyNumberFormat="1" applyFont="1" applyAlignment="1">
      <alignment vertical="center" wrapText="1"/>
    </xf>
    <xf numFmtId="1" fontId="32" fillId="0" borderId="510" xfId="0" applyNumberFormat="1" applyFont="1" applyBorder="1" applyAlignment="1">
      <alignment vertical="center" wrapText="1"/>
    </xf>
    <xf numFmtId="1" fontId="32" fillId="0" borderId="945" xfId="0" applyNumberFormat="1" applyFont="1" applyBorder="1" applyAlignment="1">
      <alignment horizontal="center" vertical="center" wrapText="1"/>
    </xf>
    <xf numFmtId="1" fontId="32" fillId="0" borderId="951" xfId="0" applyNumberFormat="1" applyFont="1" applyBorder="1" applyAlignment="1">
      <alignment horizontal="center" vertical="center" wrapText="1"/>
    </xf>
    <xf numFmtId="1" fontId="32" fillId="3" borderId="937" xfId="35" applyNumberFormat="1" applyFont="1" applyFill="1" applyBorder="1" applyAlignment="1">
      <alignment horizontal="right"/>
    </xf>
    <xf numFmtId="1" fontId="32" fillId="5" borderId="966" xfId="0" applyNumberFormat="1" applyFont="1" applyFill="1" applyBorder="1" applyProtection="1">
      <protection locked="0"/>
    </xf>
    <xf numFmtId="1" fontId="32" fillId="5" borderId="968" xfId="0" applyNumberFormat="1" applyFont="1" applyFill="1" applyBorder="1" applyProtection="1">
      <protection locked="0"/>
    </xf>
    <xf numFmtId="1" fontId="32" fillId="5" borderId="854" xfId="0" applyNumberFormat="1" applyFont="1" applyFill="1" applyBorder="1" applyProtection="1">
      <protection locked="0"/>
    </xf>
    <xf numFmtId="1" fontId="32" fillId="0" borderId="807" xfId="0" applyNumberFormat="1" applyFont="1" applyBorder="1" applyAlignment="1">
      <alignment horizontal="left"/>
    </xf>
    <xf numFmtId="1" fontId="32" fillId="3" borderId="938" xfId="35" applyNumberFormat="1" applyFont="1" applyFill="1" applyBorder="1" applyAlignment="1">
      <alignment horizontal="right"/>
    </xf>
    <xf numFmtId="1" fontId="32" fillId="5" borderId="979" xfId="0" applyNumberFormat="1" applyFont="1" applyFill="1" applyBorder="1" applyProtection="1">
      <protection locked="0"/>
    </xf>
    <xf numFmtId="1" fontId="32" fillId="5" borderId="965" xfId="0" applyNumberFormat="1" applyFont="1" applyFill="1" applyBorder="1" applyProtection="1">
      <protection locked="0"/>
    </xf>
    <xf numFmtId="1" fontId="32" fillId="5" borderId="957" xfId="0" applyNumberFormat="1" applyFont="1" applyFill="1" applyBorder="1" applyProtection="1">
      <protection locked="0"/>
    </xf>
    <xf numFmtId="1" fontId="32" fillId="0" borderId="807" xfId="0" applyNumberFormat="1" applyFont="1" applyBorder="1"/>
    <xf numFmtId="1" fontId="32" fillId="3" borderId="939" xfId="35" applyNumberFormat="1" applyFont="1" applyFill="1" applyBorder="1" applyAlignment="1">
      <alignment horizontal="right"/>
    </xf>
    <xf numFmtId="1" fontId="32" fillId="3" borderId="905" xfId="35" applyNumberFormat="1" applyFont="1" applyFill="1" applyBorder="1" applyAlignment="1">
      <alignment horizontal="right"/>
    </xf>
    <xf numFmtId="1" fontId="32" fillId="3" borderId="674" xfId="35" applyNumberFormat="1" applyFont="1" applyFill="1" applyBorder="1" applyAlignment="1">
      <alignment horizontal="right"/>
    </xf>
    <xf numFmtId="1" fontId="32" fillId="5" borderId="969" xfId="0" applyNumberFormat="1" applyFont="1" applyFill="1" applyBorder="1" applyProtection="1">
      <protection locked="0"/>
    </xf>
    <xf numFmtId="1" fontId="32" fillId="0" borderId="889" xfId="1" applyNumberFormat="1" applyFont="1" applyBorder="1" applyAlignment="1">
      <alignment horizontal="right"/>
    </xf>
    <xf numFmtId="1" fontId="32" fillId="0" borderId="510" xfId="0" applyNumberFormat="1" applyFont="1" applyBorder="1" applyAlignment="1">
      <alignment horizontal="center" vertical="center" wrapText="1"/>
    </xf>
    <xf numFmtId="1" fontId="32" fillId="0" borderId="908" xfId="0" applyNumberFormat="1" applyFont="1" applyBorder="1" applyAlignment="1">
      <alignment horizontal="center" vertical="center"/>
    </xf>
    <xf numFmtId="1" fontId="32" fillId="0" borderId="941" xfId="0" applyNumberFormat="1" applyFont="1" applyBorder="1" applyAlignment="1">
      <alignment horizontal="center" vertical="center" wrapText="1"/>
    </xf>
    <xf numFmtId="1" fontId="32" fillId="0" borderId="942" xfId="0" applyNumberFormat="1" applyFont="1" applyBorder="1" applyAlignment="1">
      <alignment horizontal="center" vertical="center" wrapText="1"/>
    </xf>
    <xf numFmtId="1" fontId="32" fillId="0" borderId="618" xfId="0" applyNumberFormat="1" applyFont="1" applyBorder="1" applyAlignment="1">
      <alignment horizontal="left" vertical="center" wrapText="1"/>
    </xf>
    <xf numFmtId="1" fontId="32" fillId="3" borderId="922" xfId="35" applyNumberFormat="1" applyFont="1" applyFill="1" applyBorder="1" applyAlignment="1">
      <alignment horizontal="right"/>
    </xf>
    <xf numFmtId="1" fontId="32" fillId="5" borderId="831" xfId="0" applyNumberFormat="1" applyFont="1" applyFill="1" applyBorder="1" applyProtection="1">
      <protection locked="0"/>
    </xf>
    <xf numFmtId="1" fontId="32" fillId="5" borderId="922" xfId="0" applyNumberFormat="1" applyFont="1" applyFill="1" applyBorder="1" applyProtection="1">
      <protection locked="0"/>
    </xf>
    <xf numFmtId="1" fontId="32" fillId="3" borderId="618" xfId="35" applyNumberFormat="1" applyFont="1" applyFill="1" applyBorder="1" applyAlignment="1">
      <alignment horizontal="right"/>
    </xf>
    <xf numFmtId="1" fontId="32" fillId="5" borderId="814" xfId="0" applyNumberFormat="1" applyFont="1" applyFill="1" applyBorder="1" applyProtection="1">
      <protection locked="0"/>
    </xf>
    <xf numFmtId="1" fontId="32" fillId="5" borderId="616" xfId="0" applyNumberFormat="1" applyFont="1" applyFill="1" applyBorder="1" applyProtection="1">
      <protection locked="0"/>
    </xf>
    <xf numFmtId="1" fontId="32" fillId="5" borderId="73" xfId="0" applyNumberFormat="1" applyFont="1" applyFill="1" applyBorder="1" applyProtection="1">
      <protection locked="0"/>
    </xf>
    <xf numFmtId="1" fontId="32" fillId="5" borderId="618" xfId="0" applyNumberFormat="1" applyFont="1" applyFill="1" applyBorder="1" applyProtection="1">
      <protection locked="0"/>
    </xf>
    <xf numFmtId="1" fontId="32" fillId="29" borderId="925" xfId="35" applyNumberFormat="1" applyFont="1" applyFill="1" applyBorder="1" applyAlignment="1">
      <alignment horizontal="right"/>
    </xf>
    <xf numFmtId="1" fontId="32" fillId="29" borderId="892" xfId="0" applyNumberFormat="1" applyFont="1" applyFill="1" applyBorder="1"/>
    <xf numFmtId="1" fontId="32" fillId="29" borderId="894" xfId="0" applyNumberFormat="1" applyFont="1" applyFill="1" applyBorder="1"/>
    <xf numFmtId="1" fontId="32" fillId="29" borderId="943" xfId="0" applyNumberFormat="1" applyFont="1" applyFill="1" applyBorder="1"/>
    <xf numFmtId="1" fontId="32" fillId="5" borderId="880" xfId="0" applyNumberFormat="1" applyFont="1" applyFill="1" applyBorder="1" applyProtection="1">
      <protection locked="0"/>
    </xf>
    <xf numFmtId="1" fontId="32" fillId="29" borderId="880" xfId="0" applyNumberFormat="1" applyFont="1" applyFill="1" applyBorder="1"/>
    <xf numFmtId="0" fontId="64" fillId="14" borderId="1518" xfId="0" applyFont="1" applyFill="1" applyBorder="1"/>
    <xf numFmtId="0" fontId="70" fillId="14" borderId="942" xfId="0" applyFont="1" applyFill="1" applyBorder="1"/>
    <xf numFmtId="0" fontId="32" fillId="0" borderId="908" xfId="0" applyFont="1" applyBorder="1" applyAlignment="1">
      <alignment horizontal="center" vertical="center" wrapText="1"/>
    </xf>
    <xf numFmtId="0" fontId="32" fillId="0" borderId="992" xfId="0" applyFont="1" applyBorder="1" applyAlignment="1">
      <alignment horizontal="center" vertical="center" wrapText="1"/>
    </xf>
    <xf numFmtId="1" fontId="32" fillId="5" borderId="1012" xfId="0" applyNumberFormat="1" applyFont="1" applyFill="1" applyBorder="1" applyProtection="1">
      <protection locked="0"/>
    </xf>
    <xf numFmtId="0" fontId="32" fillId="29" borderId="994" xfId="0" applyFont="1" applyFill="1" applyBorder="1"/>
    <xf numFmtId="1" fontId="32" fillId="5" borderId="1011" xfId="0" applyNumberFormat="1" applyFont="1" applyFill="1" applyBorder="1" applyProtection="1">
      <protection locked="0"/>
    </xf>
    <xf numFmtId="0" fontId="32" fillId="0" borderId="807" xfId="0" applyFont="1" applyBorder="1"/>
    <xf numFmtId="0" fontId="32" fillId="29" borderId="1011" xfId="0" applyFont="1" applyFill="1" applyBorder="1"/>
    <xf numFmtId="1" fontId="32" fillId="0" borderId="925" xfId="0" applyNumberFormat="1" applyFont="1" applyBorder="1" applyAlignment="1">
      <alignment horizontal="left" vertical="center" wrapText="1"/>
    </xf>
    <xf numFmtId="0" fontId="32" fillId="0" borderId="880" xfId="0" applyFont="1" applyBorder="1"/>
    <xf numFmtId="1" fontId="32" fillId="0" borderId="880" xfId="0" applyNumberFormat="1" applyFont="1" applyBorder="1"/>
    <xf numFmtId="1" fontId="32" fillId="5" borderId="1010" xfId="0" applyNumberFormat="1" applyFont="1" applyFill="1" applyBorder="1" applyProtection="1">
      <protection locked="0"/>
    </xf>
    <xf numFmtId="0" fontId="32" fillId="29" borderId="1008" xfId="0" applyFont="1" applyFill="1" applyBorder="1"/>
    <xf numFmtId="1" fontId="32" fillId="5" borderId="1013" xfId="0" applyNumberFormat="1" applyFont="1" applyFill="1" applyBorder="1" applyProtection="1">
      <protection locked="0"/>
    </xf>
    <xf numFmtId="0" fontId="73" fillId="14" borderId="0" xfId="0" applyFont="1" applyFill="1"/>
    <xf numFmtId="0" fontId="74" fillId="0" borderId="1518" xfId="0" applyFont="1" applyBorder="1" applyAlignment="1">
      <alignment horizontal="center" vertical="center" wrapText="1"/>
    </xf>
    <xf numFmtId="0" fontId="73" fillId="0" borderId="0" xfId="0" applyFont="1"/>
    <xf numFmtId="0" fontId="55" fillId="0" borderId="0" xfId="0" applyFont="1"/>
    <xf numFmtId="0" fontId="75" fillId="14" borderId="0" xfId="0" applyFont="1" applyFill="1"/>
    <xf numFmtId="1" fontId="32" fillId="14" borderId="907" xfId="0" applyNumberFormat="1" applyFont="1" applyFill="1" applyBorder="1" applyAlignment="1">
      <alignment horizontal="center" vertical="center" wrapText="1"/>
    </xf>
    <xf numFmtId="1" fontId="32" fillId="14" borderId="926" xfId="0" applyNumberFormat="1" applyFont="1" applyFill="1" applyBorder="1" applyAlignment="1">
      <alignment horizontal="center" vertical="top" wrapText="1"/>
    </xf>
    <xf numFmtId="0" fontId="32" fillId="14" borderId="927" xfId="0" applyFont="1" applyFill="1" applyBorder="1" applyAlignment="1">
      <alignment horizontal="center" vertical="center" wrapText="1"/>
    </xf>
    <xf numFmtId="1" fontId="32" fillId="14" borderId="912" xfId="0" applyNumberFormat="1" applyFont="1" applyFill="1" applyBorder="1" applyAlignment="1" applyProtection="1">
      <alignment horizontal="center" vertical="center" wrapText="1"/>
      <protection locked="0"/>
    </xf>
    <xf numFmtId="1" fontId="32" fillId="0" borderId="618" xfId="0" applyNumberFormat="1" applyFont="1" applyBorder="1" applyAlignment="1">
      <alignment vertical="center"/>
    </xf>
    <xf numFmtId="0" fontId="32" fillId="29" borderId="618" xfId="0" applyFont="1" applyFill="1" applyBorder="1"/>
    <xf numFmtId="1" fontId="32" fillId="0" borderId="807" xfId="0" applyNumberFormat="1" applyFont="1" applyBorder="1" applyAlignment="1">
      <alignment vertical="center"/>
    </xf>
    <xf numFmtId="1" fontId="32" fillId="0" borderId="725" xfId="0" applyNumberFormat="1" applyFont="1" applyBorder="1" applyAlignment="1">
      <alignment vertical="center"/>
    </xf>
    <xf numFmtId="0" fontId="32" fillId="29" borderId="925" xfId="0" applyFont="1" applyFill="1" applyBorder="1"/>
    <xf numFmtId="1" fontId="32" fillId="5" borderId="905" xfId="0" applyNumberFormat="1" applyFont="1" applyFill="1" applyBorder="1" applyProtection="1">
      <protection locked="0"/>
    </xf>
    <xf numFmtId="1" fontId="75" fillId="3" borderId="0" xfId="0" applyNumberFormat="1" applyFont="1" applyFill="1" applyAlignment="1">
      <alignment wrapText="1"/>
    </xf>
    <xf numFmtId="1" fontId="32" fillId="14" borderId="909" xfId="0" applyNumberFormat="1" applyFont="1" applyFill="1" applyBorder="1" applyAlignment="1">
      <alignment horizontal="center" vertical="center" wrapText="1"/>
    </xf>
    <xf numFmtId="1" fontId="32" fillId="14" borderId="911" xfId="0" applyNumberFormat="1" applyFont="1" applyFill="1" applyBorder="1" applyAlignment="1">
      <alignment horizontal="center" vertical="center" wrapText="1"/>
    </xf>
    <xf numFmtId="1" fontId="32" fillId="14" borderId="941" xfId="0" applyNumberFormat="1" applyFont="1" applyFill="1" applyBorder="1" applyAlignment="1">
      <alignment horizontal="center" vertical="center" wrapText="1"/>
    </xf>
    <xf numFmtId="1" fontId="32" fillId="0" borderId="922" xfId="0" applyNumberFormat="1" applyFont="1" applyBorder="1" applyAlignment="1">
      <alignment horizontal="left" vertical="top"/>
    </xf>
    <xf numFmtId="0" fontId="32" fillId="29" borderId="922" xfId="0" applyFont="1" applyFill="1" applyBorder="1"/>
    <xf numFmtId="0" fontId="32" fillId="29" borderId="903" xfId="0" applyFont="1" applyFill="1" applyBorder="1"/>
    <xf numFmtId="1" fontId="32" fillId="0" borderId="807" xfId="0" applyNumberFormat="1" applyFont="1" applyBorder="1" applyAlignment="1">
      <alignment horizontal="left" vertical="top"/>
    </xf>
    <xf numFmtId="0" fontId="32" fillId="29" borderId="424" xfId="0" applyFont="1" applyFill="1" applyBorder="1"/>
    <xf numFmtId="0" fontId="32" fillId="0" borderId="925" xfId="0" applyFont="1" applyBorder="1" applyAlignment="1">
      <alignment horizontal="left" vertical="top" wrapText="1"/>
    </xf>
    <xf numFmtId="1" fontId="32" fillId="0" borderId="880" xfId="0" applyNumberFormat="1" applyFont="1" applyBorder="1" applyAlignment="1">
      <alignment wrapText="1"/>
    </xf>
    <xf numFmtId="1" fontId="32" fillId="5" borderId="925" xfId="0" applyNumberFormat="1" applyFont="1" applyFill="1" applyBorder="1" applyProtection="1">
      <protection locked="0"/>
    </xf>
    <xf numFmtId="0" fontId="32" fillId="29" borderId="904" xfId="0" applyFont="1" applyFill="1" applyBorder="1"/>
    <xf numFmtId="0" fontId="32" fillId="29" borderId="905" xfId="0" applyFont="1" applyFill="1" applyBorder="1"/>
    <xf numFmtId="0" fontId="69" fillId="0" borderId="0" xfId="0" applyFont="1"/>
    <xf numFmtId="0" fontId="72" fillId="14" borderId="0" xfId="0" applyFont="1" applyFill="1" applyProtection="1">
      <protection locked="0"/>
    </xf>
    <xf numFmtId="1" fontId="32" fillId="14" borderId="584" xfId="0" applyNumberFormat="1" applyFont="1" applyFill="1" applyBorder="1"/>
    <xf numFmtId="1" fontId="70" fillId="5" borderId="808" xfId="0" applyNumberFormat="1" applyFont="1" applyFill="1" applyBorder="1" applyProtection="1">
      <protection locked="0"/>
    </xf>
    <xf numFmtId="1" fontId="70" fillId="14" borderId="922" xfId="0" applyNumberFormat="1" applyFont="1" applyFill="1" applyBorder="1" applyAlignment="1">
      <alignment horizontal="right" wrapText="1"/>
    </xf>
    <xf numFmtId="1" fontId="70" fillId="5" borderId="902" xfId="0" applyNumberFormat="1" applyFont="1" applyFill="1" applyBorder="1" applyProtection="1">
      <protection locked="0"/>
    </xf>
    <xf numFmtId="1" fontId="70" fillId="5" borderId="809" xfId="0" applyNumberFormat="1" applyFont="1" applyFill="1" applyBorder="1" applyProtection="1">
      <protection locked="0"/>
    </xf>
    <xf numFmtId="1" fontId="70" fillId="5" borderId="811" xfId="0" applyNumberFormat="1" applyFont="1" applyFill="1" applyBorder="1" applyProtection="1">
      <protection locked="0"/>
    </xf>
    <xf numFmtId="1" fontId="70" fillId="5" borderId="617" xfId="0" applyNumberFormat="1" applyFont="1" applyFill="1" applyBorder="1" applyProtection="1">
      <protection locked="0"/>
    </xf>
    <xf numFmtId="1" fontId="70" fillId="5" borderId="618" xfId="0" applyNumberFormat="1" applyFont="1" applyFill="1" applyBorder="1" applyProtection="1">
      <protection locked="0"/>
    </xf>
    <xf numFmtId="1" fontId="70" fillId="14" borderId="807" xfId="0" applyNumberFormat="1" applyFont="1" applyFill="1" applyBorder="1" applyAlignment="1">
      <alignment horizontal="right" wrapText="1"/>
    </xf>
    <xf numFmtId="1" fontId="70" fillId="5" borderId="807" xfId="0" applyNumberFormat="1" applyFont="1" applyFill="1" applyBorder="1" applyProtection="1">
      <protection locked="0"/>
    </xf>
    <xf numFmtId="1" fontId="32" fillId="14" borderId="1685" xfId="0" applyNumberFormat="1" applyFont="1" applyFill="1" applyBorder="1"/>
    <xf numFmtId="1" fontId="70" fillId="5" borderId="925" xfId="0" applyNumberFormat="1" applyFont="1" applyFill="1" applyBorder="1" applyProtection="1">
      <protection locked="0"/>
    </xf>
    <xf numFmtId="1" fontId="70" fillId="14" borderId="880" xfId="0" applyNumberFormat="1" applyFont="1" applyFill="1" applyBorder="1" applyAlignment="1">
      <alignment horizontal="right" wrapText="1"/>
    </xf>
    <xf numFmtId="1" fontId="70" fillId="5" borderId="924" xfId="0" applyNumberFormat="1" applyFont="1" applyFill="1" applyBorder="1" applyProtection="1">
      <protection locked="0"/>
    </xf>
    <xf numFmtId="1" fontId="70" fillId="5" borderId="904" xfId="0" applyNumberFormat="1" applyFont="1" applyFill="1" applyBorder="1" applyProtection="1">
      <protection locked="0"/>
    </xf>
    <xf numFmtId="1" fontId="70" fillId="5" borderId="905" xfId="0" applyNumberFormat="1" applyFont="1" applyFill="1" applyBorder="1" applyProtection="1">
      <protection locked="0"/>
    </xf>
    <xf numFmtId="1" fontId="70" fillId="5" borderId="906" xfId="0" applyNumberFormat="1" applyFont="1" applyFill="1" applyBorder="1" applyProtection="1">
      <protection locked="0"/>
    </xf>
    <xf numFmtId="1" fontId="32" fillId="0" borderId="567" xfId="0" applyNumberFormat="1" applyFont="1" applyBorder="1" applyAlignment="1">
      <alignment horizontal="center" vertical="center"/>
    </xf>
    <xf numFmtId="1" fontId="32" fillId="0" borderId="565" xfId="0" applyNumberFormat="1" applyFont="1" applyBorder="1" applyAlignment="1">
      <alignment horizontal="center" vertical="center" wrapText="1"/>
    </xf>
    <xf numFmtId="1" fontId="32" fillId="5" borderId="1113" xfId="0" applyNumberFormat="1" applyFont="1" applyFill="1" applyBorder="1" applyProtection="1">
      <protection locked="0"/>
    </xf>
    <xf numFmtId="1" fontId="32" fillId="5" borderId="1116" xfId="0" applyNumberFormat="1" applyFont="1" applyFill="1" applyBorder="1" applyProtection="1">
      <protection locked="0"/>
    </xf>
    <xf numFmtId="1" fontId="32" fillId="5" borderId="1112" xfId="0" applyNumberFormat="1" applyFont="1" applyFill="1" applyBorder="1" applyProtection="1">
      <protection locked="0"/>
    </xf>
    <xf numFmtId="1" fontId="32" fillId="5" borderId="1413" xfId="0" applyNumberFormat="1" applyFont="1" applyFill="1" applyBorder="1" applyProtection="1">
      <protection locked="0"/>
    </xf>
    <xf numFmtId="1" fontId="32" fillId="5" borderId="1006" xfId="0" applyNumberFormat="1" applyFont="1" applyFill="1" applyBorder="1" applyProtection="1">
      <protection locked="0"/>
    </xf>
    <xf numFmtId="1" fontId="32" fillId="14" borderId="0" xfId="0" applyNumberFormat="1" applyFont="1" applyFill="1"/>
    <xf numFmtId="1" fontId="65" fillId="14" borderId="0" xfId="0" applyNumberFormat="1" applyFont="1" applyFill="1" applyProtection="1">
      <protection hidden="1"/>
    </xf>
    <xf numFmtId="1" fontId="32" fillId="14" borderId="1002" xfId="0" applyNumberFormat="1" applyFont="1" applyFill="1" applyBorder="1" applyAlignment="1">
      <alignment horizontal="center" vertical="center" wrapText="1"/>
    </xf>
    <xf numFmtId="1" fontId="32" fillId="14" borderId="1009" xfId="0" applyNumberFormat="1" applyFont="1" applyFill="1" applyBorder="1" applyAlignment="1">
      <alignment horizontal="center" vertical="center" wrapText="1"/>
    </xf>
    <xf numFmtId="1" fontId="32" fillId="14" borderId="1004" xfId="0" applyNumberFormat="1" applyFont="1" applyFill="1" applyBorder="1" applyAlignment="1">
      <alignment horizontal="center" vertical="center" wrapText="1"/>
    </xf>
    <xf numFmtId="1" fontId="32" fillId="14" borderId="1527" xfId="0" applyNumberFormat="1" applyFont="1" applyFill="1" applyBorder="1" applyAlignment="1">
      <alignment horizontal="center" vertical="center" wrapText="1"/>
    </xf>
    <xf numFmtId="1" fontId="32" fillId="14" borderId="1000" xfId="0" applyNumberFormat="1" applyFont="1" applyFill="1" applyBorder="1" applyAlignment="1">
      <alignment wrapText="1"/>
    </xf>
    <xf numFmtId="1" fontId="32" fillId="14" borderId="992" xfId="0" applyNumberFormat="1" applyFont="1" applyFill="1" applyBorder="1"/>
    <xf numFmtId="1" fontId="70" fillId="5" borderId="1526" xfId="0" applyNumberFormat="1" applyFont="1" applyFill="1" applyBorder="1" applyProtection="1">
      <protection locked="0"/>
    </xf>
    <xf numFmtId="1" fontId="70" fillId="5" borderId="1541" xfId="0" applyNumberFormat="1" applyFont="1" applyFill="1" applyBorder="1" applyProtection="1">
      <protection locked="0"/>
    </xf>
    <xf numFmtId="1" fontId="70" fillId="5" borderId="1525" xfId="0" applyNumberFormat="1" applyFont="1" applyFill="1" applyBorder="1" applyProtection="1">
      <protection locked="0"/>
    </xf>
    <xf numFmtId="1" fontId="70" fillId="5" borderId="1527" xfId="0" applyNumberFormat="1" applyFont="1" applyFill="1" applyBorder="1" applyProtection="1">
      <protection locked="0"/>
    </xf>
    <xf numFmtId="1" fontId="32" fillId="0" borderId="437" xfId="0" applyNumberFormat="1" applyFont="1" applyBorder="1" applyAlignment="1">
      <alignment horizontal="center" vertical="center" wrapText="1"/>
    </xf>
    <xf numFmtId="1" fontId="32" fillId="0" borderId="440" xfId="0" applyNumberFormat="1" applyFont="1" applyBorder="1" applyAlignment="1">
      <alignment horizontal="center" vertical="center" wrapText="1"/>
    </xf>
    <xf numFmtId="1" fontId="32" fillId="0" borderId="567" xfId="0" applyNumberFormat="1" applyFont="1" applyBorder="1" applyAlignment="1">
      <alignment horizontal="center" vertical="center" wrapText="1"/>
    </xf>
    <xf numFmtId="1" fontId="32" fillId="0" borderId="565" xfId="0" applyNumberFormat="1" applyFont="1" applyBorder="1" applyAlignment="1">
      <alignment vertical="center" wrapText="1"/>
    </xf>
    <xf numFmtId="1" fontId="32" fillId="0" borderId="992" xfId="0" applyNumberFormat="1" applyFont="1" applyBorder="1" applyAlignment="1">
      <alignment vertical="center" wrapText="1"/>
    </xf>
    <xf numFmtId="1" fontId="32" fillId="5" borderId="992" xfId="0" applyNumberFormat="1" applyFont="1" applyFill="1" applyBorder="1" applyProtection="1">
      <protection locked="0"/>
    </xf>
    <xf numFmtId="1" fontId="32" fillId="5" borderId="1009" xfId="0" applyNumberFormat="1" applyFont="1" applyFill="1" applyBorder="1" applyProtection="1">
      <protection locked="0"/>
    </xf>
    <xf numFmtId="1" fontId="32" fillId="5" borderId="1003" xfId="0" applyNumberFormat="1" applyFont="1" applyFill="1" applyBorder="1" applyProtection="1">
      <protection locked="0"/>
    </xf>
    <xf numFmtId="166" fontId="70" fillId="21" borderId="0" xfId="0" applyNumberFormat="1" applyFont="1" applyFill="1"/>
    <xf numFmtId="0" fontId="70" fillId="21" borderId="0" xfId="0" applyFont="1" applyFill="1"/>
    <xf numFmtId="1" fontId="64" fillId="14" borderId="175" xfId="0" applyNumberFormat="1" applyFont="1" applyFill="1" applyBorder="1" applyAlignment="1">
      <alignment horizontal="left"/>
    </xf>
    <xf numFmtId="1" fontId="64" fillId="0" borderId="175" xfId="0" applyNumberFormat="1" applyFont="1" applyBorder="1"/>
    <xf numFmtId="1" fontId="76" fillId="3" borderId="0" xfId="0" applyNumberFormat="1" applyFont="1" applyFill="1"/>
    <xf numFmtId="1" fontId="76" fillId="3" borderId="0" xfId="0" applyNumberFormat="1" applyFont="1" applyFill="1" applyProtection="1">
      <protection locked="0"/>
    </xf>
    <xf numFmtId="1" fontId="76" fillId="14" borderId="0" xfId="0" applyNumberFormat="1" applyFont="1" applyFill="1" applyProtection="1">
      <protection locked="0"/>
    </xf>
    <xf numFmtId="1" fontId="76" fillId="28" borderId="0" xfId="0" applyNumberFormat="1" applyFont="1" applyFill="1" applyProtection="1">
      <protection locked="0"/>
    </xf>
    <xf numFmtId="1" fontId="76" fillId="28" borderId="0" xfId="0" applyNumberFormat="1" applyFont="1" applyFill="1"/>
    <xf numFmtId="1" fontId="76" fillId="43" borderId="0" xfId="0" applyNumberFormat="1" applyFont="1" applyFill="1"/>
    <xf numFmtId="1" fontId="76" fillId="14" borderId="0" xfId="0" applyNumberFormat="1" applyFont="1" applyFill="1"/>
    <xf numFmtId="1" fontId="66" fillId="3" borderId="0" xfId="0" applyNumberFormat="1" applyFont="1" applyFill="1" applyAlignment="1">
      <alignment vertical="center" wrapText="1"/>
    </xf>
    <xf numFmtId="1" fontId="66" fillId="3" borderId="0" xfId="0" applyNumberFormat="1" applyFont="1" applyFill="1" applyAlignment="1">
      <alignment horizontal="center"/>
    </xf>
    <xf numFmtId="1" fontId="77" fillId="3" borderId="0" xfId="0" applyNumberFormat="1" applyFont="1" applyFill="1"/>
    <xf numFmtId="1" fontId="64" fillId="3" borderId="0" xfId="0" applyNumberFormat="1" applyFont="1" applyFill="1"/>
    <xf numFmtId="1" fontId="78" fillId="3" borderId="0" xfId="0" applyNumberFormat="1" applyFont="1" applyFill="1"/>
    <xf numFmtId="1" fontId="32" fillId="0" borderId="566" xfId="0" applyNumberFormat="1" applyFont="1" applyBorder="1" applyAlignment="1">
      <alignment horizontal="center" vertical="center" wrapText="1"/>
    </xf>
    <xf numFmtId="1" fontId="32" fillId="0" borderId="564" xfId="0" applyNumberFormat="1" applyFont="1" applyBorder="1" applyAlignment="1">
      <alignment horizontal="center" vertical="center" wrapText="1"/>
    </xf>
    <xf numFmtId="1" fontId="32" fillId="0" borderId="575" xfId="0" applyNumberFormat="1" applyFont="1" applyBorder="1" applyAlignment="1">
      <alignment horizontal="center" vertical="center" wrapText="1"/>
    </xf>
    <xf numFmtId="1" fontId="32" fillId="0" borderId="600" xfId="0" applyNumberFormat="1" applyFont="1" applyBorder="1" applyAlignment="1">
      <alignment horizontal="center" vertical="center" wrapText="1"/>
    </xf>
    <xf numFmtId="1" fontId="32" fillId="0" borderId="572" xfId="0" applyNumberFormat="1" applyFont="1" applyBorder="1" applyAlignment="1">
      <alignment horizontal="center" vertical="center" wrapText="1"/>
    </xf>
    <xf numFmtId="1" fontId="32" fillId="3" borderId="601" xfId="0" applyNumberFormat="1" applyFont="1" applyFill="1" applyBorder="1" applyAlignment="1">
      <alignment horizontal="center" vertical="center" wrapText="1"/>
    </xf>
    <xf numFmtId="1" fontId="32" fillId="0" borderId="603" xfId="0" applyNumberFormat="1" applyFont="1" applyBorder="1" applyAlignment="1">
      <alignment horizontal="center" vertical="center" wrapText="1"/>
    </xf>
    <xf numFmtId="1" fontId="32" fillId="3" borderId="600" xfId="0" applyNumberFormat="1" applyFont="1" applyFill="1" applyBorder="1" applyAlignment="1">
      <alignment horizontal="center" vertical="center" wrapText="1"/>
    </xf>
    <xf numFmtId="1" fontId="32" fillId="0" borderId="1163" xfId="0" applyNumberFormat="1" applyFont="1" applyBorder="1" applyAlignment="1">
      <alignment horizontal="center" vertical="center" wrapText="1"/>
    </xf>
    <xf numFmtId="1" fontId="32" fillId="0" borderId="1096" xfId="0" applyNumberFormat="1" applyFont="1" applyBorder="1" applyAlignment="1">
      <alignment horizontal="center" vertical="center" wrapText="1"/>
    </xf>
    <xf numFmtId="1" fontId="32" fillId="0" borderId="584" xfId="0" applyNumberFormat="1" applyFont="1" applyBorder="1" applyAlignment="1">
      <alignment horizontal="right" vertical="center" wrapText="1"/>
    </xf>
    <xf numFmtId="1" fontId="32" fillId="5" borderId="555" xfId="0" applyNumberFormat="1" applyFont="1" applyFill="1" applyBorder="1" applyAlignment="1" applyProtection="1">
      <alignment horizontal="right"/>
      <protection locked="0"/>
    </xf>
    <xf numFmtId="1" fontId="32" fillId="5" borderId="63" xfId="0" applyNumberFormat="1" applyFont="1" applyFill="1" applyBorder="1" applyAlignment="1" applyProtection="1">
      <alignment horizontal="right"/>
      <protection locked="0"/>
    </xf>
    <xf numFmtId="1" fontId="32" fillId="5" borderId="344" xfId="0" applyNumberFormat="1" applyFont="1" applyFill="1" applyBorder="1" applyAlignment="1" applyProtection="1">
      <alignment horizontal="right"/>
      <protection locked="0"/>
    </xf>
    <xf numFmtId="1" fontId="32" fillId="5" borderId="71" xfId="0" applyNumberFormat="1" applyFont="1" applyFill="1" applyBorder="1" applyAlignment="1" applyProtection="1">
      <alignment horizontal="right"/>
      <protection locked="0"/>
    </xf>
    <xf numFmtId="1" fontId="32" fillId="5" borderId="182" xfId="0" applyNumberFormat="1" applyFont="1" applyFill="1" applyBorder="1" applyAlignment="1" applyProtection="1">
      <alignment horizontal="right"/>
      <protection locked="0"/>
    </xf>
    <xf numFmtId="1" fontId="32" fillId="5" borderId="583" xfId="0" applyNumberFormat="1" applyFont="1" applyFill="1" applyBorder="1" applyAlignment="1" applyProtection="1">
      <alignment horizontal="right"/>
      <protection locked="0"/>
    </xf>
    <xf numFmtId="1" fontId="32" fillId="5" borderId="84" xfId="0" applyNumberFormat="1" applyFont="1" applyFill="1" applyBorder="1" applyAlignment="1" applyProtection="1">
      <alignment horizontal="right"/>
      <protection locked="0"/>
    </xf>
    <xf numFmtId="1" fontId="32" fillId="4" borderId="1172" xfId="0" applyNumberFormat="1" applyFont="1" applyFill="1" applyBorder="1" applyAlignment="1">
      <alignment horizontal="right"/>
    </xf>
    <xf numFmtId="1" fontId="32" fillId="5" borderId="1118" xfId="0" applyNumberFormat="1" applyFont="1" applyFill="1" applyBorder="1" applyAlignment="1" applyProtection="1">
      <alignment horizontal="right"/>
      <protection locked="0"/>
    </xf>
    <xf numFmtId="1" fontId="32" fillId="14" borderId="0" xfId="0" applyNumberFormat="1" applyFont="1" applyFill="1" applyAlignment="1">
      <alignment vertical="top"/>
    </xf>
    <xf numFmtId="1" fontId="32" fillId="14" borderId="0" xfId="0" applyNumberFormat="1" applyFont="1" applyFill="1" applyAlignment="1">
      <alignment vertical="top" wrapText="1"/>
    </xf>
    <xf numFmtId="1" fontId="76" fillId="40" borderId="0" xfId="0" applyNumberFormat="1" applyFont="1" applyFill="1"/>
    <xf numFmtId="1" fontId="76" fillId="44" borderId="0" xfId="0" applyNumberFormat="1" applyFont="1" applyFill="1"/>
    <xf numFmtId="1" fontId="76" fillId="43" borderId="0" xfId="0" applyNumberFormat="1" applyFont="1" applyFill="1" applyProtection="1">
      <protection locked="0"/>
    </xf>
    <xf numFmtId="1" fontId="76" fillId="17" borderId="0" xfId="0" applyNumberFormat="1" applyFont="1" applyFill="1" applyProtection="1">
      <protection locked="0"/>
    </xf>
    <xf numFmtId="1" fontId="32" fillId="5" borderId="585" xfId="0" applyNumberFormat="1" applyFont="1" applyFill="1" applyBorder="1" applyAlignment="1" applyProtection="1">
      <alignment horizontal="right"/>
      <protection locked="0"/>
    </xf>
    <xf numFmtId="1" fontId="32" fillId="5" borderId="586" xfId="0" applyNumberFormat="1" applyFont="1" applyFill="1" applyBorder="1" applyAlignment="1" applyProtection="1">
      <alignment horizontal="right"/>
      <protection locked="0"/>
    </xf>
    <xf numFmtId="1" fontId="32" fillId="5" borderId="602" xfId="0" applyNumberFormat="1" applyFont="1" applyFill="1" applyBorder="1" applyAlignment="1" applyProtection="1">
      <alignment horizontal="right"/>
      <protection locked="0"/>
    </xf>
    <xf numFmtId="1" fontId="32" fillId="5" borderId="596" xfId="0" applyNumberFormat="1" applyFont="1" applyFill="1" applyBorder="1" applyAlignment="1" applyProtection="1">
      <alignment horizontal="right"/>
      <protection locked="0"/>
    </xf>
    <xf numFmtId="1" fontId="32" fillId="5" borderId="183" xfId="0" applyNumberFormat="1" applyFont="1" applyFill="1" applyBorder="1" applyAlignment="1" applyProtection="1">
      <alignment horizontal="right"/>
      <protection locked="0"/>
    </xf>
    <xf numFmtId="1" fontId="32" fillId="5" borderId="589" xfId="0" applyNumberFormat="1" applyFont="1" applyFill="1" applyBorder="1" applyAlignment="1" applyProtection="1">
      <alignment horizontal="right"/>
      <protection locked="0"/>
    </xf>
    <xf numFmtId="1" fontId="32" fillId="4" borderId="1129" xfId="0" applyNumberFormat="1" applyFont="1" applyFill="1" applyBorder="1" applyAlignment="1">
      <alignment horizontal="right"/>
    </xf>
    <xf numFmtId="1" fontId="32" fillId="5" borderId="1129" xfId="0" applyNumberFormat="1" applyFont="1" applyFill="1" applyBorder="1" applyAlignment="1" applyProtection="1">
      <alignment horizontal="right"/>
      <protection locked="0"/>
    </xf>
    <xf numFmtId="1" fontId="32" fillId="5" borderId="587" xfId="0" applyNumberFormat="1" applyFont="1" applyFill="1" applyBorder="1" applyAlignment="1" applyProtection="1">
      <alignment horizontal="right"/>
      <protection locked="0"/>
    </xf>
    <xf numFmtId="1" fontId="32" fillId="0" borderId="960" xfId="0" applyNumberFormat="1" applyFont="1" applyBorder="1" applyAlignment="1">
      <alignment horizontal="right" vertical="center" wrapText="1"/>
    </xf>
    <xf numFmtId="1" fontId="32" fillId="5" borderId="958" xfId="0" applyNumberFormat="1" applyFont="1" applyFill="1" applyBorder="1" applyAlignment="1" applyProtection="1">
      <alignment horizontal="right"/>
      <protection locked="0"/>
    </xf>
    <xf numFmtId="1" fontId="32" fillId="5" borderId="964" xfId="0" applyNumberFormat="1" applyFont="1" applyFill="1" applyBorder="1" applyAlignment="1" applyProtection="1">
      <alignment horizontal="right"/>
      <protection locked="0"/>
    </xf>
    <xf numFmtId="1" fontId="32" fillId="5" borderId="957" xfId="0" applyNumberFormat="1" applyFont="1" applyFill="1" applyBorder="1" applyAlignment="1" applyProtection="1">
      <alignment horizontal="right"/>
      <protection locked="0"/>
    </xf>
    <xf numFmtId="1" fontId="32" fillId="5" borderId="989" xfId="0" applyNumberFormat="1" applyFont="1" applyFill="1" applyBorder="1" applyAlignment="1" applyProtection="1">
      <alignment horizontal="right"/>
      <protection locked="0"/>
    </xf>
    <xf numFmtId="1" fontId="32" fillId="5" borderId="936" xfId="0" applyNumberFormat="1" applyFont="1" applyFill="1" applyBorder="1" applyAlignment="1" applyProtection="1">
      <alignment horizontal="right"/>
      <protection locked="0"/>
    </xf>
    <xf numFmtId="1" fontId="32" fillId="0" borderId="1265" xfId="0" applyNumberFormat="1" applyFont="1" applyBorder="1" applyAlignment="1">
      <alignment horizontal="right" vertical="center" wrapText="1"/>
    </xf>
    <xf numFmtId="1" fontId="32" fillId="5" borderId="1112" xfId="0" applyNumberFormat="1" applyFont="1" applyFill="1" applyBorder="1" applyAlignment="1" applyProtection="1">
      <alignment horizontal="right"/>
      <protection locked="0"/>
    </xf>
    <xf numFmtId="1" fontId="32" fillId="5" borderId="1114" xfId="0" applyNumberFormat="1" applyFont="1" applyFill="1" applyBorder="1" applyAlignment="1" applyProtection="1">
      <alignment horizontal="right"/>
      <protection locked="0"/>
    </xf>
    <xf numFmtId="1" fontId="32" fillId="5" borderId="1119" xfId="0" applyNumberFormat="1" applyFont="1" applyFill="1" applyBorder="1" applyAlignment="1" applyProtection="1">
      <alignment horizontal="right"/>
      <protection locked="0"/>
    </xf>
    <xf numFmtId="1" fontId="32" fillId="5" borderId="1125" xfId="0" applyNumberFormat="1" applyFont="1" applyFill="1" applyBorder="1" applyAlignment="1" applyProtection="1">
      <alignment horizontal="right"/>
      <protection locked="0"/>
    </xf>
    <xf numFmtId="1" fontId="32" fillId="5" borderId="1322" xfId="0" applyNumberFormat="1" applyFont="1" applyFill="1" applyBorder="1" applyAlignment="1" applyProtection="1">
      <alignment horizontal="right"/>
      <protection locked="0"/>
    </xf>
    <xf numFmtId="1" fontId="32" fillId="5" borderId="1258" xfId="0" applyNumberFormat="1" applyFont="1" applyFill="1" applyBorder="1" applyAlignment="1" applyProtection="1">
      <alignment horizontal="right"/>
      <protection locked="0"/>
    </xf>
    <xf numFmtId="1" fontId="32" fillId="0" borderId="1269" xfId="0" applyNumberFormat="1" applyFont="1" applyBorder="1" applyAlignment="1">
      <alignment horizontal="right" vertical="center" wrapText="1"/>
    </xf>
    <xf numFmtId="1" fontId="32" fillId="5" borderId="1061" xfId="0" applyNumberFormat="1" applyFont="1" applyFill="1" applyBorder="1" applyAlignment="1" applyProtection="1">
      <alignment horizontal="right"/>
      <protection locked="0"/>
    </xf>
    <xf numFmtId="1" fontId="32" fillId="5" borderId="1074" xfId="0" applyNumberFormat="1" applyFont="1" applyFill="1" applyBorder="1" applyAlignment="1" applyProtection="1">
      <alignment horizontal="right"/>
      <protection locked="0"/>
    </xf>
    <xf numFmtId="1" fontId="32" fillId="5" borderId="1076" xfId="0" applyNumberFormat="1" applyFont="1" applyFill="1" applyBorder="1" applyAlignment="1" applyProtection="1">
      <alignment horizontal="right"/>
      <protection locked="0"/>
    </xf>
    <xf numFmtId="1" fontId="32" fillId="5" borderId="990" xfId="0" applyNumberFormat="1" applyFont="1" applyFill="1" applyBorder="1" applyAlignment="1" applyProtection="1">
      <alignment horizontal="right"/>
      <protection locked="0"/>
    </xf>
    <xf numFmtId="1" fontId="32" fillId="5" borderId="1044" xfId="0" applyNumberFormat="1" applyFont="1" applyFill="1" applyBorder="1" applyAlignment="1" applyProtection="1">
      <alignment horizontal="right"/>
      <protection locked="0"/>
    </xf>
    <xf numFmtId="1" fontId="32" fillId="0" borderId="1262" xfId="0" applyNumberFormat="1" applyFont="1" applyBorder="1" applyAlignment="1">
      <alignment horizontal="right" vertical="center" wrapText="1"/>
    </xf>
    <xf numFmtId="1" fontId="32" fillId="5" borderId="1103" xfId="0" applyNumberFormat="1" applyFont="1" applyFill="1" applyBorder="1" applyAlignment="1" applyProtection="1">
      <alignment horizontal="right"/>
      <protection locked="0"/>
    </xf>
    <xf numFmtId="1" fontId="32" fillId="5" borderId="1260" xfId="0" applyNumberFormat="1" applyFont="1" applyFill="1" applyBorder="1" applyAlignment="1" applyProtection="1">
      <alignment horizontal="right"/>
      <protection locked="0"/>
    </xf>
    <xf numFmtId="1" fontId="32" fillId="5" borderId="1120" xfId="0" applyNumberFormat="1" applyFont="1" applyFill="1" applyBorder="1" applyAlignment="1" applyProtection="1">
      <alignment horizontal="right"/>
      <protection locked="0"/>
    </xf>
    <xf numFmtId="1" fontId="32" fillId="5" borderId="1105" xfId="0" applyNumberFormat="1" applyFont="1" applyFill="1" applyBorder="1" applyAlignment="1" applyProtection="1">
      <alignment horizontal="right"/>
      <protection locked="0"/>
    </xf>
    <xf numFmtId="1" fontId="32" fillId="5" borderId="1321" xfId="0" applyNumberFormat="1" applyFont="1" applyFill="1" applyBorder="1" applyAlignment="1" applyProtection="1">
      <alignment horizontal="right"/>
      <protection locked="0"/>
    </xf>
    <xf numFmtId="1" fontId="32" fillId="5" borderId="1108" xfId="0" applyNumberFormat="1" applyFont="1" applyFill="1" applyBorder="1" applyAlignment="1" applyProtection="1">
      <alignment horizontal="right"/>
      <protection locked="0"/>
    </xf>
    <xf numFmtId="1" fontId="32" fillId="5" borderId="1104" xfId="0" applyNumberFormat="1" applyFont="1" applyFill="1" applyBorder="1" applyAlignment="1" applyProtection="1">
      <alignment horizontal="right"/>
      <protection locked="0"/>
    </xf>
    <xf numFmtId="1" fontId="32" fillId="3" borderId="2118" xfId="0" applyNumberFormat="1" applyFont="1" applyFill="1" applyBorder="1" applyAlignment="1">
      <alignment horizontal="center" vertical="center" wrapText="1"/>
    </xf>
    <xf numFmtId="1" fontId="32" fillId="0" borderId="1679" xfId="0" applyNumberFormat="1" applyFont="1" applyBorder="1" applyAlignment="1">
      <alignment horizontal="center" vertical="center" wrapText="1"/>
    </xf>
    <xf numFmtId="1" fontId="32" fillId="3" borderId="1679" xfId="0" applyNumberFormat="1" applyFont="1" applyFill="1" applyBorder="1" applyAlignment="1">
      <alignment horizontal="center" vertical="center" wrapText="1"/>
    </xf>
    <xf numFmtId="1" fontId="32" fillId="0" borderId="1667" xfId="0" applyNumberFormat="1" applyFont="1" applyBorder="1" applyAlignment="1">
      <alignment horizontal="center" vertical="center" wrapText="1"/>
    </xf>
    <xf numFmtId="1" fontId="32" fillId="0" borderId="1828" xfId="0" applyNumberFormat="1" applyFont="1" applyBorder="1" applyAlignment="1">
      <alignment vertical="center" wrapText="1"/>
    </xf>
    <xf numFmtId="1" fontId="32" fillId="5" borderId="1840" xfId="0" applyNumberFormat="1" applyFont="1" applyFill="1" applyBorder="1" applyAlignment="1" applyProtection="1">
      <alignment horizontal="center" vertical="center"/>
      <protection locked="0"/>
    </xf>
    <xf numFmtId="1" fontId="32" fillId="5" borderId="1805" xfId="0" applyNumberFormat="1" applyFont="1" applyFill="1" applyBorder="1" applyAlignment="1" applyProtection="1">
      <alignment horizontal="center" vertical="center"/>
      <protection locked="0"/>
    </xf>
    <xf numFmtId="1" fontId="32" fillId="5" borderId="1832" xfId="0" applyNumberFormat="1" applyFont="1" applyFill="1" applyBorder="1" applyAlignment="1" applyProtection="1">
      <alignment horizontal="center" vertical="center"/>
      <protection locked="0"/>
    </xf>
    <xf numFmtId="1" fontId="32" fillId="0" borderId="684" xfId="0" applyNumberFormat="1" applyFont="1" applyBorder="1" applyAlignment="1">
      <alignment vertical="center" wrapText="1"/>
    </xf>
    <xf numFmtId="1" fontId="32" fillId="5" borderId="670" xfId="0" applyNumberFormat="1" applyFont="1" applyFill="1" applyBorder="1" applyAlignment="1" applyProtection="1">
      <alignment horizontal="center" vertical="center"/>
      <protection locked="0"/>
    </xf>
    <xf numFmtId="1" fontId="32" fillId="5" borderId="708" xfId="0" applyNumberFormat="1" applyFont="1" applyFill="1" applyBorder="1" applyAlignment="1" applyProtection="1">
      <alignment horizontal="center" vertical="center"/>
      <protection locked="0"/>
    </xf>
    <xf numFmtId="1" fontId="32" fillId="5" borderId="1659" xfId="0" applyNumberFormat="1" applyFont="1" applyFill="1" applyBorder="1" applyAlignment="1" applyProtection="1">
      <alignment horizontal="center" vertical="center"/>
      <protection locked="0"/>
    </xf>
    <xf numFmtId="1" fontId="32" fillId="0" borderId="1737" xfId="0" applyNumberFormat="1" applyFont="1" applyBorder="1" applyAlignment="1">
      <alignment vertical="center" wrapText="1"/>
    </xf>
    <xf numFmtId="1" fontId="32" fillId="5" borderId="1720" xfId="0" applyNumberFormat="1" applyFont="1" applyFill="1" applyBorder="1" applyAlignment="1" applyProtection="1">
      <alignment horizontal="center" vertical="center"/>
      <protection locked="0"/>
    </xf>
    <xf numFmtId="1" fontId="32" fillId="5" borderId="1658" xfId="0" applyNumberFormat="1" applyFont="1" applyFill="1" applyBorder="1" applyAlignment="1" applyProtection="1">
      <alignment horizontal="center" vertical="center"/>
      <protection locked="0"/>
    </xf>
    <xf numFmtId="1" fontId="32" fillId="5" borderId="1884" xfId="0" applyNumberFormat="1" applyFont="1" applyFill="1" applyBorder="1" applyAlignment="1" applyProtection="1">
      <alignment horizontal="center" vertical="center"/>
      <protection locked="0"/>
    </xf>
    <xf numFmtId="1" fontId="64" fillId="3" borderId="175" xfId="0" applyNumberFormat="1" applyFont="1" applyFill="1" applyBorder="1" applyAlignment="1">
      <alignment horizontal="left"/>
    </xf>
    <xf numFmtId="1" fontId="32" fillId="3" borderId="0" xfId="0" applyNumberFormat="1" applyFont="1" applyFill="1" applyAlignment="1">
      <alignment horizontal="center" vertical="center"/>
    </xf>
    <xf numFmtId="1" fontId="32" fillId="0" borderId="2112" xfId="0" applyNumberFormat="1" applyFont="1" applyBorder="1" applyAlignment="1">
      <alignment horizontal="center" vertical="center"/>
    </xf>
    <xf numFmtId="1" fontId="32" fillId="0" borderId="2119" xfId="0" applyNumberFormat="1" applyFont="1" applyBorder="1" applyAlignment="1">
      <alignment horizontal="center" vertical="center"/>
    </xf>
    <xf numFmtId="1" fontId="32" fillId="0" borderId="2109" xfId="0" applyNumberFormat="1" applyFont="1" applyBorder="1" applyAlignment="1">
      <alignment horizontal="center" vertical="center"/>
    </xf>
    <xf numFmtId="1" fontId="32" fillId="0" borderId="795" xfId="0" applyNumberFormat="1" applyFont="1" applyBorder="1" applyAlignment="1">
      <alignment horizontal="center" vertical="center"/>
    </xf>
    <xf numFmtId="1" fontId="32" fillId="0" borderId="2099" xfId="0" applyNumberFormat="1" applyFont="1" applyBorder="1" applyAlignment="1">
      <alignment horizontal="center" vertical="center"/>
    </xf>
    <xf numFmtId="1" fontId="32" fillId="14" borderId="1828" xfId="0" applyNumberFormat="1" applyFont="1" applyFill="1" applyBorder="1" applyAlignment="1">
      <alignment vertical="center" wrapText="1"/>
    </xf>
    <xf numFmtId="1" fontId="32" fillId="14" borderId="1840" xfId="0" applyNumberFormat="1" applyFont="1" applyFill="1" applyBorder="1" applyAlignment="1" applyProtection="1">
      <alignment horizontal="center" vertical="center"/>
      <protection locked="0"/>
    </xf>
    <xf numFmtId="1" fontId="32" fillId="14" borderId="1832" xfId="0" applyNumberFormat="1" applyFont="1" applyFill="1" applyBorder="1" applyAlignment="1" applyProtection="1">
      <alignment horizontal="center" vertical="center"/>
      <protection locked="0"/>
    </xf>
    <xf numFmtId="0" fontId="0" fillId="12" borderId="1828" xfId="0" applyFill="1" applyBorder="1"/>
    <xf numFmtId="1" fontId="32" fillId="14" borderId="684" xfId="0" applyNumberFormat="1" applyFont="1" applyFill="1" applyBorder="1" applyAlignment="1">
      <alignment vertical="center" wrapText="1"/>
    </xf>
    <xf numFmtId="1" fontId="32" fillId="14" borderId="670" xfId="0" applyNumberFormat="1" applyFont="1" applyFill="1" applyBorder="1" applyAlignment="1" applyProtection="1">
      <alignment horizontal="center" vertical="center"/>
      <protection locked="0"/>
    </xf>
    <xf numFmtId="1" fontId="32" fillId="14" borderId="812" xfId="0" applyNumberFormat="1" applyFont="1" applyFill="1" applyBorder="1" applyAlignment="1" applyProtection="1">
      <alignment horizontal="center" vertical="center"/>
      <protection locked="0"/>
    </xf>
    <xf numFmtId="1" fontId="32" fillId="5" borderId="812" xfId="0" applyNumberFormat="1" applyFont="1" applyFill="1" applyBorder="1" applyAlignment="1" applyProtection="1">
      <alignment horizontal="center" vertical="center"/>
      <protection locked="0"/>
    </xf>
    <xf numFmtId="0" fontId="0" fillId="12" borderId="684" xfId="0" applyFill="1" applyBorder="1"/>
    <xf numFmtId="1" fontId="32" fillId="14" borderId="1737" xfId="0" applyNumberFormat="1" applyFont="1" applyFill="1" applyBorder="1" applyAlignment="1">
      <alignment vertical="center" wrapText="1"/>
    </xf>
    <xf numFmtId="1" fontId="32" fillId="14" borderId="1836" xfId="0" applyNumberFormat="1" applyFont="1" applyFill="1" applyBorder="1" applyAlignment="1" applyProtection="1">
      <alignment horizontal="center" vertical="center"/>
      <protection locked="0"/>
    </xf>
    <xf numFmtId="1" fontId="32" fillId="14" borderId="1834" xfId="0" applyNumberFormat="1" applyFont="1" applyFill="1" applyBorder="1" applyAlignment="1" applyProtection="1">
      <alignment horizontal="center" vertical="center"/>
      <protection locked="0"/>
    </xf>
    <xf numFmtId="1" fontId="32" fillId="5" borderId="1836" xfId="0" applyNumberFormat="1" applyFont="1" applyFill="1" applyBorder="1" applyAlignment="1" applyProtection="1">
      <alignment horizontal="center" vertical="center"/>
      <protection locked="0"/>
    </xf>
    <xf numFmtId="1" fontId="32" fillId="5" borderId="1834" xfId="0" applyNumberFormat="1" applyFont="1" applyFill="1" applyBorder="1" applyAlignment="1" applyProtection="1">
      <alignment horizontal="center" vertical="center"/>
      <protection locked="0"/>
    </xf>
    <xf numFmtId="0" fontId="0" fillId="12" borderId="1737" xfId="0" applyFill="1" applyBorder="1"/>
    <xf numFmtId="1" fontId="32" fillId="3" borderId="175" xfId="0" applyNumberFormat="1" applyFont="1" applyFill="1" applyBorder="1" applyAlignment="1">
      <alignment horizontal="left" vertical="center"/>
    </xf>
    <xf numFmtId="1" fontId="32" fillId="3" borderId="175" xfId="0" applyNumberFormat="1" applyFont="1" applyFill="1" applyBorder="1"/>
    <xf numFmtId="1" fontId="32" fillId="0" borderId="241" xfId="0" applyNumberFormat="1" applyFont="1" applyBorder="1" applyAlignment="1">
      <alignment horizontal="center" vertical="center" wrapText="1"/>
    </xf>
    <xf numFmtId="1" fontId="32" fillId="0" borderId="447" xfId="0" applyNumberFormat="1" applyFont="1" applyBorder="1" applyAlignment="1">
      <alignment horizontal="center" vertical="center" wrapText="1"/>
    </xf>
    <xf numFmtId="1" fontId="32" fillId="0" borderId="439" xfId="0" applyNumberFormat="1" applyFont="1" applyBorder="1" applyAlignment="1">
      <alignment horizontal="center" vertical="center" wrapText="1"/>
    </xf>
    <xf numFmtId="1" fontId="32" fillId="0" borderId="1147" xfId="0" applyNumberFormat="1" applyFont="1" applyBorder="1" applyAlignment="1">
      <alignment horizontal="center" vertical="center" wrapText="1"/>
    </xf>
    <xf numFmtId="1" fontId="32" fillId="3" borderId="446" xfId="0" applyNumberFormat="1" applyFont="1" applyFill="1" applyBorder="1" applyAlignment="1">
      <alignment horizontal="right"/>
    </xf>
    <xf numFmtId="1" fontId="32" fillId="5" borderId="443" xfId="0" applyNumberFormat="1" applyFont="1" applyFill="1" applyBorder="1" applyProtection="1">
      <protection locked="0"/>
    </xf>
    <xf numFmtId="1" fontId="32" fillId="5" borderId="445" xfId="0" applyNumberFormat="1" applyFont="1" applyFill="1" applyBorder="1" applyProtection="1">
      <protection locked="0"/>
    </xf>
    <xf numFmtId="1" fontId="32" fillId="5" borderId="466" xfId="0" applyNumberFormat="1" applyFont="1" applyFill="1" applyBorder="1" applyProtection="1">
      <protection locked="0"/>
    </xf>
    <xf numFmtId="1" fontId="32" fillId="4" borderId="446" xfId="0" applyNumberFormat="1" applyFont="1" applyFill="1" applyBorder="1"/>
    <xf numFmtId="1" fontId="32" fillId="5" borderId="1129" xfId="0" applyNumberFormat="1" applyFont="1" applyFill="1" applyBorder="1" applyProtection="1">
      <protection locked="0"/>
    </xf>
    <xf numFmtId="1" fontId="32" fillId="5" borderId="1154" xfId="0" applyNumberFormat="1" applyFont="1" applyFill="1" applyBorder="1" applyProtection="1">
      <protection locked="0"/>
    </xf>
    <xf numFmtId="1" fontId="32" fillId="5" borderId="1118" xfId="0" applyNumberFormat="1" applyFont="1" applyFill="1" applyBorder="1" applyProtection="1">
      <protection locked="0"/>
    </xf>
    <xf numFmtId="1" fontId="32" fillId="3" borderId="40" xfId="0" applyNumberFormat="1" applyFont="1" applyFill="1" applyBorder="1" applyAlignment="1">
      <alignment horizontal="right"/>
    </xf>
    <xf numFmtId="1" fontId="32" fillId="5" borderId="38" xfId="0" applyNumberFormat="1" applyFont="1" applyFill="1" applyBorder="1" applyProtection="1">
      <protection locked="0"/>
    </xf>
    <xf numFmtId="1" fontId="32" fillId="5" borderId="62" xfId="0" applyNumberFormat="1" applyFont="1" applyFill="1" applyBorder="1" applyProtection="1">
      <protection locked="0"/>
    </xf>
    <xf numFmtId="1" fontId="32" fillId="5" borderId="59" xfId="0" applyNumberFormat="1" applyFont="1" applyFill="1" applyBorder="1" applyProtection="1">
      <protection locked="0"/>
    </xf>
    <xf numFmtId="1" fontId="32" fillId="4" borderId="40" xfId="0" applyNumberFormat="1" applyFont="1" applyFill="1" applyBorder="1"/>
    <xf numFmtId="1" fontId="32" fillId="0" borderId="37" xfId="0" applyNumberFormat="1" applyFont="1" applyBorder="1" applyAlignment="1">
      <alignment horizontal="right" vertical="center" wrapText="1"/>
    </xf>
    <xf numFmtId="1" fontId="32" fillId="5" borderId="72" xfId="0" applyNumberFormat="1" applyFont="1" applyFill="1" applyBorder="1" applyProtection="1">
      <protection locked="0"/>
    </xf>
    <xf numFmtId="1" fontId="32" fillId="4" borderId="61" xfId="0" applyNumberFormat="1" applyFont="1" applyFill="1" applyBorder="1"/>
    <xf numFmtId="1" fontId="32" fillId="5" borderId="1108" xfId="0" applyNumberFormat="1" applyFont="1" applyFill="1" applyBorder="1" applyProtection="1">
      <protection locked="0"/>
    </xf>
    <xf numFmtId="1" fontId="32" fillId="5" borderId="1095" xfId="0" applyNumberFormat="1" applyFont="1" applyFill="1" applyBorder="1" applyProtection="1">
      <protection locked="0"/>
    </xf>
    <xf numFmtId="1" fontId="32" fillId="5" borderId="1104" xfId="0" applyNumberFormat="1" applyFont="1" applyFill="1" applyBorder="1" applyProtection="1">
      <protection locked="0"/>
    </xf>
    <xf numFmtId="1" fontId="32" fillId="0" borderId="452" xfId="0" applyNumberFormat="1" applyFont="1" applyBorder="1" applyAlignment="1">
      <alignment vertical="center" wrapText="1"/>
    </xf>
    <xf numFmtId="1" fontId="32" fillId="0" borderId="452" xfId="0" applyNumberFormat="1" applyFont="1" applyBorder="1" applyAlignment="1">
      <alignment horizontal="right" vertical="center" wrapText="1"/>
    </xf>
    <xf numFmtId="1" fontId="32" fillId="5" borderId="1077" xfId="0" applyNumberFormat="1" applyFont="1" applyFill="1" applyBorder="1" applyProtection="1">
      <protection locked="0"/>
    </xf>
    <xf numFmtId="1" fontId="32" fillId="5" borderId="1184" xfId="0" applyNumberFormat="1" applyFont="1" applyFill="1" applyBorder="1" applyProtection="1">
      <protection locked="0"/>
    </xf>
    <xf numFmtId="1" fontId="32" fillId="5" borderId="1044" xfId="0" applyNumberFormat="1" applyFont="1" applyFill="1" applyBorder="1" applyProtection="1">
      <protection locked="0"/>
    </xf>
    <xf numFmtId="1" fontId="32" fillId="0" borderId="37" xfId="0" applyNumberFormat="1" applyFont="1" applyBorder="1" applyAlignment="1">
      <alignment vertical="center" wrapText="1"/>
    </xf>
    <xf numFmtId="1" fontId="32" fillId="0" borderId="24" xfId="0" applyNumberFormat="1" applyFont="1" applyBorder="1" applyAlignment="1">
      <alignment vertical="center" wrapText="1"/>
    </xf>
    <xf numFmtId="1" fontId="32" fillId="0" borderId="24" xfId="0" applyNumberFormat="1" applyFont="1" applyBorder="1" applyAlignment="1">
      <alignment horizontal="right" vertical="center" wrapText="1"/>
    </xf>
    <xf numFmtId="1" fontId="32" fillId="5" borderId="20" xfId="0" applyNumberFormat="1" applyFont="1" applyFill="1" applyBorder="1" applyProtection="1">
      <protection locked="0"/>
    </xf>
    <xf numFmtId="1" fontId="32" fillId="5" borderId="45" xfId="0" applyNumberFormat="1" applyFont="1" applyFill="1" applyBorder="1" applyProtection="1">
      <protection locked="0"/>
    </xf>
    <xf numFmtId="1" fontId="32" fillId="5" borderId="57" xfId="0" applyNumberFormat="1" applyFont="1" applyFill="1" applyBorder="1" applyProtection="1">
      <protection locked="0"/>
    </xf>
    <xf numFmtId="1" fontId="32" fillId="4" borderId="23" xfId="0" applyNumberFormat="1" applyFont="1" applyFill="1" applyBorder="1"/>
    <xf numFmtId="1" fontId="32" fillId="5" borderId="485" xfId="0" applyNumberFormat="1" applyFont="1" applyFill="1" applyBorder="1" applyProtection="1">
      <protection locked="0"/>
    </xf>
    <xf numFmtId="1" fontId="32" fillId="5" borderId="1172" xfId="0" applyNumberFormat="1" applyFont="1" applyFill="1" applyBorder="1" applyProtection="1">
      <protection locked="0"/>
    </xf>
    <xf numFmtId="1" fontId="32" fillId="5" borderId="1173" xfId="0" applyNumberFormat="1" applyFont="1" applyFill="1" applyBorder="1" applyProtection="1">
      <protection locked="0"/>
    </xf>
    <xf numFmtId="1" fontId="32" fillId="5" borderId="1161" xfId="0" applyNumberFormat="1" applyFont="1" applyFill="1" applyBorder="1" applyProtection="1">
      <protection locked="0"/>
    </xf>
    <xf numFmtId="1" fontId="32" fillId="5" borderId="66" xfId="0" applyNumberFormat="1" applyFont="1" applyFill="1" applyBorder="1" applyProtection="1">
      <protection locked="0"/>
    </xf>
    <xf numFmtId="1" fontId="32" fillId="5" borderId="87" xfId="0" applyNumberFormat="1" applyFont="1" applyFill="1" applyBorder="1" applyProtection="1">
      <protection locked="0"/>
    </xf>
    <xf numFmtId="1" fontId="32" fillId="0" borderId="438" xfId="0" applyNumberFormat="1" applyFont="1" applyBorder="1" applyAlignment="1">
      <alignment horizontal="right"/>
    </xf>
    <xf numFmtId="1" fontId="32" fillId="0" borderId="439" xfId="0" applyNumberFormat="1" applyFont="1" applyBorder="1" applyAlignment="1">
      <alignment horizontal="right"/>
    </xf>
    <xf numFmtId="1" fontId="32" fillId="0" borderId="436" xfId="0" applyNumberFormat="1" applyFont="1" applyBorder="1" applyAlignment="1">
      <alignment horizontal="right"/>
    </xf>
    <xf numFmtId="1" fontId="32" fillId="0" borderId="454" xfId="0" applyNumberFormat="1" applyFont="1" applyBorder="1" applyAlignment="1">
      <alignment horizontal="right"/>
    </xf>
    <xf numFmtId="1" fontId="32" fillId="0" borderId="1163" xfId="0" applyNumberFormat="1" applyFont="1" applyBorder="1" applyAlignment="1">
      <alignment horizontal="right"/>
    </xf>
    <xf numFmtId="1" fontId="32" fillId="0" borderId="1147" xfId="0" applyNumberFormat="1" applyFont="1" applyBorder="1" applyAlignment="1">
      <alignment horizontal="right"/>
    </xf>
    <xf numFmtId="1" fontId="32" fillId="0" borderId="1096" xfId="0" applyNumberFormat="1" applyFont="1" applyBorder="1" applyAlignment="1">
      <alignment horizontal="right"/>
    </xf>
    <xf numFmtId="1" fontId="65" fillId="3" borderId="239" xfId="0" applyNumberFormat="1" applyFont="1" applyFill="1" applyBorder="1" applyAlignment="1">
      <alignment vertical="center"/>
    </xf>
    <xf numFmtId="1" fontId="32" fillId="3" borderId="239" xfId="0" applyNumberFormat="1" applyFont="1" applyFill="1" applyBorder="1" applyAlignment="1">
      <alignment horizontal="center"/>
    </xf>
    <xf numFmtId="1" fontId="78" fillId="3" borderId="239" xfId="0" applyNumberFormat="1" applyFont="1" applyFill="1" applyBorder="1"/>
    <xf numFmtId="1" fontId="79" fillId="3" borderId="175" xfId="0" applyNumberFormat="1" applyFont="1" applyFill="1" applyBorder="1"/>
    <xf numFmtId="1" fontId="79" fillId="3" borderId="0" xfId="0" applyNumberFormat="1" applyFont="1" applyFill="1"/>
    <xf numFmtId="1" fontId="32" fillId="0" borderId="1425" xfId="0" applyNumberFormat="1" applyFont="1" applyBorder="1" applyAlignment="1">
      <alignment horizontal="center" vertical="center" wrapText="1"/>
    </xf>
    <xf numFmtId="1" fontId="32" fillId="0" borderId="1434" xfId="0" applyNumberFormat="1" applyFont="1" applyBorder="1" applyAlignment="1">
      <alignment horizontal="center" vertical="center" wrapText="1"/>
    </xf>
    <xf numFmtId="1" fontId="32" fillId="0" borderId="1897" xfId="0" applyNumberFormat="1" applyFont="1" applyBorder="1" applyAlignment="1">
      <alignment horizontal="center" vertical="center" wrapText="1"/>
    </xf>
    <xf numFmtId="1" fontId="32" fillId="0" borderId="1446" xfId="0" applyNumberFormat="1" applyFont="1" applyBorder="1" applyAlignment="1">
      <alignment horizontal="center" vertical="center" wrapText="1"/>
    </xf>
    <xf numFmtId="1" fontId="32" fillId="3" borderId="1437" xfId="0" applyNumberFormat="1" applyFont="1" applyFill="1" applyBorder="1"/>
    <xf numFmtId="1" fontId="32" fillId="5" borderId="1435" xfId="0" applyNumberFormat="1" applyFont="1" applyFill="1" applyBorder="1" applyProtection="1">
      <protection locked="0"/>
    </xf>
    <xf numFmtId="1" fontId="32" fillId="5" borderId="1807" xfId="0" applyNumberFormat="1" applyFont="1" applyFill="1" applyBorder="1" applyProtection="1">
      <protection locked="0"/>
    </xf>
    <xf numFmtId="1" fontId="32" fillId="5" borderId="1872" xfId="0" applyNumberFormat="1" applyFont="1" applyFill="1" applyBorder="1" applyAlignment="1" applyProtection="1">
      <alignment horizontal="center" vertical="center"/>
      <protection locked="0"/>
    </xf>
    <xf numFmtId="1" fontId="32" fillId="5" borderId="1607" xfId="0" applyNumberFormat="1" applyFont="1" applyFill="1" applyBorder="1" applyAlignment="1" applyProtection="1">
      <alignment horizontal="center" vertical="center"/>
      <protection locked="0"/>
    </xf>
    <xf numFmtId="1" fontId="32" fillId="5" borderId="1441" xfId="0" applyNumberFormat="1" applyFont="1" applyFill="1" applyBorder="1" applyAlignment="1" applyProtection="1">
      <alignment horizontal="center" vertical="center"/>
      <protection locked="0"/>
    </xf>
    <xf numFmtId="1" fontId="32" fillId="3" borderId="1404" xfId="0" applyNumberFormat="1" applyFont="1" applyFill="1" applyBorder="1"/>
    <xf numFmtId="1" fontId="32" fillId="5" borderId="1661" xfId="0" applyNumberFormat="1" applyFont="1" applyFill="1" applyBorder="1" applyProtection="1">
      <protection locked="0"/>
    </xf>
    <xf numFmtId="1" fontId="32" fillId="5" borderId="1662" xfId="0" applyNumberFormat="1" applyFont="1" applyFill="1" applyBorder="1" applyProtection="1">
      <protection locked="0"/>
    </xf>
    <xf numFmtId="1" fontId="32" fillId="5" borderId="827" xfId="0" applyNumberFormat="1" applyFont="1" applyFill="1" applyBorder="1" applyProtection="1">
      <protection locked="0"/>
    </xf>
    <xf numFmtId="1" fontId="32" fillId="5" borderId="1612" xfId="0" applyNumberFormat="1" applyFont="1" applyFill="1" applyBorder="1" applyAlignment="1" applyProtection="1">
      <alignment horizontal="center" vertical="center"/>
      <protection locked="0"/>
    </xf>
    <xf numFmtId="1" fontId="32" fillId="5" borderId="1662" xfId="0" applyNumberFormat="1" applyFont="1" applyFill="1" applyBorder="1" applyAlignment="1" applyProtection="1">
      <alignment horizontal="center" vertical="center"/>
      <protection locked="0"/>
    </xf>
    <xf numFmtId="1" fontId="32" fillId="5" borderId="1611" xfId="0" applyNumberFormat="1" applyFont="1" applyFill="1" applyBorder="1" applyAlignment="1" applyProtection="1">
      <alignment horizontal="center" vertical="center"/>
      <protection locked="0"/>
    </xf>
    <xf numFmtId="1" fontId="32" fillId="5" borderId="1649" xfId="0" applyNumberFormat="1" applyFont="1" applyFill="1" applyBorder="1" applyProtection="1">
      <protection locked="0"/>
    </xf>
    <xf numFmtId="1" fontId="32" fillId="5" borderId="1650" xfId="0" applyNumberFormat="1" applyFont="1" applyFill="1" applyBorder="1" applyProtection="1">
      <protection locked="0"/>
    </xf>
    <xf numFmtId="1" fontId="32" fillId="5" borderId="1634" xfId="0" applyNumberFormat="1" applyFont="1" applyFill="1" applyBorder="1" applyAlignment="1" applyProtection="1">
      <alignment horizontal="center" vertical="center"/>
      <protection locked="0"/>
    </xf>
    <xf numFmtId="1" fontId="32" fillId="5" borderId="1650" xfId="0" applyNumberFormat="1" applyFont="1" applyFill="1" applyBorder="1" applyAlignment="1" applyProtection="1">
      <alignment horizontal="center" vertical="center"/>
      <protection locked="0"/>
    </xf>
    <xf numFmtId="1" fontId="32" fillId="5" borderId="1421" xfId="0" applyNumberFormat="1" applyFont="1" applyFill="1" applyBorder="1" applyAlignment="1" applyProtection="1">
      <alignment horizontal="center" vertical="center"/>
      <protection locked="0"/>
    </xf>
    <xf numFmtId="1" fontId="32" fillId="0" borderId="1675" xfId="0" applyNumberFormat="1" applyFont="1" applyBorder="1" applyAlignment="1">
      <alignment vertical="center" wrapText="1"/>
    </xf>
    <xf numFmtId="1" fontId="32" fillId="3" borderId="1675" xfId="0" applyNumberFormat="1" applyFont="1" applyFill="1" applyBorder="1"/>
    <xf numFmtId="1" fontId="32" fillId="5" borderId="1676" xfId="0" applyNumberFormat="1" applyFont="1" applyFill="1" applyBorder="1" applyProtection="1">
      <protection locked="0"/>
    </xf>
    <xf numFmtId="1" fontId="32" fillId="5" borderId="717" xfId="0" applyNumberFormat="1" applyFont="1" applyFill="1" applyBorder="1" applyAlignment="1" applyProtection="1">
      <alignment horizontal="center" vertical="center"/>
      <protection locked="0"/>
    </xf>
    <xf numFmtId="1" fontId="32" fillId="5" borderId="1676" xfId="0" applyNumberFormat="1" applyFont="1" applyFill="1" applyBorder="1" applyAlignment="1" applyProtection="1">
      <alignment horizontal="center" vertical="center"/>
      <protection locked="0"/>
    </xf>
    <xf numFmtId="1" fontId="32" fillId="5" borderId="1258" xfId="0" applyNumberFormat="1" applyFont="1" applyFill="1" applyBorder="1" applyAlignment="1" applyProtection="1">
      <alignment horizontal="center" vertical="center"/>
      <protection locked="0"/>
    </xf>
    <xf numFmtId="1" fontId="32" fillId="0" borderId="1675" xfId="0" applyNumberFormat="1" applyFont="1" applyBorder="1" applyAlignment="1">
      <alignment horizontal="left" vertical="center" wrapText="1"/>
    </xf>
    <xf numFmtId="1" fontId="32" fillId="3" borderId="1639" xfId="0" applyNumberFormat="1" applyFont="1" applyFill="1" applyBorder="1"/>
    <xf numFmtId="1" fontId="78" fillId="0" borderId="1675" xfId="0" applyNumberFormat="1" applyFont="1" applyBorder="1" applyAlignment="1">
      <alignment vertical="center" wrapText="1"/>
    </xf>
    <xf numFmtId="1" fontId="32" fillId="3" borderId="1657" xfId="0" applyNumberFormat="1" applyFont="1" applyFill="1" applyBorder="1"/>
    <xf numFmtId="1" fontId="32" fillId="5" borderId="1658" xfId="0" applyNumberFormat="1" applyFont="1" applyFill="1" applyBorder="1" applyProtection="1">
      <protection locked="0"/>
    </xf>
    <xf numFmtId="1" fontId="32" fillId="5" borderId="1810" xfId="0" applyNumberFormat="1" applyFont="1" applyFill="1" applyBorder="1" applyProtection="1">
      <protection locked="0"/>
    </xf>
    <xf numFmtId="1" fontId="32" fillId="5" borderId="1694" xfId="0" applyNumberFormat="1" applyFont="1" applyFill="1" applyBorder="1" applyAlignment="1" applyProtection="1">
      <alignment horizontal="center" vertical="center"/>
      <protection locked="0"/>
    </xf>
    <xf numFmtId="1" fontId="32" fillId="5" borderId="1406" xfId="0" applyNumberFormat="1" applyFont="1" applyFill="1" applyBorder="1" applyAlignment="1" applyProtection="1">
      <alignment horizontal="center" vertical="center"/>
      <protection locked="0"/>
    </xf>
    <xf numFmtId="1" fontId="79" fillId="14" borderId="175" xfId="0" applyNumberFormat="1" applyFont="1" applyFill="1" applyBorder="1"/>
    <xf numFmtId="1" fontId="80" fillId="14" borderId="175" xfId="0" applyNumberFormat="1" applyFont="1" applyFill="1" applyBorder="1"/>
    <xf numFmtId="1" fontId="78" fillId="14" borderId="0" xfId="0" applyNumberFormat="1" applyFont="1" applyFill="1"/>
    <xf numFmtId="1" fontId="32" fillId="0" borderId="438" xfId="0" applyNumberFormat="1" applyFont="1" applyBorder="1" applyAlignment="1">
      <alignment horizontal="center" vertical="center" wrapText="1"/>
    </xf>
    <xf numFmtId="1" fontId="32" fillId="0" borderId="436" xfId="0" applyNumberFormat="1" applyFont="1" applyBorder="1" applyAlignment="1">
      <alignment horizontal="center" vertical="center" wrapText="1"/>
    </xf>
    <xf numFmtId="1" fontId="32" fillId="0" borderId="435" xfId="0" applyNumberFormat="1" applyFont="1" applyBorder="1" applyAlignment="1">
      <alignment horizontal="center" vertical="center" wrapText="1"/>
    </xf>
    <xf numFmtId="1" fontId="32" fillId="3" borderId="446" xfId="0" applyNumberFormat="1" applyFont="1" applyFill="1" applyBorder="1"/>
    <xf numFmtId="1" fontId="32" fillId="5" borderId="442" xfId="0" applyNumberFormat="1" applyFont="1" applyFill="1" applyBorder="1" applyProtection="1">
      <protection locked="0"/>
    </xf>
    <xf numFmtId="1" fontId="32" fillId="5" borderId="446" xfId="0" applyNumberFormat="1" applyFont="1" applyFill="1" applyBorder="1" applyProtection="1">
      <protection locked="0"/>
    </xf>
    <xf numFmtId="1" fontId="32" fillId="5" borderId="483" xfId="0" applyNumberFormat="1" applyFont="1" applyFill="1" applyBorder="1" applyProtection="1">
      <protection locked="0"/>
    </xf>
    <xf numFmtId="1" fontId="32" fillId="5" borderId="452" xfId="0" applyNumberFormat="1" applyFont="1" applyFill="1" applyBorder="1" applyProtection="1">
      <protection locked="0"/>
    </xf>
    <xf numFmtId="1" fontId="32" fillId="3" borderId="40" xfId="0" applyNumberFormat="1" applyFont="1" applyFill="1" applyBorder="1"/>
    <xf numFmtId="1" fontId="32" fillId="5" borderId="36" xfId="0" applyNumberFormat="1" applyFont="1" applyFill="1" applyBorder="1" applyProtection="1">
      <protection locked="0"/>
    </xf>
    <xf numFmtId="1" fontId="32" fillId="5" borderId="40" xfId="0" applyNumberFormat="1" applyFont="1" applyFill="1" applyBorder="1" applyProtection="1">
      <protection locked="0"/>
    </xf>
    <xf numFmtId="1" fontId="32" fillId="5" borderId="79" xfId="0" applyNumberFormat="1" applyFont="1" applyFill="1" applyBorder="1" applyProtection="1">
      <protection locked="0"/>
    </xf>
    <xf numFmtId="1" fontId="32" fillId="5" borderId="37" xfId="0" applyNumberFormat="1" applyFont="1" applyFill="1" applyBorder="1" applyProtection="1">
      <protection locked="0"/>
    </xf>
    <xf numFmtId="1" fontId="32" fillId="3" borderId="1124" xfId="0" applyNumberFormat="1" applyFont="1" applyFill="1" applyBorder="1"/>
    <xf numFmtId="1" fontId="32" fillId="5" borderId="1114" xfId="0" applyNumberFormat="1" applyFont="1" applyFill="1" applyBorder="1" applyProtection="1">
      <protection locked="0"/>
    </xf>
    <xf numFmtId="1" fontId="32" fillId="5" borderId="1124" xfId="0" applyNumberFormat="1" applyFont="1" applyFill="1" applyBorder="1" applyProtection="1">
      <protection locked="0"/>
    </xf>
    <xf numFmtId="1" fontId="32" fillId="3" borderId="23" xfId="0" applyNumberFormat="1" applyFont="1" applyFill="1" applyBorder="1"/>
    <xf numFmtId="1" fontId="32" fillId="5" borderId="22" xfId="0" applyNumberFormat="1" applyFont="1" applyFill="1" applyBorder="1" applyProtection="1">
      <protection locked="0"/>
    </xf>
    <xf numFmtId="1" fontId="32" fillId="5" borderId="23" xfId="0" applyNumberFormat="1" applyFont="1" applyFill="1" applyBorder="1" applyProtection="1">
      <protection locked="0"/>
    </xf>
    <xf numFmtId="1" fontId="32" fillId="5" borderId="86" xfId="0" applyNumberFormat="1" applyFont="1" applyFill="1" applyBorder="1" applyProtection="1">
      <protection locked="0"/>
    </xf>
    <xf numFmtId="1" fontId="32" fillId="5" borderId="24" xfId="0" applyNumberFormat="1" applyFont="1" applyFill="1" applyBorder="1" applyProtection="1">
      <protection locked="0"/>
    </xf>
    <xf numFmtId="1" fontId="64" fillId="0" borderId="0" xfId="0" applyNumberFormat="1" applyFont="1"/>
    <xf numFmtId="1" fontId="76" fillId="0" borderId="0" xfId="0" applyNumberFormat="1" applyFont="1"/>
    <xf numFmtId="1" fontId="79" fillId="3" borderId="0" xfId="0" applyNumberFormat="1" applyFont="1" applyFill="1" applyProtection="1">
      <protection hidden="1"/>
    </xf>
    <xf numFmtId="1" fontId="32" fillId="0" borderId="450" xfId="0" applyNumberFormat="1" applyFont="1" applyBorder="1" applyAlignment="1">
      <alignment horizontal="center" vertical="center" wrapText="1"/>
    </xf>
    <xf numFmtId="1" fontId="32" fillId="0" borderId="240" xfId="0" applyNumberFormat="1" applyFont="1" applyBorder="1"/>
    <xf numFmtId="1" fontId="32" fillId="0" borderId="452" xfId="0" applyNumberFormat="1" applyFont="1" applyBorder="1"/>
    <xf numFmtId="1" fontId="32" fillId="5" borderId="463" xfId="0" applyNumberFormat="1" applyFont="1" applyFill="1" applyBorder="1" applyProtection="1">
      <protection locked="0"/>
    </xf>
    <xf numFmtId="1" fontId="32" fillId="5" borderId="444" xfId="0" applyNumberFormat="1" applyFont="1" applyFill="1" applyBorder="1" applyProtection="1">
      <protection locked="0"/>
    </xf>
    <xf numFmtId="1" fontId="32" fillId="0" borderId="24" xfId="0" applyNumberFormat="1" applyFont="1" applyBorder="1" applyAlignment="1" applyProtection="1">
      <alignment vertical="center" wrapText="1"/>
      <protection hidden="1"/>
    </xf>
    <xf numFmtId="1" fontId="32" fillId="0" borderId="236" xfId="0" applyNumberFormat="1" applyFont="1" applyBorder="1"/>
    <xf numFmtId="1" fontId="32" fillId="5" borderId="21" xfId="0" applyNumberFormat="1" applyFont="1" applyFill="1" applyBorder="1" applyProtection="1">
      <protection locked="0"/>
    </xf>
    <xf numFmtId="1" fontId="32" fillId="0" borderId="449" xfId="0" applyNumberFormat="1" applyFont="1" applyBorder="1" applyAlignment="1">
      <alignment wrapText="1"/>
    </xf>
    <xf numFmtId="1" fontId="32" fillId="5" borderId="440" xfId="0" applyNumberFormat="1" applyFont="1" applyFill="1" applyBorder="1" applyProtection="1">
      <protection locked="0"/>
    </xf>
    <xf numFmtId="164" fontId="64" fillId="14" borderId="342" xfId="32" applyNumberFormat="1" applyFont="1" applyFill="1" applyBorder="1" applyAlignment="1" applyProtection="1"/>
    <xf numFmtId="164" fontId="71" fillId="14" borderId="0" xfId="32" applyNumberFormat="1" applyFont="1" applyFill="1" applyProtection="1"/>
    <xf numFmtId="164" fontId="32" fillId="14" borderId="908" xfId="32" applyNumberFormat="1" applyFont="1" applyFill="1" applyBorder="1" applyAlignment="1" applyProtection="1">
      <alignment horizontal="center" vertical="center" wrapText="1"/>
    </xf>
    <xf numFmtId="164" fontId="32" fillId="14" borderId="898" xfId="32" applyNumberFormat="1" applyFont="1" applyFill="1" applyBorder="1" applyAlignment="1" applyProtection="1">
      <alignment vertical="center" wrapText="1"/>
    </xf>
    <xf numFmtId="164" fontId="32" fillId="14" borderId="613" xfId="32" applyNumberFormat="1" applyFont="1" applyFill="1" applyBorder="1" applyAlignment="1" applyProtection="1">
      <alignment horizontal="left" vertical="center" wrapText="1"/>
    </xf>
    <xf numFmtId="164" fontId="32" fillId="14" borderId="923" xfId="32" applyNumberFormat="1" applyFont="1" applyFill="1" applyBorder="1" applyAlignment="1" applyProtection="1">
      <alignment vertical="center" wrapText="1"/>
    </xf>
    <xf numFmtId="164" fontId="32" fillId="14" borderId="907" xfId="32" applyNumberFormat="1" applyFont="1" applyFill="1" applyBorder="1" applyAlignment="1" applyProtection="1">
      <alignment vertical="center" wrapText="1"/>
    </xf>
    <xf numFmtId="166" fontId="32" fillId="14" borderId="908" xfId="34" applyNumberFormat="1" applyFont="1" applyFill="1" applyBorder="1" applyAlignment="1" applyProtection="1">
      <alignment horizontal="center"/>
    </xf>
    <xf numFmtId="166" fontId="32" fillId="14" borderId="909" xfId="34" applyNumberFormat="1" applyFont="1" applyFill="1" applyBorder="1" applyProtection="1"/>
    <xf numFmtId="166" fontId="32" fillId="14" borderId="911" xfId="34" applyNumberFormat="1" applyFont="1" applyFill="1" applyBorder="1" applyProtection="1"/>
    <xf numFmtId="166" fontId="32" fillId="14" borderId="910" xfId="34" applyNumberFormat="1" applyFont="1" applyFill="1" applyBorder="1" applyProtection="1"/>
    <xf numFmtId="166" fontId="32" fillId="14" borderId="913" xfId="34" applyNumberFormat="1" applyFont="1" applyFill="1" applyBorder="1" applyProtection="1"/>
    <xf numFmtId="166" fontId="32" fillId="14" borderId="908" xfId="34" applyNumberFormat="1" applyFont="1" applyFill="1" applyBorder="1" applyProtection="1"/>
    <xf numFmtId="1" fontId="76" fillId="13" borderId="0" xfId="0" applyNumberFormat="1" applyFont="1" applyFill="1"/>
    <xf numFmtId="1" fontId="76" fillId="13" borderId="0" xfId="0" applyNumberFormat="1" applyFont="1" applyFill="1" applyProtection="1">
      <protection locked="0"/>
    </xf>
    <xf numFmtId="1" fontId="32" fillId="3" borderId="1720" xfId="0" applyNumberFormat="1" applyFont="1" applyFill="1" applyBorder="1"/>
    <xf numFmtId="1" fontId="32" fillId="3" borderId="725" xfId="0" applyNumberFormat="1" applyFont="1" applyFill="1" applyBorder="1"/>
    <xf numFmtId="1" fontId="6" fillId="0" borderId="378" xfId="0" applyNumberFormat="1" applyFont="1" applyBorder="1"/>
    <xf numFmtId="1" fontId="6" fillId="5" borderId="2221" xfId="0" applyNumberFormat="1" applyFont="1" applyFill="1" applyBorder="1" applyProtection="1">
      <protection locked="0"/>
    </xf>
    <xf numFmtId="1" fontId="6" fillId="5" borderId="2206" xfId="0" applyNumberFormat="1" applyFont="1" applyFill="1" applyBorder="1" applyProtection="1">
      <protection locked="0"/>
    </xf>
    <xf numFmtId="1" fontId="6" fillId="0" borderId="1692" xfId="0" applyNumberFormat="1" applyFont="1" applyBorder="1"/>
    <xf numFmtId="1" fontId="6" fillId="0" borderId="2214" xfId="0" applyNumberFormat="1" applyFont="1" applyBorder="1"/>
    <xf numFmtId="1" fontId="6" fillId="2" borderId="1495" xfId="26" applyNumberFormat="1" applyFont="1" applyBorder="1" applyProtection="1">
      <protection locked="0"/>
    </xf>
    <xf numFmtId="1" fontId="6" fillId="0" borderId="2249" xfId="6" applyNumberFormat="1" applyFont="1" applyBorder="1" applyAlignment="1">
      <alignment horizontal="right" wrapText="1"/>
    </xf>
    <xf numFmtId="1" fontId="6" fillId="0" borderId="1793" xfId="6" applyNumberFormat="1" applyFont="1" applyBorder="1" applyAlignment="1">
      <alignment horizontal="right" wrapText="1"/>
    </xf>
    <xf numFmtId="1" fontId="6" fillId="0" borderId="1853" xfId="6" applyNumberFormat="1" applyFont="1" applyBorder="1" applyAlignment="1">
      <alignment horizontal="right" wrapText="1"/>
    </xf>
    <xf numFmtId="1" fontId="6" fillId="0" borderId="1861" xfId="6" applyNumberFormat="1" applyFont="1" applyBorder="1" applyAlignment="1">
      <alignment horizontal="right" wrapText="1"/>
    </xf>
    <xf numFmtId="1" fontId="6" fillId="0" borderId="1855" xfId="6" applyNumberFormat="1" applyFont="1" applyBorder="1" applyAlignment="1">
      <alignment horizontal="right" wrapText="1"/>
    </xf>
    <xf numFmtId="1" fontId="6" fillId="0" borderId="1863" xfId="6" applyNumberFormat="1" applyFont="1" applyBorder="1" applyAlignment="1">
      <alignment horizontal="right" wrapText="1"/>
    </xf>
    <xf numFmtId="1" fontId="6" fillId="0" borderId="2251" xfId="6" applyNumberFormat="1" applyFont="1" applyBorder="1" applyAlignment="1">
      <alignment horizontal="right" wrapText="1"/>
    </xf>
    <xf numFmtId="1" fontId="6" fillId="0" borderId="2250" xfId="6" applyNumberFormat="1" applyFont="1" applyBorder="1" applyAlignment="1">
      <alignment horizontal="right" wrapText="1"/>
    </xf>
    <xf numFmtId="1" fontId="6" fillId="0" borderId="2215" xfId="0" applyNumberFormat="1" applyFont="1" applyBorder="1"/>
    <xf numFmtId="1" fontId="6" fillId="0" borderId="1001" xfId="0" applyNumberFormat="1" applyFont="1" applyBorder="1" applyAlignment="1">
      <alignment horizontal="center" vertical="center" wrapText="1"/>
    </xf>
    <xf numFmtId="1" fontId="6" fillId="0" borderId="363" xfId="0" applyNumberFormat="1" applyFont="1" applyBorder="1" applyAlignment="1">
      <alignment horizontal="center" vertical="center"/>
    </xf>
    <xf numFmtId="1" fontId="6" fillId="0" borderId="2184" xfId="0" applyNumberFormat="1" applyFont="1" applyBorder="1" applyAlignment="1">
      <alignment horizontal="center" vertical="center" wrapText="1"/>
    </xf>
    <xf numFmtId="1" fontId="6" fillId="0" borderId="2160" xfId="0" applyNumberFormat="1" applyFont="1" applyBorder="1" applyAlignment="1">
      <alignment horizontal="center" vertical="center"/>
    </xf>
    <xf numFmtId="1" fontId="6" fillId="0" borderId="2184" xfId="0" applyNumberFormat="1" applyFont="1" applyBorder="1" applyAlignment="1">
      <alignment horizontal="center" vertical="center"/>
    </xf>
    <xf numFmtId="1" fontId="6" fillId="0" borderId="1421" xfId="0" applyNumberFormat="1" applyFont="1" applyBorder="1" applyAlignment="1">
      <alignment horizontal="center" vertical="center" wrapText="1"/>
    </xf>
    <xf numFmtId="0" fontId="38" fillId="0" borderId="377" xfId="0" applyFont="1" applyBorder="1"/>
    <xf numFmtId="1" fontId="6" fillId="0" borderId="1838" xfId="0" applyNumberFormat="1" applyFont="1" applyBorder="1" applyAlignment="1">
      <alignment horizontal="center" vertical="center" wrapText="1"/>
    </xf>
    <xf numFmtId="1" fontId="6" fillId="3" borderId="1677" xfId="0" applyNumberFormat="1" applyFont="1" applyFill="1" applyBorder="1" applyAlignment="1">
      <alignment horizontal="center" vertical="center" wrapText="1"/>
    </xf>
    <xf numFmtId="1" fontId="32" fillId="0" borderId="223" xfId="0" applyNumberFormat="1" applyFont="1" applyBorder="1" applyAlignment="1" applyProtection="1">
      <alignment horizontal="center" vertical="center" wrapText="1"/>
      <protection hidden="1"/>
    </xf>
    <xf numFmtId="1" fontId="32" fillId="0" borderId="223" xfId="0" applyNumberFormat="1" applyFont="1" applyBorder="1" applyAlignment="1">
      <alignment horizontal="center" vertical="center" wrapText="1"/>
    </xf>
    <xf numFmtId="1" fontId="32" fillId="0" borderId="175" xfId="0" applyNumberFormat="1" applyFont="1" applyBorder="1" applyAlignment="1">
      <alignment horizontal="center" vertical="center"/>
    </xf>
    <xf numFmtId="1" fontId="32" fillId="0" borderId="242" xfId="0" applyNumberFormat="1" applyFont="1" applyBorder="1" applyAlignment="1">
      <alignment horizontal="center" vertical="center" wrapText="1"/>
    </xf>
    <xf numFmtId="1" fontId="32" fillId="0" borderId="177" xfId="0" applyNumberFormat="1" applyFont="1" applyBorder="1" applyAlignment="1">
      <alignment horizontal="center" vertical="center"/>
    </xf>
    <xf numFmtId="1" fontId="32" fillId="0" borderId="454" xfId="0" applyNumberFormat="1" applyFont="1" applyBorder="1" applyAlignment="1">
      <alignment horizontal="center" vertical="center"/>
    </xf>
    <xf numFmtId="1" fontId="32" fillId="0" borderId="40" xfId="0" applyNumberFormat="1" applyFont="1" applyBorder="1" applyAlignment="1">
      <alignment horizontal="left" vertical="center" wrapText="1"/>
    </xf>
    <xf numFmtId="1" fontId="32" fillId="0" borderId="2082" xfId="0" applyNumberFormat="1" applyFont="1" applyBorder="1" applyAlignment="1">
      <alignment horizontal="center" vertical="center"/>
    </xf>
    <xf numFmtId="1" fontId="32" fillId="0" borderId="2113" xfId="0" applyNumberFormat="1" applyFont="1" applyBorder="1" applyAlignment="1">
      <alignment horizontal="center" vertical="center"/>
    </xf>
    <xf numFmtId="1" fontId="32" fillId="3" borderId="2113" xfId="0" applyNumberFormat="1" applyFont="1" applyFill="1" applyBorder="1" applyAlignment="1">
      <alignment horizontal="center" vertical="center"/>
    </xf>
    <xf numFmtId="1" fontId="32" fillId="3" borderId="2109" xfId="0" applyNumberFormat="1" applyFont="1" applyFill="1" applyBorder="1" applyAlignment="1">
      <alignment horizontal="center" vertical="center"/>
    </xf>
    <xf numFmtId="1" fontId="32" fillId="0" borderId="2110" xfId="0" applyNumberFormat="1" applyFont="1" applyBorder="1" applyAlignment="1">
      <alignment horizontal="center" vertical="center"/>
    </xf>
    <xf numFmtId="1" fontId="6" fillId="0" borderId="2244" xfId="0" applyNumberFormat="1" applyFont="1" applyBorder="1" applyAlignment="1">
      <alignment horizontal="left" vertical="center"/>
    </xf>
    <xf numFmtId="1" fontId="32" fillId="0" borderId="537" xfId="0" applyNumberFormat="1" applyFont="1" applyBorder="1" applyAlignment="1">
      <alignment horizontal="center" vertical="center" wrapText="1"/>
    </xf>
    <xf numFmtId="1" fontId="32" fillId="0" borderId="510" xfId="0" applyNumberFormat="1" applyFont="1" applyBorder="1" applyAlignment="1">
      <alignment horizontal="center" vertical="center"/>
    </xf>
    <xf numFmtId="1" fontId="32" fillId="0" borderId="725" xfId="0" applyNumberFormat="1" applyFont="1" applyBorder="1" applyAlignment="1">
      <alignment horizontal="center" vertical="center"/>
    </xf>
    <xf numFmtId="0" fontId="6" fillId="0" borderId="1554" xfId="0" applyFont="1" applyBorder="1" applyAlignment="1">
      <alignment horizontal="center" vertical="center" wrapText="1"/>
    </xf>
    <xf numFmtId="1" fontId="6" fillId="12" borderId="1500" xfId="0" applyNumberFormat="1" applyFont="1" applyFill="1" applyBorder="1"/>
    <xf numFmtId="1" fontId="6" fillId="0" borderId="1827" xfId="0" applyNumberFormat="1" applyFont="1" applyBorder="1" applyAlignment="1">
      <alignment horizontal="left"/>
    </xf>
    <xf numFmtId="1" fontId="6" fillId="3" borderId="2259" xfId="14" applyNumberFormat="1" applyFont="1" applyFill="1" applyBorder="1" applyAlignment="1">
      <alignment horizontal="right"/>
    </xf>
    <xf numFmtId="1" fontId="6" fillId="0" borderId="1497" xfId="0" applyNumberFormat="1" applyFont="1" applyBorder="1" applyAlignment="1">
      <alignment horizontal="left"/>
    </xf>
    <xf numFmtId="1" fontId="6" fillId="3" borderId="1497" xfId="14" applyNumberFormat="1" applyFont="1" applyFill="1" applyBorder="1" applyAlignment="1">
      <alignment horizontal="right"/>
    </xf>
    <xf numFmtId="1" fontId="6" fillId="3" borderId="1510" xfId="14" applyNumberFormat="1" applyFont="1" applyFill="1" applyBorder="1" applyAlignment="1">
      <alignment horizontal="right"/>
    </xf>
    <xf numFmtId="1" fontId="6" fillId="3" borderId="1501" xfId="14" applyNumberFormat="1" applyFont="1" applyFill="1" applyBorder="1" applyAlignment="1">
      <alignment horizontal="right"/>
    </xf>
    <xf numFmtId="1" fontId="6" fillId="5" borderId="2260" xfId="0" applyNumberFormat="1" applyFont="1" applyFill="1" applyBorder="1" applyProtection="1">
      <protection locked="0"/>
    </xf>
    <xf numFmtId="1" fontId="6" fillId="5" borderId="2261" xfId="0" applyNumberFormat="1" applyFont="1" applyFill="1" applyBorder="1" applyProtection="1">
      <protection locked="0"/>
    </xf>
    <xf numFmtId="1" fontId="6" fillId="5" borderId="2262" xfId="0" applyNumberFormat="1" applyFont="1" applyFill="1" applyBorder="1" applyProtection="1">
      <protection locked="0"/>
    </xf>
    <xf numFmtId="1" fontId="6" fillId="0" borderId="2263" xfId="0" applyNumberFormat="1" applyFont="1" applyBorder="1" applyAlignment="1">
      <alignment horizontal="center" vertical="center"/>
    </xf>
    <xf numFmtId="1" fontId="6" fillId="0" borderId="2255" xfId="0" applyNumberFormat="1" applyFont="1" applyBorder="1" applyAlignment="1">
      <alignment horizontal="center" vertical="center" wrapText="1"/>
    </xf>
    <xf numFmtId="1" fontId="6" fillId="0" borderId="2241" xfId="0" applyNumberFormat="1" applyFont="1" applyBorder="1" applyAlignment="1">
      <alignment horizontal="center" vertical="center" wrapText="1"/>
    </xf>
    <xf numFmtId="1" fontId="6" fillId="0" borderId="2221" xfId="0" applyNumberFormat="1" applyFont="1" applyBorder="1"/>
    <xf numFmtId="1" fontId="6" fillId="0" borderId="2266" xfId="0" applyNumberFormat="1" applyFont="1" applyBorder="1"/>
    <xf numFmtId="1" fontId="6" fillId="0" borderId="2267" xfId="0" applyNumberFormat="1" applyFont="1" applyBorder="1"/>
    <xf numFmtId="1" fontId="6" fillId="5" borderId="2220" xfId="0" applyNumberFormat="1" applyFont="1" applyFill="1" applyBorder="1" applyProtection="1">
      <protection locked="0"/>
    </xf>
    <xf numFmtId="1" fontId="6" fillId="5" borderId="2268" xfId="0" applyNumberFormat="1" applyFont="1" applyFill="1" applyBorder="1" applyProtection="1">
      <protection locked="0"/>
    </xf>
    <xf numFmtId="1" fontId="6" fillId="5" borderId="2269" xfId="0" applyNumberFormat="1" applyFont="1" applyFill="1" applyBorder="1" applyProtection="1">
      <protection locked="0"/>
    </xf>
    <xf numFmtId="1" fontId="6" fillId="0" borderId="1676" xfId="0" applyNumberFormat="1" applyFont="1" applyBorder="1"/>
    <xf numFmtId="1" fontId="6" fillId="0" borderId="1500" xfId="0" applyNumberFormat="1" applyFont="1" applyBorder="1"/>
    <xf numFmtId="1" fontId="11" fillId="3" borderId="2254" xfId="0" applyNumberFormat="1" applyFont="1" applyFill="1" applyBorder="1" applyAlignment="1">
      <alignment vertical="top"/>
    </xf>
    <xf numFmtId="1" fontId="6" fillId="0" borderId="2215" xfId="0" applyNumberFormat="1" applyFont="1" applyBorder="1" applyAlignment="1">
      <alignment horizontal="center" vertical="center" wrapText="1"/>
    </xf>
    <xf numFmtId="1" fontId="6" fillId="0" borderId="2263" xfId="0" applyNumberFormat="1" applyFont="1" applyBorder="1" applyAlignment="1">
      <alignment horizontal="center" vertical="center" wrapText="1"/>
    </xf>
    <xf numFmtId="1" fontId="6" fillId="0" borderId="2254" xfId="0" applyNumberFormat="1" applyFont="1" applyBorder="1" applyAlignment="1">
      <alignment horizontal="center" vertical="center" wrapText="1"/>
    </xf>
    <xf numFmtId="1" fontId="6" fillId="0" borderId="2220" xfId="0" applyNumberFormat="1" applyFont="1" applyBorder="1"/>
    <xf numFmtId="1" fontId="6" fillId="5" borderId="2267" xfId="0" applyNumberFormat="1" applyFont="1" applyFill="1" applyBorder="1" applyProtection="1">
      <protection locked="0"/>
    </xf>
    <xf numFmtId="1" fontId="6" fillId="5" borderId="2264" xfId="0" applyNumberFormat="1" applyFont="1" applyFill="1" applyBorder="1" applyProtection="1">
      <protection locked="0"/>
    </xf>
    <xf numFmtId="1" fontId="6" fillId="5" borderId="2270" xfId="0" applyNumberFormat="1" applyFont="1" applyFill="1" applyBorder="1" applyProtection="1">
      <protection locked="0"/>
    </xf>
    <xf numFmtId="1" fontId="11" fillId="5" borderId="2219" xfId="0" applyNumberFormat="1" applyFont="1" applyFill="1" applyBorder="1" applyProtection="1">
      <protection locked="0"/>
    </xf>
    <xf numFmtId="1" fontId="11" fillId="5" borderId="2225" xfId="0" applyNumberFormat="1" applyFont="1" applyFill="1" applyBorder="1" applyProtection="1">
      <protection locked="0"/>
    </xf>
    <xf numFmtId="1" fontId="6" fillId="0" borderId="1498" xfId="0" applyNumberFormat="1" applyFont="1" applyBorder="1"/>
    <xf numFmtId="1" fontId="11" fillId="5" borderId="1501" xfId="0" applyNumberFormat="1" applyFont="1" applyFill="1" applyBorder="1" applyProtection="1">
      <protection locked="0"/>
    </xf>
    <xf numFmtId="1" fontId="11" fillId="5" borderId="1497" xfId="0" applyNumberFormat="1" applyFont="1" applyFill="1" applyBorder="1" applyProtection="1">
      <protection locked="0"/>
    </xf>
    <xf numFmtId="1" fontId="6" fillId="3" borderId="1498" xfId="0" applyNumberFormat="1" applyFont="1" applyFill="1" applyBorder="1"/>
    <xf numFmtId="1" fontId="6" fillId="0" borderId="2255" xfId="0" applyNumberFormat="1" applyFont="1" applyBorder="1"/>
    <xf numFmtId="1" fontId="6" fillId="0" borderId="2263" xfId="0" applyNumberFormat="1" applyFont="1" applyBorder="1"/>
    <xf numFmtId="1" fontId="6" fillId="0" borderId="2254" xfId="0" applyNumberFormat="1" applyFont="1" applyBorder="1"/>
    <xf numFmtId="1" fontId="6" fillId="0" borderId="2241" xfId="0" applyNumberFormat="1" applyFont="1" applyBorder="1"/>
    <xf numFmtId="1" fontId="6" fillId="0" borderId="2224" xfId="0" applyNumberFormat="1" applyFont="1" applyBorder="1"/>
    <xf numFmtId="1" fontId="6" fillId="0" borderId="2255" xfId="0" applyNumberFormat="1" applyFont="1" applyBorder="1" applyAlignment="1">
      <alignment horizontal="center" vertical="center"/>
    </xf>
    <xf numFmtId="1" fontId="6" fillId="0" borderId="2253" xfId="0" applyNumberFormat="1" applyFont="1" applyBorder="1" applyAlignment="1">
      <alignment horizontal="center" vertical="center" wrapText="1"/>
    </xf>
    <xf numFmtId="1" fontId="6" fillId="0" borderId="2220" xfId="0" applyNumberFormat="1" applyFont="1" applyBorder="1" applyAlignment="1">
      <alignment horizontal="center" vertical="center" wrapText="1"/>
    </xf>
    <xf numFmtId="1" fontId="6" fillId="0" borderId="2266" xfId="0" applyNumberFormat="1" applyFont="1" applyBorder="1" applyAlignment="1">
      <alignment horizontal="center" vertical="center" wrapText="1"/>
    </xf>
    <xf numFmtId="1" fontId="6" fillId="0" borderId="2219" xfId="0" applyNumberFormat="1" applyFont="1" applyBorder="1" applyAlignment="1">
      <alignment horizontal="center" vertical="center" wrapText="1"/>
    </xf>
    <xf numFmtId="1" fontId="6" fillId="5" borderId="2220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67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2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18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65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70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19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1584" xfId="0" applyNumberFormat="1" applyFont="1" applyFill="1" applyBorder="1"/>
    <xf numFmtId="1" fontId="6" fillId="4" borderId="2117" xfId="0" applyNumberFormat="1" applyFont="1" applyFill="1" applyBorder="1"/>
    <xf numFmtId="1" fontId="6" fillId="0" borderId="1498" xfId="0" applyNumberFormat="1" applyFont="1" applyBorder="1" applyAlignment="1">
      <alignment horizontal="center" vertical="center" wrapText="1"/>
    </xf>
    <xf numFmtId="1" fontId="6" fillId="0" borderId="1676" xfId="0" applyNumberFormat="1" applyFont="1" applyBorder="1" applyAlignment="1">
      <alignment horizontal="center" vertical="center" wrapText="1"/>
    </xf>
    <xf numFmtId="1" fontId="6" fillId="0" borderId="1501" xfId="0" applyNumberFormat="1" applyFont="1" applyBorder="1" applyAlignment="1">
      <alignment horizontal="center" vertical="center" wrapText="1"/>
    </xf>
    <xf numFmtId="1" fontId="6" fillId="5" borderId="1498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510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584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117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50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844" xfId="0" applyNumberFormat="1" applyFont="1" applyBorder="1" applyAlignment="1">
      <alignment horizontal="center" vertical="center" wrapText="1"/>
    </xf>
    <xf numFmtId="1" fontId="6" fillId="0" borderId="1845" xfId="0" applyNumberFormat="1" applyFont="1" applyBorder="1" applyAlignment="1">
      <alignment horizontal="center" vertical="center" wrapText="1"/>
    </xf>
    <xf numFmtId="1" fontId="6" fillId="0" borderId="1846" xfId="0" applyNumberFormat="1" applyFont="1" applyBorder="1" applyAlignment="1">
      <alignment horizontal="center" vertical="center" wrapText="1"/>
    </xf>
    <xf numFmtId="1" fontId="6" fillId="4" borderId="1844" xfId="0" applyNumberFormat="1" applyFont="1" applyFill="1" applyBorder="1"/>
    <xf numFmtId="1" fontId="6" fillId="4" borderId="1846" xfId="0" applyNumberFormat="1" applyFont="1" applyFill="1" applyBorder="1"/>
    <xf numFmtId="1" fontId="6" fillId="5" borderId="1836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508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834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2214" xfId="0" applyNumberFormat="1" applyFont="1" applyFill="1" applyBorder="1"/>
    <xf numFmtId="1" fontId="6" fillId="4" borderId="2255" xfId="0" applyNumberFormat="1" applyFont="1" applyFill="1" applyBorder="1"/>
    <xf numFmtId="1" fontId="6" fillId="0" borderId="2272" xfId="0" applyNumberFormat="1" applyFont="1" applyBorder="1" applyAlignment="1">
      <alignment horizontal="center" vertical="center" wrapText="1"/>
    </xf>
    <xf numFmtId="1" fontId="6" fillId="0" borderId="2224" xfId="0" applyNumberFormat="1" applyFont="1" applyBorder="1" applyAlignment="1">
      <alignment horizontal="center" vertical="center" wrapText="1"/>
    </xf>
    <xf numFmtId="1" fontId="6" fillId="5" borderId="2214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55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54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16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53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63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72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134" xfId="0" applyNumberFormat="1" applyFont="1" applyFill="1" applyBorder="1" applyAlignment="1" applyProtection="1">
      <alignment horizontal="center" vertical="center" wrapText="1"/>
      <protection locked="0"/>
    </xf>
    <xf numFmtId="1" fontId="6" fillId="3" borderId="2244" xfId="0" applyNumberFormat="1" applyFont="1" applyFill="1" applyBorder="1" applyAlignment="1">
      <alignment horizontal="center" vertical="center" wrapText="1"/>
    </xf>
    <xf numFmtId="1" fontId="6" fillId="5" borderId="2243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497" xfId="0" applyNumberFormat="1" applyFont="1" applyBorder="1" applyAlignment="1">
      <alignment horizontal="center" vertical="center" wrapText="1"/>
    </xf>
    <xf numFmtId="1" fontId="6" fillId="5" borderId="1502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499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827" xfId="0" applyNumberFormat="1" applyFont="1" applyBorder="1" applyAlignment="1">
      <alignment horizontal="center" vertical="center" wrapText="1"/>
    </xf>
    <xf numFmtId="1" fontId="6" fillId="5" borderId="1844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846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836" xfId="0" applyNumberFormat="1" applyFont="1" applyBorder="1" applyAlignment="1">
      <alignment horizontal="center" vertical="center" wrapText="1"/>
    </xf>
    <xf numFmtId="1" fontId="6" fillId="3" borderId="1500" xfId="0" applyNumberFormat="1" applyFont="1" applyFill="1" applyBorder="1" applyAlignment="1">
      <alignment horizontal="center" vertical="center" wrapText="1"/>
    </xf>
    <xf numFmtId="1" fontId="6" fillId="0" borderId="1834" xfId="0" applyNumberFormat="1" applyFont="1" applyBorder="1" applyAlignment="1">
      <alignment horizontal="center" vertical="center" wrapText="1"/>
    </xf>
    <xf numFmtId="1" fontId="6" fillId="5" borderId="1843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833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2244" xfId="0" applyNumberFormat="1" applyFont="1" applyBorder="1" applyAlignment="1">
      <alignment horizontal="center" vertical="center" wrapText="1"/>
    </xf>
    <xf numFmtId="1" fontId="6" fillId="3" borderId="2266" xfId="0" applyNumberFormat="1" applyFont="1" applyFill="1" applyBorder="1" applyAlignment="1">
      <alignment horizontal="center" vertical="center" wrapText="1"/>
    </xf>
    <xf numFmtId="1" fontId="6" fillId="0" borderId="2267" xfId="0" applyNumberFormat="1" applyFont="1" applyBorder="1" applyAlignment="1">
      <alignment horizontal="center" vertical="center" wrapText="1"/>
    </xf>
    <xf numFmtId="1" fontId="6" fillId="5" borderId="2225" xfId="0" applyNumberFormat="1" applyFont="1" applyFill="1" applyBorder="1" applyAlignment="1" applyProtection="1">
      <alignment horizontal="center" vertical="center" wrapText="1"/>
      <protection locked="0"/>
    </xf>
    <xf numFmtId="1" fontId="6" fillId="3" borderId="1676" xfId="0" applyNumberFormat="1" applyFont="1" applyFill="1" applyBorder="1" applyAlignment="1">
      <alignment horizontal="center" vertical="center" wrapText="1"/>
    </xf>
    <xf numFmtId="1" fontId="6" fillId="5" borderId="1497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838" xfId="0" applyNumberFormat="1" applyFont="1" applyFill="1" applyBorder="1" applyAlignment="1" applyProtection="1">
      <alignment horizontal="center" vertical="center" wrapText="1"/>
      <protection locked="0"/>
    </xf>
    <xf numFmtId="1" fontId="6" fillId="3" borderId="2214" xfId="0" applyNumberFormat="1" applyFont="1" applyFill="1" applyBorder="1" applyAlignment="1">
      <alignment horizontal="center" vertical="center" wrapText="1"/>
    </xf>
    <xf numFmtId="1" fontId="6" fillId="3" borderId="2215" xfId="0" applyNumberFormat="1" applyFont="1" applyFill="1" applyBorder="1" applyAlignment="1">
      <alignment horizontal="center" vertical="center" wrapText="1"/>
    </xf>
    <xf numFmtId="1" fontId="6" fillId="3" borderId="2216" xfId="0" applyNumberFormat="1" applyFont="1" applyFill="1" applyBorder="1" applyAlignment="1">
      <alignment horizontal="center" vertical="center" wrapText="1"/>
    </xf>
    <xf numFmtId="1" fontId="6" fillId="3" borderId="2263" xfId="0" applyNumberFormat="1" applyFont="1" applyFill="1" applyBorder="1" applyAlignment="1">
      <alignment horizontal="center" vertical="center" wrapText="1"/>
    </xf>
    <xf numFmtId="1" fontId="6" fillId="3" borderId="2272" xfId="0" applyNumberFormat="1" applyFont="1" applyFill="1" applyBorder="1" applyAlignment="1">
      <alignment horizontal="center" vertical="center" wrapText="1"/>
    </xf>
    <xf numFmtId="1" fontId="6" fillId="3" borderId="2224" xfId="0" applyNumberFormat="1" applyFont="1" applyFill="1" applyBorder="1" applyAlignment="1">
      <alignment horizontal="center" vertical="center" wrapText="1"/>
    </xf>
    <xf numFmtId="0" fontId="38" fillId="23" borderId="2220" xfId="0" applyFont="1" applyFill="1" applyBorder="1"/>
    <xf numFmtId="0" fontId="38" fillId="23" borderId="2267" xfId="0" applyFont="1" applyFill="1" applyBorder="1"/>
    <xf numFmtId="0" fontId="38" fillId="23" borderId="2221" xfId="0" applyFont="1" applyFill="1" applyBorder="1"/>
    <xf numFmtId="1" fontId="6" fillId="12" borderId="1844" xfId="0" applyNumberFormat="1" applyFont="1" applyFill="1" applyBorder="1" applyAlignment="1">
      <alignment horizontal="center" vertical="center" wrapText="1"/>
    </xf>
    <xf numFmtId="1" fontId="6" fillId="5" borderId="2273" xfId="0" applyNumberFormat="1" applyFont="1" applyFill="1" applyBorder="1" applyAlignment="1" applyProtection="1">
      <alignment horizontal="center" vertical="center" wrapText="1"/>
      <protection locked="0"/>
    </xf>
    <xf numFmtId="0" fontId="38" fillId="23" borderId="1498" xfId="0" applyFont="1" applyFill="1" applyBorder="1"/>
    <xf numFmtId="1" fontId="6" fillId="5" borderId="1827" xfId="0" applyNumberFormat="1" applyFont="1" applyFill="1" applyBorder="1" applyAlignment="1" applyProtection="1">
      <alignment horizontal="center" vertical="center" wrapText="1"/>
      <protection locked="0"/>
    </xf>
    <xf numFmtId="1" fontId="6" fillId="12" borderId="2214" xfId="0" applyNumberFormat="1" applyFont="1" applyFill="1" applyBorder="1" applyAlignment="1">
      <alignment horizontal="center" vertical="center" wrapText="1"/>
    </xf>
    <xf numFmtId="1" fontId="6" fillId="12" borderId="2255" xfId="0" applyNumberFormat="1" applyFont="1" applyFill="1" applyBorder="1" applyAlignment="1">
      <alignment horizontal="center" vertical="center" wrapText="1"/>
    </xf>
    <xf numFmtId="1" fontId="6" fillId="12" borderId="2216" xfId="0" applyNumberFormat="1" applyFont="1" applyFill="1" applyBorder="1" applyAlignment="1">
      <alignment horizontal="center" vertical="center" wrapText="1"/>
    </xf>
    <xf numFmtId="1" fontId="6" fillId="0" borderId="2134" xfId="0" applyNumberFormat="1" applyFont="1" applyBorder="1" applyAlignment="1">
      <alignment horizontal="center" vertical="center" wrapText="1"/>
    </xf>
    <xf numFmtId="1" fontId="6" fillId="15" borderId="2224" xfId="0" applyNumberFormat="1" applyFont="1" applyFill="1" applyBorder="1" applyAlignment="1" applyProtection="1">
      <alignment horizontal="right" vertical="center" wrapText="1"/>
      <protection locked="0"/>
    </xf>
    <xf numFmtId="1" fontId="6" fillId="15" borderId="2244" xfId="0" applyNumberFormat="1" applyFont="1" applyFill="1" applyBorder="1" applyAlignment="1" applyProtection="1">
      <alignment horizontal="right" vertical="center" wrapText="1"/>
      <protection locked="0"/>
    </xf>
    <xf numFmtId="1" fontId="6" fillId="15" borderId="1497" xfId="0" applyNumberFormat="1" applyFont="1" applyFill="1" applyBorder="1" applyAlignment="1" applyProtection="1">
      <alignment horizontal="right" vertical="center" wrapText="1"/>
      <protection locked="0"/>
    </xf>
    <xf numFmtId="1" fontId="6" fillId="15" borderId="2225" xfId="0" applyNumberFormat="1" applyFont="1" applyFill="1" applyBorder="1" applyAlignment="1" applyProtection="1">
      <alignment horizontal="right" vertical="center" wrapText="1"/>
      <protection locked="0"/>
    </xf>
    <xf numFmtId="1" fontId="6" fillId="15" borderId="1827" xfId="0" applyNumberFormat="1" applyFont="1" applyFill="1" applyBorder="1" applyAlignment="1" applyProtection="1">
      <alignment horizontal="right" vertical="center" wrapText="1"/>
      <protection locked="0"/>
    </xf>
    <xf numFmtId="1" fontId="6" fillId="15" borderId="2225" xfId="0" applyNumberFormat="1" applyFont="1" applyFill="1" applyBorder="1" applyAlignment="1" applyProtection="1">
      <alignment horizontal="right" vertical="center"/>
      <protection locked="0"/>
    </xf>
    <xf numFmtId="1" fontId="6" fillId="15" borderId="2225" xfId="0" applyNumberFormat="1" applyFont="1" applyFill="1" applyBorder="1" applyAlignment="1" applyProtection="1">
      <alignment horizontal="right" vertical="top" wrapText="1"/>
      <protection locked="0"/>
    </xf>
    <xf numFmtId="1" fontId="6" fillId="15" borderId="1497" xfId="0" applyNumberFormat="1" applyFont="1" applyFill="1" applyBorder="1" applyAlignment="1" applyProtection="1">
      <alignment horizontal="right" vertical="center"/>
      <protection locked="0"/>
    </xf>
    <xf numFmtId="1" fontId="6" fillId="15" borderId="1497" xfId="0" applyNumberFormat="1" applyFont="1" applyFill="1" applyBorder="1" applyAlignment="1" applyProtection="1">
      <alignment horizontal="right" vertical="top" wrapText="1"/>
      <protection locked="0"/>
    </xf>
    <xf numFmtId="1" fontId="6" fillId="15" borderId="1838" xfId="0" applyNumberFormat="1" applyFont="1" applyFill="1" applyBorder="1" applyAlignment="1" applyProtection="1">
      <alignment horizontal="right" vertical="center" wrapText="1"/>
      <protection locked="0"/>
    </xf>
    <xf numFmtId="1" fontId="6" fillId="15" borderId="1838" xfId="0" applyNumberFormat="1" applyFont="1" applyFill="1" applyBorder="1" applyAlignment="1" applyProtection="1">
      <alignment horizontal="right" vertical="center"/>
      <protection locked="0"/>
    </xf>
    <xf numFmtId="1" fontId="6" fillId="15" borderId="1838" xfId="0" applyNumberFormat="1" applyFont="1" applyFill="1" applyBorder="1" applyAlignment="1" applyProtection="1">
      <alignment horizontal="right" vertical="top" wrapText="1"/>
      <protection locked="0"/>
    </xf>
    <xf numFmtId="1" fontId="6" fillId="0" borderId="2216" xfId="0" applyNumberFormat="1" applyFont="1" applyBorder="1" applyAlignment="1">
      <alignment horizontal="center" vertical="center"/>
    </xf>
    <xf numFmtId="1" fontId="6" fillId="5" borderId="2225" xfId="0" applyNumberFormat="1" applyFont="1" applyFill="1" applyBorder="1" applyProtection="1">
      <protection locked="0"/>
    </xf>
    <xf numFmtId="1" fontId="6" fillId="0" borderId="1498" xfId="0" applyNumberFormat="1" applyFont="1" applyBorder="1" applyAlignment="1">
      <alignment horizontal="right" wrapText="1"/>
    </xf>
    <xf numFmtId="1" fontId="6" fillId="12" borderId="1498" xfId="0" applyNumberFormat="1" applyFont="1" applyFill="1" applyBorder="1"/>
    <xf numFmtId="1" fontId="6" fillId="12" borderId="1510" xfId="0" applyNumberFormat="1" applyFont="1" applyFill="1" applyBorder="1"/>
    <xf numFmtId="1" fontId="6" fillId="12" borderId="2117" xfId="0" applyNumberFormat="1" applyFont="1" applyFill="1" applyBorder="1"/>
    <xf numFmtId="1" fontId="6" fillId="12" borderId="1584" xfId="0" applyNumberFormat="1" applyFont="1" applyFill="1" applyBorder="1"/>
    <xf numFmtId="1" fontId="6" fillId="12" borderId="1497" xfId="0" applyNumberFormat="1" applyFont="1" applyFill="1" applyBorder="1"/>
    <xf numFmtId="1" fontId="6" fillId="15" borderId="1497" xfId="0" applyNumberFormat="1" applyFont="1" applyFill="1" applyBorder="1" applyProtection="1">
      <protection locked="0"/>
    </xf>
    <xf numFmtId="1" fontId="6" fillId="15" borderId="1510" xfId="0" applyNumberFormat="1" applyFont="1" applyFill="1" applyBorder="1" applyProtection="1">
      <protection locked="0"/>
    </xf>
    <xf numFmtId="1" fontId="6" fillId="15" borderId="1501" xfId="0" applyNumberFormat="1" applyFont="1" applyFill="1" applyBorder="1" applyProtection="1">
      <protection locked="0"/>
    </xf>
    <xf numFmtId="1" fontId="6" fillId="0" borderId="1836" xfId="0" applyNumberFormat="1" applyFont="1" applyBorder="1" applyAlignment="1">
      <alignment horizontal="right" wrapText="1"/>
    </xf>
    <xf numFmtId="1" fontId="6" fillId="0" borderId="2214" xfId="0" applyNumberFormat="1" applyFont="1" applyBorder="1" applyAlignment="1">
      <alignment horizontal="right" wrapText="1"/>
    </xf>
    <xf numFmtId="1" fontId="6" fillId="0" borderId="2255" xfId="0" applyNumberFormat="1" applyFont="1" applyBorder="1" applyAlignment="1">
      <alignment horizontal="right" wrapText="1"/>
    </xf>
    <xf numFmtId="1" fontId="6" fillId="0" borderId="2254" xfId="0" applyNumberFormat="1" applyFont="1" applyBorder="1" applyAlignment="1">
      <alignment horizontal="right" wrapText="1"/>
    </xf>
    <xf numFmtId="1" fontId="6" fillId="0" borderId="2253" xfId="0" applyNumberFormat="1" applyFont="1" applyBorder="1" applyAlignment="1">
      <alignment horizontal="right"/>
    </xf>
    <xf numFmtId="1" fontId="6" fillId="0" borderId="2255" xfId="0" applyNumberFormat="1" applyFont="1" applyBorder="1" applyAlignment="1">
      <alignment horizontal="right"/>
    </xf>
    <xf numFmtId="1" fontId="6" fillId="0" borderId="2254" xfId="0" applyNumberFormat="1" applyFont="1" applyBorder="1" applyAlignment="1">
      <alignment horizontal="right"/>
    </xf>
    <xf numFmtId="1" fontId="6" fillId="0" borderId="2241" xfId="0" applyNumberFormat="1" applyFont="1" applyBorder="1" applyAlignment="1">
      <alignment horizontal="right"/>
    </xf>
    <xf numFmtId="1" fontId="6" fillId="0" borderId="2134" xfId="0" applyNumberFormat="1" applyFont="1" applyBorder="1" applyAlignment="1">
      <alignment horizontal="right"/>
    </xf>
    <xf numFmtId="1" fontId="6" fillId="0" borderId="2224" xfId="0" applyNumberFormat="1" applyFont="1" applyBorder="1" applyAlignment="1">
      <alignment horizontal="right"/>
    </xf>
    <xf numFmtId="1" fontId="6" fillId="0" borderId="2225" xfId="0" applyNumberFormat="1" applyFont="1" applyBorder="1" applyAlignment="1">
      <alignment horizontal="right" wrapText="1"/>
    </xf>
    <xf numFmtId="1" fontId="6" fillId="5" borderId="2266" xfId="0" applyNumberFormat="1" applyFont="1" applyFill="1" applyBorder="1" applyProtection="1">
      <protection locked="0"/>
    </xf>
    <xf numFmtId="1" fontId="6" fillId="0" borderId="1501" xfId="0" applyNumberFormat="1" applyFont="1" applyBorder="1" applyAlignment="1">
      <alignment horizontal="right" wrapText="1"/>
    </xf>
    <xf numFmtId="1" fontId="6" fillId="3" borderId="1501" xfId="0" applyNumberFormat="1" applyFont="1" applyFill="1" applyBorder="1" applyAlignment="1">
      <alignment horizontal="right" wrapText="1"/>
    </xf>
    <xf numFmtId="1" fontId="6" fillId="0" borderId="2214" xfId="0" applyNumberFormat="1" applyFont="1" applyBorder="1" applyAlignment="1">
      <alignment horizontal="right"/>
    </xf>
    <xf numFmtId="1" fontId="6" fillId="0" borderId="2263" xfId="0" applyNumberFormat="1" applyFont="1" applyBorder="1" applyAlignment="1">
      <alignment horizontal="right"/>
    </xf>
    <xf numFmtId="1" fontId="6" fillId="3" borderId="2224" xfId="0" applyNumberFormat="1" applyFont="1" applyFill="1" applyBorder="1" applyAlignment="1">
      <alignment horizontal="right"/>
    </xf>
    <xf numFmtId="1" fontId="6" fillId="3" borderId="2225" xfId="0" applyNumberFormat="1" applyFont="1" applyFill="1" applyBorder="1" applyAlignment="1">
      <alignment horizontal="right" wrapText="1"/>
    </xf>
    <xf numFmtId="1" fontId="6" fillId="12" borderId="2225" xfId="0" applyNumberFormat="1" applyFont="1" applyFill="1" applyBorder="1" applyAlignment="1">
      <alignment horizontal="right" wrapText="1"/>
    </xf>
    <xf numFmtId="1" fontId="6" fillId="3" borderId="2225" xfId="0" applyNumberFormat="1" applyFont="1" applyFill="1" applyBorder="1" applyAlignment="1">
      <alignment horizontal="right"/>
    </xf>
    <xf numFmtId="1" fontId="6" fillId="4" borderId="2220" xfId="0" applyNumberFormat="1" applyFont="1" applyFill="1" applyBorder="1"/>
    <xf numFmtId="1" fontId="6" fillId="4" borderId="2267" xfId="0" applyNumberFormat="1" applyFont="1" applyFill="1" applyBorder="1"/>
    <xf numFmtId="1" fontId="6" fillId="12" borderId="2220" xfId="0" applyNumberFormat="1" applyFont="1" applyFill="1" applyBorder="1"/>
    <xf numFmtId="1" fontId="6" fillId="5" borderId="2271" xfId="0" applyNumberFormat="1" applyFont="1" applyFill="1" applyBorder="1" applyProtection="1">
      <protection locked="0"/>
    </xf>
    <xf numFmtId="1" fontId="6" fillId="12" borderId="2225" xfId="0" applyNumberFormat="1" applyFont="1" applyFill="1" applyBorder="1"/>
    <xf numFmtId="1" fontId="6" fillId="3" borderId="1497" xfId="0" applyNumberFormat="1" applyFont="1" applyFill="1" applyBorder="1" applyAlignment="1">
      <alignment horizontal="right" wrapText="1"/>
    </xf>
    <xf numFmtId="1" fontId="6" fillId="12" borderId="1497" xfId="0" applyNumberFormat="1" applyFont="1" applyFill="1" applyBorder="1" applyAlignment="1">
      <alignment horizontal="right" wrapText="1"/>
    </xf>
    <xf numFmtId="1" fontId="6" fillId="3" borderId="1497" xfId="0" applyNumberFormat="1" applyFont="1" applyFill="1" applyBorder="1" applyAlignment="1">
      <alignment horizontal="right"/>
    </xf>
    <xf numFmtId="1" fontId="6" fillId="12" borderId="2244" xfId="0" applyNumberFormat="1" applyFont="1" applyFill="1" applyBorder="1"/>
    <xf numFmtId="1" fontId="6" fillId="12" borderId="2243" xfId="0" applyNumberFormat="1" applyFont="1" applyFill="1" applyBorder="1"/>
    <xf numFmtId="1" fontId="6" fillId="12" borderId="1827" xfId="0" applyNumberFormat="1" applyFont="1" applyFill="1" applyBorder="1" applyAlignment="1">
      <alignment horizontal="right" wrapText="1"/>
    </xf>
    <xf numFmtId="1" fontId="6" fillId="12" borderId="428" xfId="0" applyNumberFormat="1" applyFont="1" applyFill="1" applyBorder="1"/>
    <xf numFmtId="1" fontId="6" fillId="12" borderId="1838" xfId="0" applyNumberFormat="1" applyFont="1" applyFill="1" applyBorder="1" applyAlignment="1">
      <alignment horizontal="right" wrapText="1"/>
    </xf>
    <xf numFmtId="1" fontId="6" fillId="3" borderId="1827" xfId="0" applyNumberFormat="1" applyFont="1" applyFill="1" applyBorder="1" applyAlignment="1">
      <alignment horizontal="right"/>
    </xf>
    <xf numFmtId="1" fontId="6" fillId="12" borderId="1691" xfId="0" applyNumberFormat="1" applyFont="1" applyFill="1" applyBorder="1"/>
    <xf numFmtId="1" fontId="6" fillId="12" borderId="2214" xfId="0" applyNumberFormat="1" applyFont="1" applyFill="1" applyBorder="1"/>
    <xf numFmtId="1" fontId="6" fillId="0" borderId="2134" xfId="0" applyNumberFormat="1" applyFont="1" applyBorder="1"/>
    <xf numFmtId="1" fontId="6" fillId="3" borderId="2244" xfId="0" applyNumberFormat="1" applyFont="1" applyFill="1" applyBorder="1" applyAlignment="1">
      <alignment horizontal="right" wrapText="1"/>
    </xf>
    <xf numFmtId="1" fontId="6" fillId="3" borderId="2244" xfId="0" applyNumberFormat="1" applyFont="1" applyFill="1" applyBorder="1" applyAlignment="1">
      <alignment horizontal="right"/>
    </xf>
    <xf numFmtId="1" fontId="6" fillId="0" borderId="1497" xfId="0" applyNumberFormat="1" applyFont="1" applyBorder="1" applyAlignment="1">
      <alignment horizontal="left" vertical="center"/>
    </xf>
    <xf numFmtId="1" fontId="6" fillId="5" borderId="2117" xfId="0" applyNumberFormat="1" applyFont="1" applyFill="1" applyBorder="1" applyProtection="1">
      <protection locked="0"/>
    </xf>
    <xf numFmtId="1" fontId="6" fillId="3" borderId="1838" xfId="0" applyNumberFormat="1" applyFont="1" applyFill="1" applyBorder="1" applyAlignment="1">
      <alignment horizontal="right"/>
    </xf>
    <xf numFmtId="1" fontId="6" fillId="3" borderId="2225" xfId="0" applyNumberFormat="1" applyFont="1" applyFill="1" applyBorder="1" applyAlignment="1">
      <alignment vertical="center"/>
    </xf>
    <xf numFmtId="1" fontId="6" fillId="12" borderId="2267" xfId="0" applyNumberFormat="1" applyFont="1" applyFill="1" applyBorder="1"/>
    <xf numFmtId="1" fontId="6" fillId="12" borderId="2219" xfId="0" applyNumberFormat="1" applyFont="1" applyFill="1" applyBorder="1"/>
    <xf numFmtId="1" fontId="6" fillId="3" borderId="2244" xfId="0" applyNumberFormat="1" applyFont="1" applyFill="1" applyBorder="1" applyAlignment="1">
      <alignment vertical="center"/>
    </xf>
    <xf numFmtId="1" fontId="6" fillId="12" borderId="2244" xfId="0" applyNumberFormat="1" applyFont="1" applyFill="1" applyBorder="1" applyAlignment="1">
      <alignment horizontal="right"/>
    </xf>
    <xf numFmtId="1" fontId="6" fillId="12" borderId="428" xfId="0" applyNumberFormat="1" applyFont="1" applyFill="1" applyBorder="1" applyAlignment="1">
      <alignment horizontal="right"/>
    </xf>
    <xf numFmtId="1" fontId="6" fillId="12" borderId="1838" xfId="0" applyNumberFormat="1" applyFont="1" applyFill="1" applyBorder="1" applyAlignment="1">
      <alignment horizontal="right"/>
    </xf>
    <xf numFmtId="1" fontId="6" fillId="12" borderId="1884" xfId="0" applyNumberFormat="1" applyFont="1" applyFill="1" applyBorder="1"/>
    <xf numFmtId="1" fontId="6" fillId="12" borderId="1838" xfId="0" applyNumberFormat="1" applyFont="1" applyFill="1" applyBorder="1"/>
    <xf numFmtId="1" fontId="6" fillId="14" borderId="2225" xfId="0" applyNumberFormat="1" applyFont="1" applyFill="1" applyBorder="1" applyAlignment="1">
      <alignment horizontal="left" vertical="center"/>
    </xf>
    <xf numFmtId="1" fontId="6" fillId="14" borderId="1691" xfId="0" applyNumberFormat="1" applyFont="1" applyFill="1" applyBorder="1"/>
    <xf numFmtId="1" fontId="6" fillId="14" borderId="1884" xfId="0" applyNumberFormat="1" applyFont="1" applyFill="1" applyBorder="1"/>
    <xf numFmtId="1" fontId="6" fillId="14" borderId="2214" xfId="0" applyNumberFormat="1" applyFont="1" applyFill="1" applyBorder="1"/>
    <xf numFmtId="1" fontId="6" fillId="5" borderId="2265" xfId="0" applyNumberFormat="1" applyFont="1" applyFill="1" applyBorder="1" applyProtection="1">
      <protection locked="0"/>
    </xf>
    <xf numFmtId="1" fontId="6" fillId="14" borderId="2244" xfId="0" applyNumberFormat="1" applyFont="1" applyFill="1" applyBorder="1" applyAlignment="1">
      <alignment horizontal="left" vertical="center" wrapText="1"/>
    </xf>
    <xf numFmtId="1" fontId="6" fillId="0" borderId="2225" xfId="0" applyNumberFormat="1" applyFont="1" applyBorder="1" applyAlignment="1">
      <alignment horizontal="left" vertical="center"/>
    </xf>
    <xf numFmtId="1" fontId="6" fillId="3" borderId="1827" xfId="0" applyNumberFormat="1" applyFont="1" applyFill="1" applyBorder="1" applyAlignment="1">
      <alignment horizontal="right" wrapText="1"/>
    </xf>
    <xf numFmtId="1" fontId="6" fillId="12" borderId="1844" xfId="0" applyNumberFormat="1" applyFont="1" applyFill="1" applyBorder="1"/>
    <xf numFmtId="1" fontId="6" fillId="12" borderId="1846" xfId="0" applyNumberFormat="1" applyFont="1" applyFill="1" applyBorder="1"/>
    <xf numFmtId="1" fontId="6" fillId="12" borderId="1827" xfId="0" applyNumberFormat="1" applyFont="1" applyFill="1" applyBorder="1"/>
    <xf numFmtId="1" fontId="6" fillId="0" borderId="428" xfId="0" applyNumberFormat="1" applyFont="1" applyBorder="1" applyAlignment="1">
      <alignment horizontal="left" vertical="center"/>
    </xf>
    <xf numFmtId="1" fontId="6" fillId="12" borderId="1836" xfId="0" applyNumberFormat="1" applyFont="1" applyFill="1" applyBorder="1"/>
    <xf numFmtId="1" fontId="6" fillId="12" borderId="1843" xfId="0" applyNumberFormat="1" applyFont="1" applyFill="1" applyBorder="1"/>
    <xf numFmtId="1" fontId="6" fillId="12" borderId="1834" xfId="0" applyNumberFormat="1" applyFont="1" applyFill="1" applyBorder="1"/>
    <xf numFmtId="1" fontId="6" fillId="3" borderId="2224" xfId="0" applyNumberFormat="1" applyFont="1" applyFill="1" applyBorder="1" applyAlignment="1">
      <alignment horizontal="right" wrapText="1"/>
    </xf>
    <xf numFmtId="1" fontId="6" fillId="5" borderId="2214" xfId="0" applyNumberFormat="1" applyFont="1" applyFill="1" applyBorder="1" applyProtection="1">
      <protection locked="0"/>
    </xf>
    <xf numFmtId="1" fontId="6" fillId="5" borderId="2255" xfId="0" applyNumberFormat="1" applyFont="1" applyFill="1" applyBorder="1" applyProtection="1">
      <protection locked="0"/>
    </xf>
    <xf numFmtId="1" fontId="6" fillId="5" borderId="2134" xfId="0" applyNumberFormat="1" applyFont="1" applyFill="1" applyBorder="1" applyProtection="1">
      <protection locked="0"/>
    </xf>
    <xf numFmtId="1" fontId="6" fillId="5" borderId="2216" xfId="0" applyNumberFormat="1" applyFont="1" applyFill="1" applyBorder="1" applyProtection="1">
      <protection locked="0"/>
    </xf>
    <xf numFmtId="1" fontId="6" fillId="5" borderId="2224" xfId="0" applyNumberFormat="1" applyFont="1" applyFill="1" applyBorder="1" applyProtection="1">
      <protection locked="0"/>
    </xf>
    <xf numFmtId="1" fontId="6" fillId="3" borderId="1834" xfId="0" applyNumberFormat="1" applyFont="1" applyFill="1" applyBorder="1" applyAlignment="1">
      <alignment horizontal="right" wrapText="1"/>
    </xf>
    <xf numFmtId="1" fontId="6" fillId="4" borderId="2219" xfId="0" applyNumberFormat="1" applyFont="1" applyFill="1" applyBorder="1"/>
    <xf numFmtId="1" fontId="6" fillId="4" borderId="1691" xfId="0" applyNumberFormat="1" applyFont="1" applyFill="1" applyBorder="1"/>
    <xf numFmtId="1" fontId="6" fillId="0" borderId="2225" xfId="0" applyNumberFormat="1" applyFont="1" applyBorder="1" applyAlignment="1">
      <alignment wrapText="1"/>
    </xf>
    <xf numFmtId="1" fontId="6" fillId="3" borderId="2219" xfId="0" applyNumberFormat="1" applyFont="1" applyFill="1" applyBorder="1" applyAlignment="1">
      <alignment horizontal="right"/>
    </xf>
    <xf numFmtId="1" fontId="6" fillId="0" borderId="1827" xfId="0" applyNumberFormat="1" applyFont="1" applyBorder="1" applyAlignment="1">
      <alignment wrapText="1"/>
    </xf>
    <xf numFmtId="1" fontId="6" fillId="3" borderId="1501" xfId="0" applyNumberFormat="1" applyFont="1" applyFill="1" applyBorder="1" applyAlignment="1">
      <alignment horizontal="right"/>
    </xf>
    <xf numFmtId="1" fontId="6" fillId="0" borderId="1838" xfId="0" applyNumberFormat="1" applyFont="1" applyBorder="1" applyAlignment="1">
      <alignment wrapText="1"/>
    </xf>
    <xf numFmtId="1" fontId="6" fillId="3" borderId="1834" xfId="0" applyNumberFormat="1" applyFont="1" applyFill="1" applyBorder="1" applyAlignment="1">
      <alignment horizontal="right"/>
    </xf>
    <xf numFmtId="1" fontId="6" fillId="0" borderId="2225" xfId="0" applyNumberFormat="1" applyFont="1" applyBorder="1" applyAlignment="1">
      <alignment vertical="center" wrapText="1"/>
    </xf>
    <xf numFmtId="1" fontId="6" fillId="4" borderId="2271" xfId="0" applyNumberFormat="1" applyFont="1" applyFill="1" applyBorder="1"/>
    <xf numFmtId="1" fontId="6" fillId="4" borderId="2225" xfId="0" applyNumberFormat="1" applyFont="1" applyFill="1" applyBorder="1"/>
    <xf numFmtId="1" fontId="6" fillId="4" borderId="1838" xfId="0" applyNumberFormat="1" applyFont="1" applyFill="1" applyBorder="1"/>
    <xf numFmtId="1" fontId="6" fillId="3" borderId="2220" xfId="0" applyNumberFormat="1" applyFont="1" applyFill="1" applyBorder="1" applyAlignment="1">
      <alignment horizontal="right" wrapText="1"/>
    </xf>
    <xf numFmtId="1" fontId="6" fillId="0" borderId="2219" xfId="0" applyNumberFormat="1" applyFont="1" applyBorder="1"/>
    <xf numFmtId="1" fontId="6" fillId="12" borderId="2220" xfId="0" applyNumberFormat="1" applyFont="1" applyFill="1" applyBorder="1" applyProtection="1">
      <protection locked="0"/>
    </xf>
    <xf numFmtId="1" fontId="6" fillId="12" borderId="2219" xfId="0" applyNumberFormat="1" applyFont="1" applyFill="1" applyBorder="1" applyProtection="1">
      <protection locked="0"/>
    </xf>
    <xf numFmtId="1" fontId="6" fillId="12" borderId="2265" xfId="0" applyNumberFormat="1" applyFont="1" applyFill="1" applyBorder="1" applyProtection="1">
      <protection locked="0"/>
    </xf>
    <xf numFmtId="1" fontId="6" fillId="3" borderId="1498" xfId="0" applyNumberFormat="1" applyFont="1" applyFill="1" applyBorder="1" applyAlignment="1">
      <alignment horizontal="right" wrapText="1"/>
    </xf>
    <xf numFmtId="1" fontId="6" fillId="0" borderId="1676" xfId="0" applyNumberFormat="1" applyFont="1" applyBorder="1" applyAlignment="1">
      <alignment horizontal="right"/>
    </xf>
    <xf numFmtId="1" fontId="6" fillId="12" borderId="1498" xfId="0" applyNumberFormat="1" applyFont="1" applyFill="1" applyBorder="1" applyProtection="1">
      <protection locked="0"/>
    </xf>
    <xf numFmtId="1" fontId="6" fillId="12" borderId="1502" xfId="0" applyNumberFormat="1" applyFont="1" applyFill="1" applyBorder="1" applyProtection="1">
      <protection locked="0"/>
    </xf>
    <xf numFmtId="1" fontId="6" fillId="12" borderId="1844" xfId="0" applyNumberFormat="1" applyFont="1" applyFill="1" applyBorder="1" applyAlignment="1">
      <alignment horizontal="right" wrapText="1"/>
    </xf>
    <xf numFmtId="1" fontId="6" fillId="12" borderId="1845" xfId="0" applyNumberFormat="1" applyFont="1" applyFill="1" applyBorder="1" applyAlignment="1">
      <alignment horizontal="right"/>
    </xf>
    <xf numFmtId="1" fontId="6" fillId="12" borderId="1846" xfId="0" applyNumberFormat="1" applyFont="1" applyFill="1" applyBorder="1" applyAlignment="1">
      <alignment horizontal="right"/>
    </xf>
    <xf numFmtId="1" fontId="6" fillId="12" borderId="1836" xfId="0" applyNumberFormat="1" applyFont="1" applyFill="1" applyBorder="1" applyAlignment="1">
      <alignment horizontal="right" wrapText="1"/>
    </xf>
    <xf numFmtId="1" fontId="6" fillId="12" borderId="1500" xfId="0" applyNumberFormat="1" applyFont="1" applyFill="1" applyBorder="1" applyAlignment="1">
      <alignment horizontal="right"/>
    </xf>
    <xf numFmtId="1" fontId="6" fillId="12" borderId="1834" xfId="0" applyNumberFormat="1" applyFont="1" applyFill="1" applyBorder="1" applyAlignment="1">
      <alignment horizontal="right"/>
    </xf>
    <xf numFmtId="1" fontId="6" fillId="0" borderId="2253" xfId="0" applyNumberFormat="1" applyFont="1" applyBorder="1" applyAlignment="1">
      <alignment horizontal="center" vertical="center"/>
    </xf>
    <xf numFmtId="1" fontId="6" fillId="5" borderId="2274" xfId="0" applyNumberFormat="1" applyFont="1" applyFill="1" applyBorder="1" applyProtection="1">
      <protection locked="0"/>
    </xf>
    <xf numFmtId="1" fontId="6" fillId="0" borderId="1838" xfId="0" applyNumberFormat="1" applyFont="1" applyBorder="1" applyAlignment="1">
      <alignment horizontal="right" wrapText="1"/>
    </xf>
    <xf numFmtId="1" fontId="6" fillId="3" borderId="2276" xfId="0" applyNumberFormat="1" applyFont="1" applyFill="1" applyBorder="1" applyAlignment="1">
      <alignment horizontal="center" vertical="center" wrapText="1"/>
    </xf>
    <xf numFmtId="1" fontId="6" fillId="3" borderId="2220" xfId="0" applyNumberFormat="1" applyFont="1" applyFill="1" applyBorder="1" applyAlignment="1">
      <alignment horizontal="right" vertical="center" wrapText="1"/>
    </xf>
    <xf numFmtId="1" fontId="6" fillId="3" borderId="2266" xfId="0" applyNumberFormat="1" applyFont="1" applyFill="1" applyBorder="1" applyAlignment="1">
      <alignment horizontal="right" vertical="center" wrapText="1"/>
    </xf>
    <xf numFmtId="1" fontId="6" fillId="0" borderId="2219" xfId="0" applyNumberFormat="1" applyFont="1" applyBorder="1" applyAlignment="1">
      <alignment horizontal="right" vertical="center" wrapText="1"/>
    </xf>
    <xf numFmtId="1" fontId="6" fillId="5" borderId="2220" xfId="0" applyNumberFormat="1" applyFont="1" applyFill="1" applyBorder="1" applyAlignment="1" applyProtection="1">
      <alignment wrapText="1"/>
      <protection locked="0"/>
    </xf>
    <xf numFmtId="1" fontId="6" fillId="5" borderId="2267" xfId="0" applyNumberFormat="1" applyFont="1" applyFill="1" applyBorder="1" applyAlignment="1" applyProtection="1">
      <alignment wrapText="1"/>
      <protection locked="0"/>
    </xf>
    <xf numFmtId="1" fontId="6" fillId="5" borderId="2221" xfId="0" applyNumberFormat="1" applyFont="1" applyFill="1" applyBorder="1" applyAlignment="1" applyProtection="1">
      <alignment wrapText="1"/>
      <protection locked="0"/>
    </xf>
    <xf numFmtId="1" fontId="6" fillId="5" borderId="2219" xfId="0" applyNumberFormat="1" applyFont="1" applyFill="1" applyBorder="1" applyAlignment="1" applyProtection="1">
      <alignment wrapText="1"/>
      <protection locked="0"/>
    </xf>
    <xf numFmtId="1" fontId="6" fillId="5" borderId="2274" xfId="0" applyNumberFormat="1" applyFont="1" applyFill="1" applyBorder="1" applyAlignment="1" applyProtection="1">
      <alignment wrapText="1"/>
      <protection locked="0"/>
    </xf>
    <xf numFmtId="1" fontId="6" fillId="5" borderId="2264" xfId="0" applyNumberFormat="1" applyFont="1" applyFill="1" applyBorder="1" applyAlignment="1" applyProtection="1">
      <alignment wrapText="1"/>
      <protection locked="0"/>
    </xf>
    <xf numFmtId="1" fontId="6" fillId="12" borderId="1498" xfId="0" applyNumberFormat="1" applyFont="1" applyFill="1" applyBorder="1" applyAlignment="1">
      <alignment wrapText="1"/>
    </xf>
    <xf numFmtId="1" fontId="6" fillId="5" borderId="2266" xfId="0" applyNumberFormat="1" applyFont="1" applyFill="1" applyBorder="1" applyAlignment="1" applyProtection="1">
      <alignment wrapText="1"/>
      <protection locked="0"/>
    </xf>
    <xf numFmtId="1" fontId="6" fillId="3" borderId="1836" xfId="0" applyNumberFormat="1" applyFont="1" applyFill="1" applyBorder="1" applyAlignment="1">
      <alignment horizontal="right" vertical="center" wrapText="1"/>
    </xf>
    <xf numFmtId="1" fontId="6" fillId="3" borderId="1500" xfId="0" applyNumberFormat="1" applyFont="1" applyFill="1" applyBorder="1" applyAlignment="1">
      <alignment horizontal="right" vertical="center" wrapText="1"/>
    </xf>
    <xf numFmtId="1" fontId="6" fillId="0" borderId="1834" xfId="0" applyNumberFormat="1" applyFont="1" applyBorder="1" applyAlignment="1">
      <alignment horizontal="right" vertical="center" wrapText="1"/>
    </xf>
    <xf numFmtId="1" fontId="6" fillId="5" borderId="1500" xfId="0" applyNumberFormat="1" applyFont="1" applyFill="1" applyBorder="1" applyAlignment="1" applyProtection="1">
      <alignment wrapText="1"/>
      <protection locked="0"/>
    </xf>
    <xf numFmtId="1" fontId="6" fillId="0" borderId="2243" xfId="0" applyNumberFormat="1" applyFont="1" applyBorder="1" applyAlignment="1">
      <alignment horizontal="right" wrapText="1"/>
    </xf>
    <xf numFmtId="1" fontId="6" fillId="5" borderId="2243" xfId="0" applyNumberFormat="1" applyFont="1" applyFill="1" applyBorder="1" applyAlignment="1" applyProtection="1">
      <alignment wrapText="1"/>
      <protection locked="0"/>
    </xf>
    <xf numFmtId="1" fontId="6" fillId="0" borderId="1510" xfId="0" applyNumberFormat="1" applyFont="1" applyBorder="1" applyAlignment="1">
      <alignment horizontal="right" wrapText="1"/>
    </xf>
    <xf numFmtId="1" fontId="6" fillId="5" borderId="1498" xfId="0" applyNumberFormat="1" applyFont="1" applyFill="1" applyBorder="1" applyAlignment="1" applyProtection="1">
      <alignment wrapText="1"/>
      <protection locked="0"/>
    </xf>
    <xf numFmtId="1" fontId="6" fillId="5" borderId="1510" xfId="0" applyNumberFormat="1" applyFont="1" applyFill="1" applyBorder="1" applyAlignment="1" applyProtection="1">
      <alignment wrapText="1"/>
      <protection locked="0"/>
    </xf>
    <xf numFmtId="1" fontId="6" fillId="5" borderId="1676" xfId="0" applyNumberFormat="1" applyFont="1" applyFill="1" applyBorder="1" applyAlignment="1" applyProtection="1">
      <alignment wrapText="1"/>
      <protection locked="0"/>
    </xf>
    <xf numFmtId="1" fontId="6" fillId="5" borderId="1844" xfId="0" applyNumberFormat="1" applyFont="1" applyFill="1" applyBorder="1" applyAlignment="1" applyProtection="1">
      <alignment wrapText="1"/>
      <protection locked="0"/>
    </xf>
    <xf numFmtId="1" fontId="6" fillId="5" borderId="1846" xfId="0" applyNumberFormat="1" applyFont="1" applyFill="1" applyBorder="1" applyAlignment="1" applyProtection="1">
      <alignment wrapText="1"/>
      <protection locked="0"/>
    </xf>
    <xf numFmtId="1" fontId="6" fillId="12" borderId="1844" xfId="0" applyNumberFormat="1" applyFont="1" applyFill="1" applyBorder="1" applyAlignment="1">
      <alignment wrapText="1"/>
    </xf>
    <xf numFmtId="1" fontId="6" fillId="5" borderId="1845" xfId="0" applyNumberFormat="1" applyFont="1" applyFill="1" applyBorder="1" applyAlignment="1" applyProtection="1">
      <alignment wrapText="1"/>
      <protection locked="0"/>
    </xf>
    <xf numFmtId="1" fontId="6" fillId="3" borderId="1836" xfId="0" applyNumberFormat="1" applyFont="1" applyFill="1" applyBorder="1" applyAlignment="1">
      <alignment horizontal="right" wrapText="1"/>
    </xf>
    <xf numFmtId="1" fontId="6" fillId="0" borderId="1500" xfId="0" applyNumberFormat="1" applyFont="1" applyBorder="1" applyAlignment="1">
      <alignment horizontal="right" wrapText="1"/>
    </xf>
    <xf numFmtId="1" fontId="6" fillId="12" borderId="1836" xfId="0" applyNumberFormat="1" applyFont="1" applyFill="1" applyBorder="1" applyAlignment="1">
      <alignment wrapText="1"/>
    </xf>
    <xf numFmtId="1" fontId="6" fillId="0" borderId="2266" xfId="0" applyNumberFormat="1" applyFont="1" applyBorder="1" applyAlignment="1">
      <alignment horizontal="right" wrapText="1"/>
    </xf>
    <xf numFmtId="1" fontId="6" fillId="0" borderId="2221" xfId="0" applyNumberFormat="1" applyFont="1" applyBorder="1" applyAlignment="1">
      <alignment horizontal="right" wrapText="1"/>
    </xf>
    <xf numFmtId="1" fontId="6" fillId="12" borderId="1676" xfId="0" applyNumberFormat="1" applyFont="1" applyFill="1" applyBorder="1" applyAlignment="1">
      <alignment wrapText="1"/>
    </xf>
    <xf numFmtId="1" fontId="6" fillId="4" borderId="2264" xfId="0" applyNumberFormat="1" applyFont="1" applyFill="1" applyBorder="1" applyAlignment="1">
      <alignment wrapText="1"/>
    </xf>
    <xf numFmtId="1" fontId="6" fillId="4" borderId="2274" xfId="0" applyNumberFormat="1" applyFont="1" applyFill="1" applyBorder="1" applyAlignment="1">
      <alignment wrapText="1"/>
    </xf>
    <xf numFmtId="1" fontId="6" fillId="12" borderId="2274" xfId="0" applyNumberFormat="1" applyFont="1" applyFill="1" applyBorder="1" applyAlignment="1">
      <alignment wrapText="1"/>
    </xf>
    <xf numFmtId="1" fontId="6" fillId="12" borderId="2264" xfId="0" applyNumberFormat="1" applyFont="1" applyFill="1" applyBorder="1" applyAlignment="1">
      <alignment wrapText="1"/>
    </xf>
    <xf numFmtId="1" fontId="6" fillId="3" borderId="1691" xfId="0" applyNumberFormat="1" applyFont="1" applyFill="1" applyBorder="1" applyAlignment="1">
      <alignment horizontal="right" wrapText="1"/>
    </xf>
    <xf numFmtId="1" fontId="6" fillId="5" borderId="1884" xfId="0" applyNumberFormat="1" applyFont="1" applyFill="1" applyBorder="1" applyAlignment="1" applyProtection="1">
      <alignment wrapText="1"/>
      <protection locked="0"/>
    </xf>
    <xf numFmtId="1" fontId="6" fillId="12" borderId="1691" xfId="0" applyNumberFormat="1" applyFont="1" applyFill="1" applyBorder="1" applyAlignment="1">
      <alignment wrapText="1"/>
    </xf>
    <xf numFmtId="1" fontId="6" fillId="12" borderId="1845" xfId="0" applyNumberFormat="1" applyFont="1" applyFill="1" applyBorder="1" applyAlignment="1">
      <alignment wrapText="1"/>
    </xf>
    <xf numFmtId="1" fontId="6" fillId="0" borderId="1845" xfId="0" applyNumberFormat="1" applyFont="1" applyBorder="1" applyAlignment="1">
      <alignment horizontal="right" wrapText="1"/>
    </xf>
    <xf numFmtId="1" fontId="6" fillId="12" borderId="1500" xfId="0" applyNumberFormat="1" applyFont="1" applyFill="1" applyBorder="1" applyAlignment="1">
      <alignment wrapText="1"/>
    </xf>
    <xf numFmtId="1" fontId="6" fillId="4" borderId="2220" xfId="0" applyNumberFormat="1" applyFont="1" applyFill="1" applyBorder="1" applyAlignment="1">
      <alignment wrapText="1"/>
    </xf>
    <xf numFmtId="1" fontId="6" fillId="4" borderId="2267" xfId="0" applyNumberFormat="1" applyFont="1" applyFill="1" applyBorder="1" applyAlignment="1">
      <alignment wrapText="1"/>
    </xf>
    <xf numFmtId="1" fontId="6" fillId="4" borderId="2221" xfId="0" applyNumberFormat="1" applyFont="1" applyFill="1" applyBorder="1" applyAlignment="1">
      <alignment wrapText="1"/>
    </xf>
    <xf numFmtId="1" fontId="6" fillId="12" borderId="2220" xfId="0" applyNumberFormat="1" applyFont="1" applyFill="1" applyBorder="1" applyAlignment="1">
      <alignment wrapText="1"/>
    </xf>
    <xf numFmtId="1" fontId="6" fillId="12" borderId="2267" xfId="0" applyNumberFormat="1" applyFont="1" applyFill="1" applyBorder="1" applyAlignment="1">
      <alignment wrapText="1"/>
    </xf>
    <xf numFmtId="1" fontId="6" fillId="12" borderId="2221" xfId="0" applyNumberFormat="1" applyFont="1" applyFill="1" applyBorder="1" applyAlignment="1">
      <alignment wrapText="1"/>
    </xf>
    <xf numFmtId="1" fontId="6" fillId="0" borderId="2277" xfId="9" applyNumberFormat="1" applyFont="1" applyFill="1" applyBorder="1" applyAlignment="1">
      <alignment horizontal="right" wrapText="1"/>
    </xf>
    <xf numFmtId="1" fontId="6" fillId="0" borderId="2278" xfId="9" applyNumberFormat="1" applyFont="1" applyFill="1" applyBorder="1" applyAlignment="1">
      <alignment horizontal="right" wrapText="1"/>
    </xf>
    <xf numFmtId="1" fontId="6" fillId="4" borderId="1498" xfId="0" applyNumberFormat="1" applyFont="1" applyFill="1" applyBorder="1" applyAlignment="1">
      <alignment wrapText="1"/>
    </xf>
    <xf numFmtId="1" fontId="6" fillId="4" borderId="1510" xfId="0" applyNumberFormat="1" applyFont="1" applyFill="1" applyBorder="1" applyAlignment="1">
      <alignment wrapText="1"/>
    </xf>
    <xf numFmtId="1" fontId="6" fillId="12" borderId="1510" xfId="0" applyNumberFormat="1" applyFont="1" applyFill="1" applyBorder="1" applyAlignment="1">
      <alignment wrapText="1"/>
    </xf>
    <xf numFmtId="1" fontId="6" fillId="4" borderId="1844" xfId="0" applyNumberFormat="1" applyFont="1" applyFill="1" applyBorder="1" applyAlignment="1">
      <alignment wrapText="1"/>
    </xf>
    <xf numFmtId="1" fontId="6" fillId="0" borderId="2279" xfId="9" applyNumberFormat="1" applyFont="1" applyFill="1" applyBorder="1" applyAlignment="1">
      <alignment horizontal="right" wrapText="1"/>
    </xf>
    <xf numFmtId="1" fontId="6" fillId="0" borderId="2280" xfId="9" applyNumberFormat="1" applyFont="1" applyFill="1" applyBorder="1" applyAlignment="1">
      <alignment horizontal="right" wrapText="1"/>
    </xf>
    <xf numFmtId="1" fontId="6" fillId="4" borderId="1836" xfId="0" applyNumberFormat="1" applyFont="1" applyFill="1" applyBorder="1" applyAlignment="1">
      <alignment wrapText="1"/>
    </xf>
    <xf numFmtId="1" fontId="6" fillId="0" borderId="2281" xfId="9" applyNumberFormat="1" applyFont="1" applyFill="1" applyBorder="1" applyAlignment="1">
      <alignment horizontal="right" wrapText="1"/>
    </xf>
    <xf numFmtId="1" fontId="6" fillId="0" borderId="2282" xfId="9" applyNumberFormat="1" applyFont="1" applyFill="1" applyBorder="1" applyAlignment="1">
      <alignment horizontal="right" wrapText="1"/>
    </xf>
    <xf numFmtId="1" fontId="6" fillId="4" borderId="2243" xfId="0" applyNumberFormat="1" applyFont="1" applyFill="1" applyBorder="1" applyAlignment="1">
      <alignment wrapText="1"/>
    </xf>
    <xf numFmtId="1" fontId="6" fillId="12" borderId="2243" xfId="0" applyNumberFormat="1" applyFont="1" applyFill="1" applyBorder="1" applyAlignment="1">
      <alignment wrapText="1"/>
    </xf>
    <xf numFmtId="1" fontId="6" fillId="0" borderId="2284" xfId="9" applyNumberFormat="1" applyFont="1" applyFill="1" applyBorder="1" applyAlignment="1">
      <alignment horizontal="right" wrapText="1"/>
    </xf>
    <xf numFmtId="1" fontId="6" fillId="0" borderId="2285" xfId="9" applyNumberFormat="1" applyFont="1" applyFill="1" applyBorder="1" applyAlignment="1">
      <alignment horizontal="right" wrapText="1"/>
    </xf>
    <xf numFmtId="1" fontId="6" fillId="5" borderId="2288" xfId="0" applyNumberFormat="1" applyFont="1" applyFill="1" applyBorder="1" applyAlignment="1" applyProtection="1">
      <alignment wrapText="1"/>
      <protection locked="0"/>
    </xf>
    <xf numFmtId="1" fontId="6" fillId="0" borderId="2291" xfId="14" applyNumberFormat="1" applyFont="1" applyFill="1" applyBorder="1" applyAlignment="1">
      <alignment horizontal="right" wrapText="1"/>
    </xf>
    <xf numFmtId="1" fontId="6" fillId="0" borderId="2292" xfId="14" applyNumberFormat="1" applyFont="1" applyFill="1" applyBorder="1" applyAlignment="1">
      <alignment horizontal="right" wrapText="1"/>
    </xf>
    <xf numFmtId="1" fontId="6" fillId="6" borderId="2293" xfId="14" applyNumberFormat="1" applyFont="1" applyBorder="1" applyAlignment="1" applyProtection="1">
      <alignment wrapText="1"/>
      <protection locked="0"/>
    </xf>
    <xf numFmtId="1" fontId="6" fillId="6" borderId="2294" xfId="14" applyNumberFormat="1" applyFont="1" applyBorder="1" applyAlignment="1" applyProtection="1">
      <alignment wrapText="1"/>
      <protection locked="0"/>
    </xf>
    <xf numFmtId="1" fontId="6" fillId="6" borderId="2295" xfId="14" applyNumberFormat="1" applyFont="1" applyBorder="1" applyAlignment="1" applyProtection="1">
      <alignment wrapText="1"/>
      <protection locked="0"/>
    </xf>
    <xf numFmtId="1" fontId="6" fillId="6" borderId="2292" xfId="14" applyNumberFormat="1" applyFont="1" applyBorder="1" applyAlignment="1" applyProtection="1">
      <alignment wrapText="1"/>
      <protection locked="0"/>
    </xf>
    <xf numFmtId="1" fontId="6" fillId="6" borderId="2296" xfId="14" applyNumberFormat="1" applyFont="1" applyBorder="1" applyAlignment="1" applyProtection="1">
      <alignment wrapText="1"/>
      <protection locked="0"/>
    </xf>
    <xf numFmtId="1" fontId="6" fillId="6" borderId="2297" xfId="14" applyNumberFormat="1" applyFont="1" applyBorder="1" applyAlignment="1" applyProtection="1">
      <alignment wrapText="1"/>
      <protection locked="0"/>
    </xf>
    <xf numFmtId="1" fontId="6" fillId="6" borderId="2298" xfId="14" applyNumberFormat="1" applyFont="1" applyBorder="1" applyAlignment="1" applyProtection="1">
      <alignment wrapText="1"/>
      <protection locked="0"/>
    </xf>
    <xf numFmtId="1" fontId="6" fillId="5" borderId="2299" xfId="0" applyNumberFormat="1" applyFont="1" applyFill="1" applyBorder="1" applyAlignment="1" applyProtection="1">
      <alignment wrapText="1"/>
      <protection locked="0"/>
    </xf>
    <xf numFmtId="1" fontId="6" fillId="5" borderId="1806" xfId="0" applyNumberFormat="1" applyFont="1" applyFill="1" applyBorder="1" applyAlignment="1" applyProtection="1">
      <alignment wrapText="1"/>
      <protection locked="0"/>
    </xf>
    <xf numFmtId="1" fontId="6" fillId="0" borderId="2300" xfId="14" applyNumberFormat="1" applyFont="1" applyFill="1" applyBorder="1" applyAlignment="1">
      <alignment horizontal="right" wrapText="1"/>
    </xf>
    <xf numFmtId="1" fontId="6" fillId="0" borderId="2301" xfId="14" applyNumberFormat="1" applyFont="1" applyFill="1" applyBorder="1" applyAlignment="1">
      <alignment horizontal="right" wrapText="1"/>
    </xf>
    <xf numFmtId="1" fontId="6" fillId="6" borderId="2302" xfId="14" applyNumberFormat="1" applyFont="1" applyBorder="1" applyAlignment="1" applyProtection="1">
      <alignment wrapText="1"/>
      <protection locked="0"/>
    </xf>
    <xf numFmtId="1" fontId="6" fillId="6" borderId="2303" xfId="14" applyNumberFormat="1" applyFont="1" applyBorder="1" applyAlignment="1" applyProtection="1">
      <alignment wrapText="1"/>
      <protection locked="0"/>
    </xf>
    <xf numFmtId="1" fontId="6" fillId="6" borderId="2304" xfId="14" applyNumberFormat="1" applyFont="1" applyBorder="1" applyAlignment="1" applyProtection="1">
      <alignment wrapText="1"/>
      <protection locked="0"/>
    </xf>
    <xf numFmtId="1" fontId="6" fillId="6" borderId="2301" xfId="14" applyNumberFormat="1" applyFont="1" applyBorder="1" applyAlignment="1" applyProtection="1">
      <alignment wrapText="1"/>
      <protection locked="0"/>
    </xf>
    <xf numFmtId="1" fontId="6" fillId="6" borderId="2305" xfId="14" applyNumberFormat="1" applyFont="1" applyBorder="1" applyAlignment="1" applyProtection="1">
      <alignment wrapText="1"/>
      <protection locked="0"/>
    </xf>
    <xf numFmtId="1" fontId="6" fillId="6" borderId="2306" xfId="14" applyNumberFormat="1" applyFont="1" applyBorder="1" applyAlignment="1" applyProtection="1">
      <alignment wrapText="1"/>
      <protection locked="0"/>
    </xf>
    <xf numFmtId="1" fontId="6" fillId="6" borderId="2307" xfId="14" applyNumberFormat="1" applyFont="1" applyBorder="1" applyAlignment="1" applyProtection="1">
      <alignment wrapText="1"/>
      <protection locked="0"/>
    </xf>
    <xf numFmtId="1" fontId="6" fillId="6" borderId="2308" xfId="14" applyNumberFormat="1" applyFont="1" applyBorder="1" applyAlignment="1" applyProtection="1">
      <alignment wrapText="1"/>
      <protection locked="0"/>
    </xf>
    <xf numFmtId="1" fontId="6" fillId="6" borderId="2309" xfId="14" applyNumberFormat="1" applyFont="1" applyBorder="1" applyAlignment="1" applyProtection="1">
      <alignment wrapText="1"/>
      <protection locked="0"/>
    </xf>
    <xf numFmtId="1" fontId="6" fillId="6" borderId="2310" xfId="14" applyNumberFormat="1" applyFont="1" applyBorder="1" applyAlignment="1" applyProtection="1">
      <alignment wrapText="1"/>
      <protection locked="0"/>
    </xf>
    <xf numFmtId="1" fontId="6" fillId="5" borderId="2311" xfId="0" applyNumberFormat="1" applyFont="1" applyFill="1" applyBorder="1" applyAlignment="1" applyProtection="1">
      <alignment wrapText="1"/>
      <protection locked="0"/>
    </xf>
    <xf numFmtId="1" fontId="6" fillId="5" borderId="2312" xfId="0" applyNumberFormat="1" applyFont="1" applyFill="1" applyBorder="1" applyAlignment="1" applyProtection="1">
      <alignment wrapText="1"/>
      <protection locked="0"/>
    </xf>
    <xf numFmtId="1" fontId="6" fillId="5" borderId="2313" xfId="0" applyNumberFormat="1" applyFont="1" applyFill="1" applyBorder="1" applyAlignment="1" applyProtection="1">
      <alignment wrapText="1"/>
      <protection locked="0"/>
    </xf>
    <xf numFmtId="1" fontId="6" fillId="5" borderId="2314" xfId="0" applyNumberFormat="1" applyFont="1" applyFill="1" applyBorder="1" applyAlignment="1" applyProtection="1">
      <alignment wrapText="1"/>
      <protection locked="0"/>
    </xf>
    <xf numFmtId="1" fontId="6" fillId="0" borderId="2315" xfId="14" applyNumberFormat="1" applyFont="1" applyFill="1" applyBorder="1" applyAlignment="1">
      <alignment horizontal="right" wrapText="1"/>
    </xf>
    <xf numFmtId="1" fontId="6" fillId="0" borderId="2316" xfId="14" applyNumberFormat="1" applyFont="1" applyFill="1" applyBorder="1" applyAlignment="1">
      <alignment horizontal="right" wrapText="1"/>
    </xf>
    <xf numFmtId="1" fontId="6" fillId="6" borderId="2317" xfId="14" applyNumberFormat="1" applyFont="1" applyBorder="1" applyAlignment="1" applyProtection="1">
      <alignment wrapText="1"/>
      <protection locked="0"/>
    </xf>
    <xf numFmtId="1" fontId="6" fillId="6" borderId="2318" xfId="14" applyNumberFormat="1" applyFont="1" applyBorder="1" applyAlignment="1" applyProtection="1">
      <alignment wrapText="1"/>
      <protection locked="0"/>
    </xf>
    <xf numFmtId="1" fontId="6" fillId="6" borderId="2319" xfId="14" applyNumberFormat="1" applyFont="1" applyBorder="1" applyAlignment="1" applyProtection="1">
      <alignment wrapText="1"/>
      <protection locked="0"/>
    </xf>
    <xf numFmtId="1" fontId="6" fillId="6" borderId="2320" xfId="14" applyNumberFormat="1" applyFont="1" applyBorder="1" applyAlignment="1" applyProtection="1">
      <alignment wrapText="1"/>
      <protection locked="0"/>
    </xf>
    <xf numFmtId="1" fontId="6" fillId="5" borderId="381" xfId="0" applyNumberFormat="1" applyFont="1" applyFill="1" applyBorder="1" applyAlignment="1" applyProtection="1">
      <alignment wrapText="1"/>
      <protection locked="0"/>
    </xf>
    <xf numFmtId="1" fontId="6" fillId="5" borderId="2321" xfId="0" applyNumberFormat="1" applyFont="1" applyFill="1" applyBorder="1" applyAlignment="1" applyProtection="1">
      <alignment wrapText="1"/>
      <protection locked="0"/>
    </xf>
    <xf numFmtId="1" fontId="6" fillId="12" borderId="324" xfId="0" applyNumberFormat="1" applyFont="1" applyFill="1" applyBorder="1" applyAlignment="1">
      <alignment wrapText="1"/>
    </xf>
    <xf numFmtId="1" fontId="6" fillId="12" borderId="1225" xfId="0" applyNumberFormat="1" applyFont="1" applyFill="1" applyBorder="1" applyAlignment="1">
      <alignment wrapText="1"/>
    </xf>
    <xf numFmtId="1" fontId="6" fillId="5" borderId="2322" xfId="0" applyNumberFormat="1" applyFont="1" applyFill="1" applyBorder="1" applyAlignment="1" applyProtection="1">
      <alignment wrapText="1"/>
      <protection locked="0"/>
    </xf>
    <xf numFmtId="1" fontId="6" fillId="5" borderId="1225" xfId="0" applyNumberFormat="1" applyFont="1" applyFill="1" applyBorder="1" applyAlignment="1" applyProtection="1">
      <alignment wrapText="1"/>
      <protection locked="0"/>
    </xf>
    <xf numFmtId="1" fontId="6" fillId="3" borderId="2243" xfId="0" applyNumberFormat="1" applyFont="1" applyFill="1" applyBorder="1" applyAlignment="1">
      <alignment horizontal="right" wrapText="1"/>
    </xf>
    <xf numFmtId="1" fontId="6" fillId="3" borderId="1510" xfId="0" applyNumberFormat="1" applyFont="1" applyFill="1" applyBorder="1" applyAlignment="1">
      <alignment horizontal="right" wrapText="1"/>
    </xf>
    <xf numFmtId="1" fontId="6" fillId="12" borderId="1498" xfId="0" applyNumberFormat="1" applyFont="1" applyFill="1" applyBorder="1" applyAlignment="1">
      <alignment horizontal="right" wrapText="1"/>
    </xf>
    <xf numFmtId="1" fontId="6" fillId="12" borderId="1676" xfId="0" applyNumberFormat="1" applyFont="1" applyFill="1" applyBorder="1" applyAlignment="1">
      <alignment horizontal="right" wrapText="1"/>
    </xf>
    <xf numFmtId="1" fontId="6" fillId="3" borderId="1500" xfId="0" applyNumberFormat="1" applyFont="1" applyFill="1" applyBorder="1" applyAlignment="1">
      <alignment horizontal="right" wrapText="1"/>
    </xf>
    <xf numFmtId="1" fontId="6" fillId="12" borderId="1500" xfId="0" applyNumberFormat="1" applyFont="1" applyFill="1" applyBorder="1" applyAlignment="1">
      <alignment horizontal="right" wrapText="1"/>
    </xf>
    <xf numFmtId="1" fontId="6" fillId="0" borderId="2332" xfId="0" applyNumberFormat="1" applyFont="1" applyBorder="1" applyAlignment="1">
      <alignment horizontal="center" vertical="center" wrapText="1"/>
    </xf>
    <xf numFmtId="1" fontId="6" fillId="0" borderId="2331" xfId="0" applyNumberFormat="1" applyFont="1" applyBorder="1" applyAlignment="1">
      <alignment horizontal="center" vertical="center" wrapText="1"/>
    </xf>
    <xf numFmtId="1" fontId="6" fillId="0" borderId="2333" xfId="0" applyNumberFormat="1" applyFont="1" applyBorder="1" applyAlignment="1">
      <alignment horizontal="center" vertical="center" wrapText="1"/>
    </xf>
    <xf numFmtId="1" fontId="6" fillId="0" borderId="2337" xfId="0" applyNumberFormat="1" applyFont="1" applyBorder="1" applyAlignment="1">
      <alignment horizontal="right" wrapText="1"/>
    </xf>
    <xf numFmtId="1" fontId="6" fillId="0" borderId="2337" xfId="0" applyNumberFormat="1" applyFont="1" applyBorder="1"/>
    <xf numFmtId="1" fontId="6" fillId="5" borderId="2338" xfId="0" applyNumberFormat="1" applyFont="1" applyFill="1" applyBorder="1" applyProtection="1">
      <protection locked="0"/>
    </xf>
    <xf numFmtId="1" fontId="6" fillId="5" borderId="2339" xfId="0" applyNumberFormat="1" applyFont="1" applyFill="1" applyBorder="1" applyProtection="1">
      <protection locked="0"/>
    </xf>
    <xf numFmtId="1" fontId="6" fillId="5" borderId="2340" xfId="0" applyNumberFormat="1" applyFont="1" applyFill="1" applyBorder="1" applyProtection="1">
      <protection locked="0"/>
    </xf>
    <xf numFmtId="1" fontId="2" fillId="14" borderId="175" xfId="0" applyNumberFormat="1" applyFont="1" applyFill="1" applyBorder="1" applyAlignment="1">
      <alignment horizontal="left"/>
    </xf>
    <xf numFmtId="1" fontId="2" fillId="3" borderId="175" xfId="0" applyNumberFormat="1" applyFont="1" applyFill="1" applyBorder="1" applyAlignment="1">
      <alignment horizontal="left"/>
    </xf>
    <xf numFmtId="1" fontId="6" fillId="0" borderId="2341" xfId="0" applyNumberFormat="1" applyFont="1" applyBorder="1" applyAlignment="1" applyProtection="1">
      <alignment horizontal="center" vertical="center" wrapText="1"/>
      <protection hidden="1"/>
    </xf>
    <xf numFmtId="1" fontId="6" fillId="5" borderId="2337" xfId="0" applyNumberFormat="1" applyFont="1" applyFill="1" applyBorder="1" applyProtection="1">
      <protection locked="0"/>
    </xf>
    <xf numFmtId="1" fontId="6" fillId="0" borderId="416" xfId="0" applyNumberFormat="1" applyFont="1" applyBorder="1" applyAlignment="1">
      <alignment vertical="center"/>
    </xf>
    <xf numFmtId="1" fontId="32" fillId="0" borderId="734" xfId="0" applyNumberFormat="1" applyFont="1" applyBorder="1" applyAlignment="1">
      <alignment horizontal="center" vertical="center" wrapText="1"/>
    </xf>
    <xf numFmtId="1" fontId="32" fillId="0" borderId="334" xfId="0" applyNumberFormat="1" applyFont="1" applyBorder="1" applyAlignment="1">
      <alignment horizontal="center" vertical="center" wrapText="1"/>
    </xf>
    <xf numFmtId="1" fontId="32" fillId="0" borderId="735" xfId="0" applyNumberFormat="1" applyFont="1" applyBorder="1" applyAlignment="1">
      <alignment horizontal="center" vertical="center" wrapText="1"/>
    </xf>
    <xf numFmtId="1" fontId="32" fillId="0" borderId="739" xfId="0" applyNumberFormat="1" applyFont="1" applyBorder="1" applyAlignment="1">
      <alignment horizontal="center" vertical="center" wrapText="1"/>
    </xf>
    <xf numFmtId="1" fontId="32" fillId="0" borderId="749" xfId="0" applyNumberFormat="1" applyFont="1" applyBorder="1" applyAlignment="1">
      <alignment horizontal="center" vertical="center" wrapText="1"/>
    </xf>
    <xf numFmtId="1" fontId="32" fillId="0" borderId="782" xfId="0" applyNumberFormat="1" applyFont="1" applyBorder="1"/>
    <xf numFmtId="1" fontId="32" fillId="0" borderId="783" xfId="0" applyNumberFormat="1" applyFont="1" applyBorder="1"/>
    <xf numFmtId="1" fontId="32" fillId="0" borderId="784" xfId="0" applyNumberFormat="1" applyFont="1" applyBorder="1"/>
    <xf numFmtId="1" fontId="32" fillId="0" borderId="785" xfId="0" applyNumberFormat="1" applyFont="1" applyBorder="1"/>
    <xf numFmtId="1" fontId="32" fillId="5" borderId="737" xfId="0" applyNumberFormat="1" applyFont="1" applyFill="1" applyBorder="1" applyProtection="1">
      <protection locked="0"/>
    </xf>
    <xf numFmtId="1" fontId="32" fillId="5" borderId="743" xfId="0" applyNumberFormat="1" applyFont="1" applyFill="1" applyBorder="1" applyProtection="1">
      <protection locked="0"/>
    </xf>
    <xf numFmtId="1" fontId="32" fillId="5" borderId="766" xfId="0" applyNumberFormat="1" applyFont="1" applyFill="1" applyBorder="1" applyProtection="1">
      <protection locked="0"/>
    </xf>
    <xf numFmtId="1" fontId="32" fillId="5" borderId="757" xfId="0" applyNumberFormat="1" applyFont="1" applyFill="1" applyBorder="1" applyProtection="1">
      <protection locked="0"/>
    </xf>
    <xf numFmtId="1" fontId="32" fillId="0" borderId="684" xfId="0" applyNumberFormat="1" applyFont="1" applyBorder="1"/>
    <xf numFmtId="1" fontId="32" fillId="0" borderId="670" xfId="0" applyNumberFormat="1" applyFont="1" applyBorder="1"/>
    <xf numFmtId="1" fontId="32" fillId="0" borderId="708" xfId="0" applyNumberFormat="1" applyFont="1" applyBorder="1"/>
    <xf numFmtId="1" fontId="32" fillId="0" borderId="683" xfId="0" applyNumberFormat="1" applyFont="1" applyBorder="1"/>
    <xf numFmtId="1" fontId="32" fillId="5" borderId="781" xfId="0" applyNumberFormat="1" applyFont="1" applyFill="1" applyBorder="1" applyProtection="1">
      <protection locked="0"/>
    </xf>
    <xf numFmtId="1" fontId="32" fillId="5" borderId="625" xfId="0" applyNumberFormat="1" applyFont="1" applyFill="1" applyBorder="1" applyProtection="1">
      <protection locked="0"/>
    </xf>
    <xf numFmtId="1" fontId="32" fillId="5" borderId="670" xfId="0" applyNumberFormat="1" applyFont="1" applyFill="1" applyBorder="1" applyProtection="1">
      <protection locked="0"/>
    </xf>
    <xf numFmtId="1" fontId="32" fillId="5" borderId="683" xfId="0" applyNumberFormat="1" applyFont="1" applyFill="1" applyBorder="1" applyProtection="1">
      <protection locked="0"/>
    </xf>
    <xf numFmtId="1" fontId="32" fillId="5" borderId="767" xfId="0" applyNumberFormat="1" applyFont="1" applyFill="1" applyBorder="1" applyProtection="1">
      <protection locked="0"/>
    </xf>
    <xf numFmtId="1" fontId="32" fillId="5" borderId="717" xfId="0" applyNumberFormat="1" applyFont="1" applyFill="1" applyBorder="1" applyProtection="1">
      <protection locked="0"/>
    </xf>
    <xf numFmtId="1" fontId="32" fillId="0" borderId="684" xfId="0" applyNumberFormat="1" applyFont="1" applyBorder="1" applyAlignment="1">
      <alignment wrapText="1"/>
    </xf>
    <xf numFmtId="1" fontId="32" fillId="5" borderId="680" xfId="0" applyNumberFormat="1" applyFont="1" applyFill="1" applyBorder="1" applyProtection="1">
      <protection locked="0"/>
    </xf>
    <xf numFmtId="1" fontId="32" fillId="5" borderId="39" xfId="0" applyNumberFormat="1" applyFont="1" applyFill="1" applyBorder="1" applyProtection="1">
      <protection locked="0"/>
    </xf>
    <xf numFmtId="1" fontId="32" fillId="5" borderId="302" xfId="0" applyNumberFormat="1" applyFont="1" applyFill="1" applyBorder="1" applyProtection="1">
      <protection locked="0"/>
    </xf>
    <xf numFmtId="1" fontId="32" fillId="5" borderId="769" xfId="0" applyNumberFormat="1" applyFont="1" applyFill="1" applyBorder="1" applyProtection="1">
      <protection locked="0"/>
    </xf>
    <xf numFmtId="1" fontId="32" fillId="5" borderId="779" xfId="0" applyNumberFormat="1" applyFont="1" applyFill="1" applyBorder="1" applyProtection="1">
      <protection locked="0"/>
    </xf>
    <xf numFmtId="1" fontId="32" fillId="0" borderId="675" xfId="0" applyNumberFormat="1" applyFont="1" applyBorder="1"/>
    <xf numFmtId="1" fontId="32" fillId="0" borderId="677" xfId="0" applyNumberFormat="1" applyFont="1" applyBorder="1"/>
    <xf numFmtId="1" fontId="32" fillId="0" borderId="674" xfId="0" applyNumberFormat="1" applyFont="1" applyBorder="1"/>
    <xf numFmtId="1" fontId="32" fillId="5" borderId="675" xfId="0" applyNumberFormat="1" applyFont="1" applyFill="1" applyBorder="1" applyProtection="1">
      <protection locked="0"/>
    </xf>
    <xf numFmtId="1" fontId="32" fillId="5" borderId="770" xfId="0" applyNumberFormat="1" applyFont="1" applyFill="1" applyBorder="1" applyProtection="1">
      <protection locked="0"/>
    </xf>
    <xf numFmtId="1" fontId="32" fillId="5" borderId="718" xfId="0" applyNumberFormat="1" applyFont="1" applyFill="1" applyBorder="1" applyProtection="1">
      <protection locked="0"/>
    </xf>
    <xf numFmtId="1" fontId="32" fillId="0" borderId="737" xfId="0" applyNumberFormat="1" applyFont="1" applyBorder="1"/>
    <xf numFmtId="1" fontId="32" fillId="0" borderId="765" xfId="0" applyNumberFormat="1" applyFont="1" applyBorder="1"/>
    <xf numFmtId="1" fontId="32" fillId="0" borderId="743" xfId="0" applyNumberFormat="1" applyFont="1" applyBorder="1"/>
    <xf numFmtId="1" fontId="32" fillId="0" borderId="680" xfId="0" applyNumberFormat="1" applyFont="1" applyBorder="1"/>
    <xf numFmtId="1" fontId="32" fillId="0" borderId="559" xfId="0" applyNumberFormat="1" applyFont="1" applyBorder="1"/>
    <xf numFmtId="1" fontId="32" fillId="0" borderId="39" xfId="0" applyNumberFormat="1" applyFont="1" applyBorder="1"/>
    <xf numFmtId="1" fontId="32" fillId="14" borderId="1736" xfId="0" applyNumberFormat="1" applyFont="1" applyFill="1" applyBorder="1" applyAlignment="1">
      <alignment horizontal="center" vertical="center" wrapText="1"/>
    </xf>
    <xf numFmtId="1" fontId="32" fillId="0" borderId="1770" xfId="0" applyNumberFormat="1" applyFont="1" applyBorder="1" applyAlignment="1">
      <alignment vertical="center" wrapText="1"/>
    </xf>
    <xf numFmtId="1" fontId="32" fillId="3" borderId="1802" xfId="0" applyNumberFormat="1" applyFont="1" applyFill="1" applyBorder="1"/>
    <xf numFmtId="1" fontId="32" fillId="12" borderId="1802" xfId="0" applyNumberFormat="1" applyFont="1" applyFill="1" applyBorder="1" applyAlignment="1">
      <alignment horizontal="right" wrapText="1"/>
    </xf>
    <xf numFmtId="1" fontId="32" fillId="5" borderId="1802" xfId="0" applyNumberFormat="1" applyFont="1" applyFill="1" applyBorder="1" applyProtection="1">
      <protection locked="0"/>
    </xf>
    <xf numFmtId="1" fontId="32" fillId="0" borderId="1499" xfId="0" applyNumberFormat="1" applyFont="1" applyBorder="1" applyAlignment="1">
      <alignment vertical="center" wrapText="1"/>
    </xf>
    <xf numFmtId="1" fontId="32" fillId="5" borderId="1675" xfId="0" applyNumberFormat="1" applyFont="1" applyFill="1" applyBorder="1" applyProtection="1">
      <protection locked="0"/>
    </xf>
    <xf numFmtId="1" fontId="32" fillId="0" borderId="1736" xfId="0" applyNumberFormat="1" applyFont="1" applyBorder="1"/>
    <xf numFmtId="1" fontId="32" fillId="0" borderId="1677" xfId="0" applyNumberFormat="1" applyFont="1" applyBorder="1" applyAlignment="1">
      <alignment horizontal="center" vertical="center" wrapText="1"/>
    </xf>
    <xf numFmtId="1" fontId="32" fillId="0" borderId="1699" xfId="0" applyNumberFormat="1" applyFont="1" applyBorder="1" applyAlignment="1">
      <alignment horizontal="center" vertical="center" wrapText="1"/>
    </xf>
    <xf numFmtId="1" fontId="32" fillId="0" borderId="114" xfId="0" applyNumberFormat="1" applyFont="1" applyBorder="1" applyAlignment="1">
      <alignment horizontal="center" vertical="center" wrapText="1"/>
    </xf>
    <xf numFmtId="1" fontId="65" fillId="14" borderId="416" xfId="0" applyNumberFormat="1" applyFont="1" applyFill="1" applyBorder="1" applyAlignment="1" applyProtection="1">
      <alignment vertical="center"/>
      <protection locked="0"/>
    </xf>
    <xf numFmtId="1" fontId="32" fillId="14" borderId="0" xfId="0" applyNumberFormat="1" applyFont="1" applyFill="1" applyAlignment="1">
      <alignment vertical="center"/>
    </xf>
    <xf numFmtId="1" fontId="32" fillId="14" borderId="1770" xfId="0" applyNumberFormat="1" applyFont="1" applyFill="1" applyBorder="1" applyAlignment="1">
      <alignment vertical="center" wrapText="1"/>
    </xf>
    <xf numFmtId="1" fontId="32" fillId="14" borderId="1804" xfId="0" applyNumberFormat="1" applyFont="1" applyFill="1" applyBorder="1" applyAlignment="1">
      <alignment horizontal="right" wrapText="1"/>
    </xf>
    <xf numFmtId="1" fontId="32" fillId="14" borderId="1805" xfId="0" applyNumberFormat="1" applyFont="1" applyFill="1" applyBorder="1" applyAlignment="1">
      <alignment horizontal="right" wrapText="1"/>
    </xf>
    <xf numFmtId="1" fontId="32" fillId="14" borderId="1739" xfId="0" applyNumberFormat="1" applyFont="1" applyFill="1" applyBorder="1" applyAlignment="1">
      <alignment horizontal="right"/>
    </xf>
    <xf numFmtId="1" fontId="32" fillId="5" borderId="1804" xfId="0" applyNumberFormat="1" applyFont="1" applyFill="1" applyBorder="1" applyProtection="1">
      <protection locked="0"/>
    </xf>
    <xf numFmtId="1" fontId="32" fillId="5" borderId="1806" xfId="0" applyNumberFormat="1" applyFont="1" applyFill="1" applyBorder="1" applyProtection="1">
      <protection locked="0"/>
    </xf>
    <xf numFmtId="1" fontId="32" fillId="5" borderId="1739" xfId="0" applyNumberFormat="1" applyFont="1" applyFill="1" applyBorder="1" applyProtection="1">
      <protection locked="0"/>
    </xf>
    <xf numFmtId="1" fontId="32" fillId="14" borderId="1640" xfId="0" applyNumberFormat="1" applyFont="1" applyFill="1" applyBorder="1" applyAlignment="1">
      <alignment vertical="center" wrapText="1"/>
    </xf>
    <xf numFmtId="1" fontId="32" fillId="14" borderId="1649" xfId="0" applyNumberFormat="1" applyFont="1" applyFill="1" applyBorder="1" applyAlignment="1">
      <alignment horizontal="right" wrapText="1"/>
    </xf>
    <xf numFmtId="1" fontId="32" fillId="14" borderId="1650" xfId="0" applyNumberFormat="1" applyFont="1" applyFill="1" applyBorder="1" applyAlignment="1">
      <alignment horizontal="right" wrapText="1"/>
    </xf>
    <xf numFmtId="1" fontId="32" fillId="14" borderId="1421" xfId="0" applyNumberFormat="1" applyFont="1" applyFill="1" applyBorder="1" applyAlignment="1">
      <alignment horizontal="right"/>
    </xf>
    <xf numFmtId="1" fontId="32" fillId="5" borderId="1651" xfId="0" applyNumberFormat="1" applyFont="1" applyFill="1" applyBorder="1" applyProtection="1">
      <protection locked="0"/>
    </xf>
    <xf numFmtId="1" fontId="32" fillId="5" borderId="1647" xfId="0" applyNumberFormat="1" applyFont="1" applyFill="1" applyBorder="1" applyProtection="1">
      <protection locked="0"/>
    </xf>
    <xf numFmtId="1" fontId="32" fillId="14" borderId="1499" xfId="0" applyNumberFormat="1" applyFont="1" applyFill="1" applyBorder="1" applyAlignment="1">
      <alignment vertical="center" wrapText="1"/>
    </xf>
    <xf numFmtId="1" fontId="32" fillId="14" borderId="1583" xfId="0" applyNumberFormat="1" applyFont="1" applyFill="1" applyBorder="1" applyAlignment="1">
      <alignment horizontal="right" wrapText="1"/>
    </xf>
    <xf numFmtId="1" fontId="32" fillId="14" borderId="1676" xfId="0" applyNumberFormat="1" applyFont="1" applyFill="1" applyBorder="1" applyAlignment="1">
      <alignment horizontal="right" wrapText="1"/>
    </xf>
    <xf numFmtId="1" fontId="32" fillId="14" borderId="1659" xfId="0" applyNumberFormat="1" applyFont="1" applyFill="1" applyBorder="1" applyAlignment="1">
      <alignment horizontal="right"/>
    </xf>
    <xf numFmtId="1" fontId="32" fillId="5" borderId="1583" xfId="0" applyNumberFormat="1" applyFont="1" applyFill="1" applyBorder="1" applyProtection="1">
      <protection locked="0"/>
    </xf>
    <xf numFmtId="1" fontId="32" fillId="5" borderId="1584" xfId="0" applyNumberFormat="1" applyFont="1" applyFill="1" applyBorder="1" applyProtection="1">
      <protection locked="0"/>
    </xf>
    <xf numFmtId="1" fontId="32" fillId="5" borderId="1659" xfId="0" applyNumberFormat="1" applyFont="1" applyFill="1" applyBorder="1" applyProtection="1">
      <protection locked="0"/>
    </xf>
    <xf numFmtId="1" fontId="32" fillId="14" borderId="1789" xfId="0" applyNumberFormat="1" applyFont="1" applyFill="1" applyBorder="1" applyAlignment="1">
      <alignment horizontal="right"/>
    </xf>
    <xf numFmtId="1" fontId="32" fillId="14" borderId="1741" xfId="0" applyNumberFormat="1" applyFont="1" applyFill="1" applyBorder="1" applyAlignment="1">
      <alignment horizontal="right"/>
    </xf>
    <xf numFmtId="1" fontId="32" fillId="14" borderId="1667" xfId="0" applyNumberFormat="1" applyFont="1" applyFill="1" applyBorder="1" applyAlignment="1">
      <alignment horizontal="right"/>
    </xf>
    <xf numFmtId="1" fontId="32" fillId="14" borderId="1789" xfId="0" applyNumberFormat="1" applyFont="1" applyFill="1" applyBorder="1"/>
    <xf numFmtId="1" fontId="32" fillId="14" borderId="1667" xfId="0" applyNumberFormat="1" applyFont="1" applyFill="1" applyBorder="1"/>
    <xf numFmtId="1" fontId="32" fillId="14" borderId="1740" xfId="0" applyNumberFormat="1" applyFont="1" applyFill="1" applyBorder="1"/>
    <xf numFmtId="1" fontId="32" fillId="14" borderId="1787" xfId="0" applyNumberFormat="1" applyFont="1" applyFill="1" applyBorder="1"/>
    <xf numFmtId="1" fontId="32" fillId="14" borderId="1772" xfId="0" applyNumberFormat="1" applyFont="1" applyFill="1" applyBorder="1"/>
    <xf numFmtId="1" fontId="32" fillId="14" borderId="1736" xfId="0" applyNumberFormat="1" applyFont="1" applyFill="1" applyBorder="1"/>
    <xf numFmtId="1" fontId="65" fillId="0" borderId="1787" xfId="0" applyNumberFormat="1" applyFont="1" applyBorder="1" applyAlignment="1">
      <alignment horizontal="left" vertical="center" wrapText="1"/>
    </xf>
    <xf numFmtId="1" fontId="32" fillId="0" borderId="2341" xfId="0" applyNumberFormat="1" applyFont="1" applyBorder="1" applyAlignment="1">
      <alignment horizontal="center" vertical="center" wrapText="1"/>
    </xf>
    <xf numFmtId="1" fontId="32" fillId="0" borderId="2345" xfId="0" applyNumberFormat="1" applyFont="1" applyBorder="1" applyAlignment="1">
      <alignment horizontal="center" vertical="center" wrapText="1"/>
    </xf>
    <xf numFmtId="164" fontId="64" fillId="0" borderId="897" xfId="32" applyNumberFormat="1" applyFont="1" applyBorder="1" applyAlignment="1" applyProtection="1">
      <alignment horizontal="left"/>
    </xf>
    <xf numFmtId="1" fontId="32" fillId="5" borderId="71" xfId="0" applyNumberFormat="1" applyFont="1" applyFill="1" applyBorder="1" applyProtection="1">
      <protection locked="0"/>
    </xf>
    <xf numFmtId="1" fontId="32" fillId="5" borderId="1843" xfId="0" applyNumberFormat="1" applyFont="1" applyFill="1" applyBorder="1" applyProtection="1">
      <protection locked="0"/>
    </xf>
    <xf numFmtId="1" fontId="6" fillId="6" borderId="2349" xfId="14" applyNumberFormat="1" applyFont="1" applyBorder="1" applyProtection="1">
      <protection locked="0"/>
    </xf>
    <xf numFmtId="1" fontId="6" fillId="6" borderId="2353" xfId="14" applyNumberFormat="1" applyFont="1" applyBorder="1" applyProtection="1">
      <protection locked="0"/>
    </xf>
    <xf numFmtId="1" fontId="6" fillId="6" borderId="136" xfId="14" applyNumberFormat="1" applyFont="1" applyBorder="1" applyProtection="1">
      <protection locked="0"/>
    </xf>
    <xf numFmtId="1" fontId="6" fillId="12" borderId="2352" xfId="1" applyNumberFormat="1" applyFont="1" applyFill="1" applyBorder="1" applyProtection="1"/>
    <xf numFmtId="1" fontId="6" fillId="12" borderId="2354" xfId="1" applyNumberFormat="1" applyFont="1" applyFill="1" applyBorder="1" applyProtection="1"/>
    <xf numFmtId="1" fontId="6" fillId="12" borderId="2243" xfId="1" applyNumberFormat="1" applyFont="1" applyFill="1" applyBorder="1" applyProtection="1"/>
    <xf numFmtId="1" fontId="6" fillId="6" borderId="986" xfId="14" applyNumberFormat="1" applyFont="1" applyBorder="1" applyProtection="1">
      <protection locked="0"/>
    </xf>
    <xf numFmtId="1" fontId="6" fillId="6" borderId="2355" xfId="14" applyNumberFormat="1" applyFont="1" applyBorder="1" applyProtection="1">
      <protection locked="0"/>
    </xf>
    <xf numFmtId="1" fontId="6" fillId="6" borderId="2356" xfId="14" applyNumberFormat="1" applyFont="1" applyBorder="1" applyProtection="1">
      <protection locked="0"/>
    </xf>
    <xf numFmtId="1" fontId="6" fillId="6" borderId="2357" xfId="14" applyNumberFormat="1" applyFont="1" applyBorder="1" applyProtection="1">
      <protection locked="0"/>
    </xf>
    <xf numFmtId="1" fontId="6" fillId="6" borderId="2358" xfId="14" applyNumberFormat="1" applyFont="1" applyBorder="1" applyProtection="1">
      <protection locked="0"/>
    </xf>
    <xf numFmtId="1" fontId="6" fillId="6" borderId="2359" xfId="14" applyNumberFormat="1" applyFont="1" applyBorder="1" applyProtection="1">
      <protection locked="0"/>
    </xf>
    <xf numFmtId="1" fontId="6" fillId="12" borderId="2360" xfId="1" applyNumberFormat="1" applyFont="1" applyFill="1" applyBorder="1" applyProtection="1"/>
    <xf numFmtId="1" fontId="6" fillId="6" borderId="143" xfId="14" applyNumberFormat="1" applyFont="1" applyBorder="1" applyProtection="1">
      <protection locked="0"/>
    </xf>
    <xf numFmtId="1" fontId="6" fillId="12" borderId="2361" xfId="1" applyNumberFormat="1" applyFont="1" applyFill="1" applyBorder="1" applyProtection="1"/>
    <xf numFmtId="1" fontId="6" fillId="6" borderId="2362" xfId="14" applyNumberFormat="1" applyFont="1" applyBorder="1" applyProtection="1">
      <protection locked="0"/>
    </xf>
    <xf numFmtId="1" fontId="6" fillId="6" borderId="2363" xfId="14" applyNumberFormat="1" applyFont="1" applyBorder="1" applyProtection="1">
      <protection locked="0"/>
    </xf>
    <xf numFmtId="1" fontId="6" fillId="6" borderId="2364" xfId="14" applyNumberFormat="1" applyFont="1" applyBorder="1" applyProtection="1">
      <protection locked="0"/>
    </xf>
    <xf numFmtId="1" fontId="6" fillId="6" borderId="2365" xfId="14" applyNumberFormat="1" applyFont="1" applyBorder="1" applyProtection="1">
      <protection locked="0"/>
    </xf>
    <xf numFmtId="164" fontId="32" fillId="0" borderId="2341" xfId="32" applyNumberFormat="1" applyFont="1" applyBorder="1" applyAlignment="1" applyProtection="1">
      <alignment horizontal="center" vertical="center" wrapText="1"/>
    </xf>
    <xf numFmtId="164" fontId="32" fillId="0" borderId="2330" xfId="32" applyNumberFormat="1" applyFont="1" applyBorder="1" applyAlignment="1" applyProtection="1">
      <alignment horizontal="center" vertical="center" wrapText="1"/>
    </xf>
    <xf numFmtId="1" fontId="76" fillId="18" borderId="0" xfId="0" applyNumberFormat="1" applyFont="1" applyFill="1" applyProtection="1">
      <protection locked="0"/>
    </xf>
    <xf numFmtId="1" fontId="80" fillId="3" borderId="0" xfId="0" applyNumberFormat="1" applyFont="1" applyFill="1"/>
    <xf numFmtId="1" fontId="32" fillId="0" borderId="2108" xfId="0" applyNumberFormat="1" applyFont="1" applyBorder="1" applyAlignment="1">
      <alignment horizontal="center" vertical="center" wrapText="1"/>
    </xf>
    <xf numFmtId="1" fontId="32" fillId="0" borderId="2113" xfId="0" applyNumberFormat="1" applyFont="1" applyBorder="1" applyAlignment="1">
      <alignment horizontal="center" vertical="center" wrapText="1"/>
    </xf>
    <xf numFmtId="1" fontId="32" fillId="0" borderId="2121" xfId="0" applyNumberFormat="1" applyFont="1" applyBorder="1" applyAlignment="1">
      <alignment horizontal="center" vertical="center" wrapText="1"/>
    </xf>
    <xf numFmtId="1" fontId="32" fillId="0" borderId="2108" xfId="0" applyNumberFormat="1" applyFont="1" applyBorder="1"/>
    <xf numFmtId="1" fontId="32" fillId="0" borderId="1841" xfId="0" applyNumberFormat="1" applyFont="1" applyBorder="1"/>
    <xf numFmtId="1" fontId="32" fillId="0" borderId="2113" xfId="0" applyNumberFormat="1" applyFont="1" applyBorder="1"/>
    <xf numFmtId="1" fontId="32" fillId="5" borderId="1897" xfId="0" applyNumberFormat="1" applyFont="1" applyFill="1" applyBorder="1" applyProtection="1">
      <protection locked="0"/>
    </xf>
    <xf numFmtId="1" fontId="32" fillId="5" borderId="2118" xfId="0" applyNumberFormat="1" applyFont="1" applyFill="1" applyBorder="1" applyProtection="1">
      <protection locked="0"/>
    </xf>
    <xf numFmtId="1" fontId="32" fillId="14" borderId="0" xfId="0" applyNumberFormat="1" applyFont="1" applyFill="1" applyAlignment="1">
      <alignment vertical="center" wrapText="1"/>
    </xf>
    <xf numFmtId="1" fontId="76" fillId="17" borderId="0" xfId="0" applyNumberFormat="1" applyFont="1" applyFill="1"/>
    <xf numFmtId="1" fontId="76" fillId="18" borderId="0" xfId="0" applyNumberFormat="1" applyFont="1" applyFill="1"/>
    <xf numFmtId="1" fontId="32" fillId="5" borderId="1837" xfId="0" applyNumberFormat="1" applyFont="1" applyFill="1" applyBorder="1" applyProtection="1">
      <protection locked="0"/>
    </xf>
    <xf numFmtId="1" fontId="32" fillId="5" borderId="1634" xfId="0" applyNumberFormat="1" applyFont="1" applyFill="1" applyBorder="1" applyProtection="1">
      <protection locked="0"/>
    </xf>
    <xf numFmtId="1" fontId="32" fillId="0" borderId="1583" xfId="0" applyNumberFormat="1" applyFont="1" applyBorder="1" applyAlignment="1">
      <alignment vertical="center" wrapText="1"/>
    </xf>
    <xf numFmtId="1" fontId="32" fillId="5" borderId="1674" xfId="0" applyNumberFormat="1" applyFont="1" applyFill="1" applyBorder="1" applyProtection="1">
      <protection locked="0"/>
    </xf>
    <xf numFmtId="1" fontId="32" fillId="0" borderId="811" xfId="0" applyNumberFormat="1" applyFont="1" applyBorder="1"/>
    <xf numFmtId="1" fontId="32" fillId="5" borderId="401" xfId="0" applyNumberFormat="1" applyFont="1" applyFill="1" applyBorder="1" applyProtection="1">
      <protection locked="0"/>
    </xf>
    <xf numFmtId="1" fontId="32" fillId="3" borderId="1836" xfId="0" applyNumberFormat="1" applyFont="1" applyFill="1" applyBorder="1" applyAlignment="1">
      <alignment vertical="center" wrapText="1"/>
    </xf>
    <xf numFmtId="1" fontId="32" fillId="0" borderId="1834" xfId="0" applyNumberFormat="1" applyFont="1" applyBorder="1"/>
    <xf numFmtId="1" fontId="32" fillId="5" borderId="1720" xfId="0" applyNumberFormat="1" applyFont="1" applyFill="1" applyBorder="1" applyProtection="1">
      <protection locked="0"/>
    </xf>
    <xf numFmtId="1" fontId="32" fillId="5" borderId="1838" xfId="0" applyNumberFormat="1" applyFont="1" applyFill="1" applyBorder="1" applyProtection="1">
      <protection locked="0"/>
    </xf>
    <xf numFmtId="1" fontId="32" fillId="5" borderId="885" xfId="0" applyNumberFormat="1" applyFont="1" applyFill="1" applyBorder="1" applyProtection="1">
      <protection locked="0"/>
    </xf>
    <xf numFmtId="1" fontId="32" fillId="5" borderId="1834" xfId="0" applyNumberFormat="1" applyFont="1" applyFill="1" applyBorder="1" applyProtection="1">
      <protection locked="0"/>
    </xf>
    <xf numFmtId="1" fontId="32" fillId="0" borderId="1896" xfId="0" applyNumberFormat="1" applyFont="1" applyBorder="1"/>
    <xf numFmtId="1" fontId="32" fillId="0" borderId="1897" xfId="0" applyNumberFormat="1" applyFont="1" applyBorder="1"/>
    <xf numFmtId="1" fontId="32" fillId="0" borderId="2118" xfId="0" applyNumberFormat="1" applyFont="1" applyBorder="1"/>
    <xf numFmtId="1" fontId="32" fillId="5" borderId="1844" xfId="0" applyNumberFormat="1" applyFont="1" applyFill="1" applyBorder="1" applyProtection="1">
      <protection locked="0"/>
    </xf>
    <xf numFmtId="1" fontId="32" fillId="5" borderId="1846" xfId="0" applyNumberFormat="1" applyFont="1" applyFill="1" applyBorder="1" applyProtection="1">
      <protection locked="0"/>
    </xf>
    <xf numFmtId="1" fontId="32" fillId="5" borderId="1702" xfId="0" applyNumberFormat="1" applyFont="1" applyFill="1" applyBorder="1" applyProtection="1">
      <protection locked="0"/>
    </xf>
    <xf numFmtId="1" fontId="32" fillId="5" borderId="2129" xfId="0" applyNumberFormat="1" applyFont="1" applyFill="1" applyBorder="1" applyProtection="1">
      <protection locked="0"/>
    </xf>
    <xf numFmtId="1" fontId="32" fillId="5" borderId="1424" xfId="0" applyNumberFormat="1" applyFont="1" applyFill="1" applyBorder="1" applyProtection="1">
      <protection locked="0"/>
    </xf>
    <xf numFmtId="1" fontId="32" fillId="0" borderId="1827" xfId="0" applyNumberFormat="1" applyFont="1" applyBorder="1" applyAlignment="1">
      <alignment vertical="center" wrapText="1"/>
    </xf>
    <xf numFmtId="1" fontId="32" fillId="5" borderId="510" xfId="0" applyNumberFormat="1" applyFont="1" applyFill="1" applyBorder="1" applyProtection="1">
      <protection locked="0"/>
    </xf>
    <xf numFmtId="1" fontId="32" fillId="5" borderId="1646" xfId="0" applyNumberFormat="1" applyFont="1" applyFill="1" applyBorder="1" applyProtection="1">
      <protection locked="0"/>
    </xf>
    <xf numFmtId="1" fontId="32" fillId="5" borderId="768" xfId="0" applyNumberFormat="1" applyFont="1" applyFill="1" applyBorder="1" applyProtection="1">
      <protection locked="0"/>
    </xf>
    <xf numFmtId="1" fontId="32" fillId="5" borderId="375" xfId="0" applyNumberFormat="1" applyFont="1" applyFill="1" applyBorder="1" applyProtection="1">
      <protection locked="0"/>
    </xf>
    <xf numFmtId="1" fontId="32" fillId="0" borderId="1838" xfId="0" applyNumberFormat="1" applyFont="1" applyBorder="1" applyAlignment="1">
      <alignment vertical="center" wrapText="1"/>
    </xf>
    <xf numFmtId="1" fontId="32" fillId="5" borderId="725" xfId="0" applyNumberFormat="1" applyFont="1" applyFill="1" applyBorder="1" applyProtection="1">
      <protection locked="0"/>
    </xf>
    <xf numFmtId="1" fontId="64" fillId="14" borderId="0" xfId="0" applyNumberFormat="1" applyFont="1" applyFill="1"/>
    <xf numFmtId="1" fontId="32" fillId="0" borderId="2118" xfId="0" applyNumberFormat="1" applyFont="1" applyBorder="1" applyAlignment="1">
      <alignment horizontal="center" vertical="center" wrapText="1"/>
    </xf>
    <xf numFmtId="1" fontId="32" fillId="0" borderId="2120" xfId="0" applyNumberFormat="1" applyFont="1" applyBorder="1" applyAlignment="1">
      <alignment horizontal="center" vertical="center" wrapText="1"/>
    </xf>
    <xf numFmtId="1" fontId="32" fillId="14" borderId="2122" xfId="0" applyNumberFormat="1" applyFont="1" applyFill="1" applyBorder="1" applyAlignment="1">
      <alignment vertical="center"/>
    </xf>
    <xf numFmtId="1" fontId="32" fillId="0" borderId="1828" xfId="0" applyNumberFormat="1" applyFont="1" applyBorder="1" applyAlignment="1">
      <alignment horizontal="right" vertical="center"/>
    </xf>
    <xf numFmtId="1" fontId="32" fillId="5" borderId="1837" xfId="0" applyNumberFormat="1" applyFont="1" applyFill="1" applyBorder="1" applyAlignment="1" applyProtection="1">
      <alignment horizontal="right"/>
      <protection locked="0"/>
    </xf>
    <xf numFmtId="1" fontId="32" fillId="5" borderId="1651" xfId="0" applyNumberFormat="1" applyFont="1" applyFill="1" applyBorder="1" applyAlignment="1" applyProtection="1">
      <alignment horizontal="right"/>
      <protection locked="0"/>
    </xf>
    <xf numFmtId="1" fontId="32" fillId="5" borderId="1421" xfId="0" applyNumberFormat="1" applyFont="1" applyFill="1" applyBorder="1" applyAlignment="1" applyProtection="1">
      <alignment horizontal="right"/>
      <protection locked="0"/>
    </xf>
    <xf numFmtId="1" fontId="32" fillId="5" borderId="1634" xfId="0" applyNumberFormat="1" applyFont="1" applyFill="1" applyBorder="1" applyAlignment="1" applyProtection="1">
      <alignment horizontal="right"/>
      <protection locked="0"/>
    </xf>
    <xf numFmtId="1" fontId="32" fillId="0" borderId="1675" xfId="0" applyNumberFormat="1" applyFont="1" applyBorder="1" applyAlignment="1">
      <alignment horizontal="right" vertical="center"/>
    </xf>
    <xf numFmtId="1" fontId="32" fillId="5" borderId="1583" xfId="0" applyNumberFormat="1" applyFont="1" applyFill="1" applyBorder="1" applyAlignment="1" applyProtection="1">
      <alignment horizontal="right"/>
      <protection locked="0"/>
    </xf>
    <xf numFmtId="1" fontId="32" fillId="5" borderId="965" xfId="0" applyNumberFormat="1" applyFont="1" applyFill="1" applyBorder="1" applyAlignment="1" applyProtection="1">
      <alignment horizontal="right"/>
      <protection locked="0"/>
    </xf>
    <xf numFmtId="1" fontId="32" fillId="5" borderId="1659" xfId="0" applyNumberFormat="1" applyFont="1" applyFill="1" applyBorder="1" applyAlignment="1" applyProtection="1">
      <alignment horizontal="right"/>
      <protection locked="0"/>
    </xf>
    <xf numFmtId="1" fontId="32" fillId="5" borderId="1674" xfId="0" applyNumberFormat="1" applyFont="1" applyFill="1" applyBorder="1" applyAlignment="1" applyProtection="1">
      <alignment horizontal="right"/>
      <protection locked="0"/>
    </xf>
    <xf numFmtId="1" fontId="32" fillId="5" borderId="1666" xfId="0" applyNumberFormat="1" applyFont="1" applyFill="1" applyBorder="1" applyAlignment="1" applyProtection="1">
      <alignment horizontal="right"/>
      <protection locked="0"/>
    </xf>
    <xf numFmtId="1" fontId="32" fillId="0" borderId="1647" xfId="0" applyNumberFormat="1" applyFont="1" applyBorder="1" applyAlignment="1">
      <alignment horizontal="right" vertical="center"/>
    </xf>
    <xf numFmtId="1" fontId="32" fillId="5" borderId="809" xfId="0" applyNumberFormat="1" applyFont="1" applyFill="1" applyBorder="1" applyAlignment="1" applyProtection="1">
      <alignment horizontal="right"/>
      <protection locked="0"/>
    </xf>
    <xf numFmtId="1" fontId="32" fillId="5" borderId="961" xfId="0" applyNumberFormat="1" applyFont="1" applyFill="1" applyBorder="1" applyAlignment="1" applyProtection="1">
      <alignment horizontal="right"/>
      <protection locked="0"/>
    </xf>
    <xf numFmtId="1" fontId="32" fillId="0" borderId="1421" xfId="0" applyNumberFormat="1" applyFont="1" applyBorder="1" applyAlignment="1">
      <alignment horizontal="right" vertical="center"/>
    </xf>
    <xf numFmtId="1" fontId="32" fillId="0" borderId="510" xfId="0" applyNumberFormat="1" applyFont="1" applyBorder="1" applyAlignment="1">
      <alignment horizontal="right" vertical="center"/>
    </xf>
    <xf numFmtId="1" fontId="32" fillId="5" borderId="1844" xfId="0" applyNumberFormat="1" applyFont="1" applyFill="1" applyBorder="1" applyAlignment="1" applyProtection="1">
      <alignment horizontal="right"/>
      <protection locked="0"/>
    </xf>
    <xf numFmtId="1" fontId="32" fillId="5" borderId="1702" xfId="0" applyNumberFormat="1" applyFont="1" applyFill="1" applyBorder="1" applyAlignment="1" applyProtection="1">
      <alignment horizontal="right"/>
      <protection locked="0"/>
    </xf>
    <xf numFmtId="1" fontId="32" fillId="5" borderId="1846" xfId="0" applyNumberFormat="1" applyFont="1" applyFill="1" applyBorder="1" applyAlignment="1" applyProtection="1">
      <alignment horizontal="right"/>
      <protection locked="0"/>
    </xf>
    <xf numFmtId="1" fontId="32" fillId="5" borderId="1424" xfId="0" applyNumberFormat="1" applyFont="1" applyFill="1" applyBorder="1" applyAlignment="1" applyProtection="1">
      <alignment horizontal="right"/>
      <protection locked="0"/>
    </xf>
    <xf numFmtId="1" fontId="32" fillId="5" borderId="2128" xfId="0" applyNumberFormat="1" applyFont="1" applyFill="1" applyBorder="1" applyAlignment="1" applyProtection="1">
      <alignment horizontal="right"/>
      <protection locked="0"/>
    </xf>
    <xf numFmtId="1" fontId="32" fillId="0" borderId="1834" xfId="0" applyNumberFormat="1" applyFont="1" applyBorder="1" applyAlignment="1">
      <alignment horizontal="right" vertical="center"/>
    </xf>
    <xf numFmtId="1" fontId="32" fillId="5" borderId="1836" xfId="0" applyNumberFormat="1" applyFont="1" applyFill="1" applyBorder="1" applyAlignment="1" applyProtection="1">
      <alignment horizontal="right"/>
      <protection locked="0"/>
    </xf>
    <xf numFmtId="1" fontId="32" fillId="5" borderId="1663" xfId="0" applyNumberFormat="1" applyFont="1" applyFill="1" applyBorder="1" applyAlignment="1" applyProtection="1">
      <alignment horizontal="right"/>
      <protection locked="0"/>
    </xf>
    <xf numFmtId="1" fontId="32" fillId="5" borderId="1834" xfId="0" applyNumberFormat="1" applyFont="1" applyFill="1" applyBorder="1" applyAlignment="1" applyProtection="1">
      <alignment horizontal="right"/>
      <protection locked="0"/>
    </xf>
    <xf numFmtId="1" fontId="32" fillId="5" borderId="1612" xfId="0" applyNumberFormat="1" applyFont="1" applyFill="1" applyBorder="1" applyAlignment="1" applyProtection="1">
      <alignment horizontal="right"/>
      <protection locked="0"/>
    </xf>
    <xf numFmtId="1" fontId="32" fillId="5" borderId="804" xfId="0" applyNumberFormat="1" applyFont="1" applyFill="1" applyBorder="1" applyAlignment="1" applyProtection="1">
      <alignment horizontal="right"/>
      <protection locked="0"/>
    </xf>
    <xf numFmtId="1" fontId="32" fillId="0" borderId="1831" xfId="0" applyNumberFormat="1" applyFont="1" applyBorder="1" applyAlignment="1">
      <alignment vertical="center"/>
    </xf>
    <xf numFmtId="1" fontId="32" fillId="0" borderId="1838" xfId="0" applyNumberFormat="1" applyFont="1" applyBorder="1" applyAlignment="1">
      <alignment horizontal="right" vertical="center"/>
    </xf>
    <xf numFmtId="1" fontId="32" fillId="5" borderId="1843" xfId="0" applyNumberFormat="1" applyFont="1" applyFill="1" applyBorder="1" applyAlignment="1" applyProtection="1">
      <alignment horizontal="right"/>
      <protection locked="0"/>
    </xf>
    <xf numFmtId="1" fontId="32" fillId="0" borderId="0" xfId="0" applyNumberFormat="1" applyFont="1" applyAlignment="1">
      <alignment horizontal="left" vertical="center"/>
    </xf>
    <xf numFmtId="1" fontId="32" fillId="0" borderId="1647" xfId="0" applyNumberFormat="1" applyFont="1" applyBorder="1" applyAlignment="1">
      <alignment horizontal="right"/>
    </xf>
    <xf numFmtId="1" fontId="32" fillId="0" borderId="1834" xfId="0" applyNumberFormat="1" applyFont="1" applyBorder="1" applyAlignment="1">
      <alignment wrapText="1"/>
    </xf>
    <xf numFmtId="1" fontId="32" fillId="0" borderId="1836" xfId="0" applyNumberFormat="1" applyFont="1" applyBorder="1" applyAlignment="1">
      <alignment wrapText="1"/>
    </xf>
    <xf numFmtId="1" fontId="32" fillId="5" borderId="1612" xfId="0" applyNumberFormat="1" applyFont="1" applyFill="1" applyBorder="1" applyProtection="1">
      <protection locked="0"/>
    </xf>
    <xf numFmtId="1" fontId="32" fillId="5" borderId="1836" xfId="0" applyNumberFormat="1" applyFont="1" applyFill="1" applyBorder="1" applyProtection="1">
      <protection locked="0"/>
    </xf>
    <xf numFmtId="1" fontId="64" fillId="0" borderId="0" xfId="0" applyNumberFormat="1" applyFont="1" applyAlignment="1">
      <alignment horizontal="left"/>
    </xf>
    <xf numFmtId="1" fontId="32" fillId="3" borderId="0" xfId="0" applyNumberFormat="1" applyFont="1" applyFill="1" applyAlignment="1">
      <alignment horizontal="left" wrapText="1"/>
    </xf>
    <xf numFmtId="1" fontId="32" fillId="0" borderId="2092" xfId="0" applyNumberFormat="1" applyFont="1" applyBorder="1" applyAlignment="1">
      <alignment horizontal="center" vertical="center"/>
    </xf>
    <xf numFmtId="1" fontId="32" fillId="3" borderId="1896" xfId="0" applyNumberFormat="1" applyFont="1" applyFill="1" applyBorder="1" applyAlignment="1">
      <alignment horizontal="center" vertical="center" wrapText="1"/>
    </xf>
    <xf numFmtId="1" fontId="64" fillId="3" borderId="0" xfId="0" applyNumberFormat="1" applyFont="1" applyFill="1" applyAlignment="1">
      <alignment horizontal="left"/>
    </xf>
    <xf numFmtId="1" fontId="32" fillId="3" borderId="2092" xfId="0" applyNumberFormat="1" applyFont="1" applyFill="1" applyBorder="1" applyAlignment="1">
      <alignment horizontal="center" vertical="center"/>
    </xf>
    <xf numFmtId="1" fontId="32" fillId="5" borderId="1663" xfId="0" applyNumberFormat="1" applyFont="1" applyFill="1" applyBorder="1" applyProtection="1">
      <protection locked="0"/>
    </xf>
    <xf numFmtId="1" fontId="32" fillId="5" borderId="1872" xfId="0" applyNumberFormat="1" applyFont="1" applyFill="1" applyBorder="1" applyProtection="1">
      <protection locked="0"/>
    </xf>
    <xf numFmtId="1" fontId="32" fillId="5" borderId="1805" xfId="0" applyNumberFormat="1" applyFont="1" applyFill="1" applyBorder="1" applyProtection="1">
      <protection locked="0"/>
    </xf>
    <xf numFmtId="1" fontId="32" fillId="5" borderId="1832" xfId="0" applyNumberFormat="1" applyFont="1" applyFill="1" applyBorder="1" applyProtection="1">
      <protection locked="0"/>
    </xf>
    <xf numFmtId="1" fontId="80" fillId="14" borderId="0" xfId="0" applyNumberFormat="1" applyFont="1" applyFill="1"/>
    <xf numFmtId="1" fontId="32" fillId="0" borderId="1675" xfId="0" applyNumberFormat="1" applyFont="1" applyBorder="1"/>
    <xf numFmtId="1" fontId="32" fillId="5" borderId="1678" xfId="0" applyNumberFormat="1" applyFont="1" applyFill="1" applyBorder="1" applyProtection="1">
      <protection locked="0"/>
    </xf>
    <xf numFmtId="1" fontId="32" fillId="0" borderId="1838" xfId="0" applyNumberFormat="1" applyFont="1" applyBorder="1" applyAlignment="1">
      <alignment horizontal="left" vertical="center" wrapText="1"/>
    </xf>
    <xf numFmtId="1" fontId="32" fillId="0" borderId="1838" xfId="0" applyNumberFormat="1" applyFont="1" applyBorder="1"/>
    <xf numFmtId="1" fontId="32" fillId="5" borderId="1708" xfId="0" applyNumberFormat="1" applyFont="1" applyFill="1" applyBorder="1" applyProtection="1">
      <protection locked="0"/>
    </xf>
    <xf numFmtId="1" fontId="32" fillId="5" borderId="1707" xfId="0" applyNumberFormat="1" applyFont="1" applyFill="1" applyBorder="1" applyProtection="1">
      <protection locked="0"/>
    </xf>
    <xf numFmtId="1" fontId="32" fillId="5" borderId="1156" xfId="0" applyNumberFormat="1" applyFont="1" applyFill="1" applyBorder="1" applyProtection="1">
      <protection locked="0"/>
    </xf>
    <xf numFmtId="1" fontId="32" fillId="5" borderId="114" xfId="0" applyNumberFormat="1" applyFont="1" applyFill="1" applyBorder="1" applyProtection="1">
      <protection locked="0"/>
    </xf>
    <xf numFmtId="1" fontId="80" fillId="0" borderId="0" xfId="0" applyNumberFormat="1" applyFont="1"/>
    <xf numFmtId="1" fontId="32" fillId="3" borderId="1675" xfId="0" applyNumberFormat="1" applyFont="1" applyFill="1" applyBorder="1" applyAlignment="1">
      <alignment horizontal="right" wrapText="1"/>
    </xf>
    <xf numFmtId="1" fontId="32" fillId="5" borderId="961" xfId="0" applyNumberFormat="1" applyFont="1" applyFill="1" applyBorder="1" applyProtection="1">
      <protection locked="0"/>
    </xf>
    <xf numFmtId="1" fontId="32" fillId="0" borderId="1675" xfId="0" applyNumberFormat="1" applyFont="1" applyBorder="1" applyAlignment="1">
      <alignment horizontal="right" vertical="center" wrapText="1"/>
    </xf>
    <xf numFmtId="1" fontId="32" fillId="0" borderId="1647" xfId="0" applyNumberFormat="1" applyFont="1" applyBorder="1"/>
    <xf numFmtId="1" fontId="32" fillId="0" borderId="1675" xfId="0" applyNumberFormat="1" applyFont="1" applyBorder="1" applyAlignment="1">
      <alignment wrapText="1"/>
    </xf>
    <xf numFmtId="1" fontId="32" fillId="0" borderId="1846" xfId="0" applyNumberFormat="1" applyFont="1" applyBorder="1"/>
    <xf numFmtId="1" fontId="32" fillId="0" borderId="1838" xfId="0" applyNumberFormat="1" applyFont="1" applyBorder="1" applyAlignment="1">
      <alignment horizontal="right" vertical="center" wrapText="1"/>
    </xf>
    <xf numFmtId="1" fontId="32" fillId="0" borderId="632" xfId="0" applyNumberFormat="1" applyFont="1" applyBorder="1" applyAlignment="1">
      <alignment horizontal="center" vertical="center" wrapText="1"/>
    </xf>
    <xf numFmtId="1" fontId="32" fillId="0" borderId="632" xfId="0" applyNumberFormat="1" applyFont="1" applyBorder="1" applyAlignment="1">
      <alignment horizontal="center" vertical="center"/>
    </xf>
    <xf numFmtId="1" fontId="32" fillId="0" borderId="363" xfId="0" applyNumberFormat="1" applyFont="1" applyBorder="1" applyAlignment="1">
      <alignment horizontal="center" vertical="center"/>
    </xf>
    <xf numFmtId="1" fontId="32" fillId="0" borderId="275" xfId="0" applyNumberFormat="1" applyFont="1" applyBorder="1" applyAlignment="1">
      <alignment horizontal="center" vertical="center"/>
    </xf>
    <xf numFmtId="1" fontId="32" fillId="0" borderId="345" xfId="0" applyNumberFormat="1" applyFont="1" applyBorder="1" applyAlignment="1">
      <alignment horizontal="center" vertical="center"/>
    </xf>
    <xf numFmtId="1" fontId="32" fillId="0" borderId="1870" xfId="0" applyNumberFormat="1" applyFont="1" applyBorder="1" applyAlignment="1">
      <alignment horizontal="center" vertical="center"/>
    </xf>
    <xf numFmtId="1" fontId="32" fillId="0" borderId="1886" xfId="0" applyNumberFormat="1" applyFont="1" applyBorder="1" applyAlignment="1">
      <alignment horizontal="center" vertical="center"/>
    </xf>
    <xf numFmtId="0" fontId="32" fillId="0" borderId="1835" xfId="0" applyFont="1" applyBorder="1" applyAlignment="1">
      <alignment horizontal="center" vertical="center" wrapText="1"/>
    </xf>
    <xf numFmtId="0" fontId="32" fillId="0" borderId="282" xfId="0" applyFont="1" applyBorder="1" applyAlignment="1">
      <alignment horizontal="center" vertical="center" wrapText="1"/>
    </xf>
    <xf numFmtId="0" fontId="32" fillId="0" borderId="1304" xfId="0" applyFont="1" applyBorder="1" applyAlignment="1">
      <alignment horizontal="center" vertical="center" wrapText="1"/>
    </xf>
    <xf numFmtId="0" fontId="32" fillId="0" borderId="1448" xfId="0" applyFont="1" applyBorder="1" applyAlignment="1">
      <alignment horizontal="center" vertical="center" wrapText="1"/>
    </xf>
    <xf numFmtId="1" fontId="65" fillId="0" borderId="732" xfId="0" applyNumberFormat="1" applyFont="1" applyBorder="1" applyAlignment="1">
      <alignment vertical="center"/>
    </xf>
    <xf numFmtId="1" fontId="76" fillId="41" borderId="0" xfId="0" applyNumberFormat="1" applyFont="1" applyFill="1"/>
    <xf numFmtId="1" fontId="32" fillId="0" borderId="800" xfId="0" applyNumberFormat="1" applyFont="1" applyBorder="1" applyAlignment="1">
      <alignment vertical="center"/>
    </xf>
    <xf numFmtId="1" fontId="32" fillId="0" borderId="621" xfId="0" applyNumberFormat="1" applyFont="1" applyBorder="1" applyAlignment="1">
      <alignment wrapText="1"/>
    </xf>
    <xf numFmtId="1" fontId="32" fillId="0" borderId="619" xfId="0" applyNumberFormat="1" applyFont="1" applyBorder="1" applyAlignment="1">
      <alignment wrapText="1"/>
    </xf>
    <xf numFmtId="1" fontId="32" fillId="5" borderId="360" xfId="0" applyNumberFormat="1" applyFont="1" applyFill="1" applyBorder="1" applyProtection="1">
      <protection locked="0"/>
    </xf>
    <xf numFmtId="1" fontId="32" fillId="5" borderId="393" xfId="0" applyNumberFormat="1" applyFont="1" applyFill="1" applyBorder="1" applyProtection="1">
      <protection locked="0"/>
    </xf>
    <xf numFmtId="1" fontId="32" fillId="5" borderId="1883" xfId="0" applyNumberFormat="1" applyFont="1" applyFill="1" applyBorder="1" applyProtection="1">
      <protection locked="0"/>
    </xf>
    <xf numFmtId="1" fontId="32" fillId="5" borderId="25" xfId="0" applyNumberFormat="1" applyFont="1" applyFill="1" applyBorder="1" applyProtection="1">
      <protection locked="0"/>
    </xf>
    <xf numFmtId="1" fontId="32" fillId="5" borderId="1437" xfId="0" applyNumberFormat="1" applyFont="1" applyFill="1" applyBorder="1" applyProtection="1">
      <protection locked="0"/>
    </xf>
    <xf numFmtId="1" fontId="32" fillId="5" borderId="1403" xfId="0" applyNumberFormat="1" applyFont="1" applyFill="1" applyBorder="1" applyProtection="1">
      <protection locked="0"/>
    </xf>
    <xf numFmtId="1" fontId="32" fillId="0" borderId="682" xfId="0" applyNumberFormat="1" applyFont="1" applyBorder="1" applyAlignment="1">
      <alignment vertical="center"/>
    </xf>
    <xf numFmtId="1" fontId="32" fillId="0" borderId="502" xfId="0" applyNumberFormat="1" applyFont="1" applyBorder="1" applyAlignment="1">
      <alignment wrapText="1"/>
    </xf>
    <xf numFmtId="1" fontId="32" fillId="0" borderId="39" xfId="0" applyNumberFormat="1" applyFont="1" applyBorder="1" applyAlignment="1">
      <alignment wrapText="1"/>
    </xf>
    <xf numFmtId="1" fontId="32" fillId="5" borderId="560" xfId="0" applyNumberFormat="1" applyFont="1" applyFill="1" applyBorder="1" applyProtection="1">
      <protection locked="0"/>
    </xf>
    <xf numFmtId="1" fontId="32" fillId="5" borderId="1141" xfId="0" applyNumberFormat="1" applyFont="1" applyFill="1" applyBorder="1" applyProtection="1">
      <protection locked="0"/>
    </xf>
    <xf numFmtId="1" fontId="32" fillId="5" borderId="1142" xfId="0" applyNumberFormat="1" applyFont="1" applyFill="1" applyBorder="1" applyProtection="1">
      <protection locked="0"/>
    </xf>
    <xf numFmtId="1" fontId="32" fillId="5" borderId="502" xfId="0" applyNumberFormat="1" applyFont="1" applyFill="1" applyBorder="1" applyProtection="1">
      <protection locked="0"/>
    </xf>
    <xf numFmtId="1" fontId="32" fillId="5" borderId="1266" xfId="0" applyNumberFormat="1" applyFont="1" applyFill="1" applyBorder="1" applyProtection="1">
      <protection locked="0"/>
    </xf>
    <xf numFmtId="1" fontId="32" fillId="0" borderId="584" xfId="0" applyNumberFormat="1" applyFont="1" applyBorder="1" applyAlignment="1">
      <alignment wrapText="1"/>
    </xf>
    <xf numFmtId="1" fontId="32" fillId="0" borderId="591" xfId="0" applyNumberFormat="1" applyFont="1" applyBorder="1" applyAlignment="1">
      <alignment wrapText="1"/>
    </xf>
    <xf numFmtId="1" fontId="32" fillId="5" borderId="585" xfId="0" applyNumberFormat="1" applyFont="1" applyFill="1" applyBorder="1" applyProtection="1">
      <protection locked="0"/>
    </xf>
    <xf numFmtId="1" fontId="32" fillId="5" borderId="591" xfId="0" applyNumberFormat="1" applyFont="1" applyFill="1" applyBorder="1" applyProtection="1">
      <protection locked="0"/>
    </xf>
    <xf numFmtId="1" fontId="32" fillId="5" borderId="584" xfId="0" applyNumberFormat="1" applyFont="1" applyFill="1" applyBorder="1" applyProtection="1">
      <protection locked="0"/>
    </xf>
    <xf numFmtId="1" fontId="32" fillId="12" borderId="1832" xfId="0" applyNumberFormat="1" applyFont="1" applyFill="1" applyBorder="1"/>
    <xf numFmtId="1" fontId="32" fillId="12" borderId="389" xfId="0" applyNumberFormat="1" applyFont="1" applyFill="1" applyBorder="1"/>
    <xf numFmtId="1" fontId="32" fillId="12" borderId="393" xfId="0" applyNumberFormat="1" applyFont="1" applyFill="1" applyBorder="1"/>
    <xf numFmtId="1" fontId="32" fillId="12" borderId="1184" xfId="0" applyNumberFormat="1" applyFont="1" applyFill="1" applyBorder="1"/>
    <xf numFmtId="1" fontId="32" fillId="0" borderId="800" xfId="0" applyNumberFormat="1" applyFont="1" applyBorder="1" applyAlignment="1">
      <alignment vertical="center" wrapText="1"/>
    </xf>
    <xf numFmtId="1" fontId="32" fillId="0" borderId="389" xfId="0" applyNumberFormat="1" applyFont="1" applyBorder="1" applyAlignment="1">
      <alignment wrapText="1"/>
    </xf>
    <xf numFmtId="1" fontId="32" fillId="12" borderId="1659" xfId="0" applyNumberFormat="1" applyFont="1" applyFill="1" applyBorder="1"/>
    <xf numFmtId="1" fontId="32" fillId="12" borderId="37" xfId="0" applyNumberFormat="1" applyFont="1" applyFill="1" applyBorder="1"/>
    <xf numFmtId="1" fontId="32" fillId="12" borderId="50" xfId="0" applyNumberFormat="1" applyFont="1" applyFill="1" applyBorder="1"/>
    <xf numFmtId="1" fontId="32" fillId="12" borderId="1266" xfId="0" applyNumberFormat="1" applyFont="1" applyFill="1" applyBorder="1"/>
    <xf numFmtId="1" fontId="32" fillId="5" borderId="1440" xfId="0" applyNumberFormat="1" applyFont="1" applyFill="1" applyBorder="1" applyProtection="1">
      <protection locked="0"/>
    </xf>
    <xf numFmtId="1" fontId="32" fillId="5" borderId="994" xfId="0" applyNumberFormat="1" applyFont="1" applyFill="1" applyBorder="1" applyProtection="1">
      <protection locked="0"/>
    </xf>
    <xf numFmtId="1" fontId="32" fillId="3" borderId="69" xfId="0" applyNumberFormat="1" applyFont="1" applyFill="1" applyBorder="1"/>
    <xf numFmtId="1" fontId="32" fillId="0" borderId="37" xfId="0" applyNumberFormat="1" applyFont="1" applyBorder="1" applyAlignment="1">
      <alignment wrapText="1"/>
    </xf>
    <xf numFmtId="1" fontId="32" fillId="5" borderId="50" xfId="0" applyNumberFormat="1" applyFont="1" applyFill="1" applyBorder="1" applyProtection="1">
      <protection locked="0"/>
    </xf>
    <xf numFmtId="1" fontId="32" fillId="12" borderId="1666" xfId="0" applyNumberFormat="1" applyFont="1" applyFill="1" applyBorder="1"/>
    <xf numFmtId="1" fontId="32" fillId="5" borderId="960" xfId="0" applyNumberFormat="1" applyFont="1" applyFill="1" applyBorder="1" applyProtection="1">
      <protection locked="0"/>
    </xf>
    <xf numFmtId="1" fontId="32" fillId="0" borderId="40" xfId="0" applyNumberFormat="1" applyFont="1" applyBorder="1" applyAlignment="1">
      <alignment wrapText="1"/>
    </xf>
    <xf numFmtId="1" fontId="32" fillId="5" borderId="69" xfId="0" applyNumberFormat="1" applyFont="1" applyFill="1" applyBorder="1" applyProtection="1">
      <protection locked="0"/>
    </xf>
    <xf numFmtId="0" fontId="32" fillId="0" borderId="69" xfId="0" applyFont="1" applyBorder="1"/>
    <xf numFmtId="0" fontId="32" fillId="0" borderId="70" xfId="0" applyFont="1" applyBorder="1"/>
    <xf numFmtId="1" fontId="32" fillId="5" borderId="1508" xfId="0" applyNumberFormat="1" applyFont="1" applyFill="1" applyBorder="1" applyProtection="1">
      <protection locked="0"/>
    </xf>
    <xf numFmtId="1" fontId="32" fillId="12" borderId="1265" xfId="0" applyNumberFormat="1" applyFont="1" applyFill="1" applyBorder="1"/>
    <xf numFmtId="1" fontId="32" fillId="5" borderId="1103" xfId="0" applyNumberFormat="1" applyFont="1" applyFill="1" applyBorder="1" applyProtection="1">
      <protection locked="0"/>
    </xf>
    <xf numFmtId="1" fontId="65" fillId="3" borderId="733" xfId="0" applyNumberFormat="1" applyFont="1" applyFill="1" applyBorder="1"/>
    <xf numFmtId="1" fontId="32" fillId="12" borderId="1611" xfId="0" applyNumberFormat="1" applyFont="1" applyFill="1" applyBorder="1"/>
    <xf numFmtId="1" fontId="32" fillId="12" borderId="1262" xfId="0" applyNumberFormat="1" applyFont="1" applyFill="1" applyBorder="1"/>
    <xf numFmtId="1" fontId="32" fillId="12" borderId="1104" xfId="0" applyNumberFormat="1" applyFont="1" applyFill="1" applyBorder="1"/>
    <xf numFmtId="1" fontId="32" fillId="5" borderId="1262" xfId="0" applyNumberFormat="1" applyFont="1" applyFill="1" applyBorder="1" applyProtection="1">
      <protection locked="0"/>
    </xf>
    <xf numFmtId="1" fontId="32" fillId="12" borderId="1264" xfId="0" applyNumberFormat="1" applyFont="1" applyFill="1" applyBorder="1"/>
    <xf numFmtId="1" fontId="32" fillId="3" borderId="395" xfId="0" applyNumberFormat="1" applyFont="1" applyFill="1" applyBorder="1"/>
    <xf numFmtId="1" fontId="32" fillId="0" borderId="223" xfId="0" applyNumberFormat="1" applyFont="1" applyBorder="1" applyAlignment="1">
      <alignment wrapText="1"/>
    </xf>
    <xf numFmtId="1" fontId="32" fillId="5" borderId="221" xfId="0" applyNumberFormat="1" applyFont="1" applyFill="1" applyBorder="1" applyProtection="1">
      <protection locked="0"/>
    </xf>
    <xf numFmtId="1" fontId="32" fillId="5" borderId="240" xfId="0" applyNumberFormat="1" applyFont="1" applyFill="1" applyBorder="1" applyProtection="1">
      <protection locked="0"/>
    </xf>
    <xf numFmtId="1" fontId="32" fillId="5" borderId="1677" xfId="0" applyNumberFormat="1" applyFont="1" applyFill="1" applyBorder="1" applyProtection="1">
      <protection locked="0"/>
    </xf>
    <xf numFmtId="1" fontId="32" fillId="5" borderId="1710" xfId="0" applyNumberFormat="1" applyFont="1" applyFill="1" applyBorder="1" applyProtection="1">
      <protection locked="0"/>
    </xf>
    <xf numFmtId="1" fontId="32" fillId="12" borderId="1421" xfId="0" applyNumberFormat="1" applyFont="1" applyFill="1" applyBorder="1"/>
    <xf numFmtId="1" fontId="32" fillId="12" borderId="1269" xfId="0" applyNumberFormat="1" applyFont="1" applyFill="1" applyBorder="1"/>
    <xf numFmtId="1" fontId="32" fillId="5" borderId="1061" xfId="0" applyNumberFormat="1" applyFont="1" applyFill="1" applyBorder="1" applyProtection="1">
      <protection locked="0"/>
    </xf>
    <xf numFmtId="1" fontId="32" fillId="0" borderId="24" xfId="0" applyNumberFormat="1" applyFont="1" applyBorder="1" applyAlignment="1">
      <alignment wrapText="1"/>
    </xf>
    <xf numFmtId="1" fontId="32" fillId="3" borderId="792" xfId="0" applyNumberFormat="1" applyFont="1" applyFill="1" applyBorder="1"/>
    <xf numFmtId="1" fontId="32" fillId="0" borderId="822" xfId="0" applyNumberFormat="1" applyFont="1" applyBorder="1" applyAlignment="1">
      <alignment wrapText="1"/>
    </xf>
    <xf numFmtId="1" fontId="32" fillId="5" borderId="394" xfId="0" applyNumberFormat="1" applyFont="1" applyFill="1" applyBorder="1" applyProtection="1">
      <protection locked="0"/>
    </xf>
    <xf numFmtId="0" fontId="32" fillId="0" borderId="697" xfId="0" applyFont="1" applyBorder="1"/>
    <xf numFmtId="1" fontId="32" fillId="0" borderId="705" xfId="0" applyNumberFormat="1" applyFont="1" applyBorder="1" applyAlignment="1">
      <alignment wrapText="1"/>
    </xf>
    <xf numFmtId="1" fontId="32" fillId="12" borderId="24" xfId="0" applyNumberFormat="1" applyFont="1" applyFill="1" applyBorder="1"/>
    <xf numFmtId="1" fontId="32" fillId="12" borderId="21" xfId="0" applyNumberFormat="1" applyFont="1" applyFill="1" applyBorder="1"/>
    <xf numFmtId="1" fontId="32" fillId="5" borderId="1259" xfId="0" applyNumberFormat="1" applyFont="1" applyFill="1" applyBorder="1" applyProtection="1">
      <protection locked="0"/>
    </xf>
    <xf numFmtId="1" fontId="32" fillId="5" borderId="1264" xfId="0" applyNumberFormat="1" applyFont="1" applyFill="1" applyBorder="1" applyProtection="1">
      <protection locked="0"/>
    </xf>
    <xf numFmtId="1" fontId="76" fillId="0" borderId="175" xfId="0" applyNumberFormat="1" applyFont="1" applyBorder="1"/>
    <xf numFmtId="1" fontId="76" fillId="14" borderId="175" xfId="0" applyNumberFormat="1" applyFont="1" applyFill="1" applyBorder="1"/>
    <xf numFmtId="1" fontId="32" fillId="0" borderId="284" xfId="0" applyNumberFormat="1" applyFont="1" applyBorder="1" applyAlignment="1">
      <alignment horizontal="center" vertical="center"/>
    </xf>
    <xf numFmtId="1" fontId="32" fillId="0" borderId="284" xfId="0" applyNumberFormat="1" applyFont="1" applyBorder="1" applyAlignment="1">
      <alignment horizontal="center" vertical="center" wrapText="1"/>
    </xf>
    <xf numFmtId="1" fontId="32" fillId="0" borderId="240" xfId="0" applyNumberFormat="1" applyFont="1" applyBorder="1" applyAlignment="1">
      <alignment horizontal="center" vertical="center" wrapText="1"/>
    </xf>
    <xf numFmtId="1" fontId="82" fillId="0" borderId="993" xfId="0" applyNumberFormat="1" applyFont="1" applyBorder="1" applyAlignment="1">
      <alignment horizontal="center" vertical="center" wrapText="1"/>
    </xf>
    <xf numFmtId="1" fontId="82" fillId="0" borderId="1019" xfId="0" applyNumberFormat="1" applyFont="1" applyBorder="1" applyAlignment="1">
      <alignment horizontal="center" vertical="center" wrapText="1"/>
    </xf>
    <xf numFmtId="1" fontId="32" fillId="0" borderId="224" xfId="0" applyNumberFormat="1" applyFont="1" applyBorder="1"/>
    <xf numFmtId="1" fontId="32" fillId="0" borderId="282" xfId="0" applyNumberFormat="1" applyFont="1" applyBorder="1" applyAlignment="1">
      <alignment wrapText="1"/>
    </xf>
    <xf numFmtId="1" fontId="32" fillId="2" borderId="275" xfId="22" applyNumberFormat="1" applyFont="1" applyBorder="1" applyProtection="1">
      <protection locked="0"/>
    </xf>
    <xf numFmtId="1" fontId="32" fillId="2" borderId="284" xfId="22" applyNumberFormat="1" applyFont="1" applyBorder="1" applyProtection="1">
      <protection locked="0"/>
    </xf>
    <xf numFmtId="1" fontId="32" fillId="2" borderId="227" xfId="22" applyNumberFormat="1" applyFont="1" applyBorder="1" applyProtection="1">
      <protection locked="0"/>
    </xf>
    <xf numFmtId="1" fontId="32" fillId="12" borderId="1134" xfId="22" applyNumberFormat="1" applyFont="1" applyFill="1" applyBorder="1"/>
    <xf numFmtId="1" fontId="32" fillId="12" borderId="1135" xfId="22" applyNumberFormat="1" applyFont="1" applyFill="1" applyBorder="1"/>
    <xf numFmtId="1" fontId="32" fillId="2" borderId="1118" xfId="22" applyNumberFormat="1" applyFont="1" applyBorder="1" applyProtection="1">
      <protection locked="0"/>
    </xf>
    <xf numFmtId="1" fontId="32" fillId="2" borderId="37" xfId="22" applyNumberFormat="1" applyFont="1" applyBorder="1" applyProtection="1">
      <protection locked="0"/>
    </xf>
    <xf numFmtId="1" fontId="32" fillId="0" borderId="282" xfId="0" applyNumberFormat="1" applyFont="1" applyBorder="1"/>
    <xf numFmtId="1" fontId="32" fillId="0" borderId="275" xfId="22" applyNumberFormat="1" applyFont="1" applyFill="1" applyBorder="1"/>
    <xf numFmtId="1" fontId="32" fillId="0" borderId="284" xfId="22" applyNumberFormat="1" applyFont="1" applyFill="1" applyBorder="1"/>
    <xf numFmtId="1" fontId="32" fillId="0" borderId="230" xfId="22" applyNumberFormat="1" applyFont="1" applyFill="1" applyBorder="1"/>
    <xf numFmtId="1" fontId="32" fillId="2" borderId="1111" xfId="22" applyNumberFormat="1" applyFont="1" applyBorder="1" applyProtection="1">
      <protection locked="0"/>
    </xf>
    <xf numFmtId="1" fontId="32" fillId="2" borderId="1154" xfId="22" applyNumberFormat="1" applyFont="1" applyBorder="1" applyProtection="1">
      <protection locked="0"/>
    </xf>
    <xf numFmtId="1" fontId="32" fillId="0" borderId="25" xfId="0" applyNumberFormat="1" applyFont="1" applyBorder="1"/>
    <xf numFmtId="1" fontId="32" fillId="0" borderId="25" xfId="0" applyNumberFormat="1" applyFont="1" applyBorder="1" applyAlignment="1">
      <alignment wrapText="1"/>
    </xf>
    <xf numFmtId="1" fontId="32" fillId="2" borderId="41" xfId="22" applyNumberFormat="1" applyFont="1" applyBorder="1" applyProtection="1">
      <protection locked="0"/>
    </xf>
    <xf numFmtId="1" fontId="32" fillId="2" borderId="63" xfId="22" applyNumberFormat="1" applyFont="1" applyBorder="1" applyProtection="1">
      <protection locked="0"/>
    </xf>
    <xf numFmtId="1" fontId="32" fillId="2" borderId="31" xfId="22" applyNumberFormat="1" applyFont="1" applyBorder="1" applyProtection="1">
      <protection locked="0"/>
    </xf>
    <xf numFmtId="1" fontId="32" fillId="12" borderId="1065" xfId="22" applyNumberFormat="1" applyFont="1" applyFill="1" applyBorder="1"/>
    <xf numFmtId="1" fontId="32" fillId="12" borderId="1184" xfId="22" applyNumberFormat="1" applyFont="1" applyFill="1" applyBorder="1"/>
    <xf numFmtId="1" fontId="32" fillId="0" borderId="37" xfId="0" applyNumberFormat="1" applyFont="1" applyBorder="1"/>
    <xf numFmtId="1" fontId="32" fillId="2" borderId="38" xfId="22" applyNumberFormat="1" applyFont="1" applyBorder="1" applyProtection="1">
      <protection locked="0"/>
    </xf>
    <xf numFmtId="1" fontId="32" fillId="2" borderId="62" xfId="22" applyNumberFormat="1" applyFont="1" applyBorder="1" applyProtection="1">
      <protection locked="0"/>
    </xf>
    <xf numFmtId="1" fontId="32" fillId="2" borderId="50" xfId="22" applyNumberFormat="1" applyFont="1" applyBorder="1" applyProtection="1">
      <protection locked="0"/>
    </xf>
    <xf numFmtId="1" fontId="32" fillId="12" borderId="1111" xfId="22" applyNumberFormat="1" applyFont="1" applyFill="1" applyBorder="1"/>
    <xf numFmtId="1" fontId="32" fillId="12" borderId="1154" xfId="22" applyNumberFormat="1" applyFont="1" applyFill="1" applyBorder="1"/>
    <xf numFmtId="1" fontId="32" fillId="2" borderId="392" xfId="22" applyNumberFormat="1" applyFont="1" applyBorder="1" applyProtection="1">
      <protection locked="0"/>
    </xf>
    <xf numFmtId="1" fontId="32" fillId="2" borderId="391" xfId="22" applyNumberFormat="1" applyFont="1" applyBorder="1" applyProtection="1">
      <protection locked="0"/>
    </xf>
    <xf numFmtId="1" fontId="32" fillId="2" borderId="390" xfId="22" applyNumberFormat="1" applyFont="1" applyBorder="1" applyProtection="1">
      <protection locked="0"/>
    </xf>
    <xf numFmtId="1" fontId="32" fillId="12" borderId="1185" xfId="22" applyNumberFormat="1" applyFont="1" applyFill="1" applyBorder="1"/>
    <xf numFmtId="1" fontId="32" fillId="12" borderId="1186" xfId="22" applyNumberFormat="1" applyFont="1" applyFill="1" applyBorder="1"/>
    <xf numFmtId="1" fontId="32" fillId="2" borderId="387" xfId="22" applyNumberFormat="1" applyFont="1" applyBorder="1" applyProtection="1">
      <protection locked="0"/>
    </xf>
    <xf numFmtId="1" fontId="32" fillId="2" borderId="386" xfId="22" applyNumberFormat="1" applyFont="1" applyBorder="1" applyProtection="1">
      <protection locked="0"/>
    </xf>
    <xf numFmtId="1" fontId="32" fillId="2" borderId="385" xfId="22" applyNumberFormat="1" applyFont="1" applyBorder="1" applyProtection="1">
      <protection locked="0"/>
    </xf>
    <xf numFmtId="1" fontId="32" fillId="12" borderId="1187" xfId="22" applyNumberFormat="1" applyFont="1" applyFill="1" applyBorder="1"/>
    <xf numFmtId="1" fontId="32" fillId="12" borderId="1188" xfId="22" applyNumberFormat="1" applyFont="1" applyFill="1" applyBorder="1"/>
    <xf numFmtId="1" fontId="32" fillId="2" borderId="20" xfId="22" applyNumberFormat="1" applyFont="1" applyBorder="1" applyProtection="1">
      <protection locked="0"/>
    </xf>
    <xf numFmtId="1" fontId="32" fillId="2" borderId="375" xfId="22" applyNumberFormat="1" applyFont="1" applyBorder="1" applyProtection="1">
      <protection locked="0"/>
    </xf>
    <xf numFmtId="1" fontId="32" fillId="2" borderId="68" xfId="22" applyNumberFormat="1" applyFont="1" applyBorder="1" applyProtection="1">
      <protection locked="0"/>
    </xf>
    <xf numFmtId="1" fontId="32" fillId="12" borderId="1146" xfId="22" applyNumberFormat="1" applyFont="1" applyFill="1" applyBorder="1"/>
    <xf numFmtId="1" fontId="32" fillId="12" borderId="1059" xfId="22" applyNumberFormat="1" applyFont="1" applyFill="1" applyBorder="1"/>
    <xf numFmtId="1" fontId="32" fillId="2" borderId="1108" xfId="22" applyNumberFormat="1" applyFont="1" applyBorder="1" applyProtection="1">
      <protection locked="0"/>
    </xf>
    <xf numFmtId="1" fontId="32" fillId="2" borderId="1091" xfId="22" applyNumberFormat="1" applyFont="1" applyBorder="1" applyProtection="1">
      <protection locked="0"/>
    </xf>
    <xf numFmtId="1" fontId="32" fillId="0" borderId="333" xfId="0" applyNumberFormat="1" applyFont="1" applyBorder="1" applyAlignment="1">
      <alignment wrapText="1"/>
    </xf>
    <xf numFmtId="1" fontId="32" fillId="2" borderId="328" xfId="22" applyNumberFormat="1" applyFont="1" applyBorder="1" applyProtection="1">
      <protection locked="0"/>
    </xf>
    <xf numFmtId="1" fontId="32" fillId="2" borderId="356" xfId="22" applyNumberFormat="1" applyFont="1" applyBorder="1" applyProtection="1">
      <protection locked="0"/>
    </xf>
    <xf numFmtId="1" fontId="32" fillId="12" borderId="715" xfId="22" applyNumberFormat="1" applyFont="1" applyFill="1" applyBorder="1"/>
    <xf numFmtId="1" fontId="32" fillId="12" borderId="1029" xfId="22" applyNumberFormat="1" applyFont="1" applyFill="1" applyBorder="1"/>
    <xf numFmtId="1" fontId="32" fillId="2" borderId="1044" xfId="22" applyNumberFormat="1" applyFont="1" applyBorder="1" applyProtection="1">
      <protection locked="0"/>
    </xf>
    <xf numFmtId="1" fontId="32" fillId="2" borderId="1065" xfId="22" applyNumberFormat="1" applyFont="1" applyBorder="1" applyProtection="1">
      <protection locked="0"/>
    </xf>
    <xf numFmtId="1" fontId="32" fillId="0" borderId="362" xfId="0" applyNumberFormat="1" applyFont="1" applyBorder="1" applyAlignment="1">
      <alignment vertical="center" wrapText="1"/>
    </xf>
    <xf numFmtId="1" fontId="32" fillId="2" borderId="352" xfId="22" applyNumberFormat="1" applyFont="1" applyBorder="1" applyProtection="1">
      <protection locked="0"/>
    </xf>
    <xf numFmtId="1" fontId="32" fillId="2" borderId="376" xfId="22" applyNumberFormat="1" applyFont="1" applyBorder="1" applyProtection="1">
      <protection locked="0"/>
    </xf>
    <xf numFmtId="1" fontId="32" fillId="2" borderId="363" xfId="22" applyNumberFormat="1" applyFont="1" applyBorder="1" applyProtection="1">
      <protection locked="0"/>
    </xf>
    <xf numFmtId="1" fontId="32" fillId="12" borderId="1189" xfId="22" applyNumberFormat="1" applyFont="1" applyFill="1" applyBorder="1"/>
    <xf numFmtId="1" fontId="32" fillId="12" borderId="1092" xfId="22" applyNumberFormat="1" applyFont="1" applyFill="1" applyBorder="1"/>
    <xf numFmtId="1" fontId="32" fillId="0" borderId="239" xfId="0" applyNumberFormat="1" applyFont="1" applyBorder="1"/>
    <xf numFmtId="1" fontId="32" fillId="2" borderId="331" xfId="22" applyNumberFormat="1" applyFont="1" applyBorder="1" applyProtection="1">
      <protection locked="0"/>
    </xf>
    <xf numFmtId="1" fontId="32" fillId="0" borderId="29" xfId="0" applyNumberFormat="1" applyFont="1" applyBorder="1"/>
    <xf numFmtId="1" fontId="32" fillId="0" borderId="24" xfId="0" applyNumberFormat="1" applyFont="1" applyBorder="1"/>
    <xf numFmtId="1" fontId="32" fillId="0" borderId="362" xfId="0" applyNumberFormat="1" applyFont="1" applyBorder="1" applyAlignment="1">
      <alignment wrapText="1"/>
    </xf>
    <xf numFmtId="1" fontId="32" fillId="0" borderId="643" xfId="0" applyNumberFormat="1" applyFont="1" applyBorder="1" applyAlignment="1">
      <alignment wrapText="1"/>
    </xf>
    <xf numFmtId="1" fontId="32" fillId="2" borderId="644" xfId="22" applyNumberFormat="1" applyFont="1" applyBorder="1" applyProtection="1">
      <protection locked="0"/>
    </xf>
    <xf numFmtId="1" fontId="32" fillId="2" borderId="645" xfId="22" applyNumberFormat="1" applyFont="1" applyBorder="1" applyProtection="1">
      <protection locked="0"/>
    </xf>
    <xf numFmtId="1" fontId="32" fillId="2" borderId="646" xfId="22" applyNumberFormat="1" applyFont="1" applyBorder="1" applyProtection="1">
      <protection locked="0"/>
    </xf>
    <xf numFmtId="1" fontId="32" fillId="2" borderId="585" xfId="22" applyNumberFormat="1" applyFont="1" applyBorder="1" applyProtection="1">
      <protection locked="0"/>
    </xf>
    <xf numFmtId="1" fontId="32" fillId="2" borderId="586" xfId="22" applyNumberFormat="1" applyFont="1" applyBorder="1" applyProtection="1">
      <protection locked="0"/>
    </xf>
    <xf numFmtId="1" fontId="32" fillId="2" borderId="591" xfId="22" applyNumberFormat="1" applyFont="1" applyBorder="1" applyProtection="1">
      <protection locked="0"/>
    </xf>
    <xf numFmtId="1" fontId="32" fillId="0" borderId="428" xfId="0" applyNumberFormat="1" applyFont="1" applyBorder="1" applyAlignment="1">
      <alignment wrapText="1"/>
    </xf>
    <xf numFmtId="1" fontId="32" fillId="2" borderId="401" xfId="22" applyNumberFormat="1" applyFont="1" applyBorder="1" applyProtection="1">
      <protection locked="0"/>
    </xf>
    <xf numFmtId="1" fontId="32" fillId="2" borderId="510" xfId="22" applyNumberFormat="1" applyFont="1" applyBorder="1" applyProtection="1">
      <protection locked="0"/>
    </xf>
    <xf numFmtId="1" fontId="32" fillId="2" borderId="318" xfId="22" applyNumberFormat="1" applyFont="1" applyBorder="1" applyProtection="1">
      <protection locked="0"/>
    </xf>
    <xf numFmtId="1" fontId="32" fillId="2" borderId="388" xfId="22" applyNumberFormat="1" applyFont="1" applyBorder="1" applyProtection="1">
      <protection locked="0"/>
    </xf>
    <xf numFmtId="1" fontId="32" fillId="2" borderId="325" xfId="22" applyNumberFormat="1" applyFont="1" applyBorder="1" applyProtection="1">
      <protection locked="0"/>
    </xf>
    <xf numFmtId="1" fontId="32" fillId="12" borderId="1190" xfId="22" applyNumberFormat="1" applyFont="1" applyFill="1" applyBorder="1"/>
    <xf numFmtId="1" fontId="32" fillId="12" borderId="1191" xfId="22" applyNumberFormat="1" applyFont="1" applyFill="1" applyBorder="1"/>
    <xf numFmtId="1" fontId="32" fillId="2" borderId="1192" xfId="22" applyNumberFormat="1" applyFont="1" applyBorder="1" applyProtection="1">
      <protection locked="0"/>
    </xf>
    <xf numFmtId="1" fontId="32" fillId="2" borderId="1193" xfId="22" applyNumberFormat="1" applyFont="1" applyBorder="1" applyProtection="1">
      <protection locked="0"/>
    </xf>
    <xf numFmtId="1" fontId="32" fillId="0" borderId="223" xfId="0" applyNumberFormat="1" applyFont="1" applyBorder="1"/>
    <xf numFmtId="1" fontId="32" fillId="0" borderId="359" xfId="0" applyNumberFormat="1" applyFont="1" applyBorder="1" applyAlignment="1">
      <alignment wrapText="1"/>
    </xf>
    <xf numFmtId="1" fontId="32" fillId="2" borderId="360" xfId="22" applyNumberFormat="1" applyFont="1" applyBorder="1" applyProtection="1">
      <protection locked="0"/>
    </xf>
    <xf numFmtId="1" fontId="32" fillId="2" borderId="384" xfId="22" applyNumberFormat="1" applyFont="1" applyBorder="1" applyProtection="1">
      <protection locked="0"/>
    </xf>
    <xf numFmtId="1" fontId="32" fillId="12" borderId="1194" xfId="22" applyNumberFormat="1" applyFont="1" applyFill="1" applyBorder="1"/>
    <xf numFmtId="1" fontId="32" fillId="12" borderId="1195" xfId="22" applyNumberFormat="1" applyFont="1" applyFill="1" applyBorder="1"/>
    <xf numFmtId="1" fontId="32" fillId="3" borderId="24" xfId="0" applyNumberFormat="1" applyFont="1" applyFill="1" applyBorder="1" applyAlignment="1">
      <alignment wrapText="1"/>
    </xf>
    <xf numFmtId="1" fontId="32" fillId="2" borderId="33" xfId="22" applyNumberFormat="1" applyFont="1" applyBorder="1" applyProtection="1">
      <protection locked="0"/>
    </xf>
    <xf numFmtId="1" fontId="32" fillId="0" borderId="870" xfId="0" applyNumberFormat="1" applyFont="1" applyBorder="1"/>
    <xf numFmtId="1" fontId="32" fillId="2" borderId="680" xfId="22" applyNumberFormat="1" applyFont="1" applyBorder="1" applyProtection="1">
      <protection locked="0"/>
    </xf>
    <xf numFmtId="1" fontId="32" fillId="12" borderId="866" xfId="22" applyNumberFormat="1" applyFont="1" applyFill="1" applyBorder="1"/>
    <xf numFmtId="1" fontId="32" fillId="12" borderId="834" xfId="22" applyNumberFormat="1" applyFont="1" applyFill="1" applyBorder="1"/>
    <xf numFmtId="1" fontId="32" fillId="12" borderId="879" xfId="22" applyNumberFormat="1" applyFont="1" applyFill="1" applyBorder="1"/>
    <xf numFmtId="1" fontId="32" fillId="12" borderId="993" xfId="22" applyNumberFormat="1" applyFont="1" applyFill="1" applyBorder="1"/>
    <xf numFmtId="1" fontId="32" fillId="12" borderId="1019" xfId="22" applyNumberFormat="1" applyFont="1" applyFill="1" applyBorder="1"/>
    <xf numFmtId="1" fontId="32" fillId="0" borderId="845" xfId="0" applyNumberFormat="1" applyFont="1" applyBorder="1"/>
    <xf numFmtId="1" fontId="32" fillId="0" borderId="877" xfId="0" applyNumberFormat="1" applyFont="1" applyBorder="1"/>
    <xf numFmtId="1" fontId="32" fillId="0" borderId="874" xfId="22" applyNumberFormat="1" applyFont="1" applyFill="1" applyBorder="1"/>
    <xf numFmtId="1" fontId="32" fillId="0" borderId="828" xfId="22" applyNumberFormat="1" applyFont="1" applyFill="1" applyBorder="1"/>
    <xf numFmtId="1" fontId="32" fillId="0" borderId="875" xfId="22" applyNumberFormat="1" applyFont="1" applyFill="1" applyBorder="1"/>
    <xf numFmtId="1" fontId="32" fillId="2" borderId="1134" xfId="22" applyNumberFormat="1" applyFont="1" applyBorder="1" applyProtection="1">
      <protection locked="0"/>
    </xf>
    <xf numFmtId="1" fontId="32" fillId="2" borderId="1135" xfId="22" applyNumberFormat="1" applyFont="1" applyBorder="1" applyProtection="1">
      <protection locked="0"/>
    </xf>
    <xf numFmtId="1" fontId="32" fillId="0" borderId="618" xfId="0" applyNumberFormat="1" applyFont="1" applyBorder="1" applyAlignment="1">
      <alignment vertical="center" wrapText="1"/>
    </xf>
    <xf numFmtId="1" fontId="32" fillId="0" borderId="424" xfId="0" applyNumberFormat="1" applyFont="1" applyBorder="1"/>
    <xf numFmtId="1" fontId="32" fillId="2" borderId="863" xfId="22" applyNumberFormat="1" applyFont="1" applyBorder="1" applyProtection="1">
      <protection locked="0"/>
    </xf>
    <xf numFmtId="1" fontId="32" fillId="2" borderId="728" xfId="22" applyNumberFormat="1" applyFont="1" applyBorder="1" applyProtection="1">
      <protection locked="0"/>
    </xf>
    <xf numFmtId="1" fontId="32" fillId="2" borderId="424" xfId="22" applyNumberFormat="1" applyFont="1" applyBorder="1" applyProtection="1">
      <protection locked="0"/>
    </xf>
    <xf numFmtId="1" fontId="32" fillId="0" borderId="9" xfId="0" applyNumberFormat="1" applyFont="1" applyBorder="1"/>
    <xf numFmtId="1" fontId="32" fillId="3" borderId="24" xfId="0" applyNumberFormat="1" applyFont="1" applyFill="1" applyBorder="1"/>
    <xf numFmtId="1" fontId="32" fillId="12" borderId="360" xfId="22" applyNumberFormat="1" applyFont="1" applyFill="1" applyBorder="1"/>
    <xf numFmtId="1" fontId="32" fillId="12" borderId="384" xfId="22" applyNumberFormat="1" applyFont="1" applyFill="1" applyBorder="1"/>
    <xf numFmtId="1" fontId="32" fillId="12" borderId="356" xfId="22" applyNumberFormat="1" applyFont="1" applyFill="1" applyBorder="1"/>
    <xf numFmtId="1" fontId="32" fillId="12" borderId="20" xfId="22" applyNumberFormat="1" applyFont="1" applyFill="1" applyBorder="1"/>
    <xf numFmtId="1" fontId="32" fillId="12" borderId="45" xfId="22" applyNumberFormat="1" applyFont="1" applyFill="1" applyBorder="1"/>
    <xf numFmtId="1" fontId="32" fillId="12" borderId="21" xfId="22" applyNumberFormat="1" applyFont="1" applyFill="1" applyBorder="1"/>
    <xf numFmtId="1" fontId="32" fillId="2" borderId="1095" xfId="22" applyNumberFormat="1" applyFont="1" applyBorder="1" applyProtection="1">
      <protection locked="0"/>
    </xf>
    <xf numFmtId="1" fontId="32" fillId="0" borderId="1426" xfId="0" applyNumberFormat="1" applyFont="1" applyBorder="1" applyAlignment="1">
      <alignment wrapText="1"/>
    </xf>
    <xf numFmtId="1" fontId="32" fillId="2" borderId="1427" xfId="22" applyNumberFormat="1" applyFont="1" applyBorder="1" applyAlignment="1" applyProtection="1">
      <alignment horizontal="right" vertical="center"/>
      <protection locked="0"/>
    </xf>
    <xf numFmtId="1" fontId="32" fillId="0" borderId="1124" xfId="0" applyNumberFormat="1" applyFont="1" applyBorder="1" applyAlignment="1">
      <alignment wrapText="1"/>
    </xf>
    <xf numFmtId="1" fontId="32" fillId="2" borderId="1428" xfId="22" applyNumberFormat="1" applyFont="1" applyBorder="1" applyAlignment="1" applyProtection="1">
      <alignment horizontal="right" vertical="center"/>
      <protection locked="0"/>
    </xf>
    <xf numFmtId="1" fontId="32" fillId="0" borderId="1124" xfId="0" applyNumberFormat="1" applyFont="1" applyBorder="1" applyAlignment="1">
      <alignment vertical="center" wrapText="1"/>
    </xf>
    <xf numFmtId="1" fontId="32" fillId="0" borderId="1124" xfId="0" applyNumberFormat="1" applyFont="1" applyBorder="1"/>
    <xf numFmtId="1" fontId="32" fillId="2" borderId="1429" xfId="22" applyNumberFormat="1" applyFont="1" applyBorder="1" applyAlignment="1" applyProtection="1">
      <alignment horizontal="right" vertical="center"/>
      <protection locked="0"/>
    </xf>
    <xf numFmtId="1" fontId="32" fillId="0" borderId="1089" xfId="0" applyNumberFormat="1" applyFont="1" applyBorder="1" applyAlignment="1">
      <alignment wrapText="1"/>
    </xf>
    <xf numFmtId="1" fontId="32" fillId="2" borderId="1430" xfId="22" applyNumberFormat="1" applyFont="1" applyBorder="1" applyAlignment="1" applyProtection="1">
      <alignment horizontal="right" vertical="center"/>
      <protection locked="0"/>
    </xf>
    <xf numFmtId="1" fontId="32" fillId="0" borderId="1461" xfId="0" applyNumberFormat="1" applyFont="1" applyBorder="1" applyAlignment="1">
      <alignment wrapText="1"/>
    </xf>
    <xf numFmtId="1" fontId="32" fillId="2" borderId="1431" xfId="22" applyNumberFormat="1" applyFont="1" applyBorder="1" applyAlignment="1" applyProtection="1">
      <alignment horizontal="right" vertical="center"/>
      <protection locked="0"/>
    </xf>
    <xf numFmtId="1" fontId="32" fillId="0" borderId="815" xfId="0" applyNumberFormat="1" applyFont="1" applyBorder="1" applyAlignment="1">
      <alignment wrapText="1"/>
    </xf>
    <xf numFmtId="1" fontId="32" fillId="0" borderId="1124" xfId="0" applyNumberFormat="1" applyFont="1" applyBorder="1" applyAlignment="1">
      <alignment horizontal="left" wrapText="1"/>
    </xf>
    <xf numFmtId="1" fontId="32" fillId="0" borderId="815" xfId="0" applyNumberFormat="1" applyFont="1" applyBorder="1" applyAlignment="1">
      <alignment horizontal="left" vertical="top" wrapText="1"/>
    </xf>
    <xf numFmtId="1" fontId="32" fillId="2" borderId="1432" xfId="22" applyNumberFormat="1" applyFont="1" applyBorder="1" applyAlignment="1" applyProtection="1">
      <alignment horizontal="right" vertical="center"/>
      <protection locked="0"/>
    </xf>
    <xf numFmtId="1" fontId="32" fillId="2" borderId="807" xfId="22" applyNumberFormat="1" applyFont="1" applyBorder="1" applyAlignment="1" applyProtection="1">
      <alignment horizontal="right" vertical="center"/>
      <protection locked="0"/>
    </xf>
    <xf numFmtId="1" fontId="32" fillId="2" borderId="812" xfId="22" applyNumberFormat="1" applyFont="1" applyBorder="1" applyAlignment="1" applyProtection="1">
      <alignment horizontal="right" vertical="center"/>
      <protection locked="0"/>
    </xf>
    <xf numFmtId="1" fontId="32" fillId="0" borderId="815" xfId="0" applyNumberFormat="1" applyFont="1" applyBorder="1" applyAlignment="1">
      <alignment vertical="top" wrapText="1"/>
    </xf>
    <xf numFmtId="1" fontId="32" fillId="2" borderId="1463" xfId="22" applyNumberFormat="1" applyFont="1" applyBorder="1" applyAlignment="1" applyProtection="1">
      <alignment horizontal="right" vertical="center"/>
      <protection locked="0"/>
    </xf>
    <xf numFmtId="1" fontId="32" fillId="2" borderId="685" xfId="22" applyNumberFormat="1" applyFont="1" applyBorder="1" applyAlignment="1" applyProtection="1">
      <alignment horizontal="right" vertical="center"/>
      <protection locked="0"/>
    </xf>
    <xf numFmtId="0" fontId="0" fillId="0" borderId="416" xfId="0" applyBorder="1"/>
    <xf numFmtId="1" fontId="64" fillId="14" borderId="175" xfId="0" applyNumberFormat="1" applyFont="1" applyFill="1" applyBorder="1"/>
    <xf numFmtId="1" fontId="76" fillId="3" borderId="175" xfId="0" applyNumberFormat="1" applyFont="1" applyFill="1" applyBorder="1"/>
    <xf numFmtId="1" fontId="32" fillId="0" borderId="227" xfId="0" applyNumberFormat="1" applyFont="1" applyBorder="1" applyAlignment="1">
      <alignment horizontal="center" vertical="center"/>
    </xf>
    <xf numFmtId="1" fontId="32" fillId="2" borderId="333" xfId="22" applyNumberFormat="1" applyFont="1" applyBorder="1" applyAlignment="1" applyProtection="1">
      <alignment wrapText="1"/>
      <protection locked="0"/>
    </xf>
    <xf numFmtId="1" fontId="32" fillId="0" borderId="673" xfId="0" applyNumberFormat="1" applyFont="1" applyBorder="1" applyAlignment="1">
      <alignment vertical="center"/>
    </xf>
    <xf numFmtId="1" fontId="32" fillId="2" borderId="362" xfId="22" applyNumberFormat="1" applyFont="1" applyBorder="1" applyProtection="1">
      <protection locked="0"/>
    </xf>
    <xf numFmtId="1" fontId="76" fillId="14" borderId="1145" xfId="0" applyNumberFormat="1" applyFont="1" applyFill="1" applyBorder="1"/>
    <xf numFmtId="1" fontId="64" fillId="0" borderId="175" xfId="0" applyNumberFormat="1" applyFont="1" applyBorder="1" applyAlignment="1">
      <alignment horizontal="left"/>
    </xf>
    <xf numFmtId="1" fontId="76" fillId="3" borderId="0" xfId="0" applyNumberFormat="1" applyFont="1" applyFill="1" applyAlignment="1">
      <alignment horizontal="left"/>
    </xf>
    <xf numFmtId="1" fontId="64" fillId="0" borderId="798" xfId="0" applyNumberFormat="1" applyFont="1" applyBorder="1" applyAlignment="1">
      <alignment horizontal="center"/>
    </xf>
    <xf numFmtId="1" fontId="32" fillId="0" borderId="782" xfId="0" applyNumberFormat="1" applyFont="1" applyBorder="1" applyAlignment="1">
      <alignment vertical="center"/>
    </xf>
    <xf numFmtId="1" fontId="32" fillId="2" borderId="643" xfId="22" applyNumberFormat="1" applyFont="1" applyBorder="1" applyProtection="1">
      <protection locked="0"/>
    </xf>
    <xf numFmtId="1" fontId="32" fillId="0" borderId="684" xfId="0" applyNumberFormat="1" applyFont="1" applyBorder="1" applyAlignment="1">
      <alignment vertical="center"/>
    </xf>
    <xf numFmtId="1" fontId="32" fillId="2" borderId="618" xfId="22" applyNumberFormat="1" applyFont="1" applyBorder="1" applyProtection="1">
      <protection locked="0"/>
    </xf>
    <xf numFmtId="1" fontId="32" fillId="2" borderId="684" xfId="22" applyNumberFormat="1" applyFont="1" applyBorder="1" applyProtection="1">
      <protection locked="0"/>
    </xf>
    <xf numFmtId="1" fontId="32" fillId="0" borderId="685" xfId="0" applyNumberFormat="1" applyFont="1" applyBorder="1" applyAlignment="1">
      <alignment vertical="center"/>
    </xf>
    <xf numFmtId="1" fontId="32" fillId="2" borderId="685" xfId="22" applyNumberFormat="1" applyFont="1" applyBorder="1" applyProtection="1">
      <protection locked="0"/>
    </xf>
    <xf numFmtId="41" fontId="32" fillId="0" borderId="705" xfId="30" applyFont="1" applyBorder="1" applyAlignment="1">
      <alignment vertical="center" wrapText="1"/>
    </xf>
    <xf numFmtId="1" fontId="32" fillId="14" borderId="685" xfId="22" applyNumberFormat="1" applyFont="1" applyFill="1" applyBorder="1" applyProtection="1"/>
    <xf numFmtId="1" fontId="76" fillId="3" borderId="1145" xfId="0" applyNumberFormat="1" applyFont="1" applyFill="1" applyBorder="1"/>
    <xf numFmtId="1" fontId="64" fillId="0" borderId="1343" xfId="0" applyNumberFormat="1" applyFont="1" applyBorder="1"/>
    <xf numFmtId="1" fontId="32" fillId="0" borderId="1603" xfId="0" applyNumberFormat="1" applyFont="1" applyBorder="1" applyAlignment="1">
      <alignment horizontal="center" vertical="center" wrapText="1"/>
    </xf>
    <xf numFmtId="1" fontId="32" fillId="0" borderId="1605" xfId="0" applyNumberFormat="1" applyFont="1" applyBorder="1" applyAlignment="1">
      <alignment horizontal="left" vertical="center"/>
    </xf>
    <xf numFmtId="1" fontId="32" fillId="2" borderId="1605" xfId="22" applyNumberFormat="1" applyFont="1" applyBorder="1" applyProtection="1">
      <protection locked="0"/>
    </xf>
    <xf numFmtId="1" fontId="32" fillId="0" borderId="1495" xfId="0" applyNumberFormat="1" applyFont="1" applyBorder="1" applyAlignment="1">
      <alignment horizontal="left" vertical="center"/>
    </xf>
    <xf numFmtId="1" fontId="32" fillId="2" borderId="1495" xfId="22" applyNumberFormat="1" applyFont="1" applyBorder="1" applyProtection="1">
      <protection locked="0"/>
    </xf>
    <xf numFmtId="1" fontId="32" fillId="0" borderId="2224" xfId="0" applyNumberFormat="1" applyFont="1" applyBorder="1" applyAlignment="1">
      <alignment horizontal="left" vertical="center"/>
    </xf>
    <xf numFmtId="1" fontId="32" fillId="2" borderId="1269" xfId="22" applyNumberFormat="1" applyFont="1" applyBorder="1" applyProtection="1">
      <protection locked="0"/>
    </xf>
    <xf numFmtId="1" fontId="32" fillId="0" borderId="2244" xfId="0" applyNumberFormat="1" applyFont="1" applyBorder="1" applyAlignment="1">
      <alignment horizontal="left" vertical="center"/>
    </xf>
    <xf numFmtId="1" fontId="32" fillId="2" borderId="1497" xfId="22" applyNumberFormat="1" applyFont="1" applyBorder="1" applyProtection="1">
      <protection locked="0"/>
    </xf>
    <xf numFmtId="1" fontId="64" fillId="0" borderId="1079" xfId="0" applyNumberFormat="1" applyFont="1" applyBorder="1"/>
    <xf numFmtId="1" fontId="32" fillId="0" borderId="1437" xfId="0" applyNumberFormat="1" applyFont="1" applyBorder="1" applyAlignment="1">
      <alignment horizontal="left" vertical="center"/>
    </xf>
    <xf numFmtId="1" fontId="32" fillId="2" borderId="1437" xfId="22" applyNumberFormat="1" applyFont="1" applyBorder="1" applyProtection="1">
      <protection locked="0"/>
    </xf>
    <xf numFmtId="1" fontId="32" fillId="0" borderId="1265" xfId="0" applyNumberFormat="1" applyFont="1" applyBorder="1" applyAlignment="1">
      <alignment horizontal="left" vertical="center"/>
    </xf>
    <xf numFmtId="1" fontId="32" fillId="2" borderId="1265" xfId="22" applyNumberFormat="1" applyFont="1" applyBorder="1" applyProtection="1">
      <protection locked="0"/>
    </xf>
    <xf numFmtId="1" fontId="32" fillId="0" borderId="1404" xfId="0" applyNumberFormat="1" applyFont="1" applyBorder="1" applyAlignment="1">
      <alignment horizontal="left" vertical="center"/>
    </xf>
    <xf numFmtId="1" fontId="32" fillId="2" borderId="1404" xfId="22" applyNumberFormat="1" applyFont="1" applyBorder="1" applyProtection="1">
      <protection locked="0"/>
    </xf>
    <xf numFmtId="1" fontId="32" fillId="0" borderId="1481" xfId="0" applyNumberFormat="1" applyFont="1" applyBorder="1" applyAlignment="1">
      <alignment horizontal="center" vertical="center"/>
    </xf>
    <xf numFmtId="1" fontId="32" fillId="0" borderId="1826" xfId="0" applyNumberFormat="1" applyFont="1" applyBorder="1" applyAlignment="1">
      <alignment horizontal="center" vertical="center"/>
    </xf>
    <xf numFmtId="1" fontId="32" fillId="0" borderId="1881" xfId="0" applyNumberFormat="1" applyFont="1" applyBorder="1" applyAlignment="1">
      <alignment horizontal="center" vertical="center"/>
    </xf>
    <xf numFmtId="0" fontId="32" fillId="0" borderId="1835" xfId="0" applyFont="1" applyBorder="1" applyAlignment="1">
      <alignment horizontal="center" vertical="center"/>
    </xf>
    <xf numFmtId="0" fontId="32" fillId="0" borderId="1481" xfId="0" applyFont="1" applyBorder="1" applyAlignment="1">
      <alignment horizontal="center" vertical="center"/>
    </xf>
    <xf numFmtId="1" fontId="32" fillId="0" borderId="1483" xfId="0" applyNumberFormat="1" applyFont="1" applyBorder="1" applyAlignment="1">
      <alignment horizontal="left" vertical="center"/>
    </xf>
    <xf numFmtId="1" fontId="32" fillId="12" borderId="1482" xfId="0" applyNumberFormat="1" applyFont="1" applyFill="1" applyBorder="1" applyAlignment="1">
      <alignment horizontal="center" vertical="center"/>
    </xf>
    <xf numFmtId="1" fontId="32" fillId="4" borderId="1482" xfId="0" applyNumberFormat="1" applyFont="1" applyFill="1" applyBorder="1"/>
    <xf numFmtId="1" fontId="32" fillId="4" borderId="1828" xfId="0" applyNumberFormat="1" applyFont="1" applyFill="1" applyBorder="1"/>
    <xf numFmtId="1" fontId="32" fillId="4" borderId="1885" xfId="0" applyNumberFormat="1" applyFont="1" applyFill="1" applyBorder="1"/>
    <xf numFmtId="1" fontId="32" fillId="5" borderId="1482" xfId="0" applyNumberFormat="1" applyFont="1" applyFill="1" applyBorder="1" applyProtection="1">
      <protection locked="0"/>
    </xf>
    <xf numFmtId="1" fontId="32" fillId="0" borderId="1484" xfId="0" applyNumberFormat="1" applyFont="1" applyBorder="1" applyAlignment="1">
      <alignment horizontal="left" vertical="center"/>
    </xf>
    <xf numFmtId="1" fontId="32" fillId="14" borderId="1485" xfId="202" applyNumberFormat="1" applyFont="1" applyFill="1" applyBorder="1" applyAlignment="1" applyProtection="1">
      <alignment wrapText="1"/>
      <protection locked="0"/>
    </xf>
    <xf numFmtId="1" fontId="32" fillId="5" borderId="1485" xfId="0" applyNumberFormat="1" applyFont="1" applyFill="1" applyBorder="1" applyProtection="1">
      <protection locked="0"/>
    </xf>
    <xf numFmtId="1" fontId="32" fillId="0" borderId="1476" xfId="0" applyNumberFormat="1" applyFont="1" applyBorder="1" applyAlignment="1">
      <alignment vertical="center"/>
    </xf>
    <xf numFmtId="1" fontId="32" fillId="14" borderId="1471" xfId="202" applyNumberFormat="1" applyFont="1" applyFill="1" applyBorder="1" applyAlignment="1" applyProtection="1">
      <alignment wrapText="1"/>
      <protection locked="0"/>
    </xf>
    <xf numFmtId="1" fontId="32" fillId="5" borderId="1471" xfId="0" applyNumberFormat="1" applyFont="1" applyFill="1" applyBorder="1" applyProtection="1">
      <protection locked="0"/>
    </xf>
    <xf numFmtId="1" fontId="32" fillId="5" borderId="1688" xfId="0" applyNumberFormat="1" applyFont="1" applyFill="1" applyBorder="1" applyProtection="1">
      <protection locked="0"/>
    </xf>
    <xf numFmtId="1" fontId="32" fillId="5" borderId="1665" xfId="0" applyNumberFormat="1" applyFont="1" applyFill="1" applyBorder="1" applyProtection="1">
      <protection locked="0"/>
    </xf>
    <xf numFmtId="1" fontId="32" fillId="5" borderId="1884" xfId="0" applyNumberFormat="1" applyFont="1" applyFill="1" applyBorder="1" applyProtection="1">
      <protection locked="0"/>
    </xf>
    <xf numFmtId="1" fontId="64" fillId="0" borderId="795" xfId="0" applyNumberFormat="1" applyFont="1" applyBorder="1"/>
    <xf numFmtId="1" fontId="76" fillId="3" borderId="795" xfId="0" applyNumberFormat="1" applyFont="1" applyFill="1" applyBorder="1"/>
    <xf numFmtId="1" fontId="32" fillId="0" borderId="1513" xfId="0" applyNumberFormat="1" applyFont="1" applyBorder="1" applyAlignment="1">
      <alignment horizontal="center" vertical="center"/>
    </xf>
    <xf numFmtId="1" fontId="32" fillId="0" borderId="1514" xfId="0" applyNumberFormat="1" applyFont="1" applyBorder="1" applyAlignment="1">
      <alignment horizontal="left" vertical="center"/>
    </xf>
    <xf numFmtId="1" fontId="32" fillId="14" borderId="1521" xfId="0" applyNumberFormat="1" applyFont="1" applyFill="1" applyBorder="1" applyAlignment="1">
      <alignment horizontal="right" vertical="center"/>
    </xf>
    <xf numFmtId="1" fontId="32" fillId="5" borderId="1828" xfId="0" applyNumberFormat="1" applyFont="1" applyFill="1" applyBorder="1" applyProtection="1">
      <protection locked="0"/>
    </xf>
    <xf numFmtId="1" fontId="32" fillId="5" borderId="1885" xfId="0" applyNumberFormat="1" applyFont="1" applyFill="1" applyBorder="1" applyProtection="1">
      <protection locked="0"/>
    </xf>
    <xf numFmtId="1" fontId="32" fillId="5" borderId="1521" xfId="0" applyNumberFormat="1" applyFont="1" applyFill="1" applyBorder="1" applyProtection="1">
      <protection locked="0"/>
    </xf>
    <xf numFmtId="1" fontId="32" fillId="0" borderId="1499" xfId="0" applyNumberFormat="1" applyFont="1" applyBorder="1" applyAlignment="1">
      <alignment vertical="center"/>
    </xf>
    <xf numFmtId="1" fontId="32" fillId="14" borderId="1497" xfId="220" applyNumberFormat="1" applyFont="1" applyFill="1" applyBorder="1" applyAlignment="1" applyProtection="1">
      <alignment horizontal="right" wrapText="1"/>
      <protection locked="0"/>
    </xf>
    <xf numFmtId="1" fontId="32" fillId="5" borderId="1497" xfId="0" applyNumberFormat="1" applyFont="1" applyFill="1" applyBorder="1" applyProtection="1">
      <protection locked="0"/>
    </xf>
    <xf numFmtId="1" fontId="32" fillId="0" borderId="175" xfId="0" applyNumberFormat="1" applyFont="1" applyBorder="1" applyAlignment="1">
      <alignment vertical="center"/>
    </xf>
    <xf numFmtId="1" fontId="32" fillId="14" borderId="1520" xfId="220" applyNumberFormat="1" applyFont="1" applyFill="1" applyBorder="1" applyAlignment="1" applyProtection="1">
      <alignment horizontal="right" wrapText="1"/>
      <protection locked="0"/>
    </xf>
    <xf numFmtId="1" fontId="32" fillId="5" borderId="1520" xfId="0" applyNumberFormat="1" applyFont="1" applyFill="1" applyBorder="1" applyProtection="1">
      <protection locked="0"/>
    </xf>
    <xf numFmtId="1" fontId="76" fillId="21" borderId="0" xfId="0" applyNumberFormat="1" applyFont="1" applyFill="1"/>
    <xf numFmtId="1" fontId="76" fillId="21" borderId="0" xfId="0" applyNumberFormat="1" applyFont="1" applyFill="1" applyProtection="1">
      <protection locked="0"/>
    </xf>
    <xf numFmtId="1" fontId="64" fillId="3" borderId="724" xfId="0" applyNumberFormat="1" applyFont="1" applyFill="1" applyBorder="1"/>
    <xf numFmtId="1" fontId="32" fillId="3" borderId="724" xfId="0" applyNumberFormat="1" applyFont="1" applyFill="1" applyBorder="1"/>
    <xf numFmtId="1" fontId="76" fillId="3" borderId="724" xfId="0" applyNumberFormat="1" applyFont="1" applyFill="1" applyBorder="1"/>
    <xf numFmtId="1" fontId="32" fillId="0" borderId="2111" xfId="0" applyNumberFormat="1" applyFont="1" applyBorder="1" applyAlignment="1">
      <alignment horizontal="center" vertical="center"/>
    </xf>
    <xf numFmtId="1" fontId="32" fillId="0" borderId="2125" xfId="0" applyNumberFormat="1" applyFont="1" applyBorder="1" applyAlignment="1">
      <alignment horizontal="center" vertical="center"/>
    </xf>
    <xf numFmtId="1" fontId="32" fillId="0" borderId="1840" xfId="0" applyNumberFormat="1" applyFont="1" applyBorder="1" applyAlignment="1">
      <alignment vertical="center"/>
    </xf>
    <xf numFmtId="1" fontId="32" fillId="0" borderId="1872" xfId="0" applyNumberFormat="1" applyFont="1" applyBorder="1" applyAlignment="1">
      <alignment horizontal="right" vertical="center"/>
    </xf>
    <xf numFmtId="1" fontId="32" fillId="0" borderId="1832" xfId="0" applyNumberFormat="1" applyFont="1" applyBorder="1" applyAlignment="1">
      <alignment horizontal="right" vertical="center"/>
    </xf>
    <xf numFmtId="1" fontId="32" fillId="5" borderId="1840" xfId="0" applyNumberFormat="1" applyFont="1" applyFill="1" applyBorder="1" applyAlignment="1" applyProtection="1">
      <alignment horizontal="right"/>
      <protection locked="0"/>
    </xf>
    <xf numFmtId="1" fontId="32" fillId="5" borderId="1832" xfId="0" applyNumberFormat="1" applyFont="1" applyFill="1" applyBorder="1" applyAlignment="1" applyProtection="1">
      <alignment horizontal="right"/>
      <protection locked="0"/>
    </xf>
    <xf numFmtId="1" fontId="32" fillId="5" borderId="1806" xfId="0" applyNumberFormat="1" applyFont="1" applyFill="1" applyBorder="1" applyAlignment="1" applyProtection="1">
      <alignment horizontal="right"/>
      <protection locked="0"/>
    </xf>
    <xf numFmtId="1" fontId="32" fillId="5" borderId="1872" xfId="0" applyNumberFormat="1" applyFont="1" applyFill="1" applyBorder="1" applyAlignment="1" applyProtection="1">
      <alignment horizontal="right"/>
      <protection locked="0"/>
    </xf>
    <xf numFmtId="1" fontId="32" fillId="5" borderId="1811" xfId="0" applyNumberFormat="1" applyFont="1" applyFill="1" applyBorder="1" applyAlignment="1" applyProtection="1">
      <alignment horizontal="right"/>
      <protection locked="0"/>
    </xf>
    <xf numFmtId="1" fontId="32" fillId="5" borderId="1842" xfId="0" applyNumberFormat="1" applyFont="1" applyFill="1" applyBorder="1" applyAlignment="1" applyProtection="1">
      <alignment horizontal="right"/>
      <protection locked="0"/>
    </xf>
    <xf numFmtId="1" fontId="32" fillId="5" borderId="1807" xfId="0" applyNumberFormat="1" applyFont="1" applyFill="1" applyBorder="1" applyAlignment="1" applyProtection="1">
      <alignment horizontal="right"/>
      <protection locked="0"/>
    </xf>
    <xf numFmtId="1" fontId="32" fillId="0" borderId="917" xfId="0" applyNumberFormat="1" applyFont="1" applyBorder="1" applyAlignment="1">
      <alignment vertical="center"/>
    </xf>
    <xf numFmtId="1" fontId="32" fillId="0" borderId="1674" xfId="0" applyNumberFormat="1" applyFont="1" applyBorder="1" applyAlignment="1">
      <alignment horizontal="right" vertical="center"/>
    </xf>
    <xf numFmtId="1" fontId="32" fillId="0" borderId="1659" xfId="0" applyNumberFormat="1" applyFont="1" applyBorder="1" applyAlignment="1">
      <alignment horizontal="right" vertical="center"/>
    </xf>
    <xf numFmtId="1" fontId="32" fillId="5" borderId="1584" xfId="0" applyNumberFormat="1" applyFont="1" applyFill="1" applyBorder="1" applyAlignment="1" applyProtection="1">
      <alignment horizontal="right"/>
      <protection locked="0"/>
    </xf>
    <xf numFmtId="1" fontId="32" fillId="0" borderId="917" xfId="0" applyNumberFormat="1" applyFont="1" applyBorder="1" applyAlignment="1">
      <alignment vertical="center" wrapText="1"/>
    </xf>
    <xf numFmtId="1" fontId="32" fillId="0" borderId="1674" xfId="0" applyNumberFormat="1" applyFont="1" applyBorder="1" applyAlignment="1">
      <alignment horizontal="right" vertical="center" wrapText="1"/>
    </xf>
    <xf numFmtId="1" fontId="32" fillId="0" borderId="1583" xfId="0" applyNumberFormat="1" applyFont="1" applyBorder="1" applyAlignment="1">
      <alignment vertical="center"/>
    </xf>
    <xf numFmtId="1" fontId="32" fillId="4" borderId="1583" xfId="0" applyNumberFormat="1" applyFont="1" applyFill="1" applyBorder="1" applyAlignment="1">
      <alignment horizontal="right"/>
    </xf>
    <xf numFmtId="1" fontId="32" fillId="4" borderId="965" xfId="0" applyNumberFormat="1" applyFont="1" applyFill="1" applyBorder="1" applyAlignment="1">
      <alignment horizontal="right"/>
    </xf>
    <xf numFmtId="1" fontId="32" fillId="4" borderId="1674" xfId="0" applyNumberFormat="1" applyFont="1" applyFill="1" applyBorder="1" applyAlignment="1">
      <alignment horizontal="right"/>
    </xf>
    <xf numFmtId="1" fontId="32" fillId="4" borderId="961" xfId="0" applyNumberFormat="1" applyFont="1" applyFill="1" applyBorder="1" applyAlignment="1">
      <alignment horizontal="right"/>
    </xf>
    <xf numFmtId="1" fontId="32" fillId="4" borderId="1666" xfId="0" applyNumberFormat="1" applyFont="1" applyFill="1" applyBorder="1" applyAlignment="1">
      <alignment horizontal="right"/>
    </xf>
    <xf numFmtId="1" fontId="32" fillId="4" borderId="1584" xfId="0" applyNumberFormat="1" applyFont="1" applyFill="1" applyBorder="1" applyAlignment="1">
      <alignment horizontal="right"/>
    </xf>
    <xf numFmtId="1" fontId="32" fillId="4" borderId="1659" xfId="0" applyNumberFormat="1" applyFont="1" applyFill="1" applyBorder="1" applyAlignment="1">
      <alignment horizontal="right"/>
    </xf>
    <xf numFmtId="1" fontId="32" fillId="0" borderId="1836" xfId="0" applyNumberFormat="1" applyFont="1" applyBorder="1" applyAlignment="1">
      <alignment vertical="center" wrapText="1"/>
    </xf>
    <xf numFmtId="1" fontId="32" fillId="0" borderId="1612" xfId="0" applyNumberFormat="1" applyFont="1" applyBorder="1" applyAlignment="1">
      <alignment horizontal="right" vertical="center" wrapText="1"/>
    </xf>
    <xf numFmtId="1" fontId="32" fillId="5" borderId="929" xfId="0" applyNumberFormat="1" applyFont="1" applyFill="1" applyBorder="1" applyAlignment="1" applyProtection="1">
      <alignment horizontal="right"/>
      <protection locked="0"/>
    </xf>
    <xf numFmtId="1" fontId="32" fillId="0" borderId="2123" xfId="0" applyNumberFormat="1" applyFont="1" applyBorder="1" applyAlignment="1">
      <alignment horizontal="center" vertical="center"/>
    </xf>
    <xf numFmtId="1" fontId="32" fillId="0" borderId="2123" xfId="0" applyNumberFormat="1" applyFont="1" applyBorder="1" applyAlignment="1">
      <alignment horizontal="right" vertical="center"/>
    </xf>
    <xf numFmtId="1" fontId="32" fillId="0" borderId="885" xfId="0" applyNumberFormat="1" applyFont="1" applyBorder="1" applyAlignment="1">
      <alignment horizontal="right" vertical="center"/>
    </xf>
    <xf numFmtId="1" fontId="32" fillId="0" borderId="725" xfId="0" applyNumberFormat="1" applyFont="1" applyBorder="1" applyAlignment="1">
      <alignment horizontal="right" vertical="center"/>
    </xf>
    <xf numFmtId="1" fontId="32" fillId="0" borderId="2108" xfId="0" applyNumberFormat="1" applyFont="1" applyBorder="1" applyAlignment="1">
      <alignment horizontal="right"/>
    </xf>
    <xf numFmtId="1" fontId="32" fillId="0" borderId="2113" xfId="0" applyNumberFormat="1" applyFont="1" applyBorder="1" applyAlignment="1">
      <alignment horizontal="right"/>
    </xf>
    <xf numFmtId="1" fontId="32" fillId="0" borderId="1896" xfId="0" applyNumberFormat="1" applyFont="1" applyBorder="1" applyAlignment="1">
      <alignment horizontal="right"/>
    </xf>
    <xf numFmtId="1" fontId="32" fillId="0" borderId="2118" xfId="0" applyNumberFormat="1" applyFont="1" applyBorder="1" applyAlignment="1">
      <alignment horizontal="right"/>
    </xf>
    <xf numFmtId="1" fontId="32" fillId="0" borderId="2126" xfId="0" applyNumberFormat="1" applyFont="1" applyBorder="1" applyAlignment="1">
      <alignment horizontal="right"/>
    </xf>
    <xf numFmtId="1" fontId="32" fillId="0" borderId="1897" xfId="0" applyNumberFormat="1" applyFont="1" applyBorder="1" applyAlignment="1">
      <alignment horizontal="right"/>
    </xf>
    <xf numFmtId="1" fontId="32" fillId="3" borderId="795" xfId="0" applyNumberFormat="1" applyFont="1" applyFill="1" applyBorder="1"/>
    <xf numFmtId="1" fontId="32" fillId="3" borderId="2120" xfId="0" applyNumberFormat="1" applyFont="1" applyFill="1" applyBorder="1"/>
    <xf numFmtId="1" fontId="76" fillId="3" borderId="2120" xfId="0" applyNumberFormat="1" applyFont="1" applyFill="1" applyBorder="1"/>
    <xf numFmtId="1" fontId="32" fillId="0" borderId="2108" xfId="0" applyNumberFormat="1" applyFont="1" applyBorder="1" applyAlignment="1">
      <alignment horizontal="center" vertical="center"/>
    </xf>
    <xf numFmtId="1" fontId="32" fillId="0" borderId="1841" xfId="0" applyNumberFormat="1" applyFont="1" applyBorder="1" applyAlignment="1">
      <alignment horizontal="center" vertical="center"/>
    </xf>
    <xf numFmtId="1" fontId="32" fillId="0" borderId="1710" xfId="0" applyNumberFormat="1" applyFont="1" applyBorder="1" applyAlignment="1">
      <alignment horizontal="center" vertical="center"/>
    </xf>
    <xf numFmtId="1" fontId="32" fillId="0" borderId="1837" xfId="0" applyNumberFormat="1" applyFont="1" applyBorder="1" applyAlignment="1">
      <alignment horizontal="right" vertical="center" wrapText="1"/>
    </xf>
    <xf numFmtId="1" fontId="32" fillId="0" borderId="1650" xfId="0" applyNumberFormat="1" applyFont="1" applyBorder="1" applyAlignment="1">
      <alignment horizontal="right" vertical="center" wrapText="1"/>
    </xf>
    <xf numFmtId="1" fontId="32" fillId="4" borderId="1837" xfId="0" applyNumberFormat="1" applyFont="1" applyFill="1" applyBorder="1" applyAlignment="1">
      <alignment horizontal="right"/>
    </xf>
    <xf numFmtId="1" fontId="32" fillId="4" borderId="1651" xfId="0" applyNumberFormat="1" applyFont="1" applyFill="1" applyBorder="1" applyAlignment="1">
      <alignment horizontal="right"/>
    </xf>
    <xf numFmtId="1" fontId="32" fillId="4" borderId="2119" xfId="0" applyNumberFormat="1" applyFont="1" applyFill="1" applyBorder="1" applyAlignment="1">
      <alignment horizontal="right"/>
    </xf>
    <xf numFmtId="1" fontId="32" fillId="4" borderId="1640" xfId="0" applyNumberFormat="1" applyFont="1" applyFill="1" applyBorder="1" applyAlignment="1">
      <alignment horizontal="right"/>
    </xf>
    <xf numFmtId="1" fontId="32" fillId="4" borderId="1807" xfId="0" applyNumberFormat="1" applyFont="1" applyFill="1" applyBorder="1" applyAlignment="1">
      <alignment horizontal="right"/>
    </xf>
    <xf numFmtId="1" fontId="32" fillId="4" borderId="1076" xfId="0" applyNumberFormat="1" applyFont="1" applyFill="1" applyBorder="1" applyAlignment="1">
      <alignment horizontal="right"/>
    </xf>
    <xf numFmtId="1" fontId="32" fillId="0" borderId="401" xfId="0" applyNumberFormat="1" applyFont="1" applyBorder="1" applyAlignment="1">
      <alignment horizontal="right" vertical="center" wrapText="1"/>
    </xf>
    <xf numFmtId="1" fontId="32" fillId="0" borderId="375" xfId="0" applyNumberFormat="1" applyFont="1" applyBorder="1" applyAlignment="1">
      <alignment horizontal="right" vertical="center" wrapText="1"/>
    </xf>
    <xf numFmtId="1" fontId="32" fillId="5" borderId="401" xfId="0" applyNumberFormat="1" applyFont="1" applyFill="1" applyBorder="1" applyAlignment="1" applyProtection="1">
      <alignment horizontal="right"/>
      <protection locked="0"/>
    </xf>
    <xf numFmtId="1" fontId="32" fillId="5" borderId="510" xfId="0" applyNumberFormat="1" applyFont="1" applyFill="1" applyBorder="1" applyAlignment="1" applyProtection="1">
      <alignment horizontal="right"/>
      <protection locked="0"/>
    </xf>
    <xf numFmtId="1" fontId="32" fillId="5" borderId="1928" xfId="0" applyNumberFormat="1" applyFont="1" applyFill="1" applyBorder="1" applyAlignment="1" applyProtection="1">
      <alignment horizontal="right"/>
      <protection locked="0"/>
    </xf>
    <xf numFmtId="1" fontId="32" fillId="4" borderId="401" xfId="0" applyNumberFormat="1" applyFont="1" applyFill="1" applyBorder="1" applyAlignment="1">
      <alignment horizontal="right"/>
    </xf>
    <xf numFmtId="1" fontId="32" fillId="4" borderId="1928" xfId="0" applyNumberFormat="1" applyFont="1" applyFill="1" applyBorder="1" applyAlignment="1">
      <alignment horizontal="right"/>
    </xf>
    <xf numFmtId="1" fontId="32" fillId="4" borderId="2122" xfId="0" applyNumberFormat="1" applyFont="1" applyFill="1" applyBorder="1" applyAlignment="1">
      <alignment horizontal="right"/>
    </xf>
    <xf numFmtId="1" fontId="32" fillId="4" borderId="2127" xfId="0" applyNumberFormat="1" applyFont="1" applyFill="1" applyBorder="1" applyAlignment="1">
      <alignment horizontal="right"/>
    </xf>
    <xf numFmtId="1" fontId="32" fillId="0" borderId="1840" xfId="0" applyNumberFormat="1" applyFont="1" applyBorder="1" applyAlignment="1">
      <alignment horizontal="right" vertical="center" wrapText="1"/>
    </xf>
    <xf numFmtId="1" fontId="32" fillId="0" borderId="1805" xfId="0" applyNumberFormat="1" applyFont="1" applyBorder="1" applyAlignment="1">
      <alignment horizontal="right" vertical="center" wrapText="1"/>
    </xf>
    <xf numFmtId="1" fontId="32" fillId="4" borderId="1840" xfId="25" applyNumberFormat="1" applyFont="1" applyFill="1" applyBorder="1"/>
    <xf numFmtId="1" fontId="32" fillId="4" borderId="1832" xfId="25" applyNumberFormat="1" applyFont="1" applyFill="1" applyBorder="1"/>
    <xf numFmtId="1" fontId="32" fillId="5" borderId="1831" xfId="0" applyNumberFormat="1" applyFont="1" applyFill="1" applyBorder="1" applyAlignment="1" applyProtection="1">
      <alignment horizontal="right"/>
      <protection locked="0"/>
    </xf>
    <xf numFmtId="1" fontId="32" fillId="4" borderId="1583" xfId="25" applyNumberFormat="1" applyFont="1" applyFill="1" applyBorder="1"/>
    <xf numFmtId="1" fontId="32" fillId="4" borderId="1659" xfId="25" applyNumberFormat="1" applyFont="1" applyFill="1" applyBorder="1"/>
    <xf numFmtId="1" fontId="32" fillId="5" borderId="1640" xfId="0" applyNumberFormat="1" applyFont="1" applyFill="1" applyBorder="1" applyAlignment="1" applyProtection="1">
      <alignment horizontal="right"/>
      <protection locked="0"/>
    </xf>
    <xf numFmtId="1" fontId="32" fillId="4" borderId="1846" xfId="25" applyNumberFormat="1" applyFont="1" applyFill="1" applyBorder="1"/>
    <xf numFmtId="1" fontId="32" fillId="5" borderId="1833" xfId="0" applyNumberFormat="1" applyFont="1" applyFill="1" applyBorder="1" applyAlignment="1" applyProtection="1">
      <alignment horizontal="right"/>
      <protection locked="0"/>
    </xf>
    <xf numFmtId="1" fontId="32" fillId="4" borderId="1840" xfId="0" applyNumberFormat="1" applyFont="1" applyFill="1" applyBorder="1" applyAlignment="1">
      <alignment horizontal="right"/>
    </xf>
    <xf numFmtId="1" fontId="32" fillId="4" borderId="1806" xfId="0" applyNumberFormat="1" applyFont="1" applyFill="1" applyBorder="1" applyAlignment="1">
      <alignment horizontal="right"/>
    </xf>
    <xf numFmtId="1" fontId="32" fillId="0" borderId="1836" xfId="0" applyNumberFormat="1" applyFont="1" applyBorder="1" applyAlignment="1">
      <alignment horizontal="right" vertical="center" wrapText="1"/>
    </xf>
    <xf numFmtId="1" fontId="32" fillId="0" borderId="1662" xfId="0" applyNumberFormat="1" applyFont="1" applyBorder="1" applyAlignment="1">
      <alignment horizontal="right" vertical="center" wrapText="1"/>
    </xf>
    <xf numFmtId="1" fontId="32" fillId="4" borderId="1836" xfId="0" applyNumberFormat="1" applyFont="1" applyFill="1" applyBorder="1" applyAlignment="1">
      <alignment horizontal="right"/>
    </xf>
    <xf numFmtId="1" fontId="32" fillId="4" borderId="1663" xfId="0" applyNumberFormat="1" applyFont="1" applyFill="1" applyBorder="1" applyAlignment="1">
      <alignment horizontal="right"/>
    </xf>
    <xf numFmtId="1" fontId="32" fillId="0" borderId="1837" xfId="0" applyNumberFormat="1" applyFont="1" applyBorder="1" applyAlignment="1">
      <alignment horizontal="right" vertical="center"/>
    </xf>
    <xf numFmtId="1" fontId="32" fillId="0" borderId="1650" xfId="0" applyNumberFormat="1" applyFont="1" applyBorder="1" applyAlignment="1">
      <alignment horizontal="right" vertical="center"/>
    </xf>
    <xf numFmtId="1" fontId="32" fillId="0" borderId="1583" xfId="0" applyNumberFormat="1" applyFont="1" applyBorder="1" applyAlignment="1">
      <alignment horizontal="right" vertical="center"/>
    </xf>
    <xf numFmtId="1" fontId="32" fillId="0" borderId="809" xfId="0" applyNumberFormat="1" applyFont="1" applyBorder="1" applyAlignment="1">
      <alignment horizontal="right" vertical="center"/>
    </xf>
    <xf numFmtId="1" fontId="32" fillId="5" borderId="917" xfId="0" applyNumberFormat="1" applyFont="1" applyFill="1" applyBorder="1" applyAlignment="1" applyProtection="1">
      <alignment horizontal="right"/>
      <protection locked="0"/>
    </xf>
    <xf numFmtId="1" fontId="32" fillId="0" borderId="1583" xfId="0" applyNumberFormat="1" applyFont="1" applyBorder="1" applyAlignment="1">
      <alignment horizontal="right" vertical="center" wrapText="1"/>
    </xf>
    <xf numFmtId="1" fontId="32" fillId="0" borderId="809" xfId="0" applyNumberFormat="1" applyFont="1" applyBorder="1" applyAlignment="1">
      <alignment horizontal="right" vertical="center" wrapText="1"/>
    </xf>
    <xf numFmtId="1" fontId="32" fillId="0" borderId="1836" xfId="0" applyNumberFormat="1" applyFont="1" applyBorder="1" applyAlignment="1">
      <alignment horizontal="right" vertical="center"/>
    </xf>
    <xf numFmtId="1" fontId="32" fillId="0" borderId="1845" xfId="0" applyNumberFormat="1" applyFont="1" applyBorder="1" applyAlignment="1">
      <alignment horizontal="right" vertical="center"/>
    </xf>
    <xf numFmtId="1" fontId="32" fillId="0" borderId="2108" xfId="0" applyNumberFormat="1" applyFont="1" applyBorder="1" applyAlignment="1">
      <alignment horizontal="right" vertical="center"/>
    </xf>
    <xf numFmtId="1" fontId="32" fillId="0" borderId="1841" xfId="0" applyNumberFormat="1" applyFont="1" applyBorder="1" applyAlignment="1">
      <alignment horizontal="right" vertical="center"/>
    </xf>
    <xf numFmtId="1" fontId="32" fillId="0" borderId="2113" xfId="0" applyNumberFormat="1" applyFont="1" applyBorder="1" applyAlignment="1">
      <alignment horizontal="right" vertical="center"/>
    </xf>
    <xf numFmtId="1" fontId="32" fillId="0" borderId="2082" xfId="0" applyNumberFormat="1" applyFont="1" applyBorder="1" applyAlignment="1">
      <alignment horizontal="right"/>
    </xf>
    <xf numFmtId="1" fontId="32" fillId="0" borderId="2120" xfId="0" applyNumberFormat="1" applyFont="1" applyBorder="1" applyAlignment="1">
      <alignment horizontal="right"/>
    </xf>
    <xf numFmtId="1" fontId="32" fillId="0" borderId="2092" xfId="0" applyNumberFormat="1" applyFont="1" applyBorder="1" applyAlignment="1">
      <alignment horizontal="right"/>
    </xf>
    <xf numFmtId="1" fontId="64" fillId="3" borderId="0" xfId="0" applyNumberFormat="1" applyFont="1" applyFill="1" applyAlignment="1">
      <alignment horizontal="center"/>
    </xf>
    <xf numFmtId="1" fontId="32" fillId="0" borderId="0" xfId="0" applyNumberFormat="1" applyFont="1" applyAlignment="1">
      <alignment horizontal="right"/>
    </xf>
    <xf numFmtId="1" fontId="32" fillId="0" borderId="2118" xfId="0" applyNumberFormat="1" applyFont="1" applyBorder="1" applyAlignment="1">
      <alignment horizontal="center" vertical="center"/>
    </xf>
    <xf numFmtId="1" fontId="32" fillId="0" borderId="1831" xfId="0" applyNumberFormat="1" applyFont="1" applyBorder="1"/>
    <xf numFmtId="1" fontId="32" fillId="0" borderId="1634" xfId="0" applyNumberFormat="1" applyFont="1" applyBorder="1" applyAlignment="1">
      <alignment horizontal="right"/>
    </xf>
    <xf numFmtId="1" fontId="32" fillId="0" borderId="1421" xfId="0" applyNumberFormat="1" applyFont="1" applyBorder="1" applyAlignment="1">
      <alignment horizontal="right"/>
    </xf>
    <xf numFmtId="1" fontId="32" fillId="5" borderId="774" xfId="0" applyNumberFormat="1" applyFont="1" applyFill="1" applyBorder="1" applyProtection="1">
      <protection locked="0"/>
    </xf>
    <xf numFmtId="1" fontId="32" fillId="5" borderId="1640" xfId="0" applyNumberFormat="1" applyFont="1" applyFill="1" applyBorder="1" applyProtection="1">
      <protection locked="0"/>
    </xf>
    <xf numFmtId="1" fontId="32" fillId="12" borderId="1647" xfId="0" applyNumberFormat="1" applyFont="1" applyFill="1" applyBorder="1"/>
    <xf numFmtId="1" fontId="32" fillId="0" borderId="1833" xfId="0" applyNumberFormat="1" applyFont="1" applyBorder="1"/>
    <xf numFmtId="1" fontId="32" fillId="0" borderId="1646" xfId="0" applyNumberFormat="1" applyFont="1" applyBorder="1" applyAlignment="1">
      <alignment horizontal="right"/>
    </xf>
    <xf numFmtId="1" fontId="32" fillId="0" borderId="768" xfId="0" applyNumberFormat="1" applyFont="1" applyBorder="1" applyAlignment="1">
      <alignment horizontal="right"/>
    </xf>
    <xf numFmtId="1" fontId="32" fillId="0" borderId="510" xfId="0" applyNumberFormat="1" applyFont="1" applyBorder="1" applyAlignment="1">
      <alignment horizontal="right"/>
    </xf>
    <xf numFmtId="1" fontId="32" fillId="5" borderId="2128" xfId="0" applyNumberFormat="1" applyFont="1" applyFill="1" applyBorder="1" applyProtection="1">
      <protection locked="0"/>
    </xf>
    <xf numFmtId="1" fontId="32" fillId="5" borderId="1152" xfId="0" applyNumberFormat="1" applyFont="1" applyFill="1" applyBorder="1" applyProtection="1">
      <protection locked="0"/>
    </xf>
    <xf numFmtId="1" fontId="32" fillId="0" borderId="2082" xfId="0" applyNumberFormat="1" applyFont="1" applyBorder="1" applyAlignment="1">
      <alignment horizontal="center"/>
    </xf>
    <xf numFmtId="1" fontId="32" fillId="0" borderId="2126" xfId="0" applyNumberFormat="1" applyFont="1" applyBorder="1"/>
    <xf numFmtId="1" fontId="32" fillId="0" borderId="2082" xfId="0" applyNumberFormat="1" applyFont="1" applyBorder="1"/>
    <xf numFmtId="1" fontId="32" fillId="0" borderId="2092" xfId="0" applyNumberFormat="1" applyFont="1" applyBorder="1"/>
    <xf numFmtId="1" fontId="32" fillId="0" borderId="2112" xfId="25" applyNumberFormat="1" applyFont="1" applyBorder="1" applyAlignment="1">
      <alignment horizontal="center" vertical="center" wrapText="1"/>
    </xf>
    <xf numFmtId="1" fontId="32" fillId="0" borderId="2111" xfId="25" applyNumberFormat="1" applyFont="1" applyBorder="1" applyAlignment="1">
      <alignment horizontal="center" vertical="center" wrapText="1"/>
    </xf>
    <xf numFmtId="1" fontId="32" fillId="0" borderId="510" xfId="25" applyNumberFormat="1" applyFont="1" applyBorder="1" applyAlignment="1">
      <alignment horizontal="center" vertical="center"/>
    </xf>
    <xf numFmtId="1" fontId="32" fillId="0" borderId="1831" xfId="23" applyNumberFormat="1" applyFont="1" applyBorder="1" applyAlignment="1">
      <alignment wrapText="1"/>
    </xf>
    <xf numFmtId="1" fontId="32" fillId="0" borderId="1828" xfId="23" applyNumberFormat="1" applyFont="1" applyBorder="1" applyAlignment="1">
      <alignment horizontal="right" wrapText="1"/>
    </xf>
    <xf numFmtId="1" fontId="32" fillId="0" borderId="1872" xfId="23" applyNumberFormat="1" applyFont="1" applyBorder="1" applyAlignment="1">
      <alignment horizontal="right" wrapText="1"/>
    </xf>
    <xf numFmtId="1" fontId="32" fillId="0" borderId="1832" xfId="25" applyNumberFormat="1" applyFont="1" applyBorder="1" applyAlignment="1">
      <alignment horizontal="right"/>
    </xf>
    <xf numFmtId="1" fontId="32" fillId="5" borderId="1840" xfId="25" applyNumberFormat="1" applyFont="1" applyFill="1" applyBorder="1" applyProtection="1">
      <protection locked="0"/>
    </xf>
    <xf numFmtId="1" fontId="32" fillId="5" borderId="1832" xfId="25" applyNumberFormat="1" applyFont="1" applyFill="1" applyBorder="1" applyProtection="1">
      <protection locked="0"/>
    </xf>
    <xf numFmtId="1" fontId="32" fillId="4" borderId="1421" xfId="25" applyNumberFormat="1" applyFont="1" applyFill="1" applyBorder="1"/>
    <xf numFmtId="1" fontId="32" fillId="4" borderId="1883" xfId="25" applyNumberFormat="1" applyFont="1" applyFill="1" applyBorder="1"/>
    <xf numFmtId="1" fontId="32" fillId="5" borderId="1634" xfId="25" applyNumberFormat="1" applyFont="1" applyFill="1" applyBorder="1" applyProtection="1">
      <protection locked="0"/>
    </xf>
    <xf numFmtId="1" fontId="32" fillId="5" borderId="1651" xfId="25" applyNumberFormat="1" applyFont="1" applyFill="1" applyBorder="1" applyProtection="1">
      <protection locked="0"/>
    </xf>
    <xf numFmtId="1" fontId="32" fillId="14" borderId="2122" xfId="0" applyNumberFormat="1" applyFont="1" applyFill="1" applyBorder="1" applyAlignment="1" applyProtection="1">
      <alignment vertical="center"/>
      <protection locked="0"/>
    </xf>
    <xf numFmtId="1" fontId="32" fillId="0" borderId="917" xfId="24" applyNumberFormat="1" applyFont="1" applyBorder="1" applyAlignment="1">
      <alignment vertical="center" wrapText="1"/>
    </xf>
    <xf numFmtId="1" fontId="32" fillId="0" borderId="1675" xfId="24" applyNumberFormat="1" applyFont="1" applyBorder="1" applyAlignment="1">
      <alignment horizontal="right" wrapText="1"/>
    </xf>
    <xf numFmtId="1" fontId="32" fillId="0" borderId="1674" xfId="24" applyNumberFormat="1" applyFont="1" applyBorder="1" applyAlignment="1">
      <alignment horizontal="right" wrapText="1"/>
    </xf>
    <xf numFmtId="1" fontId="32" fillId="0" borderId="1659" xfId="25" applyNumberFormat="1" applyFont="1" applyBorder="1" applyAlignment="1">
      <alignment horizontal="right"/>
    </xf>
    <xf numFmtId="1" fontId="32" fillId="4" borderId="510" xfId="25" applyNumberFormat="1" applyFont="1" applyFill="1" applyBorder="1"/>
    <xf numFmtId="1" fontId="32" fillId="5" borderId="401" xfId="25" applyNumberFormat="1" applyFont="1" applyFill="1" applyBorder="1" applyProtection="1">
      <protection locked="0"/>
    </xf>
    <xf numFmtId="1" fontId="32" fillId="5" borderId="510" xfId="25" applyNumberFormat="1" applyFont="1" applyFill="1" applyBorder="1" applyProtection="1">
      <protection locked="0"/>
    </xf>
    <xf numFmtId="1" fontId="32" fillId="5" borderId="1844" xfId="25" applyNumberFormat="1" applyFont="1" applyFill="1" applyBorder="1" applyProtection="1">
      <protection locked="0"/>
    </xf>
    <xf numFmtId="1" fontId="32" fillId="5" borderId="1846" xfId="25" applyNumberFormat="1" applyFont="1" applyFill="1" applyBorder="1" applyProtection="1">
      <protection locked="0"/>
    </xf>
    <xf numFmtId="1" fontId="32" fillId="5" borderId="1583" xfId="25" applyNumberFormat="1" applyFont="1" applyFill="1" applyBorder="1" applyProtection="1">
      <protection locked="0"/>
    </xf>
    <xf numFmtId="1" fontId="32" fillId="5" borderId="1659" xfId="25" applyNumberFormat="1" applyFont="1" applyFill="1" applyBorder="1" applyProtection="1">
      <protection locked="0"/>
    </xf>
    <xf numFmtId="1" fontId="32" fillId="5" borderId="1708" xfId="25" applyNumberFormat="1" applyFont="1" applyFill="1" applyBorder="1" applyProtection="1">
      <protection locked="0"/>
    </xf>
    <xf numFmtId="1" fontId="32" fillId="5" borderId="1674" xfId="25" applyNumberFormat="1" applyFont="1" applyFill="1" applyBorder="1" applyProtection="1">
      <protection locked="0"/>
    </xf>
    <xf numFmtId="1" fontId="32" fillId="5" borderId="965" xfId="25" applyNumberFormat="1" applyFont="1" applyFill="1" applyBorder="1" applyProtection="1">
      <protection locked="0"/>
    </xf>
    <xf numFmtId="1" fontId="32" fillId="0" borderId="1647" xfId="24" applyNumberFormat="1" applyFont="1" applyBorder="1" applyAlignment="1">
      <alignment horizontal="right" wrapText="1"/>
    </xf>
    <xf numFmtId="1" fontId="32" fillId="0" borderId="1634" xfId="24" applyNumberFormat="1" applyFont="1" applyBorder="1" applyAlignment="1">
      <alignment horizontal="right" wrapText="1"/>
    </xf>
    <xf numFmtId="1" fontId="32" fillId="0" borderId="1421" xfId="25" applyNumberFormat="1" applyFont="1" applyBorder="1" applyAlignment="1">
      <alignment horizontal="right"/>
    </xf>
    <xf numFmtId="1" fontId="32" fillId="4" borderId="1837" xfId="25" applyNumberFormat="1" applyFont="1" applyFill="1" applyBorder="1"/>
    <xf numFmtId="1" fontId="32" fillId="5" borderId="1837" xfId="25" applyNumberFormat="1" applyFont="1" applyFill="1" applyBorder="1" applyProtection="1">
      <protection locked="0"/>
    </xf>
    <xf numFmtId="1" fontId="32" fillId="5" borderId="1421" xfId="25" applyNumberFormat="1" applyFont="1" applyFill="1" applyBorder="1" applyProtection="1">
      <protection locked="0"/>
    </xf>
    <xf numFmtId="1" fontId="32" fillId="5" borderId="1020" xfId="25" applyNumberFormat="1" applyFont="1" applyFill="1" applyBorder="1" applyProtection="1">
      <protection locked="0"/>
    </xf>
    <xf numFmtId="1" fontId="32" fillId="0" borderId="1640" xfId="0" applyNumberFormat="1" applyFont="1" applyBorder="1" applyAlignment="1">
      <alignment vertical="center"/>
    </xf>
    <xf numFmtId="1" fontId="32" fillId="5" borderId="1020" xfId="0" applyNumberFormat="1" applyFont="1" applyFill="1" applyBorder="1" applyAlignment="1" applyProtection="1">
      <alignment horizontal="right"/>
      <protection locked="0"/>
    </xf>
    <xf numFmtId="1" fontId="32" fillId="0" borderId="917" xfId="23" applyNumberFormat="1" applyFont="1" applyBorder="1" applyAlignment="1">
      <alignment vertical="center" wrapText="1"/>
    </xf>
    <xf numFmtId="1" fontId="32" fillId="0" borderId="1675" xfId="23" applyNumberFormat="1" applyFont="1" applyBorder="1" applyAlignment="1">
      <alignment vertical="center" wrapText="1"/>
    </xf>
    <xf numFmtId="1" fontId="32" fillId="5" borderId="1424" xfId="25" applyNumberFormat="1" applyFont="1" applyFill="1" applyBorder="1" applyProtection="1">
      <protection locked="0"/>
    </xf>
    <xf numFmtId="1" fontId="32" fillId="5" borderId="1702" xfId="25" applyNumberFormat="1" applyFont="1" applyFill="1" applyBorder="1" applyProtection="1">
      <protection locked="0"/>
    </xf>
    <xf numFmtId="1" fontId="32" fillId="0" borderId="1666" xfId="0" applyNumberFormat="1" applyFont="1" applyBorder="1" applyAlignment="1">
      <alignment vertical="center" wrapText="1"/>
    </xf>
    <xf numFmtId="1" fontId="32" fillId="0" borderId="1675" xfId="0" applyNumberFormat="1" applyFont="1" applyBorder="1" applyAlignment="1">
      <alignment horizontal="right"/>
    </xf>
    <xf numFmtId="1" fontId="32" fillId="0" borderId="1674" xfId="0" applyNumberFormat="1" applyFont="1" applyBorder="1" applyAlignment="1">
      <alignment horizontal="right"/>
    </xf>
    <xf numFmtId="1" fontId="32" fillId="0" borderId="1838" xfId="23" applyNumberFormat="1" applyFont="1" applyBorder="1" applyAlignment="1">
      <alignment vertical="center" wrapText="1"/>
    </xf>
    <xf numFmtId="1" fontId="32" fillId="0" borderId="2123" xfId="0" applyNumberFormat="1" applyFont="1" applyBorder="1" applyAlignment="1">
      <alignment horizontal="right"/>
    </xf>
    <xf numFmtId="1" fontId="32" fillId="0" borderId="885" xfId="0" applyNumberFormat="1" applyFont="1" applyBorder="1" applyAlignment="1">
      <alignment horizontal="right"/>
    </xf>
    <xf numFmtId="1" fontId="32" fillId="0" borderId="1834" xfId="25" applyNumberFormat="1" applyFont="1" applyBorder="1" applyAlignment="1">
      <alignment horizontal="right"/>
    </xf>
    <xf numFmtId="1" fontId="32" fillId="5" borderId="1836" xfId="25" applyNumberFormat="1" applyFont="1" applyFill="1" applyBorder="1" applyProtection="1">
      <protection locked="0"/>
    </xf>
    <xf numFmtId="1" fontId="32" fillId="5" borderId="1834" xfId="25" applyNumberFormat="1" applyFont="1" applyFill="1" applyBorder="1" applyProtection="1">
      <protection locked="0"/>
    </xf>
    <xf numFmtId="1" fontId="32" fillId="5" borderId="1707" xfId="25" applyNumberFormat="1" applyFont="1" applyFill="1" applyBorder="1" applyProtection="1">
      <protection locked="0"/>
    </xf>
    <xf numFmtId="1" fontId="32" fillId="5" borderId="1612" xfId="25" applyNumberFormat="1" applyFont="1" applyFill="1" applyBorder="1" applyProtection="1">
      <protection locked="0"/>
    </xf>
    <xf numFmtId="1" fontId="32" fillId="5" borderId="1663" xfId="25" applyNumberFormat="1" applyFont="1" applyFill="1" applyBorder="1" applyProtection="1">
      <protection locked="0"/>
    </xf>
    <xf numFmtId="1" fontId="32" fillId="0" borderId="2120" xfId="0" applyNumberFormat="1" applyFont="1" applyBorder="1" applyAlignment="1">
      <alignment horizontal="center" vertical="center"/>
    </xf>
    <xf numFmtId="1" fontId="32" fillId="0" borderId="2121" xfId="0" applyNumberFormat="1" applyFont="1" applyBorder="1" applyAlignment="1">
      <alignment horizontal="center" vertical="center"/>
    </xf>
    <xf numFmtId="1" fontId="32" fillId="5" borderId="2126" xfId="0" applyNumberFormat="1" applyFont="1" applyFill="1" applyBorder="1" applyProtection="1">
      <protection locked="0"/>
    </xf>
    <xf numFmtId="1" fontId="32" fillId="0" borderId="2112" xfId="0" applyNumberFormat="1" applyFont="1" applyBorder="1"/>
    <xf numFmtId="1" fontId="32" fillId="0" borderId="1828" xfId="0" applyNumberFormat="1" applyFont="1" applyBorder="1" applyAlignment="1">
      <alignment horizontal="right"/>
    </xf>
    <xf numFmtId="1" fontId="32" fillId="0" borderId="1872" xfId="0" applyNumberFormat="1" applyFont="1" applyBorder="1" applyAlignment="1">
      <alignment horizontal="right"/>
    </xf>
    <xf numFmtId="1" fontId="32" fillId="0" borderId="1832" xfId="0" applyNumberFormat="1" applyFont="1" applyBorder="1" applyAlignment="1">
      <alignment horizontal="right"/>
    </xf>
    <xf numFmtId="1" fontId="32" fillId="5" borderId="1811" xfId="0" applyNumberFormat="1" applyFont="1" applyFill="1" applyBorder="1" applyProtection="1">
      <protection locked="0"/>
    </xf>
    <xf numFmtId="1" fontId="32" fillId="5" borderId="1831" xfId="0" applyNumberFormat="1" applyFont="1" applyFill="1" applyBorder="1" applyProtection="1">
      <protection locked="0"/>
    </xf>
    <xf numFmtId="1" fontId="32" fillId="5" borderId="2109" xfId="0" applyNumberFormat="1" applyFont="1" applyFill="1" applyBorder="1" applyProtection="1">
      <protection locked="0"/>
    </xf>
    <xf numFmtId="1" fontId="32" fillId="0" borderId="1659" xfId="0" applyNumberFormat="1" applyFont="1" applyBorder="1" applyAlignment="1">
      <alignment horizontal="right"/>
    </xf>
    <xf numFmtId="1" fontId="32" fillId="5" borderId="917" xfId="0" applyNumberFormat="1" applyFont="1" applyFill="1" applyBorder="1" applyProtection="1">
      <protection locked="0"/>
    </xf>
    <xf numFmtId="1" fontId="32" fillId="0" borderId="1646" xfId="0" applyNumberFormat="1" applyFont="1" applyBorder="1"/>
    <xf numFmtId="1" fontId="32" fillId="0" borderId="1838" xfId="0" applyNumberFormat="1" applyFont="1" applyBorder="1" applyAlignment="1">
      <alignment horizontal="right"/>
    </xf>
    <xf numFmtId="1" fontId="32" fillId="0" borderId="1612" xfId="0" applyNumberFormat="1" applyFont="1" applyBorder="1" applyAlignment="1">
      <alignment horizontal="right"/>
    </xf>
    <xf numFmtId="1" fontId="32" fillId="0" borderId="1834" xfId="0" applyNumberFormat="1" applyFont="1" applyBorder="1" applyAlignment="1">
      <alignment horizontal="right"/>
    </xf>
    <xf numFmtId="1" fontId="32" fillId="0" borderId="2092" xfId="0" applyNumberFormat="1" applyFont="1" applyBorder="1" applyAlignment="1">
      <alignment horizontal="center"/>
    </xf>
    <xf numFmtId="1" fontId="32" fillId="14" borderId="0" xfId="0" applyNumberFormat="1" applyFont="1" applyFill="1" applyProtection="1">
      <protection locked="0"/>
    </xf>
    <xf numFmtId="1" fontId="32" fillId="4" borderId="1806" xfId="25" applyNumberFormat="1" applyFont="1" applyFill="1" applyBorder="1"/>
    <xf numFmtId="1" fontId="32" fillId="4" borderId="1872" xfId="25" applyNumberFormat="1" applyFont="1" applyFill="1" applyBorder="1"/>
    <xf numFmtId="1" fontId="32" fillId="4" borderId="1811" xfId="25" applyNumberFormat="1" applyFont="1" applyFill="1" applyBorder="1"/>
    <xf numFmtId="1" fontId="32" fillId="4" borderId="1831" xfId="25" applyNumberFormat="1" applyFont="1" applyFill="1" applyBorder="1"/>
    <xf numFmtId="1" fontId="32" fillId="3" borderId="0" xfId="0" applyNumberFormat="1" applyFont="1" applyFill="1" applyProtection="1">
      <protection locked="0"/>
    </xf>
    <xf numFmtId="1" fontId="32" fillId="4" borderId="1674" xfId="25" applyNumberFormat="1" applyFont="1" applyFill="1" applyBorder="1"/>
    <xf numFmtId="1" fontId="32" fillId="4" borderId="961" xfId="25" applyNumberFormat="1" applyFont="1" applyFill="1" applyBorder="1"/>
    <xf numFmtId="1" fontId="32" fillId="4" borderId="965" xfId="25" applyNumberFormat="1" applyFont="1" applyFill="1" applyBorder="1"/>
    <xf numFmtId="1" fontId="32" fillId="0" borderId="1152" xfId="0" applyNumberFormat="1" applyFont="1" applyBorder="1" applyAlignment="1">
      <alignment vertical="center"/>
    </xf>
    <xf numFmtId="1" fontId="32" fillId="0" borderId="1827" xfId="0" applyNumberFormat="1" applyFont="1" applyBorder="1" applyAlignment="1">
      <alignment horizontal="right"/>
    </xf>
    <xf numFmtId="1" fontId="32" fillId="0" borderId="1424" xfId="0" applyNumberFormat="1" applyFont="1" applyBorder="1" applyAlignment="1">
      <alignment horizontal="right"/>
    </xf>
    <xf numFmtId="1" fontId="32" fillId="5" borderId="804" xfId="0" applyNumberFormat="1" applyFont="1" applyFill="1" applyBorder="1" applyProtection="1">
      <protection locked="0"/>
    </xf>
    <xf numFmtId="1" fontId="32" fillId="5" borderId="1833" xfId="0" applyNumberFormat="1" applyFont="1" applyFill="1" applyBorder="1" applyProtection="1">
      <protection locked="0"/>
    </xf>
    <xf numFmtId="1" fontId="65" fillId="3" borderId="0" xfId="0" applyNumberFormat="1" applyFont="1" applyFill="1" applyAlignment="1">
      <alignment horizontal="center"/>
    </xf>
    <xf numFmtId="1" fontId="32" fillId="0" borderId="807" xfId="0" applyNumberFormat="1" applyFont="1" applyBorder="1" applyAlignment="1">
      <alignment horizontal="right" vertical="center"/>
    </xf>
    <xf numFmtId="1" fontId="32" fillId="5" borderId="811" xfId="0" applyNumberFormat="1" applyFont="1" applyFill="1" applyBorder="1" applyAlignment="1" applyProtection="1">
      <alignment horizontal="right"/>
      <protection locked="0"/>
    </xf>
    <xf numFmtId="1" fontId="32" fillId="5" borderId="808" xfId="0" applyNumberFormat="1" applyFont="1" applyFill="1" applyBorder="1" applyAlignment="1" applyProtection="1">
      <alignment horizontal="right"/>
      <protection locked="0"/>
    </xf>
    <xf numFmtId="1" fontId="32" fillId="0" borderId="2153" xfId="0" applyNumberFormat="1" applyFont="1" applyBorder="1" applyAlignment="1">
      <alignment horizontal="right" vertical="center"/>
    </xf>
    <xf numFmtId="1" fontId="32" fillId="0" borderId="2156" xfId="0" applyNumberFormat="1" applyFont="1" applyBorder="1" applyAlignment="1">
      <alignment horizontal="right"/>
    </xf>
    <xf numFmtId="1" fontId="32" fillId="0" borderId="2186" xfId="0" applyNumberFormat="1" applyFont="1" applyBorder="1" applyAlignment="1">
      <alignment horizontal="right"/>
    </xf>
    <xf numFmtId="1" fontId="64" fillId="3" borderId="795" xfId="0" applyNumberFormat="1" applyFont="1" applyFill="1" applyBorder="1"/>
    <xf numFmtId="1" fontId="32" fillId="4" borderId="1832" xfId="0" applyNumberFormat="1" applyFont="1" applyFill="1" applyBorder="1" applyAlignment="1">
      <alignment horizontal="right"/>
    </xf>
    <xf numFmtId="1" fontId="32" fillId="4" borderId="1421" xfId="0" applyNumberFormat="1" applyFont="1" applyFill="1" applyBorder="1" applyAlignment="1">
      <alignment horizontal="right"/>
    </xf>
    <xf numFmtId="1" fontId="32" fillId="5" borderId="774" xfId="0" applyNumberFormat="1" applyFont="1" applyFill="1" applyBorder="1" applyAlignment="1" applyProtection="1">
      <alignment horizontal="right"/>
      <protection locked="0"/>
    </xf>
    <xf numFmtId="1" fontId="32" fillId="3" borderId="917" xfId="0" applyNumberFormat="1" applyFont="1" applyFill="1" applyBorder="1" applyAlignment="1">
      <alignment vertical="center" wrapText="1"/>
    </xf>
    <xf numFmtId="1" fontId="32" fillId="3" borderId="1674" xfId="0" applyNumberFormat="1" applyFont="1" applyFill="1" applyBorder="1" applyAlignment="1">
      <alignment horizontal="right" wrapText="1"/>
    </xf>
    <xf numFmtId="1" fontId="32" fillId="5" borderId="285" xfId="0" applyNumberFormat="1" applyFont="1" applyFill="1" applyBorder="1" applyAlignment="1" applyProtection="1">
      <alignment horizontal="right"/>
      <protection locked="0"/>
    </xf>
    <xf numFmtId="1" fontId="32" fillId="3" borderId="1833" xfId="0" applyNumberFormat="1" applyFont="1" applyFill="1" applyBorder="1" applyAlignment="1">
      <alignment vertical="center" wrapText="1"/>
    </xf>
    <xf numFmtId="1" fontId="32" fillId="3" borderId="1838" xfId="0" applyNumberFormat="1" applyFont="1" applyFill="1" applyBorder="1" applyAlignment="1">
      <alignment horizontal="right" wrapText="1"/>
    </xf>
    <xf numFmtId="1" fontId="32" fillId="3" borderId="1612" xfId="0" applyNumberFormat="1" applyFont="1" applyFill="1" applyBorder="1" applyAlignment="1">
      <alignment horizontal="right" wrapText="1"/>
    </xf>
    <xf numFmtId="1" fontId="32" fillId="0" borderId="1831" xfId="0" applyNumberFormat="1" applyFont="1" applyBorder="1" applyAlignment="1">
      <alignment vertical="center" wrapText="1"/>
    </xf>
    <xf numFmtId="1" fontId="32" fillId="0" borderId="1612" xfId="0" applyNumberFormat="1" applyFont="1" applyBorder="1" applyAlignment="1">
      <alignment horizontal="right" vertical="center"/>
    </xf>
    <xf numFmtId="1" fontId="32" fillId="3" borderId="917" xfId="0" applyNumberFormat="1" applyFont="1" applyFill="1" applyBorder="1"/>
    <xf numFmtId="1" fontId="32" fillId="0" borderId="1833" xfId="0" applyNumberFormat="1" applyFont="1" applyBorder="1" applyAlignment="1">
      <alignment vertical="center" wrapText="1"/>
    </xf>
    <xf numFmtId="1" fontId="32" fillId="3" borderId="1838" xfId="0" applyNumberFormat="1" applyFont="1" applyFill="1" applyBorder="1" applyAlignment="1">
      <alignment horizontal="right" vertical="center"/>
    </xf>
    <xf numFmtId="1" fontId="32" fillId="3" borderId="2118" xfId="0" applyNumberFormat="1" applyFont="1" applyFill="1" applyBorder="1" applyAlignment="1">
      <alignment horizontal="center" vertical="center"/>
    </xf>
    <xf numFmtId="1" fontId="32" fillId="0" borderId="2159" xfId="0" applyNumberFormat="1" applyFont="1" applyBorder="1" applyAlignment="1">
      <alignment horizontal="center" vertical="center"/>
    </xf>
    <xf numFmtId="1" fontId="32" fillId="3" borderId="1831" xfId="0" applyNumberFormat="1" applyFont="1" applyFill="1" applyBorder="1" applyAlignment="1">
      <alignment vertical="center" wrapText="1"/>
    </xf>
    <xf numFmtId="1" fontId="32" fillId="3" borderId="1659" xfId="0" applyNumberFormat="1" applyFont="1" applyFill="1" applyBorder="1" applyAlignment="1">
      <alignment horizontal="right"/>
    </xf>
    <xf numFmtId="1" fontId="32" fillId="5" borderId="2188" xfId="0" applyNumberFormat="1" applyFont="1" applyFill="1" applyBorder="1" applyAlignment="1" applyProtection="1">
      <alignment horizontal="right"/>
      <protection locked="0"/>
    </xf>
    <xf numFmtId="1" fontId="32" fillId="5" borderId="2191" xfId="0" applyNumberFormat="1" applyFont="1" applyFill="1" applyBorder="1" applyAlignment="1" applyProtection="1">
      <alignment horizontal="right"/>
      <protection locked="0"/>
    </xf>
    <xf numFmtId="1" fontId="32" fillId="3" borderId="917" xfId="0" applyNumberFormat="1" applyFont="1" applyFill="1" applyBorder="1" applyAlignment="1">
      <alignment vertical="center"/>
    </xf>
    <xf numFmtId="1" fontId="32" fillId="3" borderId="1675" xfId="0" applyNumberFormat="1" applyFont="1" applyFill="1" applyBorder="1" applyAlignment="1">
      <alignment horizontal="right"/>
    </xf>
    <xf numFmtId="1" fontId="32" fillId="3" borderId="1674" xfId="0" applyNumberFormat="1" applyFont="1" applyFill="1" applyBorder="1" applyAlignment="1">
      <alignment horizontal="right"/>
    </xf>
    <xf numFmtId="1" fontId="32" fillId="4" borderId="917" xfId="0" applyNumberFormat="1" applyFont="1" applyFill="1" applyBorder="1" applyAlignment="1">
      <alignment horizontal="right"/>
    </xf>
    <xf numFmtId="1" fontId="32" fillId="4" borderId="814" xfId="0" applyNumberFormat="1" applyFont="1" applyFill="1" applyBorder="1" applyAlignment="1">
      <alignment horizontal="right"/>
    </xf>
    <xf numFmtId="1" fontId="32" fillId="5" borderId="826" xfId="0" applyNumberFormat="1" applyFont="1" applyFill="1" applyBorder="1" applyAlignment="1" applyProtection="1">
      <alignment horizontal="right"/>
      <protection locked="0"/>
    </xf>
    <xf numFmtId="1" fontId="32" fillId="5" borderId="814" xfId="0" applyNumberFormat="1" applyFont="1" applyFill="1" applyBorder="1" applyAlignment="1" applyProtection="1">
      <alignment horizontal="right"/>
      <protection locked="0"/>
    </xf>
    <xf numFmtId="1" fontId="32" fillId="3" borderId="1833" xfId="0" applyNumberFormat="1" applyFont="1" applyFill="1" applyBorder="1" applyAlignment="1">
      <alignment vertical="center"/>
    </xf>
    <xf numFmtId="1" fontId="32" fillId="5" borderId="1241" xfId="0" applyNumberFormat="1" applyFont="1" applyFill="1" applyBorder="1" applyAlignment="1" applyProtection="1">
      <alignment horizontal="right"/>
      <protection locked="0"/>
    </xf>
    <xf numFmtId="1" fontId="32" fillId="3" borderId="2082" xfId="0" applyNumberFormat="1" applyFont="1" applyFill="1" applyBorder="1" applyAlignment="1">
      <alignment vertical="center"/>
    </xf>
    <xf numFmtId="1" fontId="32" fillId="3" borderId="2092" xfId="0" applyNumberFormat="1" applyFont="1" applyFill="1" applyBorder="1" applyAlignment="1">
      <alignment horizontal="right"/>
    </xf>
    <xf numFmtId="1" fontId="32" fillId="3" borderId="2118" xfId="0" applyNumberFormat="1" applyFont="1" applyFill="1" applyBorder="1" applyAlignment="1">
      <alignment horizontal="right"/>
    </xf>
    <xf numFmtId="1" fontId="32" fillId="3" borderId="2113" xfId="0" applyNumberFormat="1" applyFont="1" applyFill="1" applyBorder="1" applyAlignment="1">
      <alignment horizontal="right"/>
    </xf>
    <xf numFmtId="1" fontId="32" fillId="3" borderId="2108" xfId="0" applyNumberFormat="1" applyFont="1" applyFill="1" applyBorder="1" applyAlignment="1">
      <alignment horizontal="right"/>
    </xf>
    <xf numFmtId="1" fontId="32" fillId="3" borderId="2126" xfId="0" applyNumberFormat="1" applyFont="1" applyFill="1" applyBorder="1" applyAlignment="1">
      <alignment horizontal="right"/>
    </xf>
    <xf numFmtId="1" fontId="32" fillId="3" borderId="1896" xfId="0" applyNumberFormat="1" applyFont="1" applyFill="1" applyBorder="1" applyAlignment="1">
      <alignment horizontal="right"/>
    </xf>
    <xf numFmtId="1" fontId="32" fillId="3" borderId="2082" xfId="0" applyNumberFormat="1" applyFont="1" applyFill="1" applyBorder="1" applyAlignment="1">
      <alignment horizontal="right"/>
    </xf>
    <xf numFmtId="1" fontId="32" fillId="3" borderId="2189" xfId="0" applyNumberFormat="1" applyFont="1" applyFill="1" applyBorder="1" applyAlignment="1">
      <alignment horizontal="right"/>
    </xf>
    <xf numFmtId="1" fontId="32" fillId="3" borderId="2187" xfId="0" applyNumberFormat="1" applyFont="1" applyFill="1" applyBorder="1" applyAlignment="1">
      <alignment horizontal="right"/>
    </xf>
    <xf numFmtId="1" fontId="65" fillId="3" borderId="0" xfId="0" applyNumberFormat="1" applyFont="1" applyFill="1" applyAlignment="1">
      <alignment horizontal="left"/>
    </xf>
    <xf numFmtId="1" fontId="32" fillId="3" borderId="0" xfId="0" applyNumberFormat="1" applyFont="1" applyFill="1" applyAlignment="1">
      <alignment horizontal="left"/>
    </xf>
    <xf numFmtId="1" fontId="32" fillId="0" borderId="1828" xfId="0" applyNumberFormat="1" applyFont="1" applyBorder="1"/>
    <xf numFmtId="1" fontId="32" fillId="0" borderId="1832" xfId="0" applyNumberFormat="1" applyFont="1" applyBorder="1"/>
    <xf numFmtId="1" fontId="32" fillId="0" borderId="1659" xfId="0" applyNumberFormat="1" applyFont="1" applyBorder="1" applyAlignment="1">
      <alignment vertical="center"/>
    </xf>
    <xf numFmtId="1" fontId="64" fillId="3" borderId="2120" xfId="0" applyNumberFormat="1" applyFont="1" applyFill="1" applyBorder="1"/>
    <xf numFmtId="1" fontId="32" fillId="3" borderId="2108" xfId="0" applyNumberFormat="1" applyFont="1" applyFill="1" applyBorder="1" applyAlignment="1">
      <alignment horizontal="center" vertical="center" wrapText="1"/>
    </xf>
    <xf numFmtId="1" fontId="32" fillId="3" borderId="1872" xfId="0" applyNumberFormat="1" applyFont="1" applyFill="1" applyBorder="1" applyAlignment="1">
      <alignment vertical="center" wrapText="1"/>
    </xf>
    <xf numFmtId="1" fontId="32" fillId="5" borderId="1805" xfId="0" applyNumberFormat="1" applyFont="1" applyFill="1" applyBorder="1" applyAlignment="1" applyProtection="1">
      <alignment horizontal="right"/>
      <protection locked="0"/>
    </xf>
    <xf numFmtId="1" fontId="32" fillId="3" borderId="1674" xfId="0" applyNumberFormat="1" applyFont="1" applyFill="1" applyBorder="1" applyAlignment="1">
      <alignment vertical="center" wrapText="1"/>
    </xf>
    <xf numFmtId="1" fontId="32" fillId="3" borderId="1612" xfId="0" applyNumberFormat="1" applyFont="1" applyFill="1" applyBorder="1" applyAlignment="1">
      <alignment vertical="center" wrapText="1"/>
    </xf>
    <xf numFmtId="1" fontId="32" fillId="5" borderId="1650" xfId="0" applyNumberFormat="1" applyFont="1" applyFill="1" applyBorder="1" applyAlignment="1" applyProtection="1">
      <alignment horizontal="right"/>
      <protection locked="0"/>
    </xf>
    <xf numFmtId="1" fontId="32" fillId="14" borderId="0" xfId="0" applyNumberFormat="1" applyFont="1" applyFill="1" applyAlignment="1" applyProtection="1">
      <alignment vertical="center"/>
      <protection locked="0"/>
    </xf>
    <xf numFmtId="1" fontId="32" fillId="3" borderId="1720" xfId="0" applyNumberFormat="1" applyFont="1" applyFill="1" applyBorder="1" applyAlignment="1">
      <alignment horizontal="right"/>
    </xf>
    <xf numFmtId="1" fontId="32" fillId="3" borderId="1824" xfId="0" applyNumberFormat="1" applyFont="1" applyFill="1" applyBorder="1" applyAlignment="1">
      <alignment horizontal="right"/>
    </xf>
    <xf numFmtId="1" fontId="32" fillId="14" borderId="0" xfId="0" applyNumberFormat="1" applyFont="1" applyFill="1" applyAlignment="1">
      <alignment horizontal="left" wrapText="1"/>
    </xf>
    <xf numFmtId="1" fontId="65" fillId="14" borderId="0" xfId="0" applyNumberFormat="1" applyFont="1" applyFill="1"/>
    <xf numFmtId="1" fontId="32" fillId="14" borderId="0" xfId="0" applyNumberFormat="1" applyFont="1" applyFill="1" applyAlignment="1">
      <alignment horizontal="left"/>
    </xf>
    <xf numFmtId="1" fontId="32" fillId="3" borderId="1896" xfId="0" applyNumberFormat="1" applyFont="1" applyFill="1" applyBorder="1" applyAlignment="1">
      <alignment horizontal="center" vertical="center"/>
    </xf>
    <xf numFmtId="1" fontId="32" fillId="0" borderId="1896" xfId="0" applyNumberFormat="1" applyFont="1" applyBorder="1" applyAlignment="1">
      <alignment horizontal="center" vertical="center"/>
    </xf>
    <xf numFmtId="1" fontId="32" fillId="3" borderId="1828" xfId="0" applyNumberFormat="1" applyFont="1" applyFill="1" applyBorder="1" applyAlignment="1">
      <alignment vertical="center" wrapText="1"/>
    </xf>
    <xf numFmtId="1" fontId="32" fillId="3" borderId="1828" xfId="0" applyNumberFormat="1" applyFont="1" applyFill="1" applyBorder="1" applyAlignment="1">
      <alignment horizontal="right" vertical="center" wrapText="1"/>
    </xf>
    <xf numFmtId="1" fontId="32" fillId="14" borderId="1634" xfId="0" applyNumberFormat="1" applyFont="1" applyFill="1" applyBorder="1" applyAlignment="1">
      <alignment horizontal="right"/>
    </xf>
    <xf numFmtId="1" fontId="32" fillId="14" borderId="1651" xfId="0" applyNumberFormat="1" applyFont="1" applyFill="1" applyBorder="1" applyAlignment="1">
      <alignment horizontal="right"/>
    </xf>
    <xf numFmtId="1" fontId="32" fillId="0" borderId="1640" xfId="0" applyNumberFormat="1" applyFont="1" applyBorder="1" applyAlignment="1">
      <alignment vertical="center" wrapText="1"/>
    </xf>
    <xf numFmtId="1" fontId="32" fillId="3" borderId="1647" xfId="0" applyNumberFormat="1" applyFont="1" applyFill="1" applyBorder="1" applyAlignment="1">
      <alignment horizontal="right" wrapText="1"/>
    </xf>
    <xf numFmtId="1" fontId="32" fillId="14" borderId="1674" xfId="0" applyNumberFormat="1" applyFont="1" applyFill="1" applyBorder="1" applyAlignment="1">
      <alignment horizontal="right"/>
    </xf>
    <xf numFmtId="1" fontId="32" fillId="14" borderId="965" xfId="0" applyNumberFormat="1" applyFont="1" applyFill="1" applyBorder="1" applyAlignment="1">
      <alignment horizontal="right"/>
    </xf>
    <xf numFmtId="1" fontId="32" fillId="14" borderId="1424" xfId="0" applyNumberFormat="1" applyFont="1" applyFill="1" applyBorder="1" applyAlignment="1">
      <alignment horizontal="right"/>
    </xf>
    <xf numFmtId="1" fontId="32" fillId="14" borderId="1702" xfId="0" applyNumberFormat="1" applyFont="1" applyFill="1" applyBorder="1" applyAlignment="1">
      <alignment horizontal="right"/>
    </xf>
    <xf numFmtId="1" fontId="32" fillId="14" borderId="1612" xfId="0" applyNumberFormat="1" applyFont="1" applyFill="1" applyBorder="1" applyAlignment="1">
      <alignment horizontal="right"/>
    </xf>
    <xf numFmtId="1" fontId="32" fillId="14" borderId="1663" xfId="0" applyNumberFormat="1" applyFont="1" applyFill="1" applyBorder="1" applyAlignment="1">
      <alignment horizontal="right"/>
    </xf>
    <xf numFmtId="1" fontId="32" fillId="3" borderId="2109" xfId="0" applyNumberFormat="1" applyFont="1" applyFill="1" applyBorder="1" applyAlignment="1">
      <alignment horizontal="center" vertical="center" wrapText="1"/>
    </xf>
    <xf numFmtId="1" fontId="32" fillId="3" borderId="1828" xfId="0" applyNumberFormat="1" applyFont="1" applyFill="1" applyBorder="1" applyAlignment="1">
      <alignment horizontal="left" vertical="center" wrapText="1"/>
    </xf>
    <xf numFmtId="1" fontId="32" fillId="5" borderId="2112" xfId="0" applyNumberFormat="1" applyFont="1" applyFill="1" applyBorder="1" applyAlignment="1" applyProtection="1">
      <alignment horizontal="right"/>
      <protection locked="0"/>
    </xf>
    <xf numFmtId="1" fontId="32" fillId="3" borderId="1675" xfId="0" applyNumberFormat="1" applyFont="1" applyFill="1" applyBorder="1" applyAlignment="1">
      <alignment horizontal="left" vertical="center" wrapText="1"/>
    </xf>
    <xf numFmtId="1" fontId="32" fillId="5" borderId="1827" xfId="0" applyNumberFormat="1" applyFont="1" applyFill="1" applyBorder="1" applyAlignment="1" applyProtection="1">
      <alignment horizontal="right"/>
      <protection locked="0"/>
    </xf>
    <xf numFmtId="1" fontId="32" fillId="3" borderId="1838" xfId="0" applyNumberFormat="1" applyFont="1" applyFill="1" applyBorder="1" applyAlignment="1">
      <alignment horizontal="left" vertical="center" wrapText="1"/>
    </xf>
    <xf numFmtId="1" fontId="32" fillId="5" borderId="1838" xfId="0" applyNumberFormat="1" applyFont="1" applyFill="1" applyBorder="1" applyAlignment="1" applyProtection="1">
      <alignment horizontal="right"/>
      <protection locked="0"/>
    </xf>
    <xf numFmtId="1" fontId="32" fillId="5" borderId="1646" xfId="0" applyNumberFormat="1" applyFont="1" applyFill="1" applyBorder="1" applyAlignment="1" applyProtection="1">
      <alignment horizontal="right"/>
      <protection locked="0"/>
    </xf>
    <xf numFmtId="1" fontId="32" fillId="3" borderId="2123" xfId="0" applyNumberFormat="1" applyFont="1" applyFill="1" applyBorder="1" applyAlignment="1">
      <alignment horizontal="left" vertical="center" wrapText="1"/>
    </xf>
    <xf numFmtId="1" fontId="32" fillId="3" borderId="2113" xfId="0" applyNumberFormat="1" applyFont="1" applyFill="1" applyBorder="1" applyAlignment="1">
      <alignment horizontal="center" vertical="center" wrapText="1"/>
    </xf>
    <xf numFmtId="1" fontId="32" fillId="3" borderId="2092" xfId="0" applyNumberFormat="1" applyFont="1" applyFill="1" applyBorder="1" applyAlignment="1">
      <alignment horizontal="center" vertical="center" wrapText="1"/>
    </xf>
    <xf numFmtId="1" fontId="32" fillId="3" borderId="2108" xfId="0" applyNumberFormat="1" applyFont="1" applyFill="1" applyBorder="1" applyAlignment="1">
      <alignment horizontal="center" vertical="center"/>
    </xf>
    <xf numFmtId="1" fontId="32" fillId="5" borderId="768" xfId="0" applyNumberFormat="1" applyFont="1" applyFill="1" applyBorder="1" applyAlignment="1" applyProtection="1">
      <alignment horizontal="right"/>
      <protection locked="0"/>
    </xf>
    <xf numFmtId="1" fontId="79" fillId="0" borderId="0" xfId="0" applyNumberFormat="1" applyFont="1" applyAlignment="1">
      <alignment horizontal="left"/>
    </xf>
    <xf numFmtId="1" fontId="79" fillId="3" borderId="0" xfId="0" applyNumberFormat="1" applyFont="1" applyFill="1" applyAlignment="1">
      <alignment horizontal="left"/>
    </xf>
    <xf numFmtId="1" fontId="80" fillId="3" borderId="0" xfId="0" applyNumberFormat="1" applyFont="1" applyFill="1" applyAlignment="1">
      <alignment horizontal="left" wrapText="1"/>
    </xf>
    <xf numFmtId="1" fontId="32" fillId="3" borderId="1840" xfId="0" applyNumberFormat="1" applyFont="1" applyFill="1" applyBorder="1" applyAlignment="1">
      <alignment vertical="center" wrapText="1"/>
    </xf>
    <xf numFmtId="1" fontId="32" fillId="3" borderId="1832" xfId="0" applyNumberFormat="1" applyFont="1" applyFill="1" applyBorder="1" applyAlignment="1">
      <alignment vertical="center" wrapText="1"/>
    </xf>
    <xf numFmtId="1" fontId="32" fillId="3" borderId="1838" xfId="0" applyNumberFormat="1" applyFont="1" applyFill="1" applyBorder="1" applyAlignment="1">
      <alignment vertical="center" wrapText="1"/>
    </xf>
    <xf numFmtId="1" fontId="32" fillId="3" borderId="1834" xfId="0" applyNumberFormat="1" applyFont="1" applyFill="1" applyBorder="1" applyAlignment="1">
      <alignment vertical="center" wrapText="1"/>
    </xf>
    <xf numFmtId="1" fontId="32" fillId="3" borderId="1647" xfId="0" applyNumberFormat="1" applyFont="1" applyFill="1" applyBorder="1" applyAlignment="1">
      <alignment horizontal="left" vertical="center" wrapText="1"/>
    </xf>
    <xf numFmtId="1" fontId="32" fillId="3" borderId="1647" xfId="0" applyNumberFormat="1" applyFont="1" applyFill="1" applyBorder="1" applyAlignment="1">
      <alignment vertical="center" wrapText="1"/>
    </xf>
    <xf numFmtId="1" fontId="32" fillId="3" borderId="1837" xfId="0" applyNumberFormat="1" applyFont="1" applyFill="1" applyBorder="1" applyAlignment="1">
      <alignment vertical="center" wrapText="1"/>
    </xf>
    <xf numFmtId="1" fontId="32" fillId="3" borderId="1421" xfId="0" applyNumberFormat="1" applyFont="1" applyFill="1" applyBorder="1" applyAlignment="1">
      <alignment vertical="center" wrapText="1"/>
    </xf>
    <xf numFmtId="1" fontId="6" fillId="0" borderId="2387" xfId="0" applyNumberFormat="1" applyFont="1" applyBorder="1" applyAlignment="1">
      <alignment horizontal="center" vertical="center"/>
    </xf>
    <xf numFmtId="1" fontId="6" fillId="5" borderId="2388" xfId="0" applyNumberFormat="1" applyFont="1" applyFill="1" applyBorder="1" applyProtection="1">
      <protection locked="0"/>
    </xf>
    <xf numFmtId="1" fontId="6" fillId="3" borderId="2382" xfId="0" applyNumberFormat="1" applyFont="1" applyFill="1" applyBorder="1" applyAlignment="1">
      <alignment horizontal="center" vertical="center"/>
    </xf>
    <xf numFmtId="1" fontId="6" fillId="3" borderId="2379" xfId="0" applyNumberFormat="1" applyFont="1" applyFill="1" applyBorder="1" applyAlignment="1">
      <alignment horizontal="center" vertical="center"/>
    </xf>
    <xf numFmtId="1" fontId="6" fillId="5" borderId="2390" xfId="0" applyNumberFormat="1" applyFont="1" applyFill="1" applyBorder="1" applyProtection="1">
      <protection locked="0"/>
    </xf>
    <xf numFmtId="1" fontId="6" fillId="5" borderId="2366" xfId="0" applyNumberFormat="1" applyFont="1" applyFill="1" applyBorder="1" applyProtection="1">
      <protection locked="0"/>
    </xf>
    <xf numFmtId="1" fontId="76" fillId="39" borderId="0" xfId="0" applyNumberFormat="1" applyFont="1" applyFill="1"/>
    <xf numFmtId="1" fontId="64" fillId="3" borderId="95" xfId="0" applyNumberFormat="1" applyFont="1" applyFill="1" applyBorder="1" applyAlignment="1">
      <alignment horizontal="left"/>
    </xf>
    <xf numFmtId="1" fontId="77" fillId="3" borderId="0" xfId="0" applyNumberFormat="1" applyFont="1" applyFill="1" applyAlignment="1">
      <alignment horizontal="left"/>
    </xf>
    <xf numFmtId="1" fontId="77" fillId="3" borderId="0" xfId="0" applyNumberFormat="1" applyFont="1" applyFill="1" applyAlignment="1">
      <alignment wrapText="1"/>
    </xf>
    <xf numFmtId="1" fontId="65" fillId="3" borderId="0" xfId="0" applyNumberFormat="1" applyFont="1" applyFill="1" applyAlignment="1">
      <alignment wrapText="1"/>
    </xf>
    <xf numFmtId="1" fontId="66" fillId="3" borderId="0" xfId="0" applyNumberFormat="1" applyFont="1" applyFill="1"/>
    <xf numFmtId="1" fontId="66" fillId="3" borderId="0" xfId="0" applyNumberFormat="1" applyFont="1" applyFill="1" applyAlignment="1">
      <alignment wrapText="1"/>
    </xf>
    <xf numFmtId="1" fontId="32" fillId="0" borderId="221" xfId="0" applyNumberFormat="1" applyFont="1" applyBorder="1" applyAlignment="1">
      <alignment horizontal="center" vertical="center" wrapText="1"/>
    </xf>
    <xf numFmtId="1" fontId="32" fillId="0" borderId="68" xfId="0" applyNumberFormat="1" applyFont="1" applyBorder="1" applyAlignment="1">
      <alignment horizontal="center" vertical="center" wrapText="1"/>
    </xf>
    <xf numFmtId="1" fontId="32" fillId="0" borderId="853" xfId="0" applyNumberFormat="1" applyFont="1" applyBorder="1" applyAlignment="1">
      <alignment horizontal="center" vertical="center" wrapText="1"/>
    </xf>
    <xf numFmtId="1" fontId="32" fillId="0" borderId="446" xfId="0" applyNumberFormat="1" applyFont="1" applyBorder="1" applyAlignment="1">
      <alignment vertical="center" wrapText="1"/>
    </xf>
    <xf numFmtId="1" fontId="32" fillId="0" borderId="443" xfId="0" applyNumberFormat="1" applyFont="1" applyBorder="1" applyAlignment="1">
      <alignment horizontal="right" wrapText="1"/>
    </xf>
    <xf numFmtId="1" fontId="32" fillId="0" borderId="445" xfId="0" applyNumberFormat="1" applyFont="1" applyBorder="1" applyAlignment="1">
      <alignment horizontal="right" wrapText="1"/>
    </xf>
    <xf numFmtId="1" fontId="32" fillId="0" borderId="444" xfId="0" applyNumberFormat="1" applyFont="1" applyBorder="1" applyAlignment="1">
      <alignment horizontal="right"/>
    </xf>
    <xf numFmtId="1" fontId="32" fillId="5" borderId="841" xfId="0" applyNumberFormat="1" applyFont="1" applyFill="1" applyBorder="1" applyProtection="1">
      <protection locked="0"/>
    </xf>
    <xf numFmtId="1" fontId="32" fillId="5" borderId="840" xfId="0" applyNumberFormat="1" applyFont="1" applyFill="1" applyBorder="1" applyProtection="1">
      <protection locked="0"/>
    </xf>
    <xf numFmtId="1" fontId="32" fillId="5" borderId="848" xfId="0" applyNumberFormat="1" applyFont="1" applyFill="1" applyBorder="1" applyProtection="1">
      <protection locked="0"/>
    </xf>
    <xf numFmtId="1" fontId="32" fillId="5" borderId="856" xfId="0" applyNumberFormat="1" applyFont="1" applyFill="1" applyBorder="1" applyProtection="1">
      <protection locked="0"/>
    </xf>
    <xf numFmtId="1" fontId="76" fillId="40" borderId="0" xfId="0" applyNumberFormat="1" applyFont="1" applyFill="1" applyAlignment="1">
      <alignment wrapText="1"/>
    </xf>
    <xf numFmtId="1" fontId="32" fillId="0" borderId="40" xfId="0" applyNumberFormat="1" applyFont="1" applyBorder="1" applyAlignment="1">
      <alignment vertical="center" wrapText="1"/>
    </xf>
    <xf numFmtId="1" fontId="32" fillId="0" borderId="38" xfId="0" applyNumberFormat="1" applyFont="1" applyBorder="1" applyAlignment="1">
      <alignment horizontal="right" wrapText="1"/>
    </xf>
    <xf numFmtId="1" fontId="32" fillId="0" borderId="62" xfId="0" applyNumberFormat="1" applyFont="1" applyBorder="1" applyAlignment="1">
      <alignment horizontal="right" wrapText="1"/>
    </xf>
    <xf numFmtId="1" fontId="32" fillId="0" borderId="50" xfId="0" applyNumberFormat="1" applyFont="1" applyBorder="1" applyAlignment="1">
      <alignment horizontal="right"/>
    </xf>
    <xf numFmtId="1" fontId="32" fillId="5" borderId="812" xfId="0" applyNumberFormat="1" applyFont="1" applyFill="1" applyBorder="1" applyProtection="1">
      <protection locked="0"/>
    </xf>
    <xf numFmtId="1" fontId="32" fillId="5" borderId="815" xfId="0" applyNumberFormat="1" applyFont="1" applyFill="1" applyBorder="1" applyProtection="1">
      <protection locked="0"/>
    </xf>
    <xf numFmtId="1" fontId="32" fillId="0" borderId="30" xfId="0" applyNumberFormat="1" applyFont="1" applyBorder="1" applyAlignment="1">
      <alignment horizontal="right" wrapText="1"/>
    </xf>
    <xf numFmtId="1" fontId="32" fillId="0" borderId="72" xfId="0" applyNumberFormat="1" applyFont="1" applyBorder="1" applyAlignment="1">
      <alignment horizontal="right" wrapText="1"/>
    </xf>
    <xf numFmtId="1" fontId="32" fillId="0" borderId="39" xfId="0" applyNumberFormat="1" applyFont="1" applyBorder="1" applyAlignment="1">
      <alignment horizontal="right"/>
    </xf>
    <xf numFmtId="1" fontId="32" fillId="5" borderId="671" xfId="0" applyNumberFormat="1" applyFont="1" applyFill="1" applyBorder="1" applyProtection="1">
      <protection locked="0"/>
    </xf>
    <xf numFmtId="1" fontId="32" fillId="5" borderId="529" xfId="0" applyNumberFormat="1" applyFont="1" applyFill="1" applyBorder="1" applyProtection="1">
      <protection locked="0"/>
    </xf>
    <xf numFmtId="1" fontId="32" fillId="5" borderId="681" xfId="0" applyNumberFormat="1" applyFont="1" applyFill="1" applyBorder="1" applyProtection="1">
      <protection locked="0"/>
    </xf>
    <xf numFmtId="1" fontId="32" fillId="0" borderId="45" xfId="0" applyNumberFormat="1" applyFont="1" applyBorder="1" applyAlignment="1">
      <alignment horizontal="right" wrapText="1"/>
    </xf>
    <xf numFmtId="1" fontId="32" fillId="0" borderId="440" xfId="0" applyNumberFormat="1" applyFont="1" applyBorder="1" applyAlignment="1">
      <alignment horizontal="center"/>
    </xf>
    <xf numFmtId="1" fontId="32" fillId="0" borderId="435" xfId="0" applyNumberFormat="1" applyFont="1" applyBorder="1" applyAlignment="1">
      <alignment horizontal="right"/>
    </xf>
    <xf numFmtId="1" fontId="32" fillId="0" borderId="853" xfId="0" applyNumberFormat="1" applyFont="1" applyBorder="1"/>
    <xf numFmtId="1" fontId="32" fillId="0" borderId="844" xfId="0" applyNumberFormat="1" applyFont="1" applyBorder="1"/>
    <xf numFmtId="1" fontId="32" fillId="0" borderId="847" xfId="0" applyNumberFormat="1" applyFont="1" applyBorder="1"/>
    <xf numFmtId="1" fontId="32" fillId="0" borderId="850" xfId="0" applyNumberFormat="1" applyFont="1" applyBorder="1"/>
    <xf numFmtId="1" fontId="32" fillId="0" borderId="855" xfId="0" applyNumberFormat="1" applyFont="1" applyBorder="1"/>
    <xf numFmtId="1" fontId="32" fillId="0" borderId="435" xfId="0" applyNumberFormat="1" applyFont="1" applyBorder="1"/>
    <xf numFmtId="1" fontId="76" fillId="17" borderId="0" xfId="0" applyNumberFormat="1" applyFont="1" applyFill="1" applyAlignment="1">
      <alignment wrapText="1"/>
    </xf>
    <xf numFmtId="1" fontId="32" fillId="0" borderId="438" xfId="0" applyNumberFormat="1" applyFont="1" applyBorder="1" applyAlignment="1">
      <alignment horizontal="right" wrapText="1"/>
    </xf>
    <xf numFmtId="1" fontId="32" fillId="0" borderId="439" xfId="0" applyNumberFormat="1" applyFont="1" applyBorder="1" applyAlignment="1">
      <alignment horizontal="right" wrapText="1"/>
    </xf>
    <xf numFmtId="1" fontId="32" fillId="5" borderId="853" xfId="0" applyNumberFormat="1" applyFont="1" applyFill="1" applyBorder="1" applyProtection="1">
      <protection locked="0"/>
    </xf>
    <xf numFmtId="1" fontId="32" fillId="5" borderId="844" xfId="0" applyNumberFormat="1" applyFont="1" applyFill="1" applyBorder="1" applyProtection="1">
      <protection locked="0"/>
    </xf>
    <xf numFmtId="1" fontId="32" fillId="5" borderId="847" xfId="0" applyNumberFormat="1" applyFont="1" applyFill="1" applyBorder="1" applyProtection="1">
      <protection locked="0"/>
    </xf>
    <xf numFmtId="1" fontId="32" fillId="5" borderId="850" xfId="0" applyNumberFormat="1" applyFont="1" applyFill="1" applyBorder="1" applyProtection="1">
      <protection locked="0"/>
    </xf>
    <xf numFmtId="1" fontId="32" fillId="5" borderId="855" xfId="0" applyNumberFormat="1" applyFont="1" applyFill="1" applyBorder="1" applyProtection="1">
      <protection locked="0"/>
    </xf>
    <xf numFmtId="1" fontId="32" fillId="5" borderId="435" xfId="0" applyNumberFormat="1" applyFont="1" applyFill="1" applyBorder="1" applyProtection="1">
      <protection locked="0"/>
    </xf>
    <xf numFmtId="1" fontId="32" fillId="0" borderId="241" xfId="0" applyNumberFormat="1" applyFont="1" applyBorder="1" applyAlignment="1">
      <alignment horizontal="left" vertical="center" wrapText="1"/>
    </xf>
    <xf numFmtId="1" fontId="32" fillId="0" borderId="221" xfId="0" applyNumberFormat="1" applyFont="1" applyBorder="1" applyAlignment="1">
      <alignment horizontal="right" wrapText="1"/>
    </xf>
    <xf numFmtId="1" fontId="32" fillId="0" borderId="447" xfId="0" applyNumberFormat="1" applyFont="1" applyBorder="1" applyAlignment="1">
      <alignment horizontal="right" wrapText="1"/>
    </xf>
    <xf numFmtId="1" fontId="32" fillId="0" borderId="240" xfId="0" applyNumberFormat="1" applyFont="1" applyBorder="1" applyAlignment="1">
      <alignment horizontal="right"/>
    </xf>
    <xf numFmtId="1" fontId="32" fillId="5" borderId="857" xfId="0" applyNumberFormat="1" applyFont="1" applyFill="1" applyBorder="1" applyProtection="1">
      <protection locked="0"/>
    </xf>
    <xf numFmtId="1" fontId="32" fillId="5" borderId="849" xfId="0" applyNumberFormat="1" applyFont="1" applyFill="1" applyBorder="1" applyProtection="1">
      <protection locked="0"/>
    </xf>
    <xf numFmtId="1" fontId="32" fillId="5" borderId="858" xfId="0" applyNumberFormat="1" applyFont="1" applyFill="1" applyBorder="1" applyProtection="1">
      <protection locked="0"/>
    </xf>
    <xf numFmtId="1" fontId="32" fillId="5" borderId="859" xfId="0" applyNumberFormat="1" applyFont="1" applyFill="1" applyBorder="1" applyProtection="1">
      <protection locked="0"/>
    </xf>
    <xf numFmtId="1" fontId="32" fillId="5" borderId="860" xfId="0" applyNumberFormat="1" applyFont="1" applyFill="1" applyBorder="1" applyProtection="1">
      <protection locked="0"/>
    </xf>
    <xf numFmtId="1" fontId="32" fillId="0" borderId="452" xfId="0" applyNumberFormat="1" applyFont="1" applyBorder="1" applyAlignment="1">
      <alignment horizontal="left" vertical="center" wrapText="1"/>
    </xf>
    <xf numFmtId="1" fontId="32" fillId="0" borderId="238" xfId="0" applyNumberFormat="1" applyFont="1" applyBorder="1" applyAlignment="1">
      <alignment horizontal="left" vertical="center" wrapText="1"/>
    </xf>
    <xf numFmtId="1" fontId="32" fillId="0" borderId="142" xfId="0" applyNumberFormat="1" applyFont="1" applyBorder="1" applyAlignment="1">
      <alignment horizontal="right" wrapText="1"/>
    </xf>
    <xf numFmtId="1" fontId="32" fillId="0" borderId="136" xfId="0" applyNumberFormat="1" applyFont="1" applyBorder="1" applyAlignment="1">
      <alignment horizontal="right" wrapText="1"/>
    </xf>
    <xf numFmtId="1" fontId="32" fillId="0" borderId="175" xfId="0" applyNumberFormat="1" applyFont="1" applyBorder="1" applyAlignment="1">
      <alignment horizontal="right"/>
    </xf>
    <xf numFmtId="1" fontId="32" fillId="5" borderId="806" xfId="0" applyNumberFormat="1" applyFont="1" applyFill="1" applyBorder="1" applyProtection="1">
      <protection locked="0"/>
    </xf>
    <xf numFmtId="1" fontId="32" fillId="5" borderId="861" xfId="0" applyNumberFormat="1" applyFont="1" applyFill="1" applyBorder="1" applyProtection="1">
      <protection locked="0"/>
    </xf>
    <xf numFmtId="1" fontId="32" fillId="5" borderId="673" xfId="0" applyNumberFormat="1" applyFont="1" applyFill="1" applyBorder="1" applyProtection="1">
      <protection locked="0"/>
    </xf>
    <xf numFmtId="1" fontId="66" fillId="3" borderId="0" xfId="0" applyNumberFormat="1" applyFont="1" applyFill="1" applyAlignment="1">
      <alignment horizontal="left"/>
    </xf>
    <xf numFmtId="1" fontId="76" fillId="39" borderId="0" xfId="0" applyNumberFormat="1" applyFont="1" applyFill="1" applyProtection="1">
      <protection locked="0"/>
    </xf>
    <xf numFmtId="1" fontId="32" fillId="0" borderId="687" xfId="0" applyNumberFormat="1" applyFont="1" applyBorder="1" applyAlignment="1">
      <alignment horizontal="center" vertical="center" wrapText="1"/>
    </xf>
    <xf numFmtId="1" fontId="32" fillId="0" borderId="688" xfId="0" applyNumberFormat="1" applyFont="1" applyBorder="1" applyAlignment="1">
      <alignment horizontal="center" vertical="center" wrapText="1"/>
    </xf>
    <xf numFmtId="1" fontId="32" fillId="0" borderId="689" xfId="0" applyNumberFormat="1" applyFont="1" applyBorder="1" applyAlignment="1">
      <alignment horizontal="center" vertical="center" wrapText="1"/>
    </xf>
    <xf numFmtId="1" fontId="32" fillId="0" borderId="692" xfId="0" applyNumberFormat="1" applyFont="1" applyBorder="1" applyAlignment="1">
      <alignment horizontal="center" vertical="center" wrapText="1"/>
    </xf>
    <xf numFmtId="1" fontId="76" fillId="14" borderId="400" xfId="0" applyNumberFormat="1" applyFont="1" applyFill="1" applyBorder="1"/>
    <xf numFmtId="1" fontId="32" fillId="0" borderId="703" xfId="0" applyNumberFormat="1" applyFont="1" applyBorder="1" applyAlignment="1">
      <alignment horizontal="left" vertical="center" wrapText="1"/>
    </xf>
    <xf numFmtId="1" fontId="32" fillId="0" borderId="839" xfId="0" applyNumberFormat="1" applyFont="1" applyBorder="1" applyAlignment="1">
      <alignment horizontal="right" vertical="center" wrapText="1"/>
    </xf>
    <xf numFmtId="1" fontId="32" fillId="5" borderId="839" xfId="0" applyNumberFormat="1" applyFont="1" applyFill="1" applyBorder="1" applyProtection="1">
      <protection locked="0"/>
    </xf>
    <xf numFmtId="1" fontId="32" fillId="0" borderId="842" xfId="0" applyNumberFormat="1" applyFont="1" applyBorder="1"/>
    <xf numFmtId="1" fontId="32" fillId="0" borderId="711" xfId="0" applyNumberFormat="1" applyFont="1" applyBorder="1"/>
    <xf numFmtId="1" fontId="32" fillId="0" borderId="707" xfId="0" applyNumberFormat="1" applyFont="1" applyBorder="1"/>
    <xf numFmtId="1" fontId="32" fillId="5" borderId="710" xfId="0" applyNumberFormat="1" applyFont="1" applyFill="1" applyBorder="1" applyProtection="1">
      <protection locked="0"/>
    </xf>
    <xf numFmtId="1" fontId="32" fillId="5" borderId="707" xfId="0" applyNumberFormat="1" applyFont="1" applyFill="1" applyBorder="1" applyProtection="1">
      <protection locked="0"/>
    </xf>
    <xf numFmtId="1" fontId="32" fillId="5" borderId="652" xfId="0" applyNumberFormat="1" applyFont="1" applyFill="1" applyBorder="1" applyProtection="1">
      <protection locked="0"/>
    </xf>
    <xf numFmtId="1" fontId="32" fillId="5" borderId="706" xfId="0" applyNumberFormat="1" applyFont="1" applyFill="1" applyBorder="1" applyProtection="1">
      <protection locked="0"/>
    </xf>
    <xf numFmtId="1" fontId="32" fillId="5" borderId="1515" xfId="0" applyNumberFormat="1" applyFont="1" applyFill="1" applyBorder="1" applyProtection="1">
      <protection locked="0"/>
    </xf>
    <xf numFmtId="1" fontId="32" fillId="14" borderId="685" xfId="0" applyNumberFormat="1" applyFont="1" applyFill="1" applyBorder="1" applyAlignment="1">
      <alignment horizontal="left" vertical="center" wrapText="1"/>
    </xf>
    <xf numFmtId="1" fontId="32" fillId="0" borderId="685" xfId="0" applyNumberFormat="1" applyFont="1" applyBorder="1" applyAlignment="1">
      <alignment horizontal="right" vertical="center" wrapText="1"/>
    </xf>
    <xf numFmtId="1" fontId="32" fillId="5" borderId="685" xfId="0" applyNumberFormat="1" applyFont="1" applyFill="1" applyBorder="1" applyProtection="1">
      <protection locked="0"/>
    </xf>
    <xf numFmtId="1" fontId="32" fillId="0" borderId="718" xfId="0" applyNumberFormat="1" applyFont="1" applyBorder="1"/>
    <xf numFmtId="1" fontId="32" fillId="5" borderId="676" xfId="0" applyNumberFormat="1" applyFont="1" applyFill="1" applyBorder="1" applyProtection="1">
      <protection locked="0"/>
    </xf>
    <xf numFmtId="1" fontId="32" fillId="5" borderId="1495" xfId="0" applyNumberFormat="1" applyFont="1" applyFill="1" applyBorder="1" applyProtection="1">
      <protection locked="0"/>
    </xf>
    <xf numFmtId="0" fontId="0" fillId="0" borderId="693" xfId="0" applyBorder="1" applyAlignment="1">
      <alignment horizontal="center"/>
    </xf>
    <xf numFmtId="1" fontId="0" fillId="0" borderId="845" xfId="0" applyNumberFormat="1" applyBorder="1"/>
    <xf numFmtId="1" fontId="0" fillId="0" borderId="844" xfId="0" applyNumberFormat="1" applyBorder="1"/>
    <xf numFmtId="1" fontId="0" fillId="0" borderId="846" xfId="0" applyNumberFormat="1" applyBorder="1"/>
    <xf numFmtId="1" fontId="0" fillId="0" borderId="694" xfId="0" applyNumberFormat="1" applyBorder="1"/>
    <xf numFmtId="1" fontId="32" fillId="14" borderId="687" xfId="0" applyNumberFormat="1" applyFont="1" applyFill="1" applyBorder="1"/>
    <xf numFmtId="1" fontId="32" fillId="14" borderId="694" xfId="0" applyNumberFormat="1" applyFont="1" applyFill="1" applyBorder="1"/>
    <xf numFmtId="1" fontId="32" fillId="14" borderId="689" xfId="0" applyNumberFormat="1" applyFont="1" applyFill="1" applyBorder="1"/>
    <xf numFmtId="1" fontId="32" fillId="14" borderId="1487" xfId="0" applyNumberFormat="1" applyFont="1" applyFill="1" applyBorder="1"/>
    <xf numFmtId="1" fontId="32" fillId="14" borderId="1519" xfId="0" applyNumberFormat="1" applyFont="1" applyFill="1" applyBorder="1"/>
    <xf numFmtId="1" fontId="76" fillId="14" borderId="686" xfId="0" applyNumberFormat="1" applyFont="1" applyFill="1" applyBorder="1"/>
    <xf numFmtId="1" fontId="32" fillId="14" borderId="108" xfId="0" applyNumberFormat="1" applyFont="1" applyFill="1" applyBorder="1"/>
    <xf numFmtId="1" fontId="32" fillId="0" borderId="705" xfId="0" applyNumberFormat="1" applyFont="1" applyBorder="1" applyAlignment="1">
      <alignment horizontal="center" vertical="center" wrapText="1"/>
    </xf>
    <xf numFmtId="1" fontId="32" fillId="0" borderId="797" xfId="0" applyNumberFormat="1" applyFont="1" applyBorder="1" applyAlignment="1">
      <alignment horizontal="center" vertical="center" wrapText="1"/>
    </xf>
    <xf numFmtId="9" fontId="32" fillId="0" borderId="734" xfId="31" applyFont="1" applyBorder="1" applyAlignment="1">
      <alignment horizontal="center" vertical="center" wrapText="1"/>
    </xf>
    <xf numFmtId="0" fontId="32" fillId="0" borderId="735" xfId="0" applyFont="1" applyBorder="1" applyAlignment="1">
      <alignment horizontal="center" vertical="center" wrapText="1"/>
    </xf>
    <xf numFmtId="0" fontId="32" fillId="0" borderId="797" xfId="0" applyFont="1" applyBorder="1" applyAlignment="1">
      <alignment horizontal="center" vertical="center" wrapText="1"/>
    </xf>
    <xf numFmtId="0" fontId="32" fillId="0" borderId="734" xfId="0" applyFont="1" applyBorder="1" applyAlignment="1">
      <alignment horizontal="center" vertical="center" wrapText="1"/>
    </xf>
    <xf numFmtId="1" fontId="32" fillId="0" borderId="839" xfId="0" applyNumberFormat="1" applyFont="1" applyBorder="1" applyAlignment="1">
      <alignment horizontal="left" vertical="center" wrapText="1"/>
    </xf>
    <xf numFmtId="1" fontId="32" fillId="0" borderId="841" xfId="0" applyNumberFormat="1" applyFont="1" applyBorder="1"/>
    <xf numFmtId="1" fontId="32" fillId="5" borderId="842" xfId="0" applyNumberFormat="1" applyFont="1" applyFill="1" applyBorder="1" applyProtection="1">
      <protection locked="0"/>
    </xf>
    <xf numFmtId="1" fontId="32" fillId="5" borderId="843" xfId="0" applyNumberFormat="1" applyFont="1" applyFill="1" applyBorder="1" applyProtection="1">
      <protection locked="0"/>
    </xf>
    <xf numFmtId="1" fontId="32" fillId="0" borderId="705" xfId="0" applyNumberFormat="1" applyFont="1" applyBorder="1" applyAlignment="1">
      <alignment horizontal="left" vertical="center" wrapText="1"/>
    </xf>
    <xf numFmtId="1" fontId="32" fillId="0" borderId="705" xfId="0" applyNumberFormat="1" applyFont="1" applyBorder="1" applyAlignment="1">
      <alignment horizontal="right" vertical="center" wrapText="1"/>
    </xf>
    <xf numFmtId="1" fontId="32" fillId="0" borderId="702" xfId="0" applyNumberFormat="1" applyFont="1" applyBorder="1"/>
    <xf numFmtId="1" fontId="32" fillId="5" borderId="755" xfId="0" applyNumberFormat="1" applyFont="1" applyFill="1" applyBorder="1" applyProtection="1">
      <protection locked="0"/>
    </xf>
    <xf numFmtId="1" fontId="32" fillId="5" borderId="702" xfId="0" applyNumberFormat="1" applyFont="1" applyFill="1" applyBorder="1" applyProtection="1">
      <protection locked="0"/>
    </xf>
    <xf numFmtId="1" fontId="32" fillId="5" borderId="376" xfId="0" applyNumberFormat="1" applyFont="1" applyFill="1" applyBorder="1" applyProtection="1">
      <protection locked="0"/>
    </xf>
    <xf numFmtId="1" fontId="32" fillId="5" borderId="506" xfId="0" applyNumberFormat="1" applyFont="1" applyFill="1" applyBorder="1" applyProtection="1">
      <protection locked="0"/>
    </xf>
    <xf numFmtId="0" fontId="0" fillId="0" borderId="712" xfId="0" applyBorder="1" applyAlignment="1">
      <alignment horizontal="center"/>
    </xf>
    <xf numFmtId="1" fontId="0" fillId="0" borderId="712" xfId="0" applyNumberFormat="1" applyBorder="1"/>
    <xf numFmtId="1" fontId="32" fillId="14" borderId="735" xfId="0" applyNumberFormat="1" applyFont="1" applyFill="1" applyBorder="1"/>
    <xf numFmtId="1" fontId="32" fillId="14" borderId="712" xfId="0" applyNumberFormat="1" applyFont="1" applyFill="1" applyBorder="1"/>
    <xf numFmtId="1" fontId="0" fillId="14" borderId="735" xfId="0" applyNumberFormat="1" applyFill="1" applyBorder="1"/>
    <xf numFmtId="1" fontId="32" fillId="14" borderId="789" xfId="0" applyNumberFormat="1" applyFont="1" applyFill="1" applyBorder="1"/>
    <xf numFmtId="1" fontId="32" fillId="14" borderId="797" xfId="0" applyNumberFormat="1" applyFont="1" applyFill="1" applyBorder="1"/>
    <xf numFmtId="1" fontId="32" fillId="14" borderId="847" xfId="0" applyNumberFormat="1" applyFont="1" applyFill="1" applyBorder="1"/>
    <xf numFmtId="1" fontId="66" fillId="3" borderId="0" xfId="0" applyNumberFormat="1" applyFont="1" applyFill="1" applyAlignment="1">
      <alignment horizontal="left" wrapText="1"/>
    </xf>
    <xf numFmtId="1" fontId="83" fillId="3" borderId="0" xfId="0" applyNumberFormat="1" applyFont="1" applyFill="1" applyAlignment="1">
      <alignment horizontal="left" wrapText="1"/>
    </xf>
    <xf numFmtId="1" fontId="65" fillId="3" borderId="0" xfId="0" applyNumberFormat="1" applyFont="1" applyFill="1" applyAlignment="1">
      <alignment horizontal="left" wrapText="1"/>
    </xf>
    <xf numFmtId="1" fontId="32" fillId="3" borderId="400" xfId="0" applyNumberFormat="1" applyFont="1" applyFill="1" applyBorder="1"/>
    <xf numFmtId="1" fontId="32" fillId="0" borderId="400" xfId="0" applyNumberFormat="1" applyFont="1" applyBorder="1"/>
    <xf numFmtId="1" fontId="80" fillId="3" borderId="0" xfId="0" applyNumberFormat="1" applyFont="1" applyFill="1" applyProtection="1">
      <protection locked="0"/>
    </xf>
    <xf numFmtId="1" fontId="32" fillId="5" borderId="223" xfId="0" applyNumberFormat="1" applyFont="1" applyFill="1" applyBorder="1" applyProtection="1">
      <protection locked="0"/>
    </xf>
    <xf numFmtId="1" fontId="32" fillId="0" borderId="23" xfId="0" applyNumberFormat="1" applyFont="1" applyBorder="1" applyAlignment="1">
      <alignment horizontal="left" vertical="center" wrapText="1"/>
    </xf>
    <xf numFmtId="1" fontId="80" fillId="3" borderId="416" xfId="0" applyNumberFormat="1" applyFont="1" applyFill="1" applyBorder="1" applyProtection="1">
      <protection locked="0"/>
    </xf>
    <xf numFmtId="1" fontId="66" fillId="3" borderId="449" xfId="0" applyNumberFormat="1" applyFont="1" applyFill="1" applyBorder="1" applyAlignment="1" applyProtection="1">
      <alignment horizontal="left"/>
      <protection hidden="1"/>
    </xf>
    <xf numFmtId="1" fontId="66" fillId="3" borderId="175" xfId="0" applyNumberFormat="1" applyFont="1" applyFill="1" applyBorder="1" applyAlignment="1" applyProtection="1">
      <alignment horizontal="left"/>
      <protection hidden="1"/>
    </xf>
    <xf numFmtId="1" fontId="65" fillId="3" borderId="175" xfId="0" applyNumberFormat="1" applyFont="1" applyFill="1" applyBorder="1" applyAlignment="1">
      <alignment horizontal="left" wrapText="1"/>
    </xf>
    <xf numFmtId="1" fontId="65" fillId="3" borderId="175" xfId="0" applyNumberFormat="1" applyFont="1" applyFill="1" applyBorder="1" applyAlignment="1" applyProtection="1">
      <alignment horizontal="left" wrapText="1"/>
      <protection hidden="1"/>
    </xf>
    <xf numFmtId="1" fontId="65" fillId="3" borderId="175" xfId="0" applyNumberFormat="1" applyFont="1" applyFill="1" applyBorder="1" applyProtection="1">
      <protection hidden="1"/>
    </xf>
    <xf numFmtId="1" fontId="32" fillId="3" borderId="175" xfId="0" applyNumberFormat="1" applyFont="1" applyFill="1" applyBorder="1" applyProtection="1">
      <protection hidden="1"/>
    </xf>
    <xf numFmtId="1" fontId="65" fillId="3" borderId="175" xfId="0" applyNumberFormat="1" applyFont="1" applyFill="1" applyBorder="1" applyAlignment="1" applyProtection="1">
      <alignment wrapText="1"/>
      <protection hidden="1"/>
    </xf>
    <xf numFmtId="1" fontId="32" fillId="3" borderId="0" xfId="0" applyNumberFormat="1" applyFont="1" applyFill="1" applyProtection="1">
      <protection hidden="1"/>
    </xf>
    <xf numFmtId="1" fontId="32" fillId="14" borderId="0" xfId="0" applyNumberFormat="1" applyFont="1" applyFill="1" applyProtection="1">
      <protection hidden="1"/>
    </xf>
    <xf numFmtId="1" fontId="32" fillId="0" borderId="221" xfId="0" applyNumberFormat="1" applyFont="1" applyBorder="1" applyAlignment="1" applyProtection="1">
      <alignment horizontal="center" vertical="center"/>
      <protection hidden="1"/>
    </xf>
    <xf numFmtId="1" fontId="32" fillId="0" borderId="447" xfId="0" applyNumberFormat="1" applyFont="1" applyBorder="1" applyAlignment="1" applyProtection="1">
      <alignment horizontal="center" vertical="center"/>
      <protection hidden="1"/>
    </xf>
    <xf numFmtId="1" fontId="32" fillId="0" borderId="177" xfId="0" applyNumberFormat="1" applyFont="1" applyBorder="1" applyAlignment="1" applyProtection="1">
      <alignment horizontal="center" vertical="center" wrapText="1"/>
      <protection hidden="1"/>
    </xf>
    <xf numFmtId="1" fontId="32" fillId="0" borderId="944" xfId="0" applyNumberFormat="1" applyFont="1" applyBorder="1" applyAlignment="1">
      <alignment horizontal="center" vertical="center" wrapText="1"/>
    </xf>
    <xf numFmtId="1" fontId="32" fillId="0" borderId="952" xfId="0" applyNumberFormat="1" applyFont="1" applyBorder="1" applyAlignment="1">
      <alignment horizontal="center" vertical="center" wrapText="1"/>
    </xf>
    <xf numFmtId="1" fontId="32" fillId="0" borderId="223" xfId="0" applyNumberFormat="1" applyFont="1" applyBorder="1" applyAlignment="1" applyProtection="1">
      <alignment horizontal="left" vertical="center" wrapText="1"/>
      <protection hidden="1"/>
    </xf>
    <xf numFmtId="1" fontId="32" fillId="5" borderId="944" xfId="0" applyNumberFormat="1" applyFont="1" applyFill="1" applyBorder="1" applyProtection="1">
      <protection locked="0"/>
    </xf>
    <xf numFmtId="1" fontId="32" fillId="5" borderId="953" xfId="0" applyNumberFormat="1" applyFont="1" applyFill="1" applyBorder="1" applyProtection="1">
      <protection locked="0"/>
    </xf>
    <xf numFmtId="1" fontId="32" fillId="5" borderId="950" xfId="0" applyNumberFormat="1" applyFont="1" applyFill="1" applyBorder="1" applyProtection="1">
      <protection locked="0"/>
    </xf>
    <xf numFmtId="1" fontId="32" fillId="5" borderId="942" xfId="0" applyNumberFormat="1" applyFont="1" applyFill="1" applyBorder="1" applyProtection="1">
      <protection locked="0"/>
    </xf>
    <xf numFmtId="1" fontId="32" fillId="5" borderId="954" xfId="0" applyNumberFormat="1" applyFont="1" applyFill="1" applyBorder="1" applyProtection="1">
      <protection locked="0"/>
    </xf>
    <xf numFmtId="1" fontId="32" fillId="5" borderId="435" xfId="0" applyNumberFormat="1" applyFont="1" applyFill="1" applyBorder="1" applyAlignment="1" applyProtection="1">
      <alignment wrapText="1"/>
      <protection locked="0"/>
    </xf>
    <xf numFmtId="1" fontId="32" fillId="0" borderId="440" xfId="0" applyNumberFormat="1" applyFont="1" applyBorder="1" applyAlignment="1" applyProtection="1">
      <alignment horizontal="center" vertical="center" wrapText="1"/>
      <protection hidden="1"/>
    </xf>
    <xf numFmtId="1" fontId="32" fillId="0" borderId="440" xfId="0" applyNumberFormat="1" applyFont="1" applyBorder="1" applyAlignment="1" applyProtection="1">
      <alignment horizontal="left" vertical="center" wrapText="1"/>
      <protection hidden="1"/>
    </xf>
    <xf numFmtId="1" fontId="32" fillId="0" borderId="177" xfId="0" applyNumberFormat="1" applyFont="1" applyBorder="1" applyAlignment="1">
      <alignment horizontal="right"/>
    </xf>
    <xf numFmtId="1" fontId="32" fillId="5" borderId="892" xfId="0" applyNumberFormat="1" applyFont="1" applyFill="1" applyBorder="1" applyProtection="1">
      <protection locked="0"/>
    </xf>
    <xf numFmtId="1" fontId="32" fillId="5" borderId="894" xfId="0" applyNumberFormat="1" applyFont="1" applyFill="1" applyBorder="1" applyProtection="1">
      <protection locked="0"/>
    </xf>
    <xf numFmtId="1" fontId="32" fillId="5" borderId="724" xfId="0" applyNumberFormat="1" applyFont="1" applyFill="1" applyBorder="1" applyProtection="1">
      <protection locked="0"/>
    </xf>
    <xf numFmtId="1" fontId="32" fillId="5" borderId="934" xfId="0" applyNumberFormat="1" applyFont="1" applyFill="1" applyBorder="1" applyProtection="1">
      <protection locked="0"/>
    </xf>
    <xf numFmtId="1" fontId="32" fillId="5" borderId="177" xfId="0" applyNumberFormat="1" applyFont="1" applyFill="1" applyBorder="1" applyAlignment="1" applyProtection="1">
      <alignment wrapText="1"/>
      <protection locked="0"/>
    </xf>
    <xf numFmtId="1" fontId="65" fillId="3" borderId="0" xfId="0" applyNumberFormat="1" applyFont="1" applyFill="1" applyProtection="1">
      <protection hidden="1"/>
    </xf>
    <xf numFmtId="1" fontId="65" fillId="3" borderId="0" xfId="0" applyNumberFormat="1" applyFont="1" applyFill="1" applyAlignment="1" applyProtection="1">
      <alignment wrapText="1"/>
      <protection hidden="1"/>
    </xf>
    <xf numFmtId="1" fontId="32" fillId="0" borderId="438" xfId="0" applyNumberFormat="1" applyFont="1" applyBorder="1" applyAlignment="1" applyProtection="1">
      <alignment horizontal="center" vertical="center"/>
      <protection hidden="1"/>
    </xf>
    <xf numFmtId="1" fontId="32" fillId="0" borderId="439" xfId="0" applyNumberFormat="1" applyFont="1" applyBorder="1" applyAlignment="1" applyProtection="1">
      <alignment horizontal="center" vertical="center"/>
      <protection hidden="1"/>
    </xf>
    <xf numFmtId="1" fontId="32" fillId="0" borderId="68" xfId="0" applyNumberFormat="1" applyFont="1" applyBorder="1" applyAlignment="1" applyProtection="1">
      <alignment horizontal="center" vertical="center" wrapText="1"/>
      <protection hidden="1"/>
    </xf>
    <xf numFmtId="1" fontId="32" fillId="0" borderId="354" xfId="0" applyNumberFormat="1" applyFont="1" applyBorder="1" applyAlignment="1">
      <alignment horizontal="center" vertical="center" wrapText="1"/>
    </xf>
    <xf numFmtId="1" fontId="32" fillId="0" borderId="446" xfId="0" applyNumberFormat="1" applyFont="1" applyBorder="1" applyAlignment="1" applyProtection="1">
      <alignment horizontal="left" vertical="center" wrapText="1"/>
      <protection hidden="1"/>
    </xf>
    <xf numFmtId="1" fontId="32" fillId="5" borderId="898" xfId="0" applyNumberFormat="1" applyFont="1" applyFill="1" applyBorder="1" applyProtection="1">
      <protection locked="0"/>
    </xf>
    <xf numFmtId="1" fontId="32" fillId="5" borderId="444" xfId="0" applyNumberFormat="1" applyFont="1" applyFill="1" applyBorder="1" applyAlignment="1" applyProtection="1">
      <alignment wrapText="1"/>
      <protection locked="0"/>
    </xf>
    <xf numFmtId="1" fontId="32" fillId="0" borderId="37" xfId="0" applyNumberFormat="1" applyFont="1" applyBorder="1" applyAlignment="1" applyProtection="1">
      <alignment horizontal="left" vertical="center" wrapText="1"/>
      <protection hidden="1"/>
    </xf>
    <xf numFmtId="1" fontId="32" fillId="4" borderId="949" xfId="0" applyNumberFormat="1" applyFont="1" applyFill="1" applyBorder="1"/>
    <xf numFmtId="1" fontId="32" fillId="4" borderId="918" xfId="0" applyNumberFormat="1" applyFont="1" applyFill="1" applyBorder="1"/>
    <xf numFmtId="1" fontId="32" fillId="5" borderId="50" xfId="0" applyNumberFormat="1" applyFont="1" applyFill="1" applyBorder="1" applyAlignment="1" applyProtection="1">
      <alignment wrapText="1"/>
      <protection locked="0"/>
    </xf>
    <xf numFmtId="1" fontId="32" fillId="0" borderId="24" xfId="0" applyNumberFormat="1" applyFont="1" applyBorder="1" applyAlignment="1" applyProtection="1">
      <alignment horizontal="left" vertical="center" wrapText="1"/>
      <protection hidden="1"/>
    </xf>
    <xf numFmtId="1" fontId="32" fillId="0" borderId="20" xfId="0" applyNumberFormat="1" applyFont="1" applyBorder="1" applyAlignment="1">
      <alignment horizontal="right" wrapText="1"/>
    </xf>
    <xf numFmtId="1" fontId="32" fillId="0" borderId="21" xfId="0" applyNumberFormat="1" applyFont="1" applyBorder="1" applyAlignment="1">
      <alignment horizontal="right"/>
    </xf>
    <xf numFmtId="1" fontId="32" fillId="5" borderId="21" xfId="0" applyNumberFormat="1" applyFont="1" applyFill="1" applyBorder="1" applyAlignment="1" applyProtection="1">
      <alignment wrapText="1"/>
      <protection locked="0"/>
    </xf>
    <xf numFmtId="1" fontId="32" fillId="4" borderId="898" xfId="0" applyNumberFormat="1" applyFont="1" applyFill="1" applyBorder="1"/>
    <xf numFmtId="1" fontId="32" fillId="4" borderId="816" xfId="0" applyNumberFormat="1" applyFont="1" applyFill="1" applyBorder="1"/>
    <xf numFmtId="1" fontId="32" fillId="4" borderId="823" xfId="0" applyNumberFormat="1" applyFont="1" applyFill="1" applyBorder="1"/>
    <xf numFmtId="1" fontId="32" fillId="4" borderId="923" xfId="0" applyNumberFormat="1" applyFont="1" applyFill="1" applyBorder="1"/>
    <xf numFmtId="1" fontId="32" fillId="4" borderId="920" xfId="0" applyNumberFormat="1" applyFont="1" applyFill="1" applyBorder="1"/>
    <xf numFmtId="1" fontId="32" fillId="4" borderId="929" xfId="0" applyNumberFormat="1" applyFont="1" applyFill="1" applyBorder="1"/>
    <xf numFmtId="1" fontId="32" fillId="4" borderId="901" xfId="0" applyNumberFormat="1" applyFont="1" applyFill="1" applyBorder="1"/>
    <xf numFmtId="1" fontId="32" fillId="4" borderId="956" xfId="0" applyNumberFormat="1" applyFont="1" applyFill="1" applyBorder="1"/>
    <xf numFmtId="1" fontId="32" fillId="4" borderId="957" xfId="0" applyNumberFormat="1" applyFont="1" applyFill="1" applyBorder="1"/>
    <xf numFmtId="1" fontId="64" fillId="3" borderId="449" xfId="0" applyNumberFormat="1" applyFont="1" applyFill="1" applyBorder="1" applyAlignment="1" applyProtection="1">
      <alignment horizontal="left"/>
      <protection hidden="1"/>
    </xf>
    <xf numFmtId="1" fontId="66" fillId="3" borderId="449" xfId="0" applyNumberFormat="1" applyFont="1" applyFill="1" applyBorder="1" applyAlignment="1" applyProtection="1">
      <alignment horizontal="left" wrapText="1"/>
      <protection hidden="1"/>
    </xf>
    <xf numFmtId="1" fontId="66" fillId="3" borderId="175" xfId="0" applyNumberFormat="1" applyFont="1" applyFill="1" applyBorder="1" applyAlignment="1" applyProtection="1">
      <alignment horizontal="left" wrapText="1"/>
      <protection hidden="1"/>
    </xf>
    <xf numFmtId="1" fontId="66" fillId="3" borderId="0" xfId="0" applyNumberFormat="1" applyFont="1" applyFill="1" applyAlignment="1" applyProtection="1">
      <alignment wrapText="1"/>
      <protection hidden="1"/>
    </xf>
    <xf numFmtId="1" fontId="77" fillId="3" borderId="0" xfId="0" applyNumberFormat="1" applyFont="1" applyFill="1" applyProtection="1">
      <protection hidden="1"/>
    </xf>
    <xf numFmtId="1" fontId="65" fillId="3" borderId="400" xfId="0" applyNumberFormat="1" applyFont="1" applyFill="1" applyBorder="1" applyAlignment="1" applyProtection="1">
      <alignment wrapText="1"/>
      <protection hidden="1"/>
    </xf>
    <xf numFmtId="1" fontId="32" fillId="0" borderId="400" xfId="0" applyNumberFormat="1" applyFont="1" applyBorder="1" applyProtection="1">
      <protection hidden="1"/>
    </xf>
    <xf numFmtId="1" fontId="32" fillId="0" borderId="438" xfId="0" applyNumberFormat="1" applyFont="1" applyBorder="1" applyAlignment="1" applyProtection="1">
      <alignment horizontal="center" vertical="center" wrapText="1"/>
      <protection hidden="1"/>
    </xf>
    <xf numFmtId="1" fontId="32" fillId="0" borderId="436" xfId="0" applyNumberFormat="1" applyFont="1" applyBorder="1" applyAlignment="1" applyProtection="1">
      <alignment horizontal="center" vertical="center" wrapText="1"/>
      <protection hidden="1"/>
    </xf>
    <xf numFmtId="1" fontId="32" fillId="0" borderId="457" xfId="0" applyNumberFormat="1" applyFont="1" applyBorder="1" applyAlignment="1" applyProtection="1">
      <alignment horizontal="center" vertical="center" wrapText="1"/>
      <protection hidden="1"/>
    </xf>
    <xf numFmtId="1" fontId="32" fillId="0" borderId="450" xfId="0" applyNumberFormat="1" applyFont="1" applyBorder="1" applyAlignment="1" applyProtection="1">
      <alignment horizontal="center" vertical="center" wrapText="1"/>
      <protection hidden="1"/>
    </xf>
    <xf numFmtId="1" fontId="32" fillId="0" borderId="452" xfId="0" applyNumberFormat="1" applyFont="1" applyBorder="1" applyAlignment="1" applyProtection="1">
      <alignment vertical="center" wrapText="1"/>
      <protection hidden="1"/>
    </xf>
    <xf numFmtId="1" fontId="32" fillId="5" borderId="443" xfId="0" applyNumberFormat="1" applyFont="1" applyFill="1" applyBorder="1" applyAlignment="1" applyProtection="1">
      <alignment wrapText="1"/>
      <protection locked="0"/>
    </xf>
    <xf numFmtId="1" fontId="32" fillId="5" borderId="442" xfId="0" applyNumberFormat="1" applyFont="1" applyFill="1" applyBorder="1" applyAlignment="1" applyProtection="1">
      <alignment wrapText="1"/>
      <protection locked="0"/>
    </xf>
    <xf numFmtId="1" fontId="32" fillId="5" borderId="464" xfId="0" applyNumberFormat="1" applyFont="1" applyFill="1" applyBorder="1" applyAlignment="1" applyProtection="1">
      <alignment wrapText="1"/>
      <protection locked="0"/>
    </xf>
    <xf numFmtId="1" fontId="32" fillId="5" borderId="463" xfId="0" applyNumberFormat="1" applyFont="1" applyFill="1" applyBorder="1" applyAlignment="1" applyProtection="1">
      <alignment wrapText="1"/>
      <protection locked="0"/>
    </xf>
    <xf numFmtId="1" fontId="32" fillId="0" borderId="37" xfId="0" applyNumberFormat="1" applyFont="1" applyBorder="1" applyAlignment="1" applyProtection="1">
      <alignment vertical="center" wrapText="1"/>
      <protection hidden="1"/>
    </xf>
    <xf numFmtId="1" fontId="32" fillId="5" borderId="38" xfId="0" applyNumberFormat="1" applyFont="1" applyFill="1" applyBorder="1" applyAlignment="1" applyProtection="1">
      <alignment wrapText="1"/>
      <protection locked="0"/>
    </xf>
    <xf numFmtId="1" fontId="32" fillId="5" borderId="36" xfId="0" applyNumberFormat="1" applyFont="1" applyFill="1" applyBorder="1" applyAlignment="1" applyProtection="1">
      <alignment wrapText="1"/>
      <protection locked="0"/>
    </xf>
    <xf numFmtId="1" fontId="32" fillId="5" borderId="93" xfId="0" applyNumberFormat="1" applyFont="1" applyFill="1" applyBorder="1" applyAlignment="1" applyProtection="1">
      <alignment wrapText="1"/>
      <protection locked="0"/>
    </xf>
    <xf numFmtId="1" fontId="32" fillId="5" borderId="54" xfId="0" applyNumberFormat="1" applyFont="1" applyFill="1" applyBorder="1" applyAlignment="1" applyProtection="1">
      <alignment wrapText="1"/>
      <protection locked="0"/>
    </xf>
    <xf numFmtId="1" fontId="32" fillId="4" borderId="22" xfId="0" applyNumberFormat="1" applyFont="1" applyFill="1" applyBorder="1"/>
    <xf numFmtId="1" fontId="32" fillId="4" borderId="94" xfId="0" applyNumberFormat="1" applyFont="1" applyFill="1" applyBorder="1"/>
    <xf numFmtId="1" fontId="79" fillId="3" borderId="175" xfId="0" applyNumberFormat="1" applyFont="1" applyFill="1" applyBorder="1" applyAlignment="1" applyProtection="1">
      <alignment horizontal="left"/>
      <protection hidden="1"/>
    </xf>
    <xf numFmtId="1" fontId="79" fillId="3" borderId="0" xfId="0" applyNumberFormat="1" applyFont="1" applyFill="1" applyAlignment="1" applyProtection="1">
      <alignment wrapText="1"/>
      <protection hidden="1"/>
    </xf>
    <xf numFmtId="1" fontId="32" fillId="3" borderId="459" xfId="0" applyNumberFormat="1" applyFont="1" applyFill="1" applyBorder="1" applyProtection="1">
      <protection hidden="1"/>
    </xf>
    <xf numFmtId="1" fontId="32" fillId="3" borderId="400" xfId="0" applyNumberFormat="1" applyFont="1" applyFill="1" applyBorder="1" applyProtection="1">
      <protection hidden="1"/>
    </xf>
    <xf numFmtId="1" fontId="32" fillId="3" borderId="462" xfId="0" applyNumberFormat="1" applyFont="1" applyFill="1" applyBorder="1"/>
    <xf numFmtId="1" fontId="32" fillId="3" borderId="461" xfId="0" applyNumberFormat="1" applyFont="1" applyFill="1" applyBorder="1" applyAlignment="1" applyProtection="1">
      <alignment wrapText="1"/>
      <protection hidden="1"/>
    </xf>
    <xf numFmtId="1" fontId="77" fillId="3" borderId="461" xfId="0" applyNumberFormat="1" applyFont="1" applyFill="1" applyBorder="1" applyProtection="1">
      <protection hidden="1"/>
    </xf>
    <xf numFmtId="1" fontId="76" fillId="0" borderId="400" xfId="0" applyNumberFormat="1" applyFont="1" applyBorder="1"/>
    <xf numFmtId="1" fontId="76" fillId="0" borderId="95" xfId="0" applyNumberFormat="1" applyFont="1" applyBorder="1"/>
    <xf numFmtId="1" fontId="32" fillId="3" borderId="95" xfId="0" applyNumberFormat="1" applyFont="1" applyFill="1" applyBorder="1" applyProtection="1">
      <protection hidden="1"/>
    </xf>
    <xf numFmtId="1" fontId="76" fillId="3" borderId="400" xfId="0" applyNumberFormat="1" applyFont="1" applyFill="1" applyBorder="1"/>
    <xf numFmtId="1" fontId="32" fillId="3" borderId="0" xfId="0" applyNumberFormat="1" applyFont="1" applyFill="1" applyAlignment="1" applyProtection="1">
      <alignment wrapText="1"/>
      <protection hidden="1"/>
    </xf>
    <xf numFmtId="1" fontId="32" fillId="0" borderId="426" xfId="0" applyNumberFormat="1" applyFont="1" applyBorder="1" applyAlignment="1" applyProtection="1">
      <alignment vertical="center" wrapText="1"/>
      <protection hidden="1"/>
    </xf>
    <xf numFmtId="1" fontId="32" fillId="5" borderId="452" xfId="0" applyNumberFormat="1" applyFont="1" applyFill="1" applyBorder="1" applyAlignment="1" applyProtection="1">
      <alignment horizontal="right" wrapText="1"/>
      <protection locked="0"/>
    </xf>
    <xf numFmtId="1" fontId="32" fillId="5" borderId="443" xfId="0" applyNumberFormat="1" applyFont="1" applyFill="1" applyBorder="1" applyAlignment="1" applyProtection="1">
      <alignment horizontal="right"/>
      <protection locked="0"/>
    </xf>
    <xf numFmtId="1" fontId="32" fillId="5" borderId="444" xfId="0" applyNumberFormat="1" applyFont="1" applyFill="1" applyBorder="1" applyAlignment="1" applyProtection="1">
      <alignment horizontal="right"/>
      <protection locked="0"/>
    </xf>
    <xf numFmtId="1" fontId="32" fillId="5" borderId="37" xfId="0" applyNumberFormat="1" applyFont="1" applyFill="1" applyBorder="1" applyAlignment="1" applyProtection="1">
      <alignment horizontal="right" wrapText="1"/>
      <protection locked="0"/>
    </xf>
    <xf numFmtId="1" fontId="32" fillId="5" borderId="38" xfId="0" applyNumberFormat="1" applyFont="1" applyFill="1" applyBorder="1" applyAlignment="1" applyProtection="1">
      <alignment horizontal="right"/>
      <protection locked="0"/>
    </xf>
    <xf numFmtId="1" fontId="32" fillId="5" borderId="50" xfId="0" applyNumberFormat="1" applyFont="1" applyFill="1" applyBorder="1" applyAlignment="1" applyProtection="1">
      <alignment horizontal="right"/>
      <protection locked="0"/>
    </xf>
    <xf numFmtId="1" fontId="32" fillId="3" borderId="37" xfId="0" applyNumberFormat="1" applyFont="1" applyFill="1" applyBorder="1" applyAlignment="1" applyProtection="1">
      <alignment vertical="center" wrapText="1"/>
      <protection hidden="1"/>
    </xf>
    <xf numFmtId="1" fontId="32" fillId="0" borderId="68" xfId="0" applyNumberFormat="1" applyFont="1" applyBorder="1" applyAlignment="1">
      <alignment wrapText="1"/>
    </xf>
    <xf numFmtId="1" fontId="32" fillId="5" borderId="50" xfId="0" applyNumberFormat="1" applyFont="1" applyFill="1" applyBorder="1" applyAlignment="1" applyProtection="1">
      <alignment horizontal="right" wrapText="1"/>
      <protection locked="0"/>
    </xf>
    <xf numFmtId="1" fontId="32" fillId="5" borderId="1113" xfId="0" applyNumberFormat="1" applyFont="1" applyFill="1" applyBorder="1" applyAlignment="1" applyProtection="1">
      <alignment horizontal="right"/>
      <protection locked="0"/>
    </xf>
    <xf numFmtId="1" fontId="76" fillId="0" borderId="460" xfId="0" applyNumberFormat="1" applyFont="1" applyBorder="1"/>
    <xf numFmtId="1" fontId="76" fillId="3" borderId="460" xfId="0" applyNumberFormat="1" applyFont="1" applyFill="1" applyBorder="1"/>
    <xf numFmtId="1" fontId="32" fillId="0" borderId="1884" xfId="0" applyNumberFormat="1" applyFont="1" applyBorder="1" applyAlignment="1">
      <alignment wrapText="1"/>
    </xf>
    <xf numFmtId="1" fontId="32" fillId="5" borderId="1685" xfId="0" applyNumberFormat="1" applyFont="1" applyFill="1" applyBorder="1" applyAlignment="1" applyProtection="1">
      <alignment horizontal="right" wrapText="1"/>
      <protection locked="0"/>
    </xf>
    <xf numFmtId="1" fontId="32" fillId="5" borderId="1661" xfId="0" applyNumberFormat="1" applyFont="1" applyFill="1" applyBorder="1" applyAlignment="1" applyProtection="1">
      <alignment horizontal="right"/>
      <protection locked="0"/>
    </xf>
    <xf numFmtId="1" fontId="32" fillId="5" borderId="1611" xfId="0" applyNumberFormat="1" applyFont="1" applyFill="1" applyBorder="1" applyAlignment="1" applyProtection="1">
      <alignment horizontal="right"/>
      <protection locked="0"/>
    </xf>
    <xf numFmtId="1" fontId="76" fillId="0" borderId="459" xfId="0" applyNumberFormat="1" applyFont="1" applyBorder="1"/>
    <xf numFmtId="1" fontId="64" fillId="3" borderId="175" xfId="0" applyNumberFormat="1" applyFont="1" applyFill="1" applyBorder="1" applyProtection="1">
      <protection hidden="1"/>
    </xf>
    <xf numFmtId="1" fontId="66" fillId="3" borderId="0" xfId="0" applyNumberFormat="1" applyFont="1" applyFill="1" applyProtection="1">
      <protection hidden="1"/>
    </xf>
    <xf numFmtId="1" fontId="32" fillId="0" borderId="458" xfId="0" applyNumberFormat="1" applyFont="1" applyBorder="1" applyProtection="1">
      <protection hidden="1"/>
    </xf>
    <xf numFmtId="1" fontId="32" fillId="0" borderId="435" xfId="0" applyNumberFormat="1" applyFont="1" applyBorder="1" applyAlignment="1" applyProtection="1">
      <alignment horizontal="center" vertical="center" wrapText="1"/>
      <protection hidden="1"/>
    </xf>
    <xf numFmtId="1" fontId="76" fillId="3" borderId="0" xfId="0" applyNumberFormat="1" applyFont="1" applyFill="1" applyProtection="1">
      <protection hidden="1"/>
    </xf>
    <xf numFmtId="1" fontId="80" fillId="3" borderId="0" xfId="0" applyNumberFormat="1" applyFont="1" applyFill="1" applyProtection="1">
      <protection hidden="1"/>
    </xf>
    <xf numFmtId="1" fontId="32" fillId="0" borderId="437" xfId="0" applyNumberFormat="1" applyFont="1" applyBorder="1" applyAlignment="1" applyProtection="1">
      <alignment horizontal="center" vertical="center" wrapText="1"/>
      <protection hidden="1"/>
    </xf>
    <xf numFmtId="1" fontId="32" fillId="0" borderId="1254" xfId="0" applyNumberFormat="1" applyFont="1" applyBorder="1" applyAlignment="1" applyProtection="1">
      <alignment horizontal="center" vertical="center" wrapText="1"/>
      <protection hidden="1"/>
    </xf>
    <xf numFmtId="1" fontId="32" fillId="3" borderId="440" xfId="0" applyNumberFormat="1" applyFont="1" applyFill="1" applyBorder="1" applyAlignment="1">
      <alignment wrapText="1"/>
    </xf>
    <xf numFmtId="1" fontId="32" fillId="3" borderId="438" xfId="0" applyNumberFormat="1" applyFont="1" applyFill="1" applyBorder="1" applyAlignment="1">
      <alignment wrapText="1"/>
    </xf>
    <xf numFmtId="1" fontId="32" fillId="3" borderId="435" xfId="0" applyNumberFormat="1" applyFont="1" applyFill="1" applyBorder="1" applyAlignment="1">
      <alignment wrapText="1"/>
    </xf>
    <xf numFmtId="1" fontId="64" fillId="0" borderId="95" xfId="0" applyNumberFormat="1" applyFont="1" applyBorder="1" applyAlignment="1">
      <alignment horizontal="left"/>
    </xf>
    <xf numFmtId="1" fontId="32" fillId="3" borderId="1062" xfId="0" applyNumberFormat="1" applyFont="1" applyFill="1" applyBorder="1" applyProtection="1">
      <protection hidden="1"/>
    </xf>
    <xf numFmtId="1" fontId="76" fillId="3" borderId="175" xfId="0" applyNumberFormat="1" applyFont="1" applyFill="1" applyBorder="1" applyProtection="1">
      <protection hidden="1"/>
    </xf>
    <xf numFmtId="1" fontId="80" fillId="3" borderId="175" xfId="0" applyNumberFormat="1" applyFont="1" applyFill="1" applyBorder="1" applyProtection="1">
      <protection hidden="1"/>
    </xf>
    <xf numFmtId="1" fontId="32" fillId="3" borderId="458" xfId="0" applyNumberFormat="1" applyFont="1" applyFill="1" applyBorder="1" applyProtection="1">
      <protection hidden="1"/>
    </xf>
    <xf numFmtId="1" fontId="32" fillId="3" borderId="1138" xfId="0" applyNumberFormat="1" applyFont="1" applyFill="1" applyBorder="1" applyProtection="1">
      <protection hidden="1"/>
    </xf>
    <xf numFmtId="1" fontId="32" fillId="0" borderId="955" xfId="0" applyNumberFormat="1" applyFont="1" applyBorder="1" applyAlignment="1">
      <alignment horizontal="center" vertical="center"/>
    </xf>
    <xf numFmtId="1" fontId="32" fillId="0" borderId="952" xfId="0" applyNumberFormat="1" applyFont="1" applyBorder="1" applyAlignment="1">
      <alignment horizontal="center" vertical="center"/>
    </xf>
    <xf numFmtId="1" fontId="32" fillId="0" borderId="177" xfId="0" applyNumberFormat="1" applyFont="1" applyBorder="1" applyAlignment="1">
      <alignment horizontal="center" vertical="center" wrapText="1"/>
    </xf>
    <xf numFmtId="1" fontId="32" fillId="0" borderId="1174" xfId="0" applyNumberFormat="1" applyFont="1" applyBorder="1" applyAlignment="1">
      <alignment horizontal="center" vertical="center" wrapText="1"/>
    </xf>
    <xf numFmtId="1" fontId="32" fillId="0" borderId="1138" xfId="0" applyNumberFormat="1" applyFont="1" applyBorder="1" applyAlignment="1">
      <alignment horizontal="center" vertical="center" wrapText="1"/>
    </xf>
    <xf numFmtId="1" fontId="32" fillId="0" borderId="922" xfId="0" applyNumberFormat="1" applyFont="1" applyBorder="1" applyAlignment="1">
      <alignment horizontal="right" wrapText="1"/>
    </xf>
    <xf numFmtId="1" fontId="32" fillId="0" borderId="899" xfId="0" applyNumberFormat="1" applyFont="1" applyBorder="1" applyAlignment="1">
      <alignment horizontal="right" wrapText="1"/>
    </xf>
    <xf numFmtId="1" fontId="32" fillId="5" borderId="1168" xfId="0" applyNumberFormat="1" applyFont="1" applyFill="1" applyBorder="1" applyAlignment="1" applyProtection="1">
      <alignment horizontal="right"/>
      <protection locked="0"/>
    </xf>
    <xf numFmtId="1" fontId="32" fillId="5" borderId="1161" xfId="0" applyNumberFormat="1" applyFont="1" applyFill="1" applyBorder="1" applyAlignment="1" applyProtection="1">
      <alignment horizontal="right"/>
      <protection locked="0"/>
    </xf>
    <xf numFmtId="1" fontId="32" fillId="5" borderId="1169" xfId="0" applyNumberFormat="1" applyFont="1" applyFill="1" applyBorder="1" applyAlignment="1" applyProtection="1">
      <alignment horizontal="right"/>
      <protection locked="0"/>
    </xf>
    <xf numFmtId="1" fontId="32" fillId="5" borderId="1183" xfId="0" applyNumberFormat="1" applyFont="1" applyFill="1" applyBorder="1" applyAlignment="1" applyProtection="1">
      <alignment horizontal="right"/>
      <protection locked="0"/>
    </xf>
    <xf numFmtId="1" fontId="32" fillId="5" borderId="1082" xfId="0" applyNumberFormat="1" applyFont="1" applyFill="1" applyBorder="1" applyAlignment="1" applyProtection="1">
      <alignment horizontal="right"/>
      <protection locked="0"/>
    </xf>
    <xf numFmtId="1" fontId="32" fillId="0" borderId="1675" xfId="0" applyNumberFormat="1" applyFont="1" applyBorder="1" applyAlignment="1">
      <alignment horizontal="right" wrapText="1"/>
    </xf>
    <xf numFmtId="1" fontId="32" fillId="0" borderId="1674" xfId="0" applyNumberFormat="1" applyFont="1" applyBorder="1" applyAlignment="1">
      <alignment horizontal="right" wrapText="1"/>
    </xf>
    <xf numFmtId="1" fontId="32" fillId="0" borderId="236" xfId="0" applyNumberFormat="1" applyFont="1" applyBorder="1" applyAlignment="1">
      <alignment horizontal="left" vertical="center" wrapText="1"/>
    </xf>
    <xf numFmtId="1" fontId="32" fillId="0" borderId="880" xfId="0" applyNumberFormat="1" applyFont="1" applyBorder="1" applyAlignment="1">
      <alignment horizontal="right" wrapText="1"/>
    </xf>
    <xf numFmtId="1" fontId="32" fillId="0" borderId="885" xfId="0" applyNumberFormat="1" applyFont="1" applyBorder="1" applyAlignment="1">
      <alignment horizontal="right" wrapText="1"/>
    </xf>
    <xf numFmtId="1" fontId="32" fillId="5" borderId="1087" xfId="0" applyNumberFormat="1" applyFont="1" applyFill="1" applyBorder="1" applyAlignment="1" applyProtection="1">
      <alignment horizontal="right"/>
      <protection locked="0"/>
    </xf>
    <xf numFmtId="1" fontId="32" fillId="5" borderId="1068" xfId="0" applyNumberFormat="1" applyFont="1" applyFill="1" applyBorder="1" applyAlignment="1" applyProtection="1">
      <alignment horizontal="right"/>
      <protection locked="0"/>
    </xf>
    <xf numFmtId="1" fontId="32" fillId="5" borderId="506" xfId="0" applyNumberFormat="1" applyFont="1" applyFill="1" applyBorder="1" applyAlignment="1" applyProtection="1">
      <alignment horizontal="right"/>
      <protection locked="0"/>
    </xf>
    <xf numFmtId="1" fontId="32" fillId="5" borderId="1062" xfId="0" applyNumberFormat="1" applyFont="1" applyFill="1" applyBorder="1" applyAlignment="1" applyProtection="1">
      <alignment horizontal="right"/>
      <protection locked="0"/>
    </xf>
    <xf numFmtId="1" fontId="32" fillId="5" borderId="514" xfId="0" applyNumberFormat="1" applyFont="1" applyFill="1" applyBorder="1" applyAlignment="1" applyProtection="1">
      <alignment horizontal="right"/>
      <protection locked="0"/>
    </xf>
    <xf numFmtId="1" fontId="64" fillId="14" borderId="0" xfId="0" applyNumberFormat="1" applyFont="1" applyFill="1" applyAlignment="1">
      <alignment horizontal="left"/>
    </xf>
    <xf numFmtId="1" fontId="32" fillId="0" borderId="438" xfId="0" applyNumberFormat="1" applyFont="1" applyBorder="1" applyAlignment="1">
      <alignment horizontal="center" vertical="center"/>
    </xf>
    <xf numFmtId="0" fontId="0" fillId="0" borderId="440" xfId="0" applyBorder="1"/>
    <xf numFmtId="1" fontId="32" fillId="5" borderId="438" xfId="0" applyNumberFormat="1" applyFont="1" applyFill="1" applyBorder="1" applyAlignment="1" applyProtection="1">
      <alignment horizontal="right"/>
      <protection locked="0"/>
    </xf>
    <xf numFmtId="1" fontId="32" fillId="5" borderId="454" xfId="0" applyNumberFormat="1" applyFont="1" applyFill="1" applyBorder="1" applyAlignment="1" applyProtection="1">
      <alignment horizontal="right"/>
      <protection locked="0"/>
    </xf>
    <xf numFmtId="1" fontId="32" fillId="5" borderId="453" xfId="0" applyNumberFormat="1" applyFont="1" applyFill="1" applyBorder="1" applyAlignment="1" applyProtection="1">
      <alignment horizontal="right"/>
      <protection locked="0"/>
    </xf>
    <xf numFmtId="1" fontId="77" fillId="3" borderId="175" xfId="0" applyNumberFormat="1" applyFont="1" applyFill="1" applyBorder="1" applyProtection="1">
      <protection hidden="1"/>
    </xf>
    <xf numFmtId="1" fontId="32" fillId="5" borderId="442" xfId="0" applyNumberFormat="1" applyFont="1" applyFill="1" applyBorder="1" applyAlignment="1" applyProtection="1">
      <alignment horizontal="right"/>
      <protection locked="0"/>
    </xf>
    <xf numFmtId="1" fontId="32" fillId="0" borderId="426" xfId="0" applyNumberFormat="1" applyFont="1" applyBorder="1" applyAlignment="1">
      <alignment horizontal="left" vertical="center" wrapText="1"/>
    </xf>
    <xf numFmtId="1" fontId="32" fillId="0" borderId="618" xfId="0" applyNumberFormat="1" applyFont="1" applyBorder="1" applyAlignment="1">
      <alignment horizontal="right" wrapText="1"/>
    </xf>
    <xf numFmtId="1" fontId="32" fillId="0" borderId="617" xfId="0" applyNumberFormat="1" applyFont="1" applyBorder="1" applyAlignment="1">
      <alignment horizontal="right" wrapText="1"/>
    </xf>
    <xf numFmtId="1" fontId="32" fillId="5" borderId="425" xfId="0" applyNumberFormat="1" applyFont="1" applyFill="1" applyBorder="1" applyAlignment="1" applyProtection="1">
      <alignment horizontal="right"/>
      <protection locked="0"/>
    </xf>
    <xf numFmtId="1" fontId="32" fillId="5" borderId="424" xfId="0" applyNumberFormat="1" applyFont="1" applyFill="1" applyBorder="1" applyAlignment="1" applyProtection="1">
      <alignment horizontal="right"/>
      <protection locked="0"/>
    </xf>
    <xf numFmtId="1" fontId="32" fillId="5" borderId="42" xfId="0" applyNumberFormat="1" applyFont="1" applyFill="1" applyBorder="1" applyAlignment="1" applyProtection="1">
      <alignment horizontal="right"/>
      <protection locked="0"/>
    </xf>
    <xf numFmtId="1" fontId="32" fillId="0" borderId="1495" xfId="0" applyNumberFormat="1" applyFont="1" applyBorder="1" applyAlignment="1">
      <alignment horizontal="left" vertical="center" wrapText="1"/>
    </xf>
    <xf numFmtId="1" fontId="32" fillId="5" borderId="142" xfId="0" applyNumberFormat="1" applyFont="1" applyFill="1" applyBorder="1" applyAlignment="1" applyProtection="1">
      <alignment horizontal="right"/>
      <protection locked="0"/>
    </xf>
    <xf numFmtId="1" fontId="32" fillId="5" borderId="177" xfId="0" applyNumberFormat="1" applyFont="1" applyFill="1" applyBorder="1" applyAlignment="1" applyProtection="1">
      <alignment horizontal="right"/>
      <protection locked="0"/>
    </xf>
    <xf numFmtId="1" fontId="32" fillId="5" borderId="143" xfId="0" applyNumberFormat="1" applyFont="1" applyFill="1" applyBorder="1" applyAlignment="1" applyProtection="1">
      <alignment horizontal="right"/>
      <protection locked="0"/>
    </xf>
    <xf numFmtId="1" fontId="66" fillId="0" borderId="95" xfId="0" applyNumberFormat="1" applyFont="1" applyBorder="1" applyAlignment="1">
      <alignment horizontal="left"/>
    </xf>
    <xf numFmtId="1" fontId="74" fillId="0" borderId="451" xfId="0" applyNumberFormat="1" applyFont="1" applyBorder="1" applyAlignment="1">
      <alignment horizontal="center" vertical="center" wrapText="1"/>
    </xf>
    <xf numFmtId="1" fontId="74" fillId="0" borderId="0" xfId="0" applyNumberFormat="1" applyFont="1" applyAlignment="1">
      <alignment horizontal="center" vertical="center" wrapText="1"/>
    </xf>
    <xf numFmtId="1" fontId="74" fillId="0" borderId="175" xfId="0" applyNumberFormat="1" applyFont="1" applyBorder="1" applyAlignment="1">
      <alignment horizontal="center" vertical="center" wrapText="1"/>
    </xf>
    <xf numFmtId="1" fontId="74" fillId="3" borderId="175" xfId="0" applyNumberFormat="1" applyFont="1" applyFill="1" applyBorder="1" applyAlignment="1" applyProtection="1">
      <alignment horizontal="center" vertical="center" wrapText="1"/>
      <protection hidden="1"/>
    </xf>
    <xf numFmtId="1" fontId="32" fillId="0" borderId="440" xfId="0" applyNumberFormat="1" applyFont="1" applyBorder="1" applyAlignment="1">
      <alignment vertical="center" wrapText="1"/>
    </xf>
    <xf numFmtId="1" fontId="74" fillId="0" borderId="440" xfId="0" applyNumberFormat="1" applyFont="1" applyBorder="1" applyAlignment="1">
      <alignment horizontal="right" vertical="center" wrapText="1"/>
    </xf>
    <xf numFmtId="1" fontId="32" fillId="5" borderId="450" xfId="0" applyNumberFormat="1" applyFont="1" applyFill="1" applyBorder="1" applyAlignment="1" applyProtection="1">
      <alignment horizontal="right"/>
      <protection locked="0"/>
    </xf>
    <xf numFmtId="1" fontId="32" fillId="5" borderId="436" xfId="0" applyNumberFormat="1" applyFont="1" applyFill="1" applyBorder="1" applyAlignment="1" applyProtection="1">
      <alignment horizontal="right"/>
      <protection locked="0"/>
    </xf>
    <xf numFmtId="1" fontId="32" fillId="5" borderId="435" xfId="0" applyNumberFormat="1" applyFont="1" applyFill="1" applyBorder="1" applyAlignment="1" applyProtection="1">
      <alignment horizontal="right"/>
      <protection locked="0"/>
    </xf>
    <xf numFmtId="1" fontId="32" fillId="14" borderId="446" xfId="0" applyNumberFormat="1" applyFont="1" applyFill="1" applyBorder="1" applyAlignment="1">
      <alignment vertical="center" wrapText="1"/>
    </xf>
    <xf numFmtId="1" fontId="32" fillId="14" borderId="443" xfId="0" applyNumberFormat="1" applyFont="1" applyFill="1" applyBorder="1" applyAlignment="1">
      <alignment horizontal="right" wrapText="1"/>
    </xf>
    <xf numFmtId="1" fontId="32" fillId="14" borderId="445" xfId="0" applyNumberFormat="1" applyFont="1" applyFill="1" applyBorder="1" applyAlignment="1">
      <alignment horizontal="right" wrapText="1"/>
    </xf>
    <xf numFmtId="1" fontId="32" fillId="14" borderId="444" xfId="0" applyNumberFormat="1" applyFont="1" applyFill="1" applyBorder="1" applyAlignment="1">
      <alignment horizontal="right"/>
    </xf>
    <xf numFmtId="1" fontId="32" fillId="5" borderId="619" xfId="0" applyNumberFormat="1" applyFont="1" applyFill="1" applyBorder="1" applyProtection="1">
      <protection locked="0"/>
    </xf>
    <xf numFmtId="1" fontId="32" fillId="5" borderId="621" xfId="0" applyNumberFormat="1" applyFont="1" applyFill="1" applyBorder="1" applyProtection="1">
      <protection locked="0"/>
    </xf>
    <xf numFmtId="1" fontId="32" fillId="14" borderId="416" xfId="0" applyNumberFormat="1" applyFont="1" applyFill="1" applyBorder="1" applyAlignment="1">
      <alignment vertical="center"/>
    </xf>
    <xf numFmtId="1" fontId="32" fillId="14" borderId="40" xfId="0" applyNumberFormat="1" applyFont="1" applyFill="1" applyBorder="1" applyAlignment="1">
      <alignment vertical="center" wrapText="1"/>
    </xf>
    <xf numFmtId="1" fontId="32" fillId="14" borderId="38" xfId="0" applyNumberFormat="1" applyFont="1" applyFill="1" applyBorder="1" applyAlignment="1">
      <alignment horizontal="right" wrapText="1"/>
    </xf>
    <xf numFmtId="1" fontId="32" fillId="14" borderId="62" xfId="0" applyNumberFormat="1" applyFont="1" applyFill="1" applyBorder="1" applyAlignment="1">
      <alignment horizontal="right" wrapText="1"/>
    </xf>
    <xf numFmtId="1" fontId="32" fillId="14" borderId="50" xfId="0" applyNumberFormat="1" applyFont="1" applyFill="1" applyBorder="1" applyAlignment="1">
      <alignment horizontal="right"/>
    </xf>
    <xf numFmtId="1" fontId="32" fillId="5" borderId="556" xfId="0" applyNumberFormat="1" applyFont="1" applyFill="1" applyBorder="1" applyProtection="1">
      <protection locked="0"/>
    </xf>
    <xf numFmtId="1" fontId="32" fillId="5" borderId="558" xfId="0" applyNumberFormat="1" applyFont="1" applyFill="1" applyBorder="1" applyProtection="1">
      <protection locked="0"/>
    </xf>
    <xf numFmtId="1" fontId="32" fillId="14" borderId="440" xfId="0" applyNumberFormat="1" applyFont="1" applyFill="1" applyBorder="1" applyAlignment="1">
      <alignment horizontal="center"/>
    </xf>
    <xf numFmtId="1" fontId="32" fillId="14" borderId="438" xfId="0" applyNumberFormat="1" applyFont="1" applyFill="1" applyBorder="1" applyAlignment="1">
      <alignment horizontal="right"/>
    </xf>
    <xf numFmtId="1" fontId="32" fillId="14" borderId="439" xfId="0" applyNumberFormat="1" applyFont="1" applyFill="1" applyBorder="1" applyAlignment="1">
      <alignment horizontal="right"/>
    </xf>
    <xf numFmtId="1" fontId="32" fillId="14" borderId="435" xfId="0" applyNumberFormat="1" applyFont="1" applyFill="1" applyBorder="1" applyAlignment="1">
      <alignment horizontal="right"/>
    </xf>
    <xf numFmtId="1" fontId="32" fillId="14" borderId="853" xfId="0" applyNumberFormat="1" applyFont="1" applyFill="1" applyBorder="1"/>
    <xf numFmtId="1" fontId="32" fillId="14" borderId="844" xfId="0" applyNumberFormat="1" applyFont="1" applyFill="1" applyBorder="1"/>
    <xf numFmtId="1" fontId="32" fillId="14" borderId="850" xfId="0" applyNumberFormat="1" applyFont="1" applyFill="1" applyBorder="1"/>
    <xf numFmtId="1" fontId="32" fillId="14" borderId="855" xfId="0" applyNumberFormat="1" applyFont="1" applyFill="1" applyBorder="1"/>
    <xf numFmtId="1" fontId="32" fillId="14" borderId="565" xfId="0" applyNumberFormat="1" applyFont="1" applyFill="1" applyBorder="1"/>
    <xf numFmtId="1" fontId="32" fillId="14" borderId="566" xfId="0" applyNumberFormat="1" applyFont="1" applyFill="1" applyBorder="1"/>
    <xf numFmtId="1" fontId="32" fillId="0" borderId="454" xfId="0" applyNumberFormat="1" applyFont="1" applyBorder="1" applyAlignment="1">
      <alignment vertical="center"/>
    </xf>
    <xf numFmtId="1" fontId="32" fillId="0" borderId="1684" xfId="0" applyNumberFormat="1" applyFont="1" applyBorder="1" applyAlignment="1">
      <alignment horizontal="center" vertical="center" wrapText="1"/>
    </xf>
    <xf numFmtId="1" fontId="32" fillId="0" borderId="1672" xfId="0" applyNumberFormat="1" applyFont="1" applyBorder="1" applyAlignment="1">
      <alignment horizontal="center" vertical="center" wrapText="1"/>
    </xf>
    <xf numFmtId="1" fontId="32" fillId="0" borderId="40" xfId="0" applyNumberFormat="1" applyFont="1" applyBorder="1"/>
    <xf numFmtId="1" fontId="32" fillId="0" borderId="40" xfId="0" quotePrefix="1" applyNumberFormat="1" applyFont="1" applyBorder="1"/>
    <xf numFmtId="1" fontId="32" fillId="3" borderId="1152" xfId="0" applyNumberFormat="1" applyFont="1" applyFill="1" applyBorder="1"/>
    <xf numFmtId="1" fontId="32" fillId="5" borderId="472" xfId="0" applyNumberFormat="1" applyFont="1" applyFill="1" applyBorder="1" applyProtection="1">
      <protection locked="0"/>
    </xf>
    <xf numFmtId="1" fontId="32" fillId="5" borderId="1701" xfId="0" applyNumberFormat="1" applyFont="1" applyFill="1" applyBorder="1" applyProtection="1">
      <protection locked="0"/>
    </xf>
    <xf numFmtId="1" fontId="32" fillId="5" borderId="1703" xfId="0" applyNumberFormat="1" applyFont="1" applyFill="1" applyBorder="1" applyProtection="1">
      <protection locked="0"/>
    </xf>
    <xf numFmtId="1" fontId="32" fillId="5" borderId="1127" xfId="0" applyNumberFormat="1" applyFont="1" applyFill="1" applyBorder="1" applyProtection="1">
      <protection locked="0"/>
    </xf>
    <xf numFmtId="1" fontId="32" fillId="0" borderId="1693" xfId="0" applyNumberFormat="1" applyFont="1" applyBorder="1"/>
    <xf numFmtId="0" fontId="32" fillId="0" borderId="1826" xfId="0" applyFont="1" applyBorder="1" applyAlignment="1">
      <alignment horizontal="center" vertical="center" wrapText="1"/>
    </xf>
    <xf numFmtId="0" fontId="32" fillId="0" borderId="1915" xfId="0" applyFont="1" applyBorder="1" applyAlignment="1">
      <alignment horizontal="center" vertical="center" wrapText="1"/>
    </xf>
    <xf numFmtId="1" fontId="32" fillId="5" borderId="684" xfId="0" applyNumberFormat="1" applyFont="1" applyFill="1" applyBorder="1" applyProtection="1">
      <protection locked="0"/>
    </xf>
    <xf numFmtId="1" fontId="32" fillId="5" borderId="1685" xfId="0" applyNumberFormat="1" applyFont="1" applyFill="1" applyBorder="1" applyProtection="1">
      <protection locked="0"/>
    </xf>
    <xf numFmtId="1" fontId="76" fillId="3" borderId="196" xfId="0" applyNumberFormat="1" applyFont="1" applyFill="1" applyBorder="1"/>
    <xf numFmtId="1" fontId="80" fillId="3" borderId="196" xfId="0" applyNumberFormat="1" applyFont="1" applyFill="1" applyBorder="1"/>
    <xf numFmtId="1" fontId="80" fillId="0" borderId="196" xfId="0" applyNumberFormat="1" applyFont="1" applyBorder="1"/>
    <xf numFmtId="1" fontId="32" fillId="0" borderId="275" xfId="0" applyNumberFormat="1" applyFont="1" applyBorder="1" applyAlignment="1">
      <alignment horizontal="center" vertical="center" wrapText="1"/>
    </xf>
    <xf numFmtId="1" fontId="76" fillId="14" borderId="99" xfId="0" applyNumberFormat="1" applyFont="1" applyFill="1" applyBorder="1"/>
    <xf numFmtId="1" fontId="32" fillId="3" borderId="196" xfId="0" applyNumberFormat="1" applyFont="1" applyFill="1" applyBorder="1"/>
    <xf numFmtId="1" fontId="32" fillId="0" borderId="196" xfId="0" applyNumberFormat="1" applyFont="1" applyBorder="1"/>
    <xf numFmtId="1" fontId="32" fillId="3" borderId="269" xfId="0" applyNumberFormat="1" applyFont="1" applyFill="1" applyBorder="1"/>
    <xf numFmtId="1" fontId="32" fillId="5" borderId="270" xfId="0" applyNumberFormat="1" applyFont="1" applyFill="1" applyBorder="1" applyProtection="1">
      <protection locked="0"/>
    </xf>
    <xf numFmtId="1" fontId="32" fillId="5" borderId="273" xfId="0" applyNumberFormat="1" applyFont="1" applyFill="1" applyBorder="1" applyProtection="1">
      <protection locked="0"/>
    </xf>
    <xf numFmtId="1" fontId="32" fillId="5" borderId="290" xfId="0" applyNumberFormat="1" applyFont="1" applyFill="1" applyBorder="1" applyProtection="1">
      <protection locked="0"/>
    </xf>
    <xf numFmtId="1" fontId="32" fillId="5" borderId="288" xfId="0" applyNumberFormat="1" applyFont="1" applyFill="1" applyBorder="1" applyProtection="1">
      <protection locked="0"/>
    </xf>
    <xf numFmtId="1" fontId="32" fillId="5" borderId="287" xfId="0" applyNumberFormat="1" applyFont="1" applyFill="1" applyBorder="1" applyProtection="1">
      <protection locked="0"/>
    </xf>
    <xf numFmtId="1" fontId="32" fillId="14" borderId="0" xfId="0" applyNumberFormat="1" applyFont="1" applyFill="1" applyAlignment="1" applyProtection="1">
      <alignment vertical="top"/>
      <protection locked="0"/>
    </xf>
    <xf numFmtId="1" fontId="32" fillId="3" borderId="37" xfId="0" applyNumberFormat="1" applyFont="1" applyFill="1" applyBorder="1"/>
    <xf numFmtId="1" fontId="32" fillId="5" borderId="93" xfId="0" applyNumberFormat="1" applyFont="1" applyFill="1" applyBorder="1" applyProtection="1">
      <protection locked="0"/>
    </xf>
    <xf numFmtId="1" fontId="32" fillId="3" borderId="685" xfId="0" applyNumberFormat="1" applyFont="1" applyFill="1" applyBorder="1"/>
    <xf numFmtId="1" fontId="32" fillId="5" borderId="911" xfId="0" applyNumberFormat="1" applyFont="1" applyFill="1" applyBorder="1" applyProtection="1">
      <protection locked="0"/>
    </xf>
    <xf numFmtId="1" fontId="32" fillId="14" borderId="35" xfId="0" applyNumberFormat="1" applyFont="1" applyFill="1" applyBorder="1" applyAlignment="1" applyProtection="1">
      <alignment vertical="center"/>
      <protection locked="0"/>
    </xf>
    <xf numFmtId="1" fontId="76" fillId="17" borderId="0" xfId="0" applyNumberFormat="1" applyFont="1" applyFill="1" applyAlignment="1" applyProtection="1">
      <alignment wrapText="1"/>
      <protection locked="0"/>
    </xf>
    <xf numFmtId="1" fontId="32" fillId="5" borderId="728" xfId="0" applyNumberFormat="1" applyFont="1" applyFill="1" applyBorder="1" applyProtection="1">
      <protection locked="0"/>
    </xf>
    <xf numFmtId="1" fontId="32" fillId="5" borderId="559" xfId="0" applyNumberFormat="1" applyFont="1" applyFill="1" applyBorder="1" applyProtection="1">
      <protection locked="0"/>
    </xf>
    <xf numFmtId="1" fontId="32" fillId="3" borderId="648" xfId="0" applyNumberFormat="1" applyFont="1" applyFill="1" applyBorder="1"/>
    <xf numFmtId="1" fontId="32" fillId="0" borderId="648" xfId="0" applyNumberFormat="1" applyFont="1" applyBorder="1"/>
    <xf numFmtId="1" fontId="32" fillId="0" borderId="649" xfId="0" applyNumberFormat="1" applyFont="1" applyBorder="1"/>
    <xf numFmtId="1" fontId="76" fillId="3" borderId="650" xfId="0" applyNumberFormat="1" applyFont="1" applyFill="1" applyBorder="1"/>
    <xf numFmtId="1" fontId="32" fillId="5" borderId="919" xfId="0" applyNumberFormat="1" applyFont="1" applyFill="1" applyBorder="1" applyProtection="1">
      <protection locked="0"/>
    </xf>
    <xf numFmtId="1" fontId="80" fillId="3" borderId="200" xfId="0" applyNumberFormat="1" applyFont="1" applyFill="1" applyBorder="1"/>
    <xf numFmtId="1" fontId="76" fillId="3" borderId="201" xfId="0" applyNumberFormat="1" applyFont="1" applyFill="1" applyBorder="1"/>
    <xf numFmtId="1" fontId="32" fillId="0" borderId="35" xfId="0" applyNumberFormat="1" applyFont="1" applyBorder="1"/>
    <xf numFmtId="1" fontId="65" fillId="0" borderId="0" xfId="0" applyNumberFormat="1" applyFont="1"/>
    <xf numFmtId="1" fontId="76" fillId="0" borderId="201" xfId="0" applyNumberFormat="1" applyFont="1" applyBorder="1"/>
    <xf numFmtId="1" fontId="32" fillId="0" borderId="789" xfId="0" applyNumberFormat="1" applyFont="1" applyBorder="1" applyAlignment="1">
      <alignment horizontal="center" vertical="center"/>
    </xf>
    <xf numFmtId="1" fontId="32" fillId="0" borderId="797" xfId="0" applyNumberFormat="1" applyFont="1" applyBorder="1" applyAlignment="1">
      <alignment horizontal="center" vertical="center"/>
    </xf>
    <xf numFmtId="1" fontId="32" fillId="0" borderId="791" xfId="0" applyNumberFormat="1" applyFont="1" applyBorder="1" applyAlignment="1">
      <alignment horizontal="center" vertical="center"/>
    </xf>
    <xf numFmtId="1" fontId="76" fillId="0" borderId="99" xfId="0" applyNumberFormat="1" applyFont="1" applyBorder="1"/>
    <xf numFmtId="1" fontId="32" fillId="3" borderId="200" xfId="0" applyNumberFormat="1" applyFont="1" applyFill="1" applyBorder="1"/>
    <xf numFmtId="1" fontId="32" fillId="0" borderId="2333" xfId="0" applyNumberFormat="1" applyFont="1" applyBorder="1"/>
    <xf numFmtId="1" fontId="32" fillId="0" borderId="2347" xfId="0" applyNumberFormat="1" applyFont="1" applyBorder="1"/>
    <xf numFmtId="1" fontId="76" fillId="0" borderId="2246" xfId="0" applyNumberFormat="1" applyFont="1" applyBorder="1"/>
    <xf numFmtId="1" fontId="76" fillId="0" borderId="296" xfId="0" applyNumberFormat="1" applyFont="1" applyBorder="1"/>
    <xf numFmtId="1" fontId="32" fillId="0" borderId="269" xfId="0" applyNumberFormat="1" applyFont="1" applyBorder="1"/>
    <xf numFmtId="1" fontId="32" fillId="5" borderId="783" xfId="0" applyNumberFormat="1" applyFont="1" applyFill="1" applyBorder="1" applyProtection="1">
      <protection locked="0"/>
    </xf>
    <xf numFmtId="1" fontId="32" fillId="12" borderId="787" xfId="0" applyNumberFormat="1" applyFont="1" applyFill="1" applyBorder="1"/>
    <xf numFmtId="1" fontId="32" fillId="12" borderId="784" xfId="0" applyNumberFormat="1" applyFont="1" applyFill="1" applyBorder="1"/>
    <xf numFmtId="1" fontId="32" fillId="12" borderId="780" xfId="0" applyNumberFormat="1" applyFont="1" applyFill="1" applyBorder="1"/>
    <xf numFmtId="1" fontId="32" fillId="5" borderId="268" xfId="0" applyNumberFormat="1" applyFont="1" applyFill="1" applyBorder="1" applyProtection="1">
      <protection locked="0"/>
    </xf>
    <xf numFmtId="1" fontId="32" fillId="5" borderId="677" xfId="0" applyNumberFormat="1" applyFont="1" applyFill="1" applyBorder="1" applyProtection="1">
      <protection locked="0"/>
    </xf>
    <xf numFmtId="1" fontId="32" fillId="12" borderId="718" xfId="0" applyNumberFormat="1" applyFont="1" applyFill="1" applyBorder="1"/>
    <xf numFmtId="1" fontId="32" fillId="12" borderId="677" xfId="0" applyNumberFormat="1" applyFont="1" applyFill="1" applyBorder="1"/>
    <xf numFmtId="1" fontId="32" fillId="12" borderId="753" xfId="0" applyNumberFormat="1" applyFont="1" applyFill="1" applyBorder="1"/>
    <xf numFmtId="1" fontId="32" fillId="0" borderId="2256" xfId="0" applyNumberFormat="1" applyFont="1" applyBorder="1" applyAlignment="1" applyProtection="1">
      <alignment wrapText="1"/>
      <protection hidden="1"/>
    </xf>
    <xf numFmtId="1" fontId="32" fillId="0" borderId="1501" xfId="0" applyNumberFormat="1" applyFont="1" applyBorder="1" applyAlignment="1" applyProtection="1">
      <alignment wrapText="1"/>
      <protection hidden="1"/>
    </xf>
    <xf numFmtId="1" fontId="32" fillId="12" borderId="717" xfId="0" applyNumberFormat="1" applyFont="1" applyFill="1" applyBorder="1"/>
    <xf numFmtId="1" fontId="32" fillId="12" borderId="708" xfId="0" applyNumberFormat="1" applyFont="1" applyFill="1" applyBorder="1"/>
    <xf numFmtId="1" fontId="32" fillId="12" borderId="699" xfId="0" applyNumberFormat="1" applyFont="1" applyFill="1" applyBorder="1"/>
    <xf numFmtId="1" fontId="32" fillId="0" borderId="1846" xfId="0" applyNumberFormat="1" applyFont="1" applyBorder="1" applyAlignment="1" applyProtection="1">
      <alignment wrapText="1"/>
      <protection hidden="1"/>
    </xf>
    <xf numFmtId="1" fontId="32" fillId="0" borderId="428" xfId="0" applyNumberFormat="1" applyFont="1" applyBorder="1"/>
    <xf numFmtId="1" fontId="32" fillId="5" borderId="2174" xfId="0" applyNumberFormat="1" applyFont="1" applyFill="1" applyBorder="1" applyProtection="1">
      <protection locked="0"/>
    </xf>
    <xf numFmtId="1" fontId="32" fillId="12" borderId="768" xfId="0" applyNumberFormat="1" applyFont="1" applyFill="1" applyBorder="1"/>
    <xf numFmtId="1" fontId="32" fillId="12" borderId="375" xfId="0" applyNumberFormat="1" applyFont="1" applyFill="1" applyBorder="1"/>
    <xf numFmtId="1" fontId="32" fillId="12" borderId="2127" xfId="0" applyNumberFormat="1" applyFont="1" applyFill="1" applyBorder="1"/>
    <xf numFmtId="1" fontId="32" fillId="5" borderId="1500" xfId="0" applyNumberFormat="1" applyFont="1" applyFill="1" applyBorder="1" applyProtection="1">
      <protection locked="0"/>
    </xf>
    <xf numFmtId="1" fontId="32" fillId="12" borderId="1103" xfId="0" applyNumberFormat="1" applyFont="1" applyFill="1" applyBorder="1"/>
    <xf numFmtId="1" fontId="32" fillId="12" borderId="1500" xfId="0" applyNumberFormat="1" applyFont="1" applyFill="1" applyBorder="1"/>
    <xf numFmtId="1" fontId="32" fillId="12" borderId="1508" xfId="0" applyNumberFormat="1" applyFont="1" applyFill="1" applyBorder="1"/>
    <xf numFmtId="1" fontId="32" fillId="3" borderId="995" xfId="0" applyNumberFormat="1" applyFont="1" applyFill="1" applyBorder="1"/>
    <xf numFmtId="1" fontId="32" fillId="0" borderId="995" xfId="0" applyNumberFormat="1" applyFont="1" applyBorder="1"/>
    <xf numFmtId="1" fontId="32" fillId="0" borderId="268" xfId="0" applyNumberFormat="1" applyFont="1" applyBorder="1" applyAlignment="1" applyProtection="1">
      <alignment wrapText="1"/>
      <protection hidden="1"/>
    </xf>
    <xf numFmtId="1" fontId="32" fillId="0" borderId="24" xfId="0" applyNumberFormat="1" applyFont="1" applyBorder="1" applyAlignment="1" applyProtection="1">
      <alignment wrapText="1"/>
      <protection hidden="1"/>
    </xf>
    <xf numFmtId="1" fontId="32" fillId="0" borderId="31" xfId="0" applyNumberFormat="1" applyFont="1" applyBorder="1" applyAlignment="1" applyProtection="1">
      <alignment wrapText="1"/>
      <protection hidden="1"/>
    </xf>
    <xf numFmtId="1" fontId="32" fillId="0" borderId="262" xfId="0" applyNumberFormat="1" applyFont="1" applyBorder="1" applyAlignment="1" applyProtection="1">
      <alignment wrapText="1"/>
      <protection hidden="1"/>
    </xf>
    <xf numFmtId="1" fontId="32" fillId="0" borderId="263" xfId="0" applyNumberFormat="1" applyFont="1" applyBorder="1"/>
    <xf numFmtId="1" fontId="32" fillId="5" borderId="105" xfId="0" applyNumberFormat="1" applyFont="1" applyFill="1" applyBorder="1" applyProtection="1">
      <protection locked="0"/>
    </xf>
    <xf numFmtId="1" fontId="32" fillId="5" borderId="266" xfId="0" applyNumberFormat="1" applyFont="1" applyFill="1" applyBorder="1" applyProtection="1">
      <protection locked="0"/>
    </xf>
    <xf numFmtId="1" fontId="32" fillId="12" borderId="265" xfId="0" applyNumberFormat="1" applyFont="1" applyFill="1" applyBorder="1"/>
    <xf numFmtId="1" fontId="32" fillId="12" borderId="266" xfId="0" applyNumberFormat="1" applyFont="1" applyFill="1" applyBorder="1"/>
    <xf numFmtId="1" fontId="32" fillId="12" borderId="305" xfId="0" applyNumberFormat="1" applyFont="1" applyFill="1" applyBorder="1"/>
    <xf numFmtId="1" fontId="32" fillId="5" borderId="262" xfId="0" applyNumberFormat="1" applyFont="1" applyFill="1" applyBorder="1" applyProtection="1">
      <protection locked="0"/>
    </xf>
    <xf numFmtId="1" fontId="32" fillId="12" borderId="617" xfId="0" applyNumberFormat="1" applyFont="1" applyFill="1" applyBorder="1"/>
    <xf numFmtId="1" fontId="32" fillId="12" borderId="728" xfId="0" applyNumberFormat="1" applyFont="1" applyFill="1" applyBorder="1"/>
    <xf numFmtId="1" fontId="32" fillId="12" borderId="752" xfId="0" applyNumberFormat="1" applyFont="1" applyFill="1" applyBorder="1"/>
    <xf numFmtId="1" fontId="32" fillId="5" borderId="31" xfId="0" applyNumberFormat="1" applyFont="1" applyFill="1" applyBorder="1" applyProtection="1">
      <protection locked="0"/>
    </xf>
    <xf numFmtId="1" fontId="32" fillId="12" borderId="755" xfId="0" applyNumberFormat="1" applyFont="1" applyFill="1" applyBorder="1"/>
    <xf numFmtId="1" fontId="32" fillId="12" borderId="376" xfId="0" applyNumberFormat="1" applyFont="1" applyFill="1" applyBorder="1"/>
    <xf numFmtId="1" fontId="32" fillId="12" borderId="514" xfId="0" applyNumberFormat="1" applyFont="1" applyFill="1" applyBorder="1"/>
    <xf numFmtId="1" fontId="32" fillId="5" borderId="177" xfId="0" applyNumberFormat="1" applyFont="1" applyFill="1" applyBorder="1" applyProtection="1">
      <protection locked="0"/>
    </xf>
    <xf numFmtId="1" fontId="32" fillId="0" borderId="269" xfId="0" applyNumberFormat="1" applyFont="1" applyBorder="1" applyAlignment="1" applyProtection="1">
      <alignment wrapText="1"/>
      <protection hidden="1"/>
    </xf>
    <xf numFmtId="1" fontId="32" fillId="5" borderId="787" xfId="0" applyNumberFormat="1" applyFont="1" applyFill="1" applyBorder="1" applyProtection="1">
      <protection locked="0"/>
    </xf>
    <xf numFmtId="1" fontId="32" fillId="5" borderId="780" xfId="0" applyNumberFormat="1" applyFont="1" applyFill="1" applyBorder="1" applyProtection="1">
      <protection locked="0"/>
    </xf>
    <xf numFmtId="1" fontId="32" fillId="0" borderId="236" xfId="0" applyNumberFormat="1" applyFont="1" applyBorder="1" applyAlignment="1" applyProtection="1">
      <alignment wrapText="1"/>
      <protection hidden="1"/>
    </xf>
    <xf numFmtId="1" fontId="32" fillId="5" borderId="514" xfId="0" applyNumberFormat="1" applyFont="1" applyFill="1" applyBorder="1" applyProtection="1">
      <protection locked="0"/>
    </xf>
    <xf numFmtId="1" fontId="32" fillId="3" borderId="9" xfId="0" applyNumberFormat="1" applyFont="1" applyFill="1" applyBorder="1"/>
    <xf numFmtId="1" fontId="32" fillId="3" borderId="35" xfId="0" applyNumberFormat="1" applyFont="1" applyFill="1" applyBorder="1"/>
    <xf numFmtId="1" fontId="80" fillId="3" borderId="729" xfId="0" applyNumberFormat="1" applyFont="1" applyFill="1" applyBorder="1"/>
    <xf numFmtId="1" fontId="80" fillId="3" borderId="731" xfId="0" applyNumberFormat="1" applyFont="1" applyFill="1" applyBorder="1"/>
    <xf numFmtId="1" fontId="32" fillId="0" borderId="1096" xfId="0" applyNumberFormat="1" applyFont="1" applyBorder="1"/>
    <xf numFmtId="1" fontId="32" fillId="5" borderId="1168" xfId="0" applyNumberFormat="1" applyFont="1" applyFill="1" applyBorder="1" applyProtection="1">
      <protection locked="0"/>
    </xf>
    <xf numFmtId="1" fontId="32" fillId="5" borderId="1199" xfId="0" applyNumberFormat="1" applyFont="1" applyFill="1" applyBorder="1" applyProtection="1">
      <protection locked="0"/>
    </xf>
    <xf numFmtId="1" fontId="32" fillId="12" borderId="1159" xfId="0" applyNumberFormat="1" applyFont="1" applyFill="1" applyBorder="1"/>
    <xf numFmtId="1" fontId="32" fillId="12" borderId="1199" xfId="0" applyNumberFormat="1" applyFont="1" applyFill="1" applyBorder="1"/>
    <xf numFmtId="1" fontId="32" fillId="12" borderId="1160" xfId="0" applyNumberFormat="1" applyFont="1" applyFill="1" applyBorder="1"/>
    <xf numFmtId="1" fontId="32" fillId="5" borderId="1090" xfId="0" applyNumberFormat="1" applyFont="1" applyFill="1" applyBorder="1" applyProtection="1">
      <protection locked="0"/>
    </xf>
    <xf numFmtId="1" fontId="32" fillId="5" borderId="1115" xfId="0" applyNumberFormat="1" applyFont="1" applyFill="1" applyBorder="1" applyProtection="1">
      <protection locked="0"/>
    </xf>
    <xf numFmtId="1" fontId="32" fillId="12" borderId="1115" xfId="0" applyNumberFormat="1" applyFont="1" applyFill="1" applyBorder="1"/>
    <xf numFmtId="1" fontId="32" fillId="12" borderId="1120" xfId="0" applyNumberFormat="1" applyFont="1" applyFill="1" applyBorder="1"/>
    <xf numFmtId="1" fontId="32" fillId="0" borderId="2219" xfId="0" applyNumberFormat="1" applyFont="1" applyBorder="1" applyAlignment="1" applyProtection="1">
      <alignment wrapText="1"/>
      <protection hidden="1"/>
    </xf>
    <xf numFmtId="1" fontId="32" fillId="12" borderId="1112" xfId="0" applyNumberFormat="1" applyFont="1" applyFill="1" applyBorder="1"/>
    <xf numFmtId="1" fontId="32" fillId="12" borderId="1114" xfId="0" applyNumberFormat="1" applyFont="1" applyFill="1" applyBorder="1"/>
    <xf numFmtId="1" fontId="32" fillId="12" borderId="1119" xfId="0" applyNumberFormat="1" applyFont="1" applyFill="1" applyBorder="1"/>
    <xf numFmtId="1" fontId="80" fillId="3" borderId="1165" xfId="0" applyNumberFormat="1" applyFont="1" applyFill="1" applyBorder="1"/>
    <xf numFmtId="1" fontId="80" fillId="3" borderId="1166" xfId="0" applyNumberFormat="1" applyFont="1" applyFill="1" applyBorder="1"/>
    <xf numFmtId="1" fontId="32" fillId="0" borderId="1161" xfId="0" applyNumberFormat="1" applyFont="1" applyBorder="1" applyAlignment="1" applyProtection="1">
      <alignment wrapText="1"/>
      <protection hidden="1"/>
    </xf>
    <xf numFmtId="1" fontId="32" fillId="0" borderId="1167" xfId="0" applyNumberFormat="1" applyFont="1" applyBorder="1"/>
    <xf numFmtId="1" fontId="32" fillId="5" borderId="1170" xfId="0" applyNumberFormat="1" applyFont="1" applyFill="1" applyBorder="1" applyProtection="1">
      <protection locked="0"/>
    </xf>
    <xf numFmtId="1" fontId="32" fillId="5" borderId="884" xfId="0" applyNumberFormat="1" applyFont="1" applyFill="1" applyBorder="1" applyProtection="1">
      <protection locked="0"/>
    </xf>
    <xf numFmtId="1" fontId="32" fillId="12" borderId="885" xfId="0" applyNumberFormat="1" applyFont="1" applyFill="1" applyBorder="1"/>
    <xf numFmtId="1" fontId="32" fillId="12" borderId="884" xfId="0" applyNumberFormat="1" applyFont="1" applyFill="1" applyBorder="1"/>
    <xf numFmtId="1" fontId="32" fillId="12" borderId="934" xfId="0" applyNumberFormat="1" applyFont="1" applyFill="1" applyBorder="1"/>
    <xf numFmtId="1" fontId="32" fillId="5" borderId="1159" xfId="0" applyNumberFormat="1" applyFont="1" applyFill="1" applyBorder="1" applyProtection="1">
      <protection locked="0"/>
    </xf>
    <xf numFmtId="1" fontId="32" fillId="5" borderId="1160" xfId="0" applyNumberFormat="1" applyFont="1" applyFill="1" applyBorder="1" applyProtection="1">
      <protection locked="0"/>
    </xf>
    <xf numFmtId="1" fontId="32" fillId="5" borderId="998" xfId="0" applyNumberFormat="1" applyFont="1" applyFill="1" applyBorder="1" applyProtection="1">
      <protection locked="0"/>
    </xf>
    <xf numFmtId="1" fontId="32" fillId="5" borderId="1068" xfId="0" applyNumberFormat="1" applyFont="1" applyFill="1" applyBorder="1" applyProtection="1">
      <protection locked="0"/>
    </xf>
    <xf numFmtId="1" fontId="32" fillId="5" borderId="1007" xfId="0" applyNumberFormat="1" applyFont="1" applyFill="1" applyBorder="1" applyProtection="1">
      <protection locked="0"/>
    </xf>
    <xf numFmtId="1" fontId="64" fillId="3" borderId="77" xfId="0" applyNumberFormat="1" applyFont="1" applyFill="1" applyBorder="1"/>
    <xf numFmtId="1" fontId="80" fillId="3" borderId="208" xfId="0" applyNumberFormat="1" applyFont="1" applyFill="1" applyBorder="1"/>
    <xf numFmtId="1" fontId="32" fillId="0" borderId="282" xfId="0" applyNumberFormat="1" applyFont="1" applyBorder="1" applyAlignment="1">
      <alignment horizontal="center" vertical="center" wrapText="1"/>
    </xf>
    <xf numFmtId="1" fontId="32" fillId="5" borderId="282" xfId="0" applyNumberFormat="1" applyFont="1" applyFill="1" applyBorder="1" applyProtection="1">
      <protection locked="0"/>
    </xf>
    <xf numFmtId="1" fontId="64" fillId="0" borderId="77" xfId="0" applyNumberFormat="1" applyFont="1" applyBorder="1"/>
    <xf numFmtId="1" fontId="32" fillId="0" borderId="274" xfId="0" applyNumberFormat="1" applyFont="1" applyBorder="1" applyAlignment="1">
      <alignment horizontal="center" vertical="center" wrapText="1"/>
    </xf>
    <xf numFmtId="1" fontId="32" fillId="3" borderId="0" xfId="0" applyNumberFormat="1" applyFont="1" applyFill="1" applyAlignment="1">
      <alignment wrapText="1"/>
    </xf>
    <xf numFmtId="1" fontId="32" fillId="3" borderId="196" xfId="0" applyNumberFormat="1" applyFont="1" applyFill="1" applyBorder="1" applyAlignment="1">
      <alignment wrapText="1"/>
    </xf>
    <xf numFmtId="1" fontId="32" fillId="0" borderId="196" xfId="0" applyNumberFormat="1" applyFont="1" applyBorder="1" applyAlignment="1">
      <alignment wrapText="1"/>
    </xf>
    <xf numFmtId="1" fontId="32" fillId="5" borderId="275" xfId="0" applyNumberFormat="1" applyFont="1" applyFill="1" applyBorder="1" applyProtection="1">
      <protection locked="0"/>
    </xf>
    <xf numFmtId="1" fontId="32" fillId="5" borderId="227" xfId="0" applyNumberFormat="1" applyFont="1" applyFill="1" applyBorder="1" applyProtection="1">
      <protection locked="0"/>
    </xf>
    <xf numFmtId="1" fontId="32" fillId="3" borderId="0" xfId="0" applyNumberFormat="1" applyFont="1" applyFill="1" applyAlignment="1" applyProtection="1">
      <alignment wrapText="1"/>
      <protection locked="0"/>
    </xf>
    <xf numFmtId="1" fontId="32" fillId="0" borderId="793" xfId="0" applyNumberFormat="1" applyFont="1" applyBorder="1" applyAlignment="1">
      <alignment horizontal="center" vertical="center" wrapText="1"/>
    </xf>
    <xf numFmtId="1" fontId="32" fillId="0" borderId="786" xfId="0" applyNumberFormat="1" applyFont="1" applyBorder="1" applyAlignment="1">
      <alignment horizontal="center" vertical="center" wrapText="1"/>
    </xf>
    <xf numFmtId="1" fontId="32" fillId="0" borderId="227" xfId="0" applyNumberFormat="1" applyFont="1" applyBorder="1" applyAlignment="1">
      <alignment horizontal="center" vertical="center" wrapText="1"/>
    </xf>
    <xf numFmtId="1" fontId="32" fillId="0" borderId="762" xfId="0" applyNumberFormat="1" applyFont="1" applyBorder="1" applyAlignment="1">
      <alignment horizontal="center" vertical="center" wrapText="1"/>
    </xf>
    <xf numFmtId="1" fontId="32" fillId="0" borderId="0" xfId="0" applyNumberFormat="1" applyFont="1" applyAlignment="1">
      <alignment wrapText="1"/>
    </xf>
    <xf numFmtId="1" fontId="32" fillId="0" borderId="270" xfId="0" applyNumberFormat="1" applyFont="1" applyBorder="1"/>
    <xf numFmtId="1" fontId="32" fillId="0" borderId="273" xfId="0" applyNumberFormat="1" applyFont="1" applyBorder="1"/>
    <xf numFmtId="1" fontId="32" fillId="0" borderId="268" xfId="0" applyNumberFormat="1" applyFont="1" applyBorder="1"/>
    <xf numFmtId="1" fontId="32" fillId="5" borderId="785" xfId="0" applyNumberFormat="1" applyFont="1" applyFill="1" applyBorder="1" applyProtection="1">
      <protection locked="0"/>
    </xf>
    <xf numFmtId="1" fontId="32" fillId="5" borderId="788" xfId="0" applyNumberFormat="1" applyFont="1" applyFill="1" applyBorder="1" applyProtection="1">
      <protection locked="0"/>
    </xf>
    <xf numFmtId="1" fontId="32" fillId="5" borderId="286" xfId="0" applyNumberFormat="1" applyFont="1" applyFill="1" applyBorder="1" applyProtection="1">
      <protection locked="0"/>
    </xf>
    <xf numFmtId="1" fontId="32" fillId="5" borderId="269" xfId="0" applyNumberFormat="1" applyFont="1" applyFill="1" applyBorder="1" applyProtection="1">
      <protection locked="0"/>
    </xf>
    <xf numFmtId="1" fontId="32" fillId="0" borderId="38" xfId="0" applyNumberFormat="1" applyFont="1" applyBorder="1"/>
    <xf numFmtId="1" fontId="32" fillId="0" borderId="62" xfId="0" applyNumberFormat="1" applyFont="1" applyBorder="1"/>
    <xf numFmtId="1" fontId="32" fillId="0" borderId="50" xfId="0" applyNumberFormat="1" applyFont="1" applyBorder="1"/>
    <xf numFmtId="1" fontId="32" fillId="0" borderId="142" xfId="0" applyNumberFormat="1" applyFont="1" applyBorder="1"/>
    <xf numFmtId="1" fontId="32" fillId="0" borderId="136" xfId="0" applyNumberFormat="1" applyFont="1" applyBorder="1"/>
    <xf numFmtId="1" fontId="32" fillId="0" borderId="177" xfId="0" applyNumberFormat="1" applyFont="1" applyBorder="1"/>
    <xf numFmtId="1" fontId="32" fillId="4" borderId="236" xfId="0" applyNumberFormat="1" applyFont="1" applyFill="1" applyBorder="1"/>
    <xf numFmtId="1" fontId="32" fillId="0" borderId="226" xfId="0" applyNumberFormat="1" applyFont="1" applyBorder="1" applyAlignment="1">
      <alignment horizontal="center" vertical="center" wrapText="1"/>
    </xf>
    <xf numFmtId="1" fontId="32" fillId="0" borderId="224" xfId="0" applyNumberFormat="1" applyFont="1" applyBorder="1" applyAlignment="1">
      <alignment horizontal="center" vertical="center" wrapText="1"/>
    </xf>
    <xf numFmtId="1" fontId="32" fillId="5" borderId="294" xfId="0" applyNumberFormat="1" applyFont="1" applyFill="1" applyBorder="1" applyProtection="1">
      <protection locked="0"/>
    </xf>
    <xf numFmtId="1" fontId="32" fillId="5" borderId="271" xfId="0" applyNumberFormat="1" applyFont="1" applyFill="1" applyBorder="1" applyProtection="1">
      <protection locked="0"/>
    </xf>
    <xf numFmtId="1" fontId="32" fillId="5" borderId="110" xfId="0" applyNumberFormat="1" applyFont="1" applyFill="1" applyBorder="1" applyProtection="1">
      <protection locked="0"/>
    </xf>
    <xf numFmtId="1" fontId="32" fillId="5" borderId="54" xfId="0" applyNumberFormat="1" applyFont="1" applyFill="1" applyBorder="1" applyProtection="1">
      <protection locked="0"/>
    </xf>
    <xf numFmtId="1" fontId="32" fillId="0" borderId="208" xfId="0" applyNumberFormat="1" applyFont="1" applyBorder="1" applyAlignment="1" applyProtection="1">
      <alignment wrapText="1"/>
      <protection locked="0"/>
    </xf>
    <xf numFmtId="1" fontId="32" fillId="0" borderId="208" xfId="0" applyNumberFormat="1" applyFont="1" applyBorder="1" applyAlignment="1">
      <alignment wrapText="1"/>
    </xf>
    <xf numFmtId="1" fontId="32" fillId="5" borderId="111" xfId="0" applyNumberFormat="1" applyFont="1" applyFill="1" applyBorder="1" applyProtection="1">
      <protection locked="0"/>
    </xf>
    <xf numFmtId="1" fontId="32" fillId="3" borderId="208" xfId="0" applyNumberFormat="1" applyFont="1" applyFill="1" applyBorder="1" applyAlignment="1">
      <alignment wrapText="1"/>
    </xf>
    <xf numFmtId="1" fontId="76" fillId="3" borderId="0" xfId="0" applyNumberFormat="1" applyFont="1" applyFill="1" applyAlignment="1">
      <alignment wrapText="1"/>
    </xf>
    <xf numFmtId="1" fontId="32" fillId="0" borderId="77" xfId="0" applyNumberFormat="1" applyFont="1" applyBorder="1" applyAlignment="1">
      <alignment wrapText="1"/>
    </xf>
    <xf numFmtId="1" fontId="32" fillId="0" borderId="95" xfId="0" applyNumberFormat="1" applyFont="1" applyBorder="1" applyAlignment="1">
      <alignment wrapText="1"/>
    </xf>
    <xf numFmtId="1" fontId="32" fillId="0" borderId="221" xfId="0" applyNumberFormat="1" applyFont="1" applyBorder="1" applyAlignment="1">
      <alignment horizontal="center" vertical="center"/>
    </xf>
    <xf numFmtId="1" fontId="32" fillId="3" borderId="275" xfId="14" applyNumberFormat="1" applyFont="1" applyFill="1" applyBorder="1"/>
    <xf numFmtId="1" fontId="32" fillId="3" borderId="284" xfId="14" applyNumberFormat="1" applyFont="1" applyFill="1" applyBorder="1"/>
    <xf numFmtId="1" fontId="32" fillId="3" borderId="304" xfId="14" applyNumberFormat="1" applyFont="1" applyFill="1" applyBorder="1"/>
    <xf numFmtId="1" fontId="32" fillId="5" borderId="274" xfId="0" applyNumberFormat="1" applyFont="1" applyFill="1" applyBorder="1" applyProtection="1">
      <protection locked="0"/>
    </xf>
    <xf numFmtId="1" fontId="64" fillId="3" borderId="243" xfId="0" applyNumberFormat="1" applyFont="1" applyFill="1" applyBorder="1"/>
    <xf numFmtId="1" fontId="32" fillId="14" borderId="196" xfId="0" applyNumberFormat="1" applyFont="1" applyFill="1" applyBorder="1"/>
    <xf numFmtId="1" fontId="76" fillId="14" borderId="201" xfId="0" applyNumberFormat="1" applyFont="1" applyFill="1" applyBorder="1"/>
    <xf numFmtId="1" fontId="32" fillId="14" borderId="208" xfId="0" applyNumberFormat="1" applyFont="1" applyFill="1" applyBorder="1"/>
    <xf numFmtId="1" fontId="32" fillId="0" borderId="1018" xfId="0" applyNumberFormat="1" applyFont="1" applyBorder="1" applyAlignment="1">
      <alignment horizontal="center" vertical="center" wrapText="1"/>
    </xf>
    <xf numFmtId="1" fontId="32" fillId="0" borderId="1005" xfId="0" applyNumberFormat="1" applyFont="1" applyBorder="1" applyAlignment="1">
      <alignment horizontal="center" vertical="center" wrapText="1"/>
    </xf>
    <xf numFmtId="1" fontId="32" fillId="0" borderId="1023" xfId="0" applyNumberFormat="1" applyFont="1" applyBorder="1" applyAlignment="1">
      <alignment horizontal="center" vertical="center" wrapText="1"/>
    </xf>
    <xf numFmtId="1" fontId="32" fillId="0" borderId="301" xfId="0" applyNumberFormat="1" applyFont="1" applyBorder="1"/>
    <xf numFmtId="1" fontId="32" fillId="0" borderId="2342" xfId="0" applyNumberFormat="1" applyFont="1" applyBorder="1"/>
    <xf numFmtId="1" fontId="32" fillId="5" borderId="2340" xfId="0" applyNumberFormat="1" applyFont="1" applyFill="1" applyBorder="1" applyProtection="1">
      <protection locked="0"/>
    </xf>
    <xf numFmtId="1" fontId="32" fillId="5" borderId="2338" xfId="0" applyNumberFormat="1" applyFont="1" applyFill="1" applyBorder="1" applyProtection="1">
      <protection locked="0"/>
    </xf>
    <xf numFmtId="1" fontId="32" fillId="5" borderId="2339" xfId="0" applyNumberFormat="1" applyFont="1" applyFill="1" applyBorder="1" applyProtection="1">
      <protection locked="0"/>
    </xf>
    <xf numFmtId="1" fontId="32" fillId="0" borderId="1837" xfId="0" applyNumberFormat="1" applyFont="1" applyBorder="1"/>
    <xf numFmtId="1" fontId="32" fillId="0" borderId="1650" xfId="0" applyNumberFormat="1" applyFont="1" applyBorder="1"/>
    <xf numFmtId="1" fontId="32" fillId="0" borderId="1651" xfId="0" applyNumberFormat="1" applyFont="1" applyBorder="1"/>
    <xf numFmtId="1" fontId="32" fillId="0" borderId="1498" xfId="0" applyNumberFormat="1" applyFont="1" applyBorder="1"/>
    <xf numFmtId="1" fontId="32" fillId="0" borderId="1676" xfId="0" applyNumberFormat="1" applyFont="1" applyBorder="1"/>
    <xf numFmtId="1" fontId="32" fillId="5" borderId="1510" xfId="0" applyNumberFormat="1" applyFont="1" applyFill="1" applyBorder="1" applyProtection="1">
      <protection locked="0"/>
    </xf>
    <xf numFmtId="1" fontId="32" fillId="14" borderId="298" xfId="0" applyNumberFormat="1" applyFont="1" applyFill="1" applyBorder="1"/>
    <xf numFmtId="1" fontId="80" fillId="14" borderId="196" xfId="0" applyNumberFormat="1" applyFont="1" applyFill="1" applyBorder="1"/>
    <xf numFmtId="1" fontId="32" fillId="5" borderId="1151" xfId="0" applyNumberFormat="1" applyFont="1" applyFill="1" applyBorder="1" applyProtection="1">
      <protection locked="0"/>
    </xf>
    <xf numFmtId="1" fontId="32" fillId="14" borderId="1298" xfId="0" applyNumberFormat="1" applyFont="1" applyFill="1" applyBorder="1"/>
    <xf numFmtId="1" fontId="76" fillId="14" borderId="1303" xfId="0" applyNumberFormat="1" applyFont="1" applyFill="1" applyBorder="1"/>
    <xf numFmtId="1" fontId="32" fillId="0" borderId="1127" xfId="0" applyNumberFormat="1" applyFont="1" applyBorder="1" applyAlignment="1">
      <alignment wrapText="1"/>
    </xf>
    <xf numFmtId="1" fontId="32" fillId="14" borderId="2237" xfId="0" applyNumberFormat="1" applyFont="1" applyFill="1" applyBorder="1"/>
    <xf numFmtId="1" fontId="76" fillId="14" borderId="2238" xfId="0" applyNumberFormat="1" applyFont="1" applyFill="1" applyBorder="1"/>
    <xf numFmtId="1" fontId="32" fillId="0" borderId="1844" xfId="0" applyNumberFormat="1" applyFont="1" applyBorder="1"/>
    <xf numFmtId="1" fontId="32" fillId="0" borderId="1845" xfId="0" applyNumberFormat="1" applyFont="1" applyBorder="1"/>
    <xf numFmtId="1" fontId="32" fillId="0" borderId="1151" xfId="0" applyNumberFormat="1" applyFont="1" applyBorder="1"/>
    <xf numFmtId="1" fontId="32" fillId="5" borderId="1167" xfId="0" applyNumberFormat="1" applyFont="1" applyFill="1" applyBorder="1" applyProtection="1">
      <protection locked="0"/>
    </xf>
    <xf numFmtId="1" fontId="32" fillId="5" borderId="1111" xfId="0" applyNumberFormat="1" applyFont="1" applyFill="1" applyBorder="1" applyProtection="1">
      <protection locked="0"/>
    </xf>
    <xf numFmtId="1" fontId="80" fillId="14" borderId="208" xfId="0" applyNumberFormat="1" applyFont="1" applyFill="1" applyBorder="1"/>
    <xf numFmtId="1" fontId="80" fillId="14" borderId="200" xfId="0" applyNumberFormat="1" applyFont="1" applyFill="1" applyBorder="1"/>
    <xf numFmtId="1" fontId="76" fillId="14" borderId="196" xfId="0" applyNumberFormat="1" applyFont="1" applyFill="1" applyBorder="1"/>
    <xf numFmtId="1" fontId="32" fillId="5" borderId="1149" xfId="0" applyNumberFormat="1" applyFont="1" applyFill="1" applyBorder="1" applyProtection="1">
      <protection locked="0"/>
    </xf>
    <xf numFmtId="1" fontId="80" fillId="14" borderId="1311" xfId="0" applyNumberFormat="1" applyFont="1" applyFill="1" applyBorder="1"/>
    <xf numFmtId="1" fontId="80" fillId="14" borderId="1312" xfId="0" applyNumberFormat="1" applyFont="1" applyFill="1" applyBorder="1"/>
    <xf numFmtId="1" fontId="76" fillId="14" borderId="1311" xfId="0" applyNumberFormat="1" applyFont="1" applyFill="1" applyBorder="1"/>
    <xf numFmtId="1" fontId="80" fillId="14" borderId="2237" xfId="0" applyNumberFormat="1" applyFont="1" applyFill="1" applyBorder="1"/>
    <xf numFmtId="1" fontId="80" fillId="14" borderId="2239" xfId="0" applyNumberFormat="1" applyFont="1" applyFill="1" applyBorder="1"/>
    <xf numFmtId="1" fontId="76" fillId="14" borderId="2237" xfId="0" applyNumberFormat="1" applyFont="1" applyFill="1" applyBorder="1"/>
    <xf numFmtId="1" fontId="32" fillId="5" borderId="1091" xfId="0" applyNumberFormat="1" applyFont="1" applyFill="1" applyBorder="1" applyProtection="1">
      <protection locked="0"/>
    </xf>
    <xf numFmtId="1" fontId="32" fillId="5" borderId="1107" xfId="0" applyNumberFormat="1" applyFont="1" applyFill="1" applyBorder="1" applyProtection="1">
      <protection locked="0"/>
    </xf>
    <xf numFmtId="1" fontId="32" fillId="14" borderId="200" xfId="0" applyNumberFormat="1" applyFont="1" applyFill="1" applyBorder="1"/>
    <xf numFmtId="1" fontId="32" fillId="0" borderId="208" xfId="0" applyNumberFormat="1" applyFont="1" applyBorder="1"/>
    <xf numFmtId="1" fontId="32" fillId="0" borderId="30" xfId="0" applyNumberFormat="1" applyFont="1" applyBorder="1"/>
    <xf numFmtId="1" fontId="32" fillId="0" borderId="72" xfId="0" applyNumberFormat="1" applyFont="1" applyBorder="1"/>
    <xf numFmtId="1" fontId="32" fillId="5" borderId="30" xfId="0" applyNumberFormat="1" applyFont="1" applyFill="1" applyBorder="1" applyProtection="1">
      <protection locked="0"/>
    </xf>
    <xf numFmtId="1" fontId="32" fillId="5" borderId="1155" xfId="0" applyNumberFormat="1" applyFont="1" applyFill="1" applyBorder="1" applyProtection="1">
      <protection locked="0"/>
    </xf>
    <xf numFmtId="1" fontId="32" fillId="5" borderId="29" xfId="0" applyNumberFormat="1" applyFont="1" applyFill="1" applyBorder="1" applyProtection="1">
      <protection locked="0"/>
    </xf>
    <xf numFmtId="1" fontId="32" fillId="0" borderId="0" xfId="0" applyNumberFormat="1" applyFont="1" applyAlignment="1">
      <alignment vertical="top" wrapText="1"/>
    </xf>
    <xf numFmtId="1" fontId="32" fillId="0" borderId="20" xfId="0" applyNumberFormat="1" applyFont="1" applyBorder="1"/>
    <xf numFmtId="1" fontId="32" fillId="0" borderId="45" xfId="0" applyNumberFormat="1" applyFont="1" applyBorder="1"/>
    <xf numFmtId="1" fontId="32" fillId="0" borderId="21" xfId="0" applyNumberFormat="1" applyFont="1" applyBorder="1"/>
    <xf numFmtId="1" fontId="32" fillId="5" borderId="142" xfId="0" applyNumberFormat="1" applyFont="1" applyFill="1" applyBorder="1" applyProtection="1">
      <protection locked="0"/>
    </xf>
    <xf numFmtId="1" fontId="32" fillId="5" borderId="152" xfId="0" applyNumberFormat="1" applyFont="1" applyFill="1" applyBorder="1" applyProtection="1">
      <protection locked="0"/>
    </xf>
    <xf numFmtId="1" fontId="32" fillId="5" borderId="1088" xfId="0" applyNumberFormat="1" applyFont="1" applyFill="1" applyBorder="1" applyProtection="1">
      <protection locked="0"/>
    </xf>
    <xf numFmtId="1" fontId="32" fillId="5" borderId="1110" xfId="0" applyNumberFormat="1" applyFont="1" applyFill="1" applyBorder="1" applyProtection="1">
      <protection locked="0"/>
    </xf>
    <xf numFmtId="1" fontId="32" fillId="5" borderId="1092" xfId="0" applyNumberFormat="1" applyFont="1" applyFill="1" applyBorder="1" applyProtection="1">
      <protection locked="0"/>
    </xf>
    <xf numFmtId="1" fontId="32" fillId="5" borderId="236" xfId="0" applyNumberFormat="1" applyFont="1" applyFill="1" applyBorder="1" applyProtection="1">
      <protection locked="0"/>
    </xf>
    <xf numFmtId="1" fontId="76" fillId="3" borderId="225" xfId="0" applyNumberFormat="1" applyFont="1" applyFill="1" applyBorder="1"/>
    <xf numFmtId="1" fontId="32" fillId="0" borderId="201" xfId="0" applyNumberFormat="1" applyFont="1" applyBorder="1"/>
    <xf numFmtId="1" fontId="32" fillId="5" borderId="41" xfId="0" applyNumberFormat="1" applyFont="1" applyFill="1" applyBorder="1" applyProtection="1">
      <protection locked="0"/>
    </xf>
    <xf numFmtId="1" fontId="32" fillId="5" borderId="1072" xfId="0" applyNumberFormat="1" applyFont="1" applyFill="1" applyBorder="1" applyProtection="1">
      <protection locked="0"/>
    </xf>
    <xf numFmtId="1" fontId="32" fillId="5" borderId="1020" xfId="0" applyNumberFormat="1" applyFont="1" applyFill="1" applyBorder="1" applyProtection="1">
      <protection locked="0"/>
    </xf>
    <xf numFmtId="1" fontId="32" fillId="0" borderId="29" xfId="0" applyNumberFormat="1" applyFont="1" applyBorder="1" applyAlignment="1" applyProtection="1">
      <alignment wrapText="1"/>
      <protection hidden="1"/>
    </xf>
    <xf numFmtId="1" fontId="32" fillId="0" borderId="275" xfId="0" applyNumberFormat="1" applyFont="1" applyBorder="1"/>
    <xf numFmtId="1" fontId="32" fillId="0" borderId="284" xfId="0" applyNumberFormat="1" applyFont="1" applyBorder="1"/>
    <xf numFmtId="1" fontId="32" fillId="0" borderId="227" xfId="0" applyNumberFormat="1" applyFont="1" applyBorder="1"/>
    <xf numFmtId="1" fontId="32" fillId="0" borderId="1174" xfId="0" applyNumberFormat="1" applyFont="1" applyBorder="1"/>
    <xf numFmtId="1" fontId="32" fillId="0" borderId="1138" xfId="0" applyNumberFormat="1" applyFont="1" applyBorder="1"/>
    <xf numFmtId="1" fontId="32" fillId="0" borderId="1163" xfId="0" applyNumberFormat="1" applyFont="1" applyBorder="1"/>
    <xf numFmtId="1" fontId="32" fillId="0" borderId="41" xfId="0" applyNumberFormat="1" applyFont="1" applyBorder="1"/>
    <xf numFmtId="1" fontId="32" fillId="0" borderId="63" xfId="0" applyNumberFormat="1" applyFont="1" applyBorder="1"/>
    <xf numFmtId="1" fontId="32" fillId="0" borderId="31" xfId="0" applyNumberFormat="1" applyFont="1" applyBorder="1"/>
    <xf numFmtId="1" fontId="32" fillId="0" borderId="298" xfId="0" applyNumberFormat="1" applyFont="1" applyBorder="1"/>
    <xf numFmtId="1" fontId="76" fillId="14" borderId="0" xfId="0" applyNumberFormat="1" applyFont="1" applyFill="1" applyAlignment="1">
      <alignment wrapText="1"/>
    </xf>
    <xf numFmtId="1" fontId="80" fillId="14" borderId="247" xfId="0" applyNumberFormat="1" applyFont="1" applyFill="1" applyBorder="1"/>
    <xf numFmtId="1" fontId="80" fillId="0" borderId="201" xfId="0" applyNumberFormat="1" applyFont="1" applyBorder="1"/>
    <xf numFmtId="1" fontId="32" fillId="14" borderId="201" xfId="0" applyNumberFormat="1" applyFont="1" applyFill="1" applyBorder="1"/>
    <xf numFmtId="1" fontId="32" fillId="3" borderId="201" xfId="0" applyNumberFormat="1" applyFont="1" applyFill="1" applyBorder="1"/>
    <xf numFmtId="1" fontId="32" fillId="0" borderId="1087" xfId="0" applyNumberFormat="1" applyFont="1" applyBorder="1"/>
    <xf numFmtId="1" fontId="32" fillId="0" borderId="1069" xfId="0" applyNumberFormat="1" applyFont="1" applyBorder="1"/>
    <xf numFmtId="1" fontId="32" fillId="0" borderId="1088" xfId="0" applyNumberFormat="1" applyFont="1" applyBorder="1"/>
    <xf numFmtId="1" fontId="32" fillId="0" borderId="1068" xfId="0" applyNumberFormat="1" applyFont="1" applyBorder="1"/>
    <xf numFmtId="1" fontId="32" fillId="14" borderId="201" xfId="0" applyNumberFormat="1" applyFont="1" applyFill="1" applyBorder="1" applyAlignment="1">
      <alignment horizontal="center" vertical="center" wrapText="1"/>
    </xf>
    <xf numFmtId="1" fontId="32" fillId="14" borderId="196" xfId="0" applyNumberFormat="1" applyFont="1" applyFill="1" applyBorder="1" applyAlignment="1">
      <alignment horizontal="center" vertical="center" wrapText="1"/>
    </xf>
    <xf numFmtId="1" fontId="32" fillId="14" borderId="196" xfId="0" applyNumberFormat="1" applyFont="1" applyFill="1" applyBorder="1" applyProtection="1">
      <protection locked="0"/>
    </xf>
    <xf numFmtId="1" fontId="32" fillId="14" borderId="208" xfId="0" applyNumberFormat="1" applyFont="1" applyFill="1" applyBorder="1" applyProtection="1">
      <protection locked="0"/>
    </xf>
    <xf numFmtId="1" fontId="80" fillId="0" borderId="208" xfId="0" applyNumberFormat="1" applyFont="1" applyBorder="1"/>
    <xf numFmtId="1" fontId="32" fillId="3" borderId="208" xfId="0" applyNumberFormat="1" applyFont="1" applyFill="1" applyBorder="1"/>
    <xf numFmtId="1" fontId="32" fillId="0" borderId="225" xfId="0" applyNumberFormat="1" applyFont="1" applyBorder="1" applyAlignment="1">
      <alignment horizontal="center" vertical="center" wrapText="1"/>
    </xf>
    <xf numFmtId="1" fontId="32" fillId="0" borderId="1175" xfId="0" applyNumberFormat="1" applyFont="1" applyBorder="1" applyAlignment="1">
      <alignment horizontal="center" vertical="center" wrapText="1"/>
    </xf>
    <xf numFmtId="1" fontId="32" fillId="0" borderId="1176" xfId="0" applyNumberFormat="1" applyFont="1" applyBorder="1" applyAlignment="1">
      <alignment horizontal="center" vertical="center" wrapText="1"/>
    </xf>
    <xf numFmtId="1" fontId="32" fillId="14" borderId="200" xfId="0" applyNumberFormat="1" applyFont="1" applyFill="1" applyBorder="1" applyProtection="1">
      <protection locked="0"/>
    </xf>
    <xf numFmtId="1" fontId="32" fillId="0" borderId="270" xfId="0" applyNumberFormat="1" applyFont="1" applyBorder="1" applyAlignment="1">
      <alignment horizontal="right" vertical="center" wrapText="1"/>
    </xf>
    <xf numFmtId="1" fontId="32" fillId="0" borderId="273" xfId="0" applyNumberFormat="1" applyFont="1" applyBorder="1" applyAlignment="1">
      <alignment horizontal="right"/>
    </xf>
    <xf numFmtId="1" fontId="32" fillId="0" borderId="268" xfId="0" applyNumberFormat="1" applyFont="1" applyBorder="1" applyAlignment="1">
      <alignment horizontal="right"/>
    </xf>
    <xf numFmtId="1" fontId="32" fillId="5" borderId="272" xfId="0" applyNumberFormat="1" applyFont="1" applyFill="1" applyBorder="1" applyProtection="1">
      <protection locked="0"/>
    </xf>
    <xf numFmtId="1" fontId="32" fillId="5" borderId="1177" xfId="0" applyNumberFormat="1" applyFont="1" applyFill="1" applyBorder="1" applyProtection="1">
      <protection locked="0"/>
    </xf>
    <xf numFmtId="1" fontId="32" fillId="5" borderId="1080" xfId="0" applyNumberFormat="1" applyFont="1" applyFill="1" applyBorder="1" applyProtection="1">
      <protection locked="0"/>
    </xf>
    <xf numFmtId="1" fontId="32" fillId="5" borderId="1178" xfId="0" applyNumberFormat="1" applyFont="1" applyFill="1" applyBorder="1" applyProtection="1">
      <protection locked="0"/>
    </xf>
    <xf numFmtId="1" fontId="32" fillId="0" borderId="38" xfId="0" applyNumberFormat="1" applyFont="1" applyBorder="1" applyAlignment="1">
      <alignment horizontal="right"/>
    </xf>
    <xf numFmtId="1" fontId="32" fillId="0" borderId="62" xfId="0" applyNumberFormat="1" applyFont="1" applyBorder="1" applyAlignment="1">
      <alignment horizontal="right"/>
    </xf>
    <xf numFmtId="1" fontId="32" fillId="5" borderId="1179" xfId="0" applyNumberFormat="1" applyFont="1" applyFill="1" applyBorder="1" applyProtection="1">
      <protection locked="0"/>
    </xf>
    <xf numFmtId="1" fontId="32" fillId="0" borderId="30" xfId="0" applyNumberFormat="1" applyFont="1" applyBorder="1" applyAlignment="1">
      <alignment horizontal="right"/>
    </xf>
    <xf numFmtId="1" fontId="32" fillId="0" borderId="72" xfId="0" applyNumberFormat="1" applyFont="1" applyBorder="1" applyAlignment="1">
      <alignment horizontal="right"/>
    </xf>
    <xf numFmtId="1" fontId="32" fillId="5" borderId="285" xfId="0" applyNumberFormat="1" applyFont="1" applyFill="1" applyBorder="1" applyProtection="1">
      <protection locked="0"/>
    </xf>
    <xf numFmtId="1" fontId="32" fillId="5" borderId="1180" xfId="0" applyNumberFormat="1" applyFont="1" applyFill="1" applyBorder="1" applyProtection="1">
      <protection locked="0"/>
    </xf>
    <xf numFmtId="1" fontId="32" fillId="5" borderId="1181" xfId="0" applyNumberFormat="1" applyFont="1" applyFill="1" applyBorder="1" applyProtection="1">
      <protection locked="0"/>
    </xf>
    <xf numFmtId="1" fontId="32" fillId="0" borderId="275" xfId="0" applyNumberFormat="1" applyFont="1" applyBorder="1" applyAlignment="1">
      <alignment horizontal="right"/>
    </xf>
    <xf numFmtId="1" fontId="32" fillId="0" borderId="284" xfId="0" applyNumberFormat="1" applyFont="1" applyBorder="1" applyAlignment="1">
      <alignment horizontal="right"/>
    </xf>
    <xf numFmtId="1" fontId="32" fillId="0" borderId="227" xfId="0" applyNumberFormat="1" applyFont="1" applyBorder="1" applyAlignment="1">
      <alignment horizontal="right"/>
    </xf>
    <xf numFmtId="1" fontId="32" fillId="0" borderId="225" xfId="0" applyNumberFormat="1" applyFont="1" applyBorder="1" applyAlignment="1">
      <alignment horizontal="right"/>
    </xf>
    <xf numFmtId="1" fontId="32" fillId="0" borderId="1175" xfId="0" applyNumberFormat="1" applyFont="1" applyBorder="1" applyAlignment="1">
      <alignment horizontal="right"/>
    </xf>
    <xf numFmtId="1" fontId="32" fillId="0" borderId="1176" xfId="0" applyNumberFormat="1" applyFont="1" applyBorder="1" applyAlignment="1">
      <alignment horizontal="right"/>
    </xf>
    <xf numFmtId="1" fontId="32" fillId="0" borderId="1138" xfId="0" applyNumberFormat="1" applyFont="1" applyBorder="1" applyAlignment="1">
      <alignment horizontal="right"/>
    </xf>
    <xf numFmtId="1" fontId="32" fillId="0" borderId="41" xfId="0" applyNumberFormat="1" applyFont="1" applyBorder="1" applyAlignment="1">
      <alignment horizontal="right"/>
    </xf>
    <xf numFmtId="1" fontId="32" fillId="0" borderId="63" xfId="0" applyNumberFormat="1" applyFont="1" applyBorder="1" applyAlignment="1">
      <alignment horizontal="right"/>
    </xf>
    <xf numFmtId="1" fontId="32" fillId="0" borderId="31" xfId="0" applyNumberFormat="1" applyFont="1" applyBorder="1" applyAlignment="1">
      <alignment horizontal="right"/>
    </xf>
    <xf numFmtId="1" fontId="32" fillId="0" borderId="142" xfId="0" applyNumberFormat="1" applyFont="1" applyBorder="1" applyAlignment="1">
      <alignment horizontal="right"/>
    </xf>
    <xf numFmtId="1" fontId="32" fillId="0" borderId="136" xfId="0" applyNumberFormat="1" applyFont="1" applyBorder="1" applyAlignment="1">
      <alignment horizontal="right"/>
    </xf>
    <xf numFmtId="1" fontId="32" fillId="0" borderId="1182" xfId="0" applyNumberFormat="1" applyFont="1" applyBorder="1" applyAlignment="1">
      <alignment horizontal="right"/>
    </xf>
    <xf numFmtId="1" fontId="32" fillId="0" borderId="376" xfId="0" applyNumberFormat="1" applyFont="1" applyBorder="1" applyAlignment="1">
      <alignment horizontal="right"/>
    </xf>
    <xf numFmtId="1" fontId="32" fillId="0" borderId="1069" xfId="0" applyNumberFormat="1" applyFont="1" applyBorder="1" applyAlignment="1">
      <alignment horizontal="right"/>
    </xf>
    <xf numFmtId="1" fontId="32" fillId="0" borderId="1068" xfId="0" applyNumberFormat="1" applyFont="1" applyBorder="1" applyAlignment="1">
      <alignment horizontal="right"/>
    </xf>
    <xf numFmtId="1" fontId="32" fillId="0" borderId="200" xfId="0" applyNumberFormat="1" applyFont="1" applyBorder="1"/>
    <xf numFmtId="1" fontId="76" fillId="0" borderId="196" xfId="0" applyNumberFormat="1" applyFont="1" applyBorder="1"/>
    <xf numFmtId="1" fontId="32" fillId="0" borderId="1158" xfId="0" applyNumberFormat="1" applyFont="1" applyBorder="1" applyAlignment="1">
      <alignment horizontal="center" vertical="center" wrapText="1"/>
    </xf>
    <xf numFmtId="1" fontId="32" fillId="0" borderId="2225" xfId="0" applyNumberFormat="1" applyFont="1" applyBorder="1"/>
    <xf numFmtId="1" fontId="32" fillId="5" borderId="1082" xfId="0" applyNumberFormat="1" applyFont="1" applyFill="1" applyBorder="1" applyProtection="1">
      <protection locked="0"/>
    </xf>
    <xf numFmtId="1" fontId="76" fillId="17" borderId="196" xfId="0" applyNumberFormat="1" applyFont="1" applyFill="1" applyBorder="1" applyProtection="1">
      <protection locked="0"/>
    </xf>
    <xf numFmtId="1" fontId="32" fillId="4" borderId="38" xfId="0" applyNumberFormat="1" applyFont="1" applyFill="1" applyBorder="1"/>
    <xf numFmtId="1" fontId="32" fillId="4" borderId="50" xfId="0" applyNumberFormat="1" applyFont="1" applyFill="1" applyBorder="1"/>
    <xf numFmtId="1" fontId="32" fillId="4" borderId="20" xfId="0" applyNumberFormat="1" applyFont="1" applyFill="1" applyBorder="1"/>
    <xf numFmtId="1" fontId="32" fillId="4" borderId="21" xfId="0" applyNumberFormat="1" applyFont="1" applyFill="1" applyBorder="1"/>
    <xf numFmtId="1" fontId="32" fillId="5" borderId="1120" xfId="0" applyNumberFormat="1" applyFont="1" applyFill="1" applyBorder="1" applyProtection="1">
      <protection locked="0"/>
    </xf>
    <xf numFmtId="1" fontId="32" fillId="0" borderId="1495" xfId="0" applyNumberFormat="1" applyFont="1" applyBorder="1"/>
    <xf numFmtId="1" fontId="32" fillId="0" borderId="105" xfId="0" applyNumberFormat="1" applyFont="1" applyBorder="1"/>
    <xf numFmtId="1" fontId="32" fillId="0" borderId="266" xfId="0" applyNumberFormat="1" applyFont="1" applyBorder="1"/>
    <xf numFmtId="1" fontId="32" fillId="0" borderId="262" xfId="0" applyNumberFormat="1" applyFont="1" applyBorder="1"/>
    <xf numFmtId="1" fontId="32" fillId="0" borderId="305" xfId="0" applyNumberFormat="1" applyFont="1" applyBorder="1"/>
    <xf numFmtId="1" fontId="32" fillId="0" borderId="258" xfId="0" applyNumberFormat="1" applyFont="1" applyBorder="1"/>
    <xf numFmtId="1" fontId="32" fillId="0" borderId="261" xfId="0" applyNumberFormat="1" applyFont="1" applyBorder="1"/>
    <xf numFmtId="1" fontId="32" fillId="0" borderId="256" xfId="0" applyNumberFormat="1" applyFont="1" applyBorder="1"/>
    <xf numFmtId="1" fontId="32" fillId="5" borderId="267" xfId="0" applyNumberFormat="1" applyFont="1" applyFill="1" applyBorder="1" applyProtection="1">
      <protection locked="0"/>
    </xf>
    <xf numFmtId="1" fontId="32" fillId="5" borderId="299" xfId="0" applyNumberFormat="1" applyFont="1" applyFill="1" applyBorder="1" applyProtection="1">
      <protection locked="0"/>
    </xf>
    <xf numFmtId="1" fontId="32" fillId="5" borderId="0" xfId="0" applyNumberFormat="1" applyFont="1" applyFill="1" applyProtection="1">
      <protection locked="0"/>
    </xf>
    <xf numFmtId="1" fontId="32" fillId="5" borderId="258" xfId="0" applyNumberFormat="1" applyFont="1" applyFill="1" applyBorder="1" applyProtection="1">
      <protection locked="0"/>
    </xf>
    <xf numFmtId="1" fontId="32" fillId="5" borderId="1145" xfId="0" applyNumberFormat="1" applyFont="1" applyFill="1" applyBorder="1" applyProtection="1">
      <protection locked="0"/>
    </xf>
    <xf numFmtId="1" fontId="32" fillId="5" borderId="430" xfId="0" applyNumberFormat="1" applyFont="1" applyFill="1" applyBorder="1" applyProtection="1">
      <protection locked="0"/>
    </xf>
    <xf numFmtId="1" fontId="32" fillId="5" borderId="256" xfId="0" applyNumberFormat="1" applyFont="1" applyFill="1" applyBorder="1" applyProtection="1">
      <protection locked="0"/>
    </xf>
    <xf numFmtId="1" fontId="32" fillId="14" borderId="296" xfId="0" applyNumberFormat="1" applyFont="1" applyFill="1" applyBorder="1"/>
    <xf numFmtId="1" fontId="32" fillId="0" borderId="296" xfId="0" applyNumberFormat="1" applyFont="1" applyBorder="1"/>
    <xf numFmtId="1" fontId="32" fillId="0" borderId="614" xfId="0" applyNumberFormat="1" applyFont="1" applyBorder="1" applyAlignment="1">
      <alignment horizontal="right" vertical="center" wrapText="1"/>
    </xf>
    <xf numFmtId="1" fontId="32" fillId="0" borderId="728" xfId="0" applyNumberFormat="1" applyFont="1" applyBorder="1" applyAlignment="1">
      <alignment horizontal="right"/>
    </xf>
    <xf numFmtId="1" fontId="32" fillId="5" borderId="1119" xfId="0" applyNumberFormat="1" applyFont="1" applyFill="1" applyBorder="1" applyProtection="1">
      <protection locked="0"/>
    </xf>
    <xf numFmtId="1" fontId="32" fillId="0" borderId="20" xfId="0" applyNumberFormat="1" applyFont="1" applyBorder="1" applyAlignment="1">
      <alignment horizontal="right"/>
    </xf>
    <xf numFmtId="1" fontId="32" fillId="0" borderId="45" xfId="0" applyNumberFormat="1" applyFont="1" applyBorder="1" applyAlignment="1">
      <alignment horizontal="right"/>
    </xf>
    <xf numFmtId="1" fontId="80" fillId="0" borderId="297" xfId="0" applyNumberFormat="1" applyFont="1" applyBorder="1"/>
    <xf numFmtId="1" fontId="80" fillId="0" borderId="296" xfId="0" applyNumberFormat="1" applyFont="1" applyBorder="1"/>
    <xf numFmtId="1" fontId="80" fillId="0" borderId="99" xfId="0" applyNumberFormat="1" applyFont="1" applyBorder="1"/>
    <xf numFmtId="1" fontId="80" fillId="0" borderId="77" xfId="0" applyNumberFormat="1" applyFont="1" applyBorder="1"/>
    <xf numFmtId="1" fontId="80" fillId="0" borderId="108" xfId="0" applyNumberFormat="1" applyFont="1" applyBorder="1"/>
    <xf numFmtId="1" fontId="64" fillId="14" borderId="77" xfId="0" applyNumberFormat="1" applyFont="1" applyFill="1" applyBorder="1"/>
    <xf numFmtId="1" fontId="32" fillId="0" borderId="431" xfId="0" applyNumberFormat="1" applyFont="1" applyBorder="1" applyAlignment="1">
      <alignment horizontal="center" vertical="center" wrapText="1"/>
    </xf>
    <xf numFmtId="1" fontId="32" fillId="0" borderId="432" xfId="0" applyNumberFormat="1" applyFont="1" applyBorder="1" applyAlignment="1">
      <alignment horizontal="center" vertical="center" wrapText="1"/>
    </xf>
    <xf numFmtId="1" fontId="32" fillId="0" borderId="275" xfId="0" applyNumberFormat="1" applyFont="1" applyBorder="1" applyAlignment="1">
      <alignment wrapText="1"/>
    </xf>
    <xf numFmtId="1" fontId="32" fillId="0" borderId="284" xfId="0" applyNumberFormat="1" applyFont="1" applyBorder="1" applyAlignment="1">
      <alignment wrapText="1"/>
    </xf>
    <xf numFmtId="1" fontId="32" fillId="5" borderId="68" xfId="0" applyNumberFormat="1" applyFont="1" applyFill="1" applyBorder="1" applyProtection="1">
      <protection locked="0"/>
    </xf>
    <xf numFmtId="1" fontId="32" fillId="5" borderId="295" xfId="0" applyNumberFormat="1" applyFont="1" applyFill="1" applyBorder="1" applyProtection="1">
      <protection locked="0"/>
    </xf>
    <xf numFmtId="1" fontId="32" fillId="5" borderId="9" xfId="0" applyNumberFormat="1" applyFont="1" applyFill="1" applyBorder="1" applyProtection="1">
      <protection locked="0"/>
    </xf>
    <xf numFmtId="1" fontId="32" fillId="5" borderId="2212" xfId="0" applyNumberFormat="1" applyFont="1" applyFill="1" applyBorder="1" applyProtection="1">
      <protection locked="0"/>
    </xf>
    <xf numFmtId="1" fontId="32" fillId="12" borderId="224" xfId="0" applyNumberFormat="1" applyFont="1" applyFill="1" applyBorder="1" applyAlignment="1">
      <alignment horizontal="center"/>
    </xf>
    <xf numFmtId="1" fontId="32" fillId="12" borderId="225" xfId="0" applyNumberFormat="1" applyFont="1" applyFill="1" applyBorder="1" applyAlignment="1">
      <alignment horizontal="center"/>
    </xf>
    <xf numFmtId="1" fontId="32" fillId="0" borderId="268" xfId="0" applyNumberFormat="1" applyFont="1" applyBorder="1" applyAlignment="1">
      <alignment wrapText="1"/>
    </xf>
    <xf numFmtId="1" fontId="32" fillId="0" borderId="270" xfId="0" applyNumberFormat="1" applyFont="1" applyBorder="1" applyAlignment="1">
      <alignment wrapText="1"/>
    </xf>
    <xf numFmtId="1" fontId="32" fillId="0" borderId="273" xfId="0" applyNumberFormat="1" applyFont="1" applyBorder="1" applyAlignment="1">
      <alignment wrapText="1"/>
    </xf>
    <xf numFmtId="1" fontId="32" fillId="5" borderId="293" xfId="0" applyNumberFormat="1" applyFont="1" applyFill="1" applyBorder="1" applyProtection="1">
      <protection locked="0"/>
    </xf>
    <xf numFmtId="1" fontId="32" fillId="5" borderId="2219" xfId="0" applyNumberFormat="1" applyFont="1" applyFill="1" applyBorder="1" applyProtection="1">
      <protection locked="0"/>
    </xf>
    <xf numFmtId="1" fontId="32" fillId="0" borderId="21" xfId="0" applyNumberFormat="1" applyFont="1" applyBorder="1" applyAlignment="1">
      <alignment wrapText="1"/>
    </xf>
    <xf numFmtId="1" fontId="32" fillId="0" borderId="142" xfId="0" applyNumberFormat="1" applyFont="1" applyBorder="1" applyAlignment="1">
      <alignment wrapText="1"/>
    </xf>
    <xf numFmtId="1" fontId="32" fillId="0" borderId="136" xfId="0" applyNumberFormat="1" applyFont="1" applyBorder="1" applyAlignment="1">
      <alignment wrapText="1"/>
    </xf>
    <xf numFmtId="1" fontId="32" fillId="0" borderId="177" xfId="0" applyNumberFormat="1" applyFont="1" applyBorder="1" applyAlignment="1">
      <alignment wrapText="1"/>
    </xf>
    <xf numFmtId="1" fontId="32" fillId="5" borderId="175" xfId="0" applyNumberFormat="1" applyFont="1" applyFill="1" applyBorder="1" applyProtection="1">
      <protection locked="0"/>
    </xf>
    <xf numFmtId="1" fontId="32" fillId="5" borderId="82" xfId="0" applyNumberFormat="1" applyFont="1" applyFill="1" applyBorder="1" applyProtection="1">
      <protection locked="0"/>
    </xf>
    <xf numFmtId="1" fontId="32" fillId="5" borderId="363" xfId="0" applyNumberFormat="1" applyFont="1" applyFill="1" applyBorder="1" applyProtection="1">
      <protection locked="0"/>
    </xf>
    <xf numFmtId="1" fontId="32" fillId="0" borderId="227" xfId="0" applyNumberFormat="1" applyFont="1" applyBorder="1" applyAlignment="1">
      <alignment wrapText="1"/>
    </xf>
    <xf numFmtId="1" fontId="32" fillId="5" borderId="225" xfId="0" applyNumberFormat="1" applyFont="1" applyFill="1" applyBorder="1" applyProtection="1">
      <protection locked="0"/>
    </xf>
    <xf numFmtId="1" fontId="32" fillId="0" borderId="33" xfId="0" applyNumberFormat="1" applyFont="1" applyBorder="1" applyAlignment="1">
      <alignment wrapText="1"/>
    </xf>
    <xf numFmtId="1" fontId="32" fillId="0" borderId="65" xfId="0" applyNumberFormat="1" applyFont="1" applyBorder="1" applyAlignment="1">
      <alignment wrapText="1"/>
    </xf>
    <xf numFmtId="1" fontId="32" fillId="5" borderId="33" xfId="0" applyNumberFormat="1" applyFont="1" applyFill="1" applyBorder="1" applyProtection="1">
      <protection locked="0"/>
    </xf>
    <xf numFmtId="1" fontId="65" fillId="0" borderId="224" xfId="0" applyNumberFormat="1" applyFont="1" applyBorder="1"/>
    <xf numFmtId="1" fontId="65" fillId="0" borderId="225" xfId="0" applyNumberFormat="1" applyFont="1" applyBorder="1"/>
    <xf numFmtId="1" fontId="32" fillId="0" borderId="31" xfId="0" applyNumberFormat="1" applyFont="1" applyBorder="1" applyAlignment="1">
      <alignment wrapText="1"/>
    </xf>
    <xf numFmtId="1" fontId="32" fillId="0" borderId="41" xfId="0" applyNumberFormat="1" applyFont="1" applyBorder="1" applyAlignment="1">
      <alignment wrapText="1"/>
    </xf>
    <xf numFmtId="1" fontId="32" fillId="0" borderId="63" xfId="0" applyNumberFormat="1" applyFont="1" applyBorder="1" applyAlignment="1">
      <alignment wrapText="1"/>
    </xf>
    <xf numFmtId="1" fontId="32" fillId="5" borderId="81" xfId="0" applyNumberFormat="1" applyFont="1" applyFill="1" applyBorder="1" applyProtection="1">
      <protection locked="0"/>
    </xf>
    <xf numFmtId="1" fontId="32" fillId="0" borderId="50" xfId="0" applyNumberFormat="1" applyFont="1" applyBorder="1" applyAlignment="1">
      <alignment wrapText="1"/>
    </xf>
    <xf numFmtId="1" fontId="32" fillId="0" borderId="38" xfId="0" applyNumberFormat="1" applyFont="1" applyBorder="1" applyAlignment="1">
      <alignment wrapText="1"/>
    </xf>
    <xf numFmtId="1" fontId="32" fillId="0" borderId="62" xfId="0" applyNumberFormat="1" applyFont="1" applyBorder="1" applyAlignment="1">
      <alignment wrapText="1"/>
    </xf>
    <xf numFmtId="1" fontId="32" fillId="0" borderId="72" xfId="0" applyNumberFormat="1" applyFont="1" applyBorder="1" applyAlignment="1">
      <alignment wrapText="1"/>
    </xf>
    <xf numFmtId="1" fontId="32" fillId="5" borderId="80" xfId="0" applyNumberFormat="1" applyFont="1" applyFill="1" applyBorder="1" applyProtection="1">
      <protection locked="0"/>
    </xf>
    <xf numFmtId="1" fontId="32" fillId="0" borderId="69" xfId="0" applyNumberFormat="1" applyFont="1" applyBorder="1" applyAlignment="1">
      <alignment wrapText="1"/>
    </xf>
    <xf numFmtId="1" fontId="32" fillId="4" borderId="65" xfId="0" applyNumberFormat="1" applyFont="1" applyFill="1" applyBorder="1"/>
    <xf numFmtId="1" fontId="32" fillId="4" borderId="585" xfId="0" applyNumberFormat="1" applyFont="1" applyFill="1" applyBorder="1"/>
    <xf numFmtId="1" fontId="32" fillId="4" borderId="591" xfId="0" applyNumberFormat="1" applyFont="1" applyFill="1" applyBorder="1"/>
    <xf numFmtId="1" fontId="32" fillId="5" borderId="596" xfId="0" applyNumberFormat="1" applyFont="1" applyFill="1" applyBorder="1" applyProtection="1">
      <protection locked="0"/>
    </xf>
    <xf numFmtId="1" fontId="32" fillId="5" borderId="561" xfId="0" applyNumberFormat="1" applyFont="1" applyFill="1" applyBorder="1" applyProtection="1">
      <protection locked="0"/>
    </xf>
    <xf numFmtId="1" fontId="32" fillId="5" borderId="624" xfId="0" applyNumberFormat="1" applyFont="1" applyFill="1" applyBorder="1" applyProtection="1">
      <protection locked="0"/>
    </xf>
    <xf numFmtId="1" fontId="32" fillId="0" borderId="71" xfId="6" applyNumberFormat="1" applyFont="1" applyBorder="1" applyAlignment="1">
      <alignment wrapText="1"/>
    </xf>
    <xf numFmtId="1" fontId="32" fillId="0" borderId="69" xfId="6" applyNumberFormat="1" applyFont="1" applyBorder="1" applyAlignment="1">
      <alignment wrapText="1"/>
    </xf>
    <xf numFmtId="1" fontId="32" fillId="0" borderId="285" xfId="6" applyNumberFormat="1" applyFont="1" applyBorder="1" applyAlignment="1">
      <alignment wrapText="1"/>
    </xf>
    <xf numFmtId="1" fontId="32" fillId="0" borderId="30" xfId="0" applyNumberFormat="1" applyFont="1" applyBorder="1" applyAlignment="1">
      <alignment wrapText="1"/>
    </xf>
    <xf numFmtId="1" fontId="32" fillId="0" borderId="272" xfId="0" applyNumberFormat="1" applyFont="1" applyBorder="1" applyAlignment="1">
      <alignment wrapText="1"/>
    </xf>
    <xf numFmtId="1" fontId="32" fillId="5" borderId="2164" xfId="0" applyNumberFormat="1" applyFont="1" applyFill="1" applyBorder="1" applyProtection="1">
      <protection locked="0"/>
    </xf>
    <xf numFmtId="1" fontId="32" fillId="0" borderId="1142" xfId="0" applyNumberFormat="1" applyFont="1" applyBorder="1" applyAlignment="1">
      <alignment wrapText="1"/>
    </xf>
    <xf numFmtId="1" fontId="32" fillId="0" borderId="1141" xfId="0" applyNumberFormat="1" applyFont="1" applyBorder="1" applyAlignment="1">
      <alignment wrapText="1"/>
    </xf>
    <xf numFmtId="1" fontId="32" fillId="0" borderId="1181" xfId="0" applyNumberFormat="1" applyFont="1" applyBorder="1" applyAlignment="1">
      <alignment wrapText="1"/>
    </xf>
    <xf numFmtId="1" fontId="32" fillId="0" borderId="20" xfId="0" applyNumberFormat="1" applyFont="1" applyBorder="1" applyAlignment="1">
      <alignment wrapText="1"/>
    </xf>
    <xf numFmtId="1" fontId="32" fillId="0" borderId="45" xfId="0" applyNumberFormat="1" applyFont="1" applyBorder="1" applyAlignment="1">
      <alignment wrapText="1"/>
    </xf>
    <xf numFmtId="1" fontId="32" fillId="5" borderId="70" xfId="0" applyNumberFormat="1" applyFont="1" applyFill="1" applyBorder="1" applyProtection="1">
      <protection locked="0"/>
    </xf>
    <xf numFmtId="1" fontId="32" fillId="0" borderId="703" xfId="0" applyNumberFormat="1" applyFont="1" applyBorder="1" applyAlignment="1">
      <alignment wrapText="1"/>
    </xf>
    <xf numFmtId="1" fontId="32" fillId="5" borderId="84" xfId="0" applyNumberFormat="1" applyFont="1" applyFill="1" applyBorder="1" applyProtection="1">
      <protection locked="0"/>
    </xf>
    <xf numFmtId="1" fontId="32" fillId="0" borderId="51" xfId="0" applyNumberFormat="1" applyFont="1" applyBorder="1" applyAlignment="1">
      <alignment wrapText="1"/>
    </xf>
    <xf numFmtId="1" fontId="32" fillId="0" borderId="175" xfId="0" applyNumberFormat="1" applyFont="1" applyBorder="1" applyAlignment="1">
      <alignment wrapText="1"/>
    </xf>
    <xf numFmtId="1" fontId="32" fillId="5" borderId="94" xfId="0" applyNumberFormat="1" applyFont="1" applyFill="1" applyBorder="1" applyProtection="1">
      <protection locked="0"/>
    </xf>
    <xf numFmtId="1" fontId="32" fillId="0" borderId="70" xfId="0" applyNumberFormat="1" applyFont="1" applyBorder="1" applyAlignment="1">
      <alignment wrapText="1"/>
    </xf>
    <xf numFmtId="1" fontId="32" fillId="5" borderId="1916" xfId="0" applyNumberFormat="1" applyFont="1" applyFill="1" applyBorder="1" applyProtection="1">
      <protection locked="0"/>
    </xf>
    <xf numFmtId="1" fontId="32" fillId="5" borderId="1917" xfId="0" applyNumberFormat="1" applyFont="1" applyFill="1" applyBorder="1" applyProtection="1">
      <protection locked="0"/>
    </xf>
    <xf numFmtId="1" fontId="32" fillId="5" borderId="1918" xfId="0" applyNumberFormat="1" applyFont="1" applyFill="1" applyBorder="1" applyProtection="1">
      <protection locked="0"/>
    </xf>
    <xf numFmtId="1" fontId="32" fillId="5" borderId="2209" xfId="0" applyNumberFormat="1" applyFont="1" applyFill="1" applyBorder="1" applyProtection="1">
      <protection locked="0"/>
    </xf>
    <xf numFmtId="1" fontId="32" fillId="0" borderId="560" xfId="0" applyNumberFormat="1" applyFont="1" applyBorder="1" applyAlignment="1">
      <alignment wrapText="1"/>
    </xf>
    <xf numFmtId="1" fontId="32" fillId="0" borderId="559" xfId="0" applyNumberFormat="1" applyFont="1" applyBorder="1" applyAlignment="1">
      <alignment wrapText="1"/>
    </xf>
    <xf numFmtId="1" fontId="32" fillId="5" borderId="697" xfId="0" applyNumberFormat="1" applyFont="1" applyFill="1" applyBorder="1" applyProtection="1">
      <protection locked="0"/>
    </xf>
    <xf numFmtId="1" fontId="32" fillId="5" borderId="763" xfId="0" applyNumberFormat="1" applyFont="1" applyFill="1" applyBorder="1" applyProtection="1">
      <protection locked="0"/>
    </xf>
    <xf numFmtId="1" fontId="32" fillId="0" borderId="644" xfId="0" applyNumberFormat="1" applyFont="1" applyBorder="1" applyAlignment="1">
      <alignment wrapText="1"/>
    </xf>
    <xf numFmtId="1" fontId="32" fillId="0" borderId="645" xfId="0" applyNumberFormat="1" applyFont="1" applyBorder="1" applyAlignment="1">
      <alignment wrapText="1"/>
    </xf>
    <xf numFmtId="1" fontId="32" fillId="0" borderId="652" xfId="0" applyNumberFormat="1" applyFont="1" applyBorder="1" applyAlignment="1">
      <alignment wrapText="1"/>
    </xf>
    <xf numFmtId="1" fontId="32" fillId="5" borderId="133" xfId="0" applyNumberFormat="1" applyFont="1" applyFill="1" applyBorder="1" applyProtection="1">
      <protection locked="0"/>
    </xf>
    <xf numFmtId="1" fontId="32" fillId="5" borderId="428" xfId="0" applyNumberFormat="1" applyFont="1" applyFill="1" applyBorder="1" applyProtection="1">
      <protection locked="0"/>
    </xf>
    <xf numFmtId="1" fontId="32" fillId="0" borderId="585" xfId="0" applyNumberFormat="1" applyFont="1" applyBorder="1" applyAlignment="1">
      <alignment wrapText="1"/>
    </xf>
    <xf numFmtId="1" fontId="32" fillId="0" borderId="586" xfId="0" applyNumberFormat="1" applyFont="1" applyBorder="1" applyAlignment="1">
      <alignment wrapText="1"/>
    </xf>
    <xf numFmtId="1" fontId="32" fillId="0" borderId="588" xfId="0" applyNumberFormat="1" applyFont="1" applyBorder="1" applyAlignment="1">
      <alignment wrapText="1"/>
    </xf>
    <xf numFmtId="1" fontId="32" fillId="0" borderId="558" xfId="0" applyNumberFormat="1" applyFont="1" applyBorder="1" applyAlignment="1">
      <alignment wrapText="1"/>
    </xf>
    <xf numFmtId="1" fontId="32" fillId="0" borderId="579" xfId="0" applyNumberFormat="1" applyFont="1" applyBorder="1" applyAlignment="1">
      <alignment wrapText="1"/>
    </xf>
    <xf numFmtId="1" fontId="32" fillId="0" borderId="580" xfId="0" applyNumberFormat="1" applyFont="1" applyBorder="1" applyAlignment="1">
      <alignment wrapText="1"/>
    </xf>
    <xf numFmtId="1" fontId="32" fillId="0" borderId="581" xfId="0" applyNumberFormat="1" applyFont="1" applyBorder="1" applyAlignment="1">
      <alignment wrapText="1"/>
    </xf>
    <xf numFmtId="1" fontId="32" fillId="0" borderId="401" xfId="0" applyNumberFormat="1" applyFont="1" applyBorder="1" applyAlignment="1">
      <alignment wrapText="1"/>
    </xf>
    <xf numFmtId="1" fontId="32" fillId="0" borderId="375" xfId="0" applyNumberFormat="1" applyFont="1" applyBorder="1" applyAlignment="1">
      <alignment wrapText="1"/>
    </xf>
    <xf numFmtId="1" fontId="32" fillId="0" borderId="510" xfId="0" applyNumberFormat="1" applyFont="1" applyBorder="1" applyAlignment="1">
      <alignment wrapText="1"/>
    </xf>
    <xf numFmtId="1" fontId="32" fillId="15" borderId="86" xfId="0" applyNumberFormat="1" applyFont="1" applyFill="1" applyBorder="1" applyProtection="1">
      <protection locked="0"/>
    </xf>
    <xf numFmtId="1" fontId="32" fillId="15" borderId="24" xfId="0" applyNumberFormat="1" applyFont="1" applyFill="1" applyBorder="1" applyProtection="1">
      <protection locked="0"/>
    </xf>
    <xf numFmtId="1" fontId="32" fillId="0" borderId="230" xfId="0" applyNumberFormat="1" applyFont="1" applyBorder="1" applyAlignment="1">
      <alignment horizontal="center" vertical="center"/>
    </xf>
    <xf numFmtId="1" fontId="32" fillId="0" borderId="1920" xfId="0" applyNumberFormat="1" applyFont="1" applyBorder="1" applyAlignment="1">
      <alignment horizontal="center" vertical="center" wrapText="1"/>
    </xf>
    <xf numFmtId="1" fontId="32" fillId="0" borderId="1898" xfId="0" applyNumberFormat="1" applyFont="1" applyBorder="1" applyAlignment="1">
      <alignment horizontal="center" vertical="center" wrapText="1"/>
    </xf>
    <xf numFmtId="1" fontId="32" fillId="0" borderId="1899" xfId="0" applyNumberFormat="1" applyFont="1" applyBorder="1" applyAlignment="1">
      <alignment horizontal="center" vertical="center" wrapText="1"/>
    </xf>
    <xf numFmtId="1" fontId="32" fillId="5" borderId="145" xfId="0" applyNumberFormat="1" applyFont="1" applyFill="1" applyBorder="1" applyProtection="1">
      <protection locked="0"/>
    </xf>
    <xf numFmtId="1" fontId="32" fillId="5" borderId="144" xfId="0" applyNumberFormat="1" applyFont="1" applyFill="1" applyBorder="1" applyProtection="1">
      <protection locked="0"/>
    </xf>
    <xf numFmtId="1" fontId="32" fillId="12" borderId="241" xfId="0" applyNumberFormat="1" applyFont="1" applyFill="1" applyBorder="1"/>
    <xf numFmtId="1" fontId="32" fillId="12" borderId="239" xfId="0" applyNumberFormat="1" applyFont="1" applyFill="1" applyBorder="1"/>
    <xf numFmtId="1" fontId="32" fillId="0" borderId="269" xfId="0" applyNumberFormat="1" applyFont="1" applyBorder="1" applyAlignment="1">
      <alignment wrapText="1"/>
    </xf>
    <xf numFmtId="1" fontId="32" fillId="5" borderId="289" xfId="0" applyNumberFormat="1" applyFont="1" applyFill="1" applyBorder="1" applyProtection="1">
      <protection locked="0"/>
    </xf>
    <xf numFmtId="1" fontId="32" fillId="5" borderId="102" xfId="0" applyNumberFormat="1" applyFont="1" applyFill="1" applyBorder="1" applyProtection="1">
      <protection locked="0"/>
    </xf>
    <xf numFmtId="1" fontId="32" fillId="0" borderId="230" xfId="0" applyNumberFormat="1" applyFont="1" applyBorder="1" applyAlignment="1">
      <alignment wrapText="1"/>
    </xf>
    <xf numFmtId="1" fontId="32" fillId="5" borderId="291" xfId="0" applyNumberFormat="1" applyFont="1" applyFill="1" applyBorder="1" applyProtection="1">
      <protection locked="0"/>
    </xf>
    <xf numFmtId="1" fontId="32" fillId="5" borderId="230" xfId="0" applyNumberFormat="1" applyFont="1" applyFill="1" applyBorder="1" applyProtection="1">
      <protection locked="0"/>
    </xf>
    <xf numFmtId="1" fontId="32" fillId="5" borderId="104" xfId="0" applyNumberFormat="1" applyFont="1" applyFill="1" applyBorder="1" applyProtection="1">
      <protection locked="0"/>
    </xf>
    <xf numFmtId="1" fontId="32" fillId="5" borderId="64" xfId="0" applyNumberFormat="1" applyFont="1" applyFill="1" applyBorder="1" applyProtection="1">
      <protection locked="0"/>
    </xf>
    <xf numFmtId="1" fontId="32" fillId="5" borderId="100" xfId="0" applyNumberFormat="1" applyFont="1" applyFill="1" applyBorder="1" applyProtection="1">
      <protection locked="0"/>
    </xf>
    <xf numFmtId="1" fontId="32" fillId="5" borderId="55" xfId="0" applyNumberFormat="1" applyFont="1" applyFill="1" applyBorder="1" applyProtection="1">
      <protection locked="0"/>
    </xf>
    <xf numFmtId="1" fontId="32" fillId="0" borderId="59" xfId="0" applyNumberFormat="1" applyFont="1" applyBorder="1" applyAlignment="1">
      <alignment wrapText="1"/>
    </xf>
    <xf numFmtId="1" fontId="32" fillId="4" borderId="62" xfId="0" applyNumberFormat="1" applyFont="1" applyFill="1" applyBorder="1"/>
    <xf numFmtId="1" fontId="32" fillId="12" borderId="0" xfId="0" applyNumberFormat="1" applyFont="1" applyFill="1"/>
    <xf numFmtId="1" fontId="32" fillId="0" borderId="37" xfId="6" applyNumberFormat="1" applyFont="1" applyBorder="1" applyAlignment="1">
      <alignment wrapText="1"/>
    </xf>
    <xf numFmtId="1" fontId="32" fillId="0" borderId="29" xfId="6" applyNumberFormat="1" applyFont="1" applyBorder="1" applyAlignment="1">
      <alignment wrapText="1"/>
    </xf>
    <xf numFmtId="1" fontId="32" fillId="5" borderId="745" xfId="0" applyNumberFormat="1" applyFont="1" applyFill="1" applyBorder="1" applyProtection="1">
      <protection locked="0"/>
    </xf>
    <xf numFmtId="1" fontId="32" fillId="0" borderId="286" xfId="0" applyNumberFormat="1" applyFont="1" applyBorder="1" applyAlignment="1">
      <alignment wrapText="1"/>
    </xf>
    <xf numFmtId="1" fontId="32" fillId="0" borderId="23" xfId="0" applyNumberFormat="1" applyFont="1" applyBorder="1" applyAlignment="1">
      <alignment wrapText="1"/>
    </xf>
    <xf numFmtId="1" fontId="32" fillId="0" borderId="2209" xfId="0" applyNumberFormat="1" applyFont="1" applyBorder="1" applyAlignment="1">
      <alignment wrapText="1"/>
    </xf>
    <xf numFmtId="1" fontId="32" fillId="0" borderId="2205" xfId="0" applyNumberFormat="1" applyFont="1" applyBorder="1" applyAlignment="1">
      <alignment wrapText="1"/>
    </xf>
    <xf numFmtId="1" fontId="32" fillId="0" borderId="2219" xfId="0" applyNumberFormat="1" applyFont="1" applyBorder="1" applyAlignment="1">
      <alignment wrapText="1"/>
    </xf>
    <xf numFmtId="1" fontId="32" fillId="5" borderId="1921" xfId="0" applyNumberFormat="1" applyFont="1" applyFill="1" applyBorder="1" applyProtection="1">
      <protection locked="0"/>
    </xf>
    <xf numFmtId="1" fontId="32" fillId="5" borderId="1922" xfId="0" applyNumberFormat="1" applyFont="1" applyFill="1" applyBorder="1" applyProtection="1">
      <protection locked="0"/>
    </xf>
    <xf numFmtId="1" fontId="32" fillId="5" borderId="1923" xfId="0" applyNumberFormat="1" applyFont="1" applyFill="1" applyBorder="1" applyProtection="1">
      <protection locked="0"/>
    </xf>
    <xf numFmtId="1" fontId="32" fillId="0" borderId="808" xfId="0" applyNumberFormat="1" applyFont="1" applyBorder="1" applyAlignment="1">
      <alignment wrapText="1"/>
    </xf>
    <xf numFmtId="1" fontId="32" fillId="0" borderId="708" xfId="0" applyNumberFormat="1" applyFont="1" applyBorder="1" applyAlignment="1">
      <alignment wrapText="1"/>
    </xf>
    <xf numFmtId="1" fontId="32" fillId="0" borderId="812" xfId="0" applyNumberFormat="1" applyFont="1" applyBorder="1" applyAlignment="1">
      <alignment wrapText="1"/>
    </xf>
    <xf numFmtId="1" fontId="32" fillId="5" borderId="2243" xfId="0" applyNumberFormat="1" applyFont="1" applyFill="1" applyBorder="1" applyProtection="1">
      <protection locked="0"/>
    </xf>
    <xf numFmtId="1" fontId="32" fillId="5" borderId="2244" xfId="0" applyNumberFormat="1" applyFont="1" applyFill="1" applyBorder="1" applyProtection="1">
      <protection locked="0"/>
    </xf>
    <xf numFmtId="1" fontId="32" fillId="5" borderId="2245" xfId="0" applyNumberFormat="1" applyFont="1" applyFill="1" applyBorder="1" applyProtection="1">
      <protection locked="0"/>
    </xf>
    <xf numFmtId="1" fontId="32" fillId="0" borderId="675" xfId="0" applyNumberFormat="1" applyFont="1" applyBorder="1" applyAlignment="1">
      <alignment wrapText="1"/>
    </xf>
    <xf numFmtId="1" fontId="32" fillId="0" borderId="677" xfId="0" applyNumberFormat="1" applyFont="1" applyBorder="1" applyAlignment="1">
      <alignment wrapText="1"/>
    </xf>
    <xf numFmtId="1" fontId="32" fillId="0" borderId="674" xfId="0" applyNumberFormat="1" applyFont="1" applyBorder="1" applyAlignment="1">
      <alignment wrapText="1"/>
    </xf>
    <xf numFmtId="1" fontId="32" fillId="5" borderId="679" xfId="0" applyNumberFormat="1" applyFont="1" applyFill="1" applyBorder="1" applyProtection="1">
      <protection locked="0"/>
    </xf>
    <xf numFmtId="1" fontId="32" fillId="15" borderId="21" xfId="0" applyNumberFormat="1" applyFont="1" applyFill="1" applyBorder="1" applyProtection="1">
      <protection locked="0"/>
    </xf>
    <xf numFmtId="1" fontId="32" fillId="0" borderId="221" xfId="0" applyNumberFormat="1" applyFont="1" applyBorder="1" applyAlignment="1" applyProtection="1">
      <alignment horizontal="center" vertical="center" wrapText="1"/>
      <protection hidden="1"/>
    </xf>
    <xf numFmtId="1" fontId="32" fillId="0" borderId="237" xfId="0" applyNumberFormat="1" applyFont="1" applyBorder="1" applyAlignment="1" applyProtection="1">
      <alignment horizontal="center" vertical="center" wrapText="1"/>
      <protection hidden="1"/>
    </xf>
    <xf numFmtId="1" fontId="32" fillId="0" borderId="926" xfId="0" applyNumberFormat="1" applyFont="1" applyBorder="1" applyAlignment="1" applyProtection="1">
      <alignment horizontal="center" vertical="center"/>
      <protection hidden="1"/>
    </xf>
    <xf numFmtId="1" fontId="32" fillId="0" borderId="887" xfId="0" applyNumberFormat="1" applyFont="1" applyBorder="1" applyAlignment="1" applyProtection="1">
      <alignment horizontal="center" vertical="center"/>
      <protection hidden="1"/>
    </xf>
    <xf numFmtId="1" fontId="32" fillId="0" borderId="940" xfId="0" applyNumberFormat="1" applyFont="1" applyBorder="1" applyAlignment="1" applyProtection="1">
      <alignment horizontal="center" vertical="center"/>
      <protection hidden="1"/>
    </xf>
    <xf numFmtId="1" fontId="32" fillId="0" borderId="944" xfId="0" applyNumberFormat="1" applyFont="1" applyBorder="1" applyAlignment="1" applyProtection="1">
      <alignment horizontal="center" vertical="center"/>
      <protection hidden="1"/>
    </xf>
    <xf numFmtId="1" fontId="32" fillId="0" borderId="872" xfId="0" applyNumberFormat="1" applyFont="1" applyBorder="1" applyAlignment="1" applyProtection="1">
      <alignment horizontal="center" vertical="center"/>
      <protection hidden="1"/>
    </xf>
    <xf numFmtId="1" fontId="32" fillId="0" borderId="223" xfId="0" applyNumberFormat="1" applyFont="1" applyBorder="1" applyAlignment="1" applyProtection="1">
      <alignment wrapText="1"/>
      <protection hidden="1"/>
    </xf>
    <xf numFmtId="1" fontId="32" fillId="0" borderId="237" xfId="0" applyNumberFormat="1" applyFont="1" applyBorder="1" applyAlignment="1">
      <alignment horizontal="right" wrapText="1"/>
    </xf>
    <xf numFmtId="1" fontId="32" fillId="5" borderId="932" xfId="0" applyNumberFormat="1" applyFont="1" applyFill="1" applyBorder="1" applyProtection="1">
      <protection locked="0"/>
    </xf>
    <xf numFmtId="1" fontId="32" fillId="14" borderId="0" xfId="0" applyNumberFormat="1" applyFont="1" applyFill="1" applyAlignment="1" applyProtection="1">
      <alignment vertical="top" wrapText="1"/>
      <protection locked="0"/>
    </xf>
    <xf numFmtId="1" fontId="32" fillId="0" borderId="9" xfId="0" applyNumberFormat="1" applyFont="1" applyBorder="1" applyAlignment="1" applyProtection="1">
      <alignment wrapText="1"/>
      <protection hidden="1"/>
    </xf>
    <xf numFmtId="1" fontId="32" fillId="0" borderId="33" xfId="0" applyNumberFormat="1" applyFont="1" applyBorder="1" applyAlignment="1">
      <alignment horizontal="right" wrapText="1"/>
    </xf>
    <xf numFmtId="1" fontId="32" fillId="0" borderId="65" xfId="0" applyNumberFormat="1" applyFont="1" applyBorder="1" applyAlignment="1">
      <alignment horizontal="right" wrapText="1"/>
    </xf>
    <xf numFmtId="1" fontId="32" fillId="0" borderId="254" xfId="0" applyNumberFormat="1" applyFont="1" applyBorder="1"/>
    <xf numFmtId="1" fontId="32" fillId="14" borderId="254" xfId="0" applyNumberFormat="1" applyFont="1" applyFill="1" applyBorder="1"/>
    <xf numFmtId="1" fontId="32" fillId="0" borderId="283" xfId="0" applyNumberFormat="1" applyFont="1" applyBorder="1" applyAlignment="1">
      <alignment horizontal="center" vertical="center" wrapText="1"/>
    </xf>
    <xf numFmtId="1" fontId="32" fillId="0" borderId="274" xfId="0" applyNumberFormat="1" applyFont="1" applyBorder="1" applyAlignment="1">
      <alignment wrapText="1"/>
    </xf>
    <xf numFmtId="1" fontId="32" fillId="0" borderId="283" xfId="0" applyNumberFormat="1" applyFont="1" applyBorder="1" applyAlignment="1">
      <alignment wrapText="1"/>
    </xf>
    <xf numFmtId="1" fontId="32" fillId="0" borderId="225" xfId="0" applyNumberFormat="1" applyFont="1" applyBorder="1" applyAlignment="1">
      <alignment wrapText="1"/>
    </xf>
    <xf numFmtId="1" fontId="32" fillId="0" borderId="963" xfId="0" applyNumberFormat="1" applyFont="1" applyBorder="1"/>
    <xf numFmtId="1" fontId="32" fillId="0" borderId="51" xfId="0" applyNumberFormat="1" applyFont="1" applyBorder="1"/>
    <xf numFmtId="1" fontId="32" fillId="0" borderId="23" xfId="0" applyNumberFormat="1" applyFont="1" applyBorder="1"/>
    <xf numFmtId="1" fontId="32" fillId="2" borderId="279" xfId="15" applyNumberFormat="1" applyFont="1" applyBorder="1" applyProtection="1">
      <protection locked="0"/>
    </xf>
    <xf numFmtId="1" fontId="32" fillId="2" borderId="278" xfId="15" applyNumberFormat="1" applyFont="1" applyBorder="1" applyProtection="1">
      <protection locked="0"/>
    </xf>
    <xf numFmtId="1" fontId="32" fillId="2" borderId="277" xfId="15" applyNumberFormat="1" applyFont="1" applyBorder="1" applyProtection="1">
      <protection locked="0"/>
    </xf>
    <xf numFmtId="1" fontId="32" fillId="5" borderId="42" xfId="0" applyNumberFormat="1" applyFont="1" applyFill="1" applyBorder="1" applyProtection="1">
      <protection locked="0"/>
    </xf>
    <xf numFmtId="1" fontId="32" fillId="2" borderId="281" xfId="15" applyNumberFormat="1" applyFont="1" applyBorder="1" applyProtection="1">
      <protection locked="0"/>
    </xf>
    <xf numFmtId="1" fontId="32" fillId="2" borderId="280" xfId="15" applyNumberFormat="1" applyFont="1" applyBorder="1" applyProtection="1">
      <protection locked="0"/>
    </xf>
    <xf numFmtId="1" fontId="32" fillId="2" borderId="276" xfId="15" applyNumberFormat="1" applyFont="1" applyBorder="1" applyProtection="1">
      <protection locked="0"/>
    </xf>
    <xf numFmtId="1" fontId="32" fillId="0" borderId="638" xfId="0" applyNumberFormat="1" applyFont="1" applyBorder="1" applyAlignment="1">
      <alignment horizontal="center" vertical="center" wrapText="1"/>
    </xf>
    <xf numFmtId="1" fontId="32" fillId="0" borderId="658" xfId="0" applyNumberFormat="1" applyFont="1" applyBorder="1" applyAlignment="1">
      <alignment horizontal="center" vertical="center" wrapText="1"/>
    </xf>
    <xf numFmtId="1" fontId="32" fillId="0" borderId="491" xfId="0" applyNumberFormat="1" applyFont="1" applyBorder="1" applyAlignment="1">
      <alignment horizontal="center" vertical="center"/>
    </xf>
    <xf numFmtId="1" fontId="32" fillId="0" borderId="790" xfId="0" applyNumberFormat="1" applyFont="1" applyBorder="1" applyAlignment="1">
      <alignment horizontal="center" vertical="center" wrapText="1"/>
    </xf>
    <xf numFmtId="1" fontId="32" fillId="0" borderId="2375" xfId="0" applyNumberFormat="1" applyFont="1" applyBorder="1" applyAlignment="1">
      <alignment horizontal="center" vertical="center" wrapText="1"/>
    </xf>
    <xf numFmtId="1" fontId="32" fillId="0" borderId="2376" xfId="0" applyNumberFormat="1" applyFont="1" applyBorder="1" applyAlignment="1">
      <alignment horizontal="center" vertical="center" wrapText="1"/>
    </xf>
    <xf numFmtId="1" fontId="32" fillId="0" borderId="2383" xfId="0" applyNumberFormat="1" applyFont="1" applyBorder="1" applyAlignment="1">
      <alignment horizontal="center" vertical="center" wrapText="1"/>
    </xf>
    <xf numFmtId="1" fontId="32" fillId="0" borderId="2384" xfId="0" applyNumberFormat="1" applyFont="1" applyBorder="1" applyAlignment="1">
      <alignment horizontal="center" vertical="center" wrapText="1"/>
    </xf>
    <xf numFmtId="1" fontId="32" fillId="0" borderId="646" xfId="0" applyNumberFormat="1" applyFont="1" applyBorder="1" applyAlignment="1">
      <alignment wrapText="1"/>
    </xf>
    <xf numFmtId="1" fontId="32" fillId="0" borderId="614" xfId="0" applyNumberFormat="1" applyFont="1" applyBorder="1"/>
    <xf numFmtId="1" fontId="32" fillId="12" borderId="645" xfId="0" applyNumberFormat="1" applyFont="1" applyFill="1" applyBorder="1"/>
    <xf numFmtId="1" fontId="32" fillId="0" borderId="646" xfId="0" applyNumberFormat="1" applyFont="1" applyBorder="1"/>
    <xf numFmtId="1" fontId="32" fillId="12" borderId="783" xfId="0" applyNumberFormat="1" applyFont="1" applyFill="1" applyBorder="1"/>
    <xf numFmtId="1" fontId="32" fillId="12" borderId="2377" xfId="0" applyNumberFormat="1" applyFont="1" applyFill="1" applyBorder="1"/>
    <xf numFmtId="1" fontId="32" fillId="12" borderId="2378" xfId="0" applyNumberFormat="1" applyFont="1" applyFill="1" applyBorder="1"/>
    <xf numFmtId="1" fontId="32" fillId="5" borderId="2371" xfId="0" applyNumberFormat="1" applyFont="1" applyFill="1" applyBorder="1" applyProtection="1">
      <protection locked="0"/>
    </xf>
    <xf numFmtId="1" fontId="32" fillId="5" borderId="646" xfId="0" applyNumberFormat="1" applyFont="1" applyFill="1" applyBorder="1" applyProtection="1">
      <protection locked="0"/>
    </xf>
    <xf numFmtId="1" fontId="32" fillId="5" borderId="643" xfId="0" applyNumberFormat="1" applyFont="1" applyFill="1" applyBorder="1" applyProtection="1">
      <protection locked="0"/>
    </xf>
    <xf numFmtId="1" fontId="32" fillId="5" borderId="735" xfId="0" applyNumberFormat="1" applyFont="1" applyFill="1" applyBorder="1" applyProtection="1">
      <protection locked="0"/>
    </xf>
    <xf numFmtId="1" fontId="32" fillId="5" borderId="789" xfId="0" applyNumberFormat="1" applyFont="1" applyFill="1" applyBorder="1" applyProtection="1">
      <protection locked="0"/>
    </xf>
    <xf numFmtId="1" fontId="32" fillId="5" borderId="734" xfId="0" applyNumberFormat="1" applyFont="1" applyFill="1" applyBorder="1" applyProtection="1">
      <protection locked="0"/>
    </xf>
    <xf numFmtId="1" fontId="32" fillId="5" borderId="733" xfId="0" applyNumberFormat="1" applyFont="1" applyFill="1" applyBorder="1" applyProtection="1">
      <protection locked="0"/>
    </xf>
    <xf numFmtId="1" fontId="32" fillId="5" borderId="2375" xfId="0" applyNumberFormat="1" applyFont="1" applyFill="1" applyBorder="1" applyProtection="1">
      <protection locked="0"/>
    </xf>
    <xf numFmtId="1" fontId="32" fillId="5" borderId="2374" xfId="0" applyNumberFormat="1" applyFont="1" applyFill="1" applyBorder="1" applyProtection="1">
      <protection locked="0"/>
    </xf>
    <xf numFmtId="1" fontId="32" fillId="5" borderId="2372" xfId="0" applyNumberFormat="1" applyFont="1" applyFill="1" applyBorder="1" applyProtection="1">
      <protection locked="0"/>
    </xf>
    <xf numFmtId="1" fontId="32" fillId="5" borderId="639" xfId="0" applyNumberFormat="1" applyFont="1" applyFill="1" applyBorder="1" applyProtection="1">
      <protection locked="0"/>
    </xf>
    <xf numFmtId="1" fontId="32" fillId="5" borderId="647" xfId="0" applyNumberFormat="1" applyFont="1" applyFill="1" applyBorder="1" applyProtection="1">
      <protection locked="0"/>
    </xf>
    <xf numFmtId="1" fontId="32" fillId="0" borderId="2375" xfId="0" applyNumberFormat="1" applyFont="1" applyBorder="1"/>
    <xf numFmtId="1" fontId="32" fillId="0" borderId="2380" xfId="0" applyNumberFormat="1" applyFont="1" applyBorder="1"/>
    <xf numFmtId="1" fontId="32" fillId="0" borderId="2381" xfId="0" applyNumberFormat="1" applyFont="1" applyBorder="1"/>
    <xf numFmtId="1" fontId="32" fillId="5" borderId="2381" xfId="0" applyNumberFormat="1" applyFont="1" applyFill="1" applyBorder="1" applyProtection="1">
      <protection locked="0"/>
    </xf>
    <xf numFmtId="1" fontId="32" fillId="5" borderId="2387" xfId="0" applyNumberFormat="1" applyFont="1" applyFill="1" applyBorder="1" applyProtection="1">
      <protection locked="0"/>
    </xf>
    <xf numFmtId="1" fontId="32" fillId="5" borderId="2379" xfId="0" applyNumberFormat="1" applyFont="1" applyFill="1" applyBorder="1" applyProtection="1">
      <protection locked="0"/>
    </xf>
    <xf numFmtId="1" fontId="32" fillId="0" borderId="1836" xfId="0" applyNumberFormat="1" applyFont="1" applyBorder="1"/>
    <xf numFmtId="1" fontId="32" fillId="0" borderId="1500" xfId="0" applyNumberFormat="1" applyFont="1" applyBorder="1"/>
    <xf numFmtId="1" fontId="32" fillId="4" borderId="1834" xfId="0" applyNumberFormat="1" applyFont="1" applyFill="1" applyBorder="1"/>
    <xf numFmtId="1" fontId="32" fillId="0" borderId="1640" xfId="0" applyNumberFormat="1" applyFont="1" applyBorder="1" applyAlignment="1">
      <alignment wrapText="1"/>
    </xf>
    <xf numFmtId="1" fontId="32" fillId="0" borderId="1044" xfId="0" applyNumberFormat="1" applyFont="1" applyBorder="1"/>
    <xf numFmtId="1" fontId="32" fillId="0" borderId="590" xfId="0" applyNumberFormat="1" applyFont="1" applyBorder="1" applyAlignment="1">
      <alignment wrapText="1"/>
    </xf>
    <xf numFmtId="1" fontId="32" fillId="5" borderId="696" xfId="0" applyNumberFormat="1" applyFont="1" applyFill="1" applyBorder="1" applyProtection="1">
      <protection locked="0"/>
    </xf>
    <xf numFmtId="1" fontId="32" fillId="5" borderId="1511" xfId="0" applyNumberFormat="1" applyFont="1" applyFill="1" applyBorder="1" applyProtection="1">
      <protection locked="0"/>
    </xf>
    <xf numFmtId="1" fontId="32" fillId="0" borderId="682" xfId="0" applyNumberFormat="1" applyFont="1" applyBorder="1" applyAlignment="1">
      <alignment wrapText="1"/>
    </xf>
    <xf numFmtId="1" fontId="32" fillId="0" borderId="537" xfId="0" applyNumberFormat="1" applyFont="1" applyBorder="1" applyAlignment="1">
      <alignment wrapText="1"/>
    </xf>
    <xf numFmtId="1" fontId="32" fillId="5" borderId="1691" xfId="0" applyNumberFormat="1" applyFont="1" applyFill="1" applyBorder="1" applyProtection="1">
      <protection locked="0"/>
    </xf>
    <xf numFmtId="1" fontId="32" fillId="5" borderId="374" xfId="0" applyNumberFormat="1" applyFont="1" applyFill="1" applyBorder="1" applyProtection="1">
      <protection locked="0"/>
    </xf>
    <xf numFmtId="1" fontId="32" fillId="5" borderId="378" xfId="0" applyNumberFormat="1" applyFont="1" applyFill="1" applyBorder="1" applyProtection="1">
      <protection locked="0"/>
    </xf>
    <xf numFmtId="1" fontId="32" fillId="5" borderId="432" xfId="0" applyNumberFormat="1" applyFont="1" applyFill="1" applyBorder="1" applyProtection="1">
      <protection locked="0"/>
    </xf>
    <xf numFmtId="1" fontId="32" fillId="5" borderId="537" xfId="0" applyNumberFormat="1" applyFont="1" applyFill="1" applyBorder="1" applyProtection="1">
      <protection locked="0"/>
    </xf>
    <xf numFmtId="1" fontId="32" fillId="14" borderId="255" xfId="0" applyNumberFormat="1" applyFont="1" applyFill="1" applyBorder="1"/>
    <xf numFmtId="1" fontId="32" fillId="0" borderId="228" xfId="0" applyNumberFormat="1" applyFont="1" applyBorder="1" applyAlignment="1">
      <alignment horizontal="center" vertical="center" wrapText="1"/>
    </xf>
    <xf numFmtId="1" fontId="32" fillId="0" borderId="229" xfId="0" applyNumberFormat="1" applyFont="1" applyBorder="1" applyAlignment="1">
      <alignment horizontal="center" vertical="center" wrapText="1"/>
    </xf>
    <xf numFmtId="1" fontId="32" fillId="0" borderId="203" xfId="0" applyNumberFormat="1" applyFont="1" applyBorder="1" applyAlignment="1">
      <alignment horizontal="center" vertical="center" wrapText="1"/>
    </xf>
    <xf numFmtId="1" fontId="32" fillId="0" borderId="214" xfId="0" applyNumberFormat="1" applyFont="1" applyBorder="1" applyAlignment="1">
      <alignment horizontal="center" vertical="center" wrapText="1"/>
    </xf>
    <xf numFmtId="1" fontId="32" fillId="0" borderId="230" xfId="0" applyNumberFormat="1" applyFont="1" applyBorder="1" applyAlignment="1">
      <alignment horizontal="center" vertical="center" wrapText="1"/>
    </xf>
    <xf numFmtId="1" fontId="32" fillId="0" borderId="2381" xfId="0" applyNumberFormat="1" applyFont="1" applyBorder="1" applyAlignment="1">
      <alignment wrapText="1"/>
    </xf>
    <xf numFmtId="1" fontId="64" fillId="0" borderId="253" xfId="0" applyNumberFormat="1" applyFont="1" applyBorder="1"/>
    <xf numFmtId="1" fontId="76" fillId="0" borderId="252" xfId="0" applyNumberFormat="1" applyFont="1" applyBorder="1"/>
    <xf numFmtId="1" fontId="76" fillId="3" borderId="252" xfId="0" applyNumberFormat="1" applyFont="1" applyFill="1" applyBorder="1"/>
    <xf numFmtId="1" fontId="32" fillId="3" borderId="1202" xfId="0" applyNumberFormat="1" applyFont="1" applyFill="1" applyBorder="1" applyProtection="1">
      <protection hidden="1"/>
    </xf>
    <xf numFmtId="1" fontId="32" fillId="0" borderId="9" xfId="0" applyNumberFormat="1" applyFont="1" applyBorder="1" applyAlignment="1">
      <alignment horizontal="center" vertical="center"/>
    </xf>
    <xf numFmtId="1" fontId="32" fillId="0" borderId="144" xfId="0" applyNumberFormat="1" applyFont="1" applyBorder="1" applyAlignment="1">
      <alignment horizontal="center" vertical="center"/>
    </xf>
    <xf numFmtId="1" fontId="32" fillId="0" borderId="1196" xfId="0" applyNumberFormat="1" applyFont="1" applyBorder="1" applyAlignment="1">
      <alignment horizontal="center" vertical="center" wrapText="1"/>
    </xf>
    <xf numFmtId="1" fontId="32" fillId="0" borderId="1093" xfId="0" applyNumberFormat="1" applyFont="1" applyBorder="1" applyAlignment="1">
      <alignment horizontal="center" vertical="center" wrapText="1"/>
    </xf>
    <xf numFmtId="1" fontId="32" fillId="3" borderId="2204" xfId="0" applyNumberFormat="1" applyFont="1" applyFill="1" applyBorder="1" applyAlignment="1">
      <alignment horizontal="center" vertical="center"/>
    </xf>
    <xf numFmtId="1" fontId="32" fillId="0" borderId="231" xfId="0" applyNumberFormat="1" applyFont="1" applyBorder="1" applyAlignment="1">
      <alignment wrapText="1"/>
    </xf>
    <xf numFmtId="1" fontId="32" fillId="0" borderId="232" xfId="0" applyNumberFormat="1" applyFont="1" applyBorder="1" applyAlignment="1">
      <alignment horizontal="right" wrapText="1"/>
    </xf>
    <xf numFmtId="1" fontId="32" fillId="0" borderId="233" xfId="0" applyNumberFormat="1" applyFont="1" applyBorder="1" applyAlignment="1">
      <alignment horizontal="right"/>
    </xf>
    <xf numFmtId="1" fontId="32" fillId="5" borderId="1169" xfId="0" applyNumberFormat="1" applyFont="1" applyFill="1" applyBorder="1" applyProtection="1">
      <protection locked="0"/>
    </xf>
    <xf numFmtId="1" fontId="32" fillId="5" borderId="1183" xfId="0" applyNumberFormat="1" applyFont="1" applyFill="1" applyBorder="1" applyProtection="1">
      <protection locked="0"/>
    </xf>
    <xf numFmtId="1" fontId="32" fillId="0" borderId="236" xfId="0" applyNumberFormat="1" applyFont="1" applyBorder="1" applyAlignment="1">
      <alignment wrapText="1"/>
    </xf>
    <xf numFmtId="1" fontId="32" fillId="0" borderId="144" xfId="0" applyNumberFormat="1" applyFont="1" applyBorder="1" applyAlignment="1">
      <alignment horizontal="right" wrapText="1"/>
    </xf>
    <xf numFmtId="1" fontId="32" fillId="5" borderId="1078" xfId="0" applyNumberFormat="1" applyFont="1" applyFill="1" applyBorder="1" applyProtection="1">
      <protection locked="0"/>
    </xf>
    <xf numFmtId="1" fontId="32" fillId="5" borderId="1079" xfId="0" applyNumberFormat="1" applyFont="1" applyFill="1" applyBorder="1" applyProtection="1">
      <protection locked="0"/>
    </xf>
    <xf numFmtId="1" fontId="32" fillId="0" borderId="248" xfId="0" applyNumberFormat="1" applyFont="1" applyBorder="1" applyAlignment="1">
      <alignment horizontal="center" vertical="center"/>
    </xf>
    <xf numFmtId="1" fontId="32" fillId="0" borderId="231" xfId="0" applyNumberFormat="1" applyFont="1" applyBorder="1"/>
    <xf numFmtId="1" fontId="32" fillId="0" borderId="2337" xfId="0" applyNumberFormat="1" applyFont="1" applyBorder="1" applyAlignment="1">
      <alignment horizontal="right" wrapText="1"/>
    </xf>
    <xf numFmtId="1" fontId="32" fillId="5" borderId="44" xfId="0" applyNumberFormat="1" applyFont="1" applyFill="1" applyBorder="1" applyProtection="1">
      <protection locked="0"/>
    </xf>
    <xf numFmtId="1" fontId="32" fillId="5" borderId="18" xfId="0" applyNumberFormat="1" applyFont="1" applyFill="1" applyBorder="1" applyProtection="1">
      <protection locked="0"/>
    </xf>
    <xf numFmtId="1" fontId="32" fillId="0" borderId="1497" xfId="0" applyNumberFormat="1" applyFont="1" applyBorder="1" applyAlignment="1">
      <alignment horizontal="right" wrapText="1"/>
    </xf>
    <xf numFmtId="1" fontId="32" fillId="5" borderId="580" xfId="0" applyNumberFormat="1" applyFont="1" applyFill="1" applyBorder="1" applyProtection="1">
      <protection locked="0"/>
    </xf>
    <xf numFmtId="1" fontId="32" fillId="5" borderId="581" xfId="0" applyNumberFormat="1" applyFont="1" applyFill="1" applyBorder="1" applyProtection="1">
      <protection locked="0"/>
    </xf>
    <xf numFmtId="1" fontId="32" fillId="5" borderId="726" xfId="0" applyNumberFormat="1" applyFont="1" applyFill="1" applyBorder="1" applyProtection="1">
      <protection locked="0"/>
    </xf>
    <xf numFmtId="1" fontId="32" fillId="0" borderId="1497" xfId="0" applyNumberFormat="1" applyFont="1" applyBorder="1"/>
    <xf numFmtId="1" fontId="32" fillId="0" borderId="1520" xfId="0" applyNumberFormat="1" applyFont="1" applyBorder="1"/>
    <xf numFmtId="1" fontId="32" fillId="0" borderId="1838" xfId="0" applyNumberFormat="1" applyFont="1" applyBorder="1" applyAlignment="1">
      <alignment horizontal="right" wrapText="1"/>
    </xf>
    <xf numFmtId="1" fontId="32" fillId="5" borderId="1534" xfId="0" applyNumberFormat="1" applyFont="1" applyFill="1" applyBorder="1" applyProtection="1">
      <protection locked="0"/>
    </xf>
    <xf numFmtId="1" fontId="32" fillId="5" borderId="1478" xfId="0" applyNumberFormat="1" applyFont="1" applyFill="1" applyBorder="1" applyProtection="1">
      <protection locked="0"/>
    </xf>
    <xf numFmtId="1" fontId="32" fillId="5" borderId="1538" xfId="0" applyNumberFormat="1" applyFont="1" applyFill="1" applyBorder="1" applyProtection="1">
      <protection locked="0"/>
    </xf>
    <xf numFmtId="1" fontId="32" fillId="5" borderId="1524" xfId="0" applyNumberFormat="1" applyFont="1" applyFill="1" applyBorder="1" applyProtection="1">
      <protection locked="0"/>
    </xf>
    <xf numFmtId="1" fontId="76" fillId="41" borderId="0" xfId="0" applyNumberFormat="1" applyFont="1" applyFill="1" applyProtection="1">
      <protection locked="0"/>
    </xf>
    <xf numFmtId="1" fontId="6" fillId="3" borderId="1836" xfId="14" applyNumberFormat="1" applyFont="1" applyFill="1" applyBorder="1" applyAlignment="1">
      <alignment horizontal="right"/>
    </xf>
    <xf numFmtId="1" fontId="6" fillId="3" borderId="1500" xfId="14" applyNumberFormat="1" applyFont="1" applyFill="1" applyBorder="1" applyAlignment="1">
      <alignment horizontal="right"/>
    </xf>
    <xf numFmtId="1" fontId="6" fillId="3" borderId="1837" xfId="14" applyNumberFormat="1" applyFont="1" applyFill="1" applyBorder="1" applyAlignment="1">
      <alignment horizontal="right"/>
    </xf>
    <xf numFmtId="1" fontId="6" fillId="5" borderId="2391" xfId="0" applyNumberFormat="1" applyFont="1" applyFill="1" applyBorder="1" applyProtection="1">
      <protection locked="0"/>
    </xf>
    <xf numFmtId="1" fontId="6" fillId="0" borderId="2382" xfId="0" applyNumberFormat="1" applyFont="1" applyBorder="1" applyAlignment="1">
      <alignment horizontal="center" vertical="center" wrapText="1"/>
    </xf>
    <xf numFmtId="1" fontId="6" fillId="0" borderId="2381" xfId="0" applyNumberFormat="1" applyFont="1" applyBorder="1" applyAlignment="1">
      <alignment horizontal="center" vertical="center" wrapText="1"/>
    </xf>
    <xf numFmtId="1" fontId="32" fillId="0" borderId="2245" xfId="0" applyNumberFormat="1" applyFont="1" applyBorder="1" applyAlignment="1">
      <alignment wrapText="1"/>
    </xf>
    <xf numFmtId="1" fontId="32" fillId="0" borderId="1650" xfId="0" applyNumberFormat="1" applyFont="1" applyBorder="1" applyAlignment="1">
      <alignment wrapText="1"/>
    </xf>
    <xf numFmtId="1" fontId="32" fillId="0" borderId="1044" xfId="0" applyNumberFormat="1" applyFont="1" applyBorder="1" applyAlignment="1">
      <alignment wrapText="1"/>
    </xf>
    <xf numFmtId="1" fontId="32" fillId="0" borderId="2377" xfId="0" applyNumberFormat="1" applyFont="1" applyBorder="1" applyAlignment="1">
      <alignment wrapText="1"/>
    </xf>
    <xf numFmtId="1" fontId="32" fillId="0" borderId="2348" xfId="0" applyNumberFormat="1" applyFont="1" applyBorder="1" applyAlignment="1">
      <alignment wrapText="1"/>
    </xf>
    <xf numFmtId="1" fontId="32" fillId="0" borderId="2366" xfId="0" applyNumberFormat="1" applyFont="1" applyBorder="1" applyAlignment="1">
      <alignment wrapText="1"/>
    </xf>
    <xf numFmtId="1" fontId="32" fillId="0" borderId="1500" xfId="0" applyNumberFormat="1" applyFont="1" applyBorder="1" applyAlignment="1">
      <alignment wrapText="1"/>
    </xf>
    <xf numFmtId="1" fontId="32" fillId="0" borderId="2245" xfId="0" applyNumberFormat="1" applyFont="1" applyBorder="1"/>
    <xf numFmtId="1" fontId="32" fillId="0" borderId="1827" xfId="0" applyNumberFormat="1" applyFont="1" applyBorder="1" applyAlignment="1">
      <alignment horizontal="right" wrapText="1"/>
    </xf>
    <xf numFmtId="1" fontId="32" fillId="0" borderId="2244" xfId="0" applyNumberFormat="1" applyFont="1" applyBorder="1" applyAlignment="1">
      <alignment horizontal="right" wrapText="1"/>
    </xf>
    <xf numFmtId="1" fontId="32" fillId="0" borderId="2392" xfId="0" applyNumberFormat="1" applyFont="1" applyBorder="1" applyAlignment="1">
      <alignment horizontal="right" wrapText="1"/>
    </xf>
    <xf numFmtId="0" fontId="32" fillId="14" borderId="909" xfId="0" applyFont="1" applyFill="1" applyBorder="1" applyAlignment="1" applyProtection="1">
      <alignment horizontal="center" vertical="center" wrapText="1"/>
      <protection locked="0"/>
    </xf>
    <xf numFmtId="0" fontId="32" fillId="14" borderId="941" xfId="0" applyFont="1" applyFill="1" applyBorder="1" applyAlignment="1" applyProtection="1">
      <alignment horizontal="center" wrapText="1"/>
      <protection locked="0"/>
    </xf>
    <xf numFmtId="0" fontId="32" fillId="14" borderId="911" xfId="0" applyFont="1" applyFill="1" applyBorder="1" applyAlignment="1" applyProtection="1">
      <alignment horizontal="center" vertical="center" wrapText="1"/>
      <protection locked="0"/>
    </xf>
    <xf numFmtId="0" fontId="32" fillId="14" borderId="941" xfId="0" applyFont="1" applyFill="1" applyBorder="1" applyAlignment="1" applyProtection="1">
      <alignment horizontal="center" vertical="center" wrapText="1"/>
      <protection locked="0"/>
    </xf>
    <xf numFmtId="1" fontId="32" fillId="0" borderId="922" xfId="0" applyNumberFormat="1" applyFont="1" applyBorder="1" applyAlignment="1">
      <alignment horizontal="right" vertical="center" wrapText="1"/>
    </xf>
    <xf numFmtId="1" fontId="32" fillId="0" borderId="880" xfId="0" applyNumberFormat="1" applyFont="1" applyBorder="1" applyAlignment="1">
      <alignment horizontal="right" vertical="center" wrapText="1"/>
    </xf>
    <xf numFmtId="0" fontId="32" fillId="14" borderId="909" xfId="0" applyFont="1" applyFill="1" applyBorder="1" applyAlignment="1" applyProtection="1">
      <alignment horizontal="center" wrapText="1"/>
      <protection locked="0"/>
    </xf>
    <xf numFmtId="0" fontId="32" fillId="14" borderId="947" xfId="0" applyFont="1" applyFill="1" applyBorder="1" applyAlignment="1" applyProtection="1">
      <alignment horizontal="center" vertical="center" wrapText="1"/>
      <protection locked="0"/>
    </xf>
    <xf numFmtId="0" fontId="32" fillId="14" borderId="912" xfId="0" applyFont="1" applyFill="1" applyBorder="1" applyAlignment="1" applyProtection="1">
      <alignment horizontal="center" vertical="center" wrapText="1"/>
      <protection locked="0"/>
    </xf>
    <xf numFmtId="0" fontId="32" fillId="0" borderId="1513" xfId="0" applyFont="1" applyBorder="1" applyAlignment="1">
      <alignment horizontal="center" vertical="center"/>
    </xf>
    <xf numFmtId="0" fontId="32" fillId="0" borderId="1526" xfId="0" applyFont="1" applyBorder="1" applyAlignment="1">
      <alignment horizontal="center" vertical="center" wrapText="1"/>
    </xf>
    <xf numFmtId="0" fontId="32" fillId="0" borderId="1519" xfId="0" applyFont="1" applyBorder="1" applyAlignment="1">
      <alignment horizontal="center" vertical="center" wrapText="1"/>
    </xf>
    <xf numFmtId="1" fontId="32" fillId="0" borderId="1269" xfId="0" applyNumberFormat="1" applyFont="1" applyBorder="1" applyAlignment="1">
      <alignment horizontal="left" vertical="center" wrapText="1"/>
    </xf>
    <xf numFmtId="0" fontId="32" fillId="0" borderId="1521" xfId="0" applyFont="1" applyBorder="1" applyAlignment="1">
      <alignment horizontal="right" vertical="center"/>
    </xf>
    <xf numFmtId="0" fontId="32" fillId="15" borderId="1533" xfId="0" applyFont="1" applyFill="1" applyBorder="1" applyAlignment="1" applyProtection="1">
      <alignment horizontal="justify" vertical="center"/>
      <protection locked="0"/>
    </xf>
    <xf numFmtId="0" fontId="32" fillId="15" borderId="1515" xfId="0" applyFont="1" applyFill="1" applyBorder="1" applyAlignment="1" applyProtection="1">
      <alignment horizontal="justify" vertical="center"/>
      <protection locked="0"/>
    </xf>
    <xf numFmtId="0" fontId="32" fillId="0" borderId="1520" xfId="0" applyFont="1" applyBorder="1" applyAlignment="1">
      <alignment horizontal="right" vertical="center"/>
    </xf>
    <xf numFmtId="0" fontId="32" fillId="15" borderId="1534" xfId="0" applyFont="1" applyFill="1" applyBorder="1" applyAlignment="1" applyProtection="1">
      <alignment horizontal="justify" vertical="center"/>
      <protection locked="0"/>
    </xf>
    <xf numFmtId="0" fontId="32" fillId="15" borderId="1548" xfId="0" applyFont="1" applyFill="1" applyBorder="1" applyAlignment="1" applyProtection="1">
      <alignment horizontal="justify" vertical="center"/>
      <protection locked="0"/>
    </xf>
    <xf numFmtId="1" fontId="6" fillId="5" borderId="2390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393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509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2260" xfId="0" applyNumberFormat="1" applyFont="1" applyFill="1" applyBorder="1" applyAlignment="1" applyProtection="1">
      <alignment horizontal="center" vertical="center" wrapText="1"/>
      <protection locked="0"/>
    </xf>
    <xf numFmtId="1" fontId="6" fillId="12" borderId="2392" xfId="0" applyNumberFormat="1" applyFont="1" applyFill="1" applyBorder="1"/>
    <xf numFmtId="1" fontId="6" fillId="12" borderId="2394" xfId="0" applyNumberFormat="1" applyFont="1" applyFill="1" applyBorder="1"/>
    <xf numFmtId="0" fontId="6" fillId="0" borderId="1554" xfId="0" applyFont="1" applyBorder="1" applyAlignment="1">
      <alignment horizontal="center" wrapText="1"/>
    </xf>
    <xf numFmtId="1" fontId="32" fillId="0" borderId="1808" xfId="0" applyNumberFormat="1" applyFont="1" applyBorder="1" applyAlignment="1">
      <alignment horizontal="center" vertical="center" wrapText="1"/>
    </xf>
    <xf numFmtId="1" fontId="32" fillId="0" borderId="1700" xfId="0" applyNumberFormat="1" applyFont="1" applyBorder="1" applyAlignment="1">
      <alignment horizontal="center" vertical="center" wrapText="1"/>
    </xf>
    <xf numFmtId="1" fontId="32" fillId="0" borderId="1802" xfId="0" applyNumberFormat="1" applyFont="1" applyBorder="1" applyAlignment="1">
      <alignment horizontal="left" vertical="center" wrapText="1"/>
    </xf>
    <xf numFmtId="1" fontId="32" fillId="0" borderId="1615" xfId="0" applyNumberFormat="1" applyFont="1" applyBorder="1"/>
    <xf numFmtId="1" fontId="32" fillId="5" borderId="1699" xfId="0" applyNumberFormat="1" applyFont="1" applyFill="1" applyBorder="1" applyProtection="1">
      <protection locked="0"/>
    </xf>
    <xf numFmtId="1" fontId="32" fillId="5" borderId="1808" xfId="0" applyNumberFormat="1" applyFont="1" applyFill="1" applyBorder="1" applyProtection="1">
      <protection locked="0"/>
    </xf>
    <xf numFmtId="1" fontId="32" fillId="5" borderId="1700" xfId="0" applyNumberFormat="1" applyFont="1" applyFill="1" applyBorder="1" applyProtection="1">
      <protection locked="0"/>
    </xf>
    <xf numFmtId="1" fontId="32" fillId="5" borderId="1569" xfId="0" applyNumberFormat="1" applyFont="1" applyFill="1" applyBorder="1" applyProtection="1">
      <protection locked="0"/>
    </xf>
    <xf numFmtId="1" fontId="32" fillId="5" borderId="1615" xfId="0" applyNumberFormat="1" applyFont="1" applyFill="1" applyBorder="1" applyProtection="1">
      <protection locked="0"/>
    </xf>
    <xf numFmtId="1" fontId="32" fillId="5" borderId="1148" xfId="0" applyNumberFormat="1" applyFont="1" applyFill="1" applyBorder="1" applyProtection="1">
      <protection locked="0"/>
    </xf>
    <xf numFmtId="1" fontId="32" fillId="0" borderId="1685" xfId="0" applyNumberFormat="1" applyFont="1" applyBorder="1" applyAlignment="1">
      <alignment horizontal="left" vertical="center" wrapText="1"/>
    </xf>
    <xf numFmtId="1" fontId="32" fillId="0" borderId="1685" xfId="0" applyNumberFormat="1" applyFont="1" applyBorder="1"/>
    <xf numFmtId="1" fontId="32" fillId="5" borderId="1809" xfId="0" applyNumberFormat="1" applyFont="1" applyFill="1" applyBorder="1" applyProtection="1">
      <protection locked="0"/>
    </xf>
    <xf numFmtId="1" fontId="32" fillId="5" borderId="1694" xfId="0" applyNumberFormat="1" applyFont="1" applyFill="1" applyBorder="1" applyProtection="1">
      <protection locked="0"/>
    </xf>
    <xf numFmtId="1" fontId="32" fillId="5" borderId="1737" xfId="0" applyNumberFormat="1" applyFont="1" applyFill="1" applyBorder="1" applyProtection="1">
      <protection locked="0"/>
    </xf>
    <xf numFmtId="1" fontId="32" fillId="0" borderId="1802" xfId="0" applyNumberFormat="1" applyFont="1" applyBorder="1"/>
    <xf numFmtId="1" fontId="32" fillId="5" borderId="1698" xfId="0" applyNumberFormat="1" applyFont="1" applyFill="1" applyBorder="1" applyProtection="1">
      <protection locked="0"/>
    </xf>
    <xf numFmtId="1" fontId="32" fillId="5" borderId="1028" xfId="0" applyNumberFormat="1" applyFont="1" applyFill="1" applyBorder="1" applyProtection="1">
      <protection locked="0"/>
    </xf>
    <xf numFmtId="1" fontId="32" fillId="5" borderId="1025" xfId="0" applyNumberFormat="1" applyFont="1" applyFill="1" applyBorder="1" applyProtection="1">
      <protection locked="0"/>
    </xf>
    <xf numFmtId="1" fontId="32" fillId="5" borderId="1592" xfId="0" applyNumberFormat="1" applyFont="1" applyFill="1" applyBorder="1" applyProtection="1">
      <protection locked="0"/>
    </xf>
    <xf numFmtId="1" fontId="32" fillId="5" borderId="1241" xfId="0" applyNumberFormat="1" applyFont="1" applyFill="1" applyBorder="1" applyProtection="1">
      <protection locked="0"/>
    </xf>
    <xf numFmtId="1" fontId="32" fillId="0" borderId="1647" xfId="0" applyNumberFormat="1" applyFont="1" applyBorder="1" applyAlignment="1" applyProtection="1">
      <alignment vertical="center" wrapText="1"/>
      <protection hidden="1"/>
    </xf>
    <xf numFmtId="1" fontId="32" fillId="5" borderId="1817" xfId="0" applyNumberFormat="1" applyFont="1" applyFill="1" applyBorder="1" applyAlignment="1" applyProtection="1">
      <alignment horizontal="right" wrapText="1"/>
      <protection locked="0"/>
    </xf>
    <xf numFmtId="1" fontId="32" fillId="5" borderId="1818" xfId="0" applyNumberFormat="1" applyFont="1" applyFill="1" applyBorder="1" applyAlignment="1" applyProtection="1">
      <alignment horizontal="right"/>
      <protection locked="0"/>
    </xf>
    <xf numFmtId="1" fontId="32" fillId="5" borderId="1610" xfId="0" applyNumberFormat="1" applyFont="1" applyFill="1" applyBorder="1" applyAlignment="1" applyProtection="1">
      <alignment horizontal="right"/>
      <protection locked="0"/>
    </xf>
    <xf numFmtId="1" fontId="32" fillId="0" borderId="1675" xfId="0" applyNumberFormat="1" applyFont="1" applyBorder="1" applyAlignment="1" applyProtection="1">
      <alignment vertical="center" wrapText="1"/>
      <protection hidden="1"/>
    </xf>
    <xf numFmtId="1" fontId="32" fillId="5" borderId="1675" xfId="0" applyNumberFormat="1" applyFont="1" applyFill="1" applyBorder="1" applyAlignment="1" applyProtection="1">
      <alignment horizontal="right" wrapText="1"/>
      <protection locked="0"/>
    </xf>
    <xf numFmtId="1" fontId="32" fillId="3" borderId="1675" xfId="0" applyNumberFormat="1" applyFont="1" applyFill="1" applyBorder="1" applyAlignment="1" applyProtection="1">
      <alignment vertical="center" wrapText="1"/>
      <protection hidden="1"/>
    </xf>
    <xf numFmtId="1" fontId="32" fillId="5" borderId="1659" xfId="0" applyNumberFormat="1" applyFont="1" applyFill="1" applyBorder="1" applyAlignment="1" applyProtection="1">
      <alignment horizontal="right" wrapText="1"/>
      <protection locked="0"/>
    </xf>
    <xf numFmtId="1" fontId="32" fillId="0" borderId="1685" xfId="0" applyNumberFormat="1" applyFont="1" applyBorder="1" applyAlignment="1">
      <alignment wrapText="1"/>
    </xf>
    <xf numFmtId="1" fontId="32" fillId="5" borderId="1611" xfId="0" applyNumberFormat="1" applyFont="1" applyFill="1" applyBorder="1" applyAlignment="1" applyProtection="1">
      <alignment horizontal="right" wrapText="1"/>
      <protection locked="0"/>
    </xf>
    <xf numFmtId="1" fontId="32" fillId="3" borderId="1519" xfId="0" applyNumberFormat="1" applyFont="1" applyFill="1" applyBorder="1" applyProtection="1">
      <protection hidden="1"/>
    </xf>
    <xf numFmtId="1" fontId="32" fillId="3" borderId="1335" xfId="0" applyNumberFormat="1" applyFont="1" applyFill="1" applyBorder="1" applyProtection="1">
      <protection hidden="1"/>
    </xf>
    <xf numFmtId="1" fontId="6" fillId="0" borderId="2366" xfId="0" applyNumberFormat="1" applyFont="1" applyBorder="1" applyAlignment="1">
      <alignment horizontal="left" vertical="center"/>
    </xf>
    <xf numFmtId="1" fontId="6" fillId="5" borderId="2377" xfId="0" applyNumberFormat="1" applyFont="1" applyFill="1" applyBorder="1" applyProtection="1">
      <protection locked="0"/>
    </xf>
    <xf numFmtId="1" fontId="6" fillId="5" borderId="2353" xfId="0" applyNumberFormat="1" applyFont="1" applyFill="1" applyBorder="1" applyProtection="1">
      <protection locked="0"/>
    </xf>
    <xf numFmtId="1" fontId="6" fillId="5" borderId="2375" xfId="0" applyNumberFormat="1" applyFont="1" applyFill="1" applyBorder="1" applyProtection="1">
      <protection locked="0"/>
    </xf>
    <xf numFmtId="1" fontId="6" fillId="5" borderId="2395" xfId="0" applyNumberFormat="1" applyFont="1" applyFill="1" applyBorder="1" applyProtection="1">
      <protection locked="0"/>
    </xf>
    <xf numFmtId="1" fontId="6" fillId="5" borderId="2396" xfId="0" applyNumberFormat="1" applyFont="1" applyFill="1" applyBorder="1" applyProtection="1">
      <protection locked="0"/>
    </xf>
    <xf numFmtId="1" fontId="6" fillId="5" borderId="2397" xfId="0" applyNumberFormat="1" applyFont="1" applyFill="1" applyBorder="1" applyProtection="1">
      <protection locked="0"/>
    </xf>
    <xf numFmtId="1" fontId="6" fillId="29" borderId="2392" xfId="0" applyNumberFormat="1" applyFont="1" applyFill="1" applyBorder="1"/>
    <xf numFmtId="1" fontId="6" fillId="29" borderId="1838" xfId="0" applyNumberFormat="1" applyFont="1" applyFill="1" applyBorder="1"/>
    <xf numFmtId="1" fontId="6" fillId="29" borderId="2244" xfId="0" applyNumberFormat="1" applyFont="1" applyFill="1" applyBorder="1"/>
    <xf numFmtId="1" fontId="6" fillId="29" borderId="1497" xfId="0" applyNumberFormat="1" applyFont="1" applyFill="1" applyBorder="1"/>
    <xf numFmtId="1" fontId="6" fillId="29" borderId="2394" xfId="0" applyNumberFormat="1" applyFont="1" applyFill="1" applyBorder="1"/>
    <xf numFmtId="1" fontId="6" fillId="0" borderId="2341" xfId="0" applyNumberFormat="1" applyFont="1" applyBorder="1" applyAlignment="1">
      <alignment horizontal="center" vertical="center" wrapText="1"/>
    </xf>
    <xf numFmtId="1" fontId="6" fillId="0" borderId="2398" xfId="0" applyNumberFormat="1" applyFont="1" applyBorder="1" applyAlignment="1">
      <alignment horizontal="center" vertical="center" wrapText="1"/>
    </xf>
    <xf numFmtId="1" fontId="6" fillId="15" borderId="2392" xfId="0" applyNumberFormat="1" applyFont="1" applyFill="1" applyBorder="1" applyProtection="1">
      <protection locked="0"/>
    </xf>
    <xf numFmtId="1" fontId="6" fillId="15" borderId="2399" xfId="0" applyNumberFormat="1" applyFont="1" applyFill="1" applyBorder="1" applyProtection="1">
      <protection locked="0"/>
    </xf>
    <xf numFmtId="1" fontId="6" fillId="15" borderId="2244" xfId="0" applyNumberFormat="1" applyFont="1" applyFill="1" applyBorder="1" applyProtection="1">
      <protection locked="0"/>
    </xf>
    <xf numFmtId="1" fontId="6" fillId="15" borderId="2391" xfId="0" applyNumberFormat="1" applyFont="1" applyFill="1" applyBorder="1" applyProtection="1">
      <protection locked="0"/>
    </xf>
    <xf numFmtId="1" fontId="6" fillId="15" borderId="2199" xfId="0" applyNumberFormat="1" applyFont="1" applyFill="1" applyBorder="1" applyProtection="1">
      <protection locked="0"/>
    </xf>
    <xf numFmtId="1" fontId="6" fillId="0" borderId="2392" xfId="0" applyNumberFormat="1" applyFont="1" applyBorder="1" applyAlignment="1">
      <alignment horizontal="left" vertical="center"/>
    </xf>
    <xf numFmtId="1" fontId="6" fillId="5" borderId="2371" xfId="0" applyNumberFormat="1" applyFont="1" applyFill="1" applyBorder="1" applyProtection="1">
      <protection locked="0"/>
    </xf>
    <xf numFmtId="1" fontId="6" fillId="5" borderId="2378" xfId="0" applyNumberFormat="1" applyFont="1" applyFill="1" applyBorder="1" applyProtection="1">
      <protection locked="0"/>
    </xf>
    <xf numFmtId="1" fontId="6" fillId="5" borderId="2400" xfId="0" applyNumberFormat="1" applyFont="1" applyFill="1" applyBorder="1" applyProtection="1">
      <protection locked="0"/>
    </xf>
    <xf numFmtId="1" fontId="6" fillId="5" borderId="2401" xfId="0" applyNumberFormat="1" applyFont="1" applyFill="1" applyBorder="1" applyProtection="1">
      <protection locked="0"/>
    </xf>
    <xf numFmtId="1" fontId="6" fillId="5" borderId="2194" xfId="0" applyNumberFormat="1" applyFont="1" applyFill="1" applyBorder="1" applyProtection="1">
      <protection locked="0"/>
    </xf>
    <xf numFmtId="1" fontId="6" fillId="5" borderId="2197" xfId="0" applyNumberFormat="1" applyFont="1" applyFill="1" applyBorder="1" applyProtection="1">
      <protection locked="0"/>
    </xf>
    <xf numFmtId="1" fontId="32" fillId="3" borderId="2402" xfId="0" applyNumberFormat="1" applyFont="1" applyFill="1" applyBorder="1"/>
    <xf numFmtId="1" fontId="32" fillId="0" borderId="2402" xfId="0" applyNumberFormat="1" applyFont="1" applyBorder="1"/>
    <xf numFmtId="1" fontId="6" fillId="0" borderId="2392" xfId="0" applyNumberFormat="1" applyFont="1" applyBorder="1" applyAlignment="1" applyProtection="1">
      <alignment wrapText="1"/>
      <protection hidden="1"/>
    </xf>
    <xf numFmtId="1" fontId="6" fillId="0" borderId="1827" xfId="0" applyNumberFormat="1" applyFont="1" applyBorder="1" applyAlignment="1" applyProtection="1">
      <alignment wrapText="1"/>
      <protection hidden="1"/>
    </xf>
    <xf numFmtId="1" fontId="80" fillId="3" borderId="2403" xfId="0" applyNumberFormat="1" applyFont="1" applyFill="1" applyBorder="1"/>
    <xf numFmtId="1" fontId="80" fillId="3" borderId="2404" xfId="0" applyNumberFormat="1" applyFont="1" applyFill="1" applyBorder="1"/>
    <xf numFmtId="0" fontId="6" fillId="0" borderId="2374" xfId="0" applyFont="1" applyBorder="1" applyAlignment="1">
      <alignment horizontal="center" vertical="center"/>
    </xf>
    <xf numFmtId="0" fontId="6" fillId="0" borderId="2375" xfId="0" applyFont="1" applyBorder="1" applyAlignment="1">
      <alignment horizontal="center" vertical="center"/>
    </xf>
    <xf numFmtId="0" fontId="6" fillId="0" borderId="2380" xfId="0" applyFont="1" applyBorder="1" applyAlignment="1">
      <alignment horizontal="center" vertical="center"/>
    </xf>
    <xf numFmtId="0" fontId="6" fillId="0" borderId="1927" xfId="0" applyFont="1" applyBorder="1" applyAlignment="1">
      <alignment wrapText="1"/>
    </xf>
    <xf numFmtId="1" fontId="6" fillId="0" borderId="2375" xfId="0" applyNumberFormat="1" applyFont="1" applyBorder="1"/>
    <xf numFmtId="1" fontId="6" fillId="0" borderId="1927" xfId="0" applyNumberFormat="1" applyFont="1" applyBorder="1"/>
    <xf numFmtId="1" fontId="6" fillId="0" borderId="2405" xfId="0" applyNumberFormat="1" applyFont="1" applyBorder="1" applyAlignment="1">
      <alignment horizontal="center" vertical="center" wrapText="1"/>
    </xf>
    <xf numFmtId="1" fontId="6" fillId="0" borderId="2407" xfId="0" applyNumberFormat="1" applyFont="1" applyBorder="1" applyAlignment="1">
      <alignment horizontal="center" vertical="center" wrapText="1"/>
    </xf>
    <xf numFmtId="1" fontId="6" fillId="0" borderId="2375" xfId="0" applyNumberFormat="1" applyFont="1" applyBorder="1" applyAlignment="1">
      <alignment horizontal="center" vertical="center"/>
    </xf>
    <xf numFmtId="1" fontId="6" fillId="0" borderId="2409" xfId="0" applyNumberFormat="1" applyFont="1" applyBorder="1" applyAlignment="1">
      <alignment horizontal="center" vertical="center"/>
    </xf>
    <xf numFmtId="1" fontId="6" fillId="0" borderId="2392" xfId="0" applyNumberFormat="1" applyFont="1" applyBorder="1" applyAlignment="1">
      <alignment horizontal="left" vertical="center" wrapText="1"/>
    </xf>
    <xf numFmtId="1" fontId="6" fillId="0" borderId="2377" xfId="0" applyNumberFormat="1" applyFont="1" applyBorder="1" applyAlignment="1">
      <alignment horizontal="right" wrapText="1"/>
    </xf>
    <xf numFmtId="1" fontId="6" fillId="0" borderId="2410" xfId="0" applyNumberFormat="1" applyFont="1" applyBorder="1" applyAlignment="1">
      <alignment horizontal="right" wrapText="1"/>
    </xf>
    <xf numFmtId="1" fontId="6" fillId="0" borderId="2366" xfId="0" applyNumberFormat="1" applyFont="1" applyBorder="1" applyAlignment="1">
      <alignment horizontal="right"/>
    </xf>
    <xf numFmtId="1" fontId="6" fillId="5" borderId="2393" xfId="0" applyNumberFormat="1" applyFont="1" applyFill="1" applyBorder="1" applyProtection="1">
      <protection locked="0"/>
    </xf>
    <xf numFmtId="1" fontId="6" fillId="5" borderId="2392" xfId="0" applyNumberFormat="1" applyFont="1" applyFill="1" applyBorder="1" applyProtection="1">
      <protection locked="0"/>
    </xf>
    <xf numFmtId="1" fontId="6" fillId="0" borderId="1834" xfId="0" applyNumberFormat="1" applyFont="1" applyBorder="1" applyAlignment="1">
      <alignment horizontal="right"/>
    </xf>
    <xf numFmtId="1" fontId="6" fillId="0" borderId="0" xfId="0" applyNumberFormat="1" applyFont="1" applyProtection="1">
      <protection locked="0"/>
    </xf>
    <xf numFmtId="1" fontId="6" fillId="0" borderId="2366" xfId="0" applyNumberFormat="1" applyFont="1" applyBorder="1" applyAlignment="1">
      <alignment horizontal="center" vertical="center" wrapText="1"/>
    </xf>
    <xf numFmtId="1" fontId="6" fillId="0" borderId="2393" xfId="0" applyNumberFormat="1" applyFont="1" applyBorder="1"/>
    <xf numFmtId="1" fontId="6" fillId="0" borderId="2407" xfId="0" applyNumberFormat="1" applyFont="1" applyBorder="1"/>
    <xf numFmtId="1" fontId="4" fillId="3" borderId="2387" xfId="0" applyNumberFormat="1" applyFont="1" applyFill="1" applyBorder="1"/>
    <xf numFmtId="1" fontId="6" fillId="14" borderId="428" xfId="0" applyNumberFormat="1" applyFont="1" applyFill="1" applyBorder="1" applyAlignment="1">
      <alignment horizontal="center" vertical="center" wrapText="1"/>
    </xf>
    <xf numFmtId="1" fontId="6" fillId="0" borderId="922" xfId="0" applyNumberFormat="1" applyFont="1" applyBorder="1" applyAlignment="1">
      <alignment horizontal="right"/>
    </xf>
    <xf numFmtId="1" fontId="6" fillId="14" borderId="2408" xfId="0" applyNumberFormat="1" applyFont="1" applyFill="1" applyBorder="1" applyAlignment="1">
      <alignment horizontal="center" vertical="center" wrapText="1"/>
    </xf>
    <xf numFmtId="1" fontId="6" fillId="14" borderId="2394" xfId="0" applyNumberFormat="1" applyFont="1" applyFill="1" applyBorder="1" applyAlignment="1">
      <alignment horizontal="center" vertical="center" wrapText="1"/>
    </xf>
    <xf numFmtId="1" fontId="6" fillId="5" borderId="2411" xfId="0" applyNumberFormat="1" applyFont="1" applyFill="1" applyBorder="1" applyProtection="1">
      <protection locked="0"/>
    </xf>
    <xf numFmtId="1" fontId="6" fillId="5" borderId="2185" xfId="0" applyNumberFormat="1" applyFont="1" applyFill="1" applyBorder="1" applyProtection="1">
      <protection locked="0"/>
    </xf>
    <xf numFmtId="1" fontId="6" fillId="5" borderId="2412" xfId="0" applyNumberFormat="1" applyFont="1" applyFill="1" applyBorder="1" applyProtection="1">
      <protection locked="0"/>
    </xf>
    <xf numFmtId="1" fontId="6" fillId="5" borderId="2413" xfId="0" applyNumberFormat="1" applyFont="1" applyFill="1" applyBorder="1" applyProtection="1">
      <protection locked="0"/>
    </xf>
    <xf numFmtId="1" fontId="32" fillId="0" borderId="1843" xfId="0" applyNumberFormat="1" applyFont="1" applyBorder="1" applyAlignment="1">
      <alignment horizontal="left" vertical="center"/>
    </xf>
    <xf numFmtId="1" fontId="6" fillId="0" borderId="1836" xfId="0" applyNumberFormat="1" applyFont="1" applyBorder="1" applyAlignment="1">
      <alignment horizontal="right"/>
    </xf>
    <xf numFmtId="1" fontId="6" fillId="0" borderId="1500" xfId="0" applyNumberFormat="1" applyFont="1" applyBorder="1" applyAlignment="1">
      <alignment horizontal="right"/>
    </xf>
    <xf numFmtId="1" fontId="6" fillId="0" borderId="2408" xfId="0" applyNumberFormat="1" applyFont="1" applyBorder="1" applyAlignment="1">
      <alignment horizontal="center" vertical="center" wrapText="1"/>
    </xf>
    <xf numFmtId="1" fontId="32" fillId="0" borderId="1494" xfId="0" applyNumberFormat="1" applyFont="1" applyBorder="1"/>
    <xf numFmtId="1" fontId="32" fillId="0" borderId="1439" xfId="0" applyNumberFormat="1" applyFont="1" applyBorder="1" applyAlignment="1">
      <alignment vertical="center" wrapText="1"/>
    </xf>
    <xf numFmtId="1" fontId="32" fillId="0" borderId="1657" xfId="0" applyNumberFormat="1" applyFont="1" applyBorder="1" applyAlignment="1">
      <alignment horizontal="left" vertical="center" wrapText="1"/>
    </xf>
    <xf numFmtId="1" fontId="84" fillId="3" borderId="0" xfId="0" applyNumberFormat="1" applyFont="1" applyFill="1" applyAlignment="1">
      <alignment horizontal="center"/>
    </xf>
    <xf numFmtId="1" fontId="85" fillId="3" borderId="0" xfId="0" applyNumberFormat="1" applyFont="1" applyFill="1"/>
    <xf numFmtId="1" fontId="6" fillId="0" borderId="2417" xfId="0" applyNumberFormat="1" applyFont="1" applyBorder="1" applyAlignment="1">
      <alignment horizontal="center" vertical="center"/>
    </xf>
    <xf numFmtId="1" fontId="10" fillId="0" borderId="2413" xfId="0" applyNumberFormat="1" applyFont="1" applyBorder="1" applyAlignment="1">
      <alignment horizontal="left" vertical="center"/>
    </xf>
    <xf numFmtId="1" fontId="6" fillId="14" borderId="2417" xfId="0" applyNumberFormat="1" applyFont="1" applyFill="1" applyBorder="1"/>
    <xf numFmtId="1" fontId="6" fillId="14" borderId="2418" xfId="0" applyNumberFormat="1" applyFont="1" applyFill="1" applyBorder="1"/>
    <xf numFmtId="1" fontId="6" fillId="14" borderId="2419" xfId="0" applyNumberFormat="1" applyFont="1" applyFill="1" applyBorder="1"/>
    <xf numFmtId="1" fontId="9" fillId="3" borderId="416" xfId="0" applyNumberFormat="1" applyFont="1" applyFill="1" applyBorder="1"/>
    <xf numFmtId="1" fontId="11" fillId="0" borderId="1497" xfId="0" applyNumberFormat="1" applyFont="1" applyBorder="1" applyAlignment="1">
      <alignment horizontal="left"/>
    </xf>
    <xf numFmtId="1" fontId="6" fillId="12" borderId="2260" xfId="0" applyNumberFormat="1" applyFont="1" applyFill="1" applyBorder="1"/>
    <xf numFmtId="1" fontId="6" fillId="5" borderId="2422" xfId="0" applyNumberFormat="1" applyFont="1" applyFill="1" applyBorder="1" applyProtection="1">
      <protection locked="0"/>
    </xf>
    <xf numFmtId="1" fontId="6" fillId="5" borderId="2423" xfId="0" applyNumberFormat="1" applyFont="1" applyFill="1" applyBorder="1" applyProtection="1">
      <protection locked="0"/>
    </xf>
    <xf numFmtId="1" fontId="6" fillId="5" borderId="2421" xfId="0" applyNumberFormat="1" applyFont="1" applyFill="1" applyBorder="1" applyProtection="1">
      <protection locked="0"/>
    </xf>
    <xf numFmtId="1" fontId="6" fillId="26" borderId="1498" xfId="0" applyNumberFormat="1" applyFont="1" applyFill="1" applyBorder="1" applyProtection="1">
      <protection locked="0"/>
    </xf>
    <xf numFmtId="1" fontId="6" fillId="26" borderId="2260" xfId="0" applyNumberFormat="1" applyFont="1" applyFill="1" applyBorder="1" applyProtection="1">
      <protection locked="0"/>
    </xf>
    <xf numFmtId="1" fontId="6" fillId="26" borderId="1844" xfId="0" applyNumberFormat="1" applyFont="1" applyFill="1" applyBorder="1" applyProtection="1">
      <protection locked="0"/>
    </xf>
    <xf numFmtId="1" fontId="11" fillId="0" borderId="1827" xfId="0" applyNumberFormat="1" applyFont="1" applyBorder="1" applyAlignment="1">
      <alignment horizontal="left"/>
    </xf>
    <xf numFmtId="1" fontId="11" fillId="0" borderId="1838" xfId="0" applyNumberFormat="1" applyFont="1" applyBorder="1" applyAlignment="1">
      <alignment horizontal="left"/>
    </xf>
    <xf numFmtId="1" fontId="6" fillId="26" borderId="1836" xfId="0" applyNumberFormat="1" applyFont="1" applyFill="1" applyBorder="1" applyProtection="1">
      <protection locked="0"/>
    </xf>
    <xf numFmtId="1" fontId="6" fillId="0" borderId="2424" xfId="0" applyNumberFormat="1" applyFont="1" applyBorder="1" applyAlignment="1">
      <alignment horizontal="center" vertical="center" wrapText="1"/>
    </xf>
    <xf numFmtId="1" fontId="6" fillId="0" borderId="2424" xfId="0" applyNumberFormat="1" applyFont="1" applyBorder="1" applyAlignment="1">
      <alignment horizontal="center" vertical="center"/>
    </xf>
    <xf numFmtId="1" fontId="6" fillId="0" borderId="2418" xfId="0" applyNumberFormat="1" applyFont="1" applyBorder="1" applyAlignment="1">
      <alignment horizontal="center" vertical="center"/>
    </xf>
    <xf numFmtId="1" fontId="6" fillId="0" borderId="2425" xfId="0" applyNumberFormat="1" applyFont="1" applyBorder="1" applyAlignment="1">
      <alignment horizontal="center" vertical="center"/>
    </xf>
    <xf numFmtId="1" fontId="6" fillId="14" borderId="2425" xfId="0" applyNumberFormat="1" applyFont="1" applyFill="1" applyBorder="1"/>
    <xf numFmtId="1" fontId="6" fillId="14" borderId="2424" xfId="0" applyNumberFormat="1" applyFont="1" applyFill="1" applyBorder="1"/>
    <xf numFmtId="1" fontId="6" fillId="14" borderId="2420" xfId="0" applyNumberFormat="1" applyFont="1" applyFill="1" applyBorder="1"/>
    <xf numFmtId="1" fontId="6" fillId="14" borderId="2421" xfId="0" applyNumberFormat="1" applyFont="1" applyFill="1" applyBorder="1"/>
    <xf numFmtId="1" fontId="6" fillId="5" borderId="2420" xfId="0" applyNumberFormat="1" applyFont="1" applyFill="1" applyBorder="1" applyProtection="1">
      <protection locked="0"/>
    </xf>
    <xf numFmtId="1" fontId="6" fillId="26" borderId="2420" xfId="0" applyNumberFormat="1" applyFont="1" applyFill="1" applyBorder="1" applyProtection="1">
      <protection locked="0"/>
    </xf>
    <xf numFmtId="1" fontId="6" fillId="26" borderId="2421" xfId="0" applyNumberFormat="1" applyFont="1" applyFill="1" applyBorder="1" applyProtection="1">
      <protection locked="0"/>
    </xf>
    <xf numFmtId="1" fontId="6" fillId="14" borderId="1498" xfId="0" applyNumberFormat="1" applyFont="1" applyFill="1" applyBorder="1"/>
    <xf numFmtId="1" fontId="6" fillId="14" borderId="2260" xfId="0" applyNumberFormat="1" applyFont="1" applyFill="1" applyBorder="1"/>
    <xf numFmtId="1" fontId="6" fillId="26" borderId="2174" xfId="0" applyNumberFormat="1" applyFont="1" applyFill="1" applyBorder="1" applyProtection="1">
      <protection locked="0"/>
    </xf>
    <xf numFmtId="1" fontId="6" fillId="14" borderId="1836" xfId="0" applyNumberFormat="1" applyFont="1" applyFill="1" applyBorder="1"/>
    <xf numFmtId="1" fontId="6" fillId="14" borderId="1494" xfId="0" applyNumberFormat="1" applyFont="1" applyFill="1" applyBorder="1"/>
    <xf numFmtId="1" fontId="6" fillId="0" borderId="2426" xfId="0" applyNumberFormat="1" applyFont="1" applyBorder="1" applyAlignment="1">
      <alignment horizontal="center" vertical="center"/>
    </xf>
    <xf numFmtId="1" fontId="6" fillId="0" borderId="2427" xfId="0" applyNumberFormat="1" applyFont="1" applyBorder="1" applyAlignment="1">
      <alignment horizontal="center" vertical="center"/>
    </xf>
    <xf numFmtId="1" fontId="6" fillId="0" borderId="2428" xfId="0" applyNumberFormat="1" applyFont="1" applyBorder="1" applyAlignment="1">
      <alignment horizontal="center" vertical="center"/>
    </xf>
    <xf numFmtId="1" fontId="6" fillId="0" borderId="2407" xfId="0" applyNumberFormat="1" applyFont="1" applyBorder="1" applyAlignment="1">
      <alignment horizontal="center" vertical="center"/>
    </xf>
    <xf numFmtId="1" fontId="6" fillId="0" borderId="2425" xfId="0" applyNumberFormat="1" applyFont="1" applyBorder="1"/>
    <xf numFmtId="1" fontId="6" fillId="0" borderId="2429" xfId="0" applyNumberFormat="1" applyFont="1" applyBorder="1"/>
    <xf numFmtId="1" fontId="6" fillId="0" borderId="2418" xfId="0" applyNumberFormat="1" applyFont="1" applyBorder="1"/>
    <xf numFmtId="1" fontId="6" fillId="0" borderId="2417" xfId="0" applyNumberFormat="1" applyFont="1" applyBorder="1"/>
    <xf numFmtId="1" fontId="11" fillId="0" borderId="2413" xfId="0" applyNumberFormat="1" applyFont="1" applyBorder="1" applyAlignment="1">
      <alignment vertical="center" wrapText="1"/>
    </xf>
    <xf numFmtId="1" fontId="6" fillId="5" borderId="2430" xfId="0" applyNumberFormat="1" applyFont="1" applyFill="1" applyBorder="1" applyProtection="1">
      <protection locked="0"/>
    </xf>
    <xf numFmtId="1" fontId="6" fillId="5" borderId="2431" xfId="0" applyNumberFormat="1" applyFont="1" applyFill="1" applyBorder="1" applyProtection="1">
      <protection locked="0"/>
    </xf>
    <xf numFmtId="1" fontId="6" fillId="26" borderId="2430" xfId="0" applyNumberFormat="1" applyFont="1" applyFill="1" applyBorder="1" applyProtection="1">
      <protection locked="0"/>
    </xf>
    <xf numFmtId="1" fontId="11" fillId="0" borderId="1497" xfId="0" applyNumberFormat="1" applyFont="1" applyBorder="1" applyAlignment="1">
      <alignment vertical="center" wrapText="1"/>
    </xf>
    <xf numFmtId="1" fontId="6" fillId="0" borderId="2432" xfId="0" applyNumberFormat="1" applyFont="1" applyBorder="1" applyAlignment="1">
      <alignment horizontal="center" vertical="center"/>
    </xf>
    <xf numFmtId="1" fontId="19" fillId="0" borderId="2424" xfId="2" applyNumberFormat="1" applyFont="1" applyBorder="1" applyAlignment="1" applyProtection="1">
      <alignment vertical="center"/>
    </xf>
    <xf numFmtId="1" fontId="6" fillId="0" borderId="2428" xfId="0" applyNumberFormat="1" applyFont="1" applyBorder="1" applyAlignment="1">
      <alignment horizontal="right" vertical="center"/>
    </xf>
    <xf numFmtId="1" fontId="6" fillId="0" borderId="2407" xfId="0" applyNumberFormat="1" applyFont="1" applyBorder="1" applyAlignment="1">
      <alignment horizontal="right" vertical="center"/>
    </xf>
    <xf numFmtId="1" fontId="6" fillId="0" borderId="2426" xfId="0" applyNumberFormat="1" applyFont="1" applyBorder="1" applyAlignment="1">
      <alignment horizontal="right" vertical="center"/>
    </xf>
    <xf numFmtId="1" fontId="6" fillId="0" borderId="2433" xfId="0" applyNumberFormat="1" applyFont="1" applyBorder="1" applyAlignment="1">
      <alignment horizontal="center" vertical="center"/>
    </xf>
    <xf numFmtId="1" fontId="6" fillId="0" borderId="2429" xfId="0" applyNumberFormat="1" applyFont="1" applyBorder="1" applyAlignment="1">
      <alignment horizontal="center" vertical="center"/>
    </xf>
    <xf numFmtId="1" fontId="11" fillId="0" borderId="2413" xfId="27" applyNumberFormat="1" applyFont="1" applyBorder="1" applyAlignment="1">
      <alignment horizontal="left" vertical="center" wrapText="1"/>
    </xf>
    <xf numFmtId="1" fontId="11" fillId="0" borderId="1497" xfId="27" applyNumberFormat="1" applyFont="1" applyBorder="1" applyAlignment="1">
      <alignment horizontal="left" vertical="center" wrapText="1"/>
    </xf>
    <xf numFmtId="1" fontId="11" fillId="0" borderId="1838" xfId="0" applyNumberFormat="1" applyFont="1" applyBorder="1" applyAlignment="1">
      <alignment vertical="center" wrapText="1"/>
    </xf>
    <xf numFmtId="1" fontId="10" fillId="0" borderId="2424" xfId="0" applyNumberFormat="1" applyFont="1" applyBorder="1" applyAlignment="1">
      <alignment horizontal="left" vertical="center"/>
    </xf>
    <xf numFmtId="1" fontId="6" fillId="0" borderId="2424" xfId="0" applyNumberFormat="1" applyFont="1" applyBorder="1"/>
    <xf numFmtId="1" fontId="11" fillId="0" borderId="1497" xfId="0" applyNumberFormat="1" applyFont="1" applyBorder="1"/>
    <xf numFmtId="1" fontId="11" fillId="0" borderId="1838" xfId="0" applyNumberFormat="1" applyFont="1" applyBorder="1"/>
    <xf numFmtId="1" fontId="6" fillId="0" borderId="2419" xfId="0" applyNumberFormat="1" applyFont="1" applyBorder="1" applyAlignment="1">
      <alignment horizontal="center" vertical="center"/>
    </xf>
    <xf numFmtId="1" fontId="38" fillId="0" borderId="2413" xfId="0" applyNumberFormat="1" applyFont="1" applyBorder="1" applyAlignment="1">
      <alignment vertical="center" wrapText="1"/>
    </xf>
    <xf numFmtId="1" fontId="6" fillId="5" borderId="2425" xfId="0" applyNumberFormat="1" applyFont="1" applyFill="1" applyBorder="1" applyProtection="1">
      <protection locked="0"/>
    </xf>
    <xf numFmtId="1" fontId="6" fillId="5" borderId="2417" xfId="0" applyNumberFormat="1" applyFont="1" applyFill="1" applyBorder="1" applyProtection="1">
      <protection locked="0"/>
    </xf>
    <xf numFmtId="1" fontId="6" fillId="5" borderId="2429" xfId="0" applyNumberFormat="1" applyFont="1" applyFill="1" applyBorder="1" applyProtection="1">
      <protection locked="0"/>
    </xf>
    <xf numFmtId="1" fontId="6" fillId="26" borderId="2425" xfId="0" applyNumberFormat="1" applyFont="1" applyFill="1" applyBorder="1" applyProtection="1">
      <protection locked="0"/>
    </xf>
    <xf numFmtId="1" fontId="6" fillId="26" borderId="2417" xfId="0" applyNumberFormat="1" applyFont="1" applyFill="1" applyBorder="1" applyProtection="1">
      <protection locked="0"/>
    </xf>
    <xf numFmtId="1" fontId="38" fillId="3" borderId="0" xfId="0" applyNumberFormat="1" applyFont="1" applyFill="1" applyAlignment="1">
      <alignment vertical="center"/>
    </xf>
    <xf numFmtId="1" fontId="38" fillId="0" borderId="416" xfId="0" applyNumberFormat="1" applyFont="1" applyBorder="1" applyAlignment="1">
      <alignment vertical="center" wrapText="1"/>
    </xf>
    <xf numFmtId="1" fontId="6" fillId="0" borderId="2408" xfId="0" applyNumberFormat="1" applyFont="1" applyBorder="1"/>
    <xf numFmtId="1" fontId="6" fillId="5" borderId="2433" xfId="0" applyNumberFormat="1" applyFont="1" applyFill="1" applyBorder="1" applyProtection="1">
      <protection locked="0"/>
    </xf>
    <xf numFmtId="1" fontId="6" fillId="5" borderId="2408" xfId="0" applyNumberFormat="1" applyFont="1" applyFill="1" applyBorder="1" applyProtection="1">
      <protection locked="0"/>
    </xf>
    <xf numFmtId="1" fontId="38" fillId="0" borderId="2418" xfId="0" applyNumberFormat="1" applyFont="1" applyBorder="1" applyAlignment="1">
      <alignment vertical="center" wrapText="1"/>
    </xf>
    <xf numFmtId="1" fontId="6" fillId="5" borderId="2424" xfId="0" applyNumberFormat="1" applyFont="1" applyFill="1" applyBorder="1" applyProtection="1">
      <protection locked="0"/>
    </xf>
    <xf numFmtId="1" fontId="4" fillId="3" borderId="2405" xfId="0" applyNumberFormat="1" applyFont="1" applyFill="1" applyBorder="1" applyAlignment="1">
      <alignment horizontal="left"/>
    </xf>
    <xf numFmtId="1" fontId="4" fillId="3" borderId="2406" xfId="0" applyNumberFormat="1" applyFont="1" applyFill="1" applyBorder="1" applyAlignment="1">
      <alignment horizontal="left"/>
    </xf>
    <xf numFmtId="1" fontId="38" fillId="3" borderId="2406" xfId="0" applyNumberFormat="1" applyFont="1" applyFill="1" applyBorder="1" applyAlignment="1">
      <alignment vertical="center"/>
    </xf>
    <xf numFmtId="1" fontId="38" fillId="3" borderId="2407" xfId="0" applyNumberFormat="1" applyFont="1" applyFill="1" applyBorder="1" applyAlignment="1">
      <alignment vertical="center"/>
    </xf>
    <xf numFmtId="1" fontId="6" fillId="3" borderId="2424" xfId="0" applyNumberFormat="1" applyFont="1" applyFill="1" applyBorder="1"/>
    <xf numFmtId="1" fontId="43" fillId="0" borderId="2424" xfId="0" applyNumberFormat="1" applyFont="1" applyBorder="1" applyAlignment="1">
      <alignment horizontal="left" vertical="center"/>
    </xf>
    <xf numFmtId="1" fontId="38" fillId="0" borderId="2424" xfId="0" applyNumberFormat="1" applyFont="1" applyBorder="1" applyAlignment="1">
      <alignment vertical="center" wrapText="1"/>
    </xf>
    <xf numFmtId="1" fontId="6" fillId="26" borderId="2424" xfId="0" applyNumberFormat="1" applyFont="1" applyFill="1" applyBorder="1" applyProtection="1">
      <protection locked="0"/>
    </xf>
    <xf numFmtId="1" fontId="38" fillId="0" borderId="2424" xfId="0" applyNumberFormat="1" applyFont="1" applyBorder="1" applyAlignment="1">
      <alignment vertical="center"/>
    </xf>
    <xf numFmtId="1" fontId="38" fillId="0" borderId="2418" xfId="0" applyNumberFormat="1" applyFont="1" applyBorder="1" applyAlignment="1">
      <alignment vertical="center"/>
    </xf>
    <xf numFmtId="1" fontId="86" fillId="3" borderId="0" xfId="0" applyNumberFormat="1" applyFont="1" applyFill="1"/>
    <xf numFmtId="1" fontId="6" fillId="14" borderId="2429" xfId="0" applyNumberFormat="1" applyFont="1" applyFill="1" applyBorder="1"/>
    <xf numFmtId="1" fontId="6" fillId="0" borderId="2436" xfId="0" applyNumberFormat="1" applyFont="1" applyBorder="1" applyAlignment="1">
      <alignment horizontal="center" vertical="center"/>
    </xf>
    <xf numFmtId="1" fontId="6" fillId="0" borderId="2438" xfId="0" applyNumberFormat="1" applyFont="1" applyBorder="1" applyAlignment="1">
      <alignment horizontal="center" vertical="center"/>
    </xf>
    <xf numFmtId="1" fontId="6" fillId="0" borderId="2439" xfId="0" applyNumberFormat="1" applyFont="1" applyBorder="1" applyAlignment="1">
      <alignment horizontal="center" vertical="center"/>
    </xf>
    <xf numFmtId="1" fontId="4" fillId="3" borderId="2440" xfId="0" applyNumberFormat="1" applyFont="1" applyFill="1" applyBorder="1" applyAlignment="1">
      <alignment horizontal="left"/>
    </xf>
    <xf numFmtId="1" fontId="4" fillId="3" borderId="2440" xfId="0" applyNumberFormat="1" applyFont="1" applyFill="1" applyBorder="1"/>
    <xf numFmtId="1" fontId="6" fillId="14" borderId="2436" xfId="0" applyNumberFormat="1" applyFont="1" applyFill="1" applyBorder="1"/>
    <xf numFmtId="1" fontId="6" fillId="26" borderId="2442" xfId="0" applyNumberFormat="1" applyFont="1" applyFill="1" applyBorder="1" applyProtection="1">
      <protection locked="0"/>
    </xf>
    <xf numFmtId="1" fontId="6" fillId="0" borderId="2436" xfId="0" applyNumberFormat="1" applyFont="1" applyBorder="1"/>
    <xf numFmtId="1" fontId="6" fillId="5" borderId="2438" xfId="0" applyNumberFormat="1" applyFont="1" applyFill="1" applyBorder="1" applyProtection="1">
      <protection locked="0"/>
    </xf>
    <xf numFmtId="1" fontId="6" fillId="5" borderId="2442" xfId="0" applyNumberFormat="1" applyFont="1" applyFill="1" applyBorder="1" applyProtection="1">
      <protection locked="0"/>
    </xf>
    <xf numFmtId="1" fontId="6" fillId="5" borderId="2443" xfId="0" applyNumberFormat="1" applyFont="1" applyFill="1" applyBorder="1" applyProtection="1">
      <protection locked="0"/>
    </xf>
    <xf numFmtId="1" fontId="6" fillId="5" borderId="2444" xfId="0" applyNumberFormat="1" applyFont="1" applyFill="1" applyBorder="1" applyProtection="1">
      <protection locked="0"/>
    </xf>
    <xf numFmtId="1" fontId="6" fillId="26" borderId="2443" xfId="0" applyNumberFormat="1" applyFont="1" applyFill="1" applyBorder="1" applyProtection="1">
      <protection locked="0"/>
    </xf>
    <xf numFmtId="1" fontId="6" fillId="26" borderId="2438" xfId="0" applyNumberFormat="1" applyFont="1" applyFill="1" applyBorder="1" applyProtection="1">
      <protection locked="0"/>
    </xf>
    <xf numFmtId="1" fontId="6" fillId="26" borderId="2439" xfId="0" applyNumberFormat="1" applyFont="1" applyFill="1" applyBorder="1" applyProtection="1">
      <protection locked="0"/>
    </xf>
    <xf numFmtId="1" fontId="6" fillId="5" borderId="2436" xfId="0" applyNumberFormat="1" applyFont="1" applyFill="1" applyBorder="1" applyProtection="1">
      <protection locked="0"/>
    </xf>
    <xf numFmtId="1" fontId="38" fillId="0" borderId="2441" xfId="0" applyNumberFormat="1" applyFont="1" applyBorder="1" applyAlignment="1">
      <alignment vertical="center" wrapText="1"/>
    </xf>
    <xf numFmtId="1" fontId="38" fillId="0" borderId="2445" xfId="0" applyNumberFormat="1" applyFont="1" applyBorder="1" applyAlignment="1">
      <alignment vertical="center" wrapText="1"/>
    </xf>
    <xf numFmtId="1" fontId="6" fillId="5" borderId="2441" xfId="0" applyNumberFormat="1" applyFont="1" applyFill="1" applyBorder="1" applyProtection="1">
      <protection locked="0"/>
    </xf>
    <xf numFmtId="1" fontId="11" fillId="0" borderId="2441" xfId="0" applyNumberFormat="1" applyFont="1" applyBorder="1" applyAlignment="1">
      <alignment vertical="center" wrapText="1"/>
    </xf>
    <xf numFmtId="1" fontId="6" fillId="0" borderId="1834" xfId="0" applyNumberFormat="1" applyFont="1" applyBorder="1"/>
    <xf numFmtId="1" fontId="6" fillId="3" borderId="2413" xfId="0" applyNumberFormat="1" applyFont="1" applyFill="1" applyBorder="1"/>
    <xf numFmtId="1" fontId="6" fillId="3" borderId="2441" xfId="0" applyNumberFormat="1" applyFont="1" applyFill="1" applyBorder="1"/>
    <xf numFmtId="1" fontId="6" fillId="6" borderId="1834" xfId="14" applyNumberFormat="1" applyFont="1" applyBorder="1" applyProtection="1">
      <protection locked="0"/>
    </xf>
    <xf numFmtId="1" fontId="6" fillId="23" borderId="1507" xfId="0" applyNumberFormat="1" applyFont="1" applyFill="1" applyBorder="1"/>
    <xf numFmtId="1" fontId="6" fillId="6" borderId="1662" xfId="14" applyNumberFormat="1" applyFont="1" applyBorder="1" applyProtection="1">
      <protection locked="0"/>
    </xf>
    <xf numFmtId="1" fontId="6" fillId="0" borderId="2413" xfId="0" applyNumberFormat="1" applyFont="1" applyBorder="1"/>
    <xf numFmtId="1" fontId="6" fillId="0" borderId="2420" xfId="0" applyNumberFormat="1" applyFont="1" applyBorder="1"/>
    <xf numFmtId="1" fontId="6" fillId="0" borderId="2411" xfId="0" applyNumberFormat="1" applyFont="1" applyBorder="1"/>
    <xf numFmtId="0" fontId="32" fillId="0" borderId="2408" xfId="0" applyFont="1" applyBorder="1" applyAlignment="1">
      <alignment horizontal="center" vertical="center"/>
    </xf>
    <xf numFmtId="0" fontId="87" fillId="0" borderId="2413" xfId="0" applyFont="1" applyBorder="1" applyAlignment="1">
      <alignment vertical="center" wrapText="1"/>
    </xf>
    <xf numFmtId="0" fontId="87" fillId="0" borderId="1838" xfId="0" applyFont="1" applyBorder="1" applyAlignment="1">
      <alignment vertical="center" wrapText="1"/>
    </xf>
    <xf numFmtId="1" fontId="6" fillId="3" borderId="0" xfId="0" applyNumberFormat="1" applyFont="1" applyFill="1" applyAlignment="1" applyProtection="1">
      <alignment horizontal="left"/>
      <protection locked="0"/>
    </xf>
    <xf numFmtId="1" fontId="32" fillId="0" borderId="196" xfId="0" applyNumberFormat="1" applyFont="1" applyBorder="1" applyProtection="1">
      <protection locked="0"/>
    </xf>
    <xf numFmtId="1" fontId="76" fillId="3" borderId="0" xfId="0" applyNumberFormat="1" applyFont="1" applyFill="1" applyAlignment="1" applyProtection="1">
      <alignment wrapText="1"/>
      <protection locked="0"/>
    </xf>
    <xf numFmtId="0" fontId="72" fillId="14" borderId="0" xfId="0" applyFont="1" applyFill="1"/>
    <xf numFmtId="1" fontId="32" fillId="14" borderId="1310" xfId="0" applyNumberFormat="1" applyFont="1" applyFill="1" applyBorder="1" applyProtection="1">
      <protection locked="0"/>
    </xf>
    <xf numFmtId="1" fontId="80" fillId="14" borderId="0" xfId="0" applyNumberFormat="1" applyFont="1" applyFill="1" applyProtection="1">
      <protection locked="0"/>
    </xf>
    <xf numFmtId="1" fontId="32" fillId="5" borderId="2343" xfId="0" applyNumberFormat="1" applyFont="1" applyFill="1" applyBorder="1" applyProtection="1">
      <protection locked="0"/>
    </xf>
    <xf numFmtId="1" fontId="32" fillId="5" borderId="1308" xfId="0" applyNumberFormat="1" applyFont="1" applyFill="1" applyBorder="1" applyProtection="1">
      <protection locked="0"/>
    </xf>
    <xf numFmtId="1" fontId="32" fillId="5" borderId="1309" xfId="0" applyNumberFormat="1" applyFont="1" applyFill="1" applyBorder="1" applyProtection="1">
      <protection locked="0"/>
    </xf>
    <xf numFmtId="1" fontId="32" fillId="5" borderId="2332" xfId="0" applyNumberFormat="1" applyFont="1" applyFill="1" applyBorder="1" applyProtection="1">
      <protection locked="0"/>
    </xf>
    <xf numFmtId="1" fontId="32" fillId="5" borderId="2342" xfId="0" applyNumberFormat="1" applyFont="1" applyFill="1" applyBorder="1" applyProtection="1">
      <protection locked="0"/>
    </xf>
    <xf numFmtId="1" fontId="6" fillId="0" borderId="2421" xfId="0" applyNumberFormat="1" applyFont="1" applyBorder="1"/>
    <xf numFmtId="1" fontId="6" fillId="0" borderId="2430" xfId="0" applyNumberFormat="1" applyFont="1" applyBorder="1"/>
    <xf numFmtId="1" fontId="6" fillId="0" borderId="2260" xfId="0" applyNumberFormat="1" applyFont="1" applyBorder="1"/>
    <xf numFmtId="1" fontId="6" fillId="0" borderId="2245" xfId="0" applyNumberFormat="1" applyFont="1" applyBorder="1"/>
    <xf numFmtId="1" fontId="6" fillId="0" borderId="2443" xfId="0" applyNumberFormat="1" applyFont="1" applyBorder="1"/>
    <xf numFmtId="1" fontId="6" fillId="0" borderId="2439" xfId="0" applyNumberFormat="1" applyFont="1" applyBorder="1"/>
    <xf numFmtId="1" fontId="9" fillId="14" borderId="0" xfId="0" applyNumberFormat="1" applyFont="1" applyFill="1" applyAlignment="1">
      <alignment wrapText="1"/>
    </xf>
    <xf numFmtId="1" fontId="5" fillId="38" borderId="0" xfId="0" applyNumberFormat="1" applyFont="1" applyFill="1" applyProtection="1">
      <protection locked="0"/>
    </xf>
    <xf numFmtId="1" fontId="3" fillId="38" borderId="0" xfId="0" applyNumberFormat="1" applyFont="1" applyFill="1" applyProtection="1">
      <protection locked="0"/>
    </xf>
    <xf numFmtId="1" fontId="39" fillId="39" borderId="0" xfId="0" applyNumberFormat="1" applyFont="1" applyFill="1" applyProtection="1">
      <protection locked="0"/>
    </xf>
    <xf numFmtId="1" fontId="38" fillId="25" borderId="0" xfId="0" applyNumberFormat="1" applyFont="1" applyFill="1" applyProtection="1">
      <protection locked="0"/>
    </xf>
    <xf numFmtId="1" fontId="32" fillId="45" borderId="808" xfId="0" applyNumberFormat="1" applyFont="1" applyFill="1" applyBorder="1"/>
    <xf numFmtId="1" fontId="32" fillId="45" borderId="809" xfId="0" applyNumberFormat="1" applyFont="1" applyFill="1" applyBorder="1"/>
    <xf numFmtId="1" fontId="6" fillId="12" borderId="1499" xfId="0" applyNumberFormat="1" applyFont="1" applyFill="1" applyBorder="1"/>
    <xf numFmtId="1" fontId="6" fillId="12" borderId="1502" xfId="0" applyNumberFormat="1" applyFont="1" applyFill="1" applyBorder="1"/>
    <xf numFmtId="1" fontId="6" fillId="12" borderId="2445" xfId="0" applyNumberFormat="1" applyFont="1" applyFill="1" applyBorder="1"/>
    <xf numFmtId="1" fontId="6" fillId="12" borderId="2439" xfId="0" applyNumberFormat="1" applyFont="1" applyFill="1" applyBorder="1"/>
    <xf numFmtId="1" fontId="6" fillId="47" borderId="2424" xfId="0" applyNumberFormat="1" applyFont="1" applyFill="1" applyBorder="1"/>
    <xf numFmtId="1" fontId="32" fillId="12" borderId="1605" xfId="22" applyNumberFormat="1" applyFont="1" applyFill="1" applyBorder="1" applyProtection="1"/>
    <xf numFmtId="1" fontId="32" fillId="12" borderId="1495" xfId="22" applyNumberFormat="1" applyFont="1" applyFill="1" applyBorder="1" applyProtection="1"/>
    <xf numFmtId="1" fontId="32" fillId="12" borderId="1269" xfId="22" applyNumberFormat="1" applyFont="1" applyFill="1" applyBorder="1" applyProtection="1"/>
    <xf numFmtId="1" fontId="32" fillId="12" borderId="1497" xfId="22" applyNumberFormat="1" applyFont="1" applyFill="1" applyBorder="1" applyProtection="1"/>
    <xf numFmtId="1" fontId="32" fillId="12" borderId="1265" xfId="22" applyNumberFormat="1" applyFont="1" applyFill="1" applyBorder="1" applyProtection="1"/>
    <xf numFmtId="1" fontId="6" fillId="32" borderId="1793" xfId="6" applyNumberFormat="1" applyFont="1" applyFill="1" applyBorder="1" applyProtection="1">
      <protection locked="0"/>
    </xf>
    <xf numFmtId="1" fontId="6" fillId="32" borderId="1855" xfId="6" applyNumberFormat="1" applyFont="1" applyFill="1" applyBorder="1" applyProtection="1">
      <protection locked="0"/>
    </xf>
    <xf numFmtId="1" fontId="6" fillId="32" borderId="1766" xfId="6" applyNumberFormat="1" applyFont="1" applyFill="1" applyBorder="1" applyProtection="1">
      <protection locked="0"/>
    </xf>
    <xf numFmtId="1" fontId="6" fillId="32" borderId="1865" xfId="6" applyNumberFormat="1" applyFont="1" applyFill="1" applyBorder="1" applyProtection="1">
      <protection locked="0"/>
    </xf>
    <xf numFmtId="1" fontId="6" fillId="32" borderId="1784" xfId="6" applyNumberFormat="1" applyFont="1" applyFill="1" applyBorder="1" applyProtection="1">
      <protection locked="0"/>
    </xf>
    <xf numFmtId="1" fontId="6" fillId="32" borderId="1868" xfId="6" applyNumberFormat="1" applyFont="1" applyFill="1" applyBorder="1" applyProtection="1">
      <protection locked="0"/>
    </xf>
    <xf numFmtId="1" fontId="6" fillId="32" borderId="1880" xfId="6" applyNumberFormat="1" applyFont="1" applyFill="1" applyBorder="1" applyProtection="1">
      <protection locked="0"/>
    </xf>
    <xf numFmtId="1" fontId="6" fillId="32" borderId="1875" xfId="6" applyNumberFormat="1" applyFont="1" applyFill="1" applyBorder="1" applyProtection="1">
      <protection locked="0"/>
    </xf>
    <xf numFmtId="1" fontId="6" fillId="32" borderId="1861" xfId="6" applyNumberFormat="1" applyFont="1" applyFill="1" applyBorder="1" applyProtection="1">
      <protection locked="0"/>
    </xf>
    <xf numFmtId="1" fontId="6" fillId="32" borderId="1778" xfId="6" applyNumberFormat="1" applyFont="1" applyFill="1" applyBorder="1" applyProtection="1">
      <protection locked="0"/>
    </xf>
    <xf numFmtId="1" fontId="6" fillId="32" borderId="1863" xfId="6" applyNumberFormat="1" applyFont="1" applyFill="1" applyBorder="1" applyProtection="1">
      <protection locked="0"/>
    </xf>
    <xf numFmtId="1" fontId="6" fillId="32" borderId="1876" xfId="6" applyNumberFormat="1" applyFont="1" applyFill="1" applyBorder="1" applyProtection="1">
      <protection locked="0"/>
    </xf>
    <xf numFmtId="1" fontId="6" fillId="32" borderId="1864" xfId="6" applyNumberFormat="1" applyFont="1" applyFill="1" applyBorder="1" applyProtection="1">
      <protection locked="0"/>
    </xf>
    <xf numFmtId="1" fontId="6" fillId="32" borderId="1779" xfId="6" applyNumberFormat="1" applyFont="1" applyFill="1" applyBorder="1" applyProtection="1">
      <protection locked="0"/>
    </xf>
    <xf numFmtId="1" fontId="6" fillId="32" borderId="1866" xfId="6" applyNumberFormat="1" applyFont="1" applyFill="1" applyBorder="1" applyProtection="1">
      <protection locked="0"/>
    </xf>
    <xf numFmtId="1" fontId="6" fillId="32" borderId="1877" xfId="6" applyNumberFormat="1" applyFont="1" applyFill="1" applyBorder="1" applyProtection="1">
      <protection locked="0"/>
    </xf>
    <xf numFmtId="1" fontId="6" fillId="32" borderId="1869" xfId="6" applyNumberFormat="1" applyFont="1" applyFill="1" applyBorder="1" applyProtection="1">
      <protection locked="0"/>
    </xf>
    <xf numFmtId="1" fontId="32" fillId="12" borderId="1676" xfId="0" applyNumberFormat="1" applyFont="1" applyFill="1" applyBorder="1"/>
    <xf numFmtId="1" fontId="32" fillId="12" borderId="1113" xfId="0" applyNumberFormat="1" applyFont="1" applyFill="1" applyBorder="1"/>
    <xf numFmtId="1" fontId="6" fillId="12" borderId="1421" xfId="0" applyNumberFormat="1" applyFont="1" applyFill="1" applyBorder="1" applyAlignment="1">
      <alignment horizontal="left" vertical="center" wrapText="1"/>
    </xf>
    <xf numFmtId="1" fontId="6" fillId="12" borderId="1834" xfId="0" applyNumberFormat="1" applyFont="1" applyFill="1" applyBorder="1" applyAlignment="1">
      <alignment horizontal="left"/>
    </xf>
    <xf numFmtId="1" fontId="6" fillId="5" borderId="1839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899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837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074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1836" xfId="0" applyNumberFormat="1" applyFont="1" applyFill="1" applyBorder="1" applyAlignment="1" applyProtection="1">
      <alignment horizontal="right" vertical="center" wrapText="1"/>
      <protection locked="0"/>
    </xf>
    <xf numFmtId="1" fontId="6" fillId="5" borderId="805" xfId="0" applyNumberFormat="1" applyFont="1" applyFill="1" applyBorder="1" applyAlignment="1" applyProtection="1">
      <alignment horizontal="right" vertical="center" wrapText="1"/>
      <protection locked="0"/>
    </xf>
    <xf numFmtId="1" fontId="6" fillId="12" borderId="1805" xfId="0" applyNumberFormat="1" applyFont="1" applyFill="1" applyBorder="1"/>
    <xf numFmtId="1" fontId="6" fillId="12" borderId="1832" xfId="0" applyNumberFormat="1" applyFont="1" applyFill="1" applyBorder="1"/>
    <xf numFmtId="1" fontId="6" fillId="12" borderId="1658" xfId="0" applyNumberFormat="1" applyFont="1" applyFill="1" applyBorder="1"/>
    <xf numFmtId="1" fontId="6" fillId="12" borderId="1654" xfId="0" applyNumberFormat="1" applyFont="1" applyFill="1" applyBorder="1"/>
    <xf numFmtId="1" fontId="6" fillId="14" borderId="1720" xfId="0" applyNumberFormat="1" applyFont="1" applyFill="1" applyBorder="1" applyAlignment="1">
      <alignment wrapText="1"/>
    </xf>
    <xf numFmtId="1" fontId="6" fillId="14" borderId="1737" xfId="0" applyNumberFormat="1" applyFont="1" applyFill="1" applyBorder="1" applyAlignment="1">
      <alignment wrapText="1"/>
    </xf>
    <xf numFmtId="1" fontId="6" fillId="14" borderId="1837" xfId="0" applyNumberFormat="1" applyFont="1" applyFill="1" applyBorder="1" applyAlignment="1">
      <alignment wrapText="1"/>
    </xf>
    <xf numFmtId="1" fontId="6" fillId="0" borderId="2160" xfId="0" applyNumberFormat="1" applyFont="1" applyBorder="1"/>
    <xf numFmtId="1" fontId="6" fillId="0" borderId="2153" xfId="0" applyNumberFormat="1" applyFont="1" applyBorder="1"/>
    <xf numFmtId="1" fontId="6" fillId="45" borderId="1684" xfId="0" applyNumberFormat="1" applyFont="1" applyFill="1" applyBorder="1"/>
    <xf numFmtId="1" fontId="6" fillId="14" borderId="2353" xfId="0" applyNumberFormat="1" applyFont="1" applyFill="1" applyBorder="1"/>
    <xf numFmtId="1" fontId="6" fillId="14" borderId="2153" xfId="0" applyNumberFormat="1" applyFont="1" applyFill="1" applyBorder="1"/>
    <xf numFmtId="1" fontId="6" fillId="12" borderId="1607" xfId="0" applyNumberFormat="1" applyFont="1" applyFill="1" applyBorder="1"/>
    <xf numFmtId="1" fontId="6" fillId="12" borderId="1649" xfId="0" applyNumberFormat="1" applyFont="1" applyFill="1" applyBorder="1"/>
    <xf numFmtId="1" fontId="6" fillId="12" borderId="1661" xfId="0" applyNumberFormat="1" applyFont="1" applyFill="1" applyBorder="1"/>
    <xf numFmtId="1" fontId="6" fillId="0" borderId="2204" xfId="0" applyNumberFormat="1" applyFont="1" applyBorder="1"/>
    <xf numFmtId="1" fontId="32" fillId="0" borderId="2383" xfId="0" applyNumberFormat="1" applyFont="1" applyBorder="1" applyAlignment="1">
      <alignment horizontal="right"/>
    </xf>
    <xf numFmtId="1" fontId="32" fillId="0" borderId="2380" xfId="0" applyNumberFormat="1" applyFont="1" applyBorder="1" applyAlignment="1">
      <alignment horizontal="right"/>
    </xf>
    <xf numFmtId="1" fontId="32" fillId="0" borderId="2417" xfId="0" applyNumberFormat="1" applyFont="1" applyBorder="1" applyAlignment="1">
      <alignment horizontal="right"/>
    </xf>
    <xf numFmtId="1" fontId="32" fillId="14" borderId="1828" xfId="0" applyNumberFormat="1" applyFont="1" applyFill="1" applyBorder="1" applyAlignment="1">
      <alignment horizontal="right"/>
    </xf>
    <xf numFmtId="1" fontId="32" fillId="14" borderId="1675" xfId="0" applyNumberFormat="1" applyFont="1" applyFill="1" applyBorder="1" applyAlignment="1">
      <alignment horizontal="right"/>
    </xf>
    <xf numFmtId="1" fontId="32" fillId="14" borderId="1838" xfId="0" applyNumberFormat="1" applyFont="1" applyFill="1" applyBorder="1" applyAlignment="1">
      <alignment horizontal="right"/>
    </xf>
    <xf numFmtId="1" fontId="32" fillId="14" borderId="1647" xfId="0" applyNumberFormat="1" applyFont="1" applyFill="1" applyBorder="1" applyAlignment="1">
      <alignment horizontal="right"/>
    </xf>
    <xf numFmtId="1" fontId="32" fillId="14" borderId="1495" xfId="0" applyNumberFormat="1" applyFont="1" applyFill="1" applyBorder="1" applyAlignment="1">
      <alignment horizontal="right"/>
    </xf>
    <xf numFmtId="2" fontId="6" fillId="6" borderId="68" xfId="14" applyNumberFormat="1" applyFont="1" applyBorder="1" applyAlignment="1" applyProtection="1">
      <alignment horizontal="center" vertical="center"/>
      <protection locked="0"/>
    </xf>
    <xf numFmtId="2" fontId="6" fillId="6" borderId="481" xfId="14" applyNumberFormat="1" applyFont="1" applyBorder="1" applyAlignment="1" applyProtection="1">
      <alignment horizontal="center" vertical="center"/>
      <protection locked="0"/>
    </xf>
    <xf numFmtId="2" fontId="6" fillId="6" borderId="177" xfId="14" applyNumberFormat="1" applyFont="1" applyBorder="1" applyAlignment="1" applyProtection="1">
      <alignment horizontal="center" vertical="center"/>
      <protection locked="0"/>
    </xf>
    <xf numFmtId="1" fontId="6" fillId="0" borderId="2183" xfId="28" applyNumberFormat="1" applyFont="1" applyBorder="1" applyProtection="1">
      <protection hidden="1"/>
    </xf>
    <xf numFmtId="1" fontId="13" fillId="0" borderId="2424" xfId="28" applyNumberFormat="1" applyFont="1" applyBorder="1" applyAlignment="1">
      <alignment horizontal="right"/>
    </xf>
    <xf numFmtId="0" fontId="38" fillId="29" borderId="734" xfId="0" applyFont="1" applyFill="1" applyBorder="1" applyAlignment="1">
      <alignment horizontal="center"/>
    </xf>
    <xf numFmtId="0" fontId="6" fillId="29" borderId="874" xfId="0" applyFont="1" applyFill="1" applyBorder="1" applyAlignment="1">
      <alignment vertical="center"/>
    </xf>
    <xf numFmtId="0" fontId="6" fillId="29" borderId="828" xfId="0" applyFont="1" applyFill="1" applyBorder="1" applyAlignment="1">
      <alignment vertical="center"/>
    </xf>
    <xf numFmtId="0" fontId="6" fillId="29" borderId="876" xfId="0" applyFont="1" applyFill="1" applyBorder="1" applyAlignment="1">
      <alignment vertical="center"/>
    </xf>
    <xf numFmtId="0" fontId="6" fillId="29" borderId="882" xfId="0" applyFont="1" applyFill="1" applyBorder="1" applyAlignment="1">
      <alignment horizontal="center" vertical="center" wrapText="1"/>
    </xf>
    <xf numFmtId="1" fontId="6" fillId="29" borderId="874" xfId="0" applyNumberFormat="1" applyFont="1" applyFill="1" applyBorder="1"/>
    <xf numFmtId="1" fontId="6" fillId="29" borderId="828" xfId="0" applyNumberFormat="1" applyFont="1" applyFill="1" applyBorder="1"/>
    <xf numFmtId="1" fontId="6" fillId="29" borderId="876" xfId="0" applyNumberFormat="1" applyFont="1" applyFill="1" applyBorder="1"/>
    <xf numFmtId="1" fontId="6" fillId="29" borderId="882" xfId="0" applyNumberFormat="1" applyFont="1" applyFill="1" applyBorder="1"/>
    <xf numFmtId="1" fontId="6" fillId="29" borderId="877" xfId="0" applyNumberFormat="1" applyFont="1" applyFill="1" applyBorder="1"/>
    <xf numFmtId="1" fontId="38" fillId="29" borderId="798" xfId="0" applyNumberFormat="1" applyFont="1" applyFill="1" applyBorder="1"/>
    <xf numFmtId="1" fontId="6" fillId="0" borderId="1639" xfId="0" applyNumberFormat="1" applyFont="1" applyBorder="1" applyAlignment="1">
      <alignment horizontal="right" wrapText="1"/>
    </xf>
    <xf numFmtId="1" fontId="6" fillId="14" borderId="1634" xfId="0" applyNumberFormat="1" applyFont="1" applyFill="1" applyBorder="1"/>
    <xf numFmtId="1" fontId="6" fillId="14" borderId="1421" xfId="0" applyNumberFormat="1" applyFont="1" applyFill="1" applyBorder="1"/>
    <xf numFmtId="1" fontId="6" fillId="0" borderId="1675" xfId="0" applyNumberFormat="1" applyFont="1" applyBorder="1" applyAlignment="1">
      <alignment horizontal="right" wrapText="1"/>
    </xf>
    <xf numFmtId="1" fontId="6" fillId="14" borderId="1674" xfId="0" applyNumberFormat="1" applyFont="1" applyFill="1" applyBorder="1"/>
    <xf numFmtId="1" fontId="6" fillId="14" borderId="1659" xfId="0" applyNumberFormat="1" applyFont="1" applyFill="1" applyBorder="1"/>
    <xf numFmtId="1" fontId="6" fillId="0" borderId="1664" xfId="0" applyNumberFormat="1" applyFont="1" applyBorder="1" applyAlignment="1">
      <alignment horizontal="right" wrapText="1"/>
    </xf>
    <xf numFmtId="1" fontId="6" fillId="14" borderId="1612" xfId="0" applyNumberFormat="1" applyFont="1" applyFill="1" applyBorder="1"/>
    <xf numFmtId="1" fontId="6" fillId="14" borderId="1611" xfId="0" applyNumberFormat="1" applyFont="1" applyFill="1" applyBorder="1"/>
    <xf numFmtId="1" fontId="6" fillId="32" borderId="1764" xfId="6" applyNumberFormat="1" applyFont="1" applyFill="1" applyBorder="1" applyProtection="1">
      <protection locked="0"/>
    </xf>
    <xf numFmtId="1" fontId="6" fillId="32" borderId="1765" xfId="6" applyNumberFormat="1" applyFont="1" applyFill="1" applyBorder="1" applyProtection="1">
      <protection locked="0"/>
    </xf>
    <xf numFmtId="1" fontId="6" fillId="5" borderId="1806" xfId="0" applyNumberFormat="1" applyFont="1" applyFill="1" applyBorder="1" applyProtection="1">
      <protection locked="0"/>
    </xf>
    <xf numFmtId="1" fontId="6" fillId="5" borderId="1739" xfId="0" applyNumberFormat="1" applyFont="1" applyFill="1" applyBorder="1" applyProtection="1">
      <protection locked="0"/>
    </xf>
    <xf numFmtId="1" fontId="6" fillId="5" borderId="1771" xfId="0" applyNumberFormat="1" applyFont="1" applyFill="1" applyBorder="1" applyProtection="1">
      <protection locked="0"/>
    </xf>
    <xf numFmtId="1" fontId="49" fillId="12" borderId="1632" xfId="0" applyNumberFormat="1" applyFont="1" applyFill="1" applyBorder="1" applyAlignment="1">
      <alignment horizontal="right" wrapText="1"/>
    </xf>
    <xf numFmtId="1" fontId="49" fillId="12" borderId="1632" xfId="0" applyNumberFormat="1" applyFont="1" applyFill="1" applyBorder="1"/>
    <xf numFmtId="1" fontId="49" fillId="12" borderId="1620" xfId="0" applyNumberFormat="1" applyFont="1" applyFill="1" applyBorder="1"/>
    <xf numFmtId="1" fontId="49" fillId="12" borderId="1547" xfId="0" applyNumberFormat="1" applyFont="1" applyFill="1" applyBorder="1"/>
    <xf numFmtId="1" fontId="49" fillId="12" borderId="1739" xfId="0" applyNumberFormat="1" applyFont="1" applyFill="1" applyBorder="1"/>
    <xf numFmtId="1" fontId="49" fillId="12" borderId="1771" xfId="0" applyNumberFormat="1" applyFont="1" applyFill="1" applyBorder="1"/>
    <xf numFmtId="1" fontId="49" fillId="12" borderId="1649" xfId="0" applyNumberFormat="1" applyFont="1" applyFill="1" applyBorder="1" applyAlignment="1">
      <alignment horizontal="right" wrapText="1"/>
    </xf>
    <xf numFmtId="1" fontId="49" fillId="12" borderId="1649" xfId="0" applyNumberFormat="1" applyFont="1" applyFill="1" applyBorder="1"/>
    <xf numFmtId="1" fontId="49" fillId="12" borderId="1651" xfId="0" applyNumberFormat="1" applyFont="1" applyFill="1" applyBorder="1"/>
    <xf numFmtId="1" fontId="49" fillId="12" borderId="1076" xfId="0" applyNumberFormat="1" applyFont="1" applyFill="1" applyBorder="1"/>
    <xf numFmtId="1" fontId="49" fillId="12" borderId="1421" xfId="0" applyNumberFormat="1" applyFont="1" applyFill="1" applyBorder="1"/>
    <xf numFmtId="1" fontId="49" fillId="12" borderId="1647" xfId="0" applyNumberFormat="1" applyFont="1" applyFill="1" applyBorder="1"/>
    <xf numFmtId="1" fontId="49" fillId="12" borderId="1583" xfId="0" applyNumberFormat="1" applyFont="1" applyFill="1" applyBorder="1" applyAlignment="1">
      <alignment horizontal="right" wrapText="1"/>
    </xf>
    <xf numFmtId="1" fontId="49" fillId="12" borderId="1583" xfId="0" applyNumberFormat="1" applyFont="1" applyFill="1" applyBorder="1"/>
    <xf numFmtId="1" fontId="49" fillId="12" borderId="811" xfId="0" applyNumberFormat="1" applyFont="1" applyFill="1" applyBorder="1"/>
    <xf numFmtId="1" fontId="49" fillId="12" borderId="1584" xfId="0" applyNumberFormat="1" applyFont="1" applyFill="1" applyBorder="1"/>
    <xf numFmtId="1" fontId="49" fillId="12" borderId="1659" xfId="0" applyNumberFormat="1" applyFont="1" applyFill="1" applyBorder="1"/>
    <xf numFmtId="1" fontId="49" fillId="12" borderId="1675" xfId="0" applyNumberFormat="1" applyFont="1" applyFill="1" applyBorder="1"/>
    <xf numFmtId="1" fontId="49" fillId="12" borderId="1738" xfId="0" applyNumberFormat="1" applyFont="1" applyFill="1" applyBorder="1" applyAlignment="1">
      <alignment horizontal="right"/>
    </xf>
    <xf numFmtId="1" fontId="49" fillId="12" borderId="1738" xfId="0" applyNumberFormat="1" applyFont="1" applyFill="1" applyBorder="1"/>
    <xf numFmtId="1" fontId="49" fillId="12" borderId="1740" xfId="0" applyNumberFormat="1" applyFont="1" applyFill="1" applyBorder="1"/>
    <xf numFmtId="1" fontId="49" fillId="12" borderId="1734" xfId="0" applyNumberFormat="1" applyFont="1" applyFill="1" applyBorder="1"/>
    <xf numFmtId="1" fontId="49" fillId="12" borderId="1772" xfId="0" applyNumberFormat="1" applyFont="1" applyFill="1" applyBorder="1"/>
    <xf numFmtId="1" fontId="49" fillId="12" borderId="1726" xfId="0" applyNumberFormat="1" applyFont="1" applyFill="1" applyBorder="1"/>
    <xf numFmtId="1" fontId="49" fillId="12" borderId="1736" xfId="0" applyNumberFormat="1" applyFont="1" applyFill="1" applyBorder="1"/>
    <xf numFmtId="1" fontId="49" fillId="12" borderId="1909" xfId="0" applyNumberFormat="1" applyFont="1" applyFill="1" applyBorder="1" applyAlignment="1">
      <alignment horizontal="right"/>
    </xf>
    <xf numFmtId="1" fontId="49" fillId="12" borderId="1907" xfId="0" applyNumberFormat="1" applyFont="1" applyFill="1" applyBorder="1"/>
    <xf numFmtId="1" fontId="49" fillId="12" borderId="1910" xfId="0" applyNumberFormat="1" applyFont="1" applyFill="1" applyBorder="1"/>
    <xf numFmtId="1" fontId="49" fillId="12" borderId="1908" xfId="0" applyNumberFormat="1" applyFont="1" applyFill="1" applyBorder="1"/>
    <xf numFmtId="1" fontId="49" fillId="12" borderId="1911" xfId="0" applyNumberFormat="1" applyFont="1" applyFill="1" applyBorder="1"/>
    <xf numFmtId="1" fontId="49" fillId="12" borderId="1912" xfId="0" applyNumberFormat="1" applyFont="1" applyFill="1" applyBorder="1"/>
    <xf numFmtId="1" fontId="49" fillId="12" borderId="1909" xfId="0" applyNumberFormat="1" applyFont="1" applyFill="1" applyBorder="1"/>
    <xf numFmtId="1" fontId="6" fillId="14" borderId="966" xfId="1" applyNumberFormat="1" applyFont="1" applyFill="1" applyBorder="1" applyProtection="1"/>
    <xf numFmtId="1" fontId="6" fillId="14" borderId="614" xfId="1" applyNumberFormat="1" applyFont="1" applyFill="1" applyBorder="1" applyProtection="1"/>
    <xf numFmtId="1" fontId="6" fillId="14" borderId="924" xfId="1" applyNumberFormat="1" applyFont="1" applyFill="1" applyBorder="1" applyProtection="1"/>
    <xf numFmtId="1" fontId="32" fillId="12" borderId="270" xfId="0" applyNumberFormat="1" applyFont="1" applyFill="1" applyBorder="1"/>
    <xf numFmtId="1" fontId="32" fillId="12" borderId="268" xfId="0" applyNumberFormat="1" applyFont="1" applyFill="1" applyBorder="1"/>
    <xf numFmtId="1" fontId="32" fillId="12" borderId="33" xfId="0" applyNumberFormat="1" applyFont="1" applyFill="1" applyBorder="1"/>
    <xf numFmtId="1" fontId="32" fillId="12" borderId="68" xfId="0" applyNumberFormat="1" applyFont="1" applyFill="1" applyBorder="1"/>
    <xf numFmtId="1" fontId="32" fillId="12" borderId="944" xfId="0" applyNumberFormat="1" applyFont="1" applyFill="1" applyBorder="1"/>
    <xf numFmtId="1" fontId="32" fillId="12" borderId="953" xfId="0" applyNumberFormat="1" applyFont="1" applyFill="1" applyBorder="1"/>
    <xf numFmtId="1" fontId="32" fillId="12" borderId="892" xfId="0" applyNumberFormat="1" applyFont="1" applyFill="1" applyBorder="1"/>
    <xf numFmtId="1" fontId="32" fillId="12" borderId="894" xfId="0" applyNumberFormat="1" applyFont="1" applyFill="1" applyBorder="1"/>
    <xf numFmtId="1" fontId="6" fillId="0" borderId="2144" xfId="0" applyNumberFormat="1" applyFont="1" applyBorder="1"/>
    <xf numFmtId="1" fontId="6" fillId="0" borderId="2199" xfId="0" applyNumberFormat="1" applyFont="1" applyBorder="1"/>
    <xf numFmtId="1" fontId="6" fillId="0" borderId="2145" xfId="0" applyNumberFormat="1" applyFont="1" applyBorder="1"/>
    <xf numFmtId="1" fontId="6" fillId="0" borderId="2420" xfId="0" applyNumberFormat="1" applyFont="1" applyBorder="1" applyAlignment="1">
      <alignment horizontal="right" wrapText="1"/>
    </xf>
    <xf numFmtId="1" fontId="5" fillId="14" borderId="2424" xfId="0" applyNumberFormat="1" applyFont="1" applyFill="1" applyBorder="1" applyProtection="1">
      <protection hidden="1"/>
    </xf>
    <xf numFmtId="0" fontId="6" fillId="14" borderId="2424" xfId="0" applyFont="1" applyFill="1" applyBorder="1" applyProtection="1">
      <protection locked="0"/>
    </xf>
    <xf numFmtId="0" fontId="27" fillId="14" borderId="2424" xfId="0" applyFont="1" applyFill="1" applyBorder="1" applyAlignment="1" applyProtection="1">
      <alignment horizontal="center"/>
      <protection hidden="1"/>
    </xf>
    <xf numFmtId="0" fontId="3" fillId="14" borderId="2424" xfId="0" applyFont="1" applyFill="1" applyBorder="1" applyProtection="1">
      <protection locked="0" hidden="1"/>
    </xf>
    <xf numFmtId="0" fontId="6" fillId="0" borderId="2424" xfId="0" applyFont="1" applyBorder="1" applyProtection="1">
      <protection locked="0"/>
    </xf>
    <xf numFmtId="1" fontId="6" fillId="0" borderId="449" xfId="0" applyNumberFormat="1" applyFont="1" applyBorder="1" applyAlignment="1">
      <alignment horizontal="center" vertical="center"/>
    </xf>
    <xf numFmtId="1" fontId="32" fillId="23" borderId="444" xfId="0" applyNumberFormat="1" applyFont="1" applyFill="1" applyBorder="1"/>
    <xf numFmtId="1" fontId="32" fillId="23" borderId="50" xfId="0" applyNumberFormat="1" applyFont="1" applyFill="1" applyBorder="1"/>
    <xf numFmtId="1" fontId="32" fillId="23" borderId="39" xfId="0" applyNumberFormat="1" applyFont="1" applyFill="1" applyBorder="1"/>
    <xf numFmtId="1" fontId="32" fillId="23" borderId="435" xfId="0" applyNumberFormat="1" applyFont="1" applyFill="1" applyBorder="1"/>
    <xf numFmtId="1" fontId="32" fillId="23" borderId="240" xfId="0" applyNumberFormat="1" applyFont="1" applyFill="1" applyBorder="1"/>
    <xf numFmtId="1" fontId="32" fillId="23" borderId="21" xfId="0" applyNumberFormat="1" applyFont="1" applyFill="1" applyBorder="1"/>
    <xf numFmtId="0" fontId="19" fillId="5" borderId="14" xfId="12" applyFont="1" applyFill="1" applyAlignment="1">
      <alignment horizontal="center" vertical="center" wrapText="1"/>
      <protection locked="0"/>
    </xf>
    <xf numFmtId="1" fontId="6" fillId="2" borderId="1685" xfId="26" applyNumberFormat="1" applyFont="1" applyBorder="1" applyProtection="1">
      <protection locked="0"/>
    </xf>
    <xf numFmtId="1" fontId="6" fillId="12" borderId="2413" xfId="0" applyNumberFormat="1" applyFont="1" applyFill="1" applyBorder="1"/>
    <xf numFmtId="1" fontId="6" fillId="12" borderId="2447" xfId="0" applyNumberFormat="1" applyFont="1" applyFill="1" applyBorder="1"/>
    <xf numFmtId="1" fontId="6" fillId="4" borderId="2244" xfId="0" applyNumberFormat="1" applyFont="1" applyFill="1" applyBorder="1"/>
    <xf numFmtId="1" fontId="6" fillId="4" borderId="2391" xfId="0" applyNumberFormat="1" applyFont="1" applyFill="1" applyBorder="1"/>
    <xf numFmtId="1" fontId="6" fillId="2" borderId="1675" xfId="26" applyNumberFormat="1" applyFont="1" applyBorder="1" applyProtection="1">
      <protection locked="0"/>
    </xf>
    <xf numFmtId="1" fontId="6" fillId="2" borderId="1659" xfId="26" applyNumberFormat="1" applyFont="1" applyBorder="1" applyProtection="1">
      <protection locked="0"/>
    </xf>
    <xf numFmtId="1" fontId="6" fillId="4" borderId="1675" xfId="0" applyNumberFormat="1" applyFont="1" applyFill="1" applyBorder="1"/>
    <xf numFmtId="1" fontId="6" fillId="4" borderId="2199" xfId="0" applyNumberFormat="1" applyFont="1" applyFill="1" applyBorder="1"/>
    <xf numFmtId="0" fontId="5" fillId="0" borderId="2408" xfId="0" applyFont="1" applyBorder="1" applyProtection="1">
      <protection hidden="1"/>
    </xf>
    <xf numFmtId="1" fontId="5" fillId="14" borderId="2408" xfId="0" applyNumberFormat="1" applyFont="1" applyFill="1" applyBorder="1" applyProtection="1">
      <protection hidden="1"/>
    </xf>
    <xf numFmtId="0" fontId="2" fillId="0" borderId="2448" xfId="0" applyFont="1" applyBorder="1" applyAlignment="1" applyProtection="1">
      <alignment vertical="center"/>
      <protection hidden="1"/>
    </xf>
    <xf numFmtId="1" fontId="6" fillId="14" borderId="2424" xfId="0" applyNumberFormat="1" applyFont="1" applyFill="1" applyBorder="1" applyAlignment="1">
      <alignment horizontal="center" vertical="center" wrapText="1"/>
    </xf>
    <xf numFmtId="1" fontId="6" fillId="0" borderId="2428" xfId="0" applyNumberFormat="1" applyFont="1" applyBorder="1" applyAlignment="1">
      <alignment horizontal="center" vertical="center" wrapText="1"/>
    </xf>
    <xf numFmtId="1" fontId="6" fillId="0" borderId="2409" xfId="0" applyNumberFormat="1" applyFont="1" applyBorder="1" applyAlignment="1">
      <alignment horizontal="center" vertical="center" wrapText="1"/>
    </xf>
    <xf numFmtId="1" fontId="6" fillId="0" borderId="2439" xfId="0" applyNumberFormat="1" applyFont="1" applyBorder="1" applyAlignment="1">
      <alignment horizontal="center" vertical="center" wrapText="1"/>
    </xf>
    <xf numFmtId="1" fontId="6" fillId="0" borderId="2436" xfId="0" applyNumberFormat="1" applyFont="1" applyBorder="1" applyAlignment="1">
      <alignment horizontal="center" vertical="center" wrapText="1"/>
    </xf>
    <xf numFmtId="1" fontId="6" fillId="0" borderId="2425" xfId="0" applyNumberFormat="1" applyFont="1" applyBorder="1" applyAlignment="1">
      <alignment horizontal="center" vertical="center" wrapText="1"/>
    </xf>
    <xf numFmtId="1" fontId="6" fillId="0" borderId="2446" xfId="0" applyNumberFormat="1" applyFont="1" applyBorder="1" applyAlignment="1">
      <alignment vertical="center" wrapText="1"/>
    </xf>
    <xf numFmtId="1" fontId="6" fillId="0" borderId="2411" xfId="0" applyNumberFormat="1" applyFont="1" applyBorder="1" applyAlignment="1">
      <alignment horizontal="right"/>
    </xf>
    <xf numFmtId="1" fontId="6" fillId="5" borderId="2446" xfId="0" applyNumberFormat="1" applyFont="1" applyFill="1" applyBorder="1" applyProtection="1">
      <protection locked="0"/>
    </xf>
    <xf numFmtId="1" fontId="6" fillId="5" borderId="2449" xfId="0" applyNumberFormat="1" applyFont="1" applyFill="1" applyBorder="1" applyProtection="1">
      <protection locked="0"/>
    </xf>
    <xf numFmtId="1" fontId="6" fillId="0" borderId="815" xfId="0" applyNumberFormat="1" applyFont="1" applyBorder="1" applyAlignment="1">
      <alignment vertical="center" wrapText="1"/>
    </xf>
    <xf numFmtId="1" fontId="6" fillId="0" borderId="1659" xfId="0" applyNumberFormat="1" applyFont="1" applyBorder="1" applyAlignment="1">
      <alignment horizontal="right"/>
    </xf>
    <xf numFmtId="1" fontId="6" fillId="0" borderId="1844" xfId="0" applyNumberFormat="1" applyFont="1" applyBorder="1" applyAlignment="1">
      <alignment horizontal="right" wrapText="1"/>
    </xf>
    <xf numFmtId="1" fontId="6" fillId="5" borderId="2129" xfId="0" applyNumberFormat="1" applyFont="1" applyFill="1" applyBorder="1" applyProtection="1">
      <protection locked="0"/>
    </xf>
    <xf numFmtId="1" fontId="6" fillId="0" borderId="815" xfId="0" applyNumberFormat="1" applyFont="1" applyBorder="1" applyAlignment="1">
      <alignment horizontal="left" wrapText="1"/>
    </xf>
    <xf numFmtId="1" fontId="6" fillId="0" borderId="1662" xfId="0" applyNumberFormat="1" applyFont="1" applyBorder="1" applyAlignment="1">
      <alignment horizontal="right" wrapText="1"/>
    </xf>
    <xf numFmtId="1" fontId="6" fillId="0" borderId="2424" xfId="0" applyNumberFormat="1" applyFont="1" applyBorder="1" applyAlignment="1">
      <alignment horizontal="center"/>
    </xf>
    <xf numFmtId="1" fontId="6" fillId="0" borderId="2425" xfId="0" applyNumberFormat="1" applyFont="1" applyBorder="1" applyAlignment="1">
      <alignment horizontal="right"/>
    </xf>
    <xf numFmtId="1" fontId="6" fillId="0" borderId="2380" xfId="0" applyNumberFormat="1" applyFont="1" applyBorder="1" applyAlignment="1">
      <alignment horizontal="right"/>
    </xf>
    <xf numFmtId="1" fontId="6" fillId="0" borderId="2436" xfId="0" applyNumberFormat="1" applyFont="1" applyBorder="1" applyAlignment="1">
      <alignment horizontal="right"/>
    </xf>
    <xf numFmtId="1" fontId="6" fillId="0" borderId="2376" xfId="0" applyNumberFormat="1" applyFont="1" applyBorder="1"/>
    <xf numFmtId="1" fontId="6" fillId="0" borderId="2443" xfId="0" applyNumberFormat="1" applyFont="1" applyBorder="1" applyAlignment="1">
      <alignment horizontal="right" wrapText="1"/>
    </xf>
    <xf numFmtId="1" fontId="6" fillId="0" borderId="2414" xfId="0" applyNumberFormat="1" applyFont="1" applyBorder="1" applyAlignment="1">
      <alignment horizontal="right" wrapText="1"/>
    </xf>
    <xf numFmtId="1" fontId="6" fillId="0" borderId="2439" xfId="0" applyNumberFormat="1" applyFont="1" applyBorder="1" applyAlignment="1">
      <alignment horizontal="right"/>
    </xf>
    <xf numFmtId="1" fontId="6" fillId="5" borderId="2439" xfId="0" applyNumberFormat="1" applyFont="1" applyFill="1" applyBorder="1" applyProtection="1">
      <protection locked="0"/>
    </xf>
    <xf numFmtId="1" fontId="6" fillId="5" borderId="2445" xfId="0" applyNumberFormat="1" applyFont="1" applyFill="1" applyBorder="1" applyProtection="1">
      <protection locked="0"/>
    </xf>
    <xf numFmtId="1" fontId="6" fillId="3" borderId="2424" xfId="0" applyNumberFormat="1" applyFont="1" applyFill="1" applyBorder="1" applyAlignment="1">
      <alignment horizontal="center" vertical="center" wrapText="1"/>
    </xf>
    <xf numFmtId="0" fontId="32" fillId="48" borderId="922" xfId="0" applyFont="1" applyFill="1" applyBorder="1"/>
    <xf numFmtId="0" fontId="64" fillId="48" borderId="0" xfId="0" applyFont="1" applyFill="1"/>
    <xf numFmtId="1" fontId="32" fillId="48" borderId="0" xfId="0" applyNumberFormat="1" applyFont="1" applyFill="1"/>
    <xf numFmtId="1" fontId="32" fillId="48" borderId="1299" xfId="0" applyNumberFormat="1" applyFont="1" applyFill="1" applyBorder="1" applyAlignment="1">
      <alignment horizontal="center" vertical="center" wrapText="1"/>
    </xf>
    <xf numFmtId="1" fontId="32" fillId="48" borderId="567" xfId="0" applyNumberFormat="1" applyFont="1" applyFill="1" applyBorder="1" applyAlignment="1">
      <alignment horizontal="center" vertical="center"/>
    </xf>
    <xf numFmtId="1" fontId="32" fillId="48" borderId="577" xfId="0" applyNumberFormat="1" applyFont="1" applyFill="1" applyBorder="1" applyAlignment="1">
      <alignment horizontal="center" vertical="center" wrapText="1"/>
    </xf>
    <xf numFmtId="1" fontId="32" fillId="48" borderId="565" xfId="0" applyNumberFormat="1" applyFont="1" applyFill="1" applyBorder="1" applyAlignment="1">
      <alignment horizontal="center" vertical="center" wrapText="1"/>
    </xf>
    <xf numFmtId="1" fontId="32" fillId="48" borderId="1367" xfId="0" applyNumberFormat="1" applyFont="1" applyFill="1" applyBorder="1" applyAlignment="1">
      <alignment horizontal="center" vertical="center" wrapText="1"/>
    </xf>
    <xf numFmtId="1" fontId="32" fillId="48" borderId="1396" xfId="0" applyNumberFormat="1" applyFont="1" applyFill="1" applyBorder="1" applyAlignment="1">
      <alignment horizontal="center" vertical="center" wrapText="1"/>
    </xf>
    <xf numFmtId="1" fontId="32" fillId="48" borderId="584" xfId="0" applyNumberFormat="1" applyFont="1" applyFill="1" applyBorder="1"/>
    <xf numFmtId="1" fontId="32" fillId="48" borderId="585" xfId="14" applyNumberFormat="1" applyFont="1" applyFill="1" applyBorder="1" applyAlignment="1" applyProtection="1">
      <alignment horizontal="right"/>
    </xf>
    <xf numFmtId="1" fontId="32" fillId="48" borderId="586" xfId="14" applyNumberFormat="1" applyFont="1" applyFill="1" applyBorder="1" applyAlignment="1" applyProtection="1">
      <alignment horizontal="right"/>
    </xf>
    <xf numFmtId="1" fontId="32" fillId="48" borderId="588" xfId="14" applyNumberFormat="1" applyFont="1" applyFill="1" applyBorder="1" applyAlignment="1" applyProtection="1">
      <alignment horizontal="right"/>
    </xf>
    <xf numFmtId="1" fontId="32" fillId="48" borderId="1113" xfId="0" applyNumberFormat="1" applyFont="1" applyFill="1" applyBorder="1"/>
    <xf numFmtId="1" fontId="32" fillId="48" borderId="1116" xfId="0" applyNumberFormat="1" applyFont="1" applyFill="1" applyBorder="1"/>
    <xf numFmtId="1" fontId="32" fillId="48" borderId="1112" xfId="0" applyNumberFormat="1" applyFont="1" applyFill="1" applyBorder="1"/>
    <xf numFmtId="1" fontId="32" fillId="48" borderId="1114" xfId="0" applyNumberFormat="1" applyFont="1" applyFill="1" applyBorder="1"/>
    <xf numFmtId="1" fontId="32" fillId="48" borderId="537" xfId="0" applyNumberFormat="1" applyFont="1" applyFill="1" applyBorder="1" applyAlignment="1">
      <alignment horizontal="left" vertical="center" wrapText="1"/>
    </xf>
    <xf numFmtId="1" fontId="32" fillId="48" borderId="539" xfId="14" applyNumberFormat="1" applyFont="1" applyFill="1" applyBorder="1" applyAlignment="1" applyProtection="1">
      <alignment horizontal="right"/>
    </xf>
    <xf numFmtId="1" fontId="32" fillId="48" borderId="578" xfId="14" applyNumberFormat="1" applyFont="1" applyFill="1" applyBorder="1" applyAlignment="1" applyProtection="1">
      <alignment horizontal="right"/>
    </xf>
    <xf numFmtId="1" fontId="32" fillId="48" borderId="609" xfId="14" applyNumberFormat="1" applyFont="1" applyFill="1" applyBorder="1" applyAlignment="1" applyProtection="1">
      <alignment horizontal="right"/>
    </xf>
    <xf numFmtId="1" fontId="32" fillId="48" borderId="1413" xfId="0" applyNumberFormat="1" applyFont="1" applyFill="1" applyBorder="1"/>
    <xf numFmtId="1" fontId="32" fillId="48" borderId="1006" xfId="0" applyNumberFormat="1" applyFont="1" applyFill="1" applyBorder="1"/>
    <xf numFmtId="1" fontId="32" fillId="48" borderId="1414" xfId="0" applyNumberFormat="1" applyFont="1" applyFill="1" applyBorder="1"/>
    <xf numFmtId="1" fontId="32" fillId="48" borderId="884" xfId="0" applyNumberFormat="1" applyFont="1" applyFill="1" applyBorder="1"/>
    <xf numFmtId="1" fontId="32" fillId="0" borderId="2244" xfId="0" applyNumberFormat="1" applyFont="1" applyBorder="1"/>
    <xf numFmtId="1" fontId="32" fillId="0" borderId="1827" xfId="0" applyNumberFormat="1" applyFont="1" applyBorder="1"/>
    <xf numFmtId="1" fontId="32" fillId="0" borderId="2451" xfId="0" applyNumberFormat="1" applyFont="1" applyBorder="1"/>
    <xf numFmtId="1" fontId="6" fillId="0" borderId="1827" xfId="0" applyNumberFormat="1" applyFont="1" applyBorder="1" applyAlignment="1">
      <alignment horizontal="left" vertical="center" wrapText="1"/>
    </xf>
    <xf numFmtId="1" fontId="6" fillId="0" borderId="267" xfId="0" applyNumberFormat="1" applyFont="1" applyBorder="1" applyAlignment="1">
      <alignment horizontal="right" wrapText="1"/>
    </xf>
    <xf numFmtId="1" fontId="6" fillId="0" borderId="259" xfId="0" applyNumberFormat="1" applyFont="1" applyBorder="1" applyAlignment="1">
      <alignment horizontal="right" wrapText="1"/>
    </xf>
    <xf numFmtId="1" fontId="6" fillId="5" borderId="259" xfId="0" applyNumberFormat="1" applyFont="1" applyFill="1" applyBorder="1" applyProtection="1">
      <protection locked="0"/>
    </xf>
    <xf numFmtId="1" fontId="6" fillId="12" borderId="256" xfId="0" applyNumberFormat="1" applyFont="1" applyFill="1" applyBorder="1" applyProtection="1">
      <protection locked="0"/>
    </xf>
    <xf numFmtId="1" fontId="6" fillId="0" borderId="2380" xfId="0" applyNumberFormat="1" applyFont="1" applyBorder="1" applyAlignment="1">
      <alignment horizontal="center" vertical="center"/>
    </xf>
    <xf numFmtId="1" fontId="6" fillId="0" borderId="2413" xfId="0" applyNumberFormat="1" applyFont="1" applyBorder="1" applyAlignment="1">
      <alignment horizontal="left" vertical="center" wrapText="1"/>
    </xf>
    <xf numFmtId="1" fontId="6" fillId="0" borderId="2244" xfId="0" applyNumberFormat="1" applyFont="1" applyBorder="1" applyAlignment="1">
      <alignment horizontal="left" vertical="center" wrapText="1"/>
    </xf>
    <xf numFmtId="1" fontId="6" fillId="0" borderId="1675" xfId="0" applyNumberFormat="1" applyFont="1" applyBorder="1" applyAlignment="1">
      <alignment horizontal="left" vertical="center" wrapText="1"/>
    </xf>
    <xf numFmtId="1" fontId="6" fillId="0" borderId="1685" xfId="0" applyNumberFormat="1" applyFont="1" applyBorder="1" applyAlignment="1">
      <alignment horizontal="left" vertical="center" wrapText="1"/>
    </xf>
    <xf numFmtId="1" fontId="6" fillId="0" borderId="1833" xfId="0" applyNumberFormat="1" applyFont="1" applyBorder="1" applyAlignment="1">
      <alignment horizontal="right" wrapText="1"/>
    </xf>
    <xf numFmtId="1" fontId="32" fillId="0" borderId="2424" xfId="0" applyNumberFormat="1" applyFont="1" applyBorder="1"/>
    <xf numFmtId="1" fontId="32" fillId="0" borderId="2436" xfId="0" applyNumberFormat="1" applyFont="1" applyBorder="1"/>
    <xf numFmtId="1" fontId="32" fillId="0" borderId="2398" xfId="0" applyNumberFormat="1" applyFont="1" applyBorder="1"/>
    <xf numFmtId="1" fontId="32" fillId="12" borderId="2435" xfId="0" applyNumberFormat="1" applyFont="1" applyFill="1" applyBorder="1" applyAlignment="1">
      <alignment horizontal="center"/>
    </xf>
    <xf numFmtId="1" fontId="32" fillId="12" borderId="2436" xfId="0" applyNumberFormat="1" applyFont="1" applyFill="1" applyBorder="1" applyAlignment="1">
      <alignment horizontal="center"/>
    </xf>
    <xf numFmtId="1" fontId="32" fillId="4" borderId="2405" xfId="0" applyNumberFormat="1" applyFont="1" applyFill="1" applyBorder="1"/>
    <xf numFmtId="1" fontId="32" fillId="4" borderId="2406" xfId="0" applyNumberFormat="1" applyFont="1" applyFill="1" applyBorder="1"/>
    <xf numFmtId="1" fontId="32" fillId="4" borderId="2450" xfId="0" applyNumberFormat="1" applyFont="1" applyFill="1" applyBorder="1"/>
    <xf numFmtId="1" fontId="32" fillId="4" borderId="416" xfId="0" applyNumberFormat="1" applyFont="1" applyFill="1" applyBorder="1"/>
    <xf numFmtId="1" fontId="32" fillId="4" borderId="0" xfId="0" applyNumberFormat="1" applyFont="1" applyFill="1"/>
    <xf numFmtId="1" fontId="32" fillId="4" borderId="114" xfId="0" applyNumberFormat="1" applyFont="1" applyFill="1" applyBorder="1"/>
    <xf numFmtId="1" fontId="32" fillId="4" borderId="2445" xfId="0" applyNumberFormat="1" applyFont="1" applyFill="1" applyBorder="1"/>
    <xf numFmtId="1" fontId="32" fillId="4" borderId="2440" xfId="0" applyNumberFormat="1" applyFont="1" applyFill="1" applyBorder="1"/>
    <xf numFmtId="1" fontId="32" fillId="4" borderId="2197" xfId="0" applyNumberFormat="1" applyFont="1" applyFill="1" applyBorder="1"/>
    <xf numFmtId="1" fontId="32" fillId="4" borderId="2408" xfId="0" applyNumberFormat="1" applyFont="1" applyFill="1" applyBorder="1"/>
    <xf numFmtId="1" fontId="32" fillId="4" borderId="428" xfId="0" applyNumberFormat="1" applyFont="1" applyFill="1" applyBorder="1"/>
    <xf numFmtId="1" fontId="32" fillId="4" borderId="2441" xfId="0" applyNumberFormat="1" applyFont="1" applyFill="1" applyBorder="1"/>
    <xf numFmtId="1" fontId="32" fillId="4" borderId="2434" xfId="0" applyNumberFormat="1" applyFont="1" applyFill="1" applyBorder="1"/>
    <xf numFmtId="1" fontId="32" fillId="4" borderId="2407" xfId="0" applyNumberFormat="1" applyFont="1" applyFill="1" applyBorder="1"/>
    <xf numFmtId="1" fontId="32" fillId="4" borderId="129" xfId="0" applyNumberFormat="1" applyFont="1" applyFill="1" applyBorder="1"/>
    <xf numFmtId="1" fontId="32" fillId="4" borderId="510" xfId="0" applyNumberFormat="1" applyFont="1" applyFill="1" applyBorder="1"/>
    <xf numFmtId="1" fontId="32" fillId="4" borderId="2437" xfId="0" applyNumberFormat="1" applyFont="1" applyFill="1" applyBorder="1"/>
    <xf numFmtId="1" fontId="32" fillId="4" borderId="2439" xfId="0" applyNumberFormat="1" applyFont="1" applyFill="1" applyBorder="1"/>
    <xf numFmtId="1" fontId="32" fillId="12" borderId="2435" xfId="0" applyNumberFormat="1" applyFont="1" applyFill="1" applyBorder="1"/>
    <xf numFmtId="1" fontId="32" fillId="12" borderId="2436" xfId="0" applyNumberFormat="1" applyFont="1" applyFill="1" applyBorder="1"/>
    <xf numFmtId="1" fontId="32" fillId="4" borderId="2428" xfId="0" applyNumberFormat="1" applyFont="1" applyFill="1" applyBorder="1"/>
    <xf numFmtId="1" fontId="32" fillId="4" borderId="2174" xfId="0" applyNumberFormat="1" applyFont="1" applyFill="1" applyBorder="1"/>
    <xf numFmtId="1" fontId="32" fillId="4" borderId="2443" xfId="0" applyNumberFormat="1" applyFont="1" applyFill="1" applyBorder="1"/>
    <xf numFmtId="1" fontId="32" fillId="4" borderId="2426" xfId="0" applyNumberFormat="1" applyFont="1" applyFill="1" applyBorder="1"/>
    <xf numFmtId="1" fontId="32" fillId="4" borderId="2433" xfId="0" applyNumberFormat="1" applyFont="1" applyFill="1" applyBorder="1"/>
    <xf numFmtId="1" fontId="32" fillId="4" borderId="2438" xfId="0" applyNumberFormat="1" applyFont="1" applyFill="1" applyBorder="1"/>
    <xf numFmtId="1" fontId="32" fillId="4" borderId="2409" xfId="0" applyNumberFormat="1" applyFont="1" applyFill="1" applyBorder="1" applyAlignment="1">
      <alignment wrapText="1"/>
    </xf>
    <xf numFmtId="1" fontId="32" fillId="4" borderId="2452" xfId="0" applyNumberFormat="1" applyFont="1" applyFill="1" applyBorder="1" applyAlignment="1">
      <alignment wrapText="1"/>
    </xf>
    <xf numFmtId="1" fontId="32" fillId="4" borderId="2414" xfId="0" applyNumberFormat="1" applyFont="1" applyFill="1" applyBorder="1" applyAlignment="1">
      <alignment wrapText="1"/>
    </xf>
    <xf numFmtId="1" fontId="32" fillId="12" borderId="2446" xfId="0" applyNumberFormat="1" applyFont="1" applyFill="1" applyBorder="1"/>
    <xf numFmtId="1" fontId="32" fillId="12" borderId="2423" xfId="0" applyNumberFormat="1" applyFont="1" applyFill="1" applyBorder="1"/>
    <xf numFmtId="1" fontId="32" fillId="12" borderId="2430" xfId="0" applyNumberFormat="1" applyFont="1" applyFill="1" applyBorder="1"/>
    <xf numFmtId="1" fontId="32" fillId="4" borderId="1833" xfId="0" applyNumberFormat="1" applyFont="1" applyFill="1" applyBorder="1"/>
    <xf numFmtId="1" fontId="32" fillId="4" borderId="1843" xfId="0" applyNumberFormat="1" applyFont="1" applyFill="1" applyBorder="1"/>
    <xf numFmtId="1" fontId="32" fillId="12" borderId="2408" xfId="0" applyNumberFormat="1" applyFont="1" applyFill="1" applyBorder="1" applyAlignment="1">
      <alignment horizontal="right" wrapText="1"/>
    </xf>
    <xf numFmtId="1" fontId="32" fillId="12" borderId="428" xfId="0" applyNumberFormat="1" applyFont="1" applyFill="1" applyBorder="1" applyAlignment="1">
      <alignment horizontal="right" wrapText="1"/>
    </xf>
    <xf numFmtId="1" fontId="32" fillId="12" borderId="2244" xfId="0" applyNumberFormat="1" applyFont="1" applyFill="1" applyBorder="1" applyAlignment="1">
      <alignment horizontal="right" wrapText="1"/>
    </xf>
    <xf numFmtId="1" fontId="32" fillId="12" borderId="1833" xfId="0" applyNumberFormat="1" applyFont="1" applyFill="1" applyBorder="1" applyAlignment="1">
      <alignment horizontal="right" wrapText="1"/>
    </xf>
    <xf numFmtId="1" fontId="32" fillId="12" borderId="1843" xfId="0" applyNumberFormat="1" applyFont="1" applyFill="1" applyBorder="1" applyAlignment="1">
      <alignment horizontal="right" wrapText="1"/>
    </xf>
    <xf numFmtId="1" fontId="32" fillId="12" borderId="1834" xfId="0" applyNumberFormat="1" applyFont="1" applyFill="1" applyBorder="1" applyAlignment="1">
      <alignment horizontal="right" wrapText="1"/>
    </xf>
    <xf numFmtId="1" fontId="32" fillId="5" borderId="2411" xfId="0" applyNumberFormat="1" applyFont="1" applyFill="1" applyBorder="1" applyProtection="1">
      <protection locked="0"/>
    </xf>
    <xf numFmtId="1" fontId="32" fillId="14" borderId="2436" xfId="0" applyNumberFormat="1" applyFont="1" applyFill="1" applyBorder="1"/>
    <xf numFmtId="1" fontId="6" fillId="0" borderId="2429" xfId="4" applyNumberFormat="1" applyFont="1" applyFill="1" applyBorder="1" applyAlignment="1">
      <alignment horizontal="center" vertical="center" wrapText="1"/>
    </xf>
    <xf numFmtId="1" fontId="6" fillId="5" borderId="2430" xfId="1" applyNumberFormat="1" applyFont="1" applyFill="1" applyBorder="1" applyProtection="1">
      <protection locked="0"/>
    </xf>
    <xf numFmtId="1" fontId="6" fillId="5" borderId="2243" xfId="1" applyNumberFormat="1" applyFont="1" applyFill="1" applyBorder="1" applyProtection="1">
      <protection locked="0"/>
    </xf>
    <xf numFmtId="1" fontId="6" fillId="0" borderId="2429" xfId="1" applyNumberFormat="1" applyFont="1" applyBorder="1" applyAlignment="1">
      <alignment horizontal="right"/>
    </xf>
    <xf numFmtId="1" fontId="6" fillId="0" borderId="2425" xfId="4" applyNumberFormat="1" applyFont="1" applyFill="1" applyBorder="1" applyAlignment="1">
      <alignment horizontal="center" vertical="center" wrapText="1"/>
    </xf>
    <xf numFmtId="1" fontId="6" fillId="0" borderId="2436" xfId="4" applyNumberFormat="1" applyFont="1" applyFill="1" applyBorder="1" applyAlignment="1">
      <alignment horizontal="center" vertical="center" wrapText="1"/>
    </xf>
    <xf numFmtId="1" fontId="6" fillId="5" borderId="2420" xfId="1" applyNumberFormat="1" applyFont="1" applyFill="1" applyBorder="1" applyProtection="1">
      <protection locked="0"/>
    </xf>
    <xf numFmtId="1" fontId="6" fillId="5" borderId="2411" xfId="1" applyNumberFormat="1" applyFont="1" applyFill="1" applyBorder="1" applyProtection="1">
      <protection locked="0"/>
    </xf>
    <xf numFmtId="1" fontId="6" fillId="5" borderId="2245" xfId="1" applyNumberFormat="1" applyFont="1" applyFill="1" applyBorder="1" applyProtection="1">
      <protection locked="0"/>
    </xf>
    <xf numFmtId="1" fontId="6" fillId="5" borderId="1421" xfId="1" applyNumberFormat="1" applyFont="1" applyFill="1" applyBorder="1" applyProtection="1">
      <protection locked="0"/>
    </xf>
    <xf numFmtId="1" fontId="6" fillId="5" borderId="1012" xfId="1" applyNumberFormat="1" applyFont="1" applyFill="1" applyBorder="1" applyProtection="1">
      <protection locked="0"/>
    </xf>
    <xf numFmtId="1" fontId="6" fillId="5" borderId="1052" xfId="1" applyNumberFormat="1" applyFont="1" applyFill="1" applyBorder="1" applyProtection="1">
      <protection locked="0"/>
    </xf>
    <xf numFmtId="1" fontId="6" fillId="0" borderId="2425" xfId="1" applyNumberFormat="1" applyFont="1" applyBorder="1" applyAlignment="1">
      <alignment horizontal="right"/>
    </xf>
    <xf numFmtId="1" fontId="6" fillId="0" borderId="2436" xfId="1" applyNumberFormat="1" applyFont="1" applyBorder="1" applyAlignment="1">
      <alignment horizontal="right"/>
    </xf>
    <xf numFmtId="1" fontId="6" fillId="5" borderId="958" xfId="1" applyNumberFormat="1" applyFont="1" applyFill="1" applyBorder="1" applyProtection="1">
      <protection locked="0"/>
    </xf>
    <xf numFmtId="1" fontId="6" fillId="0" borderId="2376" xfId="4" applyNumberFormat="1" applyFont="1" applyFill="1" applyBorder="1" applyAlignment="1">
      <alignment horizontal="center" vertical="center" wrapText="1"/>
    </xf>
    <xf numFmtId="1" fontId="6" fillId="5" borderId="2449" xfId="1" applyNumberFormat="1" applyFont="1" applyFill="1" applyBorder="1" applyProtection="1">
      <protection locked="0"/>
    </xf>
    <xf numFmtId="1" fontId="6" fillId="5" borderId="2269" xfId="1" applyNumberFormat="1" applyFont="1" applyFill="1" applyBorder="1" applyProtection="1">
      <protection locked="0"/>
    </xf>
    <xf numFmtId="1" fontId="6" fillId="5" borderId="1836" xfId="1" applyNumberFormat="1" applyFont="1" applyFill="1" applyBorder="1" applyProtection="1">
      <protection locked="0"/>
    </xf>
    <xf numFmtId="1" fontId="6" fillId="5" borderId="957" xfId="1" applyNumberFormat="1" applyFont="1" applyFill="1" applyBorder="1" applyProtection="1">
      <protection locked="0"/>
    </xf>
    <xf numFmtId="1" fontId="6" fillId="0" borderId="2376" xfId="1" applyNumberFormat="1" applyFont="1" applyBorder="1" applyAlignment="1">
      <alignment horizontal="right"/>
    </xf>
    <xf numFmtId="1" fontId="6" fillId="49" borderId="256" xfId="0" applyNumberFormat="1" applyFont="1" applyFill="1" applyBorder="1"/>
    <xf numFmtId="1" fontId="6" fillId="49" borderId="1497" xfId="0" applyNumberFormat="1" applyFont="1" applyFill="1" applyBorder="1"/>
    <xf numFmtId="1" fontId="6" fillId="49" borderId="1838" xfId="0" applyNumberFormat="1" applyFont="1" applyFill="1" applyBorder="1"/>
    <xf numFmtId="1" fontId="6" fillId="0" borderId="2120" xfId="0" applyNumberFormat="1" applyFont="1" applyBorder="1" applyAlignment="1">
      <alignment horizontal="center" vertical="center" wrapText="1"/>
    </xf>
    <xf numFmtId="1" fontId="6" fillId="0" borderId="2113" xfId="0" applyNumberFormat="1" applyFont="1" applyBorder="1" applyAlignment="1">
      <alignment horizontal="center" vertical="center" wrapText="1"/>
    </xf>
    <xf numFmtId="1" fontId="6" fillId="0" borderId="2109" xfId="0" applyNumberFormat="1" applyFont="1" applyBorder="1" applyAlignment="1">
      <alignment horizontal="center" vertical="center" wrapText="1"/>
    </xf>
    <xf numFmtId="1" fontId="6" fillId="0" borderId="1659" xfId="0" applyNumberFormat="1" applyFont="1" applyBorder="1" applyAlignment="1">
      <alignment wrapText="1"/>
    </xf>
    <xf numFmtId="1" fontId="6" fillId="0" borderId="1659" xfId="0" applyNumberFormat="1" applyFont="1" applyBorder="1" applyAlignment="1">
      <alignment horizontal="left" vertical="center" wrapText="1"/>
    </xf>
    <xf numFmtId="1" fontId="6" fillId="0" borderId="2165" xfId="0" applyNumberFormat="1" applyFont="1" applyBorder="1" applyAlignment="1">
      <alignment horizontal="center" vertical="center" wrapText="1"/>
    </xf>
    <xf numFmtId="1" fontId="6" fillId="14" borderId="2092" xfId="0" applyNumberFormat="1" applyFont="1" applyFill="1" applyBorder="1" applyAlignment="1">
      <alignment horizontal="center" vertical="center"/>
    </xf>
    <xf numFmtId="1" fontId="6" fillId="0" borderId="352" xfId="0" applyNumberFormat="1" applyFont="1" applyBorder="1" applyAlignment="1">
      <alignment horizontal="right" wrapText="1"/>
    </xf>
    <xf numFmtId="1" fontId="5" fillId="14" borderId="0" xfId="0" applyNumberFormat="1" applyFont="1" applyFill="1" applyProtection="1">
      <protection locked="0"/>
    </xf>
    <xf numFmtId="1" fontId="6" fillId="0" borderId="1413" xfId="0" applyNumberFormat="1" applyFont="1" applyBorder="1"/>
    <xf numFmtId="1" fontId="6" fillId="4" borderId="2268" xfId="0" applyNumberFormat="1" applyFont="1" applyFill="1" applyBorder="1"/>
    <xf numFmtId="1" fontId="6" fillId="0" borderId="2429" xfId="0" applyNumberFormat="1" applyFont="1" applyBorder="1" applyAlignment="1">
      <alignment horizontal="center" vertical="center" wrapText="1"/>
    </xf>
    <xf numFmtId="1" fontId="6" fillId="4" borderId="2454" xfId="0" applyNumberFormat="1" applyFont="1" applyFill="1" applyBorder="1"/>
    <xf numFmtId="1" fontId="6" fillId="4" borderId="2407" xfId="0" applyNumberFormat="1" applyFont="1" applyFill="1" applyBorder="1"/>
    <xf numFmtId="1" fontId="6" fillId="4" borderId="2444" xfId="0" applyNumberFormat="1" applyFont="1" applyFill="1" applyBorder="1"/>
    <xf numFmtId="1" fontId="6" fillId="12" borderId="1834" xfId="0" applyNumberFormat="1" applyFont="1" applyFill="1" applyBorder="1" applyProtection="1">
      <protection locked="0"/>
    </xf>
    <xf numFmtId="1" fontId="6" fillId="0" borderId="2184" xfId="0" applyNumberFormat="1" applyFont="1" applyBorder="1" applyAlignment="1">
      <alignment horizontal="right" wrapText="1"/>
    </xf>
    <xf numFmtId="1" fontId="13" fillId="0" borderId="0" xfId="0" applyNumberFormat="1" applyFont="1" applyAlignment="1">
      <alignment horizontal="left" vertical="center"/>
    </xf>
    <xf numFmtId="1" fontId="6" fillId="0" borderId="1677" xfId="0" applyNumberFormat="1" applyFont="1" applyBorder="1" applyAlignment="1">
      <alignment vertical="center" wrapText="1"/>
    </xf>
    <xf numFmtId="1" fontId="6" fillId="0" borderId="1841" xfId="0" applyNumberFormat="1" applyFont="1" applyBorder="1"/>
    <xf numFmtId="1" fontId="6" fillId="0" borderId="1835" xfId="0" applyNumberFormat="1" applyFont="1" applyBorder="1"/>
    <xf numFmtId="1" fontId="13" fillId="3" borderId="0" xfId="0" applyNumberFormat="1" applyFont="1" applyFill="1" applyAlignment="1">
      <alignment vertical="center" wrapText="1"/>
    </xf>
    <xf numFmtId="1" fontId="4" fillId="14" borderId="2132" xfId="0" applyNumberFormat="1" applyFont="1" applyFill="1" applyBorder="1"/>
    <xf numFmtId="1" fontId="4" fillId="0" borderId="2132" xfId="0" applyNumberFormat="1" applyFont="1" applyBorder="1"/>
    <xf numFmtId="1" fontId="6" fillId="0" borderId="2121" xfId="0" applyNumberFormat="1" applyFont="1" applyBorder="1" applyAlignment="1">
      <alignment horizontal="center" vertical="center" wrapText="1"/>
    </xf>
    <xf numFmtId="1" fontId="13" fillId="0" borderId="2092" xfId="0" applyNumberFormat="1" applyFont="1" applyBorder="1"/>
    <xf numFmtId="1" fontId="6" fillId="0" borderId="2108" xfId="0" applyNumberFormat="1" applyFont="1" applyBorder="1"/>
    <xf numFmtId="1" fontId="6" fillId="5" borderId="2118" xfId="0" applyNumberFormat="1" applyFont="1" applyFill="1" applyBorder="1" applyProtection="1">
      <protection locked="0"/>
    </xf>
    <xf numFmtId="1" fontId="6" fillId="5" borderId="1841" xfId="0" applyNumberFormat="1" applyFont="1" applyFill="1" applyBorder="1" applyProtection="1">
      <protection locked="0"/>
    </xf>
    <xf numFmtId="1" fontId="6" fillId="0" borderId="1647" xfId="0" applyNumberFormat="1" applyFont="1" applyBorder="1" applyAlignment="1">
      <alignment vertical="center" wrapText="1"/>
    </xf>
    <xf numFmtId="1" fontId="6" fillId="0" borderId="1837" xfId="0" applyNumberFormat="1" applyFont="1" applyBorder="1" applyAlignment="1">
      <alignment vertical="center" wrapText="1"/>
    </xf>
    <xf numFmtId="1" fontId="6" fillId="0" borderId="1650" xfId="0" applyNumberFormat="1" applyFont="1" applyBorder="1" applyAlignment="1">
      <alignment vertical="center" wrapText="1"/>
    </xf>
    <xf numFmtId="1" fontId="6" fillId="0" borderId="1675" xfId="0" applyNumberFormat="1" applyFont="1" applyBorder="1" applyAlignment="1">
      <alignment vertical="center" wrapText="1"/>
    </xf>
    <xf numFmtId="1" fontId="6" fillId="0" borderId="1583" xfId="0" applyNumberFormat="1" applyFont="1" applyBorder="1" applyAlignment="1">
      <alignment vertical="center" wrapText="1"/>
    </xf>
    <xf numFmtId="1" fontId="6" fillId="0" borderId="809" xfId="0" applyNumberFormat="1" applyFont="1" applyBorder="1" applyAlignment="1">
      <alignment vertical="center" wrapText="1"/>
    </xf>
    <xf numFmtId="1" fontId="6" fillId="0" borderId="1659" xfId="0" applyNumberFormat="1" applyFont="1" applyBorder="1"/>
    <xf numFmtId="1" fontId="6" fillId="4" borderId="1583" xfId="0" applyNumberFormat="1" applyFont="1" applyFill="1" applyBorder="1"/>
    <xf numFmtId="1" fontId="6" fillId="4" borderId="1659" xfId="0" applyNumberFormat="1" applyFont="1" applyFill="1" applyBorder="1"/>
    <xf numFmtId="1" fontId="6" fillId="4" borderId="965" xfId="0" applyNumberFormat="1" applyFont="1" applyFill="1" applyBorder="1"/>
    <xf numFmtId="1" fontId="6" fillId="3" borderId="1675" xfId="0" applyNumberFormat="1" applyFont="1" applyFill="1" applyBorder="1" applyAlignment="1">
      <alignment vertical="center" wrapText="1"/>
    </xf>
    <xf numFmtId="1" fontId="6" fillId="3" borderId="1583" xfId="0" applyNumberFormat="1" applyFont="1" applyFill="1" applyBorder="1" applyAlignment="1">
      <alignment vertical="center" wrapText="1"/>
    </xf>
    <xf numFmtId="1" fontId="6" fillId="3" borderId="1845" xfId="0" applyNumberFormat="1" applyFont="1" applyFill="1" applyBorder="1" applyAlignment="1">
      <alignment vertical="center" wrapText="1"/>
    </xf>
    <xf numFmtId="1" fontId="6" fillId="3" borderId="1844" xfId="0" applyNumberFormat="1" applyFont="1" applyFill="1" applyBorder="1" applyAlignment="1">
      <alignment vertical="center" wrapText="1"/>
    </xf>
    <xf numFmtId="1" fontId="6" fillId="3" borderId="809" xfId="0" applyNumberFormat="1" applyFont="1" applyFill="1" applyBorder="1" applyAlignment="1">
      <alignment vertical="center" wrapText="1"/>
    </xf>
    <xf numFmtId="1" fontId="6" fillId="3" borderId="1836" xfId="0" applyNumberFormat="1" applyFont="1" applyFill="1" applyBorder="1" applyAlignment="1">
      <alignment vertical="center" wrapText="1"/>
    </xf>
    <xf numFmtId="1" fontId="6" fillId="3" borderId="1658" xfId="0" applyNumberFormat="1" applyFont="1" applyFill="1" applyBorder="1" applyAlignment="1">
      <alignment vertical="center" wrapText="1"/>
    </xf>
    <xf numFmtId="1" fontId="6" fillId="4" borderId="725" xfId="0" applyNumberFormat="1" applyFont="1" applyFill="1" applyBorder="1"/>
    <xf numFmtId="1" fontId="6" fillId="4" borderId="1720" xfId="0" applyNumberFormat="1" applyFont="1" applyFill="1" applyBorder="1"/>
    <xf numFmtId="1" fontId="6" fillId="4" borderId="1824" xfId="0" applyNumberFormat="1" applyFont="1" applyFill="1" applyBorder="1"/>
    <xf numFmtId="1" fontId="6" fillId="5" borderId="1824" xfId="0" applyNumberFormat="1" applyFont="1" applyFill="1" applyBorder="1" applyProtection="1">
      <protection locked="0"/>
    </xf>
    <xf numFmtId="1" fontId="6" fillId="5" borderId="1810" xfId="0" applyNumberFormat="1" applyFont="1" applyFill="1" applyBorder="1" applyProtection="1">
      <protection locked="0"/>
    </xf>
    <xf numFmtId="1" fontId="6" fillId="3" borderId="1662" xfId="0" applyNumberFormat="1" applyFont="1" applyFill="1" applyBorder="1" applyAlignment="1">
      <alignment vertical="center" wrapText="1"/>
    </xf>
    <xf numFmtId="1" fontId="6" fillId="0" borderId="1896" xfId="0" applyNumberFormat="1" applyFont="1" applyBorder="1"/>
    <xf numFmtId="1" fontId="6" fillId="0" borderId="1897" xfId="0" applyNumberFormat="1" applyFont="1" applyBorder="1"/>
    <xf numFmtId="1" fontId="6" fillId="0" borderId="2118" xfId="0" applyNumberFormat="1" applyFont="1" applyBorder="1"/>
    <xf numFmtId="1" fontId="6" fillId="0" borderId="1828" xfId="0" applyNumberFormat="1" applyFont="1" applyBorder="1" applyAlignment="1">
      <alignment vertical="center" wrapText="1"/>
    </xf>
    <xf numFmtId="1" fontId="6" fillId="0" borderId="2109" xfId="0" applyNumberFormat="1" applyFont="1" applyBorder="1"/>
    <xf numFmtId="1" fontId="6" fillId="5" borderId="2112" xfId="0" applyNumberFormat="1" applyFont="1" applyFill="1" applyBorder="1" applyProtection="1">
      <protection locked="0"/>
    </xf>
    <xf numFmtId="1" fontId="6" fillId="0" borderId="1827" xfId="0" applyNumberFormat="1" applyFont="1" applyBorder="1" applyAlignment="1">
      <alignment vertical="center" wrapText="1"/>
    </xf>
    <xf numFmtId="1" fontId="6" fillId="3" borderId="401" xfId="0" applyNumberFormat="1" applyFont="1" applyFill="1" applyBorder="1" applyAlignment="1">
      <alignment vertical="center" wrapText="1"/>
    </xf>
    <xf numFmtId="1" fontId="6" fillId="3" borderId="375" xfId="0" applyNumberFormat="1" applyFont="1" applyFill="1" applyBorder="1" applyAlignment="1">
      <alignment vertical="center" wrapText="1"/>
    </xf>
    <xf numFmtId="1" fontId="6" fillId="5" borderId="2127" xfId="0" applyNumberFormat="1" applyFont="1" applyFill="1" applyBorder="1" applyProtection="1">
      <protection locked="0"/>
    </xf>
    <xf numFmtId="1" fontId="6" fillId="5" borderId="1646" xfId="0" applyNumberFormat="1" applyFont="1" applyFill="1" applyBorder="1" applyProtection="1">
      <protection locked="0"/>
    </xf>
    <xf numFmtId="1" fontId="6" fillId="0" borderId="965" xfId="0" applyNumberFormat="1" applyFont="1" applyBorder="1" applyAlignment="1">
      <alignment vertical="center" wrapText="1"/>
    </xf>
    <xf numFmtId="1" fontId="6" fillId="0" borderId="2118" xfId="0" applyNumberFormat="1" applyFont="1" applyBorder="1" applyAlignment="1">
      <alignment horizontal="center" vertical="center" wrapText="1"/>
    </xf>
    <xf numFmtId="1" fontId="6" fillId="0" borderId="2092" xfId="0" applyNumberFormat="1" applyFont="1" applyBorder="1" applyAlignment="1">
      <alignment horizontal="right" vertical="center"/>
    </xf>
    <xf numFmtId="1" fontId="6" fillId="0" borderId="2109" xfId="0" applyNumberFormat="1" applyFont="1" applyBorder="1" applyAlignment="1">
      <alignment horizontal="right" vertical="center"/>
    </xf>
    <xf numFmtId="1" fontId="6" fillId="5" borderId="2108" xfId="0" applyNumberFormat="1" applyFont="1" applyFill="1" applyBorder="1" applyAlignment="1" applyProtection="1">
      <alignment horizontal="right"/>
      <protection locked="0"/>
    </xf>
    <xf numFmtId="1" fontId="6" fillId="5" borderId="1896" xfId="0" applyNumberFormat="1" applyFont="1" applyFill="1" applyBorder="1" applyAlignment="1" applyProtection="1">
      <alignment horizontal="right"/>
      <protection locked="0"/>
    </xf>
    <xf numFmtId="1" fontId="6" fillId="5" borderId="2113" xfId="0" applyNumberFormat="1" applyFont="1" applyFill="1" applyBorder="1" applyAlignment="1" applyProtection="1">
      <alignment horizontal="right"/>
      <protection locked="0"/>
    </xf>
    <xf numFmtId="1" fontId="6" fillId="5" borderId="2118" xfId="0" applyNumberFormat="1" applyFont="1" applyFill="1" applyBorder="1" applyAlignment="1" applyProtection="1">
      <alignment horizontal="right"/>
      <protection locked="0"/>
    </xf>
    <xf numFmtId="1" fontId="6" fillId="5" borderId="2120" xfId="0" applyNumberFormat="1" applyFont="1" applyFill="1" applyBorder="1" applyAlignment="1" applyProtection="1">
      <alignment horizontal="right"/>
      <protection locked="0"/>
    </xf>
    <xf numFmtId="1" fontId="6" fillId="5" borderId="2134" xfId="0" applyNumberFormat="1" applyFont="1" applyFill="1" applyBorder="1" applyAlignment="1" applyProtection="1">
      <alignment horizontal="right"/>
      <protection locked="0"/>
    </xf>
    <xf numFmtId="1" fontId="6" fillId="14" borderId="2122" xfId="0" applyNumberFormat="1" applyFont="1" applyFill="1" applyBorder="1" applyAlignment="1">
      <alignment vertical="center"/>
    </xf>
    <xf numFmtId="1" fontId="6" fillId="14" borderId="1659" xfId="0" applyNumberFormat="1" applyFont="1" applyFill="1" applyBorder="1" applyAlignment="1">
      <alignment horizontal="left"/>
    </xf>
    <xf numFmtId="1" fontId="6" fillId="14" borderId="71" xfId="0" applyNumberFormat="1" applyFont="1" applyFill="1" applyBorder="1" applyAlignment="1">
      <alignment horizontal="right"/>
    </xf>
    <xf numFmtId="1" fontId="6" fillId="0" borderId="1828" xfId="0" applyNumberFormat="1" applyFont="1" applyBorder="1" applyAlignment="1">
      <alignment horizontal="right" vertical="center"/>
    </xf>
    <xf numFmtId="1" fontId="6" fillId="5" borderId="1837" xfId="0" applyNumberFormat="1" applyFont="1" applyFill="1" applyBorder="1" applyAlignment="1" applyProtection="1">
      <alignment horizontal="right"/>
      <protection locked="0"/>
    </xf>
    <xf numFmtId="1" fontId="6" fillId="5" borderId="1651" xfId="0" applyNumberFormat="1" applyFont="1" applyFill="1" applyBorder="1" applyAlignment="1" applyProtection="1">
      <alignment horizontal="right"/>
      <protection locked="0"/>
    </xf>
    <xf numFmtId="1" fontId="6" fillId="5" borderId="1421" xfId="0" applyNumberFormat="1" applyFont="1" applyFill="1" applyBorder="1" applyAlignment="1" applyProtection="1">
      <alignment horizontal="right"/>
      <protection locked="0"/>
    </xf>
    <xf numFmtId="1" fontId="6" fillId="5" borderId="1634" xfId="0" applyNumberFormat="1" applyFont="1" applyFill="1" applyBorder="1" applyAlignment="1" applyProtection="1">
      <alignment horizontal="right"/>
      <protection locked="0"/>
    </xf>
    <xf numFmtId="1" fontId="6" fillId="5" borderId="71" xfId="0" applyNumberFormat="1" applyFont="1" applyFill="1" applyBorder="1" applyAlignment="1" applyProtection="1">
      <alignment horizontal="right"/>
      <protection locked="0"/>
    </xf>
    <xf numFmtId="1" fontId="6" fillId="5" borderId="1077" xfId="0" applyNumberFormat="1" applyFont="1" applyFill="1" applyBorder="1" applyAlignment="1" applyProtection="1">
      <alignment horizontal="right"/>
      <protection locked="0"/>
    </xf>
    <xf numFmtId="1" fontId="6" fillId="14" borderId="1666" xfId="0" applyNumberFormat="1" applyFont="1" applyFill="1" applyBorder="1" applyAlignment="1">
      <alignment horizontal="right"/>
    </xf>
    <xf numFmtId="1" fontId="6" fillId="0" borderId="1675" xfId="0" applyNumberFormat="1" applyFont="1" applyBorder="1" applyAlignment="1">
      <alignment horizontal="right" vertical="center"/>
    </xf>
    <xf numFmtId="1" fontId="6" fillId="5" borderId="1583" xfId="0" applyNumberFormat="1" applyFont="1" applyFill="1" applyBorder="1" applyAlignment="1" applyProtection="1">
      <alignment horizontal="right"/>
      <protection locked="0"/>
    </xf>
    <xf numFmtId="1" fontId="6" fillId="5" borderId="965" xfId="0" applyNumberFormat="1" applyFont="1" applyFill="1" applyBorder="1" applyAlignment="1" applyProtection="1">
      <alignment horizontal="right"/>
      <protection locked="0"/>
    </xf>
    <xf numFmtId="1" fontId="6" fillId="5" borderId="1659" xfId="0" applyNumberFormat="1" applyFont="1" applyFill="1" applyBorder="1" applyAlignment="1" applyProtection="1">
      <alignment horizontal="right"/>
      <protection locked="0"/>
    </xf>
    <xf numFmtId="1" fontId="6" fillId="5" borderId="1674" xfId="0" applyNumberFormat="1" applyFont="1" applyFill="1" applyBorder="1" applyAlignment="1" applyProtection="1">
      <alignment horizontal="right"/>
      <protection locked="0"/>
    </xf>
    <xf numFmtId="1" fontId="6" fillId="5" borderId="1666" xfId="0" applyNumberFormat="1" applyFont="1" applyFill="1" applyBorder="1" applyAlignment="1" applyProtection="1">
      <alignment horizontal="right"/>
      <protection locked="0"/>
    </xf>
    <xf numFmtId="1" fontId="6" fillId="5" borderId="2117" xfId="0" applyNumberFormat="1" applyFont="1" applyFill="1" applyBorder="1" applyAlignment="1" applyProtection="1">
      <alignment horizontal="right"/>
      <protection locked="0"/>
    </xf>
    <xf numFmtId="1" fontId="6" fillId="0" borderId="1666" xfId="0" applyNumberFormat="1" applyFont="1" applyBorder="1" applyAlignment="1">
      <alignment horizontal="right" wrapText="1"/>
    </xf>
    <xf numFmtId="1" fontId="6" fillId="14" borderId="1659" xfId="0" applyNumberFormat="1" applyFont="1" applyFill="1" applyBorder="1" applyAlignment="1">
      <alignment horizontal="left" wrapText="1"/>
    </xf>
    <xf numFmtId="1" fontId="6" fillId="14" borderId="1666" xfId="0" applyNumberFormat="1" applyFont="1" applyFill="1" applyBorder="1" applyAlignment="1">
      <alignment horizontal="right" wrapText="1"/>
    </xf>
    <xf numFmtId="1" fontId="6" fillId="0" borderId="1666" xfId="0" applyNumberFormat="1" applyFont="1" applyBorder="1" applyAlignment="1">
      <alignment horizontal="right" vertical="center"/>
    </xf>
    <xf numFmtId="1" fontId="6" fillId="0" borderId="1666" xfId="0" applyNumberFormat="1" applyFont="1" applyBorder="1" applyAlignment="1">
      <alignment horizontal="right" vertical="center" wrapText="1"/>
    </xf>
    <xf numFmtId="1" fontId="6" fillId="14" borderId="1675" xfId="0" applyNumberFormat="1" applyFont="1" applyFill="1" applyBorder="1" applyAlignment="1">
      <alignment horizontal="right" vertical="center" wrapText="1"/>
    </xf>
    <xf numFmtId="1" fontId="6" fillId="14" borderId="1675" xfId="0" applyNumberFormat="1" applyFont="1" applyFill="1" applyBorder="1" applyAlignment="1">
      <alignment horizontal="right" wrapText="1"/>
    </xf>
    <xf numFmtId="1" fontId="6" fillId="0" borderId="1647" xfId="0" applyNumberFormat="1" applyFont="1" applyBorder="1" applyAlignment="1">
      <alignment horizontal="right" vertical="center"/>
    </xf>
    <xf numFmtId="1" fontId="6" fillId="5" borderId="809" xfId="0" applyNumberFormat="1" applyFont="1" applyFill="1" applyBorder="1" applyAlignment="1" applyProtection="1">
      <alignment horizontal="right"/>
      <protection locked="0"/>
    </xf>
    <xf numFmtId="1" fontId="6" fillId="5" borderId="961" xfId="0" applyNumberFormat="1" applyFont="1" applyFill="1" applyBorder="1" applyAlignment="1" applyProtection="1">
      <alignment horizontal="right"/>
      <protection locked="0"/>
    </xf>
    <xf numFmtId="1" fontId="6" fillId="14" borderId="1675" xfId="0" applyNumberFormat="1" applyFont="1" applyFill="1" applyBorder="1" applyAlignment="1">
      <alignment horizontal="left"/>
    </xf>
    <xf numFmtId="1" fontId="6" fillId="0" borderId="1421" xfId="0" applyNumberFormat="1" applyFont="1" applyBorder="1" applyAlignment="1">
      <alignment horizontal="right" vertical="center"/>
    </xf>
    <xf numFmtId="1" fontId="6" fillId="14" borderId="510" xfId="0" applyNumberFormat="1" applyFont="1" applyFill="1" applyBorder="1" applyAlignment="1">
      <alignment horizontal="right"/>
    </xf>
    <xf numFmtId="1" fontId="6" fillId="0" borderId="510" xfId="0" applyNumberFormat="1" applyFont="1" applyBorder="1" applyAlignment="1">
      <alignment horizontal="right" vertical="center"/>
    </xf>
    <xf numFmtId="1" fontId="6" fillId="5" borderId="1844" xfId="0" applyNumberFormat="1" applyFont="1" applyFill="1" applyBorder="1" applyAlignment="1" applyProtection="1">
      <alignment horizontal="right"/>
      <protection locked="0"/>
    </xf>
    <xf numFmtId="1" fontId="6" fillId="5" borderId="1702" xfId="0" applyNumberFormat="1" applyFont="1" applyFill="1" applyBorder="1" applyAlignment="1" applyProtection="1">
      <alignment horizontal="right"/>
      <protection locked="0"/>
    </xf>
    <xf numFmtId="1" fontId="6" fillId="5" borderId="1846" xfId="0" applyNumberFormat="1" applyFont="1" applyFill="1" applyBorder="1" applyAlignment="1" applyProtection="1">
      <alignment horizontal="right"/>
      <protection locked="0"/>
    </xf>
    <xf numFmtId="1" fontId="6" fillId="5" borderId="1424" xfId="0" applyNumberFormat="1" applyFont="1" applyFill="1" applyBorder="1" applyAlignment="1" applyProtection="1">
      <alignment horizontal="right"/>
      <protection locked="0"/>
    </xf>
    <xf numFmtId="1" fontId="6" fillId="5" borderId="1845" xfId="0" applyNumberFormat="1" applyFont="1" applyFill="1" applyBorder="1" applyAlignment="1" applyProtection="1">
      <alignment horizontal="right"/>
      <protection locked="0"/>
    </xf>
    <xf numFmtId="1" fontId="6" fillId="5" borderId="2128" xfId="0" applyNumberFormat="1" applyFont="1" applyFill="1" applyBorder="1" applyAlignment="1" applyProtection="1">
      <alignment horizontal="right"/>
      <protection locked="0"/>
    </xf>
    <xf numFmtId="1" fontId="6" fillId="5" borderId="1703" xfId="0" applyNumberFormat="1" applyFont="1" applyFill="1" applyBorder="1" applyAlignment="1" applyProtection="1">
      <alignment horizontal="right"/>
      <protection locked="0"/>
    </xf>
    <xf numFmtId="1" fontId="6" fillId="14" borderId="1838" xfId="0" applyNumberFormat="1" applyFont="1" applyFill="1" applyBorder="1" applyAlignment="1">
      <alignment horizontal="left"/>
    </xf>
    <xf numFmtId="1" fontId="6" fillId="14" borderId="1834" xfId="0" applyNumberFormat="1" applyFont="1" applyFill="1" applyBorder="1" applyAlignment="1">
      <alignment horizontal="right"/>
    </xf>
    <xf numFmtId="1" fontId="6" fillId="0" borderId="1834" xfId="0" applyNumberFormat="1" applyFont="1" applyBorder="1" applyAlignment="1">
      <alignment horizontal="right" vertical="center"/>
    </xf>
    <xf numFmtId="1" fontId="6" fillId="5" borderId="1836" xfId="0" applyNumberFormat="1" applyFont="1" applyFill="1" applyBorder="1" applyAlignment="1" applyProtection="1">
      <alignment horizontal="right"/>
      <protection locked="0"/>
    </xf>
    <xf numFmtId="1" fontId="6" fillId="5" borderId="1663" xfId="0" applyNumberFormat="1" applyFont="1" applyFill="1" applyBorder="1" applyAlignment="1" applyProtection="1">
      <alignment horizontal="right"/>
      <protection locked="0"/>
    </xf>
    <xf numFmtId="1" fontId="6" fillId="5" borderId="1834" xfId="0" applyNumberFormat="1" applyFont="1" applyFill="1" applyBorder="1" applyAlignment="1" applyProtection="1">
      <alignment horizontal="right"/>
      <protection locked="0"/>
    </xf>
    <xf numFmtId="1" fontId="6" fillId="5" borderId="1612" xfId="0" applyNumberFormat="1" applyFont="1" applyFill="1" applyBorder="1" applyAlignment="1" applyProtection="1">
      <alignment horizontal="right"/>
      <protection locked="0"/>
    </xf>
    <xf numFmtId="1" fontId="6" fillId="5" borderId="1662" xfId="0" applyNumberFormat="1" applyFont="1" applyFill="1" applyBorder="1" applyAlignment="1" applyProtection="1">
      <alignment horizontal="right"/>
      <protection locked="0"/>
    </xf>
    <xf numFmtId="1" fontId="6" fillId="5" borderId="804" xfId="0" applyNumberFormat="1" applyFont="1" applyFill="1" applyBorder="1" applyAlignment="1" applyProtection="1">
      <alignment horizontal="right"/>
      <protection locked="0"/>
    </xf>
    <xf numFmtId="1" fontId="6" fillId="5" borderId="983" xfId="0" applyNumberFormat="1" applyFont="1" applyFill="1" applyBorder="1" applyAlignment="1" applyProtection="1">
      <alignment horizontal="right"/>
      <protection locked="0"/>
    </xf>
    <xf numFmtId="1" fontId="6" fillId="0" borderId="1831" xfId="0" applyNumberFormat="1" applyFont="1" applyBorder="1" applyAlignment="1">
      <alignment vertical="center"/>
    </xf>
    <xf numFmtId="1" fontId="6" fillId="0" borderId="1421" xfId="0" applyNumberFormat="1" applyFont="1" applyBorder="1" applyAlignment="1">
      <alignment vertical="center"/>
    </xf>
    <xf numFmtId="1" fontId="6" fillId="0" borderId="71" xfId="0" applyNumberFormat="1" applyFont="1" applyBorder="1" applyAlignment="1">
      <alignment vertical="center"/>
    </xf>
    <xf numFmtId="1" fontId="6" fillId="0" borderId="1833" xfId="0" applyNumberFormat="1" applyFont="1" applyBorder="1" applyAlignment="1">
      <alignment vertical="center"/>
    </xf>
    <xf numFmtId="1" fontId="6" fillId="0" borderId="1834" xfId="0" applyNumberFormat="1" applyFont="1" applyBorder="1" applyAlignment="1">
      <alignment vertical="center"/>
    </xf>
    <xf numFmtId="1" fontId="6" fillId="0" borderId="1843" xfId="0" applyNumberFormat="1" applyFont="1" applyBorder="1" applyAlignment="1">
      <alignment vertical="center"/>
    </xf>
    <xf numFmtId="1" fontId="6" fillId="0" borderId="1838" xfId="0" applyNumberFormat="1" applyFont="1" applyBorder="1" applyAlignment="1">
      <alignment horizontal="right" vertical="center"/>
    </xf>
    <xf numFmtId="1" fontId="6" fillId="5" borderId="1843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Alignment="1">
      <alignment horizontal="left" vertical="center"/>
    </xf>
    <xf numFmtId="1" fontId="13" fillId="14" borderId="1145" xfId="0" applyNumberFormat="1" applyFont="1" applyFill="1" applyBorder="1" applyAlignment="1">
      <alignment vertical="center"/>
    </xf>
    <xf numFmtId="1" fontId="6" fillId="0" borderId="1647" xfId="0" applyNumberFormat="1" applyFont="1" applyBorder="1" applyAlignment="1">
      <alignment horizontal="left"/>
    </xf>
    <xf numFmtId="1" fontId="6" fillId="0" borderId="1647" xfId="0" applyNumberFormat="1" applyFont="1" applyBorder="1" applyAlignment="1">
      <alignment horizontal="right"/>
    </xf>
    <xf numFmtId="1" fontId="6" fillId="5" borderId="809" xfId="0" applyNumberFormat="1" applyFont="1" applyFill="1" applyBorder="1" applyAlignment="1" applyProtection="1">
      <alignment wrapText="1"/>
      <protection locked="0"/>
    </xf>
    <xf numFmtId="1" fontId="6" fillId="5" borderId="1076" xfId="0" applyNumberFormat="1" applyFont="1" applyFill="1" applyBorder="1" applyAlignment="1" applyProtection="1">
      <alignment wrapText="1"/>
      <protection locked="0"/>
    </xf>
    <xf numFmtId="1" fontId="6" fillId="5" borderId="1584" xfId="0" applyNumberFormat="1" applyFont="1" applyFill="1" applyBorder="1" applyAlignment="1" applyProtection="1">
      <alignment wrapText="1"/>
      <protection locked="0"/>
    </xf>
    <xf numFmtId="1" fontId="6" fillId="5" borderId="1662" xfId="0" applyNumberFormat="1" applyFont="1" applyFill="1" applyBorder="1" applyAlignment="1" applyProtection="1">
      <alignment wrapText="1"/>
      <protection locked="0"/>
    </xf>
    <xf numFmtId="1" fontId="6" fillId="5" borderId="929" xfId="0" applyNumberFormat="1" applyFont="1" applyFill="1" applyBorder="1" applyAlignment="1" applyProtection="1">
      <alignment wrapText="1"/>
      <protection locked="0"/>
    </xf>
    <xf numFmtId="1" fontId="13" fillId="3" borderId="2082" xfId="0" applyNumberFormat="1" applyFont="1" applyFill="1" applyBorder="1" applyAlignment="1">
      <alignment wrapText="1"/>
    </xf>
    <xf numFmtId="1" fontId="6" fillId="3" borderId="2092" xfId="0" applyNumberFormat="1" applyFont="1" applyFill="1" applyBorder="1" applyAlignment="1">
      <alignment horizontal="right" wrapText="1"/>
    </xf>
    <xf numFmtId="1" fontId="6" fillId="0" borderId="1834" xfId="0" applyNumberFormat="1" applyFont="1" applyBorder="1" applyAlignment="1">
      <alignment wrapText="1"/>
    </xf>
    <xf numFmtId="1" fontId="6" fillId="0" borderId="1836" xfId="0" applyNumberFormat="1" applyFont="1" applyBorder="1" applyAlignment="1">
      <alignment wrapText="1"/>
    </xf>
    <xf numFmtId="1" fontId="6" fillId="0" borderId="1662" xfId="0" applyNumberFormat="1" applyFont="1" applyBorder="1" applyAlignment="1">
      <alignment wrapText="1"/>
    </xf>
    <xf numFmtId="1" fontId="6" fillId="0" borderId="1707" xfId="0" applyNumberFormat="1" applyFont="1" applyBorder="1" applyAlignment="1">
      <alignment wrapText="1"/>
    </xf>
    <xf numFmtId="1" fontId="6" fillId="14" borderId="2114" xfId="0" applyNumberFormat="1" applyFont="1" applyFill="1" applyBorder="1" applyAlignment="1">
      <alignment horizontal="center" vertical="center"/>
    </xf>
    <xf numFmtId="1" fontId="6" fillId="14" borderId="1647" xfId="0" applyNumberFormat="1" applyFont="1" applyFill="1" applyBorder="1"/>
    <xf numFmtId="1" fontId="6" fillId="5" borderId="1708" xfId="0" applyNumberFormat="1" applyFont="1" applyFill="1" applyBorder="1" applyAlignment="1" applyProtection="1">
      <alignment wrapText="1"/>
      <protection locked="0"/>
    </xf>
    <xf numFmtId="1" fontId="6" fillId="14" borderId="1675" xfId="0" applyNumberFormat="1" applyFont="1" applyFill="1" applyBorder="1"/>
    <xf numFmtId="1" fontId="6" fillId="14" borderId="1838" xfId="0" applyNumberFormat="1" applyFont="1" applyFill="1" applyBorder="1"/>
    <xf numFmtId="1" fontId="6" fillId="3" borderId="2082" xfId="0" applyNumberFormat="1" applyFont="1" applyFill="1" applyBorder="1" applyAlignment="1">
      <alignment wrapText="1"/>
    </xf>
    <xf numFmtId="1" fontId="6" fillId="3" borderId="2092" xfId="0" applyNumberFormat="1" applyFont="1" applyFill="1" applyBorder="1"/>
    <xf numFmtId="1" fontId="6" fillId="14" borderId="2092" xfId="0" applyNumberFormat="1" applyFont="1" applyFill="1" applyBorder="1"/>
    <xf numFmtId="1" fontId="6" fillId="14" borderId="2114" xfId="0" applyNumberFormat="1" applyFont="1" applyFill="1" applyBorder="1"/>
    <xf numFmtId="1" fontId="6" fillId="14" borderId="2187" xfId="0" applyNumberFormat="1" applyFont="1" applyFill="1" applyBorder="1"/>
    <xf numFmtId="1" fontId="6" fillId="14" borderId="2167" xfId="0" applyNumberFormat="1" applyFont="1" applyFill="1" applyBorder="1"/>
    <xf numFmtId="1" fontId="6" fillId="3" borderId="2108" xfId="0" applyNumberFormat="1" applyFont="1" applyFill="1" applyBorder="1"/>
    <xf numFmtId="1" fontId="6" fillId="3" borderId="0" xfId="0" applyNumberFormat="1" applyFont="1" applyFill="1" applyAlignment="1">
      <alignment horizontal="left" wrapText="1"/>
    </xf>
    <xf numFmtId="1" fontId="6" fillId="0" borderId="2092" xfId="0" applyNumberFormat="1" applyFont="1" applyBorder="1" applyAlignment="1">
      <alignment horizontal="center" vertical="center"/>
    </xf>
    <xf numFmtId="1" fontId="6" fillId="3" borderId="2118" xfId="0" applyNumberFormat="1" applyFont="1" applyFill="1" applyBorder="1" applyAlignment="1">
      <alignment horizontal="center" vertical="center" wrapText="1"/>
    </xf>
    <xf numFmtId="1" fontId="6" fillId="3" borderId="1841" xfId="0" applyNumberFormat="1" applyFont="1" applyFill="1" applyBorder="1" applyAlignment="1">
      <alignment horizontal="center" vertical="center" wrapText="1"/>
    </xf>
    <xf numFmtId="1" fontId="6" fillId="3" borderId="1896" xfId="0" applyNumberFormat="1" applyFont="1" applyFill="1" applyBorder="1" applyAlignment="1">
      <alignment horizontal="center" vertical="center" wrapText="1"/>
    </xf>
    <xf numFmtId="1" fontId="6" fillId="0" borderId="1675" xfId="0" applyNumberFormat="1" applyFont="1" applyBorder="1" applyAlignment="1">
      <alignment horizontal="left" wrapText="1"/>
    </xf>
    <xf numFmtId="1" fontId="6" fillId="22" borderId="1675" xfId="0" applyNumberFormat="1" applyFont="1" applyFill="1" applyBorder="1" applyAlignment="1">
      <alignment horizontal="left" wrapText="1"/>
    </xf>
    <xf numFmtId="1" fontId="6" fillId="0" borderId="1646" xfId="0" applyNumberFormat="1" applyFont="1" applyBorder="1" applyAlignment="1">
      <alignment horizontal="left" wrapText="1"/>
    </xf>
    <xf numFmtId="1" fontId="6" fillId="0" borderId="1827" xfId="0" applyNumberFormat="1" applyFont="1" applyBorder="1" applyAlignment="1">
      <alignment horizontal="left" wrapText="1"/>
    </xf>
    <xf numFmtId="1" fontId="13" fillId="0" borderId="2092" xfId="0" applyNumberFormat="1" applyFont="1" applyBorder="1" applyAlignment="1">
      <alignment horizontal="left" vertical="center"/>
    </xf>
    <xf numFmtId="1" fontId="6" fillId="3" borderId="2118" xfId="0" applyNumberFormat="1" applyFont="1" applyFill="1" applyBorder="1"/>
    <xf numFmtId="1" fontId="6" fillId="3" borderId="1896" xfId="0" applyNumberFormat="1" applyFont="1" applyFill="1" applyBorder="1"/>
    <xf numFmtId="1" fontId="6" fillId="3" borderId="2092" xfId="0" applyNumberFormat="1" applyFont="1" applyFill="1" applyBorder="1" applyAlignment="1">
      <alignment horizontal="center" vertical="center"/>
    </xf>
    <xf numFmtId="1" fontId="89" fillId="3" borderId="0" xfId="0" applyNumberFormat="1" applyFont="1" applyFill="1"/>
    <xf numFmtId="1" fontId="6" fillId="3" borderId="1828" xfId="0" applyNumberFormat="1" applyFont="1" applyFill="1" applyBorder="1" applyAlignment="1">
      <alignment horizontal="left"/>
    </xf>
    <xf numFmtId="1" fontId="6" fillId="3" borderId="1675" xfId="0" applyNumberFormat="1" applyFont="1" applyFill="1" applyBorder="1" applyAlignment="1">
      <alignment horizontal="left"/>
    </xf>
    <xf numFmtId="1" fontId="6" fillId="3" borderId="1838" xfId="0" applyNumberFormat="1" applyFont="1" applyFill="1" applyBorder="1" applyAlignment="1">
      <alignment wrapText="1"/>
    </xf>
    <xf numFmtId="1" fontId="9" fillId="14" borderId="1576" xfId="0" applyNumberFormat="1" applyFont="1" applyFill="1" applyBorder="1"/>
    <xf numFmtId="1" fontId="9" fillId="14" borderId="1576" xfId="0" applyNumberFormat="1" applyFont="1" applyFill="1" applyBorder="1" applyProtection="1">
      <protection locked="0"/>
    </xf>
    <xf numFmtId="1" fontId="6" fillId="0" borderId="1897" xfId="0" applyNumberFormat="1" applyFont="1" applyBorder="1" applyAlignment="1">
      <alignment horizontal="center" vertical="center" wrapText="1"/>
    </xf>
    <xf numFmtId="1" fontId="6" fillId="3" borderId="1831" xfId="0" applyNumberFormat="1" applyFont="1" applyFill="1" applyBorder="1" applyAlignment="1">
      <alignment vertical="center"/>
    </xf>
    <xf numFmtId="1" fontId="6" fillId="3" borderId="1828" xfId="0" applyNumberFormat="1" applyFont="1" applyFill="1" applyBorder="1"/>
    <xf numFmtId="1" fontId="6" fillId="5" borderId="1807" xfId="0" applyNumberFormat="1" applyFont="1" applyFill="1" applyBorder="1" applyProtection="1">
      <protection locked="0"/>
    </xf>
    <xf numFmtId="1" fontId="9" fillId="14" borderId="1575" xfId="0" applyNumberFormat="1" applyFont="1" applyFill="1" applyBorder="1"/>
    <xf numFmtId="1" fontId="6" fillId="3" borderId="861" xfId="0" applyNumberFormat="1" applyFont="1" applyFill="1" applyBorder="1" applyAlignment="1">
      <alignment vertical="center"/>
    </xf>
    <xf numFmtId="1" fontId="11" fillId="0" borderId="0" xfId="0" applyNumberFormat="1" applyFont="1" applyProtection="1">
      <protection locked="0"/>
    </xf>
    <xf numFmtId="1" fontId="11" fillId="0" borderId="1573" xfId="0" applyNumberFormat="1" applyFont="1" applyBorder="1" applyProtection="1">
      <protection locked="0"/>
    </xf>
    <xf numFmtId="1" fontId="11" fillId="0" borderId="1574" xfId="0" applyNumberFormat="1" applyFont="1" applyBorder="1" applyAlignment="1">
      <alignment vertical="center"/>
    </xf>
    <xf numFmtId="1" fontId="9" fillId="0" borderId="1573" xfId="0" applyNumberFormat="1" applyFont="1" applyBorder="1"/>
    <xf numFmtId="1" fontId="9" fillId="0" borderId="2135" xfId="0" applyNumberFormat="1" applyFont="1" applyBorder="1"/>
    <xf numFmtId="1" fontId="9" fillId="0" borderId="1642" xfId="0" applyNumberFormat="1" applyFont="1" applyBorder="1"/>
    <xf numFmtId="1" fontId="6" fillId="0" borderId="2137" xfId="0" applyNumberFormat="1" applyFont="1" applyBorder="1" applyAlignment="1">
      <alignment horizontal="center" vertical="center" wrapText="1"/>
    </xf>
    <xf numFmtId="1" fontId="6" fillId="3" borderId="2140" xfId="0" applyNumberFormat="1" applyFont="1" applyFill="1" applyBorder="1" applyAlignment="1">
      <alignment horizontal="center" vertical="center" wrapText="1"/>
    </xf>
    <xf numFmtId="1" fontId="6" fillId="3" borderId="2137" xfId="0" applyNumberFormat="1" applyFont="1" applyFill="1" applyBorder="1" applyAlignment="1">
      <alignment horizontal="center" vertical="center" wrapText="1"/>
    </xf>
    <xf numFmtId="1" fontId="6" fillId="0" borderId="2141" xfId="0" applyNumberFormat="1" applyFont="1" applyBorder="1" applyAlignment="1">
      <alignment horizontal="left" vertical="center" wrapText="1"/>
    </xf>
    <xf numFmtId="1" fontId="6" fillId="0" borderId="2141" xfId="0" applyNumberFormat="1" applyFont="1" applyBorder="1"/>
    <xf numFmtId="1" fontId="6" fillId="5" borderId="2141" xfId="0" applyNumberFormat="1" applyFont="1" applyFill="1" applyBorder="1" applyProtection="1">
      <protection locked="0"/>
    </xf>
    <xf numFmtId="1" fontId="6" fillId="5" borderId="2143" xfId="0" applyNumberFormat="1" applyFont="1" applyFill="1" applyBorder="1" applyProtection="1">
      <protection locked="0"/>
    </xf>
    <xf numFmtId="1" fontId="6" fillId="5" borderId="2144" xfId="0" applyNumberFormat="1" applyFont="1" applyFill="1" applyBorder="1" applyProtection="1">
      <protection locked="0"/>
    </xf>
    <xf numFmtId="1" fontId="6" fillId="5" borderId="2145" xfId="0" applyNumberFormat="1" applyFont="1" applyFill="1" applyBorder="1" applyProtection="1">
      <protection locked="0"/>
    </xf>
    <xf numFmtId="1" fontId="6" fillId="0" borderId="2146" xfId="0" applyNumberFormat="1" applyFont="1" applyBorder="1" applyAlignment="1">
      <alignment horizontal="center" vertical="center" wrapText="1"/>
    </xf>
    <xf numFmtId="1" fontId="6" fillId="0" borderId="2140" xfId="0" applyNumberFormat="1" applyFont="1" applyBorder="1" applyAlignment="1">
      <alignment horizontal="center" vertical="center" wrapText="1"/>
    </xf>
    <xf numFmtId="1" fontId="9" fillId="14" borderId="247" xfId="0" applyNumberFormat="1" applyFont="1" applyFill="1" applyBorder="1"/>
    <xf numFmtId="1" fontId="9" fillId="0" borderId="247" xfId="0" applyNumberFormat="1" applyFont="1" applyBorder="1"/>
    <xf numFmtId="1" fontId="6" fillId="5" borderId="2147" xfId="0" applyNumberFormat="1" applyFont="1" applyFill="1" applyBorder="1" applyProtection="1">
      <protection locked="0"/>
    </xf>
    <xf numFmtId="1" fontId="9" fillId="18" borderId="2173" xfId="0" applyNumberFormat="1" applyFont="1" applyFill="1" applyBorder="1" applyProtection="1">
      <protection locked="0"/>
    </xf>
    <xf numFmtId="1" fontId="6" fillId="0" borderId="1646" xfId="0" applyNumberFormat="1" applyFont="1" applyBorder="1" applyAlignment="1">
      <alignment horizontal="left" vertical="center" wrapText="1"/>
    </xf>
    <xf numFmtId="1" fontId="6" fillId="0" borderId="2137" xfId="0" applyNumberFormat="1" applyFont="1" applyBorder="1" applyAlignment="1">
      <alignment horizontal="left" vertical="center" wrapText="1"/>
    </xf>
    <xf numFmtId="1" fontId="6" fillId="5" borderId="2140" xfId="0" applyNumberFormat="1" applyFont="1" applyFill="1" applyBorder="1" applyProtection="1">
      <protection locked="0"/>
    </xf>
    <xf numFmtId="1" fontId="6" fillId="5" borderId="2146" xfId="0" applyNumberFormat="1" applyFont="1" applyFill="1" applyBorder="1" applyProtection="1">
      <protection locked="0"/>
    </xf>
    <xf numFmtId="1" fontId="3" fillId="0" borderId="2148" xfId="0" applyNumberFormat="1" applyFont="1" applyBorder="1"/>
    <xf numFmtId="1" fontId="3" fillId="0" borderId="2149" xfId="0" applyNumberFormat="1" applyFont="1" applyBorder="1"/>
    <xf numFmtId="1" fontId="6" fillId="0" borderId="2149" xfId="0" applyNumberFormat="1" applyFont="1" applyBorder="1"/>
    <xf numFmtId="1" fontId="6" fillId="0" borderId="2148" xfId="0" applyNumberFormat="1" applyFont="1" applyBorder="1"/>
    <xf numFmtId="1" fontId="6" fillId="0" borderId="2150" xfId="0" applyNumberFormat="1" applyFont="1" applyBorder="1"/>
    <xf numFmtId="1" fontId="9" fillId="14" borderId="2151" xfId="0" applyNumberFormat="1" applyFont="1" applyFill="1" applyBorder="1"/>
    <xf numFmtId="1" fontId="6" fillId="0" borderId="2153" xfId="0" applyNumberFormat="1" applyFont="1" applyBorder="1" applyAlignment="1">
      <alignment horizontal="center" vertical="center" wrapText="1"/>
    </xf>
    <xf numFmtId="1" fontId="6" fillId="3" borderId="2155" xfId="0" applyNumberFormat="1" applyFont="1" applyFill="1" applyBorder="1" applyAlignment="1">
      <alignment horizontal="left" wrapText="1"/>
    </xf>
    <xf numFmtId="1" fontId="6" fillId="3" borderId="1675" xfId="0" applyNumberFormat="1" applyFont="1" applyFill="1" applyBorder="1" applyAlignment="1">
      <alignment horizontal="left" wrapText="1"/>
    </xf>
    <xf numFmtId="1" fontId="6" fillId="3" borderId="1583" xfId="0" applyNumberFormat="1" applyFont="1" applyFill="1" applyBorder="1" applyAlignment="1">
      <alignment horizontal="right" wrapText="1"/>
    </xf>
    <xf numFmtId="1" fontId="6" fillId="14" borderId="2123" xfId="0" applyNumberFormat="1" applyFont="1" applyFill="1" applyBorder="1" applyAlignment="1">
      <alignment horizontal="left"/>
    </xf>
    <xf numFmtId="1" fontId="6" fillId="0" borderId="2153" xfId="0" applyNumberFormat="1" applyFont="1" applyBorder="1" applyAlignment="1">
      <alignment horizontal="center"/>
    </xf>
    <xf numFmtId="1" fontId="6" fillId="3" borderId="2156" xfId="0" applyNumberFormat="1" applyFont="1" applyFill="1" applyBorder="1" applyAlignment="1">
      <alignment horizontal="right" wrapText="1"/>
    </xf>
    <xf numFmtId="1" fontId="6" fillId="0" borderId="2419" xfId="0" applyNumberFormat="1" applyFont="1" applyBorder="1"/>
    <xf numFmtId="1" fontId="6" fillId="3" borderId="401" xfId="0" applyNumberFormat="1" applyFont="1" applyFill="1" applyBorder="1" applyAlignment="1">
      <alignment horizontal="right" wrapText="1"/>
    </xf>
    <xf numFmtId="1" fontId="6" fillId="0" borderId="2152" xfId="0" applyNumberFormat="1" applyFont="1" applyBorder="1" applyAlignment="1">
      <alignment horizontal="right"/>
    </xf>
    <xf numFmtId="1" fontId="6" fillId="14" borderId="2154" xfId="0" applyNumberFormat="1" applyFont="1" applyFill="1" applyBorder="1" applyAlignment="1">
      <alignment horizontal="center" vertical="center" wrapText="1"/>
    </xf>
    <xf numFmtId="1" fontId="6" fillId="14" borderId="2153" xfId="0" applyNumberFormat="1" applyFont="1" applyFill="1" applyBorder="1" applyAlignment="1">
      <alignment horizontal="center" vertical="center" wrapText="1"/>
    </xf>
    <xf numFmtId="1" fontId="6" fillId="14" borderId="2153" xfId="0" applyNumberFormat="1" applyFont="1" applyFill="1" applyBorder="1" applyAlignment="1">
      <alignment horizontal="center" vertical="center"/>
    </xf>
    <xf numFmtId="1" fontId="6" fillId="14" borderId="2167" xfId="0" applyNumberFormat="1" applyFont="1" applyFill="1" applyBorder="1" applyAlignment="1">
      <alignment horizontal="center" vertical="center"/>
    </xf>
    <xf numFmtId="1" fontId="6" fillId="0" borderId="1675" xfId="0" applyNumberFormat="1" applyFont="1" applyBorder="1" applyAlignment="1">
      <alignment horizontal="left" vertical="center"/>
    </xf>
    <xf numFmtId="1" fontId="6" fillId="14" borderId="2166" xfId="0" applyNumberFormat="1" applyFont="1" applyFill="1" applyBorder="1"/>
    <xf numFmtId="1" fontId="6" fillId="3" borderId="2166" xfId="0" applyNumberFormat="1" applyFont="1" applyFill="1" applyBorder="1" applyAlignment="1">
      <alignment horizontal="left" wrapText="1"/>
    </xf>
    <xf numFmtId="1" fontId="6" fillId="5" borderId="2168" xfId="0" applyNumberFormat="1" applyFont="1" applyFill="1" applyBorder="1" applyProtection="1">
      <protection locked="0"/>
    </xf>
    <xf numFmtId="1" fontId="6" fillId="5" borderId="2155" xfId="0" applyNumberFormat="1" applyFont="1" applyFill="1" applyBorder="1" applyProtection="1">
      <protection locked="0"/>
    </xf>
    <xf numFmtId="1" fontId="6" fillId="0" borderId="1647" xfId="0" applyNumberFormat="1" applyFont="1" applyBorder="1" applyAlignment="1">
      <alignment horizontal="left" vertical="center"/>
    </xf>
    <xf numFmtId="1" fontId="6" fillId="14" borderId="1646" xfId="0" applyNumberFormat="1" applyFont="1" applyFill="1" applyBorder="1"/>
    <xf numFmtId="1" fontId="6" fillId="5" borderId="2166" xfId="0" applyNumberFormat="1" applyFont="1" applyFill="1" applyBorder="1" applyProtection="1">
      <protection locked="0"/>
    </xf>
    <xf numFmtId="1" fontId="6" fillId="3" borderId="2165" xfId="0" applyNumberFormat="1" applyFont="1" applyFill="1" applyBorder="1" applyAlignment="1">
      <alignment horizontal="left" wrapText="1"/>
    </xf>
    <xf numFmtId="1" fontId="6" fillId="14" borderId="2169" xfId="0" applyNumberFormat="1" applyFont="1" applyFill="1" applyBorder="1"/>
    <xf numFmtId="1" fontId="6" fillId="0" borderId="2153" xfId="0" applyNumberFormat="1" applyFont="1" applyBorder="1" applyAlignment="1">
      <alignment horizontal="center" vertical="center"/>
    </xf>
    <xf numFmtId="1" fontId="6" fillId="3" borderId="1675" xfId="0" applyNumberFormat="1" applyFont="1" applyFill="1" applyBorder="1"/>
    <xf numFmtId="1" fontId="6" fillId="3" borderId="1838" xfId="0" applyNumberFormat="1" applyFont="1" applyFill="1" applyBorder="1"/>
    <xf numFmtId="1" fontId="6" fillId="3" borderId="1675" xfId="0" applyNumberFormat="1" applyFont="1" applyFill="1" applyBorder="1" applyAlignment="1">
      <alignment wrapText="1"/>
    </xf>
    <xf numFmtId="1" fontId="6" fillId="3" borderId="2163" xfId="0" applyNumberFormat="1" applyFont="1" applyFill="1" applyBorder="1" applyAlignment="1">
      <alignment horizontal="left" wrapText="1"/>
    </xf>
    <xf numFmtId="1" fontId="6" fillId="0" borderId="2166" xfId="0" applyNumberFormat="1" applyFont="1" applyBorder="1"/>
    <xf numFmtId="49" fontId="6" fillId="0" borderId="2157" xfId="0" applyNumberFormat="1" applyFont="1" applyBorder="1" applyAlignment="1">
      <alignment horizontal="center" vertical="center" wrapText="1"/>
    </xf>
    <xf numFmtId="0" fontId="6" fillId="0" borderId="2157" xfId="0" applyFont="1" applyBorder="1" applyAlignment="1">
      <alignment horizontal="center" vertical="center" wrapText="1"/>
    </xf>
    <xf numFmtId="0" fontId="6" fillId="0" borderId="2154" xfId="0" applyFont="1" applyBorder="1" applyAlignment="1">
      <alignment horizontal="center" vertical="center"/>
    </xf>
    <xf numFmtId="0" fontId="6" fillId="0" borderId="2155" xfId="0" applyFont="1" applyBorder="1" applyAlignment="1">
      <alignment vertical="center" wrapText="1"/>
    </xf>
    <xf numFmtId="1" fontId="6" fillId="0" borderId="2155" xfId="0" applyNumberFormat="1" applyFont="1" applyBorder="1" applyAlignment="1">
      <alignment horizontal="right" vertical="center" wrapText="1"/>
    </xf>
    <xf numFmtId="1" fontId="6" fillId="5" borderId="2170" xfId="0" applyNumberFormat="1" applyFont="1" applyFill="1" applyBorder="1" applyProtection="1">
      <protection locked="0"/>
    </xf>
    <xf numFmtId="1" fontId="6" fillId="0" borderId="1675" xfId="0" applyNumberFormat="1" applyFont="1" applyBorder="1" applyAlignment="1">
      <alignment horizontal="right" vertical="center" wrapText="1"/>
    </xf>
    <xf numFmtId="0" fontId="6" fillId="0" borderId="725" xfId="0" applyFont="1" applyBorder="1" applyAlignment="1">
      <alignment vertical="center" wrapText="1"/>
    </xf>
    <xf numFmtId="1" fontId="6" fillId="0" borderId="2166" xfId="0" applyNumberFormat="1" applyFont="1" applyBorder="1" applyAlignment="1">
      <alignment horizontal="right" vertical="center" wrapText="1"/>
    </xf>
    <xf numFmtId="1" fontId="6" fillId="0" borderId="0" xfId="0" applyNumberFormat="1" applyFont="1" applyAlignment="1">
      <alignment horizontal="right" vertical="center" wrapText="1"/>
    </xf>
    <xf numFmtId="1" fontId="6" fillId="0" borderId="1846" xfId="0" applyNumberFormat="1" applyFont="1" applyBorder="1"/>
    <xf numFmtId="1" fontId="6" fillId="0" borderId="1846" xfId="0" applyNumberFormat="1" applyFont="1" applyBorder="1" applyAlignment="1">
      <alignment wrapText="1"/>
    </xf>
    <xf numFmtId="1" fontId="6" fillId="0" borderId="1834" xfId="0" applyNumberFormat="1" applyFont="1" applyBorder="1" applyAlignment="1">
      <alignment horizontal="left" vertical="center"/>
    </xf>
    <xf numFmtId="1" fontId="6" fillId="0" borderId="2155" xfId="0" applyNumberFormat="1" applyFont="1" applyBorder="1" applyAlignment="1">
      <alignment horizontal="left" vertical="center"/>
    </xf>
    <xf numFmtId="1" fontId="6" fillId="0" borderId="1827" xfId="0" applyNumberFormat="1" applyFont="1" applyBorder="1" applyAlignment="1">
      <alignment horizontal="right" vertical="center" wrapText="1"/>
    </xf>
    <xf numFmtId="1" fontId="6" fillId="0" borderId="2166" xfId="0" applyNumberFormat="1" applyFont="1" applyBorder="1" applyAlignment="1">
      <alignment horizontal="left"/>
    </xf>
    <xf numFmtId="1" fontId="6" fillId="0" borderId="1838" xfId="0" applyNumberFormat="1" applyFont="1" applyBorder="1" applyAlignment="1">
      <alignment horizontal="right" vertical="center" wrapText="1"/>
    </xf>
    <xf numFmtId="1" fontId="38" fillId="20" borderId="0" xfId="21" applyNumberFormat="1" applyFont="1"/>
    <xf numFmtId="1" fontId="38" fillId="14" borderId="0" xfId="21" applyNumberFormat="1" applyFont="1" applyFill="1"/>
    <xf numFmtId="1" fontId="38" fillId="14" borderId="0" xfId="21" applyNumberFormat="1" applyFont="1" applyFill="1" applyProtection="1">
      <protection locked="0"/>
    </xf>
    <xf numFmtId="1" fontId="38" fillId="20" borderId="0" xfId="21" applyNumberFormat="1" applyFont="1" applyProtection="1">
      <protection locked="0"/>
    </xf>
    <xf numFmtId="166" fontId="70" fillId="0" borderId="913" xfId="34" applyNumberFormat="1" applyFont="1" applyFill="1" applyBorder="1" applyProtection="1"/>
    <xf numFmtId="1" fontId="6" fillId="12" borderId="1508" xfId="0" applyNumberFormat="1" applyFont="1" applyFill="1" applyBorder="1"/>
    <xf numFmtId="1" fontId="6" fillId="12" borderId="885" xfId="0" applyNumberFormat="1" applyFont="1" applyFill="1" applyBorder="1" applyProtection="1">
      <protection locked="0"/>
    </xf>
    <xf numFmtId="1" fontId="6" fillId="12" borderId="884" xfId="0" applyNumberFormat="1" applyFont="1" applyFill="1" applyBorder="1" applyProtection="1">
      <protection locked="0"/>
    </xf>
    <xf numFmtId="1" fontId="6" fillId="12" borderId="934" xfId="0" applyNumberFormat="1" applyFont="1" applyFill="1" applyBorder="1" applyProtection="1">
      <protection locked="0"/>
    </xf>
    <xf numFmtId="1" fontId="6" fillId="12" borderId="725" xfId="0" applyNumberFormat="1" applyFont="1" applyFill="1" applyBorder="1" applyProtection="1">
      <protection locked="0"/>
    </xf>
    <xf numFmtId="1" fontId="6" fillId="31" borderId="510" xfId="0" applyNumberFormat="1" applyFont="1" applyFill="1" applyBorder="1" applyAlignment="1">
      <alignment vertical="center" wrapText="1"/>
    </xf>
    <xf numFmtId="1" fontId="6" fillId="31" borderId="24" xfId="0" applyNumberFormat="1" applyFont="1" applyFill="1" applyBorder="1"/>
    <xf numFmtId="1" fontId="6" fillId="12" borderId="1497" xfId="0" applyNumberFormat="1" applyFont="1" applyFill="1" applyBorder="1" applyAlignment="1">
      <alignment wrapText="1"/>
    </xf>
    <xf numFmtId="1" fontId="6" fillId="5" borderId="2426" xfId="0" applyNumberFormat="1" applyFont="1" applyFill="1" applyBorder="1" applyProtection="1">
      <protection locked="0"/>
    </xf>
    <xf numFmtId="1" fontId="6" fillId="5" borderId="2455" xfId="0" applyNumberFormat="1" applyFont="1" applyFill="1" applyBorder="1" applyProtection="1">
      <protection locked="0"/>
    </xf>
    <xf numFmtId="1" fontId="6" fillId="5" borderId="261" xfId="0" applyNumberFormat="1" applyFont="1" applyFill="1" applyBorder="1" applyProtection="1">
      <protection locked="0"/>
    </xf>
    <xf numFmtId="1" fontId="6" fillId="0" borderId="358" xfId="0" applyNumberFormat="1" applyFont="1" applyBorder="1" applyAlignment="1">
      <alignment wrapText="1"/>
    </xf>
    <xf numFmtId="1" fontId="6" fillId="5" borderId="2456" xfId="0" applyNumberFormat="1" applyFont="1" applyFill="1" applyBorder="1" applyProtection="1">
      <protection locked="0"/>
    </xf>
    <xf numFmtId="1" fontId="6" fillId="0" borderId="165" xfId="0" applyNumberFormat="1" applyFont="1" applyBorder="1" applyProtection="1">
      <protection locked="0"/>
    </xf>
    <xf numFmtId="1" fontId="9" fillId="3" borderId="2122" xfId="0" applyNumberFormat="1" applyFont="1" applyFill="1" applyBorder="1" applyProtection="1">
      <protection locked="0"/>
    </xf>
    <xf numFmtId="1" fontId="6" fillId="4" borderId="2400" xfId="0" applyNumberFormat="1" applyFont="1" applyFill="1" applyBorder="1"/>
    <xf numFmtId="1" fontId="6" fillId="4" borderId="2243" xfId="0" applyNumberFormat="1" applyFont="1" applyFill="1" applyBorder="1"/>
    <xf numFmtId="1" fontId="6" fillId="0" borderId="2460" xfId="0" applyNumberFormat="1" applyFont="1" applyBorder="1" applyAlignment="1">
      <alignment horizontal="right"/>
    </xf>
    <xf numFmtId="1" fontId="6" fillId="0" borderId="2461" xfId="0" applyNumberFormat="1" applyFont="1" applyBorder="1" applyAlignment="1">
      <alignment horizontal="right"/>
    </xf>
    <xf numFmtId="1" fontId="6" fillId="0" borderId="2459" xfId="0" applyNumberFormat="1" applyFont="1" applyBorder="1" applyAlignment="1">
      <alignment horizontal="right"/>
    </xf>
    <xf numFmtId="1" fontId="6" fillId="0" borderId="2460" xfId="0" applyNumberFormat="1" applyFont="1" applyBorder="1"/>
    <xf numFmtId="1" fontId="6" fillId="0" borderId="2459" xfId="0" applyNumberFormat="1" applyFont="1" applyBorder="1"/>
    <xf numFmtId="1" fontId="6" fillId="0" borderId="447" xfId="28" applyNumberFormat="1" applyFont="1" applyBorder="1" applyAlignment="1">
      <alignment horizontal="center" wrapText="1"/>
    </xf>
    <xf numFmtId="1" fontId="6" fillId="5" borderId="2462" xfId="0" applyNumberFormat="1" applyFont="1" applyFill="1" applyBorder="1" applyProtection="1">
      <protection locked="0"/>
    </xf>
    <xf numFmtId="1" fontId="64" fillId="12" borderId="0" xfId="0" applyNumberFormat="1" applyFont="1" applyFill="1"/>
    <xf numFmtId="0" fontId="0" fillId="12" borderId="0" xfId="0" applyFill="1"/>
    <xf numFmtId="1" fontId="76" fillId="12" borderId="0" xfId="0" applyNumberFormat="1" applyFont="1" applyFill="1"/>
    <xf numFmtId="1" fontId="32" fillId="12" borderId="1736" xfId="0" applyNumberFormat="1" applyFont="1" applyFill="1" applyBorder="1" applyAlignment="1">
      <alignment horizontal="center" vertical="center" wrapText="1"/>
    </xf>
    <xf numFmtId="1" fontId="32" fillId="12" borderId="1770" xfId="0" applyNumberFormat="1" applyFont="1" applyFill="1" applyBorder="1" applyAlignment="1">
      <alignment vertical="center" wrapText="1"/>
    </xf>
    <xf numFmtId="1" fontId="32" fillId="12" borderId="1802" xfId="0" applyNumberFormat="1" applyFont="1" applyFill="1" applyBorder="1"/>
    <xf numFmtId="1" fontId="32" fillId="12" borderId="1499" xfId="0" applyNumberFormat="1" applyFont="1" applyFill="1" applyBorder="1" applyAlignment="1">
      <alignment vertical="center" wrapText="1"/>
    </xf>
    <xf numFmtId="1" fontId="32" fillId="12" borderId="1675" xfId="0" applyNumberFormat="1" applyFont="1" applyFill="1" applyBorder="1"/>
    <xf numFmtId="1" fontId="65" fillId="12" borderId="1787" xfId="0" applyNumberFormat="1" applyFont="1" applyFill="1" applyBorder="1" applyAlignment="1">
      <alignment horizontal="center" vertical="center" wrapText="1"/>
    </xf>
    <xf numFmtId="1" fontId="32" fillId="12" borderId="1736" xfId="0" applyNumberFormat="1" applyFont="1" applyFill="1" applyBorder="1"/>
    <xf numFmtId="1" fontId="32" fillId="12" borderId="0" xfId="0" applyNumberFormat="1" applyFont="1" applyFill="1" applyAlignment="1">
      <alignment horizontal="center"/>
    </xf>
    <xf numFmtId="1" fontId="32" fillId="12" borderId="0" xfId="0" applyNumberFormat="1" applyFont="1" applyFill="1" applyAlignment="1">
      <alignment horizontal="right"/>
    </xf>
    <xf numFmtId="1" fontId="32" fillId="12" borderId="510" xfId="0" applyNumberFormat="1" applyFont="1" applyFill="1" applyBorder="1" applyAlignment="1">
      <alignment horizontal="center" vertical="center" wrapText="1"/>
    </xf>
    <xf numFmtId="1" fontId="32" fillId="12" borderId="1677" xfId="0" applyNumberFormat="1" applyFont="1" applyFill="1" applyBorder="1" applyAlignment="1">
      <alignment horizontal="center" vertical="center" wrapText="1"/>
    </xf>
    <xf numFmtId="1" fontId="32" fillId="12" borderId="1699" xfId="0" applyNumberFormat="1" applyFont="1" applyFill="1" applyBorder="1" applyAlignment="1">
      <alignment horizontal="center" vertical="center" wrapText="1"/>
    </xf>
    <xf numFmtId="1" fontId="32" fillId="12" borderId="1789" xfId="0" applyNumberFormat="1" applyFont="1" applyFill="1" applyBorder="1" applyAlignment="1">
      <alignment horizontal="center" vertical="center" wrapText="1"/>
    </xf>
    <xf numFmtId="1" fontId="32" fillId="12" borderId="114" xfId="0" applyNumberFormat="1" applyFont="1" applyFill="1" applyBorder="1" applyAlignment="1">
      <alignment horizontal="center" vertical="center" wrapText="1"/>
    </xf>
    <xf numFmtId="1" fontId="32" fillId="12" borderId="1787" xfId="0" applyNumberFormat="1" applyFont="1" applyFill="1" applyBorder="1" applyAlignment="1">
      <alignment vertical="center" wrapText="1"/>
    </xf>
    <xf numFmtId="1" fontId="32" fillId="12" borderId="1789" xfId="0" applyNumberFormat="1" applyFont="1" applyFill="1" applyBorder="1" applyAlignment="1">
      <alignment horizontal="right" vertical="center" wrapText="1"/>
    </xf>
    <xf numFmtId="1" fontId="6" fillId="3" borderId="2397" xfId="0" applyNumberFormat="1" applyFont="1" applyFill="1" applyBorder="1" applyAlignment="1">
      <alignment horizontal="right" wrapText="1"/>
    </xf>
    <xf numFmtId="1" fontId="6" fillId="3" borderId="2418" xfId="0" applyNumberFormat="1" applyFont="1" applyFill="1" applyBorder="1" applyAlignment="1">
      <alignment horizontal="right" wrapText="1"/>
    </xf>
    <xf numFmtId="1" fontId="6" fillId="3" borderId="1833" xfId="0" applyNumberFormat="1" applyFont="1" applyFill="1" applyBorder="1" applyAlignment="1">
      <alignment horizontal="right" wrapText="1"/>
    </xf>
    <xf numFmtId="1" fontId="6" fillId="3" borderId="2418" xfId="0" applyNumberFormat="1" applyFont="1" applyFill="1" applyBorder="1" applyAlignment="1">
      <alignment horizontal="center" vertical="center" wrapText="1"/>
    </xf>
    <xf numFmtId="1" fontId="6" fillId="15" borderId="2441" xfId="0" applyNumberFormat="1" applyFont="1" applyFill="1" applyBorder="1" applyProtection="1">
      <protection locked="0"/>
    </xf>
    <xf numFmtId="1" fontId="6" fillId="15" borderId="2463" xfId="0" applyNumberFormat="1" applyFont="1" applyFill="1" applyBorder="1" applyProtection="1">
      <protection locked="0"/>
    </xf>
    <xf numFmtId="1" fontId="6" fillId="15" borderId="1884" xfId="0" applyNumberFormat="1" applyFont="1" applyFill="1" applyBorder="1" applyProtection="1">
      <protection locked="0"/>
    </xf>
    <xf numFmtId="1" fontId="6" fillId="15" borderId="1675" xfId="0" applyNumberFormat="1" applyFont="1" applyFill="1" applyBorder="1" applyProtection="1">
      <protection locked="0"/>
    </xf>
    <xf numFmtId="1" fontId="6" fillId="0" borderId="2440" xfId="0" applyNumberFormat="1" applyFont="1" applyBorder="1" applyAlignment="1">
      <alignment wrapText="1"/>
    </xf>
    <xf numFmtId="1" fontId="6" fillId="0" borderId="2427" xfId="0" applyNumberFormat="1" applyFont="1" applyBorder="1" applyAlignment="1">
      <alignment horizontal="center" vertical="center" wrapText="1"/>
    </xf>
    <xf numFmtId="0" fontId="32" fillId="0" borderId="1755" xfId="0" applyFont="1" applyBorder="1" applyAlignment="1">
      <alignment vertical="center" wrapText="1"/>
    </xf>
    <xf numFmtId="1" fontId="32" fillId="35" borderId="1786" xfId="0" applyNumberFormat="1" applyFont="1" applyFill="1" applyBorder="1"/>
    <xf numFmtId="1" fontId="32" fillId="0" borderId="2436" xfId="0" applyNumberFormat="1" applyFont="1" applyBorder="1" applyAlignment="1">
      <alignment horizontal="center" vertical="center" wrapText="1"/>
    </xf>
    <xf numFmtId="1" fontId="32" fillId="0" borderId="2425" xfId="0" applyNumberFormat="1" applyFont="1" applyBorder="1" applyAlignment="1">
      <alignment horizontal="center" vertical="center" wrapText="1"/>
    </xf>
    <xf numFmtId="1" fontId="32" fillId="0" borderId="2468" xfId="0" applyNumberFormat="1" applyFont="1" applyBorder="1" applyAlignment="1">
      <alignment horizontal="center" vertical="center" wrapText="1"/>
    </xf>
    <xf numFmtId="0" fontId="68" fillId="0" borderId="2472" xfId="0" applyFont="1" applyBorder="1" applyAlignment="1">
      <alignment horizontal="center" wrapText="1"/>
    </xf>
    <xf numFmtId="0" fontId="32" fillId="0" borderId="2473" xfId="0" applyFont="1" applyBorder="1"/>
    <xf numFmtId="1" fontId="32" fillId="32" borderId="2474" xfId="0" applyNumberFormat="1" applyFont="1" applyFill="1" applyBorder="1" applyProtection="1">
      <protection locked="0"/>
    </xf>
    <xf numFmtId="1" fontId="32" fillId="32" borderId="2475" xfId="0" applyNumberFormat="1" applyFont="1" applyFill="1" applyBorder="1" applyProtection="1">
      <protection locked="0"/>
    </xf>
    <xf numFmtId="1" fontId="32" fillId="32" borderId="2476" xfId="0" applyNumberFormat="1" applyFont="1" applyFill="1" applyBorder="1" applyProtection="1">
      <protection locked="0"/>
    </xf>
    <xf numFmtId="0" fontId="32" fillId="0" borderId="2477" xfId="0" applyFont="1" applyBorder="1"/>
    <xf numFmtId="1" fontId="32" fillId="35" borderId="1798" xfId="0" applyNumberFormat="1" applyFont="1" applyFill="1" applyBorder="1"/>
    <xf numFmtId="1" fontId="32" fillId="32" borderId="2478" xfId="0" applyNumberFormat="1" applyFont="1" applyFill="1" applyBorder="1" applyProtection="1">
      <protection locked="0"/>
    </xf>
    <xf numFmtId="1" fontId="32" fillId="32" borderId="2479" xfId="0" applyNumberFormat="1" applyFont="1" applyFill="1" applyBorder="1" applyProtection="1">
      <protection locked="0"/>
    </xf>
    <xf numFmtId="1" fontId="32" fillId="32" borderId="2480" xfId="0" applyNumberFormat="1" applyFont="1" applyFill="1" applyBorder="1" applyProtection="1">
      <protection locked="0"/>
    </xf>
    <xf numFmtId="1" fontId="32" fillId="32" borderId="2481" xfId="0" applyNumberFormat="1" applyFont="1" applyFill="1" applyBorder="1" applyProtection="1">
      <protection locked="0"/>
    </xf>
    <xf numFmtId="1" fontId="32" fillId="32" borderId="2482" xfId="0" applyNumberFormat="1" applyFont="1" applyFill="1" applyBorder="1" applyProtection="1">
      <protection locked="0"/>
    </xf>
    <xf numFmtId="1" fontId="32" fillId="32" borderId="1884" xfId="0" applyNumberFormat="1" applyFont="1" applyFill="1" applyBorder="1" applyProtection="1">
      <protection locked="0"/>
    </xf>
    <xf numFmtId="1" fontId="32" fillId="0" borderId="1744" xfId="0" applyNumberFormat="1" applyFont="1" applyBorder="1" applyAlignment="1">
      <alignment horizontal="center" vertical="center" wrapText="1"/>
    </xf>
    <xf numFmtId="1" fontId="32" fillId="35" borderId="2483" xfId="0" applyNumberFormat="1" applyFont="1" applyFill="1" applyBorder="1"/>
    <xf numFmtId="1" fontId="32" fillId="35" borderId="2484" xfId="0" applyNumberFormat="1" applyFont="1" applyFill="1" applyBorder="1"/>
    <xf numFmtId="1" fontId="32" fillId="35" borderId="2485" xfId="0" applyNumberFormat="1" applyFont="1" applyFill="1" applyBorder="1"/>
    <xf numFmtId="1" fontId="32" fillId="35" borderId="2486" xfId="0" applyNumberFormat="1" applyFont="1" applyFill="1" applyBorder="1"/>
    <xf numFmtId="1" fontId="32" fillId="0" borderId="2429" xfId="0" applyNumberFormat="1" applyFont="1" applyBorder="1" applyAlignment="1">
      <alignment horizontal="center" vertical="center" wrapText="1"/>
    </xf>
    <xf numFmtId="1" fontId="32" fillId="32" borderId="2487" xfId="0" applyNumberFormat="1" applyFont="1" applyFill="1" applyBorder="1" applyProtection="1">
      <protection locked="0"/>
    </xf>
    <xf numFmtId="1" fontId="32" fillId="32" borderId="1876" xfId="0" applyNumberFormat="1" applyFont="1" applyFill="1" applyBorder="1" applyProtection="1">
      <protection locked="0"/>
    </xf>
    <xf numFmtId="1" fontId="32" fillId="32" borderId="2488" xfId="0" applyNumberFormat="1" applyFont="1" applyFill="1" applyBorder="1" applyProtection="1">
      <protection locked="0"/>
    </xf>
    <xf numFmtId="1" fontId="32" fillId="32" borderId="2489" xfId="0" applyNumberFormat="1" applyFont="1" applyFill="1" applyBorder="1" applyProtection="1">
      <protection locked="0"/>
    </xf>
    <xf numFmtId="1" fontId="32" fillId="32" borderId="2490" xfId="0" applyNumberFormat="1" applyFont="1" applyFill="1" applyBorder="1" applyProtection="1">
      <protection locked="0"/>
    </xf>
    <xf numFmtId="1" fontId="32" fillId="32" borderId="2491" xfId="0" applyNumberFormat="1" applyFont="1" applyFill="1" applyBorder="1" applyProtection="1">
      <protection locked="0"/>
    </xf>
    <xf numFmtId="1" fontId="32" fillId="32" borderId="2492" xfId="0" applyNumberFormat="1" applyFont="1" applyFill="1" applyBorder="1" applyProtection="1">
      <protection locked="0"/>
    </xf>
    <xf numFmtId="1" fontId="6" fillId="14" borderId="1826" xfId="25" applyNumberFormat="1" applyFont="1" applyFill="1" applyBorder="1" applyAlignment="1">
      <alignment horizontal="center" wrapText="1"/>
    </xf>
    <xf numFmtId="1" fontId="6" fillId="14" borderId="1826" xfId="7" applyNumberFormat="1" applyFont="1" applyFill="1" applyBorder="1" applyAlignment="1">
      <alignment horizontal="center" vertical="center" wrapText="1"/>
    </xf>
    <xf numFmtId="1" fontId="6" fillId="14" borderId="1826" xfId="25" applyNumberFormat="1" applyFont="1" applyFill="1" applyBorder="1" applyAlignment="1">
      <alignment horizontal="center" vertical="center" wrapText="1"/>
    </xf>
    <xf numFmtId="1" fontId="6" fillId="14" borderId="1826" xfId="0" applyNumberFormat="1" applyFont="1" applyFill="1" applyBorder="1" applyAlignment="1">
      <alignment horizontal="left" vertical="center" wrapText="1"/>
    </xf>
    <xf numFmtId="1" fontId="6" fillId="5" borderId="1828" xfId="0" applyNumberFormat="1" applyFont="1" applyFill="1" applyBorder="1" applyAlignment="1" applyProtection="1">
      <alignment horizontal="right"/>
      <protection locked="0"/>
    </xf>
    <xf numFmtId="1" fontId="6" fillId="5" borderId="684" xfId="0" applyNumberFormat="1" applyFont="1" applyFill="1" applyBorder="1" applyAlignment="1" applyProtection="1">
      <alignment horizontal="right"/>
      <protection locked="0"/>
    </xf>
    <xf numFmtId="1" fontId="6" fillId="5" borderId="1838" xfId="0" applyNumberFormat="1" applyFont="1" applyFill="1" applyBorder="1" applyAlignment="1" applyProtection="1">
      <alignment horizontal="right"/>
      <protection locked="0"/>
    </xf>
    <xf numFmtId="1" fontId="6" fillId="5" borderId="1647" xfId="0" applyNumberFormat="1" applyFont="1" applyFill="1" applyBorder="1" applyAlignment="1" applyProtection="1">
      <alignment horizontal="right"/>
      <protection locked="0"/>
    </xf>
    <xf numFmtId="1" fontId="6" fillId="5" borderId="1900" xfId="0" applyNumberFormat="1" applyFont="1" applyFill="1" applyBorder="1" applyAlignment="1" applyProtection="1">
      <alignment horizontal="right"/>
      <protection locked="0"/>
    </xf>
    <xf numFmtId="1" fontId="6" fillId="14" borderId="1900" xfId="25" applyNumberFormat="1" applyFont="1" applyFill="1" applyBorder="1" applyAlignment="1">
      <alignment horizontal="left" vertical="center" wrapText="1"/>
    </xf>
    <xf numFmtId="1" fontId="6" fillId="5" borderId="1737" xfId="0" applyNumberFormat="1" applyFont="1" applyFill="1" applyBorder="1" applyAlignment="1" applyProtection="1">
      <alignment horizontal="right"/>
      <protection locked="0"/>
    </xf>
    <xf numFmtId="1" fontId="6" fillId="14" borderId="1737" xfId="25" applyNumberFormat="1" applyFont="1" applyFill="1" applyBorder="1" applyAlignment="1">
      <alignment horizontal="left" vertical="center" wrapText="1"/>
    </xf>
    <xf numFmtId="1" fontId="6" fillId="5" borderId="1826" xfId="0" applyNumberFormat="1" applyFont="1" applyFill="1" applyBorder="1" applyAlignment="1" applyProtection="1">
      <alignment horizontal="right"/>
      <protection locked="0"/>
    </xf>
    <xf numFmtId="1" fontId="6" fillId="14" borderId="1828" xfId="0" applyNumberFormat="1" applyFont="1" applyFill="1" applyBorder="1" applyAlignment="1">
      <alignment horizontal="right"/>
    </xf>
    <xf numFmtId="1" fontId="6" fillId="14" borderId="684" xfId="0" applyNumberFormat="1" applyFont="1" applyFill="1" applyBorder="1" applyAlignment="1">
      <alignment horizontal="right"/>
    </xf>
    <xf numFmtId="1" fontId="6" fillId="14" borderId="1838" xfId="0" applyNumberFormat="1" applyFont="1" applyFill="1" applyBorder="1" applyAlignment="1">
      <alignment horizontal="right"/>
    </xf>
    <xf numFmtId="1" fontId="6" fillId="14" borderId="1647" xfId="0" applyNumberFormat="1" applyFont="1" applyFill="1" applyBorder="1" applyAlignment="1">
      <alignment horizontal="right"/>
    </xf>
    <xf numFmtId="1" fontId="6" fillId="14" borderId="1900" xfId="0" applyNumberFormat="1" applyFont="1" applyFill="1" applyBorder="1" applyAlignment="1">
      <alignment horizontal="right"/>
    </xf>
    <xf numFmtId="1" fontId="6" fillId="14" borderId="1737" xfId="0" applyNumberFormat="1" applyFont="1" applyFill="1" applyBorder="1" applyAlignment="1">
      <alignment horizontal="right"/>
    </xf>
    <xf numFmtId="1" fontId="6" fillId="14" borderId="1826" xfId="0" applyNumberFormat="1" applyFont="1" applyFill="1" applyBorder="1" applyAlignment="1">
      <alignment horizontal="right"/>
    </xf>
    <xf numFmtId="1" fontId="6" fillId="14" borderId="2244" xfId="0" applyNumberFormat="1" applyFont="1" applyFill="1" applyBorder="1" applyAlignment="1">
      <alignment horizontal="right"/>
    </xf>
    <xf numFmtId="1" fontId="6" fillId="5" borderId="2244" xfId="0" applyNumberFormat="1" applyFont="1" applyFill="1" applyBorder="1" applyAlignment="1" applyProtection="1">
      <alignment horizontal="right"/>
      <protection locked="0"/>
    </xf>
    <xf numFmtId="1" fontId="6" fillId="14" borderId="2413" xfId="0" applyNumberFormat="1" applyFont="1" applyFill="1" applyBorder="1" applyAlignment="1">
      <alignment horizontal="right"/>
    </xf>
    <xf numFmtId="1" fontId="6" fillId="5" borderId="2413" xfId="0" applyNumberFormat="1" applyFont="1" applyFill="1" applyBorder="1" applyAlignment="1" applyProtection="1">
      <alignment horizontal="right"/>
      <protection locked="0"/>
    </xf>
    <xf numFmtId="1" fontId="6" fillId="14" borderId="1675" xfId="0" applyNumberFormat="1" applyFont="1" applyFill="1" applyBorder="1" applyAlignment="1">
      <alignment horizontal="right"/>
    </xf>
    <xf numFmtId="1" fontId="6" fillId="5" borderId="1675" xfId="0" applyNumberFormat="1" applyFont="1" applyFill="1" applyBorder="1" applyAlignment="1" applyProtection="1">
      <alignment horizontal="right"/>
      <protection locked="0"/>
    </xf>
    <xf numFmtId="1" fontId="6" fillId="0" borderId="497" xfId="0" applyNumberFormat="1" applyFont="1" applyBorder="1" applyAlignment="1">
      <alignment horizontal="right" vertical="center" wrapText="1"/>
    </xf>
    <xf numFmtId="1" fontId="6" fillId="0" borderId="333" xfId="0" applyNumberFormat="1" applyFont="1" applyBorder="1" applyAlignment="1">
      <alignment horizontal="right" vertical="center" wrapText="1"/>
    </xf>
    <xf numFmtId="1" fontId="6" fillId="0" borderId="499" xfId="0" applyNumberFormat="1" applyFont="1" applyBorder="1" applyAlignment="1">
      <alignment horizontal="right" vertical="center" wrapText="1"/>
    </xf>
    <xf numFmtId="1" fontId="6" fillId="0" borderId="537" xfId="0" applyNumberFormat="1" applyFont="1" applyBorder="1" applyAlignment="1">
      <alignment horizontal="right" vertical="center" wrapText="1"/>
    </xf>
    <xf numFmtId="1" fontId="6" fillId="0" borderId="1826" xfId="0" applyNumberFormat="1" applyFont="1" applyBorder="1" applyAlignment="1">
      <alignment horizontal="right" vertical="center" wrapText="1"/>
    </xf>
    <xf numFmtId="1" fontId="6" fillId="0" borderId="2413" xfId="0" applyNumberFormat="1" applyFont="1" applyBorder="1" applyAlignment="1">
      <alignment horizontal="right" vertical="center" wrapText="1"/>
    </xf>
    <xf numFmtId="1" fontId="6" fillId="0" borderId="1497" xfId="0" applyNumberFormat="1" applyFont="1" applyBorder="1" applyAlignment="1">
      <alignment horizontal="right" vertical="center" wrapText="1"/>
    </xf>
    <xf numFmtId="1" fontId="6" fillId="0" borderId="2441" xfId="0" applyNumberFormat="1" applyFont="1" applyBorder="1" applyAlignment="1">
      <alignment horizontal="right" vertical="center" wrapText="1"/>
    </xf>
    <xf numFmtId="1" fontId="6" fillId="3" borderId="2446" xfId="0" applyNumberFormat="1" applyFont="1" applyFill="1" applyBorder="1" applyAlignment="1">
      <alignment horizontal="right" wrapText="1"/>
    </xf>
    <xf numFmtId="1" fontId="6" fillId="3" borderId="2428" xfId="0" applyNumberFormat="1" applyFont="1" applyFill="1" applyBorder="1" applyAlignment="1">
      <alignment horizontal="center" vertical="center" wrapText="1"/>
    </xf>
    <xf numFmtId="1" fontId="6" fillId="5" borderId="2493" xfId="0" applyNumberFormat="1" applyFont="1" applyFill="1" applyBorder="1" applyProtection="1">
      <protection locked="0"/>
    </xf>
    <xf numFmtId="1" fontId="6" fillId="5" borderId="2410" xfId="0" applyNumberFormat="1" applyFont="1" applyFill="1" applyBorder="1" applyProtection="1">
      <protection locked="0"/>
    </xf>
    <xf numFmtId="1" fontId="6" fillId="0" borderId="2454" xfId="0" applyNumberFormat="1" applyFont="1" applyBorder="1" applyAlignment="1">
      <alignment horizontal="center" vertical="center" wrapText="1"/>
    </xf>
    <xf numFmtId="1" fontId="6" fillId="3" borderId="2426" xfId="0" applyNumberFormat="1" applyFont="1" applyFill="1" applyBorder="1" applyAlignment="1">
      <alignment horizontal="center" vertical="center" wrapText="1"/>
    </xf>
    <xf numFmtId="1" fontId="6" fillId="5" borderId="2494" xfId="0" applyNumberFormat="1" applyFont="1" applyFill="1" applyBorder="1" applyProtection="1">
      <protection locked="0"/>
    </xf>
    <xf numFmtId="1" fontId="6" fillId="5" borderId="2248" xfId="0" applyNumberFormat="1" applyFont="1" applyFill="1" applyBorder="1" applyProtection="1">
      <protection locked="0"/>
    </xf>
    <xf numFmtId="1" fontId="6" fillId="5" borderId="2247" xfId="0" applyNumberFormat="1" applyFont="1" applyFill="1" applyBorder="1" applyProtection="1">
      <protection locked="0"/>
    </xf>
    <xf numFmtId="1" fontId="6" fillId="5" borderId="2495" xfId="0" applyNumberFormat="1" applyFont="1" applyFill="1" applyBorder="1" applyProtection="1">
      <protection locked="0"/>
    </xf>
    <xf numFmtId="1" fontId="6" fillId="5" borderId="2496" xfId="0" applyNumberFormat="1" applyFont="1" applyFill="1" applyBorder="1" applyProtection="1">
      <protection locked="0"/>
    </xf>
    <xf numFmtId="1" fontId="6" fillId="5" borderId="2497" xfId="0" applyNumberFormat="1" applyFont="1" applyFill="1" applyBorder="1" applyProtection="1">
      <protection locked="0"/>
    </xf>
    <xf numFmtId="1" fontId="6" fillId="0" borderId="2435" xfId="0" applyNumberFormat="1" applyFont="1" applyBorder="1"/>
    <xf numFmtId="1" fontId="6" fillId="0" borderId="2416" xfId="0" applyNumberFormat="1" applyFont="1" applyBorder="1"/>
    <xf numFmtId="1" fontId="6" fillId="0" borderId="2498" xfId="0" applyNumberFormat="1" applyFont="1" applyBorder="1" applyAlignment="1">
      <alignment horizontal="center" vertical="center"/>
    </xf>
    <xf numFmtId="1" fontId="6" fillId="3" borderId="2499" xfId="14" applyNumberFormat="1" applyFont="1" applyFill="1" applyBorder="1" applyAlignment="1">
      <alignment horizontal="right"/>
    </xf>
    <xf numFmtId="1" fontId="6" fillId="3" borderId="2500" xfId="14" applyNumberFormat="1" applyFont="1" applyFill="1" applyBorder="1" applyAlignment="1">
      <alignment horizontal="right"/>
    </xf>
    <xf numFmtId="1" fontId="6" fillId="3" borderId="2501" xfId="14" applyNumberFormat="1" applyFont="1" applyFill="1" applyBorder="1" applyAlignment="1">
      <alignment horizontal="right"/>
    </xf>
    <xf numFmtId="1" fontId="6" fillId="3" borderId="428" xfId="14" applyNumberFormat="1" applyFont="1" applyFill="1" applyBorder="1" applyAlignment="1">
      <alignment horizontal="right"/>
    </xf>
    <xf numFmtId="1" fontId="6" fillId="3" borderId="2502" xfId="14" applyNumberFormat="1" applyFont="1" applyFill="1" applyBorder="1" applyAlignment="1">
      <alignment horizontal="right"/>
    </xf>
    <xf numFmtId="1" fontId="6" fillId="3" borderId="2503" xfId="14" applyNumberFormat="1" applyFont="1" applyFill="1" applyBorder="1" applyAlignment="1">
      <alignment horizontal="right"/>
    </xf>
    <xf numFmtId="1" fontId="6" fillId="3" borderId="2504" xfId="14" applyNumberFormat="1" applyFont="1" applyFill="1" applyBorder="1" applyAlignment="1">
      <alignment horizontal="right"/>
    </xf>
    <xf numFmtId="1" fontId="6" fillId="0" borderId="2505" xfId="0" applyNumberFormat="1" applyFont="1" applyBorder="1" applyAlignment="1">
      <alignment horizontal="center" vertical="center" wrapText="1"/>
    </xf>
    <xf numFmtId="1" fontId="6" fillId="3" borderId="2506" xfId="14" applyNumberFormat="1" applyFont="1" applyFill="1" applyBorder="1" applyAlignment="1">
      <alignment horizontal="right"/>
    </xf>
    <xf numFmtId="1" fontId="6" fillId="3" borderId="2507" xfId="14" applyNumberFormat="1" applyFont="1" applyFill="1" applyBorder="1" applyAlignment="1">
      <alignment horizontal="right"/>
    </xf>
    <xf numFmtId="1" fontId="6" fillId="3" borderId="2508" xfId="14" applyNumberFormat="1" applyFont="1" applyFill="1" applyBorder="1" applyAlignment="1">
      <alignment horizontal="right"/>
    </xf>
    <xf numFmtId="1" fontId="6" fillId="3" borderId="0" xfId="14" applyNumberFormat="1" applyFont="1" applyFill="1" applyBorder="1" applyAlignment="1">
      <alignment horizontal="right"/>
    </xf>
    <xf numFmtId="1" fontId="6" fillId="3" borderId="2509" xfId="14" applyNumberFormat="1" applyFont="1" applyFill="1" applyBorder="1" applyAlignment="1">
      <alignment horizontal="right"/>
    </xf>
    <xf numFmtId="1" fontId="6" fillId="3" borderId="2510" xfId="14" applyNumberFormat="1" applyFont="1" applyFill="1" applyBorder="1" applyAlignment="1">
      <alignment horizontal="right"/>
    </xf>
    <xf numFmtId="1" fontId="6" fillId="3" borderId="2511" xfId="14" applyNumberFormat="1" applyFont="1" applyFill="1" applyBorder="1" applyAlignment="1">
      <alignment horizontal="right"/>
    </xf>
    <xf numFmtId="1" fontId="6" fillId="0" borderId="2512" xfId="0" applyNumberFormat="1" applyFont="1" applyBorder="1" applyAlignment="1">
      <alignment horizontal="center" vertical="center" wrapText="1"/>
    </xf>
    <xf numFmtId="1" fontId="6" fillId="3" borderId="2513" xfId="14" applyNumberFormat="1" applyFont="1" applyFill="1" applyBorder="1" applyAlignment="1">
      <alignment horizontal="right"/>
    </xf>
    <xf numFmtId="1" fontId="6" fillId="3" borderId="2514" xfId="14" applyNumberFormat="1" applyFont="1" applyFill="1" applyBorder="1" applyAlignment="1">
      <alignment horizontal="right"/>
    </xf>
    <xf numFmtId="1" fontId="6" fillId="3" borderId="2515" xfId="14" applyNumberFormat="1" applyFont="1" applyFill="1" applyBorder="1" applyAlignment="1">
      <alignment horizontal="right"/>
    </xf>
    <xf numFmtId="1" fontId="6" fillId="3" borderId="34" xfId="14" applyNumberFormat="1" applyFont="1" applyFill="1" applyBorder="1" applyAlignment="1">
      <alignment horizontal="right"/>
    </xf>
    <xf numFmtId="1" fontId="6" fillId="3" borderId="2516" xfId="14" applyNumberFormat="1" applyFont="1" applyFill="1" applyBorder="1" applyAlignment="1">
      <alignment horizontal="right"/>
    </xf>
    <xf numFmtId="1" fontId="6" fillId="3" borderId="1663" xfId="14" applyNumberFormat="1" applyFont="1" applyFill="1" applyBorder="1" applyAlignment="1">
      <alignment horizontal="right"/>
    </xf>
    <xf numFmtId="1" fontId="6" fillId="3" borderId="2517" xfId="14" applyNumberFormat="1" applyFont="1" applyFill="1" applyBorder="1" applyAlignment="1">
      <alignment horizontal="right"/>
    </xf>
    <xf numFmtId="1" fontId="6" fillId="3" borderId="2518" xfId="14" applyNumberFormat="1" applyFont="1" applyFill="1" applyBorder="1" applyAlignment="1">
      <alignment horizontal="right"/>
    </xf>
    <xf numFmtId="1" fontId="6" fillId="3" borderId="2519" xfId="14" applyNumberFormat="1" applyFont="1" applyFill="1" applyBorder="1" applyAlignment="1">
      <alignment horizontal="right"/>
    </xf>
    <xf numFmtId="1" fontId="6" fillId="0" borderId="2520" xfId="0" applyNumberFormat="1" applyFont="1" applyBorder="1" applyAlignment="1">
      <alignment horizontal="center" vertical="center" wrapText="1"/>
    </xf>
    <xf numFmtId="1" fontId="6" fillId="5" borderId="2419" xfId="0" applyNumberFormat="1" applyFont="1" applyFill="1" applyBorder="1" applyProtection="1">
      <protection locked="0"/>
    </xf>
    <xf numFmtId="1" fontId="6" fillId="5" borderId="321" xfId="0" applyNumberFormat="1" applyFont="1" applyFill="1" applyBorder="1" applyProtection="1">
      <protection locked="0"/>
    </xf>
    <xf numFmtId="1" fontId="6" fillId="5" borderId="2382" xfId="0" applyNumberFormat="1" applyFont="1" applyFill="1" applyBorder="1" applyProtection="1">
      <protection locked="0"/>
    </xf>
    <xf numFmtId="1" fontId="6" fillId="5" borderId="2524" xfId="0" applyNumberFormat="1" applyFont="1" applyFill="1" applyBorder="1" applyProtection="1">
      <protection locked="0"/>
    </xf>
    <xf numFmtId="1" fontId="6" fillId="5" borderId="2525" xfId="0" applyNumberFormat="1" applyFont="1" applyFill="1" applyBorder="1" applyProtection="1">
      <protection locked="0"/>
    </xf>
    <xf numFmtId="1" fontId="6" fillId="5" borderId="763" xfId="0" applyNumberFormat="1" applyFont="1" applyFill="1" applyBorder="1" applyProtection="1">
      <protection locked="0"/>
    </xf>
    <xf numFmtId="1" fontId="6" fillId="5" borderId="2526" xfId="0" applyNumberFormat="1" applyFont="1" applyFill="1" applyBorder="1" applyProtection="1">
      <protection locked="0"/>
    </xf>
    <xf numFmtId="0" fontId="10" fillId="8" borderId="6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4" fillId="8" borderId="2418" xfId="0" applyFont="1" applyFill="1" applyBorder="1" applyAlignment="1">
      <alignment horizontal="center" vertical="center" wrapText="1"/>
    </xf>
    <xf numFmtId="0" fontId="4" fillId="0" borderId="2436" xfId="0" applyFont="1" applyBorder="1" applyAlignment="1">
      <alignment horizontal="center" vertical="center" wrapText="1"/>
    </xf>
    <xf numFmtId="0" fontId="19" fillId="7" borderId="6" xfId="8" applyFont="1" applyFill="1" applyBorder="1" applyAlignment="1">
      <alignment horizontal="center" vertical="center"/>
    </xf>
    <xf numFmtId="0" fontId="19" fillId="7" borderId="8" xfId="8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19" fillId="8" borderId="8" xfId="0" applyFont="1" applyFill="1" applyBorder="1" applyAlignment="1">
      <alignment horizontal="center" vertical="center"/>
    </xf>
    <xf numFmtId="0" fontId="33" fillId="13" borderId="3" xfId="0" applyFont="1" applyFill="1" applyBorder="1" applyAlignment="1">
      <alignment horizontal="center" vertical="center" wrapText="1"/>
    </xf>
    <xf numFmtId="0" fontId="33" fillId="13" borderId="4" xfId="0" applyFont="1" applyFill="1" applyBorder="1" applyAlignment="1">
      <alignment horizontal="center" vertical="center" wrapText="1"/>
    </xf>
    <xf numFmtId="0" fontId="33" fillId="13" borderId="5" xfId="0" applyFont="1" applyFill="1" applyBorder="1" applyAlignment="1">
      <alignment horizontal="center" vertical="center" wrapText="1"/>
    </xf>
    <xf numFmtId="0" fontId="33" fillId="13" borderId="35" xfId="0" applyFont="1" applyFill="1" applyBorder="1" applyAlignment="1">
      <alignment horizontal="center" vertical="center" wrapText="1"/>
    </xf>
    <xf numFmtId="0" fontId="33" fillId="13" borderId="0" xfId="0" applyFont="1" applyFill="1" applyAlignment="1">
      <alignment horizontal="center" vertical="center" wrapText="1"/>
    </xf>
    <xf numFmtId="0" fontId="33" fillId="13" borderId="68" xfId="0" applyFont="1" applyFill="1" applyBorder="1" applyAlignment="1">
      <alignment horizontal="center" vertical="center" wrapText="1"/>
    </xf>
    <xf numFmtId="0" fontId="33" fillId="13" borderId="11" xfId="0" applyFont="1" applyFill="1" applyBorder="1" applyAlignment="1">
      <alignment horizontal="center" vertical="center" wrapText="1"/>
    </xf>
    <xf numFmtId="0" fontId="33" fillId="13" borderId="49" xfId="0" applyFont="1" applyFill="1" applyBorder="1" applyAlignment="1">
      <alignment horizontal="center" vertical="center" wrapText="1"/>
    </xf>
    <xf numFmtId="0" fontId="33" fillId="13" borderId="26" xfId="0" applyFont="1" applyFill="1" applyBorder="1" applyAlignment="1">
      <alignment horizontal="center" vertical="center" wrapText="1"/>
    </xf>
    <xf numFmtId="0" fontId="19" fillId="13" borderId="3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center" vertical="center" wrapText="1"/>
    </xf>
    <xf numFmtId="0" fontId="19" fillId="13" borderId="5" xfId="0" applyFont="1" applyFill="1" applyBorder="1" applyAlignment="1">
      <alignment horizontal="center" vertical="center" wrapText="1"/>
    </xf>
    <xf numFmtId="1" fontId="6" fillId="0" borderId="993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110" xfId="0" applyNumberFormat="1" applyFont="1" applyBorder="1" applyAlignment="1">
      <alignment horizontal="center" vertical="center" wrapText="1"/>
    </xf>
    <xf numFmtId="1" fontId="6" fillId="0" borderId="887" xfId="0" applyNumberFormat="1" applyFont="1" applyBorder="1" applyAlignment="1">
      <alignment horizontal="center" vertical="center" wrapText="1"/>
    </xf>
    <xf numFmtId="1" fontId="6" fillId="0" borderId="1078" xfId="0" applyNumberFormat="1" applyFont="1" applyBorder="1" applyAlignment="1">
      <alignment horizontal="center" vertical="center" wrapText="1"/>
    </xf>
    <xf numFmtId="1" fontId="6" fillId="0" borderId="795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6" fillId="0" borderId="1079" xfId="0" applyNumberFormat="1" applyFont="1" applyBorder="1" applyAlignment="1">
      <alignment horizontal="center" vertical="center" wrapText="1"/>
    </xf>
    <xf numFmtId="1" fontId="6" fillId="0" borderId="732" xfId="0" applyNumberFormat="1" applyFont="1" applyBorder="1" applyAlignment="1">
      <alignment horizontal="center" vertical="center" wrapText="1"/>
    </xf>
    <xf numFmtId="1" fontId="6" fillId="0" borderId="733" xfId="0" applyNumberFormat="1" applyFont="1" applyBorder="1" applyAlignment="1">
      <alignment horizontal="center" vertical="center" wrapText="1"/>
    </xf>
    <xf numFmtId="1" fontId="6" fillId="0" borderId="762" xfId="0" applyNumberFormat="1" applyFont="1" applyBorder="1" applyAlignment="1">
      <alignment horizontal="center" vertical="center" wrapText="1"/>
    </xf>
    <xf numFmtId="1" fontId="6" fillId="3" borderId="223" xfId="0" applyNumberFormat="1" applyFont="1" applyFill="1" applyBorder="1" applyAlignment="1">
      <alignment horizontal="center" vertical="center" wrapText="1"/>
    </xf>
    <xf numFmtId="1" fontId="6" fillId="3" borderId="236" xfId="0" applyNumberFormat="1" applyFont="1" applyFill="1" applyBorder="1" applyAlignment="1">
      <alignment horizontal="center" vertical="center" wrapText="1"/>
    </xf>
    <xf numFmtId="1" fontId="6" fillId="0" borderId="1902" xfId="0" applyNumberFormat="1" applyFont="1" applyBorder="1" applyAlignment="1">
      <alignment horizontal="center" vertical="center"/>
    </xf>
    <xf numFmtId="1" fontId="6" fillId="0" borderId="1904" xfId="0" applyNumberFormat="1" applyFont="1" applyBorder="1" applyAlignment="1">
      <alignment horizontal="center" vertical="center"/>
    </xf>
    <xf numFmtId="1" fontId="6" fillId="0" borderId="1899" xfId="0" applyNumberFormat="1" applyFont="1" applyBorder="1" applyAlignment="1">
      <alignment horizontal="center" vertical="center"/>
    </xf>
    <xf numFmtId="1" fontId="6" fillId="0" borderId="1902" xfId="0" applyNumberFormat="1" applyFont="1" applyBorder="1" applyAlignment="1">
      <alignment horizontal="center" vertical="center" wrapText="1"/>
    </xf>
    <xf numFmtId="1" fontId="6" fillId="0" borderId="1899" xfId="0" applyNumberFormat="1" applyFont="1" applyBorder="1" applyAlignment="1">
      <alignment horizontal="center" vertical="center" wrapText="1"/>
    </xf>
    <xf numFmtId="1" fontId="6" fillId="3" borderId="224" xfId="0" applyNumberFormat="1" applyFont="1" applyFill="1" applyBorder="1" applyAlignment="1">
      <alignment horizontal="center" vertical="center" wrapText="1"/>
    </xf>
    <xf numFmtId="1" fontId="6" fillId="3" borderId="227" xfId="0" applyNumberFormat="1" applyFont="1" applyFill="1" applyBorder="1" applyAlignment="1">
      <alignment horizontal="center" vertical="center" wrapText="1"/>
    </xf>
    <xf numFmtId="1" fontId="6" fillId="3" borderId="993" xfId="0" applyNumberFormat="1" applyFont="1" applyFill="1" applyBorder="1" applyAlignment="1">
      <alignment horizontal="center" vertical="center" wrapText="1"/>
    </xf>
    <xf numFmtId="1" fontId="6" fillId="0" borderId="1903" xfId="0" applyNumberFormat="1" applyFont="1" applyBorder="1" applyAlignment="1">
      <alignment horizontal="center" vertical="center"/>
    </xf>
    <xf numFmtId="1" fontId="6" fillId="0" borderId="1030" xfId="0" applyNumberFormat="1" applyFont="1" applyBorder="1" applyAlignment="1">
      <alignment horizontal="center" vertical="center" wrapText="1"/>
    </xf>
    <xf numFmtId="1" fontId="6" fillId="0" borderId="1098" xfId="0" applyNumberFormat="1" applyFont="1" applyBorder="1" applyAlignment="1">
      <alignment horizontal="center" vertical="center" wrapText="1"/>
    </xf>
    <xf numFmtId="1" fontId="6" fillId="0" borderId="1094" xfId="0" applyNumberFormat="1" applyFont="1" applyBorder="1" applyAlignment="1">
      <alignment horizontal="center" vertical="center" wrapText="1"/>
    </xf>
    <xf numFmtId="1" fontId="6" fillId="0" borderId="1099" xfId="0" applyNumberFormat="1" applyFont="1" applyBorder="1" applyAlignment="1">
      <alignment horizontal="center" vertical="center" wrapText="1"/>
    </xf>
    <xf numFmtId="1" fontId="6" fillId="0" borderId="573" xfId="0" applyNumberFormat="1" applyFont="1" applyBorder="1" applyAlignment="1">
      <alignment horizontal="center" vertical="center" wrapText="1"/>
    </xf>
    <xf numFmtId="1" fontId="6" fillId="0" borderId="510" xfId="0" applyNumberFormat="1" applyFont="1" applyBorder="1" applyAlignment="1">
      <alignment horizontal="center" vertical="center" wrapText="1"/>
    </xf>
    <xf numFmtId="1" fontId="6" fillId="0" borderId="432" xfId="0" applyNumberFormat="1" applyFont="1" applyBorder="1" applyAlignment="1">
      <alignment horizontal="center" vertical="center" wrapText="1"/>
    </xf>
    <xf numFmtId="1" fontId="6" fillId="0" borderId="223" xfId="0" applyNumberFormat="1" applyFont="1" applyBorder="1" applyAlignment="1">
      <alignment horizontal="center" vertical="center" wrapText="1"/>
    </xf>
    <xf numFmtId="1" fontId="6" fillId="0" borderId="236" xfId="0" applyNumberFormat="1" applyFont="1" applyBorder="1" applyAlignment="1">
      <alignment horizontal="center" vertical="center" wrapText="1"/>
    </xf>
    <xf numFmtId="1" fontId="6" fillId="0" borderId="1008" xfId="0" applyNumberFormat="1" applyFont="1" applyBorder="1" applyAlignment="1">
      <alignment horizontal="center" vertical="center" wrapText="1"/>
    </xf>
    <xf numFmtId="1" fontId="6" fillId="0" borderId="1038" xfId="0" applyNumberFormat="1" applyFont="1" applyBorder="1" applyAlignment="1">
      <alignment horizontal="center" vertical="center" wrapText="1"/>
    </xf>
    <xf numFmtId="1" fontId="6" fillId="0" borderId="1039" xfId="0" applyNumberFormat="1" applyFont="1" applyBorder="1" applyAlignment="1">
      <alignment horizontal="center" vertical="center" wrapText="1"/>
    </xf>
    <xf numFmtId="1" fontId="6" fillId="0" borderId="29" xfId="0" applyNumberFormat="1" applyFont="1" applyBorder="1" applyAlignment="1">
      <alignment horizontal="left" vertical="center" wrapText="1"/>
    </xf>
    <xf numFmtId="1" fontId="6" fillId="3" borderId="248" xfId="0" applyNumberFormat="1" applyFont="1" applyFill="1" applyBorder="1" applyAlignment="1">
      <alignment horizontal="left" vertical="center" wrapText="1"/>
    </xf>
    <xf numFmtId="1" fontId="6" fillId="0" borderId="573" xfId="0" applyNumberFormat="1" applyFont="1" applyBorder="1" applyAlignment="1">
      <alignment horizontal="center" vertical="center"/>
    </xf>
    <xf numFmtId="1" fontId="6" fillId="0" borderId="428" xfId="0" applyNumberFormat="1" applyFont="1" applyBorder="1" applyAlignment="1">
      <alignment horizontal="center" vertical="center"/>
    </xf>
    <xf numFmtId="1" fontId="6" fillId="0" borderId="537" xfId="0" applyNumberFormat="1" applyFont="1" applyBorder="1" applyAlignment="1">
      <alignment horizontal="center" vertical="center"/>
    </xf>
    <xf numFmtId="1" fontId="6" fillId="0" borderId="569" xfId="0" applyNumberFormat="1" applyFont="1" applyBorder="1" applyAlignment="1">
      <alignment horizontal="center" vertical="center" wrapText="1"/>
    </xf>
    <xf numFmtId="1" fontId="6" fillId="0" borderId="570" xfId="0" applyNumberFormat="1" applyFont="1" applyBorder="1" applyAlignment="1">
      <alignment horizontal="center" vertical="center" wrapText="1"/>
    </xf>
    <xf numFmtId="1" fontId="6" fillId="0" borderId="571" xfId="0" applyNumberFormat="1" applyFont="1" applyBorder="1" applyAlignment="1">
      <alignment horizontal="center" vertical="center" wrapText="1"/>
    </xf>
    <xf numFmtId="1" fontId="6" fillId="0" borderId="416" xfId="0" applyNumberFormat="1" applyFont="1" applyBorder="1" applyAlignment="1">
      <alignment horizontal="center" vertical="center" wrapText="1"/>
    </xf>
    <xf numFmtId="1" fontId="6" fillId="0" borderId="239" xfId="0" applyNumberFormat="1" applyFont="1" applyBorder="1" applyAlignment="1">
      <alignment horizontal="center" vertical="center" wrapText="1"/>
    </xf>
    <xf numFmtId="1" fontId="6" fillId="0" borderId="175" xfId="0" applyNumberFormat="1" applyFont="1" applyBorder="1" applyAlignment="1">
      <alignment horizontal="center" vertical="center" wrapText="1"/>
    </xf>
    <xf numFmtId="1" fontId="6" fillId="0" borderId="1022" xfId="0" applyNumberFormat="1" applyFont="1" applyBorder="1" applyAlignment="1">
      <alignment horizontal="center" vertical="center" wrapText="1"/>
    </xf>
    <xf numFmtId="1" fontId="6" fillId="0" borderId="1088" xfId="0" applyNumberFormat="1" applyFont="1" applyBorder="1" applyAlignment="1">
      <alignment horizontal="center" vertical="center" wrapText="1"/>
    </xf>
    <xf numFmtId="1" fontId="6" fillId="0" borderId="2373" xfId="0" applyNumberFormat="1" applyFont="1" applyBorder="1" applyAlignment="1">
      <alignment horizontal="center" vertical="center" wrapText="1"/>
    </xf>
    <xf numFmtId="1" fontId="6" fillId="0" borderId="2387" xfId="0" applyNumberFormat="1" applyFont="1" applyBorder="1" applyAlignment="1">
      <alignment horizontal="center" vertical="center" wrapText="1"/>
    </xf>
    <xf numFmtId="1" fontId="6" fillId="0" borderId="2374" xfId="0" applyNumberFormat="1" applyFont="1" applyBorder="1" applyAlignment="1">
      <alignment horizontal="center" vertical="center" wrapText="1"/>
    </xf>
    <xf numFmtId="1" fontId="6" fillId="0" borderId="1448" xfId="0" applyNumberFormat="1" applyFont="1" applyBorder="1" applyAlignment="1">
      <alignment horizontal="center" vertical="center" wrapText="1"/>
    </xf>
    <xf numFmtId="1" fontId="6" fillId="0" borderId="1801" xfId="0" applyNumberFormat="1" applyFont="1" applyBorder="1" applyAlignment="1">
      <alignment horizontal="center" vertical="center" wrapText="1"/>
    </xf>
    <xf numFmtId="1" fontId="6" fillId="0" borderId="1617" xfId="0" applyNumberFormat="1" applyFont="1" applyBorder="1" applyAlignment="1">
      <alignment horizontal="center" vertical="center" wrapText="1"/>
    </xf>
    <xf numFmtId="1" fontId="6" fillId="0" borderId="1644" xfId="0" applyNumberFormat="1" applyFont="1" applyBorder="1" applyAlignment="1">
      <alignment horizontal="center" vertical="center" wrapText="1"/>
    </xf>
    <xf numFmtId="1" fontId="6" fillId="0" borderId="1146" xfId="0" applyNumberFormat="1" applyFont="1" applyBorder="1" applyAlignment="1">
      <alignment horizontal="center" vertical="center" wrapText="1"/>
    </xf>
    <xf numFmtId="1" fontId="6" fillId="0" borderId="1189" xfId="0" applyNumberFormat="1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horizontal="left" vertical="center" wrapText="1"/>
    </xf>
    <xf numFmtId="1" fontId="6" fillId="0" borderId="231" xfId="0" applyNumberFormat="1" applyFont="1" applyBorder="1" applyAlignment="1">
      <alignment horizontal="left" vertical="center" wrapText="1"/>
    </xf>
    <xf numFmtId="1" fontId="6" fillId="0" borderId="241" xfId="0" applyNumberFormat="1" applyFont="1" applyBorder="1" applyAlignment="1">
      <alignment horizontal="center" vertical="center" wrapText="1"/>
    </xf>
    <xf numFmtId="1" fontId="6" fillId="0" borderId="240" xfId="0" applyNumberFormat="1" applyFont="1" applyBorder="1" applyAlignment="1">
      <alignment horizontal="center" vertical="center" wrapText="1"/>
    </xf>
    <xf numFmtId="1" fontId="6" fillId="0" borderId="238" xfId="0" applyNumberFormat="1" applyFont="1" applyBorder="1" applyAlignment="1">
      <alignment horizontal="center" vertical="center" wrapText="1"/>
    </xf>
    <xf numFmtId="1" fontId="6" fillId="0" borderId="177" xfId="0" applyNumberFormat="1" applyFont="1" applyBorder="1" applyAlignment="1">
      <alignment horizontal="center" vertical="center" wrapText="1"/>
    </xf>
    <xf numFmtId="1" fontId="6" fillId="0" borderId="223" xfId="0" applyNumberFormat="1" applyFont="1" applyBorder="1" applyAlignment="1">
      <alignment horizontal="center" vertical="center"/>
    </xf>
    <xf numFmtId="1" fontId="6" fillId="0" borderId="236" xfId="0" applyNumberFormat="1" applyFont="1" applyBorder="1" applyAlignment="1">
      <alignment horizontal="center" vertical="center"/>
    </xf>
    <xf numFmtId="1" fontId="6" fillId="0" borderId="1226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/>
    </xf>
    <xf numFmtId="1" fontId="6" fillId="0" borderId="1249" xfId="0" applyNumberFormat="1" applyFont="1" applyBorder="1" applyAlignment="1">
      <alignment horizontal="center" vertical="center" wrapText="1"/>
    </xf>
    <xf numFmtId="1" fontId="6" fillId="0" borderId="35" xfId="0" applyNumberFormat="1" applyFont="1" applyBorder="1" applyAlignment="1">
      <alignment horizontal="center" vertical="center" wrapText="1"/>
    </xf>
    <xf numFmtId="1" fontId="6" fillId="0" borderId="68" xfId="0" applyNumberFormat="1" applyFont="1" applyBorder="1" applyAlignment="1">
      <alignment horizontal="center" vertical="center" wrapText="1"/>
    </xf>
    <xf numFmtId="1" fontId="6" fillId="0" borderId="2082" xfId="0" applyNumberFormat="1" applyFont="1" applyBorder="1" applyAlignment="1">
      <alignment horizontal="center" vertical="center" wrapText="1"/>
    </xf>
    <xf numFmtId="1" fontId="6" fillId="0" borderId="2120" xfId="0" applyNumberFormat="1" applyFont="1" applyBorder="1" applyAlignment="1">
      <alignment horizontal="center" vertical="center" wrapText="1"/>
    </xf>
    <xf numFmtId="1" fontId="6" fillId="0" borderId="2113" xfId="0" applyNumberFormat="1" applyFont="1" applyBorder="1" applyAlignment="1">
      <alignment horizontal="center" vertical="center" wrapText="1"/>
    </xf>
    <xf numFmtId="1" fontId="6" fillId="0" borderId="1592" xfId="0" applyNumberFormat="1" applyFont="1" applyBorder="1" applyAlignment="1">
      <alignment horizontal="center" vertical="center" wrapText="1"/>
    </xf>
    <xf numFmtId="1" fontId="6" fillId="0" borderId="2160" xfId="0" applyNumberFormat="1" applyFont="1" applyBorder="1" applyAlignment="1">
      <alignment horizontal="center" vertical="center" wrapText="1"/>
    </xf>
    <xf numFmtId="1" fontId="6" fillId="0" borderId="2175" xfId="0" applyNumberFormat="1" applyFont="1" applyBorder="1" applyAlignment="1">
      <alignment horizontal="center" vertical="center" wrapText="1"/>
    </xf>
    <xf numFmtId="1" fontId="2" fillId="3" borderId="0" xfId="0" applyNumberFormat="1" applyFont="1" applyFill="1" applyAlignment="1">
      <alignment horizontal="center" vertical="center" wrapText="1"/>
    </xf>
    <xf numFmtId="1" fontId="6" fillId="0" borderId="1552" xfId="0" applyNumberFormat="1" applyFont="1" applyBorder="1" applyAlignment="1">
      <alignment horizontal="center" vertical="center" wrapText="1"/>
    </xf>
    <xf numFmtId="1" fontId="6" fillId="0" borderId="1553" xfId="0" applyNumberFormat="1" applyFont="1" applyBorder="1" applyAlignment="1">
      <alignment horizontal="center" vertical="center" wrapText="1"/>
    </xf>
    <xf numFmtId="1" fontId="6" fillId="0" borderId="1554" xfId="0" applyNumberFormat="1" applyFont="1" applyBorder="1" applyAlignment="1">
      <alignment horizontal="center" vertical="center" wrapText="1"/>
    </xf>
    <xf numFmtId="1" fontId="6" fillId="0" borderId="224" xfId="0" applyNumberFormat="1" applyFont="1" applyBorder="1" applyAlignment="1">
      <alignment horizontal="center" vertical="center"/>
    </xf>
    <xf numFmtId="1" fontId="6" fillId="0" borderId="225" xfId="0" applyNumberFormat="1" applyFont="1" applyBorder="1" applyAlignment="1">
      <alignment horizontal="center" vertical="center"/>
    </xf>
    <xf numFmtId="1" fontId="6" fillId="0" borderId="227" xfId="0" applyNumberFormat="1" applyFont="1" applyBorder="1" applyAlignment="1">
      <alignment horizontal="center" vertical="center"/>
    </xf>
    <xf numFmtId="1" fontId="32" fillId="0" borderId="887" xfId="0" applyNumberFormat="1" applyFont="1" applyBorder="1" applyAlignment="1">
      <alignment horizontal="center" vertical="center" wrapText="1"/>
    </xf>
    <xf numFmtId="1" fontId="32" fillId="0" borderId="1078" xfId="0" applyNumberFormat="1" applyFont="1" applyBorder="1" applyAlignment="1">
      <alignment horizontal="center" vertical="center" wrapText="1"/>
    </xf>
    <xf numFmtId="1" fontId="6" fillId="0" borderId="493" xfId="0" applyNumberFormat="1" applyFont="1" applyBorder="1" applyAlignment="1">
      <alignment horizontal="center" vertical="center" wrapText="1"/>
    </xf>
    <xf numFmtId="1" fontId="6" fillId="0" borderId="441" xfId="0" applyNumberFormat="1" applyFont="1" applyBorder="1" applyAlignment="1">
      <alignment horizontal="center" vertical="center" wrapText="1"/>
    </xf>
    <xf numFmtId="1" fontId="6" fillId="0" borderId="1137" xfId="0" applyNumberFormat="1" applyFont="1" applyBorder="1" applyAlignment="1">
      <alignment horizontal="center" vertical="center"/>
    </xf>
    <xf numFmtId="1" fontId="6" fillId="0" borderId="1094" xfId="0" applyNumberFormat="1" applyFont="1" applyBorder="1" applyAlignment="1">
      <alignment horizontal="center" vertical="center"/>
    </xf>
    <xf numFmtId="1" fontId="6" fillId="0" borderId="1138" xfId="0" applyNumberFormat="1" applyFont="1" applyBorder="1" applyAlignment="1">
      <alignment horizontal="center" vertical="center"/>
    </xf>
    <xf numFmtId="1" fontId="6" fillId="3" borderId="493" xfId="0" applyNumberFormat="1" applyFont="1" applyFill="1" applyBorder="1" applyAlignment="1">
      <alignment horizontal="center" vertical="center" wrapText="1"/>
    </xf>
    <xf numFmtId="1" fontId="6" fillId="3" borderId="441" xfId="0" applyNumberFormat="1" applyFont="1" applyFill="1" applyBorder="1" applyAlignment="1">
      <alignment horizontal="center" vertical="center" wrapText="1"/>
    </xf>
    <xf numFmtId="1" fontId="6" fillId="0" borderId="503" xfId="0" applyNumberFormat="1" applyFont="1" applyBorder="1" applyAlignment="1">
      <alignment horizontal="center" vertical="center"/>
    </xf>
    <xf numFmtId="1" fontId="6" fillId="0" borderId="449" xfId="0" applyNumberFormat="1" applyFont="1" applyBorder="1" applyAlignment="1">
      <alignment horizontal="center" vertical="center"/>
    </xf>
    <xf numFmtId="1" fontId="6" fillId="0" borderId="496" xfId="0" applyNumberFormat="1" applyFont="1" applyBorder="1" applyAlignment="1">
      <alignment horizontal="center" vertical="center"/>
    </xf>
    <xf numFmtId="1" fontId="6" fillId="0" borderId="503" xfId="0" applyNumberFormat="1" applyFont="1" applyBorder="1" applyAlignment="1">
      <alignment horizontal="center" vertical="center" wrapText="1"/>
    </xf>
    <xf numFmtId="1" fontId="6" fillId="0" borderId="496" xfId="0" applyNumberFormat="1" applyFont="1" applyBorder="1"/>
    <xf numFmtId="1" fontId="6" fillId="0" borderId="496" xfId="0" applyNumberFormat="1" applyFont="1" applyBorder="1" applyAlignment="1">
      <alignment horizontal="center" vertical="center" wrapText="1"/>
    </xf>
    <xf numFmtId="1" fontId="6" fillId="0" borderId="1228" xfId="0" applyNumberFormat="1" applyFont="1" applyBorder="1" applyAlignment="1">
      <alignment horizontal="center" vertical="center" wrapText="1"/>
    </xf>
    <xf numFmtId="1" fontId="4" fillId="36" borderId="1750" xfId="6" applyNumberFormat="1" applyFont="1" applyFill="1" applyBorder="1" applyAlignment="1">
      <alignment horizontal="left" wrapText="1"/>
    </xf>
    <xf numFmtId="1" fontId="6" fillId="0" borderId="1767" xfId="6" applyNumberFormat="1" applyFont="1" applyBorder="1" applyAlignment="1">
      <alignment horizontal="left" vertical="center"/>
    </xf>
    <xf numFmtId="1" fontId="6" fillId="0" borderId="1768" xfId="6" applyNumberFormat="1" applyFont="1" applyBorder="1" applyAlignment="1">
      <alignment horizontal="left" vertical="center"/>
    </xf>
    <xf numFmtId="1" fontId="6" fillId="0" borderId="1786" xfId="6" applyNumberFormat="1" applyFont="1" applyBorder="1" applyAlignment="1">
      <alignment horizontal="left" vertical="center"/>
    </xf>
    <xf numFmtId="1" fontId="6" fillId="0" borderId="1757" xfId="6" applyNumberFormat="1" applyFont="1" applyBorder="1" applyAlignment="1">
      <alignment horizontal="left" vertical="center"/>
    </xf>
    <xf numFmtId="1" fontId="6" fillId="0" borderId="1873" xfId="6" applyNumberFormat="1" applyFont="1" applyBorder="1" applyAlignment="1">
      <alignment horizontal="left" vertical="center"/>
    </xf>
    <xf numFmtId="1" fontId="6" fillId="0" borderId="1760" xfId="6" applyNumberFormat="1" applyFont="1" applyBorder="1" applyAlignment="1">
      <alignment horizontal="left" vertical="center"/>
    </xf>
    <xf numFmtId="1" fontId="6" fillId="0" borderId="1743" xfId="6" applyNumberFormat="1" applyFont="1" applyBorder="1" applyAlignment="1">
      <alignment horizontal="center" vertical="center"/>
    </xf>
    <xf numFmtId="1" fontId="6" fillId="0" borderId="1745" xfId="6" applyNumberFormat="1" applyFont="1" applyBorder="1" applyAlignment="1">
      <alignment horizontal="center" vertical="center"/>
    </xf>
    <xf numFmtId="1" fontId="6" fillId="0" borderId="1756" xfId="6" applyNumberFormat="1" applyFont="1" applyBorder="1" applyAlignment="1">
      <alignment horizontal="center" vertical="center"/>
    </xf>
    <xf numFmtId="1" fontId="6" fillId="0" borderId="1862" xfId="6" applyNumberFormat="1" applyFont="1" applyBorder="1" applyAlignment="1">
      <alignment horizontal="center" vertical="center"/>
    </xf>
    <xf numFmtId="1" fontId="6" fillId="0" borderId="1749" xfId="6" applyNumberFormat="1" applyFont="1" applyBorder="1" applyAlignment="1">
      <alignment horizontal="center" vertical="center"/>
    </xf>
    <xf numFmtId="1" fontId="6" fillId="0" borderId="1751" xfId="6" applyNumberFormat="1" applyFont="1" applyBorder="1" applyAlignment="1">
      <alignment horizontal="center" vertical="center"/>
    </xf>
    <xf numFmtId="0" fontId="6" fillId="0" borderId="1615" xfId="0" applyFont="1" applyBorder="1" applyAlignment="1">
      <alignment horizontal="center" vertical="center" wrapText="1"/>
    </xf>
    <xf numFmtId="0" fontId="6" fillId="0" borderId="1592" xfId="0" applyFont="1" applyBorder="1" applyAlignment="1">
      <alignment horizontal="center" vertical="center" wrapText="1"/>
    </xf>
    <xf numFmtId="0" fontId="6" fillId="0" borderId="1737" xfId="0" applyFont="1" applyBorder="1" applyAlignment="1">
      <alignment horizontal="center" vertical="center" wrapText="1"/>
    </xf>
    <xf numFmtId="1" fontId="6" fillId="0" borderId="1743" xfId="6" applyNumberFormat="1" applyFont="1" applyBorder="1" applyAlignment="1">
      <alignment horizontal="center" vertical="center" wrapText="1"/>
    </xf>
    <xf numFmtId="0" fontId="46" fillId="0" borderId="1744" xfId="6" applyFont="1" applyBorder="1"/>
    <xf numFmtId="0" fontId="46" fillId="0" borderId="1745" xfId="6" applyFont="1" applyBorder="1"/>
    <xf numFmtId="0" fontId="46" fillId="0" borderId="1749" xfId="6" applyFont="1" applyBorder="1"/>
    <xf numFmtId="0" fontId="46" fillId="0" borderId="1750" xfId="6" applyFont="1" applyBorder="1"/>
    <xf numFmtId="0" fontId="46" fillId="0" borderId="1751" xfId="6" applyFont="1" applyBorder="1"/>
    <xf numFmtId="1" fontId="6" fillId="0" borderId="1746" xfId="6" applyNumberFormat="1" applyFont="1" applyBorder="1" applyAlignment="1">
      <alignment horizontal="center" vertical="center"/>
    </xf>
    <xf numFmtId="0" fontId="46" fillId="0" borderId="1747" xfId="6" applyFont="1" applyBorder="1"/>
    <xf numFmtId="0" fontId="46" fillId="0" borderId="1752" xfId="6" applyFont="1" applyBorder="1"/>
    <xf numFmtId="1" fontId="6" fillId="0" borderId="1746" xfId="6" applyNumberFormat="1" applyFont="1" applyBorder="1" applyAlignment="1">
      <alignment horizontal="center" vertical="center" wrapText="1"/>
    </xf>
    <xf numFmtId="1" fontId="6" fillId="0" borderId="1742" xfId="6" applyNumberFormat="1" applyFont="1" applyBorder="1" applyAlignment="1">
      <alignment horizontal="center" vertical="center" wrapText="1"/>
    </xf>
    <xf numFmtId="1" fontId="6" fillId="0" borderId="1748" xfId="6" applyNumberFormat="1" applyFont="1" applyBorder="1" applyAlignment="1">
      <alignment horizontal="center" vertical="center" wrapText="1"/>
    </xf>
    <xf numFmtId="1" fontId="6" fillId="0" borderId="1753" xfId="6" applyNumberFormat="1" applyFont="1" applyBorder="1" applyAlignment="1">
      <alignment horizontal="center" vertical="center" wrapText="1"/>
    </xf>
    <xf numFmtId="0" fontId="6" fillId="0" borderId="1826" xfId="0" applyFont="1" applyBorder="1" applyAlignment="1">
      <alignment horizontal="center" vertical="center"/>
    </xf>
    <xf numFmtId="1" fontId="6" fillId="0" borderId="1616" xfId="0" applyNumberFormat="1" applyFont="1" applyBorder="1" applyAlignment="1">
      <alignment horizontal="center" vertical="center" wrapText="1"/>
    </xf>
    <xf numFmtId="1" fontId="6" fillId="0" borderId="1711" xfId="0" applyNumberFormat="1" applyFont="1" applyBorder="1" applyAlignment="1">
      <alignment horizontal="center" vertical="center" wrapText="1"/>
    </xf>
    <xf numFmtId="1" fontId="6" fillId="0" borderId="1826" xfId="0" applyNumberFormat="1" applyFont="1" applyBorder="1" applyAlignment="1">
      <alignment horizontal="center" vertical="center" wrapText="1"/>
    </xf>
    <xf numFmtId="1" fontId="6" fillId="0" borderId="1829" xfId="0" applyNumberFormat="1" applyFont="1" applyBorder="1" applyAlignment="1">
      <alignment horizontal="center" vertical="center" wrapText="1"/>
    </xf>
    <xf numFmtId="1" fontId="6" fillId="0" borderId="1835" xfId="0" applyNumberFormat="1" applyFont="1" applyBorder="1" applyAlignment="1">
      <alignment horizontal="center" vertical="center" wrapText="1"/>
    </xf>
    <xf numFmtId="1" fontId="6" fillId="0" borderId="1870" xfId="0" applyNumberFormat="1" applyFont="1" applyBorder="1" applyAlignment="1">
      <alignment horizontal="center" vertical="center" wrapText="1"/>
    </xf>
    <xf numFmtId="1" fontId="6" fillId="0" borderId="1841" xfId="0" applyNumberFormat="1" applyFont="1" applyBorder="1" applyAlignment="1">
      <alignment horizontal="center" vertical="center" wrapText="1"/>
    </xf>
    <xf numFmtId="1" fontId="6" fillId="0" borderId="1871" xfId="0" applyNumberFormat="1" applyFont="1" applyBorder="1" applyAlignment="1">
      <alignment horizontal="center" vertical="center" wrapText="1"/>
    </xf>
    <xf numFmtId="0" fontId="6" fillId="14" borderId="1617" xfId="0" applyFont="1" applyFill="1" applyBorder="1" applyAlignment="1">
      <alignment horizontal="left" vertical="center" wrapText="1"/>
    </xf>
    <xf numFmtId="0" fontId="6" fillId="14" borderId="510" xfId="0" applyFont="1" applyFill="1" applyBorder="1" applyAlignment="1">
      <alignment horizontal="left" vertical="center" wrapText="1"/>
    </xf>
    <xf numFmtId="0" fontId="6" fillId="14" borderId="1654" xfId="0" applyFont="1" applyFill="1" applyBorder="1" applyAlignment="1">
      <alignment horizontal="left" vertical="center" wrapText="1"/>
    </xf>
    <xf numFmtId="0" fontId="13" fillId="14" borderId="1737" xfId="0" applyFont="1" applyFill="1" applyBorder="1" applyAlignment="1">
      <alignment horizontal="left" vertical="center" wrapText="1"/>
    </xf>
    <xf numFmtId="1" fontId="6" fillId="0" borderId="1773" xfId="0" applyNumberFormat="1" applyFont="1" applyBorder="1" applyAlignment="1">
      <alignment horizontal="center" vertical="center" wrapText="1"/>
    </xf>
    <xf numFmtId="1" fontId="6" fillId="0" borderId="1726" xfId="0" applyNumberFormat="1" applyFont="1" applyBorder="1" applyAlignment="1">
      <alignment horizontal="center" vertical="center" wrapText="1"/>
    </xf>
    <xf numFmtId="1" fontId="6" fillId="0" borderId="1734" xfId="0" applyNumberFormat="1" applyFont="1" applyBorder="1" applyAlignment="1">
      <alignment horizontal="center" vertical="center" wrapText="1"/>
    </xf>
    <xf numFmtId="1" fontId="6" fillId="0" borderId="1735" xfId="0" applyNumberFormat="1" applyFont="1" applyBorder="1" applyAlignment="1">
      <alignment horizontal="center" vertical="center" wrapText="1"/>
    </xf>
    <xf numFmtId="1" fontId="6" fillId="0" borderId="1615" xfId="0" applyNumberFormat="1" applyFont="1" applyBorder="1" applyAlignment="1">
      <alignment horizontal="center" vertical="center"/>
    </xf>
    <xf numFmtId="1" fontId="6" fillId="0" borderId="1737" xfId="0" applyNumberFormat="1" applyFont="1" applyBorder="1" applyAlignment="1">
      <alignment horizontal="center" vertical="center"/>
    </xf>
    <xf numFmtId="1" fontId="6" fillId="0" borderId="1653" xfId="0" applyNumberFormat="1" applyFont="1" applyBorder="1" applyAlignment="1">
      <alignment horizontal="center" vertical="center" wrapText="1"/>
    </xf>
    <xf numFmtId="1" fontId="6" fillId="0" borderId="1654" xfId="0" applyNumberFormat="1" applyFont="1" applyBorder="1" applyAlignment="1">
      <alignment horizontal="center" vertical="center" wrapText="1"/>
    </xf>
    <xf numFmtId="1" fontId="6" fillId="0" borderId="1668" xfId="0" applyNumberFormat="1" applyFont="1" applyBorder="1" applyAlignment="1">
      <alignment horizontal="center" vertical="center" wrapText="1"/>
    </xf>
    <xf numFmtId="1" fontId="6" fillId="0" borderId="1615" xfId="0" applyNumberFormat="1" applyFont="1" applyBorder="1" applyAlignment="1">
      <alignment horizontal="center" vertical="center" wrapText="1"/>
    </xf>
    <xf numFmtId="1" fontId="6" fillId="0" borderId="428" xfId="0" applyNumberFormat="1" applyFont="1" applyBorder="1" applyAlignment="1">
      <alignment horizontal="center" vertical="center" wrapText="1"/>
    </xf>
    <xf numFmtId="1" fontId="6" fillId="0" borderId="1737" xfId="0" applyNumberFormat="1" applyFont="1" applyBorder="1" applyAlignment="1">
      <alignment horizontal="center" vertical="center" wrapText="1"/>
    </xf>
    <xf numFmtId="1" fontId="6" fillId="0" borderId="1089" xfId="23" applyNumberFormat="1" applyFont="1" applyBorder="1" applyAlignment="1">
      <alignment horizontal="left" vertical="center" wrapText="1"/>
    </xf>
    <xf numFmtId="1" fontId="6" fillId="0" borderId="1104" xfId="23" applyNumberFormat="1" applyFont="1" applyBorder="1" applyAlignment="1">
      <alignment horizontal="left" vertical="center" wrapText="1"/>
    </xf>
    <xf numFmtId="1" fontId="6" fillId="0" borderId="510" xfId="23" applyNumberFormat="1" applyFont="1" applyBorder="1" applyAlignment="1">
      <alignment horizontal="center" vertical="center" wrapText="1"/>
    </xf>
    <xf numFmtId="1" fontId="6" fillId="0" borderId="1078" xfId="23" applyNumberFormat="1" applyFont="1" applyBorder="1" applyAlignment="1">
      <alignment horizontal="center" vertical="center" wrapText="1"/>
    </xf>
    <xf numFmtId="1" fontId="6" fillId="0" borderId="1236" xfId="0" applyNumberFormat="1" applyFont="1" applyBorder="1" applyAlignment="1">
      <alignment horizontal="center" vertical="center" wrapText="1"/>
    </xf>
    <xf numFmtId="1" fontId="6" fillId="0" borderId="1235" xfId="0" applyNumberFormat="1" applyFont="1" applyBorder="1" applyAlignment="1">
      <alignment horizontal="center" vertical="center" wrapText="1"/>
    </xf>
    <xf numFmtId="1" fontId="6" fillId="0" borderId="399" xfId="0" applyNumberFormat="1" applyFont="1" applyBorder="1" applyAlignment="1">
      <alignment horizontal="center" vertical="center" wrapText="1"/>
    </xf>
    <xf numFmtId="1" fontId="6" fillId="0" borderId="348" xfId="0" applyNumberFormat="1" applyFont="1" applyBorder="1" applyAlignment="1">
      <alignment horizontal="center" vertical="center" wrapText="1"/>
    </xf>
    <xf numFmtId="1" fontId="6" fillId="0" borderId="345" xfId="0" applyNumberFormat="1" applyFont="1" applyBorder="1" applyAlignment="1">
      <alignment horizontal="center" vertical="center" wrapText="1"/>
    </xf>
    <xf numFmtId="1" fontId="6" fillId="0" borderId="396" xfId="0" applyNumberFormat="1" applyFont="1" applyBorder="1" applyAlignment="1">
      <alignment horizontal="left" vertical="center" wrapText="1"/>
    </xf>
    <xf numFmtId="1" fontId="6" fillId="0" borderId="393" xfId="0" applyNumberFormat="1" applyFont="1" applyBorder="1" applyAlignment="1">
      <alignment horizontal="left" vertical="center" wrapText="1"/>
    </xf>
    <xf numFmtId="1" fontId="6" fillId="0" borderId="40" xfId="0" applyNumberFormat="1" applyFont="1" applyBorder="1" applyAlignment="1">
      <alignment horizontal="left"/>
    </xf>
    <xf numFmtId="1" fontId="6" fillId="0" borderId="50" xfId="0" applyNumberFormat="1" applyFont="1" applyBorder="1" applyAlignment="1">
      <alignment horizontal="left"/>
    </xf>
    <xf numFmtId="1" fontId="6" fillId="0" borderId="1230" xfId="0" applyNumberFormat="1" applyFont="1" applyBorder="1" applyAlignment="1">
      <alignment horizontal="center" vertical="center" wrapText="1"/>
    </xf>
    <xf numFmtId="1" fontId="6" fillId="0" borderId="1231" xfId="0" applyNumberFormat="1" applyFont="1" applyBorder="1" applyAlignment="1">
      <alignment horizontal="center" vertical="center" wrapText="1"/>
    </xf>
    <xf numFmtId="1" fontId="6" fillId="0" borderId="1232" xfId="0" applyNumberFormat="1" applyFont="1" applyBorder="1" applyAlignment="1">
      <alignment horizontal="center" vertical="center" wrapText="1"/>
    </xf>
    <xf numFmtId="1" fontId="6" fillId="0" borderId="590" xfId="0" applyNumberFormat="1" applyFont="1" applyBorder="1" applyAlignment="1">
      <alignment horizontal="left" wrapText="1"/>
    </xf>
    <xf numFmtId="1" fontId="6" fillId="0" borderId="591" xfId="0" applyNumberFormat="1" applyFont="1" applyBorder="1" applyAlignment="1">
      <alignment horizontal="left" wrapText="1"/>
    </xf>
    <xf numFmtId="1" fontId="6" fillId="0" borderId="1089" xfId="0" applyNumberFormat="1" applyFont="1" applyBorder="1" applyAlignment="1">
      <alignment horizontal="left" wrapText="1"/>
    </xf>
    <xf numFmtId="1" fontId="6" fillId="0" borderId="1104" xfId="0" applyNumberFormat="1" applyFont="1" applyBorder="1" applyAlignment="1">
      <alignment horizontal="left" wrapText="1"/>
    </xf>
    <xf numFmtId="1" fontId="6" fillId="0" borderId="1152" xfId="0" applyNumberFormat="1" applyFont="1" applyBorder="1" applyAlignment="1">
      <alignment horizontal="left" wrapText="1"/>
    </xf>
    <xf numFmtId="1" fontId="6" fillId="0" borderId="1142" xfId="0" applyNumberFormat="1" applyFont="1" applyBorder="1" applyAlignment="1">
      <alignment horizontal="left" wrapText="1"/>
    </xf>
    <xf numFmtId="1" fontId="6" fillId="0" borderId="40" xfId="23" applyNumberFormat="1" applyFont="1" applyBorder="1" applyAlignment="1">
      <alignment horizontal="left" vertical="center" wrapText="1"/>
    </xf>
    <xf numFmtId="1" fontId="6" fillId="0" borderId="50" xfId="23" applyNumberFormat="1" applyFont="1" applyBorder="1" applyAlignment="1">
      <alignment horizontal="left" vertical="center" wrapText="1"/>
    </xf>
    <xf numFmtId="1" fontId="6" fillId="0" borderId="241" xfId="23" applyNumberFormat="1" applyFont="1" applyBorder="1" applyAlignment="1">
      <alignment horizontal="center" vertical="center" wrapText="1"/>
    </xf>
    <xf numFmtId="1" fontId="6" fillId="0" borderId="240" xfId="23" applyNumberFormat="1" applyFont="1" applyBorder="1" applyAlignment="1">
      <alignment horizontal="center" vertical="center" wrapText="1"/>
    </xf>
    <xf numFmtId="1" fontId="6" fillId="0" borderId="348" xfId="23" applyNumberFormat="1" applyFont="1" applyBorder="1" applyAlignment="1">
      <alignment horizontal="center" vertical="center" wrapText="1"/>
    </xf>
    <xf numFmtId="1" fontId="6" fillId="0" borderId="345" xfId="23" applyNumberFormat="1" applyFont="1" applyBorder="1" applyAlignment="1">
      <alignment horizontal="center" vertical="center" wrapText="1"/>
    </xf>
    <xf numFmtId="1" fontId="6" fillId="0" borderId="1670" xfId="0" applyNumberFormat="1" applyFont="1" applyBorder="1" applyAlignment="1">
      <alignment horizontal="center" vertical="center" wrapText="1"/>
    </xf>
    <xf numFmtId="1" fontId="6" fillId="0" borderId="1671" xfId="0" applyNumberFormat="1" applyFont="1" applyBorder="1" applyAlignment="1">
      <alignment horizontal="center" vertical="center" wrapText="1"/>
    </xf>
    <xf numFmtId="1" fontId="6" fillId="0" borderId="360" xfId="0" applyNumberFormat="1" applyFont="1" applyBorder="1" applyAlignment="1">
      <alignment horizontal="center" vertical="center" wrapText="1"/>
    </xf>
    <xf numFmtId="1" fontId="6" fillId="0" borderId="328" xfId="0" applyNumberFormat="1" applyFont="1" applyBorder="1" applyAlignment="1">
      <alignment horizontal="center" vertical="center" wrapText="1"/>
    </xf>
    <xf numFmtId="1" fontId="6" fillId="0" borderId="330" xfId="0" applyNumberFormat="1" applyFont="1" applyBorder="1" applyAlignment="1">
      <alignment horizontal="center" vertical="center" wrapText="1"/>
    </xf>
    <xf numFmtId="1" fontId="6" fillId="0" borderId="20" xfId="0" applyNumberFormat="1" applyFont="1" applyBorder="1" applyAlignment="1">
      <alignment horizontal="center" vertical="center" wrapText="1"/>
    </xf>
    <xf numFmtId="1" fontId="6" fillId="0" borderId="45" xfId="0" applyNumberFormat="1" applyFont="1" applyBorder="1" applyAlignment="1">
      <alignment horizontal="center" vertical="center" wrapText="1"/>
    </xf>
    <xf numFmtId="1" fontId="6" fillId="0" borderId="22" xfId="0" applyNumberFormat="1" applyFont="1" applyBorder="1" applyAlignment="1">
      <alignment horizontal="center" vertical="center" wrapText="1"/>
    </xf>
    <xf numFmtId="1" fontId="6" fillId="0" borderId="1233" xfId="0" applyNumberFormat="1" applyFont="1" applyBorder="1" applyAlignment="1">
      <alignment horizontal="center" vertical="center"/>
    </xf>
    <xf numFmtId="1" fontId="6" fillId="0" borderId="1234" xfId="0" applyNumberFormat="1" applyFont="1" applyBorder="1" applyAlignment="1">
      <alignment horizontal="center" vertical="center"/>
    </xf>
    <xf numFmtId="1" fontId="6" fillId="0" borderId="1235" xfId="0" applyNumberFormat="1" applyFont="1" applyBorder="1" applyAlignment="1">
      <alignment horizontal="center" vertical="center"/>
    </xf>
    <xf numFmtId="1" fontId="6" fillId="0" borderId="1001" xfId="23" applyNumberFormat="1" applyFont="1" applyBorder="1" applyAlignment="1" applyProtection="1">
      <alignment horizontal="center" vertical="center" wrapText="1"/>
      <protection locked="0"/>
    </xf>
    <xf numFmtId="1" fontId="6" fillId="0" borderId="1145" xfId="23" applyNumberFormat="1" applyFont="1" applyBorder="1" applyAlignment="1" applyProtection="1">
      <alignment horizontal="center" vertical="center" wrapText="1"/>
      <protection locked="0"/>
    </xf>
    <xf numFmtId="1" fontId="6" fillId="0" borderId="1109" xfId="23" applyNumberFormat="1" applyFont="1" applyBorder="1" applyAlignment="1" applyProtection="1">
      <alignment horizontal="center" vertical="center" wrapText="1"/>
      <protection locked="0"/>
    </xf>
    <xf numFmtId="1" fontId="6" fillId="0" borderId="993" xfId="23" applyNumberFormat="1" applyFont="1" applyBorder="1" applyAlignment="1" applyProtection="1">
      <alignment horizontal="center" vertical="center" wrapText="1"/>
      <protection locked="0"/>
    </xf>
    <xf numFmtId="1" fontId="6" fillId="0" borderId="1146" xfId="23" applyNumberFormat="1" applyFont="1" applyBorder="1" applyAlignment="1" applyProtection="1">
      <alignment horizontal="center" vertical="center" wrapText="1"/>
      <protection locked="0"/>
    </xf>
    <xf numFmtId="1" fontId="6" fillId="0" borderId="1110" xfId="23" applyNumberFormat="1" applyFont="1" applyBorder="1" applyAlignment="1" applyProtection="1">
      <alignment horizontal="center" vertical="center" wrapText="1"/>
      <protection locked="0"/>
    </xf>
    <xf numFmtId="1" fontId="6" fillId="14" borderId="1230" xfId="0" applyNumberFormat="1" applyFont="1" applyFill="1" applyBorder="1" applyAlignment="1">
      <alignment horizontal="center" vertical="center" wrapText="1"/>
    </xf>
    <xf numFmtId="1" fontId="6" fillId="14" borderId="1232" xfId="0" applyNumberFormat="1" applyFont="1" applyFill="1" applyBorder="1" applyAlignment="1">
      <alignment horizontal="center" vertical="center" wrapText="1"/>
    </xf>
    <xf numFmtId="1" fontId="6" fillId="0" borderId="1218" xfId="0" applyNumberFormat="1" applyFont="1" applyBorder="1" applyAlignment="1">
      <alignment horizontal="center" vertical="center" wrapText="1"/>
    </xf>
    <xf numFmtId="1" fontId="6" fillId="0" borderId="1220" xfId="0" applyNumberFormat="1" applyFont="1" applyBorder="1" applyAlignment="1">
      <alignment horizontal="center" vertical="center" wrapText="1"/>
    </xf>
    <xf numFmtId="1" fontId="6" fillId="0" borderId="1137" xfId="0" applyNumberFormat="1" applyFont="1" applyBorder="1" applyAlignment="1">
      <alignment horizontal="center" vertical="center" wrapText="1"/>
    </xf>
    <xf numFmtId="1" fontId="6" fillId="0" borderId="1096" xfId="0" applyNumberFormat="1" applyFont="1" applyBorder="1" applyAlignment="1">
      <alignment horizontal="center" vertical="center" wrapText="1"/>
    </xf>
    <xf numFmtId="1" fontId="6" fillId="0" borderId="2522" xfId="0" applyNumberFormat="1" applyFont="1" applyBorder="1" applyAlignment="1">
      <alignment horizontal="center" vertical="center" wrapText="1"/>
    </xf>
    <xf numFmtId="1" fontId="6" fillId="0" borderId="2439" xfId="0" applyNumberFormat="1" applyFont="1" applyBorder="1" applyAlignment="1">
      <alignment horizontal="center" vertical="center" wrapText="1"/>
    </xf>
    <xf numFmtId="1" fontId="4" fillId="3" borderId="0" xfId="0" applyNumberFormat="1" applyFont="1" applyFill="1" applyAlignment="1">
      <alignment wrapText="1"/>
    </xf>
    <xf numFmtId="1" fontId="6" fillId="0" borderId="1543" xfId="23" applyNumberFormat="1" applyFont="1" applyBorder="1" applyAlignment="1" applyProtection="1">
      <alignment horizontal="center" vertical="center" wrapText="1"/>
      <protection locked="0"/>
    </xf>
    <xf numFmtId="1" fontId="6" fillId="0" borderId="1551" xfId="23" applyNumberFormat="1" applyFont="1" applyBorder="1" applyAlignment="1" applyProtection="1">
      <alignment horizontal="center" vertical="center" wrapText="1"/>
      <protection locked="0"/>
    </xf>
    <xf numFmtId="1" fontId="6" fillId="0" borderId="1544" xfId="23" applyNumberFormat="1" applyFont="1" applyBorder="1" applyAlignment="1" applyProtection="1">
      <alignment horizontal="center" vertical="center" wrapText="1"/>
      <protection locked="0"/>
    </xf>
    <xf numFmtId="1" fontId="6" fillId="0" borderId="1548" xfId="23" applyNumberFormat="1" applyFont="1" applyBorder="1" applyAlignment="1" applyProtection="1">
      <alignment horizontal="center" vertical="center" wrapText="1"/>
      <protection locked="0"/>
    </xf>
    <xf numFmtId="1" fontId="6" fillId="0" borderId="712" xfId="23" applyNumberFormat="1" applyFont="1" applyBorder="1" applyAlignment="1">
      <alignment horizontal="center" vertical="center" wrapText="1"/>
    </xf>
    <xf numFmtId="1" fontId="6" fillId="0" borderId="694" xfId="0" applyNumberFormat="1" applyFont="1" applyBorder="1" applyAlignment="1">
      <alignment horizontal="center" vertical="center" wrapText="1"/>
    </xf>
    <xf numFmtId="1" fontId="6" fillId="0" borderId="739" xfId="0" applyNumberFormat="1" applyFont="1" applyBorder="1" applyAlignment="1">
      <alignment horizontal="center" vertical="center" wrapText="1"/>
    </xf>
    <xf numFmtId="1" fontId="6" fillId="0" borderId="749" xfId="0" applyNumberFormat="1" applyFont="1" applyBorder="1" applyAlignment="1">
      <alignment horizontal="center" vertical="center" wrapText="1"/>
    </xf>
    <xf numFmtId="1" fontId="6" fillId="0" borderId="1412" xfId="0" applyNumberFormat="1" applyFont="1" applyBorder="1" applyAlignment="1">
      <alignment horizontal="left" wrapText="1"/>
    </xf>
    <xf numFmtId="1" fontId="6" fillId="0" borderId="1406" xfId="0" applyNumberFormat="1" applyFont="1" applyBorder="1" applyAlignment="1">
      <alignment horizontal="left" wrapText="1"/>
    </xf>
    <xf numFmtId="1" fontId="6" fillId="0" borderId="224" xfId="0" applyNumberFormat="1" applyFont="1" applyBorder="1" applyAlignment="1">
      <alignment horizontal="center" vertical="center" wrapText="1"/>
    </xf>
    <xf numFmtId="1" fontId="6" fillId="0" borderId="227" xfId="0" applyNumberFormat="1" applyFont="1" applyBorder="1" applyAlignment="1">
      <alignment horizontal="center" vertical="center" wrapText="1"/>
    </xf>
    <xf numFmtId="1" fontId="6" fillId="0" borderId="795" xfId="23" applyNumberFormat="1" applyFont="1" applyBorder="1" applyAlignment="1" applyProtection="1">
      <alignment horizontal="center" vertical="center" wrapText="1"/>
      <protection locked="0"/>
    </xf>
    <xf numFmtId="1" fontId="6" fillId="0" borderId="887" xfId="23" applyNumberFormat="1" applyFont="1" applyBorder="1" applyAlignment="1" applyProtection="1">
      <alignment horizontal="center" vertical="center" wrapText="1"/>
      <protection locked="0"/>
    </xf>
    <xf numFmtId="1" fontId="6" fillId="0" borderId="1343" xfId="23" applyNumberFormat="1" applyFont="1" applyBorder="1" applyAlignment="1" applyProtection="1">
      <alignment horizontal="center" vertical="center" wrapText="1"/>
      <protection locked="0"/>
    </xf>
    <xf numFmtId="1" fontId="6" fillId="0" borderId="1078" xfId="23" applyNumberFormat="1" applyFont="1" applyBorder="1" applyAlignment="1" applyProtection="1">
      <alignment horizontal="center" vertical="center" wrapText="1"/>
      <protection locked="0"/>
    </xf>
    <xf numFmtId="1" fontId="6" fillId="0" borderId="682" xfId="23" applyNumberFormat="1" applyFont="1" applyBorder="1" applyAlignment="1">
      <alignment horizontal="left" vertical="center" wrapText="1"/>
    </xf>
    <xf numFmtId="1" fontId="6" fillId="0" borderId="683" xfId="23" applyNumberFormat="1" applyFont="1" applyBorder="1" applyAlignment="1">
      <alignment horizontal="left" vertical="center" wrapText="1"/>
    </xf>
    <xf numFmtId="1" fontId="6" fillId="0" borderId="704" xfId="23" applyNumberFormat="1" applyFont="1" applyBorder="1" applyAlignment="1">
      <alignment horizontal="left" vertical="center" wrapText="1"/>
    </xf>
    <xf numFmtId="1" fontId="6" fillId="0" borderId="725" xfId="23" applyNumberFormat="1" applyFont="1" applyBorder="1" applyAlignment="1">
      <alignment horizontal="left" vertical="center" wrapText="1"/>
    </xf>
    <xf numFmtId="1" fontId="6" fillId="0" borderId="704" xfId="23" applyNumberFormat="1" applyFont="1" applyBorder="1" applyAlignment="1">
      <alignment horizontal="center" vertical="center" wrapText="1"/>
    </xf>
    <xf numFmtId="1" fontId="6" fillId="0" borderId="725" xfId="23" applyNumberFormat="1" applyFont="1" applyBorder="1" applyAlignment="1">
      <alignment horizontal="center" vertical="center" wrapText="1"/>
    </xf>
    <xf numFmtId="1" fontId="6" fillId="0" borderId="712" xfId="0" applyNumberFormat="1" applyFont="1" applyBorder="1" applyAlignment="1">
      <alignment horizontal="center" vertical="center" wrapText="1"/>
    </xf>
    <xf numFmtId="1" fontId="6" fillId="0" borderId="396" xfId="23" applyNumberFormat="1" applyFont="1" applyBorder="1" applyAlignment="1">
      <alignment horizontal="left" vertical="center" wrapText="1"/>
    </xf>
    <xf numFmtId="1" fontId="6" fillId="0" borderId="393" xfId="23" applyNumberFormat="1" applyFont="1" applyBorder="1" applyAlignment="1">
      <alignment horizontal="left" vertical="center" wrapText="1"/>
    </xf>
    <xf numFmtId="1" fontId="6" fillId="0" borderId="224" xfId="23" applyNumberFormat="1" applyFont="1" applyBorder="1" applyAlignment="1">
      <alignment horizontal="left" vertical="center" wrapText="1"/>
    </xf>
    <xf numFmtId="1" fontId="6" fillId="0" borderId="227" xfId="23" applyNumberFormat="1" applyFont="1" applyBorder="1" applyAlignment="1">
      <alignment horizontal="left" vertical="center" wrapText="1"/>
    </xf>
    <xf numFmtId="1" fontId="6" fillId="0" borderId="709" xfId="23" applyNumberFormat="1" applyFont="1" applyBorder="1" applyAlignment="1">
      <alignment horizontal="center" vertical="center" wrapText="1"/>
    </xf>
    <xf numFmtId="1" fontId="6" fillId="0" borderId="698" xfId="23" applyNumberFormat="1" applyFont="1" applyBorder="1" applyAlignment="1">
      <alignment horizontal="center" vertical="center" wrapText="1"/>
    </xf>
    <xf numFmtId="1" fontId="6" fillId="0" borderId="35" xfId="23" applyNumberFormat="1" applyFont="1" applyBorder="1" applyAlignment="1">
      <alignment horizontal="center" vertical="center" wrapText="1"/>
    </xf>
    <xf numFmtId="1" fontId="6" fillId="0" borderId="713" xfId="0" applyNumberFormat="1" applyFont="1" applyBorder="1" applyAlignment="1">
      <alignment horizontal="center" vertical="center" wrapText="1"/>
    </xf>
    <xf numFmtId="1" fontId="6" fillId="0" borderId="692" xfId="0" applyNumberFormat="1" applyFont="1" applyBorder="1" applyAlignment="1">
      <alignment horizontal="center" vertical="center" wrapText="1"/>
    </xf>
    <xf numFmtId="1" fontId="6" fillId="0" borderId="714" xfId="0" applyNumberFormat="1" applyFont="1" applyBorder="1" applyAlignment="1">
      <alignment horizontal="center" vertical="center" wrapText="1"/>
    </xf>
    <xf numFmtId="1" fontId="6" fillId="0" borderId="709" xfId="23" applyNumberFormat="1" applyFont="1" applyBorder="1" applyAlignment="1">
      <alignment horizontal="center" vertical="center"/>
    </xf>
    <xf numFmtId="1" fontId="6" fillId="0" borderId="704" xfId="23" applyNumberFormat="1" applyFont="1" applyBorder="1" applyAlignment="1">
      <alignment horizontal="center" vertical="center"/>
    </xf>
    <xf numFmtId="1" fontId="6" fillId="0" borderId="887" xfId="23" applyNumberFormat="1" applyFont="1" applyBorder="1" applyAlignment="1">
      <alignment horizontal="center" vertical="center" wrapText="1"/>
    </xf>
    <xf numFmtId="1" fontId="6" fillId="0" borderId="740" xfId="23" applyNumberFormat="1" applyFont="1" applyBorder="1" applyAlignment="1">
      <alignment horizontal="left" vertical="center" wrapText="1"/>
    </xf>
    <xf numFmtId="1" fontId="6" fillId="0" borderId="743" xfId="23" applyNumberFormat="1" applyFont="1" applyBorder="1" applyAlignment="1">
      <alignment horizontal="left" vertical="center" wrapText="1"/>
    </xf>
    <xf numFmtId="1" fontId="6" fillId="0" borderId="709" xfId="25" applyNumberFormat="1" applyFont="1" applyBorder="1" applyAlignment="1">
      <alignment horizontal="center" vertical="center"/>
    </xf>
    <xf numFmtId="1" fontId="6" fillId="0" borderId="655" xfId="25" applyNumberFormat="1" applyFont="1" applyBorder="1" applyAlignment="1">
      <alignment horizontal="center" vertical="center"/>
    </xf>
    <xf numFmtId="1" fontId="6" fillId="0" borderId="698" xfId="25" applyNumberFormat="1" applyFont="1" applyBorder="1" applyAlignment="1">
      <alignment horizontal="center" vertical="center"/>
    </xf>
    <xf numFmtId="1" fontId="6" fillId="0" borderId="704" xfId="25" applyNumberFormat="1" applyFont="1" applyBorder="1" applyAlignment="1">
      <alignment horizontal="center" vertical="center"/>
    </xf>
    <xf numFmtId="1" fontId="6" fillId="0" borderId="724" xfId="25" applyNumberFormat="1" applyFont="1" applyBorder="1" applyAlignment="1">
      <alignment horizontal="center" vertical="center"/>
    </xf>
    <xf numFmtId="1" fontId="6" fillId="0" borderId="725" xfId="25" applyNumberFormat="1" applyFont="1" applyBorder="1" applyAlignment="1">
      <alignment horizontal="center" vertical="center"/>
    </xf>
    <xf numFmtId="1" fontId="6" fillId="0" borderId="732" xfId="0" applyNumberFormat="1" applyFont="1" applyBorder="1" applyAlignment="1">
      <alignment horizontal="center" vertical="center"/>
    </xf>
    <xf numFmtId="1" fontId="6" fillId="0" borderId="734" xfId="0" applyNumberFormat="1" applyFont="1" applyBorder="1" applyAlignment="1">
      <alignment horizontal="center" vertical="center"/>
    </xf>
    <xf numFmtId="1" fontId="6" fillId="0" borderId="399" xfId="23" applyNumberFormat="1" applyFont="1" applyBorder="1" applyAlignment="1">
      <alignment horizontal="center" vertical="center" wrapText="1"/>
    </xf>
    <xf numFmtId="1" fontId="6" fillId="0" borderId="68" xfId="23" applyNumberFormat="1" applyFont="1" applyBorder="1" applyAlignment="1">
      <alignment horizontal="center" vertical="center" wrapText="1"/>
    </xf>
    <xf numFmtId="1" fontId="6" fillId="0" borderId="399" xfId="25" applyNumberFormat="1" applyFont="1" applyBorder="1" applyAlignment="1">
      <alignment horizontal="center" vertical="center"/>
    </xf>
    <xf numFmtId="1" fontId="6" fillId="0" borderId="239" xfId="25" applyNumberFormat="1" applyFont="1" applyBorder="1" applyAlignment="1">
      <alignment horizontal="center" vertical="center"/>
    </xf>
    <xf numFmtId="1" fontId="6" fillId="0" borderId="240" xfId="25" applyNumberFormat="1" applyFont="1" applyBorder="1" applyAlignment="1">
      <alignment horizontal="center" vertical="center"/>
    </xf>
    <xf numFmtId="1" fontId="6" fillId="0" borderId="348" xfId="25" applyNumberFormat="1" applyFont="1" applyBorder="1" applyAlignment="1">
      <alignment horizontal="center" vertical="center"/>
    </xf>
    <xf numFmtId="1" fontId="6" fillId="0" borderId="175" xfId="25" applyNumberFormat="1" applyFont="1" applyBorder="1" applyAlignment="1">
      <alignment horizontal="center" vertical="center"/>
    </xf>
    <xf numFmtId="1" fontId="6" fillId="0" borderId="345" xfId="25" applyNumberFormat="1" applyFont="1" applyBorder="1" applyAlignment="1">
      <alignment horizontal="center" vertical="center"/>
    </xf>
    <xf numFmtId="1" fontId="6" fillId="0" borderId="716" xfId="23" applyNumberFormat="1" applyFont="1" applyBorder="1" applyAlignment="1">
      <alignment horizontal="center" vertical="center" wrapText="1"/>
    </xf>
    <xf numFmtId="1" fontId="6" fillId="0" borderId="705" xfId="23" applyNumberFormat="1" applyFont="1" applyBorder="1" applyAlignment="1">
      <alignment horizontal="center" vertical="center" wrapText="1"/>
    </xf>
    <xf numFmtId="1" fontId="6" fillId="0" borderId="389" xfId="0" applyNumberFormat="1" applyFont="1" applyBorder="1" applyAlignment="1">
      <alignment horizontal="center" vertical="center" wrapText="1"/>
    </xf>
    <xf numFmtId="1" fontId="6" fillId="0" borderId="25" xfId="0" applyNumberFormat="1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horizontal="center" vertical="center" wrapText="1"/>
    </xf>
    <xf numFmtId="1" fontId="6" fillId="0" borderId="24" xfId="0" applyNumberFormat="1" applyFont="1" applyBorder="1" applyAlignment="1">
      <alignment horizontal="center" vertical="center" wrapText="1"/>
    </xf>
    <xf numFmtId="1" fontId="6" fillId="0" borderId="398" xfId="0" applyNumberFormat="1" applyFont="1" applyBorder="1" applyAlignment="1">
      <alignment horizontal="center" vertical="center" wrapText="1"/>
    </xf>
    <xf numFmtId="1" fontId="6" fillId="0" borderId="349" xfId="0" applyNumberFormat="1" applyFont="1" applyBorder="1" applyAlignment="1">
      <alignment horizontal="center" vertical="center" wrapText="1"/>
    </xf>
    <xf numFmtId="1" fontId="6" fillId="0" borderId="407" xfId="0" applyNumberFormat="1" applyFont="1" applyBorder="1" applyAlignment="1">
      <alignment horizontal="left" vertical="center" wrapText="1"/>
    </xf>
    <xf numFmtId="1" fontId="6" fillId="0" borderId="403" xfId="0" applyNumberFormat="1" applyFont="1" applyBorder="1" applyAlignment="1">
      <alignment horizontal="left" vertical="center" wrapText="1"/>
    </xf>
    <xf numFmtId="1" fontId="6" fillId="0" borderId="402" xfId="0" applyNumberFormat="1" applyFont="1" applyBorder="1" applyAlignment="1">
      <alignment horizontal="center" vertical="center" wrapText="1"/>
    </xf>
    <xf numFmtId="1" fontId="6" fillId="0" borderId="398" xfId="23" applyNumberFormat="1" applyFont="1" applyBorder="1" applyAlignment="1">
      <alignment horizontal="center" vertical="center" wrapText="1"/>
    </xf>
    <xf numFmtId="1" fontId="6" fillId="0" borderId="349" xfId="23" applyNumberFormat="1" applyFont="1" applyBorder="1" applyAlignment="1">
      <alignment horizontal="center" vertical="center" wrapText="1"/>
    </xf>
    <xf numFmtId="1" fontId="6" fillId="0" borderId="224" xfId="23" quotePrefix="1" applyNumberFormat="1" applyFont="1" applyBorder="1" applyAlignment="1">
      <alignment horizontal="center" vertical="center" wrapText="1"/>
    </xf>
    <xf numFmtId="1" fontId="6" fillId="0" borderId="225" xfId="23" quotePrefix="1" applyNumberFormat="1" applyFont="1" applyBorder="1" applyAlignment="1">
      <alignment horizontal="center" vertical="center" wrapText="1"/>
    </xf>
    <xf numFmtId="1" fontId="6" fillId="0" borderId="227" xfId="23" quotePrefix="1" applyNumberFormat="1" applyFont="1" applyBorder="1" applyAlignment="1">
      <alignment horizontal="center" vertical="center" wrapText="1"/>
    </xf>
    <xf numFmtId="1" fontId="13" fillId="0" borderId="704" xfId="23" applyNumberFormat="1" applyFont="1" applyBorder="1" applyAlignment="1">
      <alignment horizontal="center"/>
    </xf>
    <xf numFmtId="1" fontId="13" fillId="0" borderId="725" xfId="23" applyNumberFormat="1" applyFont="1" applyBorder="1" applyAlignment="1">
      <alignment horizontal="center"/>
    </xf>
    <xf numFmtId="1" fontId="6" fillId="0" borderId="768" xfId="0" applyNumberFormat="1" applyFont="1" applyBorder="1" applyAlignment="1">
      <alignment horizontal="center" vertical="center" wrapText="1"/>
    </xf>
    <xf numFmtId="1" fontId="6" fillId="0" borderId="1024" xfId="0" applyNumberFormat="1" applyFont="1" applyBorder="1" applyAlignment="1">
      <alignment horizontal="center" vertical="center" wrapText="1"/>
    </xf>
    <xf numFmtId="1" fontId="6" fillId="0" borderId="69" xfId="0" applyNumberFormat="1" applyFont="1" applyBorder="1" applyAlignment="1">
      <alignment horizontal="left"/>
    </xf>
    <xf numFmtId="1" fontId="6" fillId="0" borderId="70" xfId="0" applyNumberFormat="1" applyFont="1" applyBorder="1" applyAlignment="1">
      <alignment horizontal="left"/>
    </xf>
    <xf numFmtId="1" fontId="6" fillId="0" borderId="21" xfId="0" applyNumberFormat="1" applyFont="1" applyBorder="1" applyAlignment="1">
      <alignment horizontal="left"/>
    </xf>
    <xf numFmtId="1" fontId="6" fillId="0" borderId="40" xfId="0" applyNumberFormat="1" applyFont="1" applyBorder="1" applyAlignment="1">
      <alignment horizontal="left" vertical="center"/>
    </xf>
    <xf numFmtId="0" fontId="38" fillId="0" borderId="50" xfId="0" applyFont="1" applyBorder="1" applyAlignment="1">
      <alignment horizontal="left" vertical="center"/>
    </xf>
    <xf numFmtId="1" fontId="6" fillId="0" borderId="1233" xfId="0" applyNumberFormat="1" applyFont="1" applyBorder="1" applyAlignment="1">
      <alignment horizontal="center" vertical="center" wrapText="1"/>
    </xf>
    <xf numFmtId="1" fontId="6" fillId="0" borderId="1640" xfId="0" applyNumberFormat="1" applyFont="1" applyBorder="1" applyAlignment="1">
      <alignment horizontal="left" vertical="center"/>
    </xf>
    <xf numFmtId="1" fontId="6" fillId="0" borderId="1421" xfId="0" applyNumberFormat="1" applyFont="1" applyBorder="1" applyAlignment="1">
      <alignment horizontal="left" vertical="center"/>
    </xf>
    <xf numFmtId="1" fontId="6" fillId="0" borderId="1831" xfId="0" applyNumberFormat="1" applyFont="1" applyBorder="1" applyAlignment="1">
      <alignment horizontal="left" vertical="center"/>
    </xf>
    <xf numFmtId="1" fontId="6" fillId="0" borderId="1832" xfId="0" applyNumberFormat="1" applyFont="1" applyBorder="1" applyAlignment="1">
      <alignment horizontal="left" vertical="center"/>
    </xf>
    <xf numFmtId="1" fontId="6" fillId="0" borderId="712" xfId="23" quotePrefix="1" applyNumberFormat="1" applyFont="1" applyBorder="1" applyAlignment="1">
      <alignment horizontal="center" vertical="center" wrapText="1"/>
    </xf>
    <xf numFmtId="1" fontId="6" fillId="0" borderId="764" xfId="23" quotePrefix="1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left"/>
    </xf>
    <xf numFmtId="1" fontId="6" fillId="0" borderId="68" xfId="0" applyNumberFormat="1" applyFont="1" applyBorder="1" applyAlignment="1">
      <alignment horizontal="left"/>
    </xf>
    <xf numFmtId="1" fontId="6" fillId="0" borderId="1218" xfId="0" applyNumberFormat="1" applyFont="1" applyBorder="1" applyAlignment="1">
      <alignment horizontal="center" vertical="center"/>
    </xf>
    <xf numFmtId="1" fontId="6" fillId="0" borderId="1219" xfId="0" applyNumberFormat="1" applyFont="1" applyBorder="1" applyAlignment="1">
      <alignment horizontal="center" vertical="center"/>
    </xf>
    <xf numFmtId="1" fontId="6" fillId="0" borderId="1220" xfId="0" applyNumberFormat="1" applyFont="1" applyBorder="1" applyAlignment="1">
      <alignment horizontal="center" vertical="center"/>
    </xf>
    <xf numFmtId="1" fontId="6" fillId="0" borderId="224" xfId="0" applyNumberFormat="1" applyFont="1" applyBorder="1" applyAlignment="1">
      <alignment horizontal="left" vertical="center" wrapText="1"/>
    </xf>
    <xf numFmtId="1" fontId="6" fillId="0" borderId="227" xfId="0" applyNumberFormat="1" applyFont="1" applyBorder="1" applyAlignment="1">
      <alignment horizontal="left" vertical="center" wrapText="1"/>
    </xf>
    <xf numFmtId="1" fontId="4" fillId="3" borderId="239" xfId="0" applyNumberFormat="1" applyFont="1" applyFill="1" applyBorder="1" applyAlignment="1">
      <alignment wrapText="1"/>
    </xf>
    <xf numFmtId="1" fontId="6" fillId="0" borderId="1234" xfId="0" applyNumberFormat="1" applyFont="1" applyBorder="1" applyAlignment="1">
      <alignment horizontal="center" vertical="center" wrapText="1"/>
    </xf>
    <xf numFmtId="1" fontId="6" fillId="14" borderId="1231" xfId="0" applyNumberFormat="1" applyFont="1" applyFill="1" applyBorder="1" applyAlignment="1">
      <alignment horizontal="center" vertical="center" wrapText="1"/>
    </xf>
    <xf numFmtId="1" fontId="6" fillId="0" borderId="389" xfId="0" applyNumberFormat="1" applyFont="1" applyBorder="1" applyAlignment="1">
      <alignment horizontal="left" vertical="center"/>
    </xf>
    <xf numFmtId="1" fontId="6" fillId="0" borderId="420" xfId="0" applyNumberFormat="1" applyFont="1" applyBorder="1" applyAlignment="1">
      <alignment horizontal="center" vertical="center" wrapText="1"/>
    </xf>
    <xf numFmtId="1" fontId="6" fillId="0" borderId="362" xfId="0" applyNumberFormat="1" applyFont="1" applyBorder="1" applyAlignment="1">
      <alignment horizontal="center" vertical="center" wrapText="1"/>
    </xf>
    <xf numFmtId="1" fontId="6" fillId="0" borderId="1254" xfId="0" applyNumberFormat="1" applyFont="1" applyBorder="1" applyAlignment="1">
      <alignment horizontal="center" vertical="center" wrapText="1"/>
    </xf>
    <xf numFmtId="1" fontId="6" fillId="0" borderId="1267" xfId="0" applyNumberFormat="1" applyFont="1" applyBorder="1" applyAlignment="1">
      <alignment horizontal="center" vertical="center" wrapText="1"/>
    </xf>
    <xf numFmtId="1" fontId="6" fillId="0" borderId="1263" xfId="0" applyNumberFormat="1" applyFont="1" applyBorder="1" applyAlignment="1">
      <alignment horizontal="center" vertical="center" wrapText="1"/>
    </xf>
    <xf numFmtId="1" fontId="6" fillId="0" borderId="1089" xfId="0" applyNumberFormat="1" applyFont="1" applyBorder="1" applyAlignment="1">
      <alignment horizontal="left" vertical="center" wrapText="1"/>
    </xf>
    <xf numFmtId="1" fontId="6" fillId="0" borderId="1104" xfId="0" applyNumberFormat="1" applyFont="1" applyBorder="1" applyAlignment="1">
      <alignment horizontal="left" vertical="center" wrapText="1"/>
    </xf>
    <xf numFmtId="1" fontId="2" fillId="3" borderId="433" xfId="0" applyNumberFormat="1" applyFont="1" applyFill="1" applyBorder="1" applyAlignment="1">
      <alignment horizontal="center" vertical="center" wrapText="1"/>
    </xf>
    <xf numFmtId="1" fontId="6" fillId="0" borderId="37" xfId="0" applyNumberFormat="1" applyFont="1" applyBorder="1" applyAlignment="1">
      <alignment horizontal="left" vertical="center"/>
    </xf>
    <xf numFmtId="1" fontId="6" fillId="0" borderId="240" xfId="0" applyNumberFormat="1" applyFont="1" applyBorder="1" applyAlignment="1">
      <alignment horizontal="center" vertical="center"/>
    </xf>
    <xf numFmtId="1" fontId="6" fillId="0" borderId="68" xfId="0" applyNumberFormat="1" applyFont="1" applyBorder="1" applyAlignment="1">
      <alignment horizontal="center" vertical="center"/>
    </xf>
    <xf numFmtId="1" fontId="6" fillId="0" borderId="345" xfId="0" applyNumberFormat="1" applyFont="1" applyBorder="1" applyAlignment="1">
      <alignment horizontal="center" vertical="center"/>
    </xf>
    <xf numFmtId="1" fontId="6" fillId="0" borderId="421" xfId="0" applyNumberFormat="1" applyFont="1" applyBorder="1" applyAlignment="1">
      <alignment horizontal="center" vertical="center" wrapText="1"/>
    </xf>
    <xf numFmtId="1" fontId="6" fillId="0" borderId="414" xfId="0" applyNumberFormat="1" applyFont="1" applyBorder="1" applyAlignment="1">
      <alignment horizontal="center" vertical="center" wrapText="1"/>
    </xf>
    <xf numFmtId="1" fontId="6" fillId="0" borderId="413" xfId="0" applyNumberFormat="1" applyFont="1" applyBorder="1" applyAlignment="1">
      <alignment horizontal="center" vertical="center" wrapText="1"/>
    </xf>
    <xf numFmtId="1" fontId="6" fillId="0" borderId="364" xfId="0" applyNumberFormat="1" applyFont="1" applyBorder="1" applyAlignment="1">
      <alignment horizontal="center" vertical="center" wrapText="1"/>
    </xf>
    <xf numFmtId="1" fontId="6" fillId="0" borderId="422" xfId="0" applyNumberFormat="1" applyFont="1" applyBorder="1" applyAlignment="1">
      <alignment horizontal="center" vertical="center" wrapText="1"/>
    </xf>
    <xf numFmtId="1" fontId="6" fillId="0" borderId="363" xfId="0" applyNumberFormat="1" applyFont="1" applyBorder="1" applyAlignment="1">
      <alignment horizontal="center" vertical="center" wrapText="1"/>
    </xf>
    <xf numFmtId="1" fontId="6" fillId="0" borderId="795" xfId="0" applyNumberFormat="1" applyFont="1" applyBorder="1" applyAlignment="1">
      <alignment horizontal="center" vertical="center"/>
    </xf>
    <xf numFmtId="1" fontId="6" fillId="0" borderId="1304" xfId="0" applyNumberFormat="1" applyFont="1" applyBorder="1" applyAlignment="1">
      <alignment horizontal="center" vertical="center" wrapText="1"/>
    </xf>
    <xf numFmtId="1" fontId="6" fillId="0" borderId="1305" xfId="0" applyNumberFormat="1" applyFont="1" applyBorder="1" applyAlignment="1">
      <alignment horizontal="center" vertical="center" wrapText="1"/>
    </xf>
    <xf numFmtId="1" fontId="6" fillId="0" borderId="1219" xfId="0" applyNumberFormat="1" applyFont="1" applyBorder="1" applyAlignment="1">
      <alignment horizontal="center" vertical="center" wrapText="1"/>
    </xf>
    <xf numFmtId="1" fontId="6" fillId="14" borderId="1218" xfId="0" applyNumberFormat="1" applyFont="1" applyFill="1" applyBorder="1" applyAlignment="1">
      <alignment horizontal="center" vertical="center" wrapText="1"/>
    </xf>
    <xf numFmtId="1" fontId="6" fillId="14" borderId="1220" xfId="0" applyNumberFormat="1" applyFont="1" applyFill="1" applyBorder="1" applyAlignment="1">
      <alignment horizontal="center" vertical="center" wrapText="1"/>
    </xf>
    <xf numFmtId="1" fontId="6" fillId="0" borderId="395" xfId="0" applyNumberFormat="1" applyFont="1" applyBorder="1" applyAlignment="1">
      <alignment horizontal="left"/>
    </xf>
    <xf numFmtId="1" fontId="6" fillId="0" borderId="393" xfId="0" applyNumberFormat="1" applyFont="1" applyBorder="1" applyAlignment="1">
      <alignment horizontal="left"/>
    </xf>
    <xf numFmtId="1" fontId="6" fillId="0" borderId="340" xfId="0" applyNumberFormat="1" applyFont="1" applyBorder="1" applyAlignment="1">
      <alignment horizontal="center" vertical="center" wrapText="1"/>
    </xf>
    <xf numFmtId="1" fontId="6" fillId="0" borderId="339" xfId="0" applyNumberFormat="1" applyFont="1" applyBorder="1" applyAlignment="1">
      <alignment horizontal="center" vertical="center" wrapText="1"/>
    </xf>
    <xf numFmtId="1" fontId="4" fillId="3" borderId="175" xfId="0" applyNumberFormat="1" applyFont="1" applyFill="1" applyBorder="1" applyAlignment="1">
      <alignment horizontal="left" wrapText="1"/>
    </xf>
    <xf numFmtId="1" fontId="4" fillId="3" borderId="0" xfId="0" applyNumberFormat="1" applyFont="1" applyFill="1" applyAlignment="1">
      <alignment horizontal="left" wrapText="1"/>
    </xf>
    <xf numFmtId="1" fontId="6" fillId="0" borderId="399" xfId="0" applyNumberFormat="1" applyFont="1" applyBorder="1" applyAlignment="1">
      <alignment horizontal="center" vertical="center"/>
    </xf>
    <xf numFmtId="1" fontId="6" fillId="0" borderId="35" xfId="0" applyNumberFormat="1" applyFont="1" applyBorder="1" applyAlignment="1">
      <alignment horizontal="center" vertical="center"/>
    </xf>
    <xf numFmtId="1" fontId="6" fillId="0" borderId="348" xfId="0" applyNumberFormat="1" applyFont="1" applyBorder="1" applyAlignment="1">
      <alignment horizontal="center" vertical="center"/>
    </xf>
    <xf numFmtId="1" fontId="6" fillId="0" borderId="1646" xfId="0" applyNumberFormat="1" applyFont="1" applyBorder="1" applyAlignment="1">
      <alignment horizontal="center" vertical="center" wrapText="1"/>
    </xf>
    <xf numFmtId="1" fontId="6" fillId="0" borderId="1688" xfId="0" applyNumberFormat="1" applyFont="1" applyBorder="1" applyAlignment="1">
      <alignment horizontal="center" vertical="center" wrapText="1"/>
    </xf>
    <xf numFmtId="1" fontId="6" fillId="0" borderId="1646" xfId="0" applyNumberFormat="1" applyFont="1" applyBorder="1" applyAlignment="1">
      <alignment horizontal="center" vertical="center"/>
    </xf>
    <xf numFmtId="1" fontId="6" fillId="0" borderId="1688" xfId="0" applyNumberFormat="1" applyFont="1" applyBorder="1" applyAlignment="1">
      <alignment horizontal="center" vertical="center"/>
    </xf>
    <xf numFmtId="1" fontId="6" fillId="0" borderId="334" xfId="0" applyNumberFormat="1" applyFont="1" applyBorder="1" applyAlignment="1">
      <alignment horizontal="center" vertical="center" wrapText="1"/>
    </xf>
    <xf numFmtId="1" fontId="6" fillId="0" borderId="775" xfId="0" applyNumberFormat="1" applyFont="1" applyBorder="1" applyAlignment="1">
      <alignment horizontal="center" vertical="center" wrapText="1"/>
    </xf>
    <xf numFmtId="1" fontId="6" fillId="0" borderId="725" xfId="0" applyNumberFormat="1" applyFont="1" applyBorder="1" applyAlignment="1">
      <alignment horizontal="center" vertical="center" wrapText="1"/>
    </xf>
    <xf numFmtId="1" fontId="6" fillId="0" borderId="434" xfId="0" applyNumberFormat="1" applyFont="1" applyBorder="1" applyAlignment="1">
      <alignment horizontal="center" vertical="center" wrapText="1"/>
    </xf>
    <xf numFmtId="1" fontId="6" fillId="0" borderId="1213" xfId="0" applyNumberFormat="1" applyFont="1" applyBorder="1" applyAlignment="1">
      <alignment horizontal="center" vertical="center" wrapText="1"/>
    </xf>
    <xf numFmtId="1" fontId="6" fillId="0" borderId="2521" xfId="0" applyNumberFormat="1" applyFont="1" applyBorder="1" applyAlignment="1">
      <alignment horizontal="center" vertical="center" wrapText="1"/>
    </xf>
    <xf numFmtId="1" fontId="6" fillId="0" borderId="133" xfId="0" applyNumberFormat="1" applyFont="1" applyBorder="1" applyAlignment="1">
      <alignment horizontal="center" vertical="center" wrapText="1"/>
    </xf>
    <xf numFmtId="1" fontId="6" fillId="0" borderId="2523" xfId="0" applyNumberFormat="1" applyFont="1" applyBorder="1" applyAlignment="1">
      <alignment horizontal="center" vertical="center" wrapText="1"/>
    </xf>
    <xf numFmtId="1" fontId="6" fillId="0" borderId="1217" xfId="0" applyNumberFormat="1" applyFont="1" applyBorder="1" applyAlignment="1">
      <alignment horizontal="center" vertical="center" wrapText="1"/>
    </xf>
    <xf numFmtId="1" fontId="6" fillId="0" borderId="178" xfId="23" applyNumberFormat="1" applyFont="1" applyBorder="1" applyAlignment="1">
      <alignment horizontal="center" vertical="center" wrapText="1"/>
    </xf>
    <xf numFmtId="1" fontId="6" fillId="0" borderId="355" xfId="23" applyNumberFormat="1" applyFont="1" applyBorder="1" applyAlignment="1">
      <alignment horizontal="center" vertical="center" wrapText="1"/>
    </xf>
    <xf numFmtId="1" fontId="6" fillId="0" borderId="340" xfId="0" applyNumberFormat="1" applyFont="1" applyBorder="1" applyAlignment="1">
      <alignment horizontal="center" vertical="center"/>
    </xf>
    <xf numFmtId="1" fontId="6" fillId="0" borderId="338" xfId="0" applyNumberFormat="1" applyFont="1" applyBorder="1" applyAlignment="1">
      <alignment horizontal="center" vertical="center"/>
    </xf>
    <xf numFmtId="1" fontId="6" fillId="0" borderId="2520" xfId="0" applyNumberFormat="1" applyFont="1" applyBorder="1" applyAlignment="1">
      <alignment horizontal="center" vertical="center"/>
    </xf>
    <xf numFmtId="1" fontId="6" fillId="0" borderId="2520" xfId="0" applyNumberFormat="1" applyFont="1" applyBorder="1" applyAlignment="1">
      <alignment horizontal="center" vertical="center" wrapText="1"/>
    </xf>
    <xf numFmtId="1" fontId="6" fillId="0" borderId="634" xfId="0" applyNumberFormat="1" applyFont="1" applyBorder="1" applyAlignment="1">
      <alignment horizontal="center" vertical="center" wrapText="1"/>
    </xf>
    <xf numFmtId="1" fontId="6" fillId="0" borderId="698" xfId="0" applyNumberFormat="1" applyFont="1" applyBorder="1" applyAlignment="1">
      <alignment horizontal="center" vertical="center" wrapText="1"/>
    </xf>
    <xf numFmtId="1" fontId="6" fillId="0" borderId="1001" xfId="0" applyNumberFormat="1" applyFont="1" applyBorder="1" applyAlignment="1">
      <alignment horizontal="center" vertical="center" wrapText="1"/>
    </xf>
    <xf numFmtId="1" fontId="6" fillId="0" borderId="1109" xfId="0" applyNumberFormat="1" applyFont="1" applyBorder="1" applyAlignment="1">
      <alignment horizontal="center" vertical="center" wrapText="1"/>
    </xf>
    <xf numFmtId="1" fontId="6" fillId="0" borderId="1124" xfId="0" applyNumberFormat="1" applyFont="1" applyBorder="1" applyAlignment="1">
      <alignment horizontal="left" vertical="center" wrapText="1"/>
    </xf>
    <xf numFmtId="1" fontId="6" fillId="0" borderId="1258" xfId="0" applyNumberFormat="1" applyFont="1" applyBorder="1" applyAlignment="1">
      <alignment horizontal="left" vertical="center" wrapText="1"/>
    </xf>
    <xf numFmtId="1" fontId="6" fillId="0" borderId="113" xfId="0" applyNumberFormat="1" applyFont="1" applyBorder="1" applyAlignment="1">
      <alignment horizontal="center" vertical="center" wrapText="1"/>
    </xf>
    <xf numFmtId="1" fontId="6" fillId="0" borderId="741" xfId="0" applyNumberFormat="1" applyFont="1" applyBorder="1" applyAlignment="1">
      <alignment horizontal="left" vertical="center" wrapText="1"/>
    </xf>
    <xf numFmtId="1" fontId="6" fillId="0" borderId="1044" xfId="0" applyNumberFormat="1" applyFont="1" applyBorder="1" applyAlignment="1">
      <alignment horizontal="left" vertical="center" wrapText="1"/>
    </xf>
    <xf numFmtId="1" fontId="6" fillId="0" borderId="1125" xfId="0" applyNumberFormat="1" applyFont="1" applyBorder="1" applyAlignment="1">
      <alignment horizontal="left" vertical="center" wrapText="1"/>
    </xf>
    <xf numFmtId="1" fontId="6" fillId="0" borderId="1265" xfId="0" applyNumberFormat="1" applyFont="1" applyBorder="1" applyAlignment="1">
      <alignment horizontal="left" vertical="center" wrapText="1"/>
    </xf>
    <xf numFmtId="1" fontId="6" fillId="0" borderId="338" xfId="0" applyNumberFormat="1" applyFont="1" applyBorder="1" applyAlignment="1">
      <alignment horizontal="center" vertical="center" wrapText="1"/>
    </xf>
    <xf numFmtId="1" fontId="6" fillId="0" borderId="1667" xfId="0" applyNumberFormat="1" applyFont="1" applyBorder="1" applyAlignment="1">
      <alignment horizontal="center" vertical="center" wrapText="1"/>
    </xf>
    <xf numFmtId="1" fontId="6" fillId="0" borderId="1677" xfId="0" applyNumberFormat="1" applyFont="1" applyBorder="1" applyAlignment="1">
      <alignment horizontal="center" vertical="center" wrapText="1"/>
    </xf>
    <xf numFmtId="1" fontId="6" fillId="0" borderId="1691" xfId="0" applyNumberFormat="1" applyFont="1" applyBorder="1" applyAlignment="1">
      <alignment horizontal="center" vertical="center" wrapText="1"/>
    </xf>
    <xf numFmtId="1" fontId="6" fillId="0" borderId="1690" xfId="0" applyNumberFormat="1" applyFont="1" applyBorder="1" applyAlignment="1">
      <alignment horizontal="center" vertical="center" wrapText="1"/>
    </xf>
    <xf numFmtId="1" fontId="6" fillId="0" borderId="1692" xfId="0" applyNumberFormat="1" applyFont="1" applyBorder="1" applyAlignment="1">
      <alignment horizontal="center" vertical="center" wrapText="1"/>
    </xf>
    <xf numFmtId="1" fontId="6" fillId="0" borderId="1693" xfId="0" applyNumberFormat="1" applyFont="1" applyBorder="1" applyAlignment="1">
      <alignment horizontal="center" vertical="center" wrapText="1"/>
    </xf>
    <xf numFmtId="1" fontId="6" fillId="0" borderId="1673" xfId="0" applyNumberFormat="1" applyFont="1" applyBorder="1" applyAlignment="1">
      <alignment horizontal="center" vertical="center" wrapText="1"/>
    </xf>
    <xf numFmtId="1" fontId="6" fillId="0" borderId="1681" xfId="0" applyNumberFormat="1" applyFont="1" applyBorder="1" applyAlignment="1">
      <alignment horizontal="center" vertical="center" wrapText="1"/>
    </xf>
    <xf numFmtId="1" fontId="6" fillId="0" borderId="1569" xfId="0" applyNumberFormat="1" applyFont="1" applyBorder="1" applyAlignment="1">
      <alignment horizontal="center" vertical="center" wrapText="1"/>
    </xf>
    <xf numFmtId="1" fontId="6" fillId="0" borderId="1694" xfId="0" applyNumberFormat="1" applyFont="1" applyBorder="1" applyAlignment="1">
      <alignment horizontal="center" vertical="center" wrapText="1"/>
    </xf>
    <xf numFmtId="1" fontId="6" fillId="0" borderId="732" xfId="23" quotePrefix="1" applyNumberFormat="1" applyFont="1" applyBorder="1" applyAlignment="1">
      <alignment horizontal="center" vertical="center" wrapText="1"/>
    </xf>
    <xf numFmtId="1" fontId="6" fillId="0" borderId="733" xfId="23" quotePrefix="1" applyNumberFormat="1" applyFont="1" applyBorder="1" applyAlignment="1">
      <alignment horizontal="center" vertical="center" wrapText="1"/>
    </xf>
    <xf numFmtId="1" fontId="6" fillId="0" borderId="762" xfId="23" quotePrefix="1" applyNumberFormat="1" applyFont="1" applyBorder="1" applyAlignment="1">
      <alignment horizontal="center" vertical="center" wrapText="1"/>
    </xf>
    <xf numFmtId="1" fontId="6" fillId="0" borderId="719" xfId="23" applyNumberFormat="1" applyFont="1" applyBorder="1" applyAlignment="1">
      <alignment horizontal="center" vertical="center" wrapText="1"/>
    </xf>
    <xf numFmtId="1" fontId="6" fillId="0" borderId="724" xfId="23" applyNumberFormat="1" applyFont="1" applyBorder="1" applyAlignment="1">
      <alignment horizontal="center" vertical="center" wrapText="1"/>
    </xf>
    <xf numFmtId="1" fontId="6" fillId="0" borderId="239" xfId="23" applyNumberFormat="1" applyFont="1" applyBorder="1" applyAlignment="1">
      <alignment horizontal="center" vertical="center" wrapText="1"/>
    </xf>
    <xf numFmtId="1" fontId="6" fillId="0" borderId="175" xfId="23" applyNumberFormat="1" applyFont="1" applyBorder="1" applyAlignment="1">
      <alignment horizontal="center" vertical="center" wrapText="1"/>
    </xf>
    <xf numFmtId="1" fontId="6" fillId="0" borderId="764" xfId="0" applyNumberFormat="1" applyFont="1" applyBorder="1" applyAlignment="1">
      <alignment horizontal="center" vertical="center" wrapText="1"/>
    </xf>
    <xf numFmtId="1" fontId="6" fillId="0" borderId="1553" xfId="0" applyNumberFormat="1" applyFont="1" applyBorder="1" applyAlignment="1">
      <alignment horizontal="center" vertical="center"/>
    </xf>
    <xf numFmtId="1" fontId="6" fillId="0" borderId="1557" xfId="0" applyNumberFormat="1" applyFont="1" applyBorder="1" applyAlignment="1">
      <alignment horizontal="center" vertical="center"/>
    </xf>
    <xf numFmtId="1" fontId="6" fillId="0" borderId="1552" xfId="0" applyNumberFormat="1" applyFont="1" applyBorder="1" applyAlignment="1">
      <alignment horizontal="center" vertical="center"/>
    </xf>
    <xf numFmtId="1" fontId="6" fillId="0" borderId="171" xfId="0" applyNumberFormat="1" applyFont="1" applyBorder="1" applyAlignment="1">
      <alignment horizontal="center" vertical="center" wrapText="1"/>
    </xf>
    <xf numFmtId="1" fontId="6" fillId="0" borderId="716" xfId="0" applyNumberFormat="1" applyFont="1" applyBorder="1" applyAlignment="1">
      <alignment horizontal="center" vertical="center" wrapText="1"/>
    </xf>
    <xf numFmtId="1" fontId="6" fillId="0" borderId="705" xfId="0" applyNumberFormat="1" applyFont="1" applyBorder="1" applyAlignment="1">
      <alignment horizontal="center" vertical="center" wrapText="1"/>
    </xf>
    <xf numFmtId="1" fontId="6" fillId="0" borderId="2233" xfId="0" applyNumberFormat="1" applyFont="1" applyBorder="1" applyAlignment="1">
      <alignment horizontal="center" vertical="center"/>
    </xf>
    <xf numFmtId="1" fontId="6" fillId="0" borderId="2234" xfId="0" applyNumberFormat="1" applyFont="1" applyBorder="1" applyAlignment="1">
      <alignment horizontal="center" vertical="center"/>
    </xf>
    <xf numFmtId="1" fontId="6" fillId="0" borderId="2235" xfId="0" applyNumberFormat="1" applyFont="1" applyBorder="1" applyAlignment="1">
      <alignment horizontal="center" vertical="center"/>
    </xf>
    <xf numFmtId="1" fontId="6" fillId="0" borderId="880" xfId="0" applyNumberFormat="1" applyFont="1" applyBorder="1" applyAlignment="1">
      <alignment horizontal="center" vertical="center" wrapText="1"/>
    </xf>
    <xf numFmtId="1" fontId="6" fillId="0" borderId="1554" xfId="0" applyNumberFormat="1" applyFont="1" applyBorder="1" applyAlignment="1">
      <alignment horizontal="center" vertical="center"/>
    </xf>
    <xf numFmtId="1" fontId="6" fillId="3" borderId="887" xfId="0" applyNumberFormat="1" applyFont="1" applyFill="1" applyBorder="1" applyAlignment="1">
      <alignment horizontal="center" vertical="center" wrapText="1"/>
    </xf>
    <xf numFmtId="1" fontId="6" fillId="3" borderId="1068" xfId="0" applyNumberFormat="1" applyFont="1" applyFill="1" applyBorder="1" applyAlignment="1">
      <alignment horizontal="center" vertical="center" wrapText="1"/>
    </xf>
    <xf numFmtId="1" fontId="6" fillId="0" borderId="1157" xfId="0" applyNumberFormat="1" applyFont="1" applyBorder="1" applyAlignment="1">
      <alignment horizontal="center" vertical="center" wrapText="1"/>
    </xf>
    <xf numFmtId="1" fontId="6" fillId="0" borderId="1068" xfId="0" applyNumberFormat="1" applyFont="1" applyBorder="1" applyAlignment="1">
      <alignment horizontal="center" vertical="center" wrapText="1"/>
    </xf>
    <xf numFmtId="1" fontId="6" fillId="0" borderId="2112" xfId="0" applyNumberFormat="1" applyFont="1" applyBorder="1" applyAlignment="1">
      <alignment horizontal="center" vertical="center"/>
    </xf>
    <xf numFmtId="1" fontId="6" fillId="0" borderId="2123" xfId="0" applyNumberFormat="1" applyFont="1" applyBorder="1" applyAlignment="1">
      <alignment horizontal="center" vertical="center"/>
    </xf>
    <xf numFmtId="1" fontId="6" fillId="0" borderId="2109" xfId="0" applyNumberFormat="1" applyFont="1" applyBorder="1" applyAlignment="1">
      <alignment horizontal="center" vertical="center" wrapText="1"/>
    </xf>
    <xf numFmtId="1" fontId="6" fillId="0" borderId="1884" xfId="0" applyNumberFormat="1" applyFont="1" applyBorder="1" applyAlignment="1">
      <alignment horizontal="center" vertical="center" wrapText="1"/>
    </xf>
    <xf numFmtId="1" fontId="6" fillId="0" borderId="734" xfId="0" applyNumberFormat="1" applyFont="1" applyBorder="1" applyAlignment="1">
      <alignment horizontal="center" vertical="center" wrapText="1"/>
    </xf>
    <xf numFmtId="1" fontId="6" fillId="0" borderId="733" xfId="0" applyNumberFormat="1" applyFont="1" applyBorder="1" applyAlignment="1">
      <alignment horizontal="center" vertical="center"/>
    </xf>
    <xf numFmtId="1" fontId="6" fillId="0" borderId="762" xfId="0" applyNumberFormat="1" applyFont="1" applyBorder="1" applyAlignment="1">
      <alignment horizontal="center" vertical="center"/>
    </xf>
    <xf numFmtId="1" fontId="6" fillId="0" borderId="732" xfId="0" applyNumberFormat="1" applyFont="1" applyBorder="1" applyAlignment="1">
      <alignment horizontal="center" wrapText="1"/>
    </xf>
    <xf numFmtId="1" fontId="6" fillId="0" borderId="734" xfId="0" applyNumberFormat="1" applyFont="1" applyBorder="1" applyAlignment="1">
      <alignment horizontal="center"/>
    </xf>
    <xf numFmtId="1" fontId="6" fillId="0" borderId="210" xfId="0" applyNumberFormat="1" applyFont="1" applyBorder="1" applyAlignment="1">
      <alignment horizontal="center" vertical="center" wrapText="1"/>
    </xf>
    <xf numFmtId="1" fontId="6" fillId="0" borderId="2406" xfId="4" applyNumberFormat="1" applyFont="1" applyBorder="1" applyAlignment="1">
      <alignment horizontal="center" vertical="center" wrapText="1"/>
    </xf>
    <xf numFmtId="1" fontId="6" fillId="0" borderId="796" xfId="4" applyNumberFormat="1" applyFont="1" applyBorder="1" applyAlignment="1">
      <alignment horizontal="center" vertical="center" wrapText="1"/>
    </xf>
    <xf numFmtId="1" fontId="6" fillId="0" borderId="2440" xfId="4" applyNumberFormat="1" applyFont="1" applyBorder="1" applyAlignment="1">
      <alignment horizontal="center" vertical="center" wrapText="1"/>
    </xf>
    <xf numFmtId="1" fontId="6" fillId="0" borderId="1069" xfId="4" applyNumberFormat="1" applyFont="1" applyBorder="1" applyAlignment="1">
      <alignment horizontal="center" vertical="center" wrapText="1"/>
    </xf>
    <xf numFmtId="1" fontId="6" fillId="0" borderId="2405" xfId="4" applyNumberFormat="1" applyFont="1" applyBorder="1" applyAlignment="1">
      <alignment horizontal="center" vertical="center"/>
    </xf>
    <xf numFmtId="1" fontId="6" fillId="0" borderId="2450" xfId="4" applyNumberFormat="1" applyFont="1" applyBorder="1" applyAlignment="1">
      <alignment horizontal="center" vertical="center"/>
    </xf>
    <xf numFmtId="1" fontId="6" fillId="0" borderId="2445" xfId="4" applyNumberFormat="1" applyFont="1" applyBorder="1" applyAlignment="1">
      <alignment horizontal="center" vertical="center"/>
    </xf>
    <xf numFmtId="1" fontId="6" fillId="0" borderId="2197" xfId="4" applyNumberFormat="1" applyFont="1" applyBorder="1" applyAlignment="1">
      <alignment horizontal="center" vertical="center"/>
    </xf>
    <xf numFmtId="1" fontId="6" fillId="0" borderId="833" xfId="4" applyNumberFormat="1" applyFont="1" applyBorder="1" applyAlignment="1">
      <alignment horizontal="center" vertical="center" wrapText="1"/>
    </xf>
    <xf numFmtId="1" fontId="6" fillId="0" borderId="510" xfId="4" applyNumberFormat="1" applyFont="1" applyBorder="1" applyAlignment="1">
      <alignment horizontal="center" vertical="center" wrapText="1"/>
    </xf>
    <xf numFmtId="1" fontId="6" fillId="0" borderId="1078" xfId="4" applyNumberFormat="1" applyFont="1" applyBorder="1" applyAlignment="1">
      <alignment horizontal="center" vertical="center" wrapText="1"/>
    </xf>
    <xf numFmtId="1" fontId="6" fillId="0" borderId="637" xfId="4" applyNumberFormat="1" applyFont="1" applyBorder="1" applyAlignment="1">
      <alignment horizontal="center" vertical="center" wrapText="1"/>
    </xf>
    <xf numFmtId="1" fontId="6" fillId="0" borderId="653" xfId="4" applyNumberFormat="1" applyFont="1" applyBorder="1" applyAlignment="1">
      <alignment horizontal="center" vertical="center" wrapText="1"/>
    </xf>
    <xf numFmtId="1" fontId="6" fillId="0" borderId="523" xfId="4" applyNumberFormat="1" applyFont="1" applyBorder="1" applyAlignment="1">
      <alignment horizontal="center" vertical="center" wrapText="1"/>
    </xf>
    <xf numFmtId="1" fontId="6" fillId="0" borderId="363" xfId="4" applyNumberFormat="1" applyFont="1" applyBorder="1" applyAlignment="1">
      <alignment horizontal="center" vertical="center" wrapText="1"/>
    </xf>
    <xf numFmtId="1" fontId="6" fillId="0" borderId="2112" xfId="0" applyNumberFormat="1" applyFont="1" applyBorder="1" applyAlignment="1">
      <alignment horizontal="center" vertical="center" wrapText="1"/>
    </xf>
    <xf numFmtId="1" fontId="6" fillId="0" borderId="2123" xfId="0" applyNumberFormat="1" applyFont="1" applyBorder="1" applyAlignment="1">
      <alignment horizontal="center" vertical="center" wrapText="1"/>
    </xf>
    <xf numFmtId="1" fontId="6" fillId="0" borderId="156" xfId="0" applyNumberFormat="1" applyFont="1" applyBorder="1" applyAlignment="1">
      <alignment horizontal="center" vertical="center"/>
    </xf>
    <xf numFmtId="1" fontId="6" fillId="0" borderId="174" xfId="0" applyNumberFormat="1" applyFont="1" applyBorder="1" applyAlignment="1">
      <alignment horizontal="center" vertical="center"/>
    </xf>
    <xf numFmtId="1" fontId="6" fillId="0" borderId="169" xfId="0" applyNumberFormat="1" applyFont="1" applyBorder="1" applyAlignment="1">
      <alignment horizontal="center" vertical="center" wrapText="1"/>
    </xf>
    <xf numFmtId="1" fontId="6" fillId="0" borderId="164" xfId="0" applyNumberFormat="1" applyFont="1" applyBorder="1" applyAlignment="1">
      <alignment horizontal="center" vertical="center" wrapText="1"/>
    </xf>
    <xf numFmtId="1" fontId="6" fillId="0" borderId="176" xfId="0" applyNumberFormat="1" applyFont="1" applyBorder="1" applyAlignment="1">
      <alignment horizontal="center" vertical="center" wrapText="1"/>
    </xf>
    <xf numFmtId="1" fontId="6" fillId="0" borderId="187" xfId="0" applyNumberFormat="1" applyFont="1" applyBorder="1" applyAlignment="1">
      <alignment horizontal="center" vertical="center"/>
    </xf>
    <xf numFmtId="1" fontId="6" fillId="0" borderId="188" xfId="0" applyNumberFormat="1" applyFont="1" applyBorder="1" applyAlignment="1">
      <alignment horizontal="center" vertical="center" wrapText="1"/>
    </xf>
    <xf numFmtId="1" fontId="6" fillId="0" borderId="189" xfId="0" applyNumberFormat="1" applyFont="1" applyBorder="1" applyAlignment="1">
      <alignment horizontal="center" vertical="center" wrapText="1"/>
    </xf>
    <xf numFmtId="1" fontId="6" fillId="0" borderId="190" xfId="0" applyNumberFormat="1" applyFont="1" applyBorder="1" applyAlignment="1">
      <alignment horizontal="center" vertical="center" wrapText="1"/>
    </xf>
    <xf numFmtId="1" fontId="4" fillId="0" borderId="1668" xfId="0" applyNumberFormat="1" applyFont="1" applyBorder="1" applyAlignment="1">
      <alignment horizontal="left"/>
    </xf>
    <xf numFmtId="1" fontId="6" fillId="0" borderId="156" xfId="0" applyNumberFormat="1" applyFont="1" applyBorder="1" applyAlignment="1">
      <alignment horizontal="center" vertical="center" wrapText="1"/>
    </xf>
    <xf numFmtId="1" fontId="6" fillId="0" borderId="174" xfId="0" applyNumberFormat="1" applyFont="1" applyBorder="1" applyAlignment="1">
      <alignment horizontal="center" vertical="center" wrapText="1"/>
    </xf>
    <xf numFmtId="1" fontId="6" fillId="0" borderId="161" xfId="0" applyNumberFormat="1" applyFont="1" applyBorder="1" applyAlignment="1">
      <alignment horizontal="center" vertical="center" wrapText="1"/>
    </xf>
    <xf numFmtId="1" fontId="6" fillId="0" borderId="167" xfId="0" applyNumberFormat="1" applyFont="1" applyBorder="1" applyAlignment="1">
      <alignment horizontal="center" vertical="center" wrapText="1"/>
    </xf>
    <xf numFmtId="1" fontId="6" fillId="0" borderId="173" xfId="0" applyNumberFormat="1" applyFont="1" applyBorder="1" applyAlignment="1">
      <alignment horizontal="center" vertical="center" wrapText="1"/>
    </xf>
    <xf numFmtId="1" fontId="6" fillId="0" borderId="1138" xfId="0" applyNumberFormat="1" applyFont="1" applyBorder="1" applyAlignment="1">
      <alignment horizontal="center" vertical="center" wrapText="1"/>
    </xf>
    <xf numFmtId="1" fontId="6" fillId="0" borderId="212" xfId="0" applyNumberFormat="1" applyFont="1" applyBorder="1" applyAlignment="1">
      <alignment horizontal="center" vertical="center" wrapText="1"/>
    </xf>
    <xf numFmtId="1" fontId="6" fillId="0" borderId="82" xfId="0" applyNumberFormat="1" applyFont="1" applyBorder="1" applyAlignment="1">
      <alignment horizontal="center" vertical="center" wrapText="1"/>
    </xf>
    <xf numFmtId="1" fontId="6" fillId="0" borderId="161" xfId="0" applyNumberFormat="1" applyFont="1" applyBorder="1" applyAlignment="1">
      <alignment horizontal="center" vertical="center"/>
    </xf>
    <xf numFmtId="1" fontId="6" fillId="0" borderId="192" xfId="0" applyNumberFormat="1" applyFont="1" applyBorder="1" applyAlignment="1">
      <alignment horizontal="center" vertical="center"/>
    </xf>
    <xf numFmtId="1" fontId="6" fillId="0" borderId="2082" xfId="0" applyNumberFormat="1" applyFont="1" applyBorder="1" applyAlignment="1">
      <alignment horizontal="center" vertical="center"/>
    </xf>
    <xf numFmtId="1" fontId="6" fillId="0" borderId="2113" xfId="0" applyNumberFormat="1" applyFont="1" applyBorder="1" applyAlignment="1">
      <alignment horizontal="center" vertical="center"/>
    </xf>
    <xf numFmtId="1" fontId="6" fillId="0" borderId="1243" xfId="0" applyNumberFormat="1" applyFont="1" applyBorder="1" applyAlignment="1">
      <alignment horizontal="center" vertical="center"/>
    </xf>
    <xf numFmtId="1" fontId="6" fillId="0" borderId="1157" xfId="0" applyNumberFormat="1" applyFont="1" applyBorder="1" applyAlignment="1">
      <alignment horizontal="center" vertical="center"/>
    </xf>
    <xf numFmtId="1" fontId="6" fillId="0" borderId="1243" xfId="0" applyNumberFormat="1" applyFont="1" applyBorder="1" applyAlignment="1">
      <alignment horizontal="center" vertical="center" wrapText="1"/>
    </xf>
    <xf numFmtId="1" fontId="13" fillId="0" borderId="1787" xfId="0" applyNumberFormat="1" applyFont="1" applyBorder="1" applyAlignment="1">
      <alignment horizontal="left" vertical="center"/>
    </xf>
    <xf numFmtId="1" fontId="13" fillId="0" borderId="1668" xfId="0" applyNumberFormat="1" applyFont="1" applyBorder="1" applyAlignment="1">
      <alignment horizontal="left" vertical="center"/>
    </xf>
    <xf numFmtId="1" fontId="13" fillId="0" borderId="1519" xfId="0" applyNumberFormat="1" applyFont="1" applyBorder="1" applyAlignment="1">
      <alignment horizontal="left" vertical="center"/>
    </xf>
    <xf numFmtId="1" fontId="4" fillId="14" borderId="1668" xfId="17" quotePrefix="1" applyNumberFormat="1" applyFont="1" applyFill="1" applyBorder="1" applyAlignment="1">
      <alignment horizontal="left"/>
    </xf>
    <xf numFmtId="1" fontId="4" fillId="14" borderId="1823" xfId="17" quotePrefix="1" applyNumberFormat="1" applyFont="1" applyFill="1" applyBorder="1" applyAlignment="1">
      <alignment horizontal="left"/>
    </xf>
    <xf numFmtId="1" fontId="6" fillId="0" borderId="654" xfId="17" applyNumberFormat="1" applyFont="1" applyBorder="1" applyAlignment="1">
      <alignment horizontal="center" vertical="center" wrapText="1"/>
    </xf>
    <xf numFmtId="1" fontId="6" fillId="0" borderId="428" xfId="17" applyNumberFormat="1" applyFont="1" applyBorder="1" applyAlignment="1">
      <alignment horizontal="center" vertical="center" wrapText="1"/>
    </xf>
    <xf numFmtId="1" fontId="6" fillId="0" borderId="537" xfId="17" applyNumberFormat="1" applyFont="1" applyBorder="1" applyAlignment="1">
      <alignment horizontal="center" vertical="center" wrapText="1"/>
    </xf>
    <xf numFmtId="1" fontId="6" fillId="0" borderId="1616" xfId="4" applyNumberFormat="1" applyFont="1" applyBorder="1" applyAlignment="1">
      <alignment horizontal="center" vertical="center"/>
    </xf>
    <xf numFmtId="1" fontId="6" fillId="0" borderId="795" xfId="4" applyNumberFormat="1" applyFont="1" applyBorder="1" applyAlignment="1">
      <alignment horizontal="center" vertical="center"/>
    </xf>
    <xf numFmtId="1" fontId="6" fillId="0" borderId="1617" xfId="4" applyNumberFormat="1" applyFont="1" applyBorder="1" applyAlignment="1">
      <alignment horizontal="center" vertical="center"/>
    </xf>
    <xf numFmtId="1" fontId="6" fillId="0" borderId="1711" xfId="4" applyNumberFormat="1" applyFont="1" applyBorder="1" applyAlignment="1">
      <alignment horizontal="center" vertical="center"/>
    </xf>
    <xf numFmtId="1" fontId="6" fillId="0" borderId="1653" xfId="4" applyNumberFormat="1" applyFont="1" applyBorder="1" applyAlignment="1">
      <alignment horizontal="center" vertical="center"/>
    </xf>
    <xf numFmtId="1" fontId="6" fillId="0" borderId="1654" xfId="4" applyNumberFormat="1" applyFont="1" applyBorder="1" applyAlignment="1">
      <alignment horizontal="center" vertical="center"/>
    </xf>
    <xf numFmtId="1" fontId="6" fillId="0" borderId="2407" xfId="4" applyNumberFormat="1" applyFont="1" applyBorder="1" applyAlignment="1">
      <alignment horizontal="center" vertical="center"/>
    </xf>
    <xf numFmtId="1" fontId="6" fillId="0" borderId="2439" xfId="4" applyNumberFormat="1" applyFont="1" applyBorder="1" applyAlignment="1">
      <alignment horizontal="center" vertical="center"/>
    </xf>
    <xf numFmtId="1" fontId="6" fillId="0" borderId="205" xfId="0" applyNumberFormat="1" applyFont="1" applyBorder="1" applyAlignment="1">
      <alignment horizontal="center" vertical="center"/>
    </xf>
    <xf numFmtId="1" fontId="6" fillId="0" borderId="205" xfId="0" applyNumberFormat="1" applyFont="1" applyBorder="1" applyAlignment="1">
      <alignment horizontal="center" vertical="center" wrapText="1"/>
    </xf>
    <xf numFmtId="1" fontId="6" fillId="3" borderId="197" xfId="0" applyNumberFormat="1" applyFont="1" applyFill="1" applyBorder="1" applyAlignment="1">
      <alignment horizontal="center" vertical="center"/>
    </xf>
    <xf numFmtId="1" fontId="6" fillId="3" borderId="9" xfId="0" applyNumberFormat="1" applyFont="1" applyFill="1" applyBorder="1" applyAlignment="1">
      <alignment horizontal="center" vertical="center"/>
    </xf>
    <xf numFmtId="1" fontId="6" fillId="3" borderId="174" xfId="0" applyNumberFormat="1" applyFont="1" applyFill="1" applyBorder="1" applyAlignment="1">
      <alignment horizontal="center" vertical="center"/>
    </xf>
    <xf numFmtId="1" fontId="6" fillId="0" borderId="209" xfId="0" applyNumberFormat="1" applyFont="1" applyBorder="1" applyAlignment="1">
      <alignment horizontal="center" vertical="center" wrapText="1"/>
    </xf>
    <xf numFmtId="1" fontId="6" fillId="0" borderId="204" xfId="0" applyNumberFormat="1" applyFont="1" applyBorder="1" applyAlignment="1">
      <alignment horizontal="center" vertical="center" wrapText="1"/>
    </xf>
    <xf numFmtId="1" fontId="6" fillId="0" borderId="198" xfId="0" applyNumberFormat="1" applyFont="1" applyBorder="1" applyAlignment="1">
      <alignment horizontal="center" vertical="center"/>
    </xf>
    <xf numFmtId="1" fontId="6" fillId="0" borderId="199" xfId="0" applyNumberFormat="1" applyFont="1" applyBorder="1" applyAlignment="1">
      <alignment horizontal="center" vertical="center"/>
    </xf>
    <xf numFmtId="1" fontId="6" fillId="0" borderId="211" xfId="0" applyNumberFormat="1" applyFont="1" applyBorder="1" applyAlignment="1">
      <alignment horizontal="center" vertical="center"/>
    </xf>
    <xf numFmtId="1" fontId="6" fillId="0" borderId="2350" xfId="0" applyNumberFormat="1" applyFont="1" applyBorder="1" applyAlignment="1">
      <alignment horizontal="center" vertical="center"/>
    </xf>
    <xf numFmtId="1" fontId="6" fillId="0" borderId="2351" xfId="0" applyNumberFormat="1" applyFont="1" applyBorder="1" applyAlignment="1">
      <alignment horizontal="center" vertical="center"/>
    </xf>
    <xf numFmtId="1" fontId="6" fillId="0" borderId="642" xfId="17" applyNumberFormat="1" applyFont="1" applyBorder="1" applyAlignment="1">
      <alignment horizontal="center" vertical="center" wrapText="1"/>
    </xf>
    <xf numFmtId="1" fontId="6" fillId="0" borderId="640" xfId="17" applyNumberFormat="1" applyFont="1" applyBorder="1" applyAlignment="1">
      <alignment horizontal="center" vertical="center" wrapText="1"/>
    </xf>
    <xf numFmtId="1" fontId="6" fillId="0" borderId="641" xfId="17" applyNumberFormat="1" applyFont="1" applyBorder="1" applyAlignment="1">
      <alignment horizontal="center" vertical="center" wrapText="1"/>
    </xf>
    <xf numFmtId="1" fontId="6" fillId="0" borderId="187" xfId="17" applyNumberFormat="1" applyFont="1" applyBorder="1" applyAlignment="1">
      <alignment horizontal="center" vertical="center" wrapText="1"/>
    </xf>
    <xf numFmtId="1" fontId="6" fillId="0" borderId="174" xfId="17" applyNumberFormat="1" applyFont="1" applyBorder="1" applyAlignment="1">
      <alignment horizontal="center" vertical="center" wrapText="1"/>
    </xf>
    <xf numFmtId="1" fontId="6" fillId="0" borderId="188" xfId="17" applyNumberFormat="1" applyFont="1" applyBorder="1" applyAlignment="1">
      <alignment horizontal="center" vertical="center" wrapText="1"/>
    </xf>
    <xf numFmtId="1" fontId="6" fillId="0" borderId="176" xfId="17" applyNumberFormat="1" applyFont="1" applyBorder="1" applyAlignment="1">
      <alignment horizontal="center" vertical="center" wrapText="1"/>
    </xf>
    <xf numFmtId="1" fontId="6" fillId="0" borderId="1268" xfId="0" applyNumberFormat="1" applyFont="1" applyBorder="1" applyAlignment="1">
      <alignment horizontal="center" vertical="center" wrapText="1"/>
    </xf>
    <xf numFmtId="1" fontId="6" fillId="0" borderId="1278" xfId="0" applyNumberFormat="1" applyFont="1" applyBorder="1" applyAlignment="1">
      <alignment horizontal="center" vertical="center"/>
    </xf>
    <xf numFmtId="1" fontId="6" fillId="0" borderId="1279" xfId="0" applyNumberFormat="1" applyFont="1" applyBorder="1" applyAlignment="1">
      <alignment horizontal="center" vertical="center"/>
    </xf>
    <xf numFmtId="1" fontId="6" fillId="0" borderId="1280" xfId="0" applyNumberFormat="1" applyFont="1" applyBorder="1" applyAlignment="1">
      <alignment horizontal="center" vertical="center"/>
    </xf>
    <xf numFmtId="1" fontId="6" fillId="0" borderId="984" xfId="0" applyNumberFormat="1" applyFont="1" applyBorder="1" applyAlignment="1">
      <alignment horizontal="center" vertical="center"/>
    </xf>
    <xf numFmtId="1" fontId="6" fillId="0" borderId="1306" xfId="0" applyNumberFormat="1" applyFont="1" applyBorder="1" applyAlignment="1">
      <alignment horizontal="center" vertical="center"/>
    </xf>
    <xf numFmtId="1" fontId="6" fillId="0" borderId="1304" xfId="0" applyNumberFormat="1" applyFont="1" applyBorder="1" applyAlignment="1">
      <alignment horizontal="center" vertical="center"/>
    </xf>
    <xf numFmtId="1" fontId="6" fillId="0" borderId="1305" xfId="0" applyNumberFormat="1" applyFont="1" applyBorder="1" applyAlignment="1">
      <alignment horizontal="center" vertical="center"/>
    </xf>
    <xf numFmtId="1" fontId="6" fillId="0" borderId="986" xfId="0" applyNumberFormat="1" applyFont="1" applyBorder="1" applyAlignment="1">
      <alignment horizontal="center" vertical="center"/>
    </xf>
    <xf numFmtId="1" fontId="6" fillId="0" borderId="1079" xfId="0" applyNumberFormat="1" applyFont="1" applyBorder="1" applyAlignment="1">
      <alignment horizontal="center" vertical="center"/>
    </xf>
    <xf numFmtId="1" fontId="6" fillId="0" borderId="1556" xfId="0" applyNumberFormat="1" applyFont="1" applyBorder="1" applyAlignment="1">
      <alignment horizontal="center" vertical="center"/>
    </xf>
    <xf numFmtId="1" fontId="6" fillId="0" borderId="1249" xfId="0" applyNumberFormat="1" applyFont="1" applyBorder="1" applyAlignment="1">
      <alignment horizontal="center" vertical="center"/>
    </xf>
    <xf numFmtId="1" fontId="6" fillId="0" borderId="880" xfId="0" applyNumberFormat="1" applyFont="1" applyBorder="1" applyAlignment="1">
      <alignment horizontal="center" vertical="center"/>
    </xf>
    <xf numFmtId="1" fontId="32" fillId="0" borderId="634" xfId="0" applyNumberFormat="1" applyFont="1" applyBorder="1" applyAlignment="1">
      <alignment horizontal="center" vertical="center" wrapText="1"/>
    </xf>
    <xf numFmtId="1" fontId="32" fillId="0" borderId="768" xfId="0" applyNumberFormat="1" applyFont="1" applyBorder="1" applyAlignment="1">
      <alignment horizontal="center" vertical="center" wrapText="1"/>
    </xf>
    <xf numFmtId="1" fontId="32" fillId="0" borderId="755" xfId="0" applyNumberFormat="1" applyFont="1" applyBorder="1" applyAlignment="1">
      <alignment horizontal="center" vertical="center" wrapText="1"/>
    </xf>
    <xf numFmtId="1" fontId="32" fillId="0" borderId="653" xfId="0" applyNumberFormat="1" applyFont="1" applyBorder="1" applyAlignment="1">
      <alignment horizontal="center" vertical="center"/>
    </xf>
    <xf numFmtId="1" fontId="32" fillId="0" borderId="510" xfId="0" applyNumberFormat="1" applyFont="1" applyBorder="1" applyAlignment="1">
      <alignment horizontal="center" vertical="center"/>
    </xf>
    <xf numFmtId="1" fontId="32" fillId="0" borderId="725" xfId="0" applyNumberFormat="1" applyFont="1" applyBorder="1" applyAlignment="1">
      <alignment horizontal="center" vertical="center"/>
    </xf>
    <xf numFmtId="1" fontId="32" fillId="0" borderId="1902" xfId="0" applyNumberFormat="1" applyFont="1" applyBorder="1" applyAlignment="1">
      <alignment horizontal="center" vertical="center" wrapText="1"/>
    </xf>
    <xf numFmtId="1" fontId="32" fillId="0" borderId="1899" xfId="0" applyNumberFormat="1" applyFont="1" applyBorder="1" applyAlignment="1">
      <alignment horizontal="center" vertical="center" wrapText="1"/>
    </xf>
    <xf numFmtId="1" fontId="32" fillId="0" borderId="1903" xfId="0" applyNumberFormat="1" applyFont="1" applyBorder="1" applyAlignment="1">
      <alignment horizontal="center" vertical="center" wrapText="1"/>
    </xf>
    <xf numFmtId="1" fontId="32" fillId="0" borderId="1904" xfId="0" applyNumberFormat="1" applyFont="1" applyBorder="1" applyAlignment="1">
      <alignment horizontal="center" vertical="center" wrapText="1"/>
    </xf>
    <xf numFmtId="1" fontId="32" fillId="0" borderId="716" xfId="0" applyNumberFormat="1" applyFont="1" applyBorder="1" applyAlignment="1">
      <alignment horizontal="center" vertical="center" wrapText="1"/>
    </xf>
    <xf numFmtId="1" fontId="32" fillId="0" borderId="428" xfId="0" applyNumberFormat="1" applyFont="1" applyBorder="1" applyAlignment="1">
      <alignment horizontal="center" vertical="center" wrapText="1"/>
    </xf>
    <xf numFmtId="1" fontId="32" fillId="0" borderId="705" xfId="0" applyNumberFormat="1" applyFont="1" applyBorder="1" applyAlignment="1">
      <alignment horizontal="center" vertical="center" wrapText="1"/>
    </xf>
    <xf numFmtId="1" fontId="6" fillId="0" borderId="2367" xfId="0" applyNumberFormat="1" applyFont="1" applyBorder="1" applyAlignment="1">
      <alignment horizontal="center" vertical="center" wrapText="1"/>
    </xf>
    <xf numFmtId="1" fontId="6" fillId="0" borderId="2394" xfId="0" applyNumberFormat="1" applyFont="1" applyBorder="1" applyAlignment="1">
      <alignment horizontal="center" vertical="center" wrapText="1"/>
    </xf>
    <xf numFmtId="0" fontId="6" fillId="0" borderId="2367" xfId="0" applyFont="1" applyBorder="1" applyAlignment="1">
      <alignment horizontal="center" vertical="center"/>
    </xf>
    <xf numFmtId="0" fontId="6" fillId="0" borderId="2394" xfId="0" applyFont="1" applyBorder="1" applyAlignment="1">
      <alignment horizontal="center" vertical="center"/>
    </xf>
    <xf numFmtId="0" fontId="6" fillId="0" borderId="2373" xfId="0" applyFont="1" applyBorder="1" applyAlignment="1">
      <alignment horizontal="center" vertical="center"/>
    </xf>
    <xf numFmtId="0" fontId="6" fillId="0" borderId="2387" xfId="0" applyFont="1" applyBorder="1" applyAlignment="1">
      <alignment horizontal="center" vertical="center"/>
    </xf>
    <xf numFmtId="0" fontId="6" fillId="0" borderId="2374" xfId="0" applyFont="1" applyBorder="1" applyAlignment="1">
      <alignment horizontal="center" vertical="center"/>
    </xf>
    <xf numFmtId="0" fontId="6" fillId="0" borderId="2381" xfId="0" applyFont="1" applyBorder="1" applyAlignment="1">
      <alignment horizontal="center" vertical="center" wrapText="1"/>
    </xf>
    <xf numFmtId="0" fontId="6" fillId="0" borderId="2379" xfId="0" applyFont="1" applyBorder="1" applyAlignment="1">
      <alignment horizontal="center" vertical="center" wrapText="1"/>
    </xf>
    <xf numFmtId="0" fontId="0" fillId="0" borderId="653" xfId="0" applyBorder="1" applyAlignment="1">
      <alignment horizontal="center" vertical="center"/>
    </xf>
    <xf numFmtId="0" fontId="0" fillId="0" borderId="510" xfId="0" applyBorder="1" applyAlignment="1">
      <alignment horizontal="center" vertical="center"/>
    </xf>
    <xf numFmtId="0" fontId="0" fillId="0" borderId="725" xfId="0" applyBorder="1" applyAlignment="1">
      <alignment horizontal="center" vertical="center"/>
    </xf>
    <xf numFmtId="0" fontId="32" fillId="0" borderId="732" xfId="0" applyFont="1" applyBorder="1" applyAlignment="1">
      <alignment horizontal="center" vertical="center"/>
    </xf>
    <xf numFmtId="0" fontId="32" fillId="0" borderId="733" xfId="0" applyFont="1" applyBorder="1" applyAlignment="1">
      <alignment horizontal="center" vertical="center"/>
    </xf>
    <xf numFmtId="0" fontId="32" fillId="0" borderId="762" xfId="0" applyFont="1" applyBorder="1" applyAlignment="1">
      <alignment horizontal="center" vertical="center"/>
    </xf>
    <xf numFmtId="1" fontId="32" fillId="0" borderId="223" xfId="0" applyNumberFormat="1" applyFont="1" applyBorder="1" applyAlignment="1">
      <alignment horizontal="center" vertical="center" wrapText="1"/>
    </xf>
    <xf numFmtId="1" fontId="32" fillId="0" borderId="236" xfId="0" applyNumberFormat="1" applyFont="1" applyBorder="1" applyAlignment="1">
      <alignment horizontal="center" vertical="center" wrapText="1"/>
    </xf>
    <xf numFmtId="1" fontId="32" fillId="0" borderId="2379" xfId="0" applyNumberFormat="1" applyFont="1" applyBorder="1"/>
    <xf numFmtId="1" fontId="32" fillId="0" borderId="251" xfId="0" applyNumberFormat="1" applyFont="1" applyBorder="1" applyAlignment="1">
      <alignment horizontal="center" vertical="center" wrapText="1"/>
    </xf>
    <xf numFmtId="1" fontId="32" fillId="0" borderId="250" xfId="0" applyNumberFormat="1" applyFont="1" applyBorder="1" applyAlignment="1">
      <alignment horizontal="center" vertical="center" wrapText="1"/>
    </xf>
    <xf numFmtId="1" fontId="32" fillId="0" borderId="249" xfId="0" applyNumberFormat="1" applyFont="1" applyBorder="1" applyAlignment="1">
      <alignment horizontal="center" vertical="center" wrapText="1"/>
    </xf>
    <xf numFmtId="1" fontId="32" fillId="0" borderId="238" xfId="0" applyNumberFormat="1" applyFont="1" applyBorder="1" applyAlignment="1">
      <alignment horizontal="center" vertical="center" wrapText="1"/>
    </xf>
    <xf numFmtId="1" fontId="32" fillId="0" borderId="175" xfId="0" applyNumberFormat="1" applyFont="1" applyBorder="1" applyAlignment="1">
      <alignment horizontal="center" vertical="center" wrapText="1"/>
    </xf>
    <xf numFmtId="1" fontId="32" fillId="0" borderId="177" xfId="0" applyNumberFormat="1" applyFont="1" applyBorder="1" applyAlignment="1">
      <alignment horizontal="center" vertical="center" wrapText="1"/>
    </xf>
    <xf numFmtId="1" fontId="32" fillId="0" borderId="690" xfId="0" applyNumberFormat="1" applyFont="1" applyBorder="1" applyAlignment="1">
      <alignment horizontal="center" vertical="center" wrapText="1"/>
    </xf>
    <xf numFmtId="1" fontId="32" fillId="0" borderId="537" xfId="0" applyNumberFormat="1" applyFont="1" applyBorder="1" applyAlignment="1">
      <alignment horizontal="center" vertical="center" wrapText="1"/>
    </xf>
    <xf numFmtId="1" fontId="32" fillId="0" borderId="709" xfId="0" applyNumberFormat="1" applyFont="1" applyBorder="1" applyAlignment="1">
      <alignment horizontal="center" vertical="center" wrapText="1"/>
    </xf>
    <xf numFmtId="1" fontId="32" fillId="0" borderId="698" xfId="0" applyNumberFormat="1" applyFont="1" applyBorder="1" applyAlignment="1">
      <alignment horizontal="center" vertical="center" wrapText="1"/>
    </xf>
    <xf numFmtId="1" fontId="32" fillId="0" borderId="523" xfId="0" applyNumberFormat="1" applyFont="1" applyBorder="1" applyAlignment="1">
      <alignment horizontal="center" vertical="center" wrapText="1"/>
    </xf>
    <xf numFmtId="1" fontId="32" fillId="0" borderId="432" xfId="0" applyNumberFormat="1" applyFont="1" applyBorder="1" applyAlignment="1">
      <alignment horizontal="center" vertical="center" wrapText="1"/>
    </xf>
    <xf numFmtId="1" fontId="32" fillId="0" borderId="23" xfId="0" applyNumberFormat="1" applyFont="1" applyBorder="1" applyAlignment="1">
      <alignment wrapText="1"/>
    </xf>
    <xf numFmtId="1" fontId="32" fillId="0" borderId="21" xfId="0" applyNumberFormat="1" applyFont="1" applyBorder="1" applyAlignment="1">
      <alignment wrapText="1"/>
    </xf>
    <xf numFmtId="1" fontId="32" fillId="0" borderId="613" xfId="0" applyNumberFormat="1" applyFont="1" applyBorder="1" applyAlignment="1">
      <alignment wrapText="1"/>
    </xf>
    <xf numFmtId="1" fontId="32" fillId="0" borderId="50" xfId="0" applyNumberFormat="1" applyFont="1" applyBorder="1" applyAlignment="1">
      <alignment wrapText="1"/>
    </xf>
    <xf numFmtId="1" fontId="32" fillId="0" borderId="529" xfId="0" applyNumberFormat="1" applyFont="1" applyBorder="1" applyAlignment="1">
      <alignment wrapText="1"/>
    </xf>
    <xf numFmtId="1" fontId="32" fillId="0" borderId="40" xfId="0" applyNumberFormat="1" applyFont="1" applyBorder="1" applyAlignment="1">
      <alignment wrapText="1"/>
    </xf>
    <xf numFmtId="1" fontId="32" fillId="0" borderId="248" xfId="0" applyNumberFormat="1" applyFont="1" applyBorder="1" applyAlignment="1">
      <alignment horizontal="center" vertical="center" wrapText="1"/>
    </xf>
    <xf numFmtId="1" fontId="32" fillId="0" borderId="1137" xfId="0" applyNumberFormat="1" applyFont="1" applyBorder="1" applyAlignment="1">
      <alignment horizontal="center" vertical="center"/>
    </xf>
    <xf numFmtId="1" fontId="32" fillId="0" borderId="1094" xfId="0" applyNumberFormat="1" applyFont="1" applyBorder="1" applyAlignment="1">
      <alignment horizontal="center" vertical="center"/>
    </xf>
    <xf numFmtId="1" fontId="32" fillId="0" borderId="1138" xfId="0" applyNumberFormat="1" applyFont="1" applyBorder="1" applyAlignment="1">
      <alignment horizontal="center" vertical="center"/>
    </xf>
    <xf numFmtId="1" fontId="32" fillId="0" borderId="1249" xfId="0" applyNumberFormat="1" applyFont="1" applyBorder="1" applyAlignment="1">
      <alignment horizontal="center" vertical="center" wrapText="1"/>
    </xf>
    <xf numFmtId="1" fontId="32" fillId="0" borderId="113" xfId="0" applyNumberFormat="1" applyFont="1" applyBorder="1" applyAlignment="1">
      <alignment horizontal="center" vertical="center" wrapText="1"/>
    </xf>
    <xf numFmtId="1" fontId="32" fillId="0" borderId="1022" xfId="0" applyNumberFormat="1" applyFont="1" applyBorder="1" applyAlignment="1">
      <alignment horizontal="center" vertical="center" wrapText="1"/>
    </xf>
    <xf numFmtId="1" fontId="32" fillId="0" borderId="1164" xfId="0" applyNumberFormat="1" applyFont="1" applyBorder="1" applyAlignment="1">
      <alignment horizontal="center" vertical="center" wrapText="1"/>
    </xf>
    <xf numFmtId="1" fontId="32" fillId="0" borderId="224" xfId="0" applyNumberFormat="1" applyFont="1" applyBorder="1" applyAlignment="1">
      <alignment horizontal="center" vertical="center" wrapText="1"/>
    </xf>
    <xf numFmtId="1" fontId="32" fillId="0" borderId="226" xfId="0" applyNumberFormat="1" applyFont="1" applyBorder="1" applyAlignment="1">
      <alignment horizontal="center" vertical="center" wrapText="1"/>
    </xf>
    <xf numFmtId="1" fontId="32" fillId="0" borderId="998" xfId="0" applyNumberFormat="1" applyFont="1" applyBorder="1" applyAlignment="1">
      <alignment horizontal="center" vertical="center" wrapText="1"/>
    </xf>
    <xf numFmtId="1" fontId="32" fillId="0" borderId="1915" xfId="0" applyNumberFormat="1" applyFont="1" applyBorder="1" applyAlignment="1">
      <alignment horizontal="center" vertical="center" wrapText="1"/>
    </xf>
    <xf numFmtId="1" fontId="32" fillId="0" borderId="1278" xfId="0" applyNumberFormat="1" applyFont="1" applyBorder="1" applyAlignment="1">
      <alignment horizontal="center" vertical="center" wrapText="1"/>
    </xf>
    <xf numFmtId="1" fontId="32" fillId="0" borderId="1279" xfId="0" applyNumberFormat="1" applyFont="1" applyBorder="1" applyAlignment="1">
      <alignment horizontal="center" vertical="center" wrapText="1"/>
    </xf>
    <xf numFmtId="1" fontId="32" fillId="0" borderId="1280" xfId="0" applyNumberFormat="1" applyFont="1" applyBorder="1" applyAlignment="1">
      <alignment horizontal="center" vertical="center" wrapText="1"/>
    </xf>
    <xf numFmtId="1" fontId="32" fillId="12" borderId="1736" xfId="0" applyNumberFormat="1" applyFont="1" applyFill="1" applyBorder="1" applyAlignment="1">
      <alignment horizontal="center" vertical="center" wrapText="1"/>
    </xf>
    <xf numFmtId="1" fontId="32" fillId="0" borderId="510" xfId="0" applyNumberFormat="1" applyFont="1" applyBorder="1" applyAlignment="1">
      <alignment horizontal="center" vertical="center" wrapText="1"/>
    </xf>
    <xf numFmtId="1" fontId="32" fillId="0" borderId="1068" xfId="0" applyNumberFormat="1" applyFont="1" applyBorder="1" applyAlignment="1">
      <alignment horizontal="center" vertical="center" wrapText="1"/>
    </xf>
    <xf numFmtId="1" fontId="65" fillId="0" borderId="224" xfId="0" applyNumberFormat="1" applyFont="1" applyBorder="1"/>
    <xf numFmtId="1" fontId="65" fillId="0" borderId="227" xfId="0" applyNumberFormat="1" applyFont="1" applyBorder="1"/>
    <xf numFmtId="1" fontId="32" fillId="0" borderId="224" xfId="0" applyNumberFormat="1" applyFont="1" applyBorder="1" applyAlignment="1">
      <alignment wrapText="1"/>
    </xf>
    <xf numFmtId="1" fontId="32" fillId="0" borderId="227" xfId="0" applyNumberFormat="1" applyFont="1" applyBorder="1" applyAlignment="1">
      <alignment wrapText="1"/>
    </xf>
    <xf numFmtId="1" fontId="32" fillId="0" borderId="35" xfId="0" applyNumberFormat="1" applyFont="1" applyBorder="1" applyAlignment="1">
      <alignment horizontal="center" vertical="center" wrapText="1"/>
    </xf>
    <xf numFmtId="1" fontId="32" fillId="0" borderId="690" xfId="0" applyNumberFormat="1" applyFont="1" applyBorder="1" applyAlignment="1" applyProtection="1">
      <alignment horizontal="center" vertical="center"/>
      <protection hidden="1"/>
    </xf>
    <xf numFmtId="1" fontId="32" fillId="0" borderId="428" xfId="0" applyNumberFormat="1" applyFont="1" applyBorder="1" applyAlignment="1" applyProtection="1">
      <alignment horizontal="center" vertical="center"/>
      <protection hidden="1"/>
    </xf>
    <xf numFmtId="1" fontId="32" fillId="0" borderId="537" xfId="0" applyNumberFormat="1" applyFont="1" applyBorder="1" applyAlignment="1" applyProtection="1">
      <alignment horizontal="center" vertical="center"/>
      <protection hidden="1"/>
    </xf>
    <xf numFmtId="1" fontId="32" fillId="0" borderId="690" xfId="0" applyNumberFormat="1" applyFont="1" applyBorder="1" applyAlignment="1" applyProtection="1">
      <alignment horizontal="center" vertical="center" wrapText="1"/>
      <protection hidden="1"/>
    </xf>
    <xf numFmtId="1" fontId="32" fillId="0" borderId="537" xfId="0" applyNumberFormat="1" applyFont="1" applyBorder="1" applyAlignment="1" applyProtection="1">
      <alignment horizontal="center" vertical="center" wrapText="1"/>
      <protection hidden="1"/>
    </xf>
    <xf numFmtId="1" fontId="32" fillId="14" borderId="269" xfId="0" applyNumberFormat="1" applyFont="1" applyFill="1" applyBorder="1" applyAlignment="1">
      <alignment horizontal="center" vertical="center" wrapText="1"/>
    </xf>
    <xf numFmtId="1" fontId="32" fillId="14" borderId="24" xfId="0" applyNumberFormat="1" applyFont="1" applyFill="1" applyBorder="1" applyAlignment="1">
      <alignment horizontal="center" vertical="center" wrapText="1"/>
    </xf>
    <xf numFmtId="1" fontId="32" fillId="0" borderId="9" xfId="0" applyNumberFormat="1" applyFont="1" applyBorder="1" applyAlignment="1">
      <alignment horizontal="center" vertical="center" wrapText="1"/>
    </xf>
    <xf numFmtId="1" fontId="32" fillId="0" borderId="993" xfId="0" applyNumberFormat="1" applyFont="1" applyBorder="1" applyAlignment="1">
      <alignment horizontal="center" vertical="center" wrapText="1"/>
    </xf>
    <xf numFmtId="1" fontId="32" fillId="0" borderId="1110" xfId="0" applyNumberFormat="1" applyFont="1" applyBorder="1" applyAlignment="1">
      <alignment horizontal="center" vertical="center" wrapText="1"/>
    </xf>
    <xf numFmtId="1" fontId="32" fillId="14" borderId="732" xfId="0" applyNumberFormat="1" applyFont="1" applyFill="1" applyBorder="1" applyAlignment="1">
      <alignment horizontal="center" vertical="center" wrapText="1"/>
    </xf>
    <xf numFmtId="1" fontId="32" fillId="14" borderId="733" xfId="0" applyNumberFormat="1" applyFont="1" applyFill="1" applyBorder="1" applyAlignment="1">
      <alignment horizontal="center" vertical="center" wrapText="1"/>
    </xf>
    <xf numFmtId="1" fontId="32" fillId="14" borderId="734" xfId="0" applyNumberFormat="1" applyFont="1" applyFill="1" applyBorder="1" applyAlignment="1">
      <alignment horizontal="center" vertical="center" wrapText="1"/>
    </xf>
    <xf numFmtId="1" fontId="32" fillId="0" borderId="1915" xfId="0" applyNumberFormat="1" applyFont="1" applyBorder="1" applyAlignment="1">
      <alignment horizontal="center" vertical="center"/>
    </xf>
    <xf numFmtId="1" fontId="32" fillId="3" borderId="999" xfId="0" applyNumberFormat="1" applyFont="1" applyFill="1" applyBorder="1" applyAlignment="1">
      <alignment horizontal="center" vertical="center" wrapText="1"/>
    </xf>
    <xf numFmtId="1" fontId="32" fillId="3" borderId="1000" xfId="0" applyNumberFormat="1" applyFont="1" applyFill="1" applyBorder="1" applyAlignment="1">
      <alignment horizontal="center" vertical="center" wrapText="1"/>
    </xf>
    <xf numFmtId="1" fontId="32" fillId="3" borderId="997" xfId="0" applyNumberFormat="1" applyFont="1" applyFill="1" applyBorder="1" applyAlignment="1">
      <alignment horizontal="center" vertical="center" wrapText="1"/>
    </xf>
    <xf numFmtId="1" fontId="32" fillId="0" borderId="999" xfId="0" applyNumberFormat="1" applyFont="1" applyBorder="1" applyAlignment="1">
      <alignment horizontal="center" vertical="center" wrapText="1"/>
    </xf>
    <xf numFmtId="1" fontId="32" fillId="0" borderId="1000" xfId="0" applyNumberFormat="1" applyFont="1" applyBorder="1" applyAlignment="1">
      <alignment horizontal="center" vertical="center" wrapText="1"/>
    </xf>
    <xf numFmtId="1" fontId="32" fillId="0" borderId="997" xfId="0" applyNumberFormat="1" applyFont="1" applyBorder="1" applyAlignment="1">
      <alignment horizontal="center" vertical="center" wrapText="1"/>
    </xf>
    <xf numFmtId="1" fontId="32" fillId="14" borderId="224" xfId="0" applyNumberFormat="1" applyFont="1" applyFill="1" applyBorder="1" applyAlignment="1">
      <alignment horizontal="center" vertical="center" wrapText="1"/>
    </xf>
    <xf numFmtId="1" fontId="32" fillId="14" borderId="225" xfId="0" applyNumberFormat="1" applyFont="1" applyFill="1" applyBorder="1" applyAlignment="1">
      <alignment horizontal="center" vertical="center" wrapText="1"/>
    </xf>
    <xf numFmtId="1" fontId="32" fillId="14" borderId="226" xfId="0" applyNumberFormat="1" applyFont="1" applyFill="1" applyBorder="1" applyAlignment="1">
      <alignment horizontal="center" vertical="center" wrapText="1"/>
    </xf>
    <xf numFmtId="1" fontId="32" fillId="0" borderId="227" xfId="0" applyNumberFormat="1" applyFont="1" applyBorder="1" applyAlignment="1">
      <alignment horizontal="center" vertical="center" wrapText="1"/>
    </xf>
    <xf numFmtId="1" fontId="32" fillId="0" borderId="732" xfId="0" applyNumberFormat="1" applyFont="1" applyBorder="1" applyAlignment="1">
      <alignment horizontal="center" vertical="center"/>
    </xf>
    <xf numFmtId="1" fontId="32" fillId="0" borderId="733" xfId="0" applyNumberFormat="1" applyFont="1" applyBorder="1" applyAlignment="1">
      <alignment horizontal="center" vertical="center"/>
    </xf>
    <xf numFmtId="1" fontId="32" fillId="0" borderId="762" xfId="0" applyNumberFormat="1" applyFont="1" applyBorder="1" applyAlignment="1">
      <alignment horizontal="center" vertical="center"/>
    </xf>
    <xf numFmtId="1" fontId="32" fillId="0" borderId="725" xfId="0" applyNumberFormat="1" applyFont="1" applyBorder="1" applyAlignment="1">
      <alignment horizontal="center" vertical="center" wrapText="1"/>
    </xf>
    <xf numFmtId="1" fontId="32" fillId="3" borderId="993" xfId="0" applyNumberFormat="1" applyFont="1" applyFill="1" applyBorder="1" applyAlignment="1">
      <alignment horizontal="center" vertical="center" wrapText="1"/>
    </xf>
    <xf numFmtId="1" fontId="32" fillId="3" borderId="1146" xfId="0" applyNumberFormat="1" applyFont="1" applyFill="1" applyBorder="1" applyAlignment="1">
      <alignment horizontal="center" vertical="center" wrapText="1"/>
    </xf>
    <xf numFmtId="1" fontId="32" fillId="3" borderId="1110" xfId="0" applyNumberFormat="1" applyFont="1" applyFill="1" applyBorder="1" applyAlignment="1">
      <alignment horizontal="center" vertical="center" wrapText="1"/>
    </xf>
    <xf numFmtId="1" fontId="32" fillId="3" borderId="887" xfId="0" applyNumberFormat="1" applyFont="1" applyFill="1" applyBorder="1" applyAlignment="1">
      <alignment horizontal="center" vertical="center" wrapText="1"/>
    </xf>
    <xf numFmtId="1" fontId="32" fillId="3" borderId="1068" xfId="0" applyNumberFormat="1" applyFont="1" applyFill="1" applyBorder="1" applyAlignment="1">
      <alignment horizontal="center" vertical="center" wrapText="1"/>
    </xf>
    <xf numFmtId="1" fontId="32" fillId="14" borderId="196" xfId="0" applyNumberFormat="1" applyFont="1" applyFill="1" applyBorder="1" applyAlignment="1">
      <alignment horizontal="center" vertical="center" wrapText="1"/>
    </xf>
    <xf numFmtId="1" fontId="32" fillId="3" borderId="510" xfId="0" applyNumberFormat="1" applyFont="1" applyFill="1" applyBorder="1" applyAlignment="1">
      <alignment horizontal="center" vertical="center" wrapText="1"/>
    </xf>
    <xf numFmtId="1" fontId="32" fillId="14" borderId="1917" xfId="0" applyNumberFormat="1" applyFont="1" applyFill="1" applyBorder="1" applyAlignment="1">
      <alignment horizontal="center" vertical="center" wrapText="1"/>
    </xf>
    <xf numFmtId="1" fontId="32" fillId="14" borderId="1834" xfId="0" applyNumberFormat="1" applyFont="1" applyFill="1" applyBorder="1" applyAlignment="1">
      <alignment horizontal="center" vertical="center" wrapText="1"/>
    </xf>
    <xf numFmtId="1" fontId="32" fillId="0" borderId="282" xfId="0" applyNumberFormat="1" applyFont="1" applyBorder="1" applyAlignment="1">
      <alignment horizontal="center" vertical="center"/>
    </xf>
    <xf numFmtId="1" fontId="32" fillId="0" borderId="732" xfId="0" applyNumberFormat="1" applyFont="1" applyBorder="1" applyAlignment="1">
      <alignment horizontal="center" vertical="center" wrapText="1"/>
    </xf>
    <xf numFmtId="1" fontId="32" fillId="0" borderId="733" xfId="0" applyNumberFormat="1" applyFont="1" applyBorder="1" applyAlignment="1">
      <alignment horizontal="center" vertical="center" wrapText="1"/>
    </xf>
    <xf numFmtId="1" fontId="32" fillId="0" borderId="950" xfId="0" applyNumberFormat="1" applyFont="1" applyBorder="1" applyAlignment="1" applyProtection="1">
      <alignment horizontal="center" vertical="center"/>
      <protection hidden="1"/>
    </xf>
    <xf numFmtId="1" fontId="32" fillId="0" borderId="942" xfId="0" applyNumberFormat="1" applyFont="1" applyBorder="1" applyAlignment="1" applyProtection="1">
      <alignment horizontal="center" vertical="center"/>
      <protection hidden="1"/>
    </xf>
    <xf numFmtId="1" fontId="32" fillId="0" borderId="951" xfId="0" applyNumberFormat="1" applyFont="1" applyBorder="1" applyAlignment="1" applyProtection="1">
      <alignment horizontal="center" vertical="center"/>
      <protection hidden="1"/>
    </xf>
    <xf numFmtId="1" fontId="32" fillId="0" borderId="241" xfId="0" applyNumberFormat="1" applyFont="1" applyBorder="1" applyAlignment="1">
      <alignment horizontal="center" vertical="center" wrapText="1"/>
    </xf>
    <xf numFmtId="1" fontId="32" fillId="0" borderId="239" xfId="0" applyNumberFormat="1" applyFont="1" applyBorder="1" applyAlignment="1">
      <alignment horizontal="center" vertical="center" wrapText="1"/>
    </xf>
    <xf numFmtId="1" fontId="32" fillId="0" borderId="240" xfId="0" applyNumberFormat="1" applyFont="1" applyBorder="1" applyAlignment="1">
      <alignment horizontal="center" vertical="center" wrapText="1"/>
    </xf>
    <xf numFmtId="1" fontId="32" fillId="0" borderId="286" xfId="0" applyNumberFormat="1" applyFont="1" applyBorder="1" applyAlignment="1">
      <alignment wrapText="1"/>
    </xf>
    <xf numFmtId="1" fontId="32" fillId="0" borderId="268" xfId="0" applyNumberFormat="1" applyFont="1" applyBorder="1" applyAlignment="1">
      <alignment wrapText="1"/>
    </xf>
    <xf numFmtId="1" fontId="32" fillId="0" borderId="734" xfId="0" applyNumberFormat="1" applyFont="1" applyBorder="1" applyAlignment="1">
      <alignment horizontal="center" vertical="center" wrapText="1"/>
    </xf>
    <xf numFmtId="1" fontId="32" fillId="0" borderId="224" xfId="0" applyNumberFormat="1" applyFont="1" applyBorder="1"/>
    <xf numFmtId="1" fontId="32" fillId="0" borderId="227" xfId="0" applyNumberFormat="1" applyFont="1" applyBorder="1"/>
    <xf numFmtId="1" fontId="32" fillId="0" borderId="1299" xfId="0" applyNumberFormat="1" applyFont="1" applyBorder="1" applyAlignment="1">
      <alignment horizontal="center" vertical="center" wrapText="1"/>
    </xf>
    <xf numFmtId="1" fontId="32" fillId="0" borderId="0" xfId="0" applyNumberFormat="1" applyFont="1" applyAlignment="1">
      <alignment horizontal="center" vertical="center" wrapText="1"/>
    </xf>
    <xf numFmtId="1" fontId="32" fillId="0" borderId="68" xfId="0" applyNumberFormat="1" applyFont="1" applyBorder="1" applyAlignment="1">
      <alignment horizontal="center" vertical="center" wrapText="1"/>
    </xf>
    <xf numFmtId="1" fontId="32" fillId="0" borderId="1592" xfId="0" applyNumberFormat="1" applyFont="1" applyBorder="1" applyAlignment="1">
      <alignment horizontal="center" vertical="center" wrapText="1"/>
    </xf>
    <xf numFmtId="1" fontId="32" fillId="0" borderId="799" xfId="0" applyNumberFormat="1" applyFont="1" applyBorder="1" applyAlignment="1">
      <alignment horizontal="center" vertical="center" wrapText="1"/>
    </xf>
    <xf numFmtId="1" fontId="32" fillId="0" borderId="1307" xfId="0" applyNumberFormat="1" applyFont="1" applyBorder="1" applyAlignment="1">
      <alignment horizontal="left" vertical="center" wrapText="1"/>
    </xf>
    <xf numFmtId="1" fontId="32" fillId="0" borderId="762" xfId="0" applyNumberFormat="1" applyFont="1" applyBorder="1" applyAlignment="1">
      <alignment horizontal="center" vertical="center" wrapText="1"/>
    </xf>
    <xf numFmtId="1" fontId="32" fillId="0" borderId="2211" xfId="0" applyNumberFormat="1" applyFont="1" applyBorder="1" applyAlignment="1">
      <alignment horizontal="center" vertical="center"/>
    </xf>
    <xf numFmtId="1" fontId="32" fillId="0" borderId="2212" xfId="0" applyNumberFormat="1" applyFont="1" applyBorder="1" applyAlignment="1">
      <alignment horizontal="center" vertical="center"/>
    </xf>
    <xf numFmtId="1" fontId="32" fillId="0" borderId="2418" xfId="0" applyNumberFormat="1" applyFont="1" applyBorder="1" applyAlignment="1">
      <alignment horizontal="center" vertical="center" wrapText="1"/>
    </xf>
    <xf numFmtId="1" fontId="32" fillId="0" borderId="2435" xfId="0" applyNumberFormat="1" applyFont="1" applyBorder="1" applyAlignment="1">
      <alignment horizontal="center" vertical="center" wrapText="1"/>
    </xf>
    <xf numFmtId="1" fontId="32" fillId="0" borderId="2374" xfId="0" applyNumberFormat="1" applyFont="1" applyBorder="1" applyAlignment="1">
      <alignment horizontal="center" vertical="center" wrapText="1"/>
    </xf>
    <xf numFmtId="1" fontId="32" fillId="3" borderId="292" xfId="0" applyNumberFormat="1" applyFont="1" applyFill="1" applyBorder="1" applyAlignment="1">
      <alignment horizontal="center" vertical="center" wrapText="1"/>
    </xf>
    <xf numFmtId="1" fontId="32" fillId="3" borderId="225" xfId="0" applyNumberFormat="1" applyFont="1" applyFill="1" applyBorder="1" applyAlignment="1">
      <alignment horizontal="center" vertical="center" wrapText="1"/>
    </xf>
    <xf numFmtId="1" fontId="32" fillId="3" borderId="227" xfId="0" applyNumberFormat="1" applyFont="1" applyFill="1" applyBorder="1" applyAlignment="1">
      <alignment horizontal="center" vertical="center" wrapText="1"/>
    </xf>
    <xf numFmtId="1" fontId="32" fillId="3" borderId="241" xfId="0" applyNumberFormat="1" applyFont="1" applyFill="1" applyBorder="1" applyAlignment="1">
      <alignment horizontal="center" vertical="center" wrapText="1"/>
    </xf>
    <xf numFmtId="1" fontId="32" fillId="3" borderId="240" xfId="0" applyNumberFormat="1" applyFont="1" applyFill="1" applyBorder="1" applyAlignment="1">
      <alignment horizontal="center" vertical="center" wrapText="1"/>
    </xf>
    <xf numFmtId="1" fontId="32" fillId="3" borderId="238" xfId="0" applyNumberFormat="1" applyFont="1" applyFill="1" applyBorder="1" applyAlignment="1">
      <alignment horizontal="center" vertical="center" wrapText="1"/>
    </xf>
    <xf numFmtId="1" fontId="32" fillId="3" borderId="177" xfId="0" applyNumberFormat="1" applyFont="1" applyFill="1" applyBorder="1" applyAlignment="1">
      <alignment horizontal="center" vertical="center" wrapText="1"/>
    </xf>
    <xf numFmtId="1" fontId="65" fillId="0" borderId="705" xfId="0" applyNumberFormat="1" applyFont="1" applyBorder="1"/>
    <xf numFmtId="1" fontId="65" fillId="0" borderId="282" xfId="0" applyNumberFormat="1" applyFont="1" applyBorder="1"/>
    <xf numFmtId="1" fontId="65" fillId="0" borderId="224" xfId="0" applyNumberFormat="1" applyFont="1" applyBorder="1" applyAlignment="1">
      <alignment wrapText="1"/>
    </xf>
    <xf numFmtId="1" fontId="65" fillId="0" borderId="227" xfId="0" applyNumberFormat="1" applyFont="1" applyBorder="1" applyAlignment="1">
      <alignment wrapText="1"/>
    </xf>
    <xf numFmtId="1" fontId="65" fillId="0" borderId="236" xfId="0" applyNumberFormat="1" applyFont="1" applyBorder="1"/>
    <xf numFmtId="1" fontId="32" fillId="0" borderId="39" xfId="0" applyNumberFormat="1" applyFont="1" applyBorder="1" applyAlignment="1">
      <alignment wrapText="1"/>
    </xf>
    <xf numFmtId="1" fontId="32" fillId="0" borderId="31" xfId="0" applyNumberFormat="1" applyFont="1" applyBorder="1" applyAlignment="1">
      <alignment wrapText="1"/>
    </xf>
    <xf numFmtId="1" fontId="65" fillId="0" borderId="225" xfId="0" applyNumberFormat="1" applyFont="1" applyBorder="1"/>
    <xf numFmtId="1" fontId="32" fillId="14" borderId="241" xfId="0" applyNumberFormat="1" applyFont="1" applyFill="1" applyBorder="1" applyAlignment="1">
      <alignment horizontal="center" vertical="center" wrapText="1"/>
    </xf>
    <xf numFmtId="1" fontId="32" fillId="14" borderId="240" xfId="0" applyNumberFormat="1" applyFont="1" applyFill="1" applyBorder="1" applyAlignment="1">
      <alignment horizontal="center" vertical="center" wrapText="1"/>
    </xf>
    <xf numFmtId="1" fontId="32" fillId="14" borderId="238" xfId="0" applyNumberFormat="1" applyFont="1" applyFill="1" applyBorder="1" applyAlignment="1">
      <alignment horizontal="center" vertical="center" wrapText="1"/>
    </xf>
    <xf numFmtId="1" fontId="32" fillId="14" borderId="177" xfId="0" applyNumberFormat="1" applyFont="1" applyFill="1" applyBorder="1" applyAlignment="1">
      <alignment horizontal="center" vertical="center" wrapText="1"/>
    </xf>
    <xf numFmtId="1" fontId="32" fillId="0" borderId="698" xfId="0" applyNumberFormat="1" applyFont="1" applyBorder="1" applyAlignment="1">
      <alignment horizontal="center" vertical="center"/>
    </xf>
    <xf numFmtId="1" fontId="32" fillId="0" borderId="432" xfId="0" applyNumberFormat="1" applyFont="1" applyBorder="1" applyAlignment="1">
      <alignment horizontal="center" vertical="center"/>
    </xf>
    <xf numFmtId="1" fontId="32" fillId="0" borderId="508" xfId="0" applyNumberFormat="1" applyFont="1" applyBorder="1" applyAlignment="1">
      <alignment horizontal="center" vertical="center"/>
    </xf>
    <xf numFmtId="1" fontId="32" fillId="0" borderId="239" xfId="0" applyNumberFormat="1" applyFont="1" applyBorder="1" applyAlignment="1">
      <alignment horizontal="center" vertical="center"/>
    </xf>
    <xf numFmtId="1" fontId="32" fillId="0" borderId="491" xfId="0" applyNumberFormat="1" applyFont="1" applyBorder="1" applyAlignment="1">
      <alignment horizontal="center" vertical="center"/>
    </xf>
    <xf numFmtId="1" fontId="32" fillId="0" borderId="238" xfId="0" applyNumberFormat="1" applyFont="1" applyBorder="1" applyAlignment="1">
      <alignment horizontal="center" vertical="center"/>
    </xf>
    <xf numFmtId="1" fontId="32" fillId="0" borderId="175" xfId="0" applyNumberFormat="1" applyFont="1" applyBorder="1" applyAlignment="1">
      <alignment horizontal="center" vertical="center"/>
    </xf>
    <xf numFmtId="1" fontId="32" fillId="0" borderId="177" xfId="0" applyNumberFormat="1" applyFont="1" applyBorder="1" applyAlignment="1">
      <alignment horizontal="center" vertical="center"/>
    </xf>
    <xf numFmtId="1" fontId="32" fillId="0" borderId="225" xfId="0" applyNumberFormat="1" applyFont="1" applyBorder="1" applyAlignment="1">
      <alignment horizontal="center" vertical="center" wrapText="1"/>
    </xf>
    <xf numFmtId="1" fontId="32" fillId="0" borderId="1902" xfId="0" applyNumberFormat="1" applyFont="1" applyBorder="1" applyAlignment="1">
      <alignment horizontal="center" vertical="center"/>
    </xf>
    <xf numFmtId="1" fontId="32" fillId="0" borderId="1899" xfId="0" applyNumberFormat="1" applyFont="1" applyBorder="1" applyAlignment="1">
      <alignment horizontal="center" vertical="center"/>
    </xf>
    <xf numFmtId="1" fontId="32" fillId="0" borderId="1924" xfId="0" applyNumberFormat="1" applyFont="1" applyBorder="1" applyAlignment="1">
      <alignment horizontal="center" vertical="center" wrapText="1"/>
    </xf>
    <xf numFmtId="1" fontId="32" fillId="0" borderId="178" xfId="0" applyNumberFormat="1" applyFont="1" applyBorder="1" applyAlignment="1">
      <alignment horizontal="center" vertical="center" wrapText="1"/>
    </xf>
    <xf numFmtId="1" fontId="32" fillId="0" borderId="144" xfId="0" applyNumberFormat="1" applyFont="1" applyBorder="1" applyAlignment="1">
      <alignment horizontal="center" vertical="center" wrapText="1"/>
    </xf>
    <xf numFmtId="1" fontId="32" fillId="0" borderId="590" xfId="0" applyNumberFormat="1" applyFont="1" applyBorder="1" applyAlignment="1">
      <alignment wrapText="1"/>
    </xf>
    <xf numFmtId="1" fontId="32" fillId="0" borderId="591" xfId="0" applyNumberFormat="1" applyFont="1" applyBorder="1" applyAlignment="1">
      <alignment wrapText="1"/>
    </xf>
    <xf numFmtId="1" fontId="32" fillId="0" borderId="940" xfId="0" applyNumberFormat="1" applyFont="1" applyBorder="1" applyAlignment="1">
      <alignment horizontal="center" vertical="center" wrapText="1"/>
    </xf>
    <xf numFmtId="1" fontId="32" fillId="0" borderId="880" xfId="0" applyNumberFormat="1" applyFont="1" applyBorder="1" applyAlignment="1">
      <alignment horizontal="center" vertical="center" wrapText="1"/>
    </xf>
    <xf numFmtId="1" fontId="32" fillId="0" borderId="286" xfId="0" applyNumberFormat="1" applyFont="1" applyBorder="1"/>
    <xf numFmtId="1" fontId="32" fillId="0" borderId="268" xfId="0" applyNumberFormat="1" applyFont="1" applyBorder="1"/>
    <xf numFmtId="1" fontId="32" fillId="0" borderId="23" xfId="0" applyNumberFormat="1" applyFont="1" applyBorder="1"/>
    <xf numFmtId="1" fontId="32" fillId="0" borderId="21" xfId="0" applyNumberFormat="1" applyFont="1" applyBorder="1"/>
    <xf numFmtId="1" fontId="32" fillId="0" borderId="267" xfId="0" applyNumberFormat="1" applyFont="1" applyBorder="1"/>
    <xf numFmtId="1" fontId="32" fillId="0" borderId="256" xfId="0" applyNumberFormat="1" applyFont="1" applyBorder="1"/>
    <xf numFmtId="1" fontId="32" fillId="0" borderId="704" xfId="0" applyNumberFormat="1" applyFont="1" applyBorder="1"/>
    <xf numFmtId="1" fontId="32" fillId="0" borderId="725" xfId="0" applyNumberFormat="1" applyFont="1" applyBorder="1"/>
    <xf numFmtId="1" fontId="32" fillId="0" borderId="225" xfId="0" applyNumberFormat="1" applyFont="1" applyBorder="1" applyAlignment="1" applyProtection="1">
      <alignment wrapText="1"/>
      <protection hidden="1"/>
    </xf>
    <xf numFmtId="1" fontId="32" fillId="0" borderId="227" xfId="0" applyNumberFormat="1" applyFont="1" applyBorder="1" applyAlignment="1" applyProtection="1">
      <alignment wrapText="1"/>
      <protection hidden="1"/>
    </xf>
    <xf numFmtId="1" fontId="32" fillId="0" borderId="282" xfId="0" applyNumberFormat="1" applyFont="1" applyBorder="1"/>
    <xf numFmtId="1" fontId="32" fillId="0" borderId="940" xfId="0" applyNumberFormat="1" applyFont="1" applyBorder="1" applyAlignment="1">
      <alignment horizontal="left" vertical="center" wrapText="1"/>
    </xf>
    <xf numFmtId="1" fontId="32" fillId="0" borderId="880" xfId="0" applyNumberFormat="1" applyFont="1" applyBorder="1" applyAlignment="1">
      <alignment horizontal="left" vertical="center" wrapText="1"/>
    </xf>
    <xf numFmtId="1" fontId="32" fillId="0" borderId="263" xfId="0" applyNumberFormat="1" applyFont="1" applyBorder="1" applyAlignment="1">
      <alignment horizontal="left" vertical="center" wrapText="1"/>
    </xf>
    <xf numFmtId="1" fontId="32" fillId="0" borderId="1640" xfId="0" applyNumberFormat="1" applyFont="1" applyBorder="1" applyAlignment="1">
      <alignment wrapText="1"/>
    </xf>
    <xf numFmtId="1" fontId="32" fillId="0" borderId="1421" xfId="0" applyNumberFormat="1" applyFont="1" applyBorder="1" applyAlignment="1">
      <alignment wrapText="1"/>
    </xf>
    <xf numFmtId="0" fontId="32" fillId="0" borderId="636" xfId="0" applyFont="1" applyBorder="1" applyAlignment="1">
      <alignment wrapText="1"/>
    </xf>
    <xf numFmtId="0" fontId="32" fillId="0" borderId="639" xfId="0" applyFont="1" applyBorder="1" applyAlignment="1">
      <alignment wrapText="1"/>
    </xf>
    <xf numFmtId="1" fontId="32" fillId="0" borderId="428" xfId="0" applyNumberFormat="1" applyFont="1" applyBorder="1" applyAlignment="1" applyProtection="1">
      <alignment horizontal="center" vertical="center" wrapText="1"/>
      <protection hidden="1"/>
    </xf>
    <xf numFmtId="1" fontId="32" fillId="0" borderId="2379" xfId="0" applyNumberFormat="1" applyFont="1" applyBorder="1" applyAlignment="1">
      <alignment wrapText="1"/>
    </xf>
    <xf numFmtId="1" fontId="32" fillId="0" borderId="2160" xfId="0" applyNumberFormat="1" applyFont="1" applyBorder="1" applyAlignment="1">
      <alignment horizontal="center" vertical="center" wrapText="1"/>
    </xf>
    <xf numFmtId="1" fontId="32" fillId="0" borderId="2184" xfId="0" applyNumberFormat="1" applyFont="1" applyBorder="1" applyAlignment="1">
      <alignment horizontal="center" vertical="center" wrapText="1"/>
    </xf>
    <xf numFmtId="1" fontId="32" fillId="0" borderId="61" xfId="0" applyNumberFormat="1" applyFont="1" applyBorder="1" applyAlignment="1">
      <alignment wrapText="1"/>
    </xf>
    <xf numFmtId="1" fontId="32" fillId="0" borderId="556" xfId="0" applyNumberFormat="1" applyFont="1" applyBorder="1" applyAlignment="1">
      <alignment wrapText="1"/>
    </xf>
    <xf numFmtId="1" fontId="32" fillId="0" borderId="926" xfId="0" applyNumberFormat="1" applyFont="1" applyBorder="1" applyAlignment="1">
      <alignment horizontal="center" vertical="center" wrapText="1"/>
    </xf>
    <xf numFmtId="1" fontId="32" fillId="0" borderId="892" xfId="0" applyNumberFormat="1" applyFont="1" applyBorder="1" applyAlignment="1">
      <alignment horizontal="center" vertical="center" wrapText="1"/>
    </xf>
    <xf numFmtId="1" fontId="32" fillId="0" borderId="927" xfId="0" applyNumberFormat="1" applyFont="1" applyBorder="1" applyAlignment="1">
      <alignment horizontal="center" vertical="center" wrapText="1"/>
    </xf>
    <xf numFmtId="1" fontId="32" fillId="0" borderId="884" xfId="0" applyNumberFormat="1" applyFont="1" applyBorder="1" applyAlignment="1">
      <alignment horizontal="center" vertical="center" wrapText="1"/>
    </xf>
    <xf numFmtId="1" fontId="32" fillId="0" borderId="2224" xfId="0" applyNumberFormat="1" applyFont="1" applyBorder="1" applyAlignment="1">
      <alignment horizontal="center" vertical="center" wrapText="1"/>
    </xf>
    <xf numFmtId="1" fontId="32" fillId="14" borderId="1833" xfId="0" applyNumberFormat="1" applyFont="1" applyFill="1" applyBorder="1" applyAlignment="1">
      <alignment wrapText="1"/>
    </xf>
    <xf numFmtId="1" fontId="32" fillId="14" borderId="1834" xfId="0" applyNumberFormat="1" applyFont="1" applyFill="1" applyBorder="1" applyAlignment="1">
      <alignment wrapText="1"/>
    </xf>
    <xf numFmtId="1" fontId="32" fillId="0" borderId="248" xfId="0" applyNumberFormat="1" applyFont="1" applyBorder="1" applyAlignment="1">
      <alignment horizontal="center" vertical="center"/>
    </xf>
    <xf numFmtId="1" fontId="32" fillId="0" borderId="224" xfId="0" applyNumberFormat="1" applyFont="1" applyBorder="1" applyAlignment="1">
      <alignment horizontal="center" vertical="center"/>
    </xf>
    <xf numFmtId="1" fontId="32" fillId="0" borderId="225" xfId="0" applyNumberFormat="1" applyFont="1" applyBorder="1" applyAlignment="1">
      <alignment horizontal="center" vertical="center"/>
    </xf>
    <xf numFmtId="1" fontId="32" fillId="0" borderId="226" xfId="0" applyNumberFormat="1" applyFont="1" applyBorder="1" applyAlignment="1">
      <alignment horizontal="center" vertical="center"/>
    </xf>
    <xf numFmtId="1" fontId="32" fillId="14" borderId="166" xfId="0" applyNumberFormat="1" applyFont="1" applyFill="1" applyBorder="1" applyAlignment="1">
      <alignment horizontal="center" vertical="center" wrapText="1"/>
    </xf>
    <xf numFmtId="1" fontId="32" fillId="14" borderId="95" xfId="0" applyNumberFormat="1" applyFont="1" applyFill="1" applyBorder="1" applyAlignment="1">
      <alignment horizontal="center" vertical="center" wrapText="1"/>
    </xf>
    <xf numFmtId="1" fontId="32" fillId="0" borderId="238" xfId="0" applyNumberFormat="1" applyFont="1" applyBorder="1"/>
    <xf numFmtId="1" fontId="32" fillId="0" borderId="177" xfId="0" applyNumberFormat="1" applyFont="1" applyBorder="1"/>
    <xf numFmtId="1" fontId="66" fillId="3" borderId="0" xfId="0" applyNumberFormat="1" applyFont="1" applyFill="1" applyAlignment="1">
      <alignment horizontal="center" vertical="center" wrapText="1"/>
    </xf>
    <xf numFmtId="1" fontId="32" fillId="0" borderId="269" xfId="0" applyNumberFormat="1" applyFont="1" applyBorder="1"/>
    <xf numFmtId="1" fontId="32" fillId="0" borderId="642" xfId="0" applyNumberFormat="1" applyFont="1" applyBorder="1" applyAlignment="1">
      <alignment wrapText="1"/>
    </xf>
    <xf numFmtId="1" fontId="32" fillId="0" borderId="641" xfId="0" applyNumberFormat="1" applyFont="1" applyBorder="1" applyAlignment="1">
      <alignment wrapText="1"/>
    </xf>
    <xf numFmtId="1" fontId="32" fillId="0" borderId="37" xfId="0" applyNumberFormat="1" applyFont="1" applyBorder="1"/>
    <xf numFmtId="1" fontId="32" fillId="0" borderId="673" xfId="0" applyNumberFormat="1" applyFont="1" applyBorder="1" applyAlignment="1">
      <alignment wrapText="1"/>
    </xf>
    <xf numFmtId="1" fontId="32" fillId="0" borderId="674" xfId="0" applyNumberFormat="1" applyFont="1" applyBorder="1" applyAlignment="1">
      <alignment wrapText="1"/>
    </xf>
    <xf numFmtId="1" fontId="32" fillId="0" borderId="627" xfId="0" applyNumberFormat="1" applyFont="1" applyBorder="1" applyAlignment="1">
      <alignment wrapText="1"/>
    </xf>
    <xf numFmtId="1" fontId="32" fillId="0" borderId="633" xfId="0" applyNumberFormat="1" applyFont="1" applyBorder="1" applyAlignment="1">
      <alignment wrapText="1"/>
    </xf>
    <xf numFmtId="1" fontId="32" fillId="0" borderId="1088" xfId="0" applyNumberFormat="1" applyFont="1" applyBorder="1" applyAlignment="1">
      <alignment horizontal="center" vertical="center" wrapText="1"/>
    </xf>
    <xf numFmtId="1" fontId="32" fillId="0" borderId="2253" xfId="0" applyNumberFormat="1" applyFont="1" applyBorder="1" applyAlignment="1">
      <alignment horizontal="center" vertical="center" wrapText="1"/>
    </xf>
    <xf numFmtId="1" fontId="32" fillId="0" borderId="2254" xfId="0" applyNumberFormat="1" applyFont="1" applyBorder="1" applyAlignment="1">
      <alignment horizontal="center" vertical="center" wrapText="1"/>
    </xf>
    <xf numFmtId="1" fontId="32" fillId="0" borderId="2241" xfId="0" applyNumberFormat="1" applyFont="1" applyBorder="1" applyAlignment="1">
      <alignment horizontal="center" vertical="center" wrapText="1"/>
    </xf>
    <xf numFmtId="1" fontId="32" fillId="0" borderId="263" xfId="0" applyNumberFormat="1" applyFont="1" applyBorder="1" applyAlignment="1">
      <alignment horizontal="center" vertical="center" wrapText="1"/>
    </xf>
    <xf numFmtId="1" fontId="32" fillId="0" borderId="1163" xfId="0" applyNumberFormat="1" applyFont="1" applyBorder="1" applyAlignment="1">
      <alignment horizontal="center"/>
    </xf>
    <xf numFmtId="1" fontId="32" fillId="0" borderId="1143" xfId="0" applyNumberFormat="1" applyFont="1" applyBorder="1" applyAlignment="1">
      <alignment horizontal="center"/>
    </xf>
    <xf numFmtId="1" fontId="32" fillId="0" borderId="1147" xfId="0" applyNumberFormat="1" applyFont="1" applyBorder="1" applyAlignment="1">
      <alignment horizontal="center"/>
    </xf>
    <xf numFmtId="1" fontId="32" fillId="0" borderId="1019" xfId="0" applyNumberFormat="1" applyFont="1" applyBorder="1" applyAlignment="1">
      <alignment horizontal="center" vertical="center" wrapText="1"/>
    </xf>
    <xf numFmtId="1" fontId="32" fillId="0" borderId="1092" xfId="0" applyNumberFormat="1" applyFont="1" applyBorder="1" applyAlignment="1">
      <alignment horizontal="center" vertical="center" wrapText="1"/>
    </xf>
    <xf numFmtId="1" fontId="32" fillId="0" borderId="2255" xfId="0" applyNumberFormat="1" applyFont="1" applyBorder="1" applyAlignment="1">
      <alignment horizontal="center" vertical="center" wrapText="1"/>
    </xf>
    <xf numFmtId="1" fontId="32" fillId="0" borderId="1569" xfId="0" applyNumberFormat="1" applyFont="1" applyBorder="1" applyAlignment="1">
      <alignment horizontal="center" vertical="center" wrapText="1"/>
    </xf>
    <xf numFmtId="1" fontId="32" fillId="0" borderId="375" xfId="0" applyNumberFormat="1" applyFont="1" applyBorder="1" applyAlignment="1">
      <alignment horizontal="center" vertical="center" wrapText="1"/>
    </xf>
    <xf numFmtId="1" fontId="32" fillId="0" borderId="578" xfId="0" applyNumberFormat="1" applyFont="1" applyBorder="1" applyAlignment="1">
      <alignment horizontal="center" vertical="center" wrapText="1"/>
    </xf>
    <xf numFmtId="1" fontId="32" fillId="0" borderId="1736" xfId="0" applyNumberFormat="1" applyFont="1" applyBorder="1" applyAlignment="1">
      <alignment horizontal="center" vertical="center" wrapText="1"/>
    </xf>
    <xf numFmtId="1" fontId="32" fillId="0" borderId="1358" xfId="0" applyNumberFormat="1" applyFont="1" applyBorder="1" applyAlignment="1">
      <alignment horizontal="center" vertical="center" wrapText="1"/>
    </xf>
    <xf numFmtId="1" fontId="32" fillId="0" borderId="1478" xfId="0" applyNumberFormat="1" applyFont="1" applyBorder="1" applyAlignment="1">
      <alignment horizontal="center" vertical="center" wrapText="1"/>
    </xf>
    <xf numFmtId="1" fontId="64" fillId="0" borderId="0" xfId="0" applyNumberFormat="1" applyFont="1" applyAlignment="1">
      <alignment horizontal="left" vertical="center"/>
    </xf>
    <xf numFmtId="1" fontId="32" fillId="0" borderId="1615" xfId="0" applyNumberFormat="1" applyFont="1" applyBorder="1" applyAlignment="1">
      <alignment horizontal="center" vertical="center"/>
    </xf>
    <xf numFmtId="1" fontId="32" fillId="0" borderId="1592" xfId="0" applyNumberFormat="1" applyFont="1" applyBorder="1" applyAlignment="1">
      <alignment horizontal="center" vertical="center"/>
    </xf>
    <xf numFmtId="1" fontId="32" fillId="0" borderId="1737" xfId="0" applyNumberFormat="1" applyFont="1" applyBorder="1" applyAlignment="1">
      <alignment horizontal="center" vertical="center"/>
    </xf>
    <xf numFmtId="1" fontId="32" fillId="0" borderId="1616" xfId="0" applyNumberFormat="1" applyFont="1" applyBorder="1" applyAlignment="1">
      <alignment horizontal="center" vertical="center" wrapText="1"/>
    </xf>
    <xf numFmtId="1" fontId="32" fillId="0" borderId="795" xfId="0" applyNumberFormat="1" applyFont="1" applyBorder="1" applyAlignment="1">
      <alignment horizontal="center" vertical="center" wrapText="1"/>
    </xf>
    <xf numFmtId="1" fontId="32" fillId="0" borderId="1617" xfId="0" applyNumberFormat="1" applyFont="1" applyBorder="1" applyAlignment="1">
      <alignment horizontal="center" vertical="center" wrapText="1"/>
    </xf>
    <xf numFmtId="1" fontId="32" fillId="0" borderId="1711" xfId="0" applyNumberFormat="1" applyFont="1" applyBorder="1" applyAlignment="1">
      <alignment horizontal="center" vertical="center" wrapText="1"/>
    </xf>
    <xf numFmtId="1" fontId="32" fillId="0" borderId="1079" xfId="0" applyNumberFormat="1" applyFont="1" applyBorder="1" applyAlignment="1">
      <alignment horizontal="center" vertical="center" wrapText="1"/>
    </xf>
    <xf numFmtId="1" fontId="32" fillId="0" borderId="1654" xfId="0" applyNumberFormat="1" applyFont="1" applyBorder="1" applyAlignment="1">
      <alignment horizontal="center" vertical="center" wrapText="1"/>
    </xf>
    <xf numFmtId="1" fontId="32" fillId="0" borderId="1787" xfId="0" applyNumberFormat="1" applyFont="1" applyBorder="1" applyAlignment="1">
      <alignment horizontal="center" vertical="center" wrapText="1"/>
    </xf>
    <xf numFmtId="1" fontId="32" fillId="0" borderId="1668" xfId="0" applyNumberFormat="1" applyFont="1" applyBorder="1" applyAlignment="1">
      <alignment horizontal="center" vertical="center" wrapText="1"/>
    </xf>
    <xf numFmtId="1" fontId="32" fillId="0" borderId="1788" xfId="0" applyNumberFormat="1" applyFont="1" applyBorder="1" applyAlignment="1">
      <alignment horizontal="center" vertical="center" wrapText="1"/>
    </xf>
    <xf numFmtId="1" fontId="32" fillId="0" borderId="1615" xfId="0" applyNumberFormat="1" applyFont="1" applyBorder="1" applyAlignment="1">
      <alignment horizontal="center" vertical="center" wrapText="1"/>
    </xf>
    <xf numFmtId="1" fontId="32" fillId="0" borderId="1737" xfId="0" applyNumberFormat="1" applyFont="1" applyBorder="1" applyAlignment="1">
      <alignment horizontal="center" vertical="center" wrapText="1"/>
    </xf>
    <xf numFmtId="0" fontId="65" fillId="14" borderId="2112" xfId="0" applyFont="1" applyFill="1" applyBorder="1" applyAlignment="1">
      <alignment horizontal="center" vertical="center" wrapText="1"/>
    </xf>
    <xf numFmtId="0" fontId="65" fillId="14" borderId="1592" xfId="0" applyFont="1" applyFill="1" applyBorder="1" applyAlignment="1">
      <alignment horizontal="center" vertical="center" wrapText="1"/>
    </xf>
    <xf numFmtId="0" fontId="65" fillId="14" borderId="1737" xfId="0" applyFont="1" applyFill="1" applyBorder="1" applyAlignment="1">
      <alignment horizontal="center" vertical="center" wrapText="1"/>
    </xf>
    <xf numFmtId="1" fontId="65" fillId="14" borderId="2082" xfId="0" applyNumberFormat="1" applyFont="1" applyFill="1" applyBorder="1" applyAlignment="1">
      <alignment horizontal="left"/>
    </xf>
    <xf numFmtId="1" fontId="65" fillId="14" borderId="2113" xfId="0" applyNumberFormat="1" applyFont="1" applyFill="1" applyBorder="1" applyAlignment="1">
      <alignment horizontal="left"/>
    </xf>
    <xf numFmtId="1" fontId="32" fillId="12" borderId="1615" xfId="0" applyNumberFormat="1" applyFont="1" applyFill="1" applyBorder="1" applyAlignment="1">
      <alignment horizontal="center" vertical="center"/>
    </xf>
    <xf numFmtId="1" fontId="32" fillId="12" borderId="1592" xfId="0" applyNumberFormat="1" applyFont="1" applyFill="1" applyBorder="1" applyAlignment="1">
      <alignment horizontal="center" vertical="center"/>
    </xf>
    <xf numFmtId="1" fontId="32" fillId="12" borderId="1737" xfId="0" applyNumberFormat="1" applyFont="1" applyFill="1" applyBorder="1" applyAlignment="1">
      <alignment horizontal="center" vertical="center"/>
    </xf>
    <xf numFmtId="1" fontId="32" fillId="12" borderId="1616" xfId="0" applyNumberFormat="1" applyFont="1" applyFill="1" applyBorder="1" applyAlignment="1">
      <alignment horizontal="center" vertical="center" wrapText="1"/>
    </xf>
    <xf numFmtId="1" fontId="32" fillId="12" borderId="795" xfId="0" applyNumberFormat="1" applyFont="1" applyFill="1" applyBorder="1" applyAlignment="1">
      <alignment horizontal="center" vertical="center" wrapText="1"/>
    </xf>
    <xf numFmtId="1" fontId="32" fillId="12" borderId="1617" xfId="0" applyNumberFormat="1" applyFont="1" applyFill="1" applyBorder="1" applyAlignment="1">
      <alignment horizontal="center" vertical="center" wrapText="1"/>
    </xf>
    <xf numFmtId="1" fontId="32" fillId="12" borderId="1711" xfId="0" applyNumberFormat="1" applyFont="1" applyFill="1" applyBorder="1" applyAlignment="1">
      <alignment horizontal="center" vertical="center" wrapText="1"/>
    </xf>
    <xf numFmtId="1" fontId="32" fillId="12" borderId="1079" xfId="0" applyNumberFormat="1" applyFont="1" applyFill="1" applyBorder="1" applyAlignment="1">
      <alignment horizontal="center" vertical="center" wrapText="1"/>
    </xf>
    <xf numFmtId="1" fontId="32" fillId="12" borderId="1654" xfId="0" applyNumberFormat="1" applyFont="1" applyFill="1" applyBorder="1" applyAlignment="1">
      <alignment horizontal="center" vertical="center" wrapText="1"/>
    </xf>
    <xf numFmtId="1" fontId="32" fillId="12" borderId="1787" xfId="0" applyNumberFormat="1" applyFont="1" applyFill="1" applyBorder="1" applyAlignment="1">
      <alignment horizontal="center" vertical="center" wrapText="1"/>
    </xf>
    <xf numFmtId="1" fontId="32" fillId="12" borderId="1668" xfId="0" applyNumberFormat="1" applyFont="1" applyFill="1" applyBorder="1" applyAlignment="1">
      <alignment horizontal="center" vertical="center" wrapText="1"/>
    </xf>
    <xf numFmtId="1" fontId="32" fillId="12" borderId="1788" xfId="0" applyNumberFormat="1" applyFont="1" applyFill="1" applyBorder="1" applyAlignment="1">
      <alignment horizontal="center" vertical="center" wrapText="1"/>
    </xf>
    <xf numFmtId="1" fontId="32" fillId="0" borderId="982" xfId="0" applyNumberFormat="1" applyFont="1" applyBorder="1" applyAlignment="1">
      <alignment horizontal="center" vertical="center" wrapText="1"/>
    </xf>
    <xf numFmtId="1" fontId="32" fillId="0" borderId="893" xfId="0" applyNumberFormat="1" applyFont="1" applyBorder="1" applyAlignment="1">
      <alignment horizontal="center" vertical="center" wrapText="1"/>
    </xf>
    <xf numFmtId="1" fontId="32" fillId="0" borderId="894" xfId="0" applyNumberFormat="1" applyFont="1" applyBorder="1" applyAlignment="1">
      <alignment horizontal="center" vertical="center" wrapText="1"/>
    </xf>
    <xf numFmtId="1" fontId="32" fillId="14" borderId="239" xfId="0" applyNumberFormat="1" applyFont="1" applyFill="1" applyBorder="1" applyAlignment="1">
      <alignment horizontal="center" vertical="center" wrapText="1"/>
    </xf>
    <xf numFmtId="1" fontId="32" fillId="14" borderId="175" xfId="0" applyNumberFormat="1" applyFont="1" applyFill="1" applyBorder="1" applyAlignment="1">
      <alignment horizontal="center" vertical="center" wrapText="1"/>
    </xf>
    <xf numFmtId="1" fontId="32" fillId="0" borderId="571" xfId="0" applyNumberFormat="1" applyFont="1" applyBorder="1" applyAlignment="1">
      <alignment horizontal="center" vertical="center" wrapText="1"/>
    </xf>
    <xf numFmtId="1" fontId="32" fillId="0" borderId="950" xfId="0" applyNumberFormat="1" applyFont="1" applyBorder="1" applyAlignment="1">
      <alignment horizontal="center" vertical="center" wrapText="1"/>
    </xf>
    <xf numFmtId="1" fontId="32" fillId="0" borderId="985" xfId="0" applyNumberFormat="1" applyFont="1" applyBorder="1" applyAlignment="1">
      <alignment horizontal="center" vertical="center" wrapText="1"/>
    </xf>
    <xf numFmtId="1" fontId="32" fillId="0" borderId="945" xfId="0" applyNumberFormat="1" applyFont="1" applyBorder="1" applyAlignment="1">
      <alignment horizontal="center" vertical="center" wrapText="1"/>
    </xf>
    <xf numFmtId="1" fontId="32" fillId="0" borderId="1200" xfId="0" applyNumberFormat="1" applyFont="1" applyBorder="1" applyAlignment="1">
      <alignment horizontal="center" vertical="center" wrapText="1"/>
    </xf>
    <xf numFmtId="1" fontId="32" fillId="0" borderId="1201" xfId="0" applyNumberFormat="1" applyFont="1" applyBorder="1" applyAlignment="1">
      <alignment horizontal="center" vertical="center" wrapText="1"/>
    </xf>
    <xf numFmtId="1" fontId="32" fillId="12" borderId="1615" xfId="0" applyNumberFormat="1" applyFont="1" applyFill="1" applyBorder="1" applyAlignment="1">
      <alignment horizontal="center" vertical="center" wrapText="1"/>
    </xf>
    <xf numFmtId="1" fontId="32" fillId="12" borderId="1592" xfId="0" applyNumberFormat="1" applyFont="1" applyFill="1" applyBorder="1" applyAlignment="1">
      <alignment horizontal="center" vertical="center" wrapText="1"/>
    </xf>
    <xf numFmtId="1" fontId="32" fillId="12" borderId="1737" xfId="0" applyNumberFormat="1" applyFont="1" applyFill="1" applyBorder="1" applyAlignment="1">
      <alignment horizontal="center" vertical="center" wrapText="1"/>
    </xf>
    <xf numFmtId="1" fontId="32" fillId="12" borderId="1902" xfId="0" applyNumberFormat="1" applyFont="1" applyFill="1" applyBorder="1" applyAlignment="1">
      <alignment horizontal="center" vertical="center" wrapText="1"/>
    </xf>
    <xf numFmtId="1" fontId="32" fillId="12" borderId="1899" xfId="0" applyNumberFormat="1" applyFont="1" applyFill="1" applyBorder="1" applyAlignment="1">
      <alignment horizontal="center" vertical="center" wrapText="1"/>
    </xf>
    <xf numFmtId="1" fontId="32" fillId="12" borderId="1903" xfId="0" applyNumberFormat="1" applyFont="1" applyFill="1" applyBorder="1" applyAlignment="1">
      <alignment horizontal="center" vertical="center" wrapText="1"/>
    </xf>
    <xf numFmtId="1" fontId="32" fillId="12" borderId="1904" xfId="0" applyNumberFormat="1" applyFont="1" applyFill="1" applyBorder="1" applyAlignment="1">
      <alignment horizontal="center" vertical="center" wrapText="1"/>
    </xf>
    <xf numFmtId="1" fontId="32" fillId="12" borderId="510" xfId="0" applyNumberFormat="1" applyFont="1" applyFill="1" applyBorder="1" applyAlignment="1">
      <alignment horizontal="center" vertical="center" wrapText="1"/>
    </xf>
    <xf numFmtId="1" fontId="32" fillId="14" borderId="1736" xfId="0" applyNumberFormat="1" applyFont="1" applyFill="1" applyBorder="1" applyAlignment="1">
      <alignment horizontal="center" vertical="center" wrapText="1"/>
    </xf>
    <xf numFmtId="1" fontId="32" fillId="14" borderId="1736" xfId="0" applyNumberFormat="1" applyFont="1" applyFill="1" applyBorder="1" applyAlignment="1">
      <alignment horizontal="center" vertical="center"/>
    </xf>
    <xf numFmtId="1" fontId="32" fillId="12" borderId="1736" xfId="0" applyNumberFormat="1" applyFont="1" applyFill="1" applyBorder="1" applyAlignment="1">
      <alignment horizontal="center" vertical="center"/>
    </xf>
    <xf numFmtId="1" fontId="32" fillId="3" borderId="2164" xfId="0" applyNumberFormat="1" applyFont="1" applyFill="1" applyBorder="1" applyAlignment="1">
      <alignment horizontal="center" vertical="center" wrapText="1"/>
    </xf>
    <xf numFmtId="1" fontId="32" fillId="3" borderId="363" xfId="0" applyNumberFormat="1" applyFont="1" applyFill="1" applyBorder="1" applyAlignment="1">
      <alignment horizontal="center" vertical="center" wrapText="1"/>
    </xf>
    <xf numFmtId="1" fontId="32" fillId="3" borderId="2226" xfId="0" applyNumberFormat="1" applyFont="1" applyFill="1" applyBorder="1" applyAlignment="1">
      <alignment horizontal="center" vertical="center" wrapText="1"/>
    </xf>
    <xf numFmtId="1" fontId="32" fillId="3" borderId="1592" xfId="0" applyNumberFormat="1" applyFont="1" applyFill="1" applyBorder="1" applyAlignment="1">
      <alignment horizontal="center" vertical="center" wrapText="1"/>
    </xf>
    <xf numFmtId="1" fontId="32" fillId="3" borderId="2184" xfId="0" applyNumberFormat="1" applyFont="1" applyFill="1" applyBorder="1" applyAlignment="1">
      <alignment horizontal="center" vertical="center" wrapText="1"/>
    </xf>
    <xf numFmtId="1" fontId="32" fillId="0" borderId="815" xfId="0" applyNumberFormat="1" applyFont="1" applyBorder="1" applyAlignment="1">
      <alignment horizontal="left" vertical="center" wrapText="1"/>
    </xf>
    <xf numFmtId="1" fontId="32" fillId="0" borderId="812" xfId="0" applyNumberFormat="1" applyFont="1" applyBorder="1" applyAlignment="1">
      <alignment horizontal="left" vertical="center" wrapText="1"/>
    </xf>
    <xf numFmtId="1" fontId="6" fillId="0" borderId="2446" xfId="0" applyNumberFormat="1" applyFont="1" applyBorder="1" applyAlignment="1">
      <alignment wrapText="1"/>
    </xf>
    <xf numFmtId="1" fontId="6" fillId="0" borderId="2411" xfId="0" applyNumberFormat="1" applyFont="1" applyBorder="1" applyAlignment="1">
      <alignment wrapText="1"/>
    </xf>
    <xf numFmtId="1" fontId="32" fillId="0" borderId="2218" xfId="0" applyNumberFormat="1" applyFont="1" applyBorder="1" applyAlignment="1">
      <alignment horizontal="left" vertical="center" wrapText="1"/>
    </xf>
    <xf numFmtId="1" fontId="32" fillId="0" borderId="2219" xfId="0" applyNumberFormat="1" applyFont="1" applyBorder="1" applyAlignment="1">
      <alignment horizontal="left" vertical="center" wrapText="1"/>
    </xf>
    <xf numFmtId="1" fontId="32" fillId="0" borderId="223" xfId="0" applyNumberFormat="1" applyFont="1" applyBorder="1" applyAlignment="1">
      <alignment vertical="center" wrapText="1"/>
    </xf>
    <xf numFmtId="1" fontId="32" fillId="0" borderId="236" xfId="0" applyNumberFormat="1" applyFont="1" applyBorder="1" applyAlignment="1">
      <alignment vertical="center" wrapText="1"/>
    </xf>
    <xf numFmtId="1" fontId="32" fillId="3" borderId="2252" xfId="0" applyNumberFormat="1" applyFont="1" applyFill="1" applyBorder="1" applyAlignment="1">
      <alignment horizontal="center" vertical="center" wrapText="1"/>
    </xf>
    <xf numFmtId="1" fontId="32" fillId="3" borderId="133" xfId="0" applyNumberFormat="1" applyFont="1" applyFill="1" applyBorder="1" applyAlignment="1">
      <alignment horizontal="center" vertical="center" wrapText="1"/>
    </xf>
    <xf numFmtId="1" fontId="32" fillId="3" borderId="2190" xfId="0" applyNumberFormat="1" applyFont="1" applyFill="1" applyBorder="1" applyAlignment="1">
      <alignment horizontal="center" vertical="center" wrapText="1"/>
    </xf>
    <xf numFmtId="1" fontId="32" fillId="14" borderId="293" xfId="0" applyNumberFormat="1" applyFont="1" applyFill="1" applyBorder="1" applyAlignment="1">
      <alignment horizontal="center" vertical="center" wrapText="1"/>
    </xf>
    <xf numFmtId="1" fontId="32" fillId="14" borderId="86" xfId="0" applyNumberFormat="1" applyFont="1" applyFill="1" applyBorder="1" applyAlignment="1">
      <alignment horizontal="center" vertical="center" wrapText="1"/>
    </xf>
    <xf numFmtId="1" fontId="32" fillId="0" borderId="227" xfId="0" applyNumberFormat="1" applyFont="1" applyBorder="1" applyAlignment="1">
      <alignment horizontal="center" vertical="center"/>
    </xf>
    <xf numFmtId="1" fontId="32" fillId="3" borderId="2161" xfId="0" applyNumberFormat="1" applyFont="1" applyFill="1" applyBorder="1" applyAlignment="1">
      <alignment horizontal="center" vertical="center"/>
    </xf>
    <xf numFmtId="1" fontId="32" fillId="3" borderId="2164" xfId="0" applyNumberFormat="1" applyFont="1" applyFill="1" applyBorder="1" applyAlignment="1">
      <alignment horizontal="center" vertical="center"/>
    </xf>
    <xf numFmtId="1" fontId="32" fillId="3" borderId="383" xfId="0" applyNumberFormat="1" applyFont="1" applyFill="1" applyBorder="1" applyAlignment="1">
      <alignment horizontal="center" vertical="center"/>
    </xf>
    <xf numFmtId="1" fontId="32" fillId="3" borderId="363" xfId="0" applyNumberFormat="1" applyFont="1" applyFill="1" applyBorder="1" applyAlignment="1">
      <alignment horizontal="center" vertical="center"/>
    </xf>
    <xf numFmtId="1" fontId="32" fillId="0" borderId="2211" xfId="0" applyNumberFormat="1" applyFont="1" applyBorder="1" applyAlignment="1">
      <alignment horizontal="center" vertical="center" wrapText="1"/>
    </xf>
    <xf numFmtId="1" fontId="32" fillId="0" borderId="2212" xfId="0" applyNumberFormat="1" applyFont="1" applyBorder="1" applyAlignment="1">
      <alignment horizontal="center" vertical="center" wrapText="1"/>
    </xf>
    <xf numFmtId="1" fontId="32" fillId="0" borderId="282" xfId="0" applyNumberFormat="1" applyFont="1" applyBorder="1" applyAlignment="1">
      <alignment horizontal="center" vertical="center" wrapText="1"/>
    </xf>
    <xf numFmtId="1" fontId="78" fillId="0" borderId="1919" xfId="0" applyNumberFormat="1" applyFont="1" applyBorder="1" applyAlignment="1">
      <alignment horizontal="center" vertical="center" wrapText="1"/>
    </xf>
    <xf numFmtId="1" fontId="78" fillId="0" borderId="1903" xfId="0" applyNumberFormat="1" applyFont="1" applyBorder="1" applyAlignment="1">
      <alignment horizontal="center" vertical="center" wrapText="1"/>
    </xf>
    <xf numFmtId="1" fontId="78" fillId="0" borderId="1899" xfId="0" applyNumberFormat="1" applyFont="1" applyBorder="1" applyAlignment="1">
      <alignment horizontal="center" vertical="center" wrapText="1"/>
    </xf>
    <xf numFmtId="1" fontId="32" fillId="0" borderId="2373" xfId="0" applyNumberFormat="1" applyFont="1" applyBorder="1" applyAlignment="1">
      <alignment horizontal="center" vertical="center" wrapText="1"/>
    </xf>
    <xf numFmtId="1" fontId="32" fillId="0" borderId="2240" xfId="0" applyNumberFormat="1" applyFont="1" applyBorder="1" applyAlignment="1">
      <alignment horizontal="center"/>
    </xf>
    <xf numFmtId="1" fontId="32" fillId="0" borderId="2213" xfId="0" applyNumberFormat="1" applyFont="1" applyBorder="1" applyAlignment="1">
      <alignment horizontal="center"/>
    </xf>
    <xf numFmtId="1" fontId="32" fillId="0" borderId="2241" xfId="0" applyNumberFormat="1" applyFont="1" applyBorder="1" applyAlignment="1">
      <alignment horizontal="center"/>
    </xf>
    <xf numFmtId="1" fontId="32" fillId="0" borderId="1171" xfId="0" applyNumberFormat="1" applyFont="1" applyBorder="1" applyAlignment="1">
      <alignment horizontal="center" vertical="center" wrapText="1"/>
    </xf>
    <xf numFmtId="1" fontId="32" fillId="0" borderId="1094" xfId="0" applyNumberFormat="1" applyFont="1" applyBorder="1" applyAlignment="1">
      <alignment horizontal="center" vertical="center" wrapText="1"/>
    </xf>
    <xf numFmtId="1" fontId="32" fillId="0" borderId="1138" xfId="0" applyNumberFormat="1" applyFont="1" applyBorder="1" applyAlignment="1">
      <alignment horizontal="center" vertical="center" wrapText="1"/>
    </xf>
    <xf numFmtId="1" fontId="32" fillId="3" borderId="1022" xfId="0" applyNumberFormat="1" applyFont="1" applyFill="1" applyBorder="1" applyAlignment="1">
      <alignment horizontal="center" vertical="center" wrapText="1"/>
    </xf>
    <xf numFmtId="1" fontId="32" fillId="3" borderId="1088" xfId="0" applyNumberFormat="1" applyFont="1" applyFill="1" applyBorder="1" applyAlignment="1">
      <alignment horizontal="center" vertical="center" wrapText="1"/>
    </xf>
    <xf numFmtId="1" fontId="64" fillId="12" borderId="2406" xfId="0" applyNumberFormat="1" applyFont="1" applyFill="1" applyBorder="1" applyAlignment="1">
      <alignment horizontal="left" vertical="center"/>
    </xf>
    <xf numFmtId="1" fontId="64" fillId="0" borderId="2406" xfId="0" applyNumberFormat="1" applyFont="1" applyBorder="1" applyAlignment="1">
      <alignment horizontal="center" vertical="center"/>
    </xf>
    <xf numFmtId="1" fontId="32" fillId="0" borderId="2330" xfId="0" applyNumberFormat="1" applyFont="1" applyBorder="1" applyAlignment="1">
      <alignment horizontal="center" vertical="center" wrapText="1"/>
    </xf>
    <xf numFmtId="1" fontId="32" fillId="0" borderId="2367" xfId="0" applyNumberFormat="1" applyFont="1" applyBorder="1" applyAlignment="1">
      <alignment horizontal="center" vertical="center" wrapText="1"/>
    </xf>
    <xf numFmtId="1" fontId="32" fillId="0" borderId="2368" xfId="0" applyNumberFormat="1" applyFont="1" applyBorder="1" applyAlignment="1">
      <alignment horizontal="center" vertical="center"/>
    </xf>
    <xf numFmtId="1" fontId="32" fillId="0" borderId="2369" xfId="0" applyNumberFormat="1" applyFont="1" applyBorder="1" applyAlignment="1">
      <alignment horizontal="center" vertical="center"/>
    </xf>
    <xf numFmtId="1" fontId="32" fillId="0" borderId="2370" xfId="0" applyNumberFormat="1" applyFont="1" applyBorder="1" applyAlignment="1">
      <alignment horizontal="center" vertical="center"/>
    </xf>
    <xf numFmtId="1" fontId="32" fillId="14" borderId="2385" xfId="0" applyNumberFormat="1" applyFont="1" applyFill="1" applyBorder="1" applyAlignment="1">
      <alignment horizontal="center" vertical="center" wrapText="1"/>
    </xf>
    <xf numFmtId="1" fontId="32" fillId="14" borderId="2386" xfId="0" applyNumberFormat="1" applyFont="1" applyFill="1" applyBorder="1" applyAlignment="1">
      <alignment horizontal="center" vertical="center" wrapText="1"/>
    </xf>
    <xf numFmtId="1" fontId="32" fillId="14" borderId="347" xfId="0" applyNumberFormat="1" applyFont="1" applyFill="1" applyBorder="1" applyAlignment="1">
      <alignment horizontal="center" vertical="center" wrapText="1"/>
    </xf>
    <xf numFmtId="1" fontId="32" fillId="14" borderId="363" xfId="0" applyNumberFormat="1" applyFont="1" applyFill="1" applyBorder="1" applyAlignment="1">
      <alignment horizontal="center" vertical="center" wrapText="1"/>
    </xf>
    <xf numFmtId="1" fontId="32" fillId="0" borderId="221" xfId="0" applyNumberFormat="1" applyFont="1" applyBorder="1" applyAlignment="1">
      <alignment horizontal="center" vertical="center" wrapText="1"/>
    </xf>
    <xf numFmtId="1" fontId="32" fillId="0" borderId="33" xfId="0" applyNumberFormat="1" applyFont="1" applyBorder="1" applyAlignment="1">
      <alignment horizontal="center" vertical="center" wrapText="1"/>
    </xf>
    <xf numFmtId="1" fontId="32" fillId="0" borderId="142" xfId="0" applyNumberFormat="1" applyFont="1" applyBorder="1" applyAlignment="1">
      <alignment horizontal="center" vertical="center" wrapText="1"/>
    </xf>
    <xf numFmtId="1" fontId="32" fillId="0" borderId="2408" xfId="0" applyNumberFormat="1" applyFont="1" applyBorder="1" applyAlignment="1">
      <alignment horizontal="center" vertical="center" wrapText="1"/>
    </xf>
    <xf numFmtId="1" fontId="32" fillId="0" borderId="2441" xfId="0" applyNumberFormat="1" applyFont="1" applyBorder="1" applyAlignment="1">
      <alignment horizontal="center" vertical="center" wrapText="1"/>
    </xf>
    <xf numFmtId="1" fontId="32" fillId="0" borderId="435" xfId="0" applyNumberFormat="1" applyFont="1" applyBorder="1" applyAlignment="1" applyProtection="1">
      <alignment horizontal="center" vertical="center" wrapText="1"/>
      <protection hidden="1"/>
    </xf>
    <xf numFmtId="1" fontId="32" fillId="0" borderId="440" xfId="0" applyNumberFormat="1" applyFont="1" applyBorder="1" applyAlignment="1" applyProtection="1">
      <alignment horizontal="center" vertical="center" wrapText="1"/>
      <protection hidden="1"/>
    </xf>
    <xf numFmtId="0" fontId="32" fillId="14" borderId="223" xfId="0" applyFont="1" applyFill="1" applyBorder="1" applyAlignment="1">
      <alignment horizontal="center" vertical="center" wrapText="1"/>
    </xf>
    <xf numFmtId="0" fontId="32" fillId="14" borderId="428" xfId="0" applyFont="1" applyFill="1" applyBorder="1" applyAlignment="1">
      <alignment horizontal="center" vertical="center" wrapText="1"/>
    </xf>
    <xf numFmtId="0" fontId="32" fillId="14" borderId="441" xfId="0" applyFont="1" applyFill="1" applyBorder="1" applyAlignment="1">
      <alignment horizontal="center" vertical="center" wrapText="1"/>
    </xf>
    <xf numFmtId="1" fontId="32" fillId="0" borderId="223" xfId="0" applyNumberFormat="1" applyFont="1" applyBorder="1" applyAlignment="1">
      <alignment horizontal="center" vertical="center"/>
    </xf>
    <xf numFmtId="1" fontId="32" fillId="0" borderId="236" xfId="0" applyNumberFormat="1" applyFont="1" applyBorder="1" applyAlignment="1">
      <alignment horizontal="center" vertical="center"/>
    </xf>
    <xf numFmtId="1" fontId="32" fillId="0" borderId="1548" xfId="0" applyNumberFormat="1" applyFont="1" applyBorder="1" applyAlignment="1">
      <alignment horizontal="center" vertical="center" wrapText="1"/>
    </xf>
    <xf numFmtId="1" fontId="32" fillId="0" borderId="850" xfId="0" applyNumberFormat="1" applyFont="1" applyBorder="1" applyAlignment="1">
      <alignment horizontal="center" vertical="center" wrapText="1"/>
    </xf>
    <xf numFmtId="1" fontId="32" fillId="0" borderId="844" xfId="0" applyNumberFormat="1" applyFont="1" applyBorder="1" applyAlignment="1">
      <alignment horizontal="center" vertical="center" wrapText="1"/>
    </xf>
    <xf numFmtId="1" fontId="32" fillId="0" borderId="850" xfId="0" applyNumberFormat="1" applyFont="1" applyBorder="1" applyAlignment="1">
      <alignment horizontal="center" vertical="center"/>
    </xf>
    <xf numFmtId="1" fontId="32" fillId="0" borderId="844" xfId="0" applyNumberFormat="1" applyFont="1" applyBorder="1" applyAlignment="1">
      <alignment horizontal="center" vertical="center"/>
    </xf>
    <xf numFmtId="1" fontId="32" fillId="0" borderId="428" xfId="0" applyNumberFormat="1" applyFont="1" applyBorder="1" applyAlignment="1">
      <alignment horizontal="center" vertical="center"/>
    </xf>
    <xf numFmtId="1" fontId="32" fillId="0" borderId="441" xfId="0" applyNumberFormat="1" applyFont="1" applyBorder="1" applyAlignment="1">
      <alignment horizontal="center" vertical="center"/>
    </xf>
    <xf numFmtId="1" fontId="32" fillId="0" borderId="437" xfId="0" applyNumberFormat="1" applyFont="1" applyBorder="1" applyAlignment="1">
      <alignment horizontal="center" vertical="center" wrapText="1"/>
    </xf>
    <xf numFmtId="1" fontId="32" fillId="0" borderId="449" xfId="0" applyNumberFormat="1" applyFont="1" applyBorder="1" applyAlignment="1">
      <alignment horizontal="center" vertical="center" wrapText="1"/>
    </xf>
    <xf numFmtId="1" fontId="32" fillId="0" borderId="435" xfId="0" applyNumberFormat="1" applyFont="1" applyBorder="1" applyAlignment="1">
      <alignment horizontal="center" vertical="center" wrapText="1"/>
    </xf>
    <xf numFmtId="1" fontId="32" fillId="0" borderId="852" xfId="0" applyNumberFormat="1" applyFont="1" applyBorder="1" applyAlignment="1">
      <alignment horizontal="center" vertical="center"/>
    </xf>
    <xf numFmtId="1" fontId="32" fillId="0" borderId="239" xfId="0" applyNumberFormat="1" applyFont="1" applyBorder="1" applyAlignment="1" applyProtection="1">
      <alignment horizontal="center" vertical="center" wrapText="1"/>
      <protection hidden="1"/>
    </xf>
    <xf numFmtId="1" fontId="32" fillId="0" borderId="240" xfId="0" applyNumberFormat="1" applyFont="1" applyBorder="1" applyAlignment="1" applyProtection="1">
      <alignment horizontal="center" vertical="center" wrapText="1"/>
      <protection hidden="1"/>
    </xf>
    <xf numFmtId="1" fontId="32" fillId="0" borderId="175" xfId="0" applyNumberFormat="1" applyFont="1" applyBorder="1" applyAlignment="1" applyProtection="1">
      <alignment horizontal="center" vertical="center" wrapText="1"/>
      <protection hidden="1"/>
    </xf>
    <xf numFmtId="1" fontId="32" fillId="0" borderId="177" xfId="0" applyNumberFormat="1" applyFont="1" applyBorder="1" applyAlignment="1" applyProtection="1">
      <alignment horizontal="center" vertical="center" wrapText="1"/>
      <protection hidden="1"/>
    </xf>
    <xf numFmtId="0" fontId="0" fillId="14" borderId="732" xfId="0" applyFill="1" applyBorder="1" applyAlignment="1">
      <alignment horizontal="center" vertical="center"/>
    </xf>
    <xf numFmtId="0" fontId="0" fillId="14" borderId="733" xfId="0" applyFill="1" applyBorder="1" applyAlignment="1">
      <alignment horizontal="center" vertical="center"/>
    </xf>
    <xf numFmtId="0" fontId="0" fillId="14" borderId="734" xfId="0" applyFill="1" applyBorder="1" applyAlignment="1">
      <alignment horizontal="center" vertical="center"/>
    </xf>
    <xf numFmtId="1" fontId="32" fillId="0" borderId="942" xfId="0" applyNumberFormat="1" applyFont="1" applyBorder="1" applyAlignment="1">
      <alignment horizontal="center" vertical="center" wrapText="1"/>
    </xf>
    <xf numFmtId="1" fontId="32" fillId="0" borderId="951" xfId="0" applyNumberFormat="1" applyFont="1" applyBorder="1" applyAlignment="1">
      <alignment horizontal="center" vertical="center" wrapText="1"/>
    </xf>
    <xf numFmtId="1" fontId="32" fillId="0" borderId="223" xfId="0" applyNumberFormat="1" applyFont="1" applyBorder="1" applyAlignment="1" applyProtection="1">
      <alignment horizontal="center" vertical="center" wrapText="1"/>
      <protection hidden="1"/>
    </xf>
    <xf numFmtId="1" fontId="32" fillId="0" borderId="236" xfId="0" applyNumberFormat="1" applyFont="1" applyBorder="1" applyAlignment="1" applyProtection="1">
      <alignment horizontal="center" vertical="center" wrapText="1"/>
      <protection hidden="1"/>
    </xf>
    <xf numFmtId="1" fontId="32" fillId="0" borderId="691" xfId="0" applyNumberFormat="1" applyFont="1" applyBorder="1" applyAlignment="1">
      <alignment horizontal="center" vertical="center" wrapText="1"/>
    </xf>
    <xf numFmtId="1" fontId="32" fillId="0" borderId="692" xfId="0" applyNumberFormat="1" applyFont="1" applyBorder="1" applyAlignment="1">
      <alignment horizontal="center" vertical="center" wrapText="1"/>
    </xf>
    <xf numFmtId="1" fontId="32" fillId="0" borderId="689" xfId="0" applyNumberFormat="1" applyFont="1" applyBorder="1" applyAlignment="1">
      <alignment horizontal="center" vertical="center" wrapText="1"/>
    </xf>
    <xf numFmtId="1" fontId="32" fillId="0" borderId="437" xfId="0" applyNumberFormat="1" applyFont="1" applyBorder="1" applyAlignment="1">
      <alignment horizontal="center" vertical="center"/>
    </xf>
    <xf numFmtId="1" fontId="32" fillId="0" borderId="449" xfId="0" applyNumberFormat="1" applyFont="1" applyBorder="1" applyAlignment="1">
      <alignment horizontal="center" vertical="center"/>
    </xf>
    <xf numFmtId="1" fontId="32" fillId="0" borderId="456" xfId="0" applyNumberFormat="1" applyFont="1" applyBorder="1" applyAlignment="1">
      <alignment horizontal="center" vertical="center"/>
    </xf>
    <xf numFmtId="1" fontId="32" fillId="0" borderId="448" xfId="0" applyNumberFormat="1" applyFont="1" applyBorder="1" applyAlignment="1">
      <alignment horizontal="center" vertical="center" wrapText="1"/>
    </xf>
    <xf numFmtId="1" fontId="32" fillId="0" borderId="345" xfId="0" applyNumberFormat="1" applyFont="1" applyBorder="1" applyAlignment="1">
      <alignment horizontal="center" vertical="center" wrapText="1"/>
    </xf>
    <xf numFmtId="1" fontId="32" fillId="0" borderId="851" xfId="0" applyNumberFormat="1" applyFont="1" applyBorder="1" applyAlignment="1">
      <alignment horizontal="center" vertical="center" wrapText="1"/>
    </xf>
    <xf numFmtId="1" fontId="32" fillId="0" borderId="852" xfId="0" applyNumberFormat="1" applyFont="1" applyBorder="1" applyAlignment="1">
      <alignment horizontal="center" vertical="center" wrapText="1"/>
    </xf>
    <xf numFmtId="1" fontId="32" fillId="0" borderId="2418" xfId="0" applyNumberFormat="1" applyFont="1" applyBorder="1" applyAlignment="1">
      <alignment horizontal="left" vertical="center" wrapText="1"/>
    </xf>
    <xf numFmtId="1" fontId="32" fillId="0" borderId="2436" xfId="0" applyNumberFormat="1" applyFont="1" applyBorder="1" applyAlignment="1">
      <alignment horizontal="left" vertical="center" wrapText="1"/>
    </xf>
    <xf numFmtId="1" fontId="32" fillId="0" borderId="241" xfId="0" applyNumberFormat="1" applyFont="1" applyBorder="1" applyAlignment="1" applyProtection="1">
      <alignment horizontal="center" vertical="center"/>
      <protection hidden="1"/>
    </xf>
    <xf numFmtId="1" fontId="32" fillId="0" borderId="240" xfId="0" applyNumberFormat="1" applyFont="1" applyBorder="1" applyAlignment="1" applyProtection="1">
      <alignment horizontal="center" vertical="center"/>
      <protection hidden="1"/>
    </xf>
    <xf numFmtId="1" fontId="32" fillId="0" borderId="416" xfId="0" applyNumberFormat="1" applyFont="1" applyBorder="1" applyAlignment="1" applyProtection="1">
      <alignment horizontal="center" vertical="center"/>
      <protection hidden="1"/>
    </xf>
    <xf numFmtId="1" fontId="32" fillId="0" borderId="68" xfId="0" applyNumberFormat="1" applyFont="1" applyBorder="1" applyAlignment="1" applyProtection="1">
      <alignment horizontal="center" vertical="center"/>
      <protection hidden="1"/>
    </xf>
    <xf numFmtId="1" fontId="32" fillId="0" borderId="238" xfId="0" applyNumberFormat="1" applyFont="1" applyBorder="1" applyAlignment="1" applyProtection="1">
      <alignment horizontal="center" vertical="center"/>
      <protection hidden="1"/>
    </xf>
    <xf numFmtId="1" fontId="32" fillId="0" borderId="177" xfId="0" applyNumberFormat="1" applyFont="1" applyBorder="1" applyAlignment="1" applyProtection="1">
      <alignment horizontal="center" vertical="center"/>
      <protection hidden="1"/>
    </xf>
    <xf numFmtId="1" fontId="32" fillId="0" borderId="241" xfId="0" applyNumberFormat="1" applyFont="1" applyBorder="1" applyAlignment="1" applyProtection="1">
      <alignment horizontal="center" vertical="center" wrapText="1"/>
      <protection hidden="1"/>
    </xf>
    <xf numFmtId="1" fontId="32" fillId="0" borderId="238" xfId="0" applyNumberFormat="1" applyFont="1" applyBorder="1" applyAlignment="1" applyProtection="1">
      <alignment horizontal="center" vertical="center" wrapText="1"/>
      <protection hidden="1"/>
    </xf>
    <xf numFmtId="1" fontId="32" fillId="0" borderId="1137" xfId="0" applyNumberFormat="1" applyFont="1" applyBorder="1" applyAlignment="1">
      <alignment horizontal="center" vertical="center" wrapText="1"/>
    </xf>
    <xf numFmtId="1" fontId="32" fillId="0" borderId="1096" xfId="0" applyNumberFormat="1" applyFont="1" applyBorder="1" applyAlignment="1">
      <alignment horizontal="center" vertical="center" wrapText="1"/>
    </xf>
    <xf numFmtId="1" fontId="32" fillId="0" borderId="454" xfId="0" applyNumberFormat="1" applyFont="1" applyBorder="1" applyAlignment="1" applyProtection="1">
      <alignment horizontal="center" vertical="center" wrapText="1"/>
      <protection hidden="1"/>
    </xf>
    <xf numFmtId="1" fontId="32" fillId="0" borderId="221" xfId="0" applyNumberFormat="1" applyFont="1" applyBorder="1" applyAlignment="1" applyProtection="1">
      <alignment horizontal="center" vertical="center" wrapText="1"/>
      <protection hidden="1"/>
    </xf>
    <xf numFmtId="1" fontId="32" fillId="0" borderId="142" xfId="0" applyNumberFormat="1" applyFont="1" applyBorder="1" applyAlignment="1" applyProtection="1">
      <alignment horizontal="center" vertical="center" wrapText="1"/>
      <protection hidden="1"/>
    </xf>
    <xf numFmtId="1" fontId="32" fillId="0" borderId="1304" xfId="0" applyNumberFormat="1" applyFont="1" applyBorder="1" applyAlignment="1" applyProtection="1">
      <alignment horizontal="center" vertical="center" wrapText="1"/>
      <protection hidden="1"/>
    </xf>
    <xf numFmtId="1" fontId="32" fillId="0" borderId="1305" xfId="0" applyNumberFormat="1" applyFont="1" applyBorder="1" applyAlignment="1" applyProtection="1">
      <alignment horizontal="center" vertical="center" wrapText="1"/>
      <protection hidden="1"/>
    </xf>
    <xf numFmtId="1" fontId="32" fillId="14" borderId="455" xfId="0" applyNumberFormat="1" applyFont="1" applyFill="1" applyBorder="1" applyAlignment="1">
      <alignment horizontal="center" vertical="center" wrapText="1"/>
    </xf>
    <xf numFmtId="1" fontId="32" fillId="14" borderId="82" xfId="0" applyNumberFormat="1" applyFont="1" applyFill="1" applyBorder="1" applyAlignment="1">
      <alignment horizontal="center" vertical="center" wrapText="1"/>
    </xf>
    <xf numFmtId="1" fontId="64" fillId="3" borderId="449" xfId="0" applyNumberFormat="1" applyFont="1" applyFill="1" applyBorder="1" applyAlignment="1" applyProtection="1">
      <alignment horizontal="left" wrapText="1"/>
      <protection hidden="1"/>
    </xf>
    <xf numFmtId="1" fontId="32" fillId="0" borderId="1615" xfId="0" applyNumberFormat="1" applyFont="1" applyBorder="1" applyAlignment="1" applyProtection="1">
      <alignment horizontal="center" vertical="center" wrapText="1"/>
      <protection hidden="1"/>
    </xf>
    <xf numFmtId="1" fontId="32" fillId="0" borderId="1688" xfId="0" applyNumberFormat="1" applyFont="1" applyBorder="1" applyAlignment="1" applyProtection="1">
      <alignment horizontal="center" vertical="center" wrapText="1"/>
      <protection hidden="1"/>
    </xf>
    <xf numFmtId="1" fontId="32" fillId="0" borderId="950" xfId="0" applyNumberFormat="1" applyFont="1" applyBorder="1" applyAlignment="1" applyProtection="1">
      <alignment horizontal="center" vertical="center" wrapText="1"/>
      <protection hidden="1"/>
    </xf>
    <xf numFmtId="1" fontId="32" fillId="0" borderId="942" xfId="0" applyNumberFormat="1" applyFont="1" applyBorder="1" applyAlignment="1" applyProtection="1">
      <alignment horizontal="center" vertical="center" wrapText="1"/>
      <protection hidden="1"/>
    </xf>
    <xf numFmtId="1" fontId="32" fillId="0" borderId="951" xfId="0" applyNumberFormat="1" applyFont="1" applyBorder="1" applyAlignment="1" applyProtection="1">
      <alignment horizontal="center" vertical="center" wrapText="1"/>
      <protection hidden="1"/>
    </xf>
    <xf numFmtId="1" fontId="32" fillId="0" borderId="2204" xfId="0" applyNumberFormat="1" applyFont="1" applyBorder="1" applyAlignment="1">
      <alignment horizontal="center" vertical="center" wrapText="1"/>
    </xf>
    <xf numFmtId="1" fontId="32" fillId="0" borderId="2161" xfId="0" applyNumberFormat="1" applyFont="1" applyBorder="1" applyAlignment="1">
      <alignment horizontal="center" vertical="center"/>
    </xf>
    <xf numFmtId="1" fontId="32" fillId="0" borderId="2164" xfId="0" applyNumberFormat="1" applyFont="1" applyBorder="1" applyAlignment="1">
      <alignment horizontal="center" vertical="center"/>
    </xf>
    <xf numFmtId="1" fontId="32" fillId="0" borderId="573" xfId="0" applyNumberFormat="1" applyFont="1" applyBorder="1" applyAlignment="1">
      <alignment horizontal="center" vertical="center" wrapText="1"/>
    </xf>
    <xf numFmtId="1" fontId="32" fillId="0" borderId="1646" xfId="0" applyNumberFormat="1" applyFont="1" applyBorder="1" applyAlignment="1">
      <alignment horizontal="center" vertical="center"/>
    </xf>
    <xf numFmtId="1" fontId="32" fillId="0" borderId="1688" xfId="0" applyNumberFormat="1" applyFont="1" applyBorder="1" applyAlignment="1">
      <alignment horizontal="center" vertical="center"/>
    </xf>
    <xf numFmtId="1" fontId="32" fillId="0" borderId="1670" xfId="0" applyNumberFormat="1" applyFont="1" applyBorder="1" applyAlignment="1">
      <alignment horizontal="center" vertical="center"/>
    </xf>
    <xf numFmtId="1" fontId="32" fillId="0" borderId="1668" xfId="0" applyNumberFormat="1" applyFont="1" applyBorder="1" applyAlignment="1">
      <alignment horizontal="center" vertical="center"/>
    </xf>
    <xf numFmtId="1" fontId="32" fillId="0" borderId="1667" xfId="0" applyNumberFormat="1" applyFont="1" applyBorder="1" applyAlignment="1">
      <alignment horizontal="center" vertical="center"/>
    </xf>
    <xf numFmtId="1" fontId="32" fillId="3" borderId="440" xfId="0" applyNumberFormat="1" applyFont="1" applyFill="1" applyBorder="1" applyAlignment="1">
      <alignment horizontal="center" vertical="center" wrapText="1"/>
    </xf>
    <xf numFmtId="1" fontId="32" fillId="0" borderId="241" xfId="0" applyNumberFormat="1" applyFont="1" applyBorder="1" applyAlignment="1">
      <alignment horizontal="center" vertical="center"/>
    </xf>
    <xf numFmtId="1" fontId="32" fillId="0" borderId="242" xfId="0" applyNumberFormat="1" applyFont="1" applyBorder="1" applyAlignment="1">
      <alignment horizontal="center" vertical="center" wrapText="1"/>
    </xf>
    <xf numFmtId="1" fontId="32" fillId="0" borderId="152" xfId="0" applyNumberFormat="1" applyFont="1" applyBorder="1" applyAlignment="1">
      <alignment horizontal="center" vertical="center" wrapText="1"/>
    </xf>
    <xf numFmtId="1" fontId="32" fillId="0" borderId="437" xfId="0" applyNumberFormat="1" applyFont="1" applyBorder="1" applyAlignment="1" applyProtection="1">
      <alignment horizontal="center" vertical="center" wrapText="1"/>
      <protection hidden="1"/>
    </xf>
    <xf numFmtId="1" fontId="32" fillId="0" borderId="1351" xfId="0" applyNumberFormat="1" applyFont="1" applyBorder="1" applyAlignment="1">
      <alignment horizontal="center" vertical="center" wrapText="1"/>
    </xf>
    <xf numFmtId="1" fontId="32" fillId="0" borderId="1520" xfId="0" applyNumberFormat="1" applyFont="1" applyBorder="1" applyAlignment="1">
      <alignment horizontal="center" vertical="center" wrapText="1"/>
    </xf>
    <xf numFmtId="1" fontId="6" fillId="0" borderId="2407" xfId="0" applyNumberFormat="1" applyFont="1" applyBorder="1" applyAlignment="1">
      <alignment horizontal="center" vertical="center" wrapText="1"/>
    </xf>
    <xf numFmtId="1" fontId="6" fillId="0" borderId="2408" xfId="0" applyNumberFormat="1" applyFont="1" applyBorder="1" applyAlignment="1">
      <alignment horizontal="center" vertical="center"/>
    </xf>
    <xf numFmtId="1" fontId="6" fillId="0" borderId="2441" xfId="0" applyNumberFormat="1" applyFont="1" applyBorder="1" applyAlignment="1">
      <alignment horizontal="center" vertical="center"/>
    </xf>
    <xf numFmtId="1" fontId="6" fillId="0" borderId="2405" xfId="0" applyNumberFormat="1" applyFont="1" applyBorder="1" applyAlignment="1">
      <alignment horizontal="center" vertical="center" wrapText="1"/>
    </xf>
    <xf numFmtId="1" fontId="6" fillId="0" borderId="2406" xfId="0" applyNumberFormat="1" applyFont="1" applyBorder="1" applyAlignment="1">
      <alignment horizontal="center" vertical="center" wrapText="1"/>
    </xf>
    <xf numFmtId="1" fontId="6" fillId="0" borderId="2445" xfId="0" applyNumberFormat="1" applyFont="1" applyBorder="1" applyAlignment="1">
      <alignment horizontal="center" vertical="center" wrapText="1"/>
    </xf>
    <xf numFmtId="1" fontId="6" fillId="0" borderId="2440" xfId="0" applyNumberFormat="1" applyFont="1" applyBorder="1" applyAlignment="1">
      <alignment horizontal="center" vertical="center" wrapText="1"/>
    </xf>
    <xf numFmtId="1" fontId="6" fillId="0" borderId="2418" xfId="0" applyNumberFormat="1" applyFont="1" applyBorder="1" applyAlignment="1">
      <alignment horizontal="center" vertical="center" wrapText="1"/>
    </xf>
    <xf numFmtId="1" fontId="6" fillId="0" borderId="2435" xfId="0" applyNumberFormat="1" applyFont="1" applyBorder="1" applyAlignment="1">
      <alignment horizontal="center" vertical="center" wrapText="1"/>
    </xf>
    <xf numFmtId="1" fontId="32" fillId="0" borderId="2407" xfId="0" applyNumberFormat="1" applyFont="1" applyBorder="1" applyAlignment="1">
      <alignment horizontal="center" vertical="center" wrapText="1"/>
    </xf>
    <xf numFmtId="1" fontId="32" fillId="0" borderId="2439" xfId="0" applyNumberFormat="1" applyFont="1" applyBorder="1" applyAlignment="1">
      <alignment horizontal="center" vertical="center" wrapText="1"/>
    </xf>
    <xf numFmtId="1" fontId="4" fillId="0" borderId="2440" xfId="0" applyNumberFormat="1" applyFont="1" applyBorder="1" applyAlignment="1">
      <alignment horizontal="left"/>
    </xf>
    <xf numFmtId="1" fontId="32" fillId="0" borderId="849" xfId="0" applyNumberFormat="1" applyFont="1" applyBorder="1" applyAlignment="1">
      <alignment horizontal="center" vertical="center" wrapText="1"/>
    </xf>
    <xf numFmtId="1" fontId="6" fillId="0" borderId="2408" xfId="0" applyNumberFormat="1" applyFont="1" applyBorder="1" applyAlignment="1">
      <alignment horizontal="center" vertical="center" wrapText="1"/>
    </xf>
    <xf numFmtId="1" fontId="6" fillId="0" borderId="2441" xfId="0" applyNumberFormat="1" applyFont="1" applyBorder="1" applyAlignment="1">
      <alignment horizontal="center" vertical="center" wrapText="1"/>
    </xf>
    <xf numFmtId="1" fontId="6" fillId="0" borderId="2446" xfId="0" applyNumberFormat="1" applyFont="1" applyBorder="1" applyAlignment="1">
      <alignment horizontal="left" vertical="center" wrapText="1"/>
    </xf>
    <xf numFmtId="1" fontId="6" fillId="0" borderId="2411" xfId="0" applyNumberFormat="1" applyFont="1" applyBorder="1" applyAlignment="1">
      <alignment horizontal="left" vertical="center" wrapText="1"/>
    </xf>
    <xf numFmtId="1" fontId="6" fillId="0" borderId="2445" xfId="0" applyNumberFormat="1" applyFont="1" applyBorder="1" applyAlignment="1">
      <alignment horizontal="left" vertical="center" wrapText="1"/>
    </xf>
    <xf numFmtId="1" fontId="6" fillId="0" borderId="2439" xfId="0" applyNumberFormat="1" applyFont="1" applyBorder="1" applyAlignment="1">
      <alignment horizontal="left" vertical="center" wrapText="1"/>
    </xf>
    <xf numFmtId="1" fontId="6" fillId="0" borderId="2436" xfId="0" applyNumberFormat="1" applyFont="1" applyBorder="1" applyAlignment="1">
      <alignment horizontal="center" vertical="center" wrapText="1"/>
    </xf>
    <xf numFmtId="1" fontId="6" fillId="0" borderId="2418" xfId="0" applyNumberFormat="1" applyFont="1" applyBorder="1" applyAlignment="1">
      <alignment horizontal="center" vertical="center"/>
    </xf>
    <xf numFmtId="1" fontId="6" fillId="0" borderId="2436" xfId="0" applyNumberFormat="1" applyFont="1" applyBorder="1" applyAlignment="1">
      <alignment horizontal="center" vertical="center"/>
    </xf>
    <xf numFmtId="1" fontId="6" fillId="0" borderId="2374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871" xfId="0" applyNumberFormat="1" applyFont="1" applyBorder="1" applyAlignment="1">
      <alignment horizontal="center" vertical="center" wrapText="1"/>
    </xf>
    <xf numFmtId="1" fontId="6" fillId="0" borderId="849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26" xfId="0" applyNumberFormat="1" applyFont="1" applyBorder="1" applyAlignment="1">
      <alignment horizontal="center" vertical="center" wrapText="1"/>
    </xf>
    <xf numFmtId="1" fontId="6" fillId="14" borderId="795" xfId="0" applyNumberFormat="1" applyFont="1" applyFill="1" applyBorder="1" applyAlignment="1">
      <alignment horizontal="center" vertical="center" wrapText="1"/>
    </xf>
    <xf numFmtId="1" fontId="6" fillId="14" borderId="849" xfId="0" applyNumberFormat="1" applyFont="1" applyFill="1" applyBorder="1" applyAlignment="1">
      <alignment horizontal="center" vertical="center" wrapText="1"/>
    </xf>
    <xf numFmtId="1" fontId="6" fillId="14" borderId="0" xfId="0" applyNumberFormat="1" applyFont="1" applyFill="1" applyAlignment="1">
      <alignment horizontal="center" vertical="center" wrapText="1"/>
    </xf>
    <xf numFmtId="1" fontId="6" fillId="14" borderId="510" xfId="0" applyNumberFormat="1" applyFont="1" applyFill="1" applyBorder="1" applyAlignment="1">
      <alignment horizontal="center" vertical="center" wrapText="1"/>
    </xf>
    <xf numFmtId="1" fontId="6" fillId="0" borderId="76" xfId="0" applyNumberFormat="1" applyFont="1" applyBorder="1" applyAlignment="1">
      <alignment horizontal="center" vertical="center" wrapText="1"/>
    </xf>
    <xf numFmtId="1" fontId="6" fillId="0" borderId="64" xfId="0" applyNumberFormat="1" applyFont="1" applyBorder="1" applyAlignment="1">
      <alignment horizontal="center" vertical="center" wrapText="1"/>
    </xf>
    <xf numFmtId="1" fontId="6" fillId="0" borderId="74" xfId="0" applyNumberFormat="1" applyFont="1" applyBorder="1" applyAlignment="1">
      <alignment horizontal="center" vertical="center" wrapText="1"/>
    </xf>
    <xf numFmtId="1" fontId="6" fillId="0" borderId="682" xfId="0" applyNumberFormat="1" applyFont="1" applyBorder="1" applyAlignment="1">
      <alignment horizontal="left" vertical="center"/>
    </xf>
    <xf numFmtId="1" fontId="6" fillId="0" borderId="812" xfId="0" applyNumberFormat="1" applyFont="1" applyBorder="1" applyAlignment="1">
      <alignment horizontal="left" vertical="center"/>
    </xf>
    <xf numFmtId="1" fontId="6" fillId="0" borderId="3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1" fontId="6" fillId="0" borderId="26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49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left" vertical="center"/>
    </xf>
    <xf numFmtId="1" fontId="6" fillId="0" borderId="5" xfId="0" applyNumberFormat="1" applyFont="1" applyBorder="1" applyAlignment="1">
      <alignment horizontal="left" vertical="center"/>
    </xf>
    <xf numFmtId="1" fontId="6" fillId="0" borderId="50" xfId="0" applyNumberFormat="1" applyFont="1" applyBorder="1" applyAlignment="1">
      <alignment horizontal="left" vertical="center"/>
    </xf>
    <xf numFmtId="1" fontId="6" fillId="0" borderId="139" xfId="0" applyNumberFormat="1" applyFont="1" applyBorder="1" applyAlignment="1">
      <alignment horizontal="center" vertical="center" wrapText="1"/>
    </xf>
    <xf numFmtId="1" fontId="6" fillId="0" borderId="144" xfId="0" applyNumberFormat="1" applyFont="1" applyBorder="1" applyAlignment="1">
      <alignment horizontal="center" vertical="center" wrapText="1"/>
    </xf>
    <xf numFmtId="1" fontId="6" fillId="0" borderId="986" xfId="0" applyNumberFormat="1" applyFont="1" applyBorder="1" applyAlignment="1">
      <alignment horizontal="center" vertical="center" wrapText="1"/>
    </xf>
    <xf numFmtId="1" fontId="6" fillId="0" borderId="984" xfId="0" applyNumberFormat="1" applyFont="1" applyBorder="1" applyAlignment="1">
      <alignment horizontal="center" vertical="center" wrapText="1"/>
    </xf>
    <xf numFmtId="1" fontId="6" fillId="0" borderId="51" xfId="0" applyNumberFormat="1" applyFont="1" applyBorder="1" applyAlignment="1">
      <alignment horizontal="left" vertical="center"/>
    </xf>
    <xf numFmtId="1" fontId="6" fillId="0" borderId="31" xfId="0" applyNumberFormat="1" applyFont="1" applyBorder="1" applyAlignment="1">
      <alignment horizontal="left" vertical="center"/>
    </xf>
    <xf numFmtId="1" fontId="6" fillId="0" borderId="40" xfId="0" applyNumberFormat="1" applyFont="1" applyBorder="1" applyAlignment="1">
      <alignment horizontal="left" vertical="center" shrinkToFit="1"/>
    </xf>
    <xf numFmtId="1" fontId="6" fillId="0" borderId="50" xfId="0" applyNumberFormat="1" applyFont="1" applyBorder="1" applyAlignment="1">
      <alignment horizontal="left" vertical="center" shrinkToFit="1"/>
    </xf>
    <xf numFmtId="1" fontId="6" fillId="14" borderId="2110" xfId="0" applyNumberFormat="1" applyFont="1" applyFill="1" applyBorder="1" applyAlignment="1">
      <alignment horizontal="center" vertical="center" wrapText="1"/>
    </xf>
    <xf numFmtId="1" fontId="6" fillId="14" borderId="2109" xfId="0" applyNumberFormat="1" applyFont="1" applyFill="1" applyBorder="1" applyAlignment="1">
      <alignment horizontal="center" vertical="center" wrapText="1"/>
    </xf>
    <xf numFmtId="1" fontId="6" fillId="14" borderId="1926" xfId="0" applyNumberFormat="1" applyFont="1" applyFill="1" applyBorder="1" applyAlignment="1">
      <alignment horizontal="center" vertical="center" wrapText="1"/>
    </xf>
    <xf numFmtId="1" fontId="6" fillId="14" borderId="1927" xfId="0" applyNumberFormat="1" applyFont="1" applyFill="1" applyBorder="1" applyAlignment="1">
      <alignment horizontal="center" vertical="center" wrapText="1"/>
    </xf>
    <xf numFmtId="1" fontId="6" fillId="14" borderId="1884" xfId="0" applyNumberFormat="1" applyFont="1" applyFill="1" applyBorder="1" applyAlignment="1">
      <alignment horizontal="center" vertical="center" wrapText="1"/>
    </xf>
    <xf numFmtId="1" fontId="6" fillId="14" borderId="2110" xfId="0" applyNumberFormat="1" applyFont="1" applyFill="1" applyBorder="1" applyAlignment="1">
      <alignment horizontal="center" vertical="center"/>
    </xf>
    <xf numFmtId="1" fontId="6" fillId="14" borderId="795" xfId="0" applyNumberFormat="1" applyFont="1" applyFill="1" applyBorder="1" applyAlignment="1">
      <alignment horizontal="center" vertical="center"/>
    </xf>
    <xf numFmtId="1" fontId="6" fillId="14" borderId="2109" xfId="0" applyNumberFormat="1" applyFont="1" applyFill="1" applyBorder="1" applyAlignment="1">
      <alignment horizontal="center" vertical="center"/>
    </xf>
    <xf numFmtId="1" fontId="6" fillId="14" borderId="1926" xfId="0" applyNumberFormat="1" applyFont="1" applyFill="1" applyBorder="1" applyAlignment="1">
      <alignment horizontal="center" vertical="center"/>
    </xf>
    <xf numFmtId="1" fontId="6" fillId="14" borderId="1927" xfId="0" applyNumberFormat="1" applyFont="1" applyFill="1" applyBorder="1" applyAlignment="1">
      <alignment horizontal="center" vertical="center"/>
    </xf>
    <xf numFmtId="1" fontId="6" fillId="14" borderId="1884" xfId="0" applyNumberFormat="1" applyFont="1" applyFill="1" applyBorder="1" applyAlignment="1">
      <alignment horizontal="center" vertical="center"/>
    </xf>
    <xf numFmtId="1" fontId="6" fillId="0" borderId="2110" xfId="0" applyNumberFormat="1" applyFont="1" applyBorder="1" applyAlignment="1">
      <alignment horizontal="center" vertical="center" wrapText="1"/>
    </xf>
    <xf numFmtId="1" fontId="6" fillId="0" borderId="1926" xfId="0" applyNumberFormat="1" applyFont="1" applyBorder="1" applyAlignment="1">
      <alignment horizontal="center" vertical="center" wrapText="1"/>
    </xf>
    <xf numFmtId="1" fontId="13" fillId="0" borderId="106" xfId="0" applyNumberFormat="1" applyFont="1" applyBorder="1" applyAlignment="1">
      <alignment horizontal="center" vertical="center"/>
    </xf>
    <xf numFmtId="1" fontId="13" fillId="0" borderId="49" xfId="0" applyNumberFormat="1" applyFont="1" applyBorder="1" applyAlignment="1">
      <alignment horizontal="center" vertical="center"/>
    </xf>
    <xf numFmtId="1" fontId="13" fillId="0" borderId="77" xfId="0" applyNumberFormat="1" applyFont="1" applyBorder="1" applyAlignment="1">
      <alignment horizontal="center" wrapText="1"/>
    </xf>
    <xf numFmtId="1" fontId="13" fillId="0" borderId="107" xfId="0" applyNumberFormat="1" applyFont="1" applyBorder="1" applyAlignment="1">
      <alignment horizontal="center" wrapText="1"/>
    </xf>
    <xf numFmtId="1" fontId="41" fillId="0" borderId="0" xfId="0" applyNumberFormat="1" applyFont="1" applyAlignment="1">
      <alignment horizontal="left" vertical="center" wrapText="1"/>
    </xf>
    <xf numFmtId="1" fontId="41" fillId="0" borderId="49" xfId="0" applyNumberFormat="1" applyFont="1" applyBorder="1" applyAlignment="1">
      <alignment horizontal="left" vertical="center" wrapText="1"/>
    </xf>
    <xf numFmtId="1" fontId="2" fillId="3" borderId="0" xfId="0" applyNumberFormat="1" applyFont="1" applyFill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850" xfId="0" applyNumberFormat="1" applyFont="1" applyBorder="1" applyAlignment="1">
      <alignment horizontal="center" vertical="center"/>
    </xf>
    <xf numFmtId="1" fontId="6" fillId="0" borderId="851" xfId="0" applyNumberFormat="1" applyFont="1" applyBorder="1" applyAlignment="1">
      <alignment horizontal="center" vertical="center"/>
    </xf>
    <xf numFmtId="1" fontId="6" fillId="0" borderId="852" xfId="0" applyNumberFormat="1" applyFont="1" applyBorder="1" applyAlignment="1">
      <alignment horizontal="center" vertical="center"/>
    </xf>
    <xf numFmtId="1" fontId="13" fillId="0" borderId="6" xfId="0" applyNumberFormat="1" applyFont="1" applyBorder="1" applyAlignment="1">
      <alignment horizontal="center" vertical="center" wrapText="1"/>
    </xf>
    <xf numFmtId="1" fontId="13" fillId="0" borderId="8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/>
    </xf>
    <xf numFmtId="1" fontId="6" fillId="0" borderId="37" xfId="0" applyNumberFormat="1" applyFont="1" applyBorder="1" applyAlignment="1">
      <alignment horizontal="center" vertical="center"/>
    </xf>
    <xf numFmtId="1" fontId="6" fillId="0" borderId="24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 wrapText="1"/>
    </xf>
    <xf numFmtId="1" fontId="6" fillId="14" borderId="2092" xfId="0" applyNumberFormat="1" applyFont="1" applyFill="1" applyBorder="1" applyAlignment="1">
      <alignment horizontal="center" vertical="center" wrapText="1"/>
    </xf>
    <xf numFmtId="1" fontId="6" fillId="0" borderId="2210" xfId="0" applyNumberFormat="1" applyFont="1" applyBorder="1" applyAlignment="1">
      <alignment horizontal="center" vertical="center" wrapText="1"/>
    </xf>
    <xf numFmtId="1" fontId="6" fillId="0" borderId="2164" xfId="0" applyNumberFormat="1" applyFont="1" applyBorder="1" applyAlignment="1">
      <alignment horizontal="center" vertical="center" wrapText="1"/>
    </xf>
    <xf numFmtId="1" fontId="6" fillId="0" borderId="383" xfId="0" applyNumberFormat="1" applyFont="1" applyBorder="1" applyAlignment="1">
      <alignment horizontal="center" vertical="center" wrapText="1"/>
    </xf>
    <xf numFmtId="1" fontId="6" fillId="16" borderId="2110" xfId="0" applyNumberFormat="1" applyFont="1" applyFill="1" applyBorder="1" applyAlignment="1">
      <alignment horizontal="center" vertical="center" wrapText="1"/>
    </xf>
    <xf numFmtId="1" fontId="6" fillId="16" borderId="2109" xfId="0" applyNumberFormat="1" applyFont="1" applyFill="1" applyBorder="1" applyAlignment="1">
      <alignment horizontal="center" vertical="center" wrapText="1"/>
    </xf>
    <xf numFmtId="1" fontId="6" fillId="16" borderId="1926" xfId="0" applyNumberFormat="1" applyFont="1" applyFill="1" applyBorder="1" applyAlignment="1">
      <alignment horizontal="center" vertical="center" wrapText="1"/>
    </xf>
    <xf numFmtId="1" fontId="6" fillId="16" borderId="1884" xfId="0" applyNumberFormat="1" applyFont="1" applyFill="1" applyBorder="1" applyAlignment="1">
      <alignment horizontal="center" vertical="center" wrapText="1"/>
    </xf>
    <xf numFmtId="1" fontId="6" fillId="0" borderId="2092" xfId="0" applyNumberFormat="1" applyFont="1" applyBorder="1" applyAlignment="1">
      <alignment horizontal="center" vertical="center" wrapText="1"/>
    </xf>
    <xf numFmtId="1" fontId="6" fillId="0" borderId="1887" xfId="0" applyNumberFormat="1" applyFont="1" applyBorder="1" applyAlignment="1">
      <alignment horizontal="center" vertical="center" wrapText="1"/>
    </xf>
    <xf numFmtId="1" fontId="13" fillId="0" borderId="224" xfId="0" applyNumberFormat="1" applyFont="1" applyBorder="1" applyAlignment="1">
      <alignment horizontal="center" vertical="center"/>
    </xf>
    <xf numFmtId="1" fontId="13" fillId="0" borderId="225" xfId="0" applyNumberFormat="1" applyFont="1" applyBorder="1" applyAlignment="1">
      <alignment horizontal="center" vertical="center"/>
    </xf>
    <xf numFmtId="1" fontId="13" fillId="0" borderId="227" xfId="0" applyNumberFormat="1" applyFont="1" applyBorder="1" applyAlignment="1">
      <alignment horizontal="center" vertical="center"/>
    </xf>
    <xf numFmtId="1" fontId="6" fillId="0" borderId="282" xfId="0" applyNumberFormat="1" applyFont="1" applyBorder="1" applyAlignment="1">
      <alignment horizontal="center" vertical="center" wrapText="1"/>
    </xf>
    <xf numFmtId="1" fontId="6" fillId="0" borderId="241" xfId="0" applyNumberFormat="1" applyFont="1" applyBorder="1" applyAlignment="1">
      <alignment horizontal="center" vertical="center"/>
    </xf>
    <xf numFmtId="1" fontId="6" fillId="0" borderId="238" xfId="0" applyNumberFormat="1" applyFont="1" applyBorder="1" applyAlignment="1">
      <alignment horizontal="center" vertical="center"/>
    </xf>
    <xf numFmtId="1" fontId="6" fillId="0" borderId="177" xfId="0" applyNumberFormat="1" applyFont="1" applyBorder="1" applyAlignment="1">
      <alignment horizontal="center" vertical="center"/>
    </xf>
    <xf numFmtId="1" fontId="6" fillId="0" borderId="2049" xfId="0" applyNumberFormat="1" applyFont="1" applyBorder="1" applyAlignment="1">
      <alignment horizontal="center" vertical="center"/>
    </xf>
    <xf numFmtId="1" fontId="6" fillId="0" borderId="2051" xfId="0" applyNumberFormat="1" applyFont="1" applyBorder="1" applyAlignment="1">
      <alignment horizontal="center" vertical="center"/>
    </xf>
    <xf numFmtId="1" fontId="6" fillId="0" borderId="225" xfId="0" applyNumberFormat="1" applyFont="1" applyBorder="1" applyAlignment="1">
      <alignment horizontal="center" vertical="center" wrapText="1"/>
    </xf>
    <xf numFmtId="1" fontId="6" fillId="0" borderId="2050" xfId="0" applyNumberFormat="1" applyFont="1" applyBorder="1" applyAlignment="1">
      <alignment horizontal="center" vertical="center"/>
    </xf>
    <xf numFmtId="1" fontId="6" fillId="0" borderId="1670" xfId="0" applyNumberFormat="1" applyFont="1" applyBorder="1" applyAlignment="1">
      <alignment horizontal="center" vertical="center"/>
    </xf>
    <xf numFmtId="1" fontId="6" fillId="0" borderId="1668" xfId="0" applyNumberFormat="1" applyFont="1" applyBorder="1" applyAlignment="1">
      <alignment horizontal="center" vertical="center"/>
    </xf>
    <xf numFmtId="1" fontId="6" fillId="0" borderId="1671" xfId="0" applyNumberFormat="1" applyFont="1" applyBorder="1" applyAlignment="1">
      <alignment horizontal="center" vertical="center"/>
    </xf>
    <xf numFmtId="1" fontId="6" fillId="0" borderId="1552" xfId="0" applyNumberFormat="1" applyFont="1" applyBorder="1" applyAlignment="1">
      <alignment horizontal="center" wrapText="1"/>
    </xf>
    <xf numFmtId="1" fontId="6" fillId="0" borderId="1553" xfId="0" applyNumberFormat="1" applyFont="1" applyBorder="1" applyAlignment="1">
      <alignment horizontal="center" wrapText="1"/>
    </xf>
    <xf numFmtId="1" fontId="6" fillId="0" borderId="1557" xfId="0" applyNumberFormat="1" applyFont="1" applyBorder="1" applyAlignment="1">
      <alignment horizontal="center" wrapText="1"/>
    </xf>
    <xf numFmtId="1" fontId="6" fillId="0" borderId="2049" xfId="0" applyNumberFormat="1" applyFont="1" applyBorder="1" applyAlignment="1">
      <alignment horizontal="center" vertical="center" wrapText="1"/>
    </xf>
    <xf numFmtId="1" fontId="6" fillId="0" borderId="2050" xfId="0" applyNumberFormat="1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left" vertical="center" wrapText="1"/>
    </xf>
    <xf numFmtId="1" fontId="6" fillId="0" borderId="21" xfId="0" applyNumberFormat="1" applyFont="1" applyBorder="1" applyAlignment="1">
      <alignment horizontal="left" vertical="center" wrapText="1"/>
    </xf>
    <xf numFmtId="1" fontId="6" fillId="0" borderId="40" xfId="0" applyNumberFormat="1" applyFont="1" applyBorder="1" applyAlignment="1">
      <alignment horizontal="left" vertical="center" wrapText="1"/>
    </xf>
    <xf numFmtId="1" fontId="6" fillId="0" borderId="50" xfId="0" applyNumberFormat="1" applyFont="1" applyBorder="1" applyAlignment="1">
      <alignment horizontal="left" vertical="center" wrapText="1"/>
    </xf>
    <xf numFmtId="1" fontId="6" fillId="0" borderId="950" xfId="0" applyNumberFormat="1" applyFont="1" applyBorder="1" applyAlignment="1">
      <alignment horizontal="center" vertical="center" wrapText="1"/>
    </xf>
    <xf numFmtId="1" fontId="6" fillId="0" borderId="942" xfId="0" applyNumberFormat="1" applyFont="1" applyBorder="1" applyAlignment="1">
      <alignment horizontal="center" vertical="center" wrapText="1"/>
    </xf>
    <xf numFmtId="1" fontId="6" fillId="0" borderId="951" xfId="0" applyNumberFormat="1" applyFont="1" applyBorder="1" applyAlignment="1">
      <alignment horizontal="center" vertical="center" wrapText="1"/>
    </xf>
    <xf numFmtId="1" fontId="6" fillId="0" borderId="833" xfId="0" applyNumberFormat="1" applyFont="1" applyBorder="1" applyAlignment="1">
      <alignment horizontal="center" vertical="center" wrapText="1"/>
    </xf>
    <xf numFmtId="1" fontId="6" fillId="0" borderId="1307" xfId="0" applyNumberFormat="1" applyFont="1" applyBorder="1" applyAlignment="1">
      <alignment horizontal="center" vertical="center" wrapText="1"/>
    </xf>
    <xf numFmtId="1" fontId="6" fillId="0" borderId="282" xfId="0" applyNumberFormat="1" applyFont="1" applyBorder="1" applyAlignment="1">
      <alignment horizontal="center" vertical="center"/>
    </xf>
    <xf numFmtId="1" fontId="6" fillId="3" borderId="1558" xfId="0" applyNumberFormat="1" applyFont="1" applyFill="1" applyBorder="1" applyAlignment="1">
      <alignment horizontal="center" vertical="center"/>
    </xf>
    <xf numFmtId="1" fontId="6" fillId="3" borderId="1557" xfId="0" applyNumberFormat="1" applyFont="1" applyFill="1" applyBorder="1" applyAlignment="1">
      <alignment horizontal="center" vertical="center"/>
    </xf>
    <xf numFmtId="1" fontId="6" fillId="0" borderId="2389" xfId="0" applyNumberFormat="1" applyFont="1" applyBorder="1" applyAlignment="1">
      <alignment horizontal="center" vertical="center" wrapText="1"/>
    </xf>
    <xf numFmtId="1" fontId="6" fillId="0" borderId="2386" xfId="0" applyNumberFormat="1" applyFont="1" applyBorder="1" applyAlignment="1">
      <alignment horizontal="center" vertical="center" wrapText="1"/>
    </xf>
    <xf numFmtId="1" fontId="6" fillId="0" borderId="2346" xfId="0" applyNumberFormat="1" applyFont="1" applyBorder="1" applyAlignment="1">
      <alignment horizontal="center" vertical="center" wrapText="1"/>
    </xf>
    <xf numFmtId="1" fontId="6" fillId="0" borderId="2185" xfId="0" applyNumberFormat="1" applyFont="1" applyBorder="1" applyAlignment="1">
      <alignment horizontal="center" vertical="center" wrapText="1"/>
    </xf>
    <xf numFmtId="1" fontId="6" fillId="3" borderId="239" xfId="0" applyNumberFormat="1" applyFont="1" applyFill="1" applyBorder="1" applyAlignment="1">
      <alignment horizontal="center" vertical="center" wrapText="1"/>
    </xf>
    <xf numFmtId="1" fontId="6" fillId="3" borderId="240" xfId="0" applyNumberFormat="1" applyFont="1" applyFill="1" applyBorder="1" applyAlignment="1">
      <alignment horizontal="center" vertical="center" wrapText="1"/>
    </xf>
    <xf numFmtId="1" fontId="6" fillId="3" borderId="175" xfId="0" applyNumberFormat="1" applyFont="1" applyFill="1" applyBorder="1" applyAlignment="1">
      <alignment horizontal="center" vertical="center" wrapText="1"/>
    </xf>
    <xf numFmtId="1" fontId="6" fillId="3" borderId="177" xfId="0" applyNumberFormat="1" applyFont="1" applyFill="1" applyBorder="1" applyAlignment="1">
      <alignment horizontal="center" vertical="center" wrapText="1"/>
    </xf>
    <xf numFmtId="1" fontId="6" fillId="0" borderId="2083" xfId="0" applyNumberFormat="1" applyFont="1" applyBorder="1" applyAlignment="1">
      <alignment horizontal="center" vertical="center" wrapText="1"/>
    </xf>
    <xf numFmtId="1" fontId="6" fillId="0" borderId="2083" xfId="0" applyNumberFormat="1" applyFont="1" applyBorder="1" applyAlignment="1">
      <alignment horizontal="center" vertical="center"/>
    </xf>
    <xf numFmtId="1" fontId="6" fillId="0" borderId="2211" xfId="0" applyNumberFormat="1" applyFont="1" applyBorder="1" applyAlignment="1">
      <alignment horizontal="center" vertical="center"/>
    </xf>
    <xf numFmtId="1" fontId="6" fillId="0" borderId="2212" xfId="0" applyNumberFormat="1" applyFont="1" applyBorder="1" applyAlignment="1">
      <alignment horizontal="center" vertical="center"/>
    </xf>
    <xf numFmtId="1" fontId="6" fillId="0" borderId="799" xfId="0" applyNumberFormat="1" applyFont="1" applyBorder="1" applyAlignment="1">
      <alignment horizontal="center" vertical="center" wrapText="1"/>
    </xf>
    <xf numFmtId="1" fontId="6" fillId="0" borderId="1404" xfId="0" applyNumberFormat="1" applyFont="1" applyBorder="1" applyAlignment="1">
      <alignment horizontal="center" vertical="center" wrapText="1"/>
    </xf>
    <xf numFmtId="1" fontId="6" fillId="0" borderId="1929" xfId="0" applyNumberFormat="1" applyFont="1" applyBorder="1" applyAlignment="1">
      <alignment horizontal="center" vertical="center"/>
    </xf>
    <xf numFmtId="1" fontId="6" fillId="0" borderId="239" xfId="0" applyNumberFormat="1" applyFont="1" applyBorder="1" applyAlignment="1">
      <alignment horizontal="center" vertical="center"/>
    </xf>
    <xf numFmtId="1" fontId="6" fillId="0" borderId="175" xfId="0" applyNumberFormat="1" applyFont="1" applyBorder="1" applyAlignment="1">
      <alignment horizontal="center" vertical="center"/>
    </xf>
    <xf numFmtId="1" fontId="6" fillId="3" borderId="224" xfId="0" applyNumberFormat="1" applyFont="1" applyFill="1" applyBorder="1" applyAlignment="1">
      <alignment horizontal="center" vertical="center"/>
    </xf>
    <xf numFmtId="1" fontId="6" fillId="3" borderId="225" xfId="0" applyNumberFormat="1" applyFont="1" applyFill="1" applyBorder="1" applyAlignment="1">
      <alignment horizontal="center" vertical="center"/>
    </xf>
    <xf numFmtId="1" fontId="6" fillId="3" borderId="226" xfId="0" applyNumberFormat="1" applyFont="1" applyFill="1" applyBorder="1" applyAlignment="1">
      <alignment horizontal="center" vertical="center"/>
    </xf>
    <xf numFmtId="1" fontId="6" fillId="0" borderId="226" xfId="0" applyNumberFormat="1" applyFont="1" applyBorder="1" applyAlignment="1">
      <alignment horizontal="center" vertical="center" wrapText="1"/>
    </xf>
    <xf numFmtId="1" fontId="6" fillId="0" borderId="242" xfId="0" applyNumberFormat="1" applyFont="1" applyBorder="1" applyAlignment="1">
      <alignment horizontal="center" vertical="center" wrapText="1"/>
    </xf>
    <xf numFmtId="1" fontId="6" fillId="0" borderId="152" xfId="0" applyNumberFormat="1" applyFont="1" applyBorder="1" applyAlignment="1">
      <alignment horizontal="center" vertical="center" wrapText="1"/>
    </xf>
    <xf numFmtId="1" fontId="6" fillId="0" borderId="1309" xfId="0" applyNumberFormat="1" applyFont="1" applyBorder="1" applyAlignment="1">
      <alignment horizontal="center" vertical="center" wrapText="1"/>
    </xf>
    <xf numFmtId="1" fontId="6" fillId="0" borderId="1551" xfId="0" applyNumberFormat="1" applyFont="1" applyBorder="1" applyAlignment="1">
      <alignment horizontal="center" vertical="center" wrapText="1"/>
    </xf>
    <xf numFmtId="1" fontId="6" fillId="0" borderId="1548" xfId="0" applyNumberFormat="1" applyFont="1" applyBorder="1" applyAlignment="1">
      <alignment horizontal="center" vertical="center" wrapText="1"/>
    </xf>
    <xf numFmtId="1" fontId="6" fillId="3" borderId="1552" xfId="0" applyNumberFormat="1" applyFont="1" applyFill="1" applyBorder="1" applyAlignment="1">
      <alignment horizontal="center"/>
    </xf>
    <xf numFmtId="1" fontId="6" fillId="3" borderId="1557" xfId="0" applyNumberFormat="1" applyFont="1" applyFill="1" applyBorder="1" applyAlignment="1">
      <alignment horizontal="center"/>
    </xf>
    <xf numFmtId="1" fontId="6" fillId="0" borderId="2016" xfId="0" applyNumberFormat="1" applyFont="1" applyBorder="1" applyAlignment="1">
      <alignment horizontal="center" vertical="center"/>
    </xf>
    <xf numFmtId="1" fontId="6" fillId="0" borderId="2015" xfId="0" applyNumberFormat="1" applyFont="1" applyBorder="1" applyAlignment="1">
      <alignment horizontal="center" vertical="center"/>
    </xf>
    <xf numFmtId="1" fontId="6" fillId="0" borderId="2014" xfId="0" applyNumberFormat="1" applyFont="1" applyBorder="1" applyAlignment="1">
      <alignment horizontal="center" vertical="center"/>
    </xf>
    <xf numFmtId="1" fontId="6" fillId="0" borderId="2016" xfId="0" applyNumberFormat="1" applyFont="1" applyBorder="1" applyAlignment="1">
      <alignment horizontal="center" vertical="center" wrapText="1"/>
    </xf>
    <xf numFmtId="1" fontId="6" fillId="0" borderId="2015" xfId="0" applyNumberFormat="1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left" vertical="center"/>
    </xf>
    <xf numFmtId="1" fontId="6" fillId="0" borderId="21" xfId="0" applyNumberFormat="1" applyFont="1" applyBorder="1" applyAlignment="1">
      <alignment horizontal="left" vertical="center"/>
    </xf>
    <xf numFmtId="1" fontId="6" fillId="0" borderId="262" xfId="0" applyNumberFormat="1" applyFont="1" applyBorder="1" applyAlignment="1">
      <alignment horizontal="center" wrapText="1"/>
    </xf>
    <xf numFmtId="1" fontId="6" fillId="0" borderId="237" xfId="0" applyNumberFormat="1" applyFont="1" applyBorder="1" applyAlignment="1">
      <alignment horizontal="center" vertical="center" wrapText="1"/>
    </xf>
    <xf numFmtId="1" fontId="6" fillId="0" borderId="136" xfId="0" applyNumberFormat="1" applyFont="1" applyBorder="1" applyAlignment="1">
      <alignment horizontal="center" vertical="center" wrapText="1"/>
    </xf>
    <xf numFmtId="1" fontId="6" fillId="0" borderId="222" xfId="0" applyNumberFormat="1" applyFont="1" applyBorder="1" applyAlignment="1">
      <alignment horizontal="center" vertical="center" wrapText="1"/>
    </xf>
    <xf numFmtId="1" fontId="6" fillId="0" borderId="143" xfId="0" applyNumberFormat="1" applyFont="1" applyBorder="1" applyAlignment="1">
      <alignment horizontal="center" vertical="center" wrapText="1"/>
    </xf>
    <xf numFmtId="1" fontId="6" fillId="0" borderId="221" xfId="0" applyNumberFormat="1" applyFont="1" applyBorder="1" applyAlignment="1">
      <alignment horizontal="center" vertical="center" wrapText="1"/>
    </xf>
    <xf numFmtId="1" fontId="6" fillId="0" borderId="142" xfId="0" applyNumberFormat="1" applyFont="1" applyBorder="1" applyAlignment="1">
      <alignment horizontal="center" vertical="center" wrapText="1"/>
    </xf>
    <xf numFmtId="1" fontId="6" fillId="0" borderId="2084" xfId="0" applyNumberFormat="1" applyFont="1" applyBorder="1" applyAlignment="1">
      <alignment horizontal="center" vertical="center"/>
    </xf>
    <xf numFmtId="1" fontId="6" fillId="0" borderId="2373" xfId="0" applyNumberFormat="1" applyFont="1" applyBorder="1" applyAlignment="1">
      <alignment horizontal="center" vertical="center"/>
    </xf>
    <xf numFmtId="1" fontId="6" fillId="0" borderId="2381" xfId="0" applyNumberFormat="1" applyFont="1" applyBorder="1" applyAlignment="1">
      <alignment horizontal="center" vertical="center"/>
    </xf>
    <xf numFmtId="1" fontId="6" fillId="0" borderId="2381" xfId="0" applyNumberFormat="1" applyFont="1" applyBorder="1" applyAlignment="1">
      <alignment horizontal="center" vertical="center" wrapText="1"/>
    </xf>
    <xf numFmtId="1" fontId="4" fillId="0" borderId="2435" xfId="0" applyNumberFormat="1" applyFont="1" applyBorder="1" applyAlignment="1">
      <alignment horizontal="left"/>
    </xf>
    <xf numFmtId="1" fontId="6" fillId="0" borderId="2405" xfId="0" applyNumberFormat="1" applyFont="1" applyBorder="1" applyAlignment="1">
      <alignment horizontal="center" vertical="center"/>
    </xf>
    <xf numFmtId="1" fontId="6" fillId="0" borderId="416" xfId="0" applyNumberFormat="1" applyFont="1" applyBorder="1" applyAlignment="1">
      <alignment horizontal="center" vertical="center"/>
    </xf>
    <xf numFmtId="1" fontId="6" fillId="0" borderId="2396" xfId="0" applyNumberFormat="1" applyFont="1" applyBorder="1" applyAlignment="1">
      <alignment horizontal="center" vertical="center"/>
    </xf>
    <xf numFmtId="1" fontId="6" fillId="0" borderId="2396" xfId="0" applyNumberFormat="1" applyFont="1" applyBorder="1" applyAlignment="1">
      <alignment horizontal="center" vertical="center" wrapText="1"/>
    </xf>
    <xf numFmtId="1" fontId="6" fillId="0" borderId="1927" xfId="0" applyNumberFormat="1" applyFont="1" applyBorder="1" applyAlignment="1">
      <alignment horizontal="center" vertical="center" wrapText="1"/>
    </xf>
    <xf numFmtId="1" fontId="6" fillId="0" borderId="1423" xfId="0" applyNumberFormat="1" applyFont="1" applyBorder="1" applyAlignment="1">
      <alignment horizontal="center" vertical="center"/>
    </xf>
    <xf numFmtId="1" fontId="6" fillId="0" borderId="887" xfId="0" applyNumberFormat="1" applyFont="1" applyBorder="1" applyAlignment="1">
      <alignment horizontal="center" vertical="center"/>
    </xf>
    <xf numFmtId="1" fontId="6" fillId="0" borderId="1412" xfId="0" applyNumberFormat="1" applyFont="1" applyBorder="1" applyAlignment="1">
      <alignment horizontal="center" vertical="center"/>
    </xf>
    <xf numFmtId="1" fontId="6" fillId="0" borderId="1406" xfId="0" applyNumberFormat="1" applyFont="1" applyBorder="1" applyAlignment="1">
      <alignment horizontal="center" vertical="center"/>
    </xf>
    <xf numFmtId="1" fontId="6" fillId="0" borderId="226" xfId="0" applyNumberFormat="1" applyFont="1" applyBorder="1" applyAlignment="1">
      <alignment horizontal="center" vertical="center"/>
    </xf>
    <xf numFmtId="1" fontId="6" fillId="0" borderId="1211" xfId="0" applyNumberFormat="1" applyFont="1" applyBorder="1" applyAlignment="1">
      <alignment horizontal="center" vertical="center" wrapText="1"/>
    </xf>
    <xf numFmtId="1" fontId="6" fillId="0" borderId="1212" xfId="0" applyNumberFormat="1" applyFont="1" applyBorder="1" applyAlignment="1">
      <alignment horizontal="center" vertical="center" wrapText="1"/>
    </xf>
    <xf numFmtId="1" fontId="6" fillId="0" borderId="1047" xfId="0" applyNumberFormat="1" applyFont="1" applyBorder="1" applyAlignment="1">
      <alignment horizontal="center" vertical="center" wrapText="1"/>
    </xf>
    <xf numFmtId="1" fontId="6" fillId="0" borderId="884" xfId="0" applyNumberFormat="1" applyFont="1" applyBorder="1" applyAlignment="1">
      <alignment horizontal="center" vertical="center" wrapText="1"/>
    </xf>
    <xf numFmtId="1" fontId="6" fillId="0" borderId="1005" xfId="0" applyNumberFormat="1" applyFont="1" applyBorder="1" applyAlignment="1">
      <alignment horizontal="center" vertical="center" wrapText="1"/>
    </xf>
    <xf numFmtId="1" fontId="6" fillId="0" borderId="1006" xfId="0" applyNumberFormat="1" applyFont="1" applyBorder="1" applyAlignment="1">
      <alignment horizontal="center" vertical="center" wrapText="1"/>
    </xf>
    <xf numFmtId="1" fontId="6" fillId="0" borderId="269" xfId="0" applyNumberFormat="1" applyFont="1" applyBorder="1" applyAlignment="1">
      <alignment horizontal="center" vertical="center" wrapText="1"/>
    </xf>
    <xf numFmtId="1" fontId="6" fillId="0" borderId="2213" xfId="0" applyNumberFormat="1" applyFont="1" applyBorder="1" applyAlignment="1">
      <alignment horizontal="center" vertical="center"/>
    </xf>
    <xf numFmtId="1" fontId="6" fillId="0" borderId="267" xfId="0" applyNumberFormat="1" applyFont="1" applyBorder="1" applyAlignment="1">
      <alignment horizontal="left" vertical="center"/>
    </xf>
    <xf numFmtId="1" fontId="6" fillId="0" borderId="256" xfId="0" applyNumberFormat="1" applyFont="1" applyBorder="1" applyAlignment="1">
      <alignment horizontal="left" vertical="center"/>
    </xf>
    <xf numFmtId="1" fontId="6" fillId="0" borderId="2218" xfId="0" applyNumberFormat="1" applyFont="1" applyBorder="1" applyAlignment="1">
      <alignment horizontal="left" vertical="center" wrapText="1"/>
    </xf>
    <xf numFmtId="1" fontId="6" fillId="0" borderId="2219" xfId="0" applyNumberFormat="1" applyFont="1" applyBorder="1" applyAlignment="1">
      <alignment horizontal="left" vertical="center" wrapText="1"/>
    </xf>
    <xf numFmtId="1" fontId="6" fillId="0" borderId="383" xfId="0" applyNumberFormat="1" applyFont="1" applyBorder="1" applyAlignment="1">
      <alignment horizontal="left" vertical="center"/>
    </xf>
    <xf numFmtId="1" fontId="6" fillId="0" borderId="363" xfId="0" applyNumberFormat="1" applyFont="1" applyBorder="1" applyAlignment="1">
      <alignment horizontal="left" vertical="center"/>
    </xf>
    <xf numFmtId="1" fontId="6" fillId="14" borderId="2408" xfId="0" applyNumberFormat="1" applyFont="1" applyFill="1" applyBorder="1" applyAlignment="1">
      <alignment horizontal="center" vertical="center"/>
    </xf>
    <xf numFmtId="1" fontId="6" fillId="14" borderId="2394" xfId="0" applyNumberFormat="1" applyFont="1" applyFill="1" applyBorder="1" applyAlignment="1">
      <alignment horizontal="center" vertical="center"/>
    </xf>
    <xf numFmtId="1" fontId="6" fillId="0" borderId="2387" xfId="0" applyNumberFormat="1" applyFont="1" applyBorder="1" applyAlignment="1">
      <alignment horizontal="center" vertical="center"/>
    </xf>
    <xf numFmtId="1" fontId="6" fillId="0" borderId="1673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6" fillId="0" borderId="1654" xfId="0" applyNumberFormat="1" applyFont="1" applyBorder="1" applyAlignment="1">
      <alignment horizontal="center" vertical="center"/>
    </xf>
    <xf numFmtId="1" fontId="6" fillId="0" borderId="1665" xfId="0" applyNumberFormat="1" applyFont="1" applyBorder="1" applyAlignment="1">
      <alignment horizontal="center" vertical="center"/>
    </xf>
    <xf numFmtId="1" fontId="6" fillId="3" borderId="241" xfId="0" applyNumberFormat="1" applyFont="1" applyFill="1" applyBorder="1" applyAlignment="1">
      <alignment horizontal="center" vertical="center"/>
    </xf>
    <xf numFmtId="1" fontId="6" fillId="3" borderId="239" xfId="0" applyNumberFormat="1" applyFont="1" applyFill="1" applyBorder="1" applyAlignment="1">
      <alignment horizontal="center" vertical="center"/>
    </xf>
    <xf numFmtId="1" fontId="6" fillId="3" borderId="240" xfId="0" applyNumberFormat="1" applyFont="1" applyFill="1" applyBorder="1" applyAlignment="1">
      <alignment horizontal="center" vertical="center"/>
    </xf>
    <xf numFmtId="1" fontId="6" fillId="3" borderId="238" xfId="0" applyNumberFormat="1" applyFont="1" applyFill="1" applyBorder="1" applyAlignment="1">
      <alignment horizontal="center" vertical="center"/>
    </xf>
    <xf numFmtId="1" fontId="6" fillId="3" borderId="175" xfId="0" applyNumberFormat="1" applyFont="1" applyFill="1" applyBorder="1" applyAlignment="1">
      <alignment horizontal="center" vertical="center"/>
    </xf>
    <xf numFmtId="1" fontId="6" fillId="3" borderId="177" xfId="0" applyNumberFormat="1" applyFont="1" applyFill="1" applyBorder="1" applyAlignment="1">
      <alignment horizontal="center" vertical="center"/>
    </xf>
    <xf numFmtId="1" fontId="6" fillId="0" borderId="2211" xfId="0" applyNumberFormat="1" applyFont="1" applyBorder="1" applyAlignment="1">
      <alignment horizontal="center" vertical="center" wrapText="1"/>
    </xf>
    <xf numFmtId="1" fontId="6" fillId="0" borderId="2212" xfId="0" applyNumberFormat="1" applyFont="1" applyBorder="1" applyAlignment="1">
      <alignment horizontal="center" vertical="center" wrapText="1"/>
    </xf>
    <xf numFmtId="1" fontId="6" fillId="0" borderId="2211" xfId="0" quotePrefix="1" applyNumberFormat="1" applyFont="1" applyBorder="1" applyAlignment="1">
      <alignment horizontal="center" vertical="center" wrapText="1"/>
    </xf>
    <xf numFmtId="1" fontId="6" fillId="0" borderId="1556" xfId="0" applyNumberFormat="1" applyFont="1" applyBorder="1" applyAlignment="1">
      <alignment horizontal="center" vertical="center" wrapText="1"/>
    </xf>
    <xf numFmtId="1" fontId="6" fillId="3" borderId="1304" xfId="0" applyNumberFormat="1" applyFont="1" applyFill="1" applyBorder="1" applyAlignment="1">
      <alignment horizontal="center" vertical="center" wrapText="1"/>
    </xf>
    <xf numFmtId="1" fontId="6" fillId="3" borderId="1249" xfId="0" applyNumberFormat="1" applyFont="1" applyFill="1" applyBorder="1" applyAlignment="1">
      <alignment horizontal="center" vertical="center" wrapText="1"/>
    </xf>
    <xf numFmtId="1" fontId="6" fillId="3" borderId="1404" xfId="0" applyNumberFormat="1" applyFont="1" applyFill="1" applyBorder="1" applyAlignment="1">
      <alignment horizontal="center" vertical="center" wrapText="1"/>
    </xf>
    <xf numFmtId="1" fontId="6" fillId="3" borderId="241" xfId="0" applyNumberFormat="1" applyFont="1" applyFill="1" applyBorder="1" applyAlignment="1" applyProtection="1">
      <alignment horizontal="center" vertical="center"/>
      <protection locked="0"/>
    </xf>
    <xf numFmtId="1" fontId="6" fillId="3" borderId="239" xfId="0" applyNumberFormat="1" applyFont="1" applyFill="1" applyBorder="1" applyAlignment="1" applyProtection="1">
      <alignment horizontal="center" vertical="center"/>
      <protection locked="0"/>
    </xf>
    <xf numFmtId="1" fontId="6" fillId="3" borderId="240" xfId="0" applyNumberFormat="1" applyFont="1" applyFill="1" applyBorder="1" applyAlignment="1" applyProtection="1">
      <alignment horizontal="center" vertical="center"/>
      <protection locked="0"/>
    </xf>
    <xf numFmtId="1" fontId="6" fillId="3" borderId="238" xfId="0" applyNumberFormat="1" applyFont="1" applyFill="1" applyBorder="1" applyAlignment="1" applyProtection="1">
      <alignment horizontal="center" vertical="center"/>
      <protection locked="0"/>
    </xf>
    <xf numFmtId="1" fontId="6" fillId="3" borderId="175" xfId="0" applyNumberFormat="1" applyFont="1" applyFill="1" applyBorder="1" applyAlignment="1" applyProtection="1">
      <alignment horizontal="center" vertical="center"/>
      <protection locked="0"/>
    </xf>
    <xf numFmtId="1" fontId="6" fillId="3" borderId="177" xfId="0" applyNumberFormat="1" applyFont="1" applyFill="1" applyBorder="1" applyAlignment="1" applyProtection="1">
      <alignment horizontal="center" vertical="center"/>
      <protection locked="0"/>
    </xf>
    <xf numFmtId="1" fontId="6" fillId="3" borderId="224" xfId="0" applyNumberFormat="1" applyFont="1" applyFill="1" applyBorder="1" applyAlignment="1">
      <alignment horizontal="center"/>
    </xf>
    <xf numFmtId="1" fontId="6" fillId="3" borderId="225" xfId="0" applyNumberFormat="1" applyFont="1" applyFill="1" applyBorder="1" applyAlignment="1">
      <alignment horizontal="center"/>
    </xf>
    <xf numFmtId="1" fontId="6" fillId="3" borderId="227" xfId="0" applyNumberFormat="1" applyFont="1" applyFill="1" applyBorder="1" applyAlignment="1">
      <alignment horizontal="center"/>
    </xf>
    <xf numFmtId="1" fontId="6" fillId="0" borderId="2210" xfId="0" applyNumberFormat="1" applyFont="1" applyBorder="1" applyAlignment="1">
      <alignment horizontal="center" vertical="center"/>
    </xf>
    <xf numFmtId="1" fontId="6" fillId="0" borderId="2164" xfId="0" applyNumberFormat="1" applyFont="1" applyBorder="1" applyAlignment="1">
      <alignment horizontal="center" vertical="center"/>
    </xf>
    <xf numFmtId="1" fontId="6" fillId="0" borderId="383" xfId="0" applyNumberFormat="1" applyFont="1" applyBorder="1" applyAlignment="1">
      <alignment horizontal="center" vertical="center"/>
    </xf>
    <xf numFmtId="1" fontId="6" fillId="0" borderId="363" xfId="0" applyNumberFormat="1" applyFont="1" applyBorder="1" applyAlignment="1">
      <alignment horizontal="center" vertical="center"/>
    </xf>
    <xf numFmtId="1" fontId="4" fillId="0" borderId="2453" xfId="0" applyNumberFormat="1" applyFont="1" applyBorder="1" applyAlignment="1">
      <alignment horizontal="left"/>
    </xf>
    <xf numFmtId="1" fontId="6" fillId="0" borderId="286" xfId="0" applyNumberFormat="1" applyFont="1" applyBorder="1" applyAlignment="1">
      <alignment horizontal="left" vertical="center" wrapText="1"/>
    </xf>
    <xf numFmtId="1" fontId="6" fillId="0" borderId="268" xfId="0" applyNumberFormat="1" applyFont="1" applyBorder="1" applyAlignment="1">
      <alignment horizontal="left" vertical="center" wrapText="1"/>
    </xf>
    <xf numFmtId="1" fontId="13" fillId="3" borderId="224" xfId="0" applyNumberFormat="1" applyFont="1" applyFill="1" applyBorder="1" applyAlignment="1">
      <alignment horizontal="center" vertical="center"/>
    </xf>
    <xf numFmtId="1" fontId="13" fillId="3" borderId="225" xfId="0" applyNumberFormat="1" applyFont="1" applyFill="1" applyBorder="1" applyAlignment="1">
      <alignment horizontal="center" vertical="center"/>
    </xf>
    <xf numFmtId="1" fontId="13" fillId="3" borderId="227" xfId="0" applyNumberFormat="1" applyFont="1" applyFill="1" applyBorder="1" applyAlignment="1">
      <alignment horizontal="center" vertical="center"/>
    </xf>
    <xf numFmtId="1" fontId="6" fillId="3" borderId="226" xfId="0" applyNumberFormat="1" applyFont="1" applyFill="1" applyBorder="1" applyAlignment="1">
      <alignment horizontal="center"/>
    </xf>
    <xf numFmtId="1" fontId="6" fillId="0" borderId="1563" xfId="0" applyNumberFormat="1" applyFont="1" applyBorder="1" applyAlignment="1">
      <alignment horizontal="center" vertical="center"/>
    </xf>
    <xf numFmtId="1" fontId="6" fillId="0" borderId="1416" xfId="0" applyNumberFormat="1" applyFont="1" applyBorder="1" applyAlignment="1">
      <alignment horizontal="center" vertical="center" wrapText="1"/>
    </xf>
    <xf numFmtId="1" fontId="6" fillId="0" borderId="1417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38" fillId="0" borderId="377" xfId="0" applyFont="1" applyBorder="1"/>
    <xf numFmtId="0" fontId="38" fillId="0" borderId="0" xfId="0" applyFont="1"/>
    <xf numFmtId="1" fontId="6" fillId="0" borderId="510" xfId="0" applyNumberFormat="1" applyFont="1" applyBorder="1" applyAlignment="1">
      <alignment horizontal="center" vertical="center"/>
    </xf>
    <xf numFmtId="1" fontId="6" fillId="0" borderId="1927" xfId="0" applyNumberFormat="1" applyFont="1" applyBorder="1" applyAlignment="1">
      <alignment horizontal="center" vertical="center"/>
    </xf>
    <xf numFmtId="1" fontId="6" fillId="0" borderId="1884" xfId="0" applyNumberFormat="1" applyFont="1" applyBorder="1" applyAlignment="1">
      <alignment horizontal="center" vertical="center"/>
    </xf>
    <xf numFmtId="1" fontId="6" fillId="0" borderId="2326" xfId="0" applyNumberFormat="1" applyFont="1" applyBorder="1" applyAlignment="1">
      <alignment horizontal="center" vertical="center" wrapText="1"/>
    </xf>
    <xf numFmtId="1" fontId="6" fillId="0" borderId="2327" xfId="0" applyNumberFormat="1" applyFont="1" applyBorder="1" applyAlignment="1">
      <alignment horizontal="center" vertical="center" wrapText="1"/>
    </xf>
    <xf numFmtId="1" fontId="6" fillId="0" borderId="2328" xfId="0" applyNumberFormat="1" applyFont="1" applyBorder="1" applyAlignment="1">
      <alignment horizontal="center" vertical="center" wrapText="1"/>
    </xf>
    <xf numFmtId="1" fontId="6" fillId="0" borderId="2184" xfId="0" applyNumberFormat="1" applyFont="1" applyBorder="1" applyAlignment="1">
      <alignment horizontal="center" vertical="center" wrapText="1"/>
    </xf>
    <xf numFmtId="1" fontId="6" fillId="14" borderId="2164" xfId="0" applyNumberFormat="1" applyFont="1" applyFill="1" applyBorder="1" applyAlignment="1">
      <alignment horizontal="center" vertical="center" wrapText="1"/>
    </xf>
    <xf numFmtId="1" fontId="6" fillId="3" borderId="2253" xfId="0" applyNumberFormat="1" applyFont="1" applyFill="1" applyBorder="1" applyAlignment="1">
      <alignment horizontal="center" vertical="center"/>
    </xf>
    <xf numFmtId="1" fontId="6" fillId="3" borderId="2255" xfId="0" applyNumberFormat="1" applyFont="1" applyFill="1" applyBorder="1" applyAlignment="1">
      <alignment horizontal="center" vertical="center"/>
    </xf>
    <xf numFmtId="1" fontId="6" fillId="0" borderId="2253" xfId="0" applyNumberFormat="1" applyFont="1" applyBorder="1" applyAlignment="1">
      <alignment horizontal="center" vertical="center" wrapText="1"/>
    </xf>
    <xf numFmtId="1" fontId="6" fillId="0" borderId="2255" xfId="0" applyNumberFormat="1" applyFont="1" applyBorder="1" applyAlignment="1">
      <alignment horizontal="center" vertical="center" wrapText="1"/>
    </xf>
    <xf numFmtId="1" fontId="6" fillId="0" borderId="2254" xfId="0" applyNumberFormat="1" applyFont="1" applyBorder="1" applyAlignment="1">
      <alignment horizontal="center" vertical="center" wrapText="1"/>
    </xf>
    <xf numFmtId="1" fontId="6" fillId="0" borderId="2255" xfId="0" applyNumberFormat="1" applyFont="1" applyBorder="1" applyAlignment="1">
      <alignment horizontal="center" vertical="center"/>
    </xf>
    <xf numFmtId="1" fontId="6" fillId="0" borderId="2241" xfId="0" applyNumberFormat="1" applyFont="1" applyBorder="1" applyAlignment="1">
      <alignment horizontal="center" vertical="center"/>
    </xf>
    <xf numFmtId="1" fontId="6" fillId="0" borderId="2224" xfId="0" applyNumberFormat="1" applyFont="1" applyBorder="1" applyAlignment="1">
      <alignment horizontal="center" vertical="center" wrapText="1"/>
    </xf>
    <xf numFmtId="1" fontId="6" fillId="0" borderId="2264" xfId="0" applyNumberFormat="1" applyFont="1" applyBorder="1"/>
    <xf numFmtId="1" fontId="6" fillId="0" borderId="2265" xfId="0" applyNumberFormat="1" applyFont="1" applyBorder="1"/>
    <xf numFmtId="1" fontId="6" fillId="0" borderId="2219" xfId="0" applyNumberFormat="1" applyFont="1" applyBorder="1"/>
    <xf numFmtId="1" fontId="6" fillId="0" borderId="814" xfId="0" applyNumberFormat="1" applyFont="1" applyBorder="1"/>
    <xf numFmtId="1" fontId="6" fillId="0" borderId="1502" xfId="0" applyNumberFormat="1" applyFont="1" applyBorder="1"/>
    <xf numFmtId="1" fontId="6" fillId="0" borderId="1501" xfId="0" applyNumberFormat="1" applyFont="1" applyBorder="1"/>
    <xf numFmtId="1" fontId="6" fillId="0" borderId="1241" xfId="0" applyNumberFormat="1" applyFont="1" applyBorder="1"/>
    <xf numFmtId="1" fontId="6" fillId="0" borderId="1843" xfId="0" applyNumberFormat="1" applyFont="1" applyBorder="1"/>
    <xf numFmtId="1" fontId="6" fillId="0" borderId="1834" xfId="0" applyNumberFormat="1" applyFont="1" applyBorder="1"/>
    <xf numFmtId="1" fontId="6" fillId="0" borderId="2161" xfId="0" applyNumberFormat="1" applyFont="1" applyBorder="1" applyAlignment="1">
      <alignment horizontal="center" vertical="center"/>
    </xf>
    <xf numFmtId="1" fontId="6" fillId="0" borderId="2193" xfId="0" applyNumberFormat="1" applyFont="1" applyBorder="1" applyAlignment="1">
      <alignment horizontal="center" vertical="center"/>
    </xf>
    <xf numFmtId="1" fontId="6" fillId="3" borderId="2160" xfId="0" applyNumberFormat="1" applyFont="1" applyFill="1" applyBorder="1" applyAlignment="1">
      <alignment horizontal="center" vertical="center" wrapText="1"/>
    </xf>
    <xf numFmtId="1" fontId="6" fillId="3" borderId="2184" xfId="0" applyNumberFormat="1" applyFont="1" applyFill="1" applyBorder="1" applyAlignment="1">
      <alignment horizontal="center" vertical="center" wrapText="1"/>
    </xf>
    <xf numFmtId="1" fontId="6" fillId="0" borderId="2220" xfId="0" applyNumberFormat="1" applyFont="1" applyBorder="1" applyAlignment="1">
      <alignment horizontal="left" vertical="center" wrapText="1"/>
    </xf>
    <xf numFmtId="1" fontId="6" fillId="0" borderId="2266" xfId="0" applyNumberFormat="1" applyFont="1" applyBorder="1" applyAlignment="1">
      <alignment horizontal="left" vertical="center" wrapText="1"/>
    </xf>
    <xf numFmtId="1" fontId="6" fillId="0" borderId="2267" xfId="0" applyNumberFormat="1" applyFont="1" applyBorder="1" applyAlignment="1">
      <alignment horizontal="left" vertical="center" wrapText="1"/>
    </xf>
    <xf numFmtId="1" fontId="6" fillId="0" borderId="1498" xfId="0" applyNumberFormat="1" applyFont="1" applyBorder="1" applyAlignment="1">
      <alignment horizontal="left" vertical="center" wrapText="1"/>
    </xf>
    <xf numFmtId="1" fontId="6" fillId="0" borderId="1676" xfId="0" applyNumberFormat="1" applyFont="1" applyBorder="1" applyAlignment="1">
      <alignment horizontal="left" vertical="center" wrapText="1"/>
    </xf>
    <xf numFmtId="1" fontId="6" fillId="0" borderId="811" xfId="0" applyNumberFormat="1" applyFont="1" applyBorder="1" applyAlignment="1">
      <alignment horizontal="left" vertical="center" wrapText="1"/>
    </xf>
    <xf numFmtId="1" fontId="6" fillId="0" borderId="1499" xfId="0" applyNumberFormat="1" applyFont="1" applyBorder="1" applyAlignment="1">
      <alignment horizontal="left" vertical="center" wrapText="1"/>
    </xf>
    <xf numFmtId="1" fontId="6" fillId="0" borderId="1502" xfId="0" applyNumberFormat="1" applyFont="1" applyBorder="1" applyAlignment="1">
      <alignment horizontal="left" vertical="center" wrapText="1"/>
    </xf>
    <xf numFmtId="1" fontId="6" fillId="0" borderId="1501" xfId="0" applyNumberFormat="1" applyFont="1" applyBorder="1" applyAlignment="1">
      <alignment horizontal="left" vertical="center" wrapText="1"/>
    </xf>
    <xf numFmtId="1" fontId="6" fillId="0" borderId="1421" xfId="0" applyNumberFormat="1" applyFont="1" applyBorder="1" applyAlignment="1">
      <alignment horizontal="center" vertical="center" wrapText="1"/>
    </xf>
    <xf numFmtId="1" fontId="6" fillId="0" borderId="2254" xfId="0" applyNumberFormat="1" applyFont="1" applyBorder="1" applyAlignment="1">
      <alignment horizontal="center" vertical="center"/>
    </xf>
    <xf numFmtId="1" fontId="6" fillId="3" borderId="2161" xfId="0" applyNumberFormat="1" applyFont="1" applyFill="1" applyBorder="1" applyAlignment="1">
      <alignment horizontal="center" vertical="center"/>
    </xf>
    <xf numFmtId="1" fontId="6" fillId="3" borderId="2164" xfId="0" applyNumberFormat="1" applyFont="1" applyFill="1" applyBorder="1" applyAlignment="1">
      <alignment horizontal="center" vertical="center"/>
    </xf>
    <xf numFmtId="1" fontId="6" fillId="3" borderId="1833" xfId="0" applyNumberFormat="1" applyFont="1" applyFill="1" applyBorder="1" applyAlignment="1">
      <alignment horizontal="left" vertical="center" wrapText="1"/>
    </xf>
    <xf numFmtId="1" fontId="6" fillId="3" borderId="1843" xfId="0" applyNumberFormat="1" applyFont="1" applyFill="1" applyBorder="1" applyAlignment="1">
      <alignment horizontal="left" vertical="center" wrapText="1"/>
    </xf>
    <xf numFmtId="1" fontId="6" fillId="3" borderId="1834" xfId="0" applyNumberFormat="1" applyFont="1" applyFill="1" applyBorder="1" applyAlignment="1">
      <alignment horizontal="left" vertical="center" wrapText="1"/>
    </xf>
    <xf numFmtId="1" fontId="6" fillId="0" borderId="2161" xfId="0" applyNumberFormat="1" applyFont="1" applyBorder="1" applyAlignment="1">
      <alignment horizontal="center" vertical="center" wrapText="1"/>
    </xf>
    <xf numFmtId="1" fontId="9" fillId="0" borderId="0" xfId="0" applyNumberFormat="1" applyFont="1"/>
    <xf numFmtId="1" fontId="6" fillId="0" borderId="416" xfId="0" applyNumberFormat="1" applyFont="1" applyBorder="1"/>
    <xf numFmtId="1" fontId="6" fillId="0" borderId="0" xfId="0" applyNumberFormat="1" applyFont="1"/>
    <xf numFmtId="1" fontId="6" fillId="0" borderId="2241" xfId="0" applyNumberFormat="1" applyFont="1" applyBorder="1" applyAlignment="1">
      <alignment horizontal="center" vertical="center" wrapText="1"/>
    </xf>
    <xf numFmtId="1" fontId="6" fillId="0" borderId="2253" xfId="0" applyNumberFormat="1" applyFont="1" applyBorder="1" applyAlignment="1">
      <alignment horizontal="left" vertical="center" wrapText="1"/>
    </xf>
    <xf numFmtId="1" fontId="6" fillId="0" borderId="2254" xfId="0" applyNumberFormat="1" applyFont="1" applyBorder="1" applyAlignment="1">
      <alignment horizontal="left" vertical="center" wrapText="1"/>
    </xf>
    <xf numFmtId="1" fontId="6" fillId="0" borderId="2255" xfId="0" applyNumberFormat="1" applyFont="1" applyBorder="1" applyAlignment="1">
      <alignment horizontal="left" vertical="center" wrapText="1"/>
    </xf>
    <xf numFmtId="1" fontId="6" fillId="3" borderId="2161" xfId="0" applyNumberFormat="1" applyFont="1" applyFill="1" applyBorder="1" applyAlignment="1">
      <alignment horizontal="center" vertical="center" wrapText="1"/>
    </xf>
    <xf numFmtId="1" fontId="6" fillId="3" borderId="2164" xfId="0" applyNumberFormat="1" applyFont="1" applyFill="1" applyBorder="1" applyAlignment="1">
      <alignment horizontal="center" vertical="center" wrapText="1"/>
    </xf>
    <xf numFmtId="1" fontId="6" fillId="3" borderId="416" xfId="0" applyNumberFormat="1" applyFont="1" applyFill="1" applyBorder="1" applyAlignment="1">
      <alignment horizontal="center" vertical="center" wrapText="1"/>
    </xf>
    <xf numFmtId="1" fontId="6" fillId="3" borderId="510" xfId="0" applyNumberFormat="1" applyFont="1" applyFill="1" applyBorder="1" applyAlignment="1">
      <alignment horizontal="center" vertical="center" wrapText="1"/>
    </xf>
    <xf numFmtId="1" fontId="6" fillId="3" borderId="2193" xfId="0" applyNumberFormat="1" applyFont="1" applyFill="1" applyBorder="1" applyAlignment="1">
      <alignment horizontal="center" vertical="center" wrapText="1"/>
    </xf>
    <xf numFmtId="1" fontId="6" fillId="3" borderId="1884" xfId="0" applyNumberFormat="1" applyFont="1" applyFill="1" applyBorder="1" applyAlignment="1">
      <alignment horizontal="center" vertical="center" wrapText="1"/>
    </xf>
    <xf numFmtId="1" fontId="6" fillId="3" borderId="2218" xfId="0" applyNumberFormat="1" applyFont="1" applyFill="1" applyBorder="1" applyAlignment="1">
      <alignment horizontal="left" vertical="center" wrapText="1"/>
    </xf>
    <xf numFmtId="1" fontId="6" fillId="3" borderId="2265" xfId="0" applyNumberFormat="1" applyFont="1" applyFill="1" applyBorder="1" applyAlignment="1">
      <alignment horizontal="left" vertical="center" wrapText="1"/>
    </xf>
    <xf numFmtId="1" fontId="6" fillId="3" borderId="2219" xfId="0" applyNumberFormat="1" applyFont="1" applyFill="1" applyBorder="1" applyAlignment="1">
      <alignment horizontal="left" vertical="center" wrapText="1"/>
    </xf>
    <xf numFmtId="1" fontId="6" fillId="0" borderId="2265" xfId="0" applyNumberFormat="1" applyFont="1" applyBorder="1" applyAlignment="1">
      <alignment horizontal="left" vertical="center" wrapText="1"/>
    </xf>
    <xf numFmtId="1" fontId="6" fillId="0" borderId="2193" xfId="0" applyNumberFormat="1" applyFont="1" applyBorder="1" applyAlignment="1">
      <alignment horizontal="left" vertical="center" wrapText="1"/>
    </xf>
    <xf numFmtId="1" fontId="6" fillId="0" borderId="1927" xfId="0" applyNumberFormat="1" applyFont="1" applyBorder="1" applyAlignment="1">
      <alignment horizontal="left" vertical="center" wrapText="1"/>
    </xf>
    <xf numFmtId="1" fontId="6" fillId="0" borderId="1884" xfId="0" applyNumberFormat="1" applyFont="1" applyBorder="1" applyAlignment="1">
      <alignment horizontal="left" vertical="center" wrapText="1"/>
    </xf>
    <xf numFmtId="1" fontId="6" fillId="0" borderId="2160" xfId="0" applyNumberFormat="1" applyFont="1" applyBorder="1" applyAlignment="1">
      <alignment horizontal="left" vertical="center" wrapText="1"/>
    </xf>
    <xf numFmtId="1" fontId="6" fillId="0" borderId="2184" xfId="0" applyNumberFormat="1" applyFont="1" applyBorder="1" applyAlignment="1">
      <alignment horizontal="left" vertical="center" wrapText="1"/>
    </xf>
    <xf numFmtId="1" fontId="6" fillId="0" borderId="1833" xfId="0" applyNumberFormat="1" applyFont="1" applyBorder="1" applyAlignment="1">
      <alignment horizontal="left" vertical="center" wrapText="1"/>
    </xf>
    <xf numFmtId="1" fontId="6" fillId="0" borderId="1834" xfId="0" applyNumberFormat="1" applyFont="1" applyBorder="1" applyAlignment="1">
      <alignment horizontal="left" vertical="center" wrapText="1"/>
    </xf>
    <xf numFmtId="1" fontId="6" fillId="3" borderId="2253" xfId="0" applyNumberFormat="1" applyFont="1" applyFill="1" applyBorder="1" applyAlignment="1">
      <alignment horizontal="center" vertical="center" wrapText="1"/>
    </xf>
    <xf numFmtId="1" fontId="6" fillId="3" borderId="2254" xfId="0" applyNumberFormat="1" applyFont="1" applyFill="1" applyBorder="1" applyAlignment="1">
      <alignment horizontal="center" vertical="center" wrapText="1"/>
    </xf>
    <xf numFmtId="1" fontId="6" fillId="0" borderId="2193" xfId="0" applyNumberFormat="1" applyFont="1" applyBorder="1" applyAlignment="1">
      <alignment horizontal="center" vertical="center" wrapText="1"/>
    </xf>
    <xf numFmtId="1" fontId="6" fillId="0" borderId="2253" xfId="0" applyNumberFormat="1" applyFont="1" applyBorder="1" applyAlignment="1">
      <alignment horizontal="center" vertical="center"/>
    </xf>
    <xf numFmtId="1" fontId="6" fillId="0" borderId="428" xfId="0" applyNumberFormat="1" applyFont="1" applyBorder="1" applyAlignment="1">
      <alignment horizontal="left" vertical="center" wrapText="1"/>
    </xf>
    <xf numFmtId="1" fontId="6" fillId="0" borderId="1640" xfId="0" applyNumberFormat="1" applyFont="1" applyBorder="1" applyAlignment="1">
      <alignment horizontal="left" vertical="center" wrapText="1"/>
    </xf>
    <xf numFmtId="1" fontId="6" fillId="0" borderId="1421" xfId="0" applyNumberFormat="1" applyFont="1" applyBorder="1" applyAlignment="1">
      <alignment horizontal="left" vertical="center" wrapText="1"/>
    </xf>
    <xf numFmtId="1" fontId="6" fillId="0" borderId="2218" xfId="0" applyNumberFormat="1" applyFont="1" applyBorder="1" applyAlignment="1">
      <alignment horizontal="left"/>
    </xf>
    <xf numFmtId="1" fontId="6" fillId="0" borderId="2219" xfId="0" applyNumberFormat="1" applyFont="1" applyBorder="1" applyAlignment="1">
      <alignment horizontal="left"/>
    </xf>
    <xf numFmtId="1" fontId="6" fillId="0" borderId="1833" xfId="0" applyNumberFormat="1" applyFont="1" applyBorder="1" applyAlignment="1">
      <alignment horizontal="left"/>
    </xf>
    <xf numFmtId="1" fontId="6" fillId="0" borderId="1834" xfId="0" applyNumberFormat="1" applyFont="1" applyBorder="1" applyAlignment="1">
      <alignment horizontal="left"/>
    </xf>
    <xf numFmtId="1" fontId="6" fillId="0" borderId="1843" xfId="0" applyNumberFormat="1" applyFont="1" applyBorder="1" applyAlignment="1">
      <alignment horizontal="left" vertical="center" wrapText="1"/>
    </xf>
    <xf numFmtId="1" fontId="6" fillId="14" borderId="2224" xfId="0" applyNumberFormat="1" applyFont="1" applyFill="1" applyBorder="1" applyAlignment="1">
      <alignment horizontal="center" vertical="center" wrapText="1"/>
    </xf>
    <xf numFmtId="1" fontId="6" fillId="14" borderId="2160" xfId="0" applyNumberFormat="1" applyFont="1" applyFill="1" applyBorder="1" applyAlignment="1">
      <alignment horizontal="center" vertical="center" wrapText="1"/>
    </xf>
    <xf numFmtId="1" fontId="6" fillId="14" borderId="428" xfId="0" applyNumberFormat="1" applyFont="1" applyFill="1" applyBorder="1" applyAlignment="1">
      <alignment horizontal="center" vertical="center" wrapText="1"/>
    </xf>
    <xf numFmtId="1" fontId="6" fillId="14" borderId="2184" xfId="0" applyNumberFormat="1" applyFont="1" applyFill="1" applyBorder="1" applyAlignment="1">
      <alignment horizontal="center" vertical="center" wrapText="1"/>
    </xf>
    <xf numFmtId="1" fontId="6" fillId="0" borderId="2160" xfId="0" applyNumberFormat="1" applyFont="1" applyBorder="1" applyAlignment="1">
      <alignment horizontal="center" vertical="center"/>
    </xf>
    <xf numFmtId="1" fontId="6" fillId="0" borderId="2184" xfId="0" applyNumberFormat="1" applyFont="1" applyBorder="1" applyAlignment="1">
      <alignment horizontal="center" vertical="center"/>
    </xf>
    <xf numFmtId="1" fontId="6" fillId="0" borderId="2225" xfId="0" applyNumberFormat="1" applyFont="1" applyBorder="1" applyAlignment="1">
      <alignment horizontal="left" vertical="center" wrapText="1"/>
    </xf>
    <xf numFmtId="1" fontId="6" fillId="14" borderId="1497" xfId="0" applyNumberFormat="1" applyFont="1" applyFill="1" applyBorder="1" applyAlignment="1">
      <alignment horizontal="left" vertical="center" wrapText="1"/>
    </xf>
    <xf numFmtId="1" fontId="6" fillId="14" borderId="1499" xfId="0" applyNumberFormat="1" applyFont="1" applyFill="1" applyBorder="1" applyAlignment="1">
      <alignment horizontal="left" vertical="center" wrapText="1"/>
    </xf>
    <xf numFmtId="1" fontId="6" fillId="14" borderId="1502" xfId="0" applyNumberFormat="1" applyFont="1" applyFill="1" applyBorder="1" applyAlignment="1">
      <alignment horizontal="left" vertical="center" wrapText="1"/>
    </xf>
    <xf numFmtId="1" fontId="6" fillId="14" borderId="1501" xfId="0" applyNumberFormat="1" applyFont="1" applyFill="1" applyBorder="1" applyAlignment="1">
      <alignment horizontal="left" vertical="center" wrapText="1"/>
    </xf>
    <xf numFmtId="1" fontId="6" fillId="14" borderId="1152" xfId="0" applyNumberFormat="1" applyFont="1" applyFill="1" applyBorder="1" applyAlignment="1">
      <alignment horizontal="left" vertical="center" wrapText="1"/>
    </xf>
    <xf numFmtId="1" fontId="6" fillId="14" borderId="285" xfId="0" applyNumberFormat="1" applyFont="1" applyFill="1" applyBorder="1" applyAlignment="1">
      <alignment horizontal="left" vertical="center" wrapText="1"/>
    </xf>
    <xf numFmtId="1" fontId="6" fillId="14" borderId="1846" xfId="0" applyNumberFormat="1" applyFont="1" applyFill="1" applyBorder="1" applyAlignment="1">
      <alignment horizontal="left" vertical="center" wrapText="1"/>
    </xf>
    <xf numFmtId="1" fontId="6" fillId="3" borderId="1497" xfId="0" applyNumberFormat="1" applyFont="1" applyFill="1" applyBorder="1" applyAlignment="1">
      <alignment horizontal="left" vertical="center" wrapText="1"/>
    </xf>
    <xf numFmtId="1" fontId="6" fillId="0" borderId="1497" xfId="0" applyNumberFormat="1" applyFont="1" applyBorder="1" applyAlignment="1">
      <alignment horizontal="left" vertical="center" wrapText="1"/>
    </xf>
    <xf numFmtId="1" fontId="6" fillId="3" borderId="1152" xfId="0" applyNumberFormat="1" applyFont="1" applyFill="1" applyBorder="1" applyAlignment="1">
      <alignment horizontal="left" vertical="center" wrapText="1"/>
    </xf>
    <xf numFmtId="1" fontId="6" fillId="3" borderId="285" xfId="0" applyNumberFormat="1" applyFont="1" applyFill="1" applyBorder="1" applyAlignment="1">
      <alignment horizontal="left" vertical="center" wrapText="1"/>
    </xf>
    <xf numFmtId="1" fontId="6" fillId="3" borderId="1846" xfId="0" applyNumberFormat="1" applyFont="1" applyFill="1" applyBorder="1" applyAlignment="1">
      <alignment horizontal="left" vertical="center" wrapText="1"/>
    </xf>
    <xf numFmtId="1" fontId="6" fillId="14" borderId="1833" xfId="0" applyNumberFormat="1" applyFont="1" applyFill="1" applyBorder="1" applyAlignment="1">
      <alignment horizontal="left" vertical="center" wrapText="1"/>
    </xf>
    <xf numFmtId="1" fontId="6" fillId="14" borderId="1843" xfId="0" applyNumberFormat="1" applyFont="1" applyFill="1" applyBorder="1" applyAlignment="1">
      <alignment horizontal="left" vertical="center" wrapText="1"/>
    </xf>
    <xf numFmtId="1" fontId="6" fillId="14" borderId="1834" xfId="0" applyNumberFormat="1" applyFont="1" applyFill="1" applyBorder="1" applyAlignment="1">
      <alignment horizontal="left" vertical="center" wrapText="1"/>
    </xf>
    <xf numFmtId="1" fontId="6" fillId="3" borderId="2224" xfId="0" applyNumberFormat="1" applyFont="1" applyFill="1" applyBorder="1" applyAlignment="1">
      <alignment horizontal="center" vertical="center" wrapText="1"/>
    </xf>
    <xf numFmtId="1" fontId="6" fillId="3" borderId="815" xfId="0" applyNumberFormat="1" applyFont="1" applyFill="1" applyBorder="1" applyAlignment="1">
      <alignment horizontal="left" vertical="center" wrapText="1"/>
    </xf>
    <xf numFmtId="1" fontId="6" fillId="3" borderId="1666" xfId="0" applyNumberFormat="1" applyFont="1" applyFill="1" applyBorder="1" applyAlignment="1">
      <alignment horizontal="left" vertical="center" wrapText="1"/>
    </xf>
    <xf numFmtId="1" fontId="6" fillId="3" borderId="1659" xfId="0" applyNumberFormat="1" applyFont="1" applyFill="1" applyBorder="1" applyAlignment="1">
      <alignment horizontal="left" vertical="center" wrapText="1"/>
    </xf>
    <xf numFmtId="1" fontId="6" fillId="0" borderId="815" xfId="0" applyNumberFormat="1" applyFont="1" applyBorder="1" applyAlignment="1">
      <alignment horizontal="left" vertical="center" wrapText="1"/>
    </xf>
    <xf numFmtId="1" fontId="6" fillId="0" borderId="1666" xfId="0" applyNumberFormat="1" applyFont="1" applyBorder="1" applyAlignment="1">
      <alignment horizontal="left" vertical="center" wrapText="1"/>
    </xf>
    <xf numFmtId="1" fontId="6" fillId="0" borderId="1659" xfId="0" applyNumberFormat="1" applyFont="1" applyBorder="1" applyAlignment="1">
      <alignment horizontal="left" vertical="center" wrapText="1"/>
    </xf>
    <xf numFmtId="0" fontId="6" fillId="14" borderId="1843" xfId="0" applyFont="1" applyFill="1" applyBorder="1" applyAlignment="1">
      <alignment horizontal="left" vertical="center"/>
    </xf>
    <xf numFmtId="0" fontId="6" fillId="14" borderId="1834" xfId="0" applyFont="1" applyFill="1" applyBorder="1" applyAlignment="1">
      <alignment horizontal="left" vertical="center"/>
    </xf>
    <xf numFmtId="1" fontId="6" fillId="14" borderId="2446" xfId="0" applyNumberFormat="1" applyFont="1" applyFill="1" applyBorder="1" applyAlignment="1">
      <alignment horizontal="left" vertical="center" wrapText="1"/>
    </xf>
    <xf numFmtId="1" fontId="6" fillId="14" borderId="2423" xfId="0" applyNumberFormat="1" applyFont="1" applyFill="1" applyBorder="1" applyAlignment="1">
      <alignment horizontal="left" vertical="center" wrapText="1"/>
    </xf>
    <xf numFmtId="1" fontId="6" fillId="14" borderId="2411" xfId="0" applyNumberFormat="1" applyFont="1" applyFill="1" applyBorder="1" applyAlignment="1">
      <alignment horizontal="left" vertical="center" wrapText="1"/>
    </xf>
    <xf numFmtId="1" fontId="6" fillId="14" borderId="815" xfId="0" applyNumberFormat="1" applyFont="1" applyFill="1" applyBorder="1" applyAlignment="1">
      <alignment horizontal="left" vertical="center" wrapText="1"/>
    </xf>
    <xf numFmtId="1" fontId="6" fillId="14" borderId="1666" xfId="0" applyNumberFormat="1" applyFont="1" applyFill="1" applyBorder="1" applyAlignment="1">
      <alignment horizontal="left" vertical="center" wrapText="1"/>
    </xf>
    <xf numFmtId="1" fontId="6" fillId="14" borderId="1659" xfId="0" applyNumberFormat="1" applyFont="1" applyFill="1" applyBorder="1" applyAlignment="1">
      <alignment horizontal="left" vertical="center" wrapText="1"/>
    </xf>
    <xf numFmtId="1" fontId="6" fillId="0" borderId="2252" xfId="0" applyNumberFormat="1" applyFont="1" applyBorder="1" applyAlignment="1">
      <alignment horizontal="center" vertical="center" wrapText="1"/>
    </xf>
    <xf numFmtId="1" fontId="6" fillId="0" borderId="2190" xfId="0" applyNumberFormat="1" applyFont="1" applyBorder="1" applyAlignment="1">
      <alignment horizontal="center" vertical="center" wrapText="1"/>
    </xf>
    <xf numFmtId="1" fontId="6" fillId="3" borderId="2218" xfId="0" applyNumberFormat="1" applyFont="1" applyFill="1" applyBorder="1" applyAlignment="1">
      <alignment horizontal="left" vertical="center"/>
    </xf>
    <xf numFmtId="1" fontId="6" fillId="3" borderId="2219" xfId="0" applyNumberFormat="1" applyFont="1" applyFill="1" applyBorder="1" applyAlignment="1">
      <alignment horizontal="left" vertical="center"/>
    </xf>
    <xf numFmtId="1" fontId="6" fillId="3" borderId="1499" xfId="0" applyNumberFormat="1" applyFont="1" applyFill="1" applyBorder="1" applyAlignment="1">
      <alignment horizontal="left" vertical="center" wrapText="1"/>
    </xf>
    <xf numFmtId="1" fontId="6" fillId="3" borderId="1501" xfId="0" applyNumberFormat="1" applyFont="1" applyFill="1" applyBorder="1" applyAlignment="1">
      <alignment horizontal="left" vertical="center" wrapText="1"/>
    </xf>
    <xf numFmtId="1" fontId="6" fillId="0" borderId="2253" xfId="2527" applyNumberFormat="1" applyFont="1" applyFill="1" applyBorder="1" applyAlignment="1">
      <alignment horizontal="center" vertical="center" wrapText="1"/>
    </xf>
    <xf numFmtId="1" fontId="6" fillId="0" borderId="2255" xfId="2527" applyNumberFormat="1" applyFont="1" applyFill="1" applyBorder="1" applyAlignment="1">
      <alignment horizontal="center" vertical="center"/>
    </xf>
    <xf numFmtId="1" fontId="6" fillId="0" borderId="1499" xfId="0" applyNumberFormat="1" applyFont="1" applyBorder="1" applyAlignment="1">
      <alignment horizontal="left" vertical="center"/>
    </xf>
    <xf numFmtId="1" fontId="6" fillId="0" borderId="1501" xfId="0" applyNumberFormat="1" applyFont="1" applyBorder="1" applyAlignment="1">
      <alignment horizontal="left" vertical="center"/>
    </xf>
    <xf numFmtId="1" fontId="32" fillId="22" borderId="2160" xfId="0" applyNumberFormat="1" applyFont="1" applyFill="1" applyBorder="1" applyAlignment="1">
      <alignment horizontal="center" vertical="center" wrapText="1"/>
    </xf>
    <xf numFmtId="1" fontId="32" fillId="22" borderId="428" xfId="0" applyNumberFormat="1" applyFont="1" applyFill="1" applyBorder="1" applyAlignment="1">
      <alignment horizontal="center" vertical="center" wrapText="1"/>
    </xf>
    <xf numFmtId="1" fontId="32" fillId="22" borderId="2184" xfId="0" applyNumberFormat="1" applyFont="1" applyFill="1" applyBorder="1" applyAlignment="1">
      <alignment horizontal="center" vertical="center" wrapText="1"/>
    </xf>
    <xf numFmtId="1" fontId="6" fillId="22" borderId="2160" xfId="0" applyNumberFormat="1" applyFont="1" applyFill="1" applyBorder="1" applyAlignment="1">
      <alignment horizontal="center" vertical="center" wrapText="1"/>
    </xf>
    <xf numFmtId="1" fontId="6" fillId="22" borderId="428" xfId="0" applyNumberFormat="1" applyFont="1" applyFill="1" applyBorder="1" applyAlignment="1">
      <alignment horizontal="center" vertical="center" wrapText="1"/>
    </xf>
    <xf numFmtId="1" fontId="6" fillId="22" borderId="2184" xfId="0" applyNumberFormat="1" applyFont="1" applyFill="1" applyBorder="1" applyAlignment="1">
      <alignment horizontal="center" vertical="center" wrapText="1"/>
    </xf>
    <xf numFmtId="1" fontId="6" fillId="3" borderId="1502" xfId="0" applyNumberFormat="1" applyFont="1" applyFill="1" applyBorder="1" applyAlignment="1">
      <alignment horizontal="left" vertical="center" wrapText="1"/>
    </xf>
    <xf numFmtId="1" fontId="6" fillId="3" borderId="416" xfId="0" applyNumberFormat="1" applyFont="1" applyFill="1" applyBorder="1" applyAlignment="1">
      <alignment horizontal="left" vertical="center" wrapText="1"/>
    </xf>
    <xf numFmtId="1" fontId="6" fillId="3" borderId="0" xfId="0" applyNumberFormat="1" applyFont="1" applyFill="1" applyAlignment="1">
      <alignment horizontal="left" vertical="center" wrapText="1"/>
    </xf>
    <xf numFmtId="1" fontId="6" fillId="3" borderId="510" xfId="0" applyNumberFormat="1" applyFont="1" applyFill="1" applyBorder="1" applyAlignment="1">
      <alignment horizontal="left" vertical="center" wrapText="1"/>
    </xf>
    <xf numFmtId="1" fontId="6" fillId="3" borderId="2252" xfId="0" applyNumberFormat="1" applyFont="1" applyFill="1" applyBorder="1" applyAlignment="1">
      <alignment horizontal="center" vertical="center" wrapText="1"/>
    </xf>
    <xf numFmtId="1" fontId="6" fillId="3" borderId="133" xfId="0" applyNumberFormat="1" applyFont="1" applyFill="1" applyBorder="1" applyAlignment="1">
      <alignment horizontal="center" vertical="center" wrapText="1"/>
    </xf>
    <xf numFmtId="1" fontId="6" fillId="3" borderId="2190" xfId="0" applyNumberFormat="1" applyFont="1" applyFill="1" applyBorder="1" applyAlignment="1">
      <alignment horizontal="center" vertical="center" wrapText="1"/>
    </xf>
    <xf numFmtId="1" fontId="6" fillId="0" borderId="2162" xfId="0" applyNumberFormat="1" applyFont="1" applyBorder="1" applyAlignment="1">
      <alignment horizontal="center" vertical="center" wrapText="1"/>
    </xf>
    <xf numFmtId="1" fontId="6" fillId="0" borderId="2197" xfId="0" applyNumberFormat="1" applyFont="1" applyBorder="1" applyAlignment="1">
      <alignment horizontal="center" vertical="center" wrapText="1"/>
    </xf>
    <xf numFmtId="1" fontId="6" fillId="0" borderId="2139" xfId="0" applyNumberFormat="1" applyFont="1" applyBorder="1" applyAlignment="1">
      <alignment horizontal="center" vertical="center" wrapText="1"/>
    </xf>
    <xf numFmtId="1" fontId="6" fillId="14" borderId="1569" xfId="0" applyNumberFormat="1" applyFont="1" applyFill="1" applyBorder="1" applyAlignment="1">
      <alignment horizontal="center" vertical="center" wrapText="1"/>
    </xf>
    <xf numFmtId="1" fontId="6" fillId="14" borderId="768" xfId="0" applyNumberFormat="1" applyFont="1" applyFill="1" applyBorder="1" applyAlignment="1">
      <alignment horizontal="center" vertical="center" wrapText="1"/>
    </xf>
    <xf numFmtId="1" fontId="6" fillId="14" borderId="2194" xfId="0" applyNumberFormat="1" applyFont="1" applyFill="1" applyBorder="1" applyAlignment="1">
      <alignment horizontal="center" vertical="center" wrapText="1"/>
    </xf>
    <xf numFmtId="1" fontId="6" fillId="14" borderId="2273" xfId="0" applyNumberFormat="1" applyFont="1" applyFill="1" applyBorder="1" applyAlignment="1">
      <alignment horizontal="center" vertical="center" wrapText="1"/>
    </xf>
    <xf numFmtId="1" fontId="6" fillId="14" borderId="1692" xfId="0" applyNumberFormat="1" applyFont="1" applyFill="1" applyBorder="1" applyAlignment="1">
      <alignment horizontal="center" vertical="center" wrapText="1"/>
    </xf>
    <xf numFmtId="1" fontId="6" fillId="0" borderId="2264" xfId="0" applyNumberFormat="1" applyFont="1" applyBorder="1" applyAlignment="1">
      <alignment horizontal="left" vertical="center" wrapText="1"/>
    </xf>
    <xf numFmtId="1" fontId="6" fillId="0" borderId="1843" xfId="0" applyNumberFormat="1" applyFont="1" applyBorder="1" applyAlignment="1">
      <alignment horizontal="left"/>
    </xf>
    <xf numFmtId="1" fontId="6" fillId="3" borderId="986" xfId="0" applyNumberFormat="1" applyFont="1" applyFill="1" applyBorder="1" applyAlignment="1">
      <alignment horizontal="center" vertical="center" wrapText="1"/>
    </xf>
    <xf numFmtId="1" fontId="6" fillId="3" borderId="0" xfId="0" applyNumberFormat="1" applyFont="1" applyFill="1" applyAlignment="1">
      <alignment horizontal="center" vertical="center" wrapText="1"/>
    </xf>
    <xf numFmtId="1" fontId="6" fillId="3" borderId="1927" xfId="0" applyNumberFormat="1" applyFont="1" applyFill="1" applyBorder="1" applyAlignment="1">
      <alignment horizontal="center" vertical="center" wrapText="1"/>
    </xf>
    <xf numFmtId="1" fontId="6" fillId="0" borderId="2275" xfId="0" applyNumberFormat="1" applyFont="1" applyBorder="1" applyAlignment="1">
      <alignment horizontal="center" vertical="center" wrapText="1"/>
    </xf>
    <xf numFmtId="1" fontId="6" fillId="0" borderId="104" xfId="0" applyNumberFormat="1" applyFont="1" applyBorder="1" applyAlignment="1">
      <alignment horizontal="center" vertical="center" wrapText="1"/>
    </xf>
    <xf numFmtId="1" fontId="6" fillId="0" borderId="2202" xfId="0" applyNumberFormat="1" applyFont="1" applyBorder="1" applyAlignment="1">
      <alignment horizontal="center" vertical="center" wrapText="1"/>
    </xf>
    <xf numFmtId="1" fontId="6" fillId="0" borderId="2273" xfId="0" applyNumberFormat="1" applyFont="1" applyBorder="1" applyAlignment="1">
      <alignment horizontal="center" vertical="center" wrapText="1"/>
    </xf>
    <xf numFmtId="1" fontId="6" fillId="0" borderId="1928" xfId="0" applyNumberFormat="1" applyFont="1" applyBorder="1" applyAlignment="1">
      <alignment horizontal="center" vertical="center" wrapText="1"/>
    </xf>
    <xf numFmtId="1" fontId="6" fillId="14" borderId="2253" xfId="0" applyNumberFormat="1" applyFont="1" applyFill="1" applyBorder="1" applyAlignment="1">
      <alignment horizontal="center" vertical="center" wrapText="1"/>
    </xf>
    <xf numFmtId="1" fontId="6" fillId="14" borderId="2255" xfId="0" applyNumberFormat="1" applyFont="1" applyFill="1" applyBorder="1" applyAlignment="1">
      <alignment horizontal="center" vertical="center" wrapText="1"/>
    </xf>
    <xf numFmtId="1" fontId="6" fillId="0" borderId="2174" xfId="0" applyNumberFormat="1" applyFont="1" applyBorder="1" applyAlignment="1">
      <alignment horizontal="center" vertical="center" wrapText="1"/>
    </xf>
    <xf numFmtId="1" fontId="6" fillId="0" borderId="2194" xfId="0" applyNumberFormat="1" applyFont="1" applyBorder="1" applyAlignment="1">
      <alignment horizontal="center" vertical="center" wrapText="1"/>
    </xf>
    <xf numFmtId="1" fontId="6" fillId="3" borderId="2244" xfId="0" applyNumberFormat="1" applyFont="1" applyFill="1" applyBorder="1" applyAlignment="1">
      <alignment horizontal="left" vertical="center" wrapText="1"/>
    </xf>
    <xf numFmtId="1" fontId="6" fillId="14" borderId="1838" xfId="0" applyNumberFormat="1" applyFont="1" applyFill="1" applyBorder="1" applyAlignment="1">
      <alignment horizontal="left" vertical="center" wrapText="1"/>
    </xf>
    <xf numFmtId="1" fontId="6" fillId="0" borderId="2225" xfId="0" applyNumberFormat="1" applyFont="1" applyBorder="1" applyAlignment="1">
      <alignment horizontal="center" vertical="center" wrapText="1"/>
    </xf>
    <xf numFmtId="1" fontId="6" fillId="0" borderId="1838" xfId="0" applyNumberFormat="1" applyFont="1" applyBorder="1" applyAlignment="1">
      <alignment horizontal="center" vertical="center" wrapText="1"/>
    </xf>
    <xf numFmtId="1" fontId="6" fillId="0" borderId="2218" xfId="0" applyNumberFormat="1" applyFont="1" applyBorder="1" applyAlignment="1">
      <alignment horizontal="left" wrapText="1"/>
    </xf>
    <xf numFmtId="1" fontId="6" fillId="0" borderId="2219" xfId="0" applyNumberFormat="1" applyFont="1" applyBorder="1" applyAlignment="1">
      <alignment horizontal="left" wrapText="1"/>
    </xf>
    <xf numFmtId="1" fontId="6" fillId="0" borderId="1833" xfId="0" applyNumberFormat="1" applyFont="1" applyBorder="1" applyAlignment="1">
      <alignment horizontal="left" wrapText="1"/>
    </xf>
    <xf numFmtId="1" fontId="6" fillId="0" borderId="1834" xfId="0" applyNumberFormat="1" applyFont="1" applyBorder="1" applyAlignment="1">
      <alignment horizontal="left" wrapText="1"/>
    </xf>
    <xf numFmtId="1" fontId="6" fillId="14" borderId="2184" xfId="0" applyNumberFormat="1" applyFont="1" applyFill="1" applyBorder="1" applyAlignment="1">
      <alignment horizontal="left" vertical="center" wrapText="1"/>
    </xf>
    <xf numFmtId="1" fontId="6" fillId="14" borderId="1833" xfId="0" applyNumberFormat="1" applyFont="1" applyFill="1" applyBorder="1" applyAlignment="1" applyProtection="1">
      <alignment horizontal="left" vertical="center" wrapText="1"/>
      <protection hidden="1"/>
    </xf>
    <xf numFmtId="1" fontId="6" fillId="14" borderId="1834" xfId="0" applyNumberFormat="1" applyFont="1" applyFill="1" applyBorder="1" applyAlignment="1" applyProtection="1">
      <alignment horizontal="left" vertical="center" wrapText="1"/>
      <protection hidden="1"/>
    </xf>
    <xf numFmtId="1" fontId="6" fillId="0" borderId="1499" xfId="0" applyNumberFormat="1" applyFont="1" applyBorder="1" applyAlignment="1" applyProtection="1">
      <alignment horizontal="left" vertical="center" wrapText="1"/>
      <protection hidden="1"/>
    </xf>
    <xf numFmtId="1" fontId="6" fillId="0" borderId="1501" xfId="0" applyNumberFormat="1" applyFont="1" applyBorder="1" applyAlignment="1" applyProtection="1">
      <alignment horizontal="left" vertical="center" wrapText="1"/>
      <protection hidden="1"/>
    </xf>
    <xf numFmtId="1" fontId="13" fillId="3" borderId="428" xfId="0" applyNumberFormat="1" applyFont="1" applyFill="1" applyBorder="1" applyAlignment="1">
      <alignment horizontal="center" vertical="center" wrapText="1"/>
    </xf>
    <xf numFmtId="1" fontId="13" fillId="3" borderId="2184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wrapText="1"/>
    </xf>
    <xf numFmtId="1" fontId="6" fillId="0" borderId="510" xfId="0" applyNumberFormat="1" applyFont="1" applyBorder="1" applyAlignment="1">
      <alignment wrapText="1"/>
    </xf>
    <xf numFmtId="1" fontId="6" fillId="0" borderId="2334" xfId="0" applyNumberFormat="1" applyFont="1" applyBorder="1" applyAlignment="1">
      <alignment horizontal="left" vertical="center" wrapText="1"/>
    </xf>
    <xf numFmtId="1" fontId="6" fillId="0" borderId="2335" xfId="0" applyNumberFormat="1" applyFont="1" applyBorder="1" applyAlignment="1">
      <alignment horizontal="left" vertical="center" wrapText="1"/>
    </xf>
    <xf numFmtId="1" fontId="6" fillId="0" borderId="2336" xfId="0" applyNumberFormat="1" applyFont="1" applyBorder="1" applyAlignment="1">
      <alignment horizontal="left" vertical="center" wrapText="1"/>
    </xf>
    <xf numFmtId="1" fontId="6" fillId="3" borderId="1498" xfId="0" applyNumberFormat="1" applyFont="1" applyFill="1" applyBorder="1" applyAlignment="1">
      <alignment horizontal="left" vertical="center" wrapText="1"/>
    </xf>
    <xf numFmtId="1" fontId="6" fillId="3" borderId="1676" xfId="0" applyNumberFormat="1" applyFont="1" applyFill="1" applyBorder="1" applyAlignment="1">
      <alignment horizontal="left" vertical="center" wrapText="1"/>
    </xf>
    <xf numFmtId="1" fontId="6" fillId="3" borderId="811" xfId="0" applyNumberFormat="1" applyFont="1" applyFill="1" applyBorder="1" applyAlignment="1">
      <alignment horizontal="left" vertical="center" wrapText="1"/>
    </xf>
    <xf numFmtId="1" fontId="6" fillId="0" borderId="2331" xfId="0" applyNumberFormat="1" applyFont="1" applyBorder="1" applyAlignment="1" applyProtection="1">
      <alignment horizontal="center" vertical="center" wrapText="1"/>
      <protection hidden="1"/>
    </xf>
    <xf numFmtId="1" fontId="6" fillId="0" borderId="2334" xfId="0" applyNumberFormat="1" applyFont="1" applyBorder="1" applyAlignment="1" applyProtection="1">
      <alignment horizontal="left" vertical="center" wrapText="1"/>
      <protection hidden="1"/>
    </xf>
    <xf numFmtId="1" fontId="6" fillId="0" borderId="2336" xfId="0" applyNumberFormat="1" applyFont="1" applyBorder="1" applyAlignment="1" applyProtection="1">
      <alignment horizontal="left" vertical="center" wrapText="1"/>
      <protection hidden="1"/>
    </xf>
    <xf numFmtId="1" fontId="6" fillId="0" borderId="1502" xfId="0" applyNumberFormat="1" applyFont="1" applyBorder="1" applyAlignment="1">
      <alignment horizontal="left"/>
    </xf>
    <xf numFmtId="1" fontId="6" fillId="0" borderId="1501" xfId="0" applyNumberFormat="1" applyFont="1" applyBorder="1" applyAlignment="1">
      <alignment horizontal="left"/>
    </xf>
    <xf numFmtId="1" fontId="6" fillId="0" borderId="2323" xfId="0" applyNumberFormat="1" applyFont="1" applyBorder="1" applyAlignment="1">
      <alignment horizontal="center" vertical="center"/>
    </xf>
    <xf numFmtId="1" fontId="6" fillId="0" borderId="2324" xfId="0" applyNumberFormat="1" applyFont="1" applyBorder="1" applyAlignment="1">
      <alignment horizontal="center" vertical="center"/>
    </xf>
    <xf numFmtId="1" fontId="6" fillId="0" borderId="2325" xfId="0" applyNumberFormat="1" applyFont="1" applyBorder="1" applyAlignment="1">
      <alignment horizontal="center" vertical="center"/>
    </xf>
    <xf numFmtId="1" fontId="6" fillId="0" borderId="416" xfId="0" applyNumberFormat="1" applyFont="1" applyBorder="1" applyAlignment="1" applyProtection="1">
      <alignment horizontal="left" vertical="center" wrapText="1"/>
      <protection hidden="1"/>
    </xf>
    <xf numFmtId="1" fontId="6" fillId="0" borderId="510" xfId="0" applyNumberFormat="1" applyFont="1" applyBorder="1" applyAlignment="1" applyProtection="1">
      <alignment horizontal="left" vertical="center" wrapText="1"/>
      <protection hidden="1"/>
    </xf>
    <xf numFmtId="1" fontId="6" fillId="14" borderId="1499" xfId="0" applyNumberFormat="1" applyFont="1" applyFill="1" applyBorder="1" applyAlignment="1" applyProtection="1">
      <alignment horizontal="left" vertical="center" wrapText="1"/>
      <protection hidden="1"/>
    </xf>
    <xf numFmtId="1" fontId="6" fillId="14" borderId="1501" xfId="0" applyNumberFormat="1" applyFont="1" applyFill="1" applyBorder="1" applyAlignment="1" applyProtection="1">
      <alignment horizontal="left" vertical="center" wrapText="1"/>
      <protection hidden="1"/>
    </xf>
    <xf numFmtId="1" fontId="6" fillId="0" borderId="2289" xfId="0" applyNumberFormat="1" applyFont="1" applyBorder="1" applyAlignment="1">
      <alignment horizontal="center" vertical="center" wrapText="1"/>
    </xf>
    <xf numFmtId="1" fontId="6" fillId="0" borderId="262" xfId="0" applyNumberFormat="1" applyFont="1" applyBorder="1" applyAlignment="1">
      <alignment horizontal="center" vertical="center" wrapText="1"/>
    </xf>
    <xf numFmtId="1" fontId="6" fillId="3" borderId="2290" xfId="0" applyNumberFormat="1" applyFont="1" applyFill="1" applyBorder="1" applyAlignment="1">
      <alignment horizontal="left" vertical="center" wrapText="1"/>
    </xf>
    <xf numFmtId="1" fontId="6" fillId="0" borderId="815" xfId="0" applyNumberFormat="1" applyFont="1" applyBorder="1" applyAlignment="1">
      <alignment wrapText="1"/>
    </xf>
    <xf numFmtId="1" fontId="6" fillId="0" borderId="1659" xfId="0" applyNumberFormat="1" applyFont="1" applyBorder="1" applyAlignment="1">
      <alignment wrapText="1"/>
    </xf>
    <xf numFmtId="1" fontId="6" fillId="14" borderId="946" xfId="0" applyNumberFormat="1" applyFont="1" applyFill="1" applyBorder="1" applyAlignment="1">
      <alignment horizontal="left" vertical="center" wrapText="1"/>
    </xf>
    <xf numFmtId="1" fontId="6" fillId="0" borderId="2283" xfId="0" applyNumberFormat="1" applyFont="1" applyBorder="1" applyAlignment="1">
      <alignment horizontal="center" vertical="center" wrapText="1"/>
    </xf>
    <xf numFmtId="1" fontId="6" fillId="3" borderId="2286" xfId="0" applyNumberFormat="1" applyFont="1" applyFill="1" applyBorder="1" applyAlignment="1">
      <alignment horizontal="left" vertical="center" wrapText="1"/>
    </xf>
    <xf numFmtId="1" fontId="6" fillId="3" borderId="2287" xfId="0" applyNumberFormat="1" applyFont="1" applyFill="1" applyBorder="1" applyAlignment="1">
      <alignment horizontal="left" vertical="center" wrapText="1"/>
    </xf>
    <xf numFmtId="1" fontId="6" fillId="45" borderId="1497" xfId="0" applyNumberFormat="1" applyFont="1" applyFill="1" applyBorder="1" applyAlignment="1">
      <alignment horizontal="left" vertical="center" wrapText="1"/>
    </xf>
    <xf numFmtId="1" fontId="6" fillId="3" borderId="1827" xfId="0" applyNumberFormat="1" applyFont="1" applyFill="1" applyBorder="1" applyAlignment="1">
      <alignment horizontal="left" vertical="center" wrapText="1"/>
    </xf>
    <xf numFmtId="1" fontId="6" fillId="0" borderId="2329" xfId="0" applyNumberFormat="1" applyFont="1" applyBorder="1" applyAlignment="1">
      <alignment horizontal="center" vertical="center" wrapText="1"/>
    </xf>
    <xf numFmtId="1" fontId="6" fillId="0" borderId="2330" xfId="0" applyNumberFormat="1" applyFont="1" applyBorder="1" applyAlignment="1">
      <alignment horizontal="center" vertical="center" wrapText="1"/>
    </xf>
    <xf numFmtId="1" fontId="6" fillId="3" borderId="2327" xfId="0" applyNumberFormat="1" applyFont="1" applyFill="1" applyBorder="1" applyAlignment="1">
      <alignment horizontal="center" vertical="center"/>
    </xf>
    <xf numFmtId="1" fontId="6" fillId="3" borderId="2331" xfId="0" applyNumberFormat="1" applyFont="1" applyFill="1" applyBorder="1" applyAlignment="1">
      <alignment horizontal="center" vertical="center"/>
    </xf>
    <xf numFmtId="1" fontId="6" fillId="0" borderId="2331" xfId="0" applyNumberFormat="1" applyFont="1" applyBorder="1" applyAlignment="1">
      <alignment horizontal="center" vertical="center" wrapText="1"/>
    </xf>
    <xf numFmtId="1" fontId="6" fillId="0" borderId="2331" xfId="0" applyNumberFormat="1" applyFont="1" applyBorder="1" applyAlignment="1">
      <alignment horizontal="center" vertical="center"/>
    </xf>
    <xf numFmtId="1" fontId="6" fillId="3" borderId="2409" xfId="0" applyNumberFormat="1" applyFont="1" applyFill="1" applyBorder="1" applyAlignment="1">
      <alignment horizontal="center" vertical="center" wrapText="1"/>
    </xf>
    <xf numFmtId="1" fontId="6" fillId="3" borderId="375" xfId="0" applyNumberFormat="1" applyFont="1" applyFill="1" applyBorder="1" applyAlignment="1">
      <alignment horizontal="center" vertical="center" wrapText="1"/>
    </xf>
    <xf numFmtId="1" fontId="6" fillId="3" borderId="2414" xfId="0" applyNumberFormat="1" applyFont="1" applyFill="1" applyBorder="1" applyAlignment="1">
      <alignment horizontal="center" vertical="center" wrapText="1"/>
    </xf>
    <xf numFmtId="1" fontId="6" fillId="14" borderId="2323" xfId="0" applyNumberFormat="1" applyFont="1" applyFill="1" applyBorder="1" applyAlignment="1">
      <alignment horizontal="center" vertical="center" wrapText="1"/>
    </xf>
    <xf numFmtId="1" fontId="6" fillId="14" borderId="2324" xfId="0" applyNumberFormat="1" applyFont="1" applyFill="1" applyBorder="1" applyAlignment="1">
      <alignment horizontal="center" vertical="center" wrapText="1"/>
    </xf>
    <xf numFmtId="1" fontId="6" fillId="14" borderId="2325" xfId="0" applyNumberFormat="1" applyFont="1" applyFill="1" applyBorder="1" applyAlignment="1">
      <alignment horizontal="center" vertical="center" wrapText="1"/>
    </xf>
    <xf numFmtId="1" fontId="6" fillId="14" borderId="383" xfId="0" applyNumberFormat="1" applyFont="1" applyFill="1" applyBorder="1" applyAlignment="1">
      <alignment horizontal="center" vertical="center" wrapText="1"/>
    </xf>
    <xf numFmtId="1" fontId="6" fillId="14" borderId="175" xfId="0" applyNumberFormat="1" applyFont="1" applyFill="1" applyBorder="1" applyAlignment="1">
      <alignment horizontal="center" vertical="center" wrapText="1"/>
    </xf>
    <xf numFmtId="1" fontId="6" fillId="14" borderId="363" xfId="0" applyNumberFormat="1" applyFont="1" applyFill="1" applyBorder="1" applyAlignment="1">
      <alignment horizontal="center" vertical="center" wrapText="1"/>
    </xf>
    <xf numFmtId="1" fontId="6" fillId="3" borderId="2276" xfId="0" applyNumberFormat="1" applyFont="1" applyFill="1" applyBorder="1" applyAlignment="1">
      <alignment horizontal="center" vertical="center" wrapText="1"/>
    </xf>
    <xf numFmtId="1" fontId="6" fillId="3" borderId="1658" xfId="0" applyNumberFormat="1" applyFont="1" applyFill="1" applyBorder="1" applyAlignment="1">
      <alignment horizontal="center" vertical="center" wrapText="1"/>
    </xf>
    <xf numFmtId="1" fontId="6" fillId="14" borderId="2283" xfId="0" applyNumberFormat="1" applyFont="1" applyFill="1" applyBorder="1" applyAlignment="1">
      <alignment horizontal="center" vertical="center" wrapText="1"/>
    </xf>
    <xf numFmtId="1" fontId="6" fillId="0" borderId="491" xfId="0" applyNumberFormat="1" applyFont="1" applyBorder="1" applyAlignment="1">
      <alignment horizontal="center" vertical="center"/>
    </xf>
    <xf numFmtId="1" fontId="6" fillId="0" borderId="434" xfId="0" applyNumberFormat="1" applyFont="1" applyBorder="1" applyAlignment="1">
      <alignment horizontal="center" vertical="center"/>
    </xf>
    <xf numFmtId="1" fontId="6" fillId="0" borderId="432" xfId="0" applyNumberFormat="1" applyFont="1" applyBorder="1" applyAlignment="1">
      <alignment horizontal="center" vertical="center"/>
    </xf>
    <xf numFmtId="1" fontId="6" fillId="0" borderId="507" xfId="0" applyNumberFormat="1" applyFont="1" applyBorder="1" applyAlignment="1">
      <alignment horizontal="center" vertical="center"/>
    </xf>
    <xf numFmtId="1" fontId="6" fillId="0" borderId="449" xfId="0" applyNumberFormat="1" applyFont="1" applyBorder="1" applyAlignment="1">
      <alignment horizontal="center" vertical="center" wrapText="1"/>
    </xf>
    <xf numFmtId="1" fontId="6" fillId="0" borderId="507" xfId="0" applyNumberFormat="1" applyFont="1" applyBorder="1" applyAlignment="1">
      <alignment horizontal="center" vertical="center" wrapText="1"/>
    </xf>
    <xf numFmtId="1" fontId="6" fillId="14" borderId="239" xfId="0" applyNumberFormat="1" applyFont="1" applyFill="1" applyBorder="1" applyAlignment="1">
      <alignment horizontal="center" vertical="center" wrapText="1"/>
    </xf>
    <xf numFmtId="1" fontId="6" fillId="14" borderId="491" xfId="0" applyNumberFormat="1" applyFont="1" applyFill="1" applyBorder="1" applyAlignment="1">
      <alignment horizontal="center" vertical="center" wrapText="1"/>
    </xf>
    <xf numFmtId="1" fontId="6" fillId="14" borderId="434" xfId="0" applyNumberFormat="1" applyFont="1" applyFill="1" applyBorder="1" applyAlignment="1">
      <alignment horizontal="center" vertical="center" wrapText="1"/>
    </xf>
    <xf numFmtId="1" fontId="6" fillId="14" borderId="432" xfId="0" applyNumberFormat="1" applyFont="1" applyFill="1" applyBorder="1" applyAlignment="1">
      <alignment horizontal="center" vertical="center" wrapText="1"/>
    </xf>
    <xf numFmtId="1" fontId="6" fillId="0" borderId="508" xfId="0" applyNumberFormat="1" applyFont="1" applyBorder="1" applyAlignment="1">
      <alignment horizontal="center" vertical="center" wrapText="1"/>
    </xf>
    <xf numFmtId="1" fontId="6" fillId="0" borderId="448" xfId="0" applyNumberFormat="1" applyFont="1" applyBorder="1" applyAlignment="1">
      <alignment horizontal="center" vertical="center" wrapText="1"/>
    </xf>
    <xf numFmtId="1" fontId="6" fillId="0" borderId="491" xfId="0" applyNumberFormat="1" applyFont="1" applyBorder="1" applyAlignment="1">
      <alignment horizontal="center" vertical="center" wrapText="1"/>
    </xf>
    <xf numFmtId="1" fontId="6" fillId="0" borderId="178" xfId="0" applyNumberFormat="1" applyFont="1" applyBorder="1" applyAlignment="1">
      <alignment horizontal="center" vertical="center" wrapText="1"/>
    </xf>
    <xf numFmtId="1" fontId="6" fillId="0" borderId="431" xfId="0" applyNumberFormat="1" applyFont="1" applyBorder="1" applyAlignment="1">
      <alignment horizontal="center" vertical="center" wrapText="1"/>
    </xf>
    <xf numFmtId="1" fontId="6" fillId="0" borderId="509" xfId="0" applyNumberFormat="1" applyFont="1" applyBorder="1" applyAlignment="1">
      <alignment horizontal="center" vertical="center" wrapText="1"/>
    </xf>
    <xf numFmtId="1" fontId="6" fillId="0" borderId="514" xfId="0" applyNumberFormat="1" applyFont="1" applyBorder="1" applyAlignment="1">
      <alignment horizontal="center" vertical="center" wrapText="1"/>
    </xf>
    <xf numFmtId="1" fontId="4" fillId="3" borderId="434" xfId="0" applyNumberFormat="1" applyFont="1" applyFill="1" applyBorder="1" applyAlignment="1">
      <alignment horizontal="left" wrapText="1"/>
    </xf>
    <xf numFmtId="1" fontId="6" fillId="0" borderId="497" xfId="0" applyNumberFormat="1" applyFont="1" applyBorder="1" applyAlignment="1">
      <alignment horizontal="center" vertical="center"/>
    </xf>
    <xf numFmtId="1" fontId="6" fillId="0" borderId="511" xfId="0" applyNumberFormat="1" applyFont="1" applyBorder="1"/>
    <xf numFmtId="1" fontId="6" fillId="0" borderId="465" xfId="0" applyNumberFormat="1" applyFont="1" applyBorder="1"/>
    <xf numFmtId="1" fontId="6" fillId="0" borderId="333" xfId="0" applyNumberFormat="1" applyFont="1" applyBorder="1" applyAlignment="1">
      <alignment horizontal="center" vertical="center" wrapText="1"/>
    </xf>
    <xf numFmtId="1" fontId="6" fillId="0" borderId="499" xfId="0" applyNumberFormat="1" applyFont="1" applyBorder="1" applyAlignment="1">
      <alignment horizontal="center" vertical="center" wrapText="1"/>
    </xf>
    <xf numFmtId="1" fontId="6" fillId="0" borderId="505" xfId="0" applyNumberFormat="1" applyFont="1" applyBorder="1"/>
    <xf numFmtId="1" fontId="6" fillId="0" borderId="506" xfId="0" applyNumberFormat="1" applyFont="1" applyBorder="1"/>
    <xf numFmtId="1" fontId="6" fillId="0" borderId="2003" xfId="0" applyNumberFormat="1" applyFont="1" applyBorder="1" applyAlignment="1">
      <alignment horizontal="center" vertical="center"/>
    </xf>
    <xf numFmtId="1" fontId="6" fillId="0" borderId="2004" xfId="0" applyNumberFormat="1" applyFont="1" applyBorder="1" applyAlignment="1">
      <alignment horizontal="center" vertical="center"/>
    </xf>
    <xf numFmtId="1" fontId="6" fillId="14" borderId="449" xfId="0" applyNumberFormat="1" applyFont="1" applyFill="1" applyBorder="1" applyAlignment="1">
      <alignment horizontal="center" vertical="center" wrapText="1"/>
    </xf>
    <xf numFmtId="1" fontId="6" fillId="14" borderId="507" xfId="0" applyNumberFormat="1" applyFont="1" applyFill="1" applyBorder="1" applyAlignment="1">
      <alignment horizontal="center" vertical="center" wrapText="1"/>
    </xf>
    <xf numFmtId="1" fontId="6" fillId="14" borderId="520" xfId="0" applyNumberFormat="1" applyFont="1" applyFill="1" applyBorder="1" applyAlignment="1">
      <alignment horizontal="center" vertical="center" wrapText="1"/>
    </xf>
    <xf numFmtId="1" fontId="6" fillId="14" borderId="468" xfId="0" applyNumberFormat="1" applyFont="1" applyFill="1" applyBorder="1" applyAlignment="1">
      <alignment horizontal="center" vertical="center" wrapText="1"/>
    </xf>
    <xf numFmtId="1" fontId="6" fillId="14" borderId="242" xfId="0" applyNumberFormat="1" applyFont="1" applyFill="1" applyBorder="1" applyAlignment="1">
      <alignment horizontal="center" vertical="center" wrapText="1"/>
    </xf>
    <xf numFmtId="1" fontId="6" fillId="14" borderId="521" xfId="0" applyNumberFormat="1" applyFont="1" applyFill="1" applyBorder="1" applyAlignment="1">
      <alignment horizontal="center" vertical="center" wrapText="1"/>
    </xf>
    <xf numFmtId="1" fontId="6" fillId="14" borderId="522" xfId="0" applyNumberFormat="1" applyFont="1" applyFill="1" applyBorder="1" applyAlignment="1">
      <alignment horizontal="center" vertical="center" wrapText="1"/>
    </xf>
    <xf numFmtId="1" fontId="6" fillId="14" borderId="129" xfId="0" applyNumberFormat="1" applyFont="1" applyFill="1" applyBorder="1" applyAlignment="1">
      <alignment horizontal="center" vertical="center" wrapText="1"/>
    </xf>
    <xf numFmtId="1" fontId="6" fillId="0" borderId="523" xfId="0" applyNumberFormat="1" applyFont="1" applyBorder="1" applyAlignment="1">
      <alignment horizontal="center" vertical="center" wrapText="1"/>
    </xf>
    <xf numFmtId="0" fontId="6" fillId="0" borderId="2003" xfId="0" applyFont="1" applyBorder="1" applyAlignment="1">
      <alignment horizontal="center" vertical="center" wrapText="1"/>
    </xf>
    <xf numFmtId="0" fontId="6" fillId="0" borderId="2010" xfId="0" applyFont="1" applyBorder="1" applyAlignment="1">
      <alignment horizontal="center" vertical="center" wrapText="1"/>
    </xf>
    <xf numFmtId="0" fontId="6" fillId="0" borderId="2011" xfId="0" applyFont="1" applyBorder="1" applyAlignment="1">
      <alignment horizontal="center" vertical="center" wrapText="1"/>
    </xf>
    <xf numFmtId="0" fontId="6" fillId="0" borderId="2004" xfId="0" applyFont="1" applyBorder="1" applyAlignment="1">
      <alignment horizontal="center" vertical="center" wrapText="1"/>
    </xf>
    <xf numFmtId="0" fontId="6" fillId="0" borderId="449" xfId="0" applyFont="1" applyBorder="1" applyAlignment="1">
      <alignment horizontal="center" vertical="center" wrapText="1"/>
    </xf>
    <xf numFmtId="0" fontId="6" fillId="0" borderId="507" xfId="0" applyFont="1" applyBorder="1" applyAlignment="1">
      <alignment horizontal="center" vertical="center" wrapText="1"/>
    </xf>
    <xf numFmtId="1" fontId="6" fillId="0" borderId="515" xfId="0" applyNumberFormat="1" applyFont="1" applyBorder="1" applyAlignment="1">
      <alignment horizontal="left"/>
    </xf>
    <xf numFmtId="1" fontId="6" fillId="0" borderId="31" xfId="0" applyNumberFormat="1" applyFont="1" applyBorder="1" applyAlignment="1">
      <alignment horizontal="left"/>
    </xf>
    <xf numFmtId="1" fontId="6" fillId="0" borderId="519" xfId="0" applyNumberFormat="1" applyFont="1" applyBorder="1" applyAlignment="1">
      <alignment horizontal="left"/>
    </xf>
    <xf numFmtId="1" fontId="6" fillId="0" borderId="501" xfId="0" applyNumberFormat="1" applyFont="1" applyBorder="1" applyAlignment="1">
      <alignment horizontal="left"/>
    </xf>
    <xf numFmtId="1" fontId="6" fillId="0" borderId="2010" xfId="0" applyNumberFormat="1" applyFont="1" applyBorder="1" applyAlignment="1">
      <alignment horizontal="center" vertical="center"/>
    </xf>
    <xf numFmtId="1" fontId="6" fillId="0" borderId="519" xfId="0" applyNumberFormat="1" applyFont="1" applyBorder="1" applyAlignment="1">
      <alignment horizontal="left" wrapText="1"/>
    </xf>
    <xf numFmtId="1" fontId="6" fillId="0" borderId="501" xfId="0" applyNumberFormat="1" applyFont="1" applyBorder="1" applyAlignment="1">
      <alignment horizontal="left" wrapText="1"/>
    </xf>
    <xf numFmtId="1" fontId="6" fillId="0" borderId="529" xfId="0" applyNumberFormat="1" applyFont="1" applyBorder="1" applyAlignment="1">
      <alignment horizontal="left"/>
    </xf>
    <xf numFmtId="1" fontId="6" fillId="0" borderId="39" xfId="0" applyNumberFormat="1" applyFont="1" applyBorder="1" applyAlignment="1">
      <alignment horizontal="left"/>
    </xf>
    <xf numFmtId="1" fontId="6" fillId="0" borderId="333" xfId="0" applyNumberFormat="1" applyFont="1" applyBorder="1" applyAlignment="1">
      <alignment horizontal="center" vertical="center"/>
    </xf>
    <xf numFmtId="1" fontId="6" fillId="0" borderId="499" xfId="0" applyNumberFormat="1" applyFont="1" applyBorder="1" applyAlignment="1">
      <alignment horizontal="center" vertical="center"/>
    </xf>
    <xf numFmtId="1" fontId="6" fillId="0" borderId="23" xfId="0" applyNumberFormat="1" applyFont="1" applyBorder="1" applyAlignment="1">
      <alignment horizontal="left"/>
    </xf>
    <xf numFmtId="1" fontId="6" fillId="0" borderId="347" xfId="0" applyNumberFormat="1" applyFont="1" applyBorder="1" applyAlignment="1">
      <alignment horizontal="center" vertical="center"/>
    </xf>
    <xf numFmtId="0" fontId="6" fillId="0" borderId="520" xfId="0" applyFont="1" applyBorder="1" applyAlignment="1">
      <alignment horizontal="center" vertical="center" wrapText="1"/>
    </xf>
    <xf numFmtId="0" fontId="6" fillId="0" borderId="496" xfId="0" applyFont="1" applyBorder="1" applyAlignment="1">
      <alignment horizontal="center" vertical="center" wrapText="1"/>
    </xf>
    <xf numFmtId="1" fontId="6" fillId="0" borderId="61" xfId="0" applyNumberFormat="1" applyFont="1" applyBorder="1" applyAlignment="1">
      <alignment horizontal="left"/>
    </xf>
    <xf numFmtId="0" fontId="38" fillId="0" borderId="493" xfId="0" applyFont="1" applyBorder="1" applyAlignment="1">
      <alignment horizontal="center" vertical="center"/>
    </xf>
    <xf numFmtId="0" fontId="38" fillId="0" borderId="428" xfId="0" applyFont="1" applyBorder="1" applyAlignment="1">
      <alignment horizontal="center" vertical="center"/>
    </xf>
    <xf numFmtId="0" fontId="38" fillId="0" borderId="537" xfId="0" applyFont="1" applyBorder="1" applyAlignment="1">
      <alignment horizontal="center" vertical="center"/>
    </xf>
    <xf numFmtId="0" fontId="6" fillId="0" borderId="497" xfId="0" applyFont="1" applyBorder="1" applyAlignment="1">
      <alignment horizontal="center" vertical="center"/>
    </xf>
    <xf numFmtId="0" fontId="6" fillId="0" borderId="538" xfId="0" applyFont="1" applyBorder="1" applyAlignment="1">
      <alignment horizontal="center" vertical="center"/>
    </xf>
    <xf numFmtId="0" fontId="6" fillId="0" borderId="538" xfId="0" applyFont="1" applyBorder="1" applyAlignment="1">
      <alignment horizontal="center" vertical="center" wrapText="1"/>
    </xf>
    <xf numFmtId="0" fontId="6" fillId="0" borderId="497" xfId="0" applyFont="1" applyBorder="1" applyAlignment="1">
      <alignment horizontal="center" vertical="center" wrapText="1"/>
    </xf>
    <xf numFmtId="0" fontId="6" fillId="0" borderId="491" xfId="0" applyFont="1" applyBorder="1" applyAlignment="1">
      <alignment horizontal="center" vertical="center" wrapText="1"/>
    </xf>
    <xf numFmtId="0" fontId="6" fillId="0" borderId="540" xfId="0" applyFont="1" applyBorder="1" applyAlignment="1">
      <alignment horizontal="center" vertical="center" wrapText="1"/>
    </xf>
    <xf numFmtId="0" fontId="6" fillId="0" borderId="512" xfId="0" applyFont="1" applyBorder="1" applyAlignment="1">
      <alignment horizontal="center" vertical="center" wrapText="1"/>
    </xf>
    <xf numFmtId="0" fontId="6" fillId="0" borderId="329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344" xfId="0" applyFont="1" applyBorder="1" applyAlignment="1">
      <alignment horizontal="center" vertical="center" wrapText="1"/>
    </xf>
    <xf numFmtId="0" fontId="6" fillId="0" borderId="94" xfId="0" applyFont="1" applyBorder="1" applyAlignment="1">
      <alignment horizontal="center" vertical="center" wrapText="1"/>
    </xf>
    <xf numFmtId="1" fontId="6" fillId="14" borderId="1556" xfId="0" applyNumberFormat="1" applyFont="1" applyFill="1" applyBorder="1" applyAlignment="1">
      <alignment horizontal="center" vertical="center" wrapText="1"/>
    </xf>
    <xf numFmtId="1" fontId="6" fillId="14" borderId="1520" xfId="0" applyNumberFormat="1" applyFont="1" applyFill="1" applyBorder="1" applyAlignment="1">
      <alignment horizontal="center" vertical="center" wrapText="1"/>
    </xf>
    <xf numFmtId="1" fontId="6" fillId="0" borderId="1343" xfId="0" applyNumberFormat="1" applyFont="1" applyBorder="1" applyAlignment="1">
      <alignment horizontal="center" vertical="center" wrapText="1"/>
    </xf>
    <xf numFmtId="0" fontId="6" fillId="0" borderId="1553" xfId="0" applyFont="1" applyBorder="1" applyAlignment="1">
      <alignment horizontal="center" vertical="center" wrapText="1"/>
    </xf>
    <xf numFmtId="0" fontId="6" fillId="0" borderId="1554" xfId="0" applyFont="1" applyBorder="1" applyAlignment="1">
      <alignment horizontal="center" vertical="center" wrapText="1"/>
    </xf>
    <xf numFmtId="0" fontId="6" fillId="0" borderId="503" xfId="0" applyFont="1" applyBorder="1" applyAlignment="1">
      <alignment horizontal="center" vertical="center"/>
    </xf>
    <xf numFmtId="0" fontId="6" fillId="0" borderId="449" xfId="0" applyFont="1" applyBorder="1" applyAlignment="1">
      <alignment horizontal="center" vertical="center"/>
    </xf>
    <xf numFmtId="0" fontId="6" fillId="0" borderId="507" xfId="0" applyFont="1" applyBorder="1" applyAlignment="1">
      <alignment horizontal="center" vertical="center"/>
    </xf>
    <xf numFmtId="1" fontId="6" fillId="14" borderId="1563" xfId="0" applyNumberFormat="1" applyFont="1" applyFill="1" applyBorder="1" applyAlignment="1">
      <alignment horizontal="center" vertical="center" wrapText="1"/>
    </xf>
    <xf numFmtId="1" fontId="6" fillId="14" borderId="1553" xfId="0" applyNumberFormat="1" applyFont="1" applyFill="1" applyBorder="1" applyAlignment="1">
      <alignment horizontal="center" vertical="center" wrapText="1"/>
    </xf>
    <xf numFmtId="1" fontId="6" fillId="14" borderId="1554" xfId="0" applyNumberFormat="1" applyFont="1" applyFill="1" applyBorder="1" applyAlignment="1">
      <alignment horizontal="center" vertical="center" wrapText="1"/>
    </xf>
    <xf numFmtId="1" fontId="6" fillId="0" borderId="537" xfId="0" applyNumberFormat="1" applyFont="1" applyBorder="1" applyAlignment="1">
      <alignment horizontal="center" vertical="center" wrapText="1"/>
    </xf>
    <xf numFmtId="0" fontId="6" fillId="0" borderId="1563" xfId="0" applyFont="1" applyBorder="1" applyAlignment="1">
      <alignment horizontal="center" vertical="center" wrapText="1"/>
    </xf>
    <xf numFmtId="0" fontId="43" fillId="0" borderId="508" xfId="0" applyFont="1" applyBorder="1" applyAlignment="1">
      <alignment horizontal="center" vertical="center"/>
    </xf>
    <xf numFmtId="0" fontId="43" fillId="0" borderId="491" xfId="0" applyFont="1" applyBorder="1" applyAlignment="1">
      <alignment horizontal="center" vertical="center"/>
    </xf>
    <xf numFmtId="0" fontId="43" fillId="0" borderId="416" xfId="0" applyFont="1" applyBorder="1" applyAlignment="1">
      <alignment horizontal="center" vertical="center"/>
    </xf>
    <xf numFmtId="0" fontId="43" fillId="0" borderId="510" xfId="0" applyFont="1" applyBorder="1" applyAlignment="1">
      <alignment horizontal="center" vertical="center"/>
    </xf>
    <xf numFmtId="0" fontId="43" fillId="0" borderId="523" xfId="0" applyFont="1" applyBorder="1" applyAlignment="1">
      <alignment horizontal="center" vertical="center"/>
    </xf>
    <xf numFmtId="0" fontId="43" fillId="0" borderId="432" xfId="0" applyFont="1" applyBorder="1" applyAlignment="1">
      <alignment horizontal="center" vertical="center"/>
    </xf>
    <xf numFmtId="0" fontId="6" fillId="0" borderId="239" xfId="0" applyFont="1" applyBorder="1" applyAlignment="1">
      <alignment horizontal="center" vertical="center"/>
    </xf>
    <xf numFmtId="0" fontId="6" fillId="0" borderId="491" xfId="0" applyFont="1" applyBorder="1" applyAlignment="1">
      <alignment horizontal="center" vertical="center"/>
    </xf>
    <xf numFmtId="0" fontId="6" fillId="0" borderId="347" xfId="0" applyFont="1" applyBorder="1" applyAlignment="1">
      <alignment horizontal="center" vertical="center"/>
    </xf>
    <xf numFmtId="0" fontId="6" fillId="0" borderId="432" xfId="0" applyFont="1" applyBorder="1" applyAlignment="1">
      <alignment horizontal="center" vertical="center"/>
    </xf>
    <xf numFmtId="0" fontId="48" fillId="0" borderId="716" xfId="0" applyFont="1" applyBorder="1" applyAlignment="1">
      <alignment horizontal="center" vertical="center" wrapText="1"/>
    </xf>
    <xf numFmtId="0" fontId="48" fillId="0" borderId="705" xfId="0" applyFont="1" applyBorder="1" applyAlignment="1">
      <alignment horizontal="center" vertical="center" wrapText="1"/>
    </xf>
    <xf numFmtId="0" fontId="48" fillId="0" borderId="712" xfId="0" applyFont="1" applyBorder="1" applyAlignment="1">
      <alignment horizontal="center" vertical="center" wrapText="1"/>
    </xf>
    <xf numFmtId="0" fontId="48" fillId="0" borderId="764" xfId="0" applyFont="1" applyBorder="1" applyAlignment="1">
      <alignment horizontal="center" vertical="center" wrapText="1"/>
    </xf>
    <xf numFmtId="0" fontId="48" fillId="0" borderId="653" xfId="0" applyFont="1" applyBorder="1" applyAlignment="1">
      <alignment horizontal="center" vertical="center" wrapText="1"/>
    </xf>
    <xf numFmtId="0" fontId="48" fillId="0" borderId="725" xfId="0" applyFont="1" applyBorder="1" applyAlignment="1">
      <alignment horizontal="center" vertical="center" wrapText="1"/>
    </xf>
    <xf numFmtId="0" fontId="48" fillId="0" borderId="732" xfId="0" applyFont="1" applyBorder="1" applyAlignment="1">
      <alignment horizontal="center" vertical="center"/>
    </xf>
    <xf numFmtId="0" fontId="48" fillId="0" borderId="733" xfId="0" applyFont="1" applyBorder="1" applyAlignment="1">
      <alignment horizontal="center" vertical="center"/>
    </xf>
    <xf numFmtId="0" fontId="48" fillId="0" borderId="762" xfId="0" applyFont="1" applyBorder="1" applyAlignment="1">
      <alignment horizontal="center" vertical="center"/>
    </xf>
    <xf numFmtId="0" fontId="48" fillId="0" borderId="716" xfId="0" applyFont="1" applyBorder="1" applyAlignment="1">
      <alignment horizontal="center" vertical="center"/>
    </xf>
    <xf numFmtId="0" fontId="48" fillId="0" borderId="428" xfId="0" applyFont="1" applyBorder="1" applyAlignment="1">
      <alignment horizontal="center" vertical="center"/>
    </xf>
    <xf numFmtId="0" fontId="48" fillId="0" borderId="705" xfId="0" applyFont="1" applyBorder="1" applyAlignment="1">
      <alignment horizontal="center" vertical="center"/>
    </xf>
    <xf numFmtId="0" fontId="48" fillId="0" borderId="709" xfId="0" applyFont="1" applyBorder="1" applyAlignment="1">
      <alignment horizontal="center" vertical="center" wrapText="1"/>
    </xf>
    <xf numFmtId="0" fontId="48" fillId="0" borderId="719" xfId="0" applyFont="1" applyBorder="1" applyAlignment="1">
      <alignment horizontal="center" vertical="center" wrapText="1"/>
    </xf>
    <xf numFmtId="0" fontId="48" fillId="0" borderId="416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510" xfId="0" applyFont="1" applyBorder="1" applyAlignment="1">
      <alignment horizontal="center" vertical="center" wrapText="1"/>
    </xf>
    <xf numFmtId="0" fontId="48" fillId="0" borderId="734" xfId="0" applyFont="1" applyBorder="1" applyAlignment="1">
      <alignment horizontal="center" vertical="center"/>
    </xf>
    <xf numFmtId="0" fontId="48" fillId="0" borderId="732" xfId="0" applyFont="1" applyBorder="1" applyAlignment="1">
      <alignment horizontal="center" vertical="center" wrapText="1"/>
    </xf>
    <xf numFmtId="0" fontId="48" fillId="0" borderId="734" xfId="0" applyFont="1" applyBorder="1" applyAlignment="1">
      <alignment horizontal="center" vertical="center" wrapText="1"/>
    </xf>
    <xf numFmtId="49" fontId="48" fillId="0" borderId="732" xfId="0" applyNumberFormat="1" applyFont="1" applyBorder="1" applyAlignment="1">
      <alignment horizontal="center"/>
    </xf>
    <xf numFmtId="49" fontId="48" fillId="0" borderId="734" xfId="0" applyNumberFormat="1" applyFont="1" applyBorder="1" applyAlignment="1">
      <alignment horizontal="center"/>
    </xf>
    <xf numFmtId="1" fontId="6" fillId="0" borderId="657" xfId="0" applyNumberFormat="1" applyFont="1" applyBorder="1" applyAlignment="1">
      <alignment horizontal="center" vertical="center" wrapText="1"/>
    </xf>
    <xf numFmtId="1" fontId="6" fillId="0" borderId="702" xfId="0" applyNumberFormat="1" applyFont="1" applyBorder="1" applyAlignment="1">
      <alignment horizontal="center" vertical="center" wrapText="1"/>
    </xf>
    <xf numFmtId="1" fontId="6" fillId="0" borderId="653" xfId="0" applyNumberFormat="1" applyFont="1" applyBorder="1" applyAlignment="1">
      <alignment horizontal="center" vertical="center" wrapText="1"/>
    </xf>
    <xf numFmtId="0" fontId="48" fillId="0" borderId="2003" xfId="0" applyFont="1" applyBorder="1" applyAlignment="1">
      <alignment horizontal="center" vertical="center" wrapText="1"/>
    </xf>
    <xf numFmtId="0" fontId="48" fillId="0" borderId="2010" xfId="0" applyFont="1" applyBorder="1" applyAlignment="1">
      <alignment horizontal="center" vertical="center" wrapText="1"/>
    </xf>
    <xf numFmtId="0" fontId="48" fillId="0" borderId="762" xfId="0" applyFont="1" applyBorder="1" applyAlignment="1">
      <alignment horizontal="center" vertical="center" wrapText="1"/>
    </xf>
    <xf numFmtId="0" fontId="48" fillId="0" borderId="976" xfId="0" applyFont="1" applyBorder="1" applyAlignment="1">
      <alignment horizontal="center" vertical="center" wrapText="1"/>
    </xf>
    <xf numFmtId="0" fontId="48" fillId="0" borderId="916" xfId="0" applyFont="1" applyBorder="1" applyAlignment="1">
      <alignment horizontal="center" vertical="center" wrapText="1"/>
    </xf>
    <xf numFmtId="0" fontId="48" fillId="0" borderId="634" xfId="0" applyFont="1" applyBorder="1" applyAlignment="1">
      <alignment horizontal="center" vertical="center" wrapText="1"/>
    </xf>
    <xf numFmtId="0" fontId="48" fillId="0" borderId="768" xfId="0" applyFont="1" applyBorder="1" applyAlignment="1">
      <alignment horizontal="center" vertical="center" wrapText="1"/>
    </xf>
    <xf numFmtId="0" fontId="48" fillId="0" borderId="755" xfId="0" applyFont="1" applyBorder="1" applyAlignment="1">
      <alignment horizontal="center" vertical="center" wrapText="1"/>
    </xf>
    <xf numFmtId="0" fontId="48" fillId="0" borderId="712" xfId="0" applyFont="1" applyBorder="1" applyAlignment="1">
      <alignment horizontal="center" vertical="center"/>
    </xf>
    <xf numFmtId="0" fontId="48" fillId="0" borderId="764" xfId="0" applyFont="1" applyBorder="1" applyAlignment="1">
      <alignment horizontal="center" vertical="center"/>
    </xf>
    <xf numFmtId="0" fontId="4" fillId="0" borderId="724" xfId="0" applyFont="1" applyBorder="1" applyAlignment="1">
      <alignment horizontal="left" wrapText="1"/>
    </xf>
    <xf numFmtId="0" fontId="6" fillId="0" borderId="799" xfId="0" applyFont="1" applyBorder="1" applyAlignment="1">
      <alignment horizontal="center" vertical="center" wrapText="1"/>
    </xf>
    <xf numFmtId="0" fontId="6" fillId="0" borderId="705" xfId="0" applyFont="1" applyBorder="1" applyAlignment="1">
      <alignment horizontal="center" vertical="center" wrapText="1"/>
    </xf>
    <xf numFmtId="0" fontId="38" fillId="0" borderId="794" xfId="0" applyFont="1" applyBorder="1" applyAlignment="1">
      <alignment horizontal="center" vertical="center" wrapText="1"/>
    </xf>
    <xf numFmtId="0" fontId="38" fillId="0" borderId="725" xfId="0" applyFont="1" applyBorder="1" applyAlignment="1">
      <alignment horizontal="center" vertical="center" wrapText="1"/>
    </xf>
    <xf numFmtId="0" fontId="6" fillId="0" borderId="940" xfId="0" applyFont="1" applyBorder="1" applyAlignment="1">
      <alignment horizontal="center" vertical="center"/>
    </xf>
    <xf numFmtId="0" fontId="6" fillId="0" borderId="880" xfId="0" applyFont="1" applyBorder="1" applyAlignment="1">
      <alignment horizontal="center" vertical="center"/>
    </xf>
    <xf numFmtId="0" fontId="6" fillId="0" borderId="732" xfId="0" applyFont="1" applyBorder="1" applyAlignment="1">
      <alignment horizontal="center" vertical="center"/>
    </xf>
    <xf numFmtId="0" fontId="6" fillId="0" borderId="733" xfId="0" applyFont="1" applyBorder="1" applyAlignment="1">
      <alignment horizontal="center" vertical="center"/>
    </xf>
    <xf numFmtId="0" fontId="6" fillId="0" borderId="762" xfId="0" applyFont="1" applyBorder="1" applyAlignment="1">
      <alignment horizontal="center" vertical="center"/>
    </xf>
    <xf numFmtId="0" fontId="6" fillId="0" borderId="759" xfId="0" applyFont="1" applyBorder="1" applyAlignment="1">
      <alignment horizontal="center" vertical="center" wrapText="1"/>
    </xf>
    <xf numFmtId="0" fontId="6" fillId="0" borderId="760" xfId="0" applyFont="1" applyBorder="1" applyAlignment="1">
      <alignment horizontal="center" vertical="center" wrapText="1"/>
    </xf>
    <xf numFmtId="0" fontId="6" fillId="0" borderId="879" xfId="0" applyFont="1" applyBorder="1" applyAlignment="1">
      <alignment horizontal="center" vertical="center" wrapText="1"/>
    </xf>
    <xf numFmtId="0" fontId="6" fillId="0" borderId="725" xfId="0" applyFont="1" applyBorder="1" applyAlignment="1">
      <alignment horizontal="center" vertical="center" wrapText="1"/>
    </xf>
    <xf numFmtId="0" fontId="4" fillId="0" borderId="175" xfId="0" applyFont="1" applyBorder="1" applyAlignment="1">
      <alignment horizontal="left" wrapText="1"/>
    </xf>
    <xf numFmtId="0" fontId="4" fillId="0" borderId="795" xfId="0" applyFont="1" applyBorder="1" applyAlignment="1">
      <alignment horizontal="left" wrapText="1"/>
    </xf>
    <xf numFmtId="0" fontId="43" fillId="0" borderId="794" xfId="0" applyFont="1" applyBorder="1" applyAlignment="1">
      <alignment horizontal="center" vertical="center" wrapText="1"/>
    </xf>
    <xf numFmtId="0" fontId="43" fillId="0" borderId="725" xfId="0" applyFont="1" applyBorder="1" applyAlignment="1">
      <alignment horizontal="center" vertical="center" wrapText="1"/>
    </xf>
    <xf numFmtId="0" fontId="6" fillId="0" borderId="786" xfId="0" applyFont="1" applyBorder="1" applyAlignment="1">
      <alignment horizontal="center" vertical="center" wrapText="1"/>
    </xf>
    <xf numFmtId="0" fontId="6" fillId="0" borderId="755" xfId="0" applyFont="1" applyBorder="1" applyAlignment="1">
      <alignment horizontal="center" vertical="center" wrapText="1"/>
    </xf>
    <xf numFmtId="0" fontId="6" fillId="0" borderId="794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8" fillId="0" borderId="794" xfId="0" applyFont="1" applyBorder="1" applyAlignment="1">
      <alignment horizontal="center"/>
    </xf>
    <xf numFmtId="0" fontId="38" fillId="0" borderId="725" xfId="0" applyFont="1" applyBorder="1" applyAlignment="1">
      <alignment horizontal="center"/>
    </xf>
    <xf numFmtId="0" fontId="38" fillId="0" borderId="879" xfId="0" applyFont="1" applyBorder="1" applyAlignment="1">
      <alignment horizontal="center" vertical="center" wrapText="1"/>
    </xf>
    <xf numFmtId="0" fontId="38" fillId="0" borderId="799" xfId="0" applyFont="1" applyBorder="1" applyAlignment="1">
      <alignment horizontal="center"/>
    </xf>
    <xf numFmtId="0" fontId="38" fillId="0" borderId="705" xfId="0" applyFont="1" applyBorder="1" applyAlignment="1">
      <alignment horizontal="center"/>
    </xf>
    <xf numFmtId="0" fontId="6" fillId="0" borderId="940" xfId="0" applyFont="1" applyBorder="1" applyAlignment="1">
      <alignment horizontal="center" vertical="center" wrapText="1"/>
    </xf>
    <xf numFmtId="0" fontId="6" fillId="0" borderId="880" xfId="0" applyFont="1" applyBorder="1" applyAlignment="1">
      <alignment horizontal="center" vertical="center" wrapText="1"/>
    </xf>
    <xf numFmtId="0" fontId="6" fillId="0" borderId="942" xfId="0" applyFont="1" applyBorder="1" applyAlignment="1">
      <alignment horizontal="center" vertical="center"/>
    </xf>
    <xf numFmtId="0" fontId="4" fillId="14" borderId="175" xfId="0" applyFont="1" applyFill="1" applyBorder="1" applyAlignment="1">
      <alignment horizontal="left" wrapText="1"/>
    </xf>
    <xf numFmtId="1" fontId="6" fillId="0" borderId="2006" xfId="0" applyNumberFormat="1" applyFont="1" applyBorder="1" applyAlignment="1">
      <alignment horizontal="center" vertical="center" wrapText="1"/>
    </xf>
    <xf numFmtId="1" fontId="6" fillId="0" borderId="2007" xfId="0" applyNumberFormat="1" applyFont="1" applyBorder="1" applyAlignment="1">
      <alignment horizontal="center" vertical="center" wrapText="1"/>
    </xf>
    <xf numFmtId="1" fontId="6" fillId="0" borderId="1570" xfId="0" applyNumberFormat="1" applyFont="1" applyBorder="1" applyAlignment="1">
      <alignment horizontal="center" vertical="center" wrapText="1"/>
    </xf>
    <xf numFmtId="1" fontId="6" fillId="0" borderId="1411" xfId="0" applyNumberFormat="1" applyFont="1" applyBorder="1" applyAlignment="1">
      <alignment horizontal="center" vertical="center" wrapText="1"/>
    </xf>
    <xf numFmtId="1" fontId="6" fillId="0" borderId="1935" xfId="0" applyNumberFormat="1" applyFont="1" applyBorder="1" applyAlignment="1">
      <alignment horizontal="center" vertical="center" wrapText="1"/>
    </xf>
    <xf numFmtId="1" fontId="6" fillId="0" borderId="1934" xfId="0" applyNumberFormat="1" applyFont="1" applyBorder="1" applyAlignment="1">
      <alignment horizontal="center" vertical="center" wrapText="1"/>
    </xf>
    <xf numFmtId="1" fontId="6" fillId="0" borderId="361" xfId="0" applyNumberFormat="1" applyFont="1" applyBorder="1" applyAlignment="1">
      <alignment horizontal="center" vertical="center" wrapText="1"/>
    </xf>
    <xf numFmtId="1" fontId="32" fillId="0" borderId="362" xfId="0" applyNumberFormat="1" applyFont="1" applyBorder="1" applyAlignment="1">
      <alignment horizontal="center" vertical="center" wrapText="1"/>
    </xf>
    <xf numFmtId="1" fontId="6" fillId="0" borderId="367" xfId="0" applyNumberFormat="1" applyFont="1" applyBorder="1" applyAlignment="1">
      <alignment horizontal="center" vertical="center" wrapText="1"/>
    </xf>
    <xf numFmtId="1" fontId="6" fillId="0" borderId="366" xfId="0" applyNumberFormat="1" applyFont="1" applyBorder="1" applyAlignment="1">
      <alignment horizontal="center" vertical="center" wrapText="1"/>
    </xf>
    <xf numFmtId="1" fontId="6" fillId="0" borderId="365" xfId="0" applyNumberFormat="1" applyFont="1" applyBorder="1" applyAlignment="1">
      <alignment horizontal="center" vertical="center" wrapText="1"/>
    </xf>
    <xf numFmtId="1" fontId="6" fillId="0" borderId="362" xfId="0" applyNumberFormat="1" applyFont="1" applyBorder="1" applyAlignment="1">
      <alignment horizontal="center" vertical="center"/>
    </xf>
    <xf numFmtId="1" fontId="6" fillId="0" borderId="367" xfId="0" applyNumberFormat="1" applyFont="1" applyBorder="1" applyAlignment="1">
      <alignment horizontal="center" vertical="center"/>
    </xf>
    <xf numFmtId="1" fontId="6" fillId="0" borderId="366" xfId="0" applyNumberFormat="1" applyFont="1" applyBorder="1" applyAlignment="1">
      <alignment horizontal="center" vertical="center"/>
    </xf>
    <xf numFmtId="1" fontId="6" fillId="0" borderId="365" xfId="0" applyNumberFormat="1" applyFont="1" applyBorder="1" applyAlignment="1">
      <alignment horizontal="center" vertical="center"/>
    </xf>
    <xf numFmtId="1" fontId="6" fillId="0" borderId="2165" xfId="0" applyNumberFormat="1" applyFont="1" applyBorder="1" applyAlignment="1">
      <alignment horizontal="center" vertical="center" wrapText="1"/>
    </xf>
    <xf numFmtId="1" fontId="6" fillId="0" borderId="2154" xfId="0" applyNumberFormat="1" applyFont="1" applyBorder="1" applyAlignment="1">
      <alignment horizontal="center" vertical="center" wrapText="1"/>
    </xf>
    <xf numFmtId="1" fontId="6" fillId="0" borderId="2165" xfId="0" applyNumberFormat="1" applyFont="1" applyBorder="1" applyAlignment="1">
      <alignment horizontal="center" vertical="center"/>
    </xf>
    <xf numFmtId="1" fontId="6" fillId="0" borderId="2180" xfId="0" applyNumberFormat="1" applyFont="1" applyBorder="1" applyAlignment="1">
      <alignment horizontal="center" vertical="center"/>
    </xf>
    <xf numFmtId="1" fontId="6" fillId="0" borderId="2159" xfId="0" applyNumberFormat="1" applyFont="1" applyBorder="1" applyAlignment="1">
      <alignment horizontal="center" vertical="center"/>
    </xf>
    <xf numFmtId="1" fontId="6" fillId="0" borderId="2163" xfId="0" applyNumberFormat="1" applyFont="1" applyBorder="1" applyAlignment="1">
      <alignment horizontal="center" vertical="center" wrapText="1"/>
    </xf>
    <xf numFmtId="1" fontId="6" fillId="0" borderId="2006" xfId="0" applyNumberFormat="1" applyFont="1" applyBorder="1" applyAlignment="1">
      <alignment horizontal="center" vertical="center"/>
    </xf>
    <xf numFmtId="1" fontId="6" fillId="0" borderId="2008" xfId="0" applyNumberFormat="1" applyFont="1" applyBorder="1" applyAlignment="1">
      <alignment horizontal="center" vertical="center"/>
    </xf>
    <xf numFmtId="1" fontId="2" fillId="3" borderId="0" xfId="0" applyNumberFormat="1" applyFont="1" applyFill="1" applyAlignment="1">
      <alignment wrapText="1"/>
    </xf>
    <xf numFmtId="1" fontId="6" fillId="0" borderId="242" xfId="0" applyNumberFormat="1" applyFont="1" applyBorder="1" applyAlignment="1">
      <alignment horizontal="center" vertical="center"/>
    </xf>
    <xf numFmtId="1" fontId="6" fillId="0" borderId="364" xfId="0" applyNumberFormat="1" applyFont="1" applyBorder="1" applyAlignment="1">
      <alignment horizontal="center" vertical="center"/>
    </xf>
    <xf numFmtId="1" fontId="6" fillId="0" borderId="374" xfId="0" applyNumberFormat="1" applyFont="1" applyBorder="1" applyAlignment="1">
      <alignment horizontal="center" vertical="center"/>
    </xf>
    <xf numFmtId="1" fontId="6" fillId="0" borderId="1935" xfId="0" applyNumberFormat="1" applyFont="1" applyBorder="1" applyAlignment="1">
      <alignment horizontal="center" vertical="center"/>
    </xf>
    <xf numFmtId="1" fontId="6" fillId="0" borderId="1933" xfId="0" applyNumberFormat="1" applyFont="1" applyBorder="1" applyAlignment="1">
      <alignment horizontal="center" vertical="center"/>
    </xf>
    <xf numFmtId="1" fontId="6" fillId="0" borderId="1932" xfId="0" applyNumberFormat="1" applyFont="1" applyBorder="1" applyAlignment="1">
      <alignment horizontal="center" vertical="center" wrapText="1"/>
    </xf>
    <xf numFmtId="1" fontId="32" fillId="0" borderId="1617" xfId="0" applyNumberFormat="1" applyFont="1" applyBorder="1" applyAlignment="1" applyProtection="1">
      <alignment horizontal="center" vertical="center" wrapText="1"/>
      <protection hidden="1"/>
    </xf>
    <xf numFmtId="1" fontId="32" fillId="0" borderId="1654" xfId="0" applyNumberFormat="1" applyFont="1" applyBorder="1" applyAlignment="1" applyProtection="1">
      <alignment horizontal="center" vertical="center" wrapText="1"/>
      <protection hidden="1"/>
    </xf>
    <xf numFmtId="1" fontId="32" fillId="0" borderId="1737" xfId="0" applyNumberFormat="1" applyFont="1" applyBorder="1" applyAlignment="1" applyProtection="1">
      <alignment horizontal="center" vertical="center" wrapText="1"/>
      <protection hidden="1"/>
    </xf>
    <xf numFmtId="1" fontId="32" fillId="0" borderId="1677" xfId="0" applyNumberFormat="1" applyFont="1" applyBorder="1" applyAlignment="1" applyProtection="1">
      <alignment horizontal="center" vertical="center" wrapText="1"/>
      <protection hidden="1"/>
    </xf>
    <xf numFmtId="1" fontId="32" fillId="0" borderId="1720" xfId="0" applyNumberFormat="1" applyFont="1" applyBorder="1" applyAlignment="1" applyProtection="1">
      <alignment horizontal="center" vertical="center" wrapText="1"/>
      <protection hidden="1"/>
    </xf>
    <xf numFmtId="1" fontId="38" fillId="3" borderId="2415" xfId="0" applyNumberFormat="1" applyFont="1" applyFill="1" applyBorder="1" applyAlignment="1">
      <alignment horizontal="center" vertical="center" wrapText="1"/>
    </xf>
    <xf numFmtId="1" fontId="38" fillId="3" borderId="133" xfId="0" applyNumberFormat="1" applyFont="1" applyFill="1" applyBorder="1" applyAlignment="1">
      <alignment horizontal="center" vertical="center" wrapText="1"/>
    </xf>
    <xf numFmtId="1" fontId="6" fillId="14" borderId="2165" xfId="0" applyNumberFormat="1" applyFont="1" applyFill="1" applyBorder="1" applyAlignment="1">
      <alignment horizontal="center" vertical="center" wrapText="1"/>
    </xf>
    <xf numFmtId="1" fontId="6" fillId="14" borderId="2159" xfId="0" applyNumberFormat="1" applyFont="1" applyFill="1" applyBorder="1" applyAlignment="1">
      <alignment horizontal="center" vertical="center" wrapText="1"/>
    </xf>
    <xf numFmtId="1" fontId="6" fillId="14" borderId="2234" xfId="0" applyNumberFormat="1" applyFont="1" applyFill="1" applyBorder="1" applyAlignment="1">
      <alignment horizontal="center" vertical="center" wrapText="1"/>
    </xf>
    <xf numFmtId="1" fontId="6" fillId="0" borderId="493" xfId="0" applyNumberFormat="1" applyFont="1" applyBorder="1" applyAlignment="1">
      <alignment horizontal="center" vertical="center"/>
    </xf>
    <xf numFmtId="1" fontId="6" fillId="0" borderId="327" xfId="0" applyNumberFormat="1" applyFont="1" applyBorder="1" applyAlignment="1">
      <alignment horizontal="left" wrapText="1"/>
    </xf>
    <xf numFmtId="1" fontId="6" fillId="0" borderId="326" xfId="0" applyNumberFormat="1" applyFont="1" applyBorder="1" applyAlignment="1">
      <alignment horizontal="left" wrapText="1"/>
    </xf>
    <xf numFmtId="1" fontId="6" fillId="0" borderId="61" xfId="0" applyNumberFormat="1" applyFont="1" applyBorder="1" applyAlignment="1">
      <alignment horizontal="left" wrapText="1"/>
    </xf>
    <xf numFmtId="1" fontId="6" fillId="0" borderId="39" xfId="0" applyNumberFormat="1" applyFont="1" applyBorder="1" applyAlignment="1">
      <alignment horizontal="left" wrapText="1"/>
    </xf>
    <xf numFmtId="1" fontId="6" fillId="0" borderId="23" xfId="0" applyNumberFormat="1" applyFont="1" applyBorder="1" applyAlignment="1">
      <alignment horizontal="left" wrapText="1"/>
    </xf>
    <xf numFmtId="1" fontId="6" fillId="0" borderId="21" xfId="0" applyNumberFormat="1" applyFont="1" applyBorder="1" applyAlignment="1">
      <alignment horizontal="left" wrapText="1"/>
    </xf>
    <xf numFmtId="1" fontId="13" fillId="0" borderId="503" xfId="0" applyNumberFormat="1" applyFont="1" applyBorder="1" applyAlignment="1">
      <alignment horizontal="center" wrapText="1"/>
    </xf>
    <xf numFmtId="1" fontId="13" fillId="0" borderId="496" xfId="0" applyNumberFormat="1" applyFont="1" applyBorder="1" applyAlignment="1">
      <alignment horizontal="center" wrapText="1"/>
    </xf>
    <xf numFmtId="1" fontId="6" fillId="0" borderId="503" xfId="0" applyNumberFormat="1" applyFont="1" applyBorder="1" applyAlignment="1">
      <alignment horizontal="left" wrapText="1"/>
    </xf>
    <xf numFmtId="1" fontId="6" fillId="0" borderId="496" xfId="0" applyNumberFormat="1" applyFont="1" applyBorder="1" applyAlignment="1">
      <alignment horizontal="left" wrapText="1"/>
    </xf>
    <xf numFmtId="1" fontId="4" fillId="0" borderId="576" xfId="0" applyNumberFormat="1" applyFont="1" applyBorder="1"/>
    <xf numFmtId="1" fontId="4" fillId="0" borderId="175" xfId="0" applyNumberFormat="1" applyFont="1" applyBorder="1"/>
    <xf numFmtId="1" fontId="4" fillId="0" borderId="663" xfId="0" applyNumberFormat="1" applyFont="1" applyBorder="1"/>
    <xf numFmtId="1" fontId="6" fillId="0" borderId="950" xfId="28" applyNumberFormat="1" applyFont="1" applyBorder="1" applyAlignment="1">
      <alignment horizontal="center" wrapText="1"/>
    </xf>
    <xf numFmtId="1" fontId="6" fillId="0" borderId="945" xfId="28" applyNumberFormat="1" applyFont="1" applyBorder="1" applyAlignment="1">
      <alignment horizontal="center" wrapText="1"/>
    </xf>
    <xf numFmtId="1" fontId="6" fillId="0" borderId="940" xfId="28" applyNumberFormat="1" applyFont="1" applyBorder="1" applyAlignment="1">
      <alignment horizontal="center" vertical="center" wrapText="1"/>
    </xf>
    <xf numFmtId="1" fontId="6" fillId="0" borderId="880" xfId="28" applyNumberFormat="1" applyFont="1" applyBorder="1" applyAlignment="1">
      <alignment horizontal="center" vertical="center" wrapText="1"/>
    </xf>
    <xf numFmtId="1" fontId="4" fillId="0" borderId="239" xfId="28" applyNumberFormat="1" applyFont="1" applyBorder="1" applyAlignment="1">
      <alignment horizontal="left" wrapText="1"/>
    </xf>
    <xf numFmtId="1" fontId="6" fillId="0" borderId="240" xfId="28" applyNumberFormat="1" applyFont="1" applyBorder="1" applyAlignment="1">
      <alignment horizontal="center" vertical="center" wrapText="1"/>
    </xf>
    <xf numFmtId="1" fontId="6" fillId="0" borderId="68" xfId="28" applyNumberFormat="1" applyFont="1" applyBorder="1" applyAlignment="1">
      <alignment horizontal="center" vertical="center" wrapText="1"/>
    </xf>
    <xf numFmtId="1" fontId="6" fillId="0" borderId="177" xfId="28" applyNumberFormat="1" applyFont="1" applyBorder="1" applyAlignment="1">
      <alignment horizontal="center" vertical="center" wrapText="1"/>
    </xf>
    <xf numFmtId="1" fontId="6" fillId="0" borderId="241" xfId="28" applyNumberFormat="1" applyFont="1" applyBorder="1" applyAlignment="1">
      <alignment horizontal="center" vertical="center" wrapText="1"/>
    </xf>
    <xf numFmtId="1" fontId="6" fillId="0" borderId="238" xfId="28" applyNumberFormat="1" applyFont="1" applyBorder="1" applyAlignment="1">
      <alignment horizontal="center" vertical="center" wrapText="1"/>
    </xf>
    <xf numFmtId="1" fontId="6" fillId="0" borderId="437" xfId="28" applyNumberFormat="1" applyFont="1" applyBorder="1" applyAlignment="1">
      <alignment horizontal="center" vertical="center" wrapText="1"/>
    </xf>
    <xf numFmtId="1" fontId="6" fillId="0" borderId="449" xfId="28" applyNumberFormat="1" applyFont="1" applyBorder="1" applyAlignment="1">
      <alignment horizontal="center" vertical="center" wrapText="1"/>
    </xf>
    <xf numFmtId="1" fontId="6" fillId="0" borderId="435" xfId="28" applyNumberFormat="1" applyFont="1" applyBorder="1" applyAlignment="1">
      <alignment horizontal="center" vertical="center" wrapText="1"/>
    </xf>
    <xf numFmtId="1" fontId="6" fillId="0" borderId="493" xfId="28" applyNumberFormat="1" applyFont="1" applyBorder="1" applyAlignment="1">
      <alignment horizontal="center" vertical="center" wrapText="1"/>
    </xf>
    <xf numFmtId="1" fontId="6" fillId="0" borderId="537" xfId="28" applyNumberFormat="1" applyFont="1" applyBorder="1" applyAlignment="1">
      <alignment horizontal="center" vertical="center" wrapText="1"/>
    </xf>
    <xf numFmtId="1" fontId="6" fillId="0" borderId="1252" xfId="0" applyNumberFormat="1" applyFont="1" applyBorder="1" applyAlignment="1">
      <alignment horizontal="center" vertical="center" wrapText="1"/>
    </xf>
    <xf numFmtId="1" fontId="6" fillId="3" borderId="2389" xfId="0" applyNumberFormat="1" applyFont="1" applyFill="1" applyBorder="1" applyAlignment="1">
      <alignment horizontal="center" vertical="center"/>
    </xf>
    <xf numFmtId="1" fontId="6" fillId="3" borderId="2386" xfId="0" applyNumberFormat="1" applyFont="1" applyFill="1" applyBorder="1" applyAlignment="1">
      <alignment horizontal="center" vertical="center"/>
    </xf>
    <xf numFmtId="1" fontId="6" fillId="3" borderId="241" xfId="0" applyNumberFormat="1" applyFont="1" applyFill="1" applyBorder="1" applyAlignment="1">
      <alignment horizontal="center" vertical="center" wrapText="1"/>
    </xf>
    <xf numFmtId="1" fontId="6" fillId="3" borderId="238" xfId="0" applyNumberFormat="1" applyFont="1" applyFill="1" applyBorder="1" applyAlignment="1">
      <alignment horizontal="center" vertical="center" wrapText="1"/>
    </xf>
    <xf numFmtId="1" fontId="4" fillId="3" borderId="1668" xfId="0" applyNumberFormat="1" applyFont="1" applyFill="1" applyBorder="1" applyAlignment="1">
      <alignment horizontal="center" vertical="center"/>
    </xf>
    <xf numFmtId="1" fontId="4" fillId="3" borderId="1667" xfId="0" applyNumberFormat="1" applyFont="1" applyFill="1" applyBorder="1" applyAlignment="1">
      <alignment horizontal="center" vertical="center"/>
    </xf>
    <xf numFmtId="1" fontId="6" fillId="3" borderId="1727" xfId="0" applyNumberFormat="1" applyFont="1" applyFill="1" applyBorder="1" applyAlignment="1">
      <alignment horizontal="center" vertical="center" wrapText="1"/>
    </xf>
    <xf numFmtId="1" fontId="6" fillId="3" borderId="1654" xfId="0" applyNumberFormat="1" applyFont="1" applyFill="1" applyBorder="1" applyAlignment="1">
      <alignment horizontal="center" vertical="center" wrapText="1"/>
    </xf>
    <xf numFmtId="1" fontId="6" fillId="3" borderId="795" xfId="0" applyNumberFormat="1" applyFont="1" applyFill="1" applyBorder="1" applyAlignment="1">
      <alignment horizontal="center" vertical="center" wrapText="1"/>
    </xf>
    <xf numFmtId="1" fontId="6" fillId="3" borderId="1653" xfId="0" applyNumberFormat="1" applyFont="1" applyFill="1" applyBorder="1" applyAlignment="1">
      <alignment horizontal="center" vertical="center" wrapText="1"/>
    </xf>
    <xf numFmtId="1" fontId="6" fillId="3" borderId="1616" xfId="0" applyNumberFormat="1" applyFont="1" applyFill="1" applyBorder="1" applyAlignment="1">
      <alignment horizontal="center" vertical="center" wrapText="1"/>
    </xf>
    <xf numFmtId="1" fontId="6" fillId="3" borderId="1617" xfId="0" applyNumberFormat="1" applyFont="1" applyFill="1" applyBorder="1" applyAlignment="1">
      <alignment horizontal="center" vertical="center" wrapText="1"/>
    </xf>
    <xf numFmtId="1" fontId="6" fillId="3" borderId="1711" xfId="0" applyNumberFormat="1" applyFont="1" applyFill="1" applyBorder="1" applyAlignment="1">
      <alignment horizontal="center" vertical="center" wrapText="1"/>
    </xf>
    <xf numFmtId="1" fontId="6" fillId="3" borderId="1710" xfId="0" applyNumberFormat="1" applyFont="1" applyFill="1" applyBorder="1" applyAlignment="1">
      <alignment horizontal="center" vertical="center" wrapText="1"/>
    </xf>
    <xf numFmtId="1" fontId="6" fillId="3" borderId="1696" xfId="0" applyNumberFormat="1" applyFont="1" applyFill="1" applyBorder="1" applyAlignment="1">
      <alignment horizontal="center" vertical="center" wrapText="1"/>
    </xf>
    <xf numFmtId="1" fontId="2" fillId="3" borderId="0" xfId="0" applyNumberFormat="1" applyFont="1" applyFill="1" applyAlignment="1">
      <alignment horizontal="center"/>
    </xf>
    <xf numFmtId="1" fontId="6" fillId="0" borderId="523" xfId="28" applyNumberFormat="1" applyFont="1" applyBorder="1" applyAlignment="1">
      <alignment horizontal="left"/>
    </xf>
    <xf numFmtId="1" fontId="6" fillId="0" borderId="432" xfId="28" applyNumberFormat="1" applyFont="1" applyBorder="1" applyAlignment="1">
      <alignment horizontal="left"/>
    </xf>
    <xf numFmtId="1" fontId="6" fillId="0" borderId="239" xfId="28" applyNumberFormat="1" applyFont="1" applyBorder="1" applyAlignment="1">
      <alignment horizontal="center" vertical="center" wrapText="1"/>
    </xf>
    <xf numFmtId="1" fontId="6" fillId="0" borderId="175" xfId="28" applyNumberFormat="1" applyFont="1" applyBorder="1" applyAlignment="1">
      <alignment horizontal="center" vertical="center" wrapText="1"/>
    </xf>
    <xf numFmtId="1" fontId="6" fillId="0" borderId="428" xfId="28" applyNumberFormat="1" applyFont="1" applyBorder="1" applyAlignment="1">
      <alignment horizontal="left" vertical="center"/>
    </xf>
    <xf numFmtId="1" fontId="6" fillId="0" borderId="537" xfId="28" applyNumberFormat="1" applyFont="1" applyBorder="1" applyAlignment="1">
      <alignment horizontal="left" vertical="center"/>
    </xf>
    <xf numFmtId="1" fontId="6" fillId="0" borderId="223" xfId="28" applyNumberFormat="1" applyFont="1" applyBorder="1" applyAlignment="1">
      <alignment horizontal="center" vertical="center" wrapText="1"/>
    </xf>
    <xf numFmtId="1" fontId="6" fillId="0" borderId="362" xfId="28" applyNumberFormat="1" applyFont="1" applyBorder="1" applyAlignment="1">
      <alignment horizontal="center" vertical="center" wrapText="1"/>
    </xf>
    <xf numFmtId="1" fontId="6" fillId="0" borderId="1442" xfId="28" applyNumberFormat="1" applyFont="1" applyBorder="1" applyAlignment="1">
      <alignment horizontal="left"/>
    </xf>
    <xf numFmtId="1" fontId="6" fillId="0" borderId="1441" xfId="28" applyNumberFormat="1" applyFont="1" applyBorder="1" applyAlignment="1">
      <alignment horizontal="left"/>
    </xf>
    <xf numFmtId="1" fontId="6" fillId="0" borderId="449" xfId="28" applyNumberFormat="1" applyFont="1" applyBorder="1" applyAlignment="1">
      <alignment horizontal="center" vertical="center"/>
    </xf>
    <xf numFmtId="1" fontId="6" fillId="0" borderId="435" xfId="28" applyNumberFormat="1" applyFont="1" applyBorder="1" applyAlignment="1">
      <alignment horizontal="center" vertical="center"/>
    </xf>
    <xf numFmtId="1" fontId="6" fillId="0" borderId="1416" xfId="28" applyNumberFormat="1" applyFont="1" applyBorder="1" applyAlignment="1">
      <alignment horizontal="center" vertical="center" wrapText="1"/>
    </xf>
    <xf numFmtId="1" fontId="6" fillId="0" borderId="1415" xfId="28" applyNumberFormat="1" applyFont="1" applyBorder="1" applyAlignment="1">
      <alignment horizontal="center" vertical="center" wrapText="1"/>
    </xf>
    <xf numFmtId="1" fontId="6" fillId="0" borderId="1418" xfId="28" applyNumberFormat="1" applyFont="1" applyBorder="1" applyAlignment="1">
      <alignment horizontal="center" vertical="center" wrapText="1"/>
    </xf>
    <xf numFmtId="1" fontId="6" fillId="3" borderId="1729" xfId="0" applyNumberFormat="1" applyFont="1" applyFill="1" applyBorder="1" applyAlignment="1">
      <alignment horizontal="center" vertical="center" wrapText="1"/>
    </xf>
    <xf numFmtId="1" fontId="6" fillId="3" borderId="1728" xfId="0" applyNumberFormat="1" applyFont="1" applyFill="1" applyBorder="1" applyAlignment="1">
      <alignment horizontal="center" vertical="center" wrapText="1"/>
    </xf>
    <xf numFmtId="1" fontId="6" fillId="3" borderId="768" xfId="0" applyNumberFormat="1" applyFont="1" applyFill="1" applyBorder="1" applyAlignment="1">
      <alignment horizontal="center" vertical="center" wrapText="1"/>
    </xf>
    <xf numFmtId="1" fontId="6" fillId="3" borderId="1694" xfId="0" applyNumberFormat="1" applyFont="1" applyFill="1" applyBorder="1" applyAlignment="1">
      <alignment horizontal="center" vertical="center" wrapText="1"/>
    </xf>
    <xf numFmtId="1" fontId="6" fillId="3" borderId="510" xfId="0" applyNumberFormat="1" applyFont="1" applyFill="1" applyBorder="1" applyAlignment="1">
      <alignment horizontal="center" vertical="center"/>
    </xf>
    <xf numFmtId="1" fontId="6" fillId="3" borderId="1654" xfId="0" applyNumberFormat="1" applyFont="1" applyFill="1" applyBorder="1" applyAlignment="1">
      <alignment horizontal="center" vertical="center"/>
    </xf>
    <xf numFmtId="1" fontId="4" fillId="3" borderId="2405" xfId="0" applyNumberFormat="1" applyFont="1" applyFill="1" applyBorder="1" applyAlignment="1">
      <alignment horizontal="center" vertical="center"/>
    </xf>
    <xf numFmtId="1" fontId="4" fillId="3" borderId="2406" xfId="0" applyNumberFormat="1" applyFont="1" applyFill="1" applyBorder="1" applyAlignment="1">
      <alignment horizontal="center" vertical="center"/>
    </xf>
    <xf numFmtId="1" fontId="4" fillId="3" borderId="2450" xfId="0" applyNumberFormat="1" applyFont="1" applyFill="1" applyBorder="1" applyAlignment="1">
      <alignment horizontal="center" vertical="center"/>
    </xf>
    <xf numFmtId="1" fontId="6" fillId="3" borderId="2405" xfId="0" applyNumberFormat="1" applyFont="1" applyFill="1" applyBorder="1" applyAlignment="1">
      <alignment horizontal="center" vertical="center" wrapText="1"/>
    </xf>
    <xf numFmtId="1" fontId="6" fillId="3" borderId="2406" xfId="0" applyNumberFormat="1" applyFont="1" applyFill="1" applyBorder="1" applyAlignment="1">
      <alignment horizontal="center" vertical="center" wrapText="1"/>
    </xf>
    <xf numFmtId="1" fontId="6" fillId="3" borderId="2407" xfId="0" applyNumberFormat="1" applyFont="1" applyFill="1" applyBorder="1" applyAlignment="1">
      <alignment horizontal="center" vertical="center" wrapText="1"/>
    </xf>
    <xf numFmtId="1" fontId="6" fillId="3" borderId="2445" xfId="0" applyNumberFormat="1" applyFont="1" applyFill="1" applyBorder="1" applyAlignment="1">
      <alignment horizontal="center" vertical="center" wrapText="1"/>
    </xf>
    <xf numFmtId="1" fontId="6" fillId="3" borderId="2440" xfId="0" applyNumberFormat="1" applyFont="1" applyFill="1" applyBorder="1" applyAlignment="1">
      <alignment horizontal="center" vertical="center" wrapText="1"/>
    </xf>
    <xf numFmtId="1" fontId="6" fillId="3" borderId="2439" xfId="0" applyNumberFormat="1" applyFont="1" applyFill="1" applyBorder="1" applyAlignment="1">
      <alignment horizontal="center" vertical="center" wrapText="1"/>
    </xf>
    <xf numFmtId="1" fontId="32" fillId="0" borderId="2109" xfId="0" applyNumberFormat="1" applyFont="1" applyBorder="1" applyAlignment="1">
      <alignment horizontal="center" vertical="center"/>
    </xf>
    <xf numFmtId="1" fontId="32" fillId="3" borderId="2110" xfId="0" applyNumberFormat="1" applyFont="1" applyFill="1" applyBorder="1" applyAlignment="1">
      <alignment horizontal="center" vertical="center"/>
    </xf>
    <xf numFmtId="1" fontId="32" fillId="3" borderId="795" xfId="0" applyNumberFormat="1" applyFont="1" applyFill="1" applyBorder="1" applyAlignment="1">
      <alignment horizontal="center" vertical="center"/>
    </xf>
    <xf numFmtId="1" fontId="32" fillId="3" borderId="2109" xfId="0" applyNumberFormat="1" applyFont="1" applyFill="1" applyBorder="1" applyAlignment="1">
      <alignment horizontal="center" vertical="center"/>
    </xf>
    <xf numFmtId="1" fontId="32" fillId="3" borderId="861" xfId="0" applyNumberFormat="1" applyFont="1" applyFill="1" applyBorder="1" applyAlignment="1">
      <alignment horizontal="center" vertical="center"/>
    </xf>
    <xf numFmtId="1" fontId="32" fillId="3" borderId="724" xfId="0" applyNumberFormat="1" applyFont="1" applyFill="1" applyBorder="1" applyAlignment="1">
      <alignment horizontal="center" vertical="center"/>
    </xf>
    <xf numFmtId="1" fontId="32" fillId="3" borderId="725" xfId="0" applyNumberFormat="1" applyFont="1" applyFill="1" applyBorder="1" applyAlignment="1">
      <alignment horizontal="center" vertical="center"/>
    </xf>
    <xf numFmtId="1" fontId="32" fillId="0" borderId="2153" xfId="0" applyNumberFormat="1" applyFont="1" applyBorder="1" applyAlignment="1">
      <alignment horizontal="center" vertical="center"/>
    </xf>
    <xf numFmtId="1" fontId="32" fillId="0" borderId="1677" xfId="0" applyNumberFormat="1" applyFont="1" applyBorder="1" applyAlignment="1">
      <alignment horizontal="center" vertical="center" wrapText="1"/>
    </xf>
    <xf numFmtId="1" fontId="32" fillId="0" borderId="1709" xfId="0" applyNumberFormat="1" applyFont="1" applyBorder="1" applyAlignment="1">
      <alignment horizontal="center" vertical="center" wrapText="1"/>
    </xf>
    <xf numFmtId="1" fontId="32" fillId="0" borderId="2164" xfId="0" applyNumberFormat="1" applyFont="1" applyBorder="1" applyAlignment="1">
      <alignment horizontal="center" vertical="center" wrapText="1"/>
    </xf>
    <xf numFmtId="1" fontId="32" fillId="0" borderId="2185" xfId="0" applyNumberFormat="1" applyFont="1" applyBorder="1" applyAlignment="1">
      <alignment horizontal="center" vertical="center" wrapText="1"/>
    </xf>
    <xf numFmtId="1" fontId="32" fillId="0" borderId="815" xfId="0" applyNumberFormat="1" applyFont="1" applyBorder="1" applyAlignment="1">
      <alignment vertical="center" wrapText="1"/>
    </xf>
    <xf numFmtId="1" fontId="32" fillId="0" borderId="812" xfId="0" applyNumberFormat="1" applyFont="1" applyBorder="1" applyAlignment="1">
      <alignment vertical="center" wrapText="1"/>
    </xf>
    <xf numFmtId="1" fontId="32" fillId="0" borderId="815" xfId="0" applyNumberFormat="1" applyFont="1" applyBorder="1" applyAlignment="1">
      <alignment horizontal="left" vertical="center"/>
    </xf>
    <xf numFmtId="1" fontId="32" fillId="0" borderId="812" xfId="0" applyNumberFormat="1" applyFont="1" applyBorder="1" applyAlignment="1">
      <alignment horizontal="left" vertical="center"/>
    </xf>
    <xf numFmtId="1" fontId="32" fillId="0" borderId="2165" xfId="0" applyNumberFormat="1" applyFont="1" applyBorder="1" applyAlignment="1">
      <alignment horizontal="center"/>
    </xf>
    <xf numFmtId="1" fontId="32" fillId="0" borderId="2154" xfId="0" applyNumberFormat="1" applyFont="1" applyBorder="1" applyAlignment="1">
      <alignment horizontal="center"/>
    </xf>
    <xf numFmtId="1" fontId="32" fillId="0" borderId="2120" xfId="0" applyNumberFormat="1" applyFont="1" applyBorder="1" applyAlignment="1">
      <alignment horizontal="center" vertical="center"/>
    </xf>
    <xf numFmtId="1" fontId="32" fillId="0" borderId="795" xfId="0" applyNumberFormat="1" applyFont="1" applyBorder="1" applyAlignment="1">
      <alignment horizontal="center" vertical="center"/>
    </xf>
    <xf numFmtId="1" fontId="32" fillId="0" borderId="2110" xfId="0" applyNumberFormat="1" applyFont="1" applyBorder="1" applyAlignment="1">
      <alignment horizontal="center" vertical="center"/>
    </xf>
    <xf numFmtId="1" fontId="32" fillId="0" borderId="2082" xfId="0" applyNumberFormat="1" applyFont="1" applyBorder="1" applyAlignment="1">
      <alignment horizontal="center" vertical="center"/>
    </xf>
    <xf numFmtId="1" fontId="32" fillId="0" borderId="2113" xfId="0" applyNumberFormat="1" applyFont="1" applyBorder="1" applyAlignment="1">
      <alignment horizontal="center" vertical="center"/>
    </xf>
    <xf numFmtId="1" fontId="32" fillId="0" borderId="1666" xfId="0" applyNumberFormat="1" applyFont="1" applyBorder="1" applyAlignment="1">
      <alignment horizontal="left" vertical="center"/>
    </xf>
    <xf numFmtId="1" fontId="32" fillId="0" borderId="1659" xfId="0" applyNumberFormat="1" applyFont="1" applyBorder="1" applyAlignment="1">
      <alignment horizontal="left" vertical="center"/>
    </xf>
    <xf numFmtId="1" fontId="32" fillId="0" borderId="1844" xfId="0" applyNumberFormat="1" applyFont="1" applyBorder="1" applyAlignment="1">
      <alignment horizontal="left" vertical="center"/>
    </xf>
    <xf numFmtId="1" fontId="32" fillId="0" borderId="2128" xfId="0" applyNumberFormat="1" applyFont="1" applyBorder="1" applyAlignment="1">
      <alignment horizontal="left" vertical="center"/>
    </xf>
    <xf numFmtId="1" fontId="32" fillId="0" borderId="2092" xfId="0" applyNumberFormat="1" applyFont="1" applyBorder="1" applyAlignment="1">
      <alignment horizontal="center" vertical="center"/>
    </xf>
    <xf numFmtId="1" fontId="32" fillId="0" borderId="861" xfId="0" applyNumberFormat="1" applyFont="1" applyBorder="1" applyAlignment="1">
      <alignment horizontal="center" vertical="center"/>
    </xf>
    <xf numFmtId="1" fontId="32" fillId="0" borderId="724" xfId="0" applyNumberFormat="1" applyFont="1" applyBorder="1" applyAlignment="1">
      <alignment horizontal="center" vertical="center"/>
    </xf>
    <xf numFmtId="1" fontId="65" fillId="0" borderId="2109" xfId="25" applyNumberFormat="1" applyFont="1" applyBorder="1" applyAlignment="1">
      <alignment horizontal="center" vertical="center" wrapText="1"/>
    </xf>
    <xf numFmtId="1" fontId="65" fillId="0" borderId="510" xfId="25" applyNumberFormat="1" applyFont="1" applyBorder="1" applyAlignment="1">
      <alignment horizontal="center" vertical="center" wrapText="1"/>
    </xf>
    <xf numFmtId="1" fontId="65" fillId="0" borderId="725" xfId="25" applyNumberFormat="1" applyFont="1" applyBorder="1" applyAlignment="1">
      <alignment horizontal="center" vertical="center" wrapText="1"/>
    </xf>
    <xf numFmtId="1" fontId="32" fillId="0" borderId="2110" xfId="25" applyNumberFormat="1" applyFont="1" applyBorder="1" applyAlignment="1">
      <alignment horizontal="center" vertical="center" wrapText="1"/>
    </xf>
    <xf numFmtId="1" fontId="32" fillId="0" borderId="795" xfId="25" applyNumberFormat="1" applyFont="1" applyBorder="1" applyAlignment="1">
      <alignment horizontal="center" vertical="center" wrapText="1"/>
    </xf>
    <xf numFmtId="1" fontId="32" fillId="0" borderId="2122" xfId="25" applyNumberFormat="1" applyFont="1" applyBorder="1" applyAlignment="1">
      <alignment horizontal="center" vertical="center" wrapText="1"/>
    </xf>
    <xf numFmtId="1" fontId="32" fillId="0" borderId="0" xfId="25" applyNumberFormat="1" applyFont="1" applyAlignment="1">
      <alignment horizontal="center" vertical="center" wrapText="1"/>
    </xf>
    <xf numFmtId="1" fontId="32" fillId="0" borderId="861" xfId="25" applyNumberFormat="1" applyFont="1" applyBorder="1" applyAlignment="1">
      <alignment horizontal="center" vertical="center" wrapText="1"/>
    </xf>
    <xf numFmtId="1" fontId="32" fillId="0" borderId="724" xfId="25" applyNumberFormat="1" applyFont="1" applyBorder="1" applyAlignment="1">
      <alignment horizontal="center" vertical="center" wrapText="1"/>
    </xf>
    <xf numFmtId="1" fontId="32" fillId="0" borderId="2122" xfId="0" applyNumberFormat="1" applyFont="1" applyBorder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1" fontId="32" fillId="3" borderId="2112" xfId="0" applyNumberFormat="1" applyFont="1" applyFill="1" applyBorder="1" applyAlignment="1">
      <alignment horizontal="center" vertical="center"/>
    </xf>
    <xf numFmtId="1" fontId="32" fillId="3" borderId="1646" xfId="0" applyNumberFormat="1" applyFont="1" applyFill="1" applyBorder="1" applyAlignment="1">
      <alignment horizontal="center" vertical="center"/>
    </xf>
    <xf numFmtId="1" fontId="32" fillId="3" borderId="2123" xfId="0" applyNumberFormat="1" applyFont="1" applyFill="1" applyBorder="1" applyAlignment="1">
      <alignment horizontal="center" vertical="center"/>
    </xf>
    <xf numFmtId="1" fontId="32" fillId="3" borderId="2082" xfId="0" applyNumberFormat="1" applyFont="1" applyFill="1" applyBorder="1" applyAlignment="1">
      <alignment horizontal="center" vertical="center"/>
    </xf>
    <xf numFmtId="1" fontId="32" fillId="3" borderId="2120" xfId="0" applyNumberFormat="1" applyFont="1" applyFill="1" applyBorder="1" applyAlignment="1">
      <alignment horizontal="center" vertical="center"/>
    </xf>
    <xf numFmtId="1" fontId="32" fillId="3" borderId="2159" xfId="0" applyNumberFormat="1" applyFont="1" applyFill="1" applyBorder="1" applyAlignment="1">
      <alignment horizontal="center" vertical="center"/>
    </xf>
    <xf numFmtId="1" fontId="32" fillId="0" borderId="2082" xfId="0" applyNumberFormat="1" applyFont="1" applyBorder="1" applyAlignment="1">
      <alignment horizontal="center" vertical="center" wrapText="1"/>
    </xf>
    <xf numFmtId="1" fontId="32" fillId="0" borderId="2159" xfId="0" applyNumberFormat="1" applyFont="1" applyBorder="1" applyAlignment="1">
      <alignment horizontal="center" vertical="center" wrapText="1"/>
    </xf>
    <xf numFmtId="1" fontId="32" fillId="3" borderId="2082" xfId="0" applyNumberFormat="1" applyFont="1" applyFill="1" applyBorder="1" applyAlignment="1">
      <alignment horizontal="center"/>
    </xf>
    <xf numFmtId="1" fontId="32" fillId="3" borderId="2113" xfId="0" applyNumberFormat="1" applyFont="1" applyFill="1" applyBorder="1" applyAlignment="1">
      <alignment horizontal="center"/>
    </xf>
    <xf numFmtId="1" fontId="64" fillId="0" borderId="2120" xfId="0" applyNumberFormat="1" applyFont="1" applyBorder="1" applyAlignment="1">
      <alignment horizontal="left"/>
    </xf>
    <xf numFmtId="1" fontId="64" fillId="0" borderId="795" xfId="0" applyNumberFormat="1" applyFont="1" applyBorder="1" applyAlignment="1">
      <alignment horizontal="left"/>
    </xf>
    <xf numFmtId="1" fontId="32" fillId="3" borderId="0" xfId="0" applyNumberFormat="1" applyFont="1" applyFill="1" applyAlignment="1">
      <alignment horizontal="center" vertical="center"/>
    </xf>
    <xf numFmtId="1" fontId="32" fillId="3" borderId="510" xfId="0" applyNumberFormat="1" applyFont="1" applyFill="1" applyBorder="1" applyAlignment="1">
      <alignment horizontal="center" vertical="center"/>
    </xf>
    <xf numFmtId="1" fontId="32" fillId="0" borderId="2082" xfId="0" applyNumberFormat="1" applyFont="1" applyBorder="1" applyAlignment="1" applyProtection="1">
      <alignment horizontal="center"/>
      <protection locked="0"/>
    </xf>
    <xf numFmtId="1" fontId="32" fillId="0" borderId="2120" xfId="0" applyNumberFormat="1" applyFont="1" applyBorder="1" applyAlignment="1" applyProtection="1">
      <alignment horizontal="center"/>
      <protection locked="0"/>
    </xf>
    <xf numFmtId="1" fontId="32" fillId="0" borderId="2113" xfId="0" applyNumberFormat="1" applyFont="1" applyBorder="1" applyAlignment="1" applyProtection="1">
      <alignment horizontal="center"/>
      <protection locked="0"/>
    </xf>
    <xf numFmtId="1" fontId="32" fillId="3" borderId="2120" xfId="0" applyNumberFormat="1" applyFont="1" applyFill="1" applyBorder="1" applyAlignment="1">
      <alignment horizontal="center"/>
    </xf>
    <xf numFmtId="1" fontId="32" fillId="0" borderId="2109" xfId="0" applyNumberFormat="1" applyFont="1" applyBorder="1" applyAlignment="1">
      <alignment horizontal="center" vertical="center" wrapText="1"/>
    </xf>
    <xf numFmtId="1" fontId="32" fillId="3" borderId="2092" xfId="0" applyNumberFormat="1" applyFont="1" applyFill="1" applyBorder="1" applyAlignment="1">
      <alignment horizontal="center" vertical="center"/>
    </xf>
    <xf numFmtId="1" fontId="32" fillId="3" borderId="2112" xfId="0" applyNumberFormat="1" applyFont="1" applyFill="1" applyBorder="1" applyAlignment="1">
      <alignment horizontal="center" vertical="center" wrapText="1"/>
    </xf>
    <xf numFmtId="1" fontId="32" fillId="3" borderId="1646" xfId="0" applyNumberFormat="1" applyFont="1" applyFill="1" applyBorder="1" applyAlignment="1">
      <alignment horizontal="center" vertical="center" wrapText="1"/>
    </xf>
    <xf numFmtId="1" fontId="32" fillId="3" borderId="2123" xfId="0" applyNumberFormat="1" applyFont="1" applyFill="1" applyBorder="1" applyAlignment="1">
      <alignment horizontal="center" vertical="center" wrapText="1"/>
    </xf>
    <xf numFmtId="1" fontId="64" fillId="0" borderId="724" xfId="0" applyNumberFormat="1" applyFont="1" applyBorder="1" applyAlignment="1">
      <alignment horizontal="left"/>
    </xf>
    <xf numFmtId="1" fontId="32" fillId="3" borderId="1828" xfId="0" applyNumberFormat="1" applyFont="1" applyFill="1" applyBorder="1" applyAlignment="1">
      <alignment horizontal="left" vertical="center" wrapText="1"/>
    </xf>
    <xf numFmtId="1" fontId="32" fillId="3" borderId="1675" xfId="0" applyNumberFormat="1" applyFont="1" applyFill="1" applyBorder="1" applyAlignment="1">
      <alignment horizontal="left" vertical="center" wrapText="1"/>
    </xf>
    <xf numFmtId="1" fontId="32" fillId="3" borderId="1838" xfId="0" applyNumberFormat="1" applyFont="1" applyFill="1" applyBorder="1" applyAlignment="1">
      <alignment horizontal="left" vertical="center" wrapText="1"/>
    </xf>
    <xf numFmtId="1" fontId="32" fillId="3" borderId="2109" xfId="0" applyNumberFormat="1" applyFont="1" applyFill="1" applyBorder="1" applyAlignment="1">
      <alignment horizontal="center" vertical="center" wrapText="1"/>
    </xf>
    <xf numFmtId="1" fontId="32" fillId="3" borderId="725" xfId="0" applyNumberFormat="1" applyFont="1" applyFill="1" applyBorder="1" applyAlignment="1">
      <alignment horizontal="center" vertical="center" wrapText="1"/>
    </xf>
    <xf numFmtId="1" fontId="32" fillId="3" borderId="2082" xfId="0" applyNumberFormat="1" applyFont="1" applyFill="1" applyBorder="1" applyAlignment="1">
      <alignment horizontal="center" vertical="center" wrapText="1"/>
    </xf>
    <xf numFmtId="1" fontId="32" fillId="3" borderId="2113" xfId="0" applyNumberFormat="1" applyFont="1" applyFill="1" applyBorder="1" applyAlignment="1">
      <alignment horizontal="center" vertical="center" wrapText="1"/>
    </xf>
    <xf numFmtId="1" fontId="32" fillId="3" borderId="2113" xfId="0" applyNumberFormat="1" applyFont="1" applyFill="1" applyBorder="1" applyAlignment="1">
      <alignment horizontal="center" vertical="center"/>
    </xf>
    <xf numFmtId="1" fontId="32" fillId="0" borderId="2113" xfId="0" applyNumberFormat="1" applyFont="1" applyBorder="1" applyAlignment="1">
      <alignment horizontal="center" vertical="center" wrapText="1"/>
    </xf>
    <xf numFmtId="1" fontId="32" fillId="3" borderId="2122" xfId="0" applyNumberFormat="1" applyFont="1" applyFill="1" applyBorder="1" applyAlignment="1">
      <alignment horizontal="center" vertical="center"/>
    </xf>
    <xf numFmtId="1" fontId="32" fillId="3" borderId="2121" xfId="0" applyNumberFormat="1" applyFont="1" applyFill="1" applyBorder="1" applyAlignment="1">
      <alignment horizontal="center"/>
    </xf>
    <xf numFmtId="1" fontId="32" fillId="0" borderId="2110" xfId="0" applyNumberFormat="1" applyFont="1" applyBorder="1" applyAlignment="1">
      <alignment horizontal="left" vertical="center" wrapText="1"/>
    </xf>
    <xf numFmtId="1" fontId="32" fillId="0" borderId="861" xfId="0" applyNumberFormat="1" applyFont="1" applyBorder="1" applyAlignment="1">
      <alignment horizontal="left" vertical="center" wrapText="1"/>
    </xf>
    <xf numFmtId="1" fontId="32" fillId="0" borderId="1640" xfId="0" applyNumberFormat="1" applyFont="1" applyBorder="1" applyAlignment="1">
      <alignment horizontal="left" vertical="center"/>
    </xf>
    <xf numFmtId="1" fontId="32" fillId="0" borderId="1421" xfId="0" applyNumberFormat="1" applyFont="1" applyBorder="1" applyAlignment="1">
      <alignment horizontal="left" vertical="center"/>
    </xf>
    <xf numFmtId="1" fontId="32" fillId="0" borderId="917" xfId="0" applyNumberFormat="1" applyFont="1" applyBorder="1" applyAlignment="1">
      <alignment horizontal="left" vertical="center"/>
    </xf>
    <xf numFmtId="1" fontId="32" fillId="0" borderId="917" xfId="0" applyNumberFormat="1" applyFont="1" applyBorder="1" applyAlignment="1">
      <alignment horizontal="left" vertical="center" wrapText="1"/>
    </xf>
    <xf numFmtId="1" fontId="32" fillId="0" borderId="1659" xfId="0" applyNumberFormat="1" applyFont="1" applyBorder="1" applyAlignment="1">
      <alignment horizontal="left" vertical="center" wrapText="1"/>
    </xf>
    <xf numFmtId="1" fontId="32" fillId="0" borderId="2112" xfId="0" applyNumberFormat="1" applyFont="1" applyBorder="1" applyAlignment="1">
      <alignment horizontal="left" vertical="center" wrapText="1"/>
    </xf>
    <xf numFmtId="1" fontId="32" fillId="0" borderId="1646" xfId="0" applyNumberFormat="1" applyFont="1" applyBorder="1" applyAlignment="1">
      <alignment horizontal="left" vertical="center" wrapText="1"/>
    </xf>
    <xf numFmtId="1" fontId="32" fillId="0" borderId="2112" xfId="0" applyNumberFormat="1" applyFont="1" applyBorder="1" applyAlignment="1">
      <alignment horizontal="left" vertical="center"/>
    </xf>
    <xf numFmtId="1" fontId="32" fillId="0" borderId="1646" xfId="0" applyNumberFormat="1" applyFont="1" applyBorder="1" applyAlignment="1">
      <alignment horizontal="left" vertical="center"/>
    </xf>
    <xf numFmtId="1" fontId="32" fillId="0" borderId="2123" xfId="0" applyNumberFormat="1" applyFont="1" applyBorder="1" applyAlignment="1">
      <alignment horizontal="left" vertical="center"/>
    </xf>
    <xf numFmtId="1" fontId="32" fillId="3" borderId="2121" xfId="0" applyNumberFormat="1" applyFont="1" applyFill="1" applyBorder="1" applyAlignment="1">
      <alignment horizontal="center" vertical="center"/>
    </xf>
    <xf numFmtId="1" fontId="32" fillId="0" borderId="1710" xfId="0" applyNumberFormat="1" applyFont="1" applyBorder="1" applyAlignment="1">
      <alignment horizontal="center" vertical="center"/>
    </xf>
    <xf numFmtId="1" fontId="32" fillId="0" borderId="886" xfId="0" applyNumberFormat="1" applyFont="1" applyBorder="1" applyAlignment="1">
      <alignment horizontal="center" vertical="center"/>
    </xf>
    <xf numFmtId="1" fontId="32" fillId="0" borderId="2112" xfId="0" applyNumberFormat="1" applyFont="1" applyBorder="1" applyAlignment="1">
      <alignment horizontal="center" vertical="center" wrapText="1"/>
    </xf>
    <xf numFmtId="1" fontId="32" fillId="0" borderId="1646" xfId="0" applyNumberFormat="1" applyFont="1" applyBorder="1" applyAlignment="1">
      <alignment horizontal="center" vertical="center" wrapText="1"/>
    </xf>
    <xf numFmtId="1" fontId="32" fillId="0" borderId="2123" xfId="0" applyNumberFormat="1" applyFont="1" applyBorder="1" applyAlignment="1">
      <alignment horizontal="center" vertical="center" wrapText="1"/>
    </xf>
    <xf numFmtId="1" fontId="32" fillId="0" borderId="2116" xfId="0" applyNumberFormat="1" applyFont="1" applyBorder="1" applyAlignment="1">
      <alignment horizontal="center" vertical="center" wrapText="1"/>
    </xf>
    <xf numFmtId="1" fontId="32" fillId="0" borderId="133" xfId="0" applyNumberFormat="1" applyFont="1" applyBorder="1" applyAlignment="1">
      <alignment horizontal="center" vertical="center" wrapText="1"/>
    </xf>
    <xf numFmtId="1" fontId="32" fillId="0" borderId="1813" xfId="0" applyNumberFormat="1" applyFont="1" applyBorder="1" applyAlignment="1">
      <alignment horizontal="center" vertical="center" wrapText="1"/>
    </xf>
    <xf numFmtId="1" fontId="32" fillId="0" borderId="2121" xfId="0" applyNumberFormat="1" applyFont="1" applyBorder="1" applyAlignment="1">
      <alignment horizontal="center" vertical="center"/>
    </xf>
    <xf numFmtId="0" fontId="0" fillId="0" borderId="1828" xfId="0" applyBorder="1" applyAlignment="1">
      <alignment horizontal="center" vertical="center"/>
    </xf>
    <xf numFmtId="0" fontId="0" fillId="0" borderId="1838" xfId="0" applyBorder="1" applyAlignment="1">
      <alignment horizontal="center" vertical="center"/>
    </xf>
    <xf numFmtId="0" fontId="0" fillId="0" borderId="1647" xfId="0" applyBorder="1" applyAlignment="1">
      <alignment horizontal="center" vertical="center"/>
    </xf>
    <xf numFmtId="1" fontId="32" fillId="0" borderId="1828" xfId="0" applyNumberFormat="1" applyFont="1" applyBorder="1" applyAlignment="1">
      <alignment horizontal="center" vertical="center"/>
    </xf>
    <xf numFmtId="1" fontId="32" fillId="0" borderId="1675" xfId="0" applyNumberFormat="1" applyFont="1" applyBorder="1" applyAlignment="1">
      <alignment horizontal="center" vertical="center"/>
    </xf>
    <xf numFmtId="1" fontId="32" fillId="0" borderId="1838" xfId="0" applyNumberFormat="1" applyFont="1" applyBorder="1" applyAlignment="1">
      <alignment horizontal="center" vertical="center"/>
    </xf>
    <xf numFmtId="0" fontId="0" fillId="0" borderId="2092" xfId="0" applyBorder="1" applyAlignment="1">
      <alignment horizontal="center" vertical="center" wrapText="1"/>
    </xf>
    <xf numFmtId="1" fontId="32" fillId="0" borderId="1828" xfId="0" applyNumberFormat="1" applyFont="1" applyBorder="1" applyAlignment="1">
      <alignment horizontal="center" vertical="center" wrapText="1"/>
    </xf>
    <xf numFmtId="1" fontId="32" fillId="0" borderId="1838" xfId="0" applyNumberFormat="1" applyFont="1" applyBorder="1" applyAlignment="1">
      <alignment horizontal="center" vertical="center" wrapText="1"/>
    </xf>
    <xf numFmtId="1" fontId="32" fillId="0" borderId="1570" xfId="0" applyNumberFormat="1" applyFont="1" applyBorder="1" applyAlignment="1">
      <alignment horizontal="center" vertical="center" wrapText="1"/>
    </xf>
    <xf numFmtId="1" fontId="32" fillId="0" borderId="2190" xfId="0" applyNumberFormat="1" applyFont="1" applyBorder="1" applyAlignment="1">
      <alignment horizontal="center" vertical="center" wrapText="1"/>
    </xf>
    <xf numFmtId="1" fontId="32" fillId="0" borderId="2082" xfId="0" applyNumberFormat="1" applyFont="1" applyBorder="1" applyAlignment="1">
      <alignment horizontal="center"/>
    </xf>
    <xf numFmtId="1" fontId="32" fillId="0" borderId="2120" xfId="0" applyNumberFormat="1" applyFont="1" applyBorder="1" applyAlignment="1">
      <alignment horizontal="center"/>
    </xf>
    <xf numFmtId="1" fontId="32" fillId="0" borderId="2121" xfId="0" applyNumberFormat="1" applyFont="1" applyBorder="1" applyAlignment="1">
      <alignment horizontal="center"/>
    </xf>
    <xf numFmtId="1" fontId="32" fillId="0" borderId="2130" xfId="25" quotePrefix="1" applyNumberFormat="1" applyFont="1" applyBorder="1" applyAlignment="1" applyProtection="1">
      <alignment horizontal="center" vertical="center"/>
      <protection hidden="1"/>
    </xf>
    <xf numFmtId="1" fontId="32" fillId="0" borderId="2109" xfId="25" quotePrefix="1" applyNumberFormat="1" applyFont="1" applyBorder="1" applyAlignment="1" applyProtection="1">
      <alignment horizontal="center" vertical="center"/>
      <protection hidden="1"/>
    </xf>
    <xf numFmtId="1" fontId="32" fillId="0" borderId="2131" xfId="25" quotePrefix="1" applyNumberFormat="1" applyFont="1" applyBorder="1" applyAlignment="1" applyProtection="1">
      <alignment horizontal="center" vertical="center"/>
      <protection hidden="1"/>
    </xf>
    <xf numFmtId="1" fontId="32" fillId="0" borderId="725" xfId="25" quotePrefix="1" applyNumberFormat="1" applyFont="1" applyBorder="1" applyAlignment="1" applyProtection="1">
      <alignment horizontal="center" vertical="center"/>
      <protection hidden="1"/>
    </xf>
    <xf numFmtId="1" fontId="32" fillId="0" borderId="2111" xfId="25" applyNumberFormat="1" applyFont="1" applyBorder="1" applyAlignment="1" applyProtection="1">
      <alignment horizontal="center" vertical="center"/>
      <protection hidden="1"/>
    </xf>
    <xf numFmtId="1" fontId="32" fillId="0" borderId="885" xfId="25" applyNumberFormat="1" applyFont="1" applyBorder="1" applyAlignment="1" applyProtection="1">
      <alignment horizontal="center" vertical="center"/>
      <protection hidden="1"/>
    </xf>
    <xf numFmtId="1" fontId="32" fillId="0" borderId="2115" xfId="25" applyNumberFormat="1" applyFont="1" applyBorder="1" applyAlignment="1" applyProtection="1">
      <alignment horizontal="center" vertical="center"/>
      <protection hidden="1"/>
    </xf>
    <xf numFmtId="1" fontId="32" fillId="0" borderId="1824" xfId="25" applyNumberFormat="1" applyFont="1" applyBorder="1" applyAlignment="1" applyProtection="1">
      <alignment horizontal="center" vertical="center"/>
      <protection hidden="1"/>
    </xf>
    <xf numFmtId="1" fontId="6" fillId="0" borderId="1268" xfId="0" applyNumberFormat="1" applyFont="1" applyBorder="1" applyAlignment="1">
      <alignment horizontal="center" vertical="center"/>
    </xf>
    <xf numFmtId="1" fontId="6" fillId="0" borderId="1592" xfId="0" applyNumberFormat="1" applyFont="1" applyBorder="1" applyAlignment="1">
      <alignment horizontal="center" vertical="center"/>
    </xf>
    <xf numFmtId="1" fontId="6" fillId="3" borderId="888" xfId="0" applyNumberFormat="1" applyFont="1" applyFill="1" applyBorder="1" applyAlignment="1">
      <alignment horizontal="center" vertical="center" wrapText="1"/>
    </xf>
    <xf numFmtId="1" fontId="6" fillId="3" borderId="1677" xfId="0" applyNumberFormat="1" applyFont="1" applyFill="1" applyBorder="1" applyAlignment="1">
      <alignment horizontal="center" vertical="center" wrapText="1"/>
    </xf>
    <xf numFmtId="1" fontId="6" fillId="3" borderId="1691" xfId="0" applyNumberFormat="1" applyFont="1" applyFill="1" applyBorder="1" applyAlignment="1">
      <alignment horizontal="center" vertical="center" wrapText="1"/>
    </xf>
    <xf numFmtId="1" fontId="6" fillId="3" borderId="1699" xfId="0" applyNumberFormat="1" applyFont="1" applyFill="1" applyBorder="1" applyAlignment="1">
      <alignment horizontal="center" vertical="center" wrapText="1"/>
    </xf>
    <xf numFmtId="1" fontId="6" fillId="0" borderId="2428" xfId="0" applyNumberFormat="1" applyFont="1" applyBorder="1" applyAlignment="1">
      <alignment horizontal="center" vertical="center" wrapText="1"/>
    </xf>
    <xf numFmtId="1" fontId="6" fillId="0" borderId="2443" xfId="0" applyNumberFormat="1" applyFont="1" applyBorder="1" applyAlignment="1">
      <alignment horizontal="center" vertical="center" wrapText="1"/>
    </xf>
    <xf numFmtId="1" fontId="6" fillId="0" borderId="2409" xfId="0" applyNumberFormat="1" applyFont="1" applyBorder="1" applyAlignment="1">
      <alignment horizontal="center" vertical="center" wrapText="1"/>
    </xf>
    <xf numFmtId="1" fontId="6" fillId="0" borderId="2414" xfId="0" applyNumberFormat="1" applyFont="1" applyBorder="1" applyAlignment="1">
      <alignment horizontal="center" vertical="center" wrapText="1"/>
    </xf>
    <xf numFmtId="1" fontId="6" fillId="0" borderId="2427" xfId="0" applyNumberFormat="1" applyFont="1" applyBorder="1" applyAlignment="1">
      <alignment horizontal="center" vertical="center" wrapText="1"/>
    </xf>
    <xf numFmtId="1" fontId="6" fillId="0" borderId="2442" xfId="0" applyNumberFormat="1" applyFont="1" applyBorder="1" applyAlignment="1">
      <alignment horizontal="center" vertical="center" wrapText="1"/>
    </xf>
    <xf numFmtId="1" fontId="6" fillId="14" borderId="1670" xfId="0" applyNumberFormat="1" applyFont="1" applyFill="1" applyBorder="1" applyAlignment="1">
      <alignment horizontal="center" vertical="center" wrapText="1"/>
    </xf>
    <xf numFmtId="1" fontId="6" fillId="14" borderId="1667" xfId="0" applyNumberFormat="1" applyFont="1" applyFill="1" applyBorder="1" applyAlignment="1">
      <alignment horizontal="center" vertical="center" wrapText="1"/>
    </xf>
    <xf numFmtId="1" fontId="13" fillId="0" borderId="1670" xfId="0" applyNumberFormat="1" applyFont="1" applyBorder="1" applyAlignment="1">
      <alignment horizontal="center" vertical="center" wrapText="1"/>
    </xf>
    <xf numFmtId="1" fontId="13" fillId="0" borderId="1668" xfId="0" applyNumberFormat="1" applyFont="1" applyBorder="1" applyAlignment="1">
      <alignment horizontal="center" vertical="center" wrapText="1"/>
    </xf>
    <xf numFmtId="1" fontId="13" fillId="0" borderId="1667" xfId="0" applyNumberFormat="1" applyFont="1" applyBorder="1" applyAlignment="1">
      <alignment horizontal="center" vertical="center" wrapText="1"/>
    </xf>
    <xf numFmtId="1" fontId="13" fillId="14" borderId="1670" xfId="0" applyNumberFormat="1" applyFont="1" applyFill="1" applyBorder="1" applyAlignment="1">
      <alignment horizontal="center" vertical="center" wrapText="1"/>
    </xf>
    <xf numFmtId="1" fontId="13" fillId="14" borderId="1668" xfId="0" applyNumberFormat="1" applyFont="1" applyFill="1" applyBorder="1" applyAlignment="1">
      <alignment horizontal="center" vertical="center" wrapText="1"/>
    </xf>
    <xf numFmtId="1" fontId="13" fillId="14" borderId="1667" xfId="0" applyNumberFormat="1" applyFont="1" applyFill="1" applyBorder="1" applyAlignment="1">
      <alignment horizontal="center" vertical="center" wrapText="1"/>
    </xf>
    <xf numFmtId="1" fontId="6" fillId="14" borderId="1668" xfId="0" applyNumberFormat="1" applyFont="1" applyFill="1" applyBorder="1" applyAlignment="1">
      <alignment horizontal="center" vertical="center" wrapText="1"/>
    </xf>
    <xf numFmtId="1" fontId="6" fillId="3" borderId="1670" xfId="0" applyNumberFormat="1" applyFont="1" applyFill="1" applyBorder="1" applyAlignment="1">
      <alignment horizontal="left" vertical="center" wrapText="1"/>
    </xf>
    <xf numFmtId="1" fontId="6" fillId="3" borderId="1667" xfId="0" applyNumberFormat="1" applyFont="1" applyFill="1" applyBorder="1" applyAlignment="1">
      <alignment horizontal="left" vertical="center" wrapText="1"/>
    </xf>
    <xf numFmtId="1" fontId="6" fillId="0" borderId="917" xfId="0" applyNumberFormat="1" applyFont="1" applyBorder="1" applyAlignment="1">
      <alignment horizontal="left" vertical="center"/>
    </xf>
    <xf numFmtId="1" fontId="6" fillId="0" borderId="1659" xfId="0" applyNumberFormat="1" applyFont="1" applyBorder="1" applyAlignment="1">
      <alignment horizontal="left" vertical="center"/>
    </xf>
    <xf numFmtId="1" fontId="6" fillId="14" borderId="2418" xfId="0" applyNumberFormat="1" applyFont="1" applyFill="1" applyBorder="1" applyAlignment="1">
      <alignment horizontal="left" vertical="center" wrapText="1"/>
    </xf>
    <xf numFmtId="1" fontId="6" fillId="14" borderId="2436" xfId="0" applyNumberFormat="1" applyFont="1" applyFill="1" applyBorder="1" applyAlignment="1">
      <alignment horizontal="left" vertical="center" wrapText="1"/>
    </xf>
    <xf numFmtId="1" fontId="6" fillId="14" borderId="1615" xfId="0" applyNumberFormat="1" applyFont="1" applyFill="1" applyBorder="1" applyAlignment="1">
      <alignment horizontal="left" vertical="center" wrapText="1"/>
    </xf>
    <xf numFmtId="1" fontId="6" fillId="14" borderId="1648" xfId="0" applyNumberFormat="1" applyFont="1" applyFill="1" applyBorder="1" applyAlignment="1">
      <alignment horizontal="left" vertical="center" wrapText="1"/>
    </xf>
    <xf numFmtId="1" fontId="6" fillId="0" borderId="1615" xfId="0" applyNumberFormat="1" applyFont="1" applyBorder="1" applyAlignment="1">
      <alignment horizontal="left" vertical="center" wrapText="1"/>
    </xf>
    <xf numFmtId="1" fontId="6" fillId="0" borderId="1648" xfId="0" applyNumberFormat="1" applyFont="1" applyBorder="1" applyAlignment="1">
      <alignment horizontal="left" vertical="center" wrapText="1"/>
    </xf>
    <xf numFmtId="1" fontId="6" fillId="0" borderId="1705" xfId="0" applyNumberFormat="1" applyFont="1" applyBorder="1" applyAlignment="1">
      <alignment horizontal="left" vertical="center"/>
    </xf>
    <xf numFmtId="1" fontId="6" fillId="0" borderId="1706" xfId="0" applyNumberFormat="1" applyFont="1" applyBorder="1" applyAlignment="1">
      <alignment horizontal="left" vertical="center"/>
    </xf>
    <xf numFmtId="1" fontId="6" fillId="0" borderId="113" xfId="0" applyNumberFormat="1" applyFont="1" applyBorder="1" applyAlignment="1">
      <alignment horizontal="left" vertical="center" wrapText="1"/>
    </xf>
    <xf numFmtId="1" fontId="6" fillId="0" borderId="263" xfId="0" applyNumberFormat="1" applyFont="1" applyBorder="1" applyAlignment="1">
      <alignment horizontal="left" vertical="center" wrapText="1"/>
    </xf>
    <xf numFmtId="1" fontId="6" fillId="0" borderId="1670" xfId="0" applyNumberFormat="1" applyFont="1" applyBorder="1" applyAlignment="1">
      <alignment horizontal="left" vertical="center"/>
    </xf>
    <xf numFmtId="1" fontId="6" fillId="0" borderId="1667" xfId="0" applyNumberFormat="1" applyFont="1" applyBorder="1" applyAlignment="1">
      <alignment horizontal="left" vertical="center"/>
    </xf>
    <xf numFmtId="1" fontId="6" fillId="0" borderId="1655" xfId="0" applyNumberFormat="1" applyFont="1" applyBorder="1" applyAlignment="1">
      <alignment horizontal="left" vertical="center"/>
    </xf>
    <xf numFmtId="1" fontId="6" fillId="0" borderId="1680" xfId="0" applyNumberFormat="1" applyFont="1" applyBorder="1" applyAlignment="1">
      <alignment horizontal="left" vertical="center"/>
    </xf>
    <xf numFmtId="1" fontId="6" fillId="0" borderId="815" xfId="0" applyNumberFormat="1" applyFont="1" applyBorder="1" applyAlignment="1">
      <alignment horizontal="left" vertical="center"/>
    </xf>
    <xf numFmtId="1" fontId="6" fillId="0" borderId="61" xfId="0" applyNumberFormat="1" applyFont="1" applyBorder="1" applyAlignment="1">
      <alignment horizontal="left" vertical="center"/>
    </xf>
    <xf numFmtId="1" fontId="6" fillId="0" borderId="39" xfId="0" applyNumberFormat="1" applyFont="1" applyBorder="1" applyAlignment="1">
      <alignment horizontal="left" vertical="center"/>
    </xf>
    <xf numFmtId="1" fontId="6" fillId="0" borderId="267" xfId="0" applyNumberFormat="1" applyFont="1" applyBorder="1" applyAlignment="1">
      <alignment horizontal="left" vertical="center" wrapText="1"/>
    </xf>
    <xf numFmtId="1" fontId="6" fillId="0" borderId="256" xfId="0" applyNumberFormat="1" applyFont="1" applyBorder="1" applyAlignment="1">
      <alignment horizontal="left" vertical="center" wrapText="1"/>
    </xf>
    <xf numFmtId="1" fontId="6" fillId="0" borderId="112" xfId="0" applyNumberFormat="1" applyFont="1" applyBorder="1" applyAlignment="1">
      <alignment horizontal="left" vertical="center" wrapText="1"/>
    </xf>
    <xf numFmtId="1" fontId="6" fillId="0" borderId="262" xfId="0" applyNumberFormat="1" applyFont="1" applyBorder="1" applyAlignment="1">
      <alignment horizontal="left" vertical="center" wrapText="1"/>
    </xf>
    <xf numFmtId="1" fontId="6" fillId="0" borderId="1145" xfId="0" applyNumberFormat="1" applyFont="1" applyBorder="1" applyAlignment="1">
      <alignment horizontal="center" vertical="center" wrapText="1"/>
    </xf>
    <xf numFmtId="1" fontId="6" fillId="14" borderId="2424" xfId="0" applyNumberFormat="1" applyFont="1" applyFill="1" applyBorder="1" applyAlignment="1">
      <alignment horizontal="left" vertical="center" wrapText="1"/>
    </xf>
    <xf numFmtId="1" fontId="6" fillId="14" borderId="2082" xfId="0" applyNumberFormat="1" applyFont="1" applyFill="1" applyBorder="1" applyAlignment="1">
      <alignment horizontal="left" vertical="center" wrapText="1"/>
    </xf>
    <xf numFmtId="1" fontId="6" fillId="14" borderId="2113" xfId="0" applyNumberFormat="1" applyFont="1" applyFill="1" applyBorder="1" applyAlignment="1">
      <alignment horizontal="left" vertical="center" wrapText="1"/>
    </xf>
    <xf numFmtId="1" fontId="6" fillId="3" borderId="1667" xfId="0" applyNumberFormat="1" applyFont="1" applyFill="1" applyBorder="1" applyAlignment="1">
      <alignment horizontal="center" vertical="center" wrapText="1"/>
    </xf>
    <xf numFmtId="1" fontId="6" fillId="3" borderId="1673" xfId="0" applyNumberFormat="1" applyFont="1" applyFill="1" applyBorder="1" applyAlignment="1">
      <alignment horizontal="center" vertical="center" wrapText="1"/>
    </xf>
    <xf numFmtId="1" fontId="6" fillId="3" borderId="1615" xfId="0" applyNumberFormat="1" applyFont="1" applyFill="1" applyBorder="1" applyAlignment="1">
      <alignment horizontal="center" vertical="center" wrapText="1"/>
    </xf>
    <xf numFmtId="1" fontId="6" fillId="3" borderId="1657" xfId="0" applyNumberFormat="1" applyFont="1" applyFill="1" applyBorder="1" applyAlignment="1">
      <alignment horizontal="center" vertical="center" wrapText="1"/>
    </xf>
    <xf numFmtId="1" fontId="6" fillId="14" borderId="1615" xfId="0" applyNumberFormat="1" applyFont="1" applyFill="1" applyBorder="1" applyAlignment="1">
      <alignment horizontal="center" vertical="center" wrapText="1"/>
    </xf>
    <xf numFmtId="1" fontId="6" fillId="14" borderId="1688" xfId="0" applyNumberFormat="1" applyFont="1" applyFill="1" applyBorder="1" applyAlignment="1">
      <alignment horizontal="center" vertical="center" wrapText="1"/>
    </xf>
    <xf numFmtId="1" fontId="6" fillId="0" borderId="1657" xfId="0" applyNumberFormat="1" applyFont="1" applyBorder="1" applyAlignment="1">
      <alignment horizontal="center" vertical="center" wrapText="1"/>
    </xf>
    <xf numFmtId="1" fontId="4" fillId="3" borderId="1642" xfId="0" applyNumberFormat="1" applyFont="1" applyFill="1" applyBorder="1" applyAlignment="1">
      <alignment horizontal="left" wrapText="1"/>
    </xf>
    <xf numFmtId="1" fontId="4" fillId="3" borderId="1686" xfId="0" applyNumberFormat="1" applyFont="1" applyFill="1" applyBorder="1" applyAlignment="1">
      <alignment horizontal="left" wrapText="1"/>
    </xf>
    <xf numFmtId="1" fontId="4" fillId="3" borderId="1653" xfId="0" applyNumberFormat="1" applyFont="1" applyFill="1" applyBorder="1" applyAlignment="1">
      <alignment horizontal="left" wrapText="1"/>
    </xf>
    <xf numFmtId="1" fontId="6" fillId="0" borderId="1670" xfId="0" applyNumberFormat="1" applyFont="1" applyBorder="1" applyAlignment="1">
      <alignment horizontal="center" wrapText="1"/>
    </xf>
    <xf numFmtId="1" fontId="6" fillId="0" borderId="1667" xfId="0" applyNumberFormat="1" applyFont="1" applyBorder="1" applyAlignment="1">
      <alignment horizontal="center" wrapText="1"/>
    </xf>
    <xf numFmtId="1" fontId="6" fillId="0" borderId="171" xfId="0" applyNumberFormat="1" applyFont="1" applyBorder="1" applyAlignment="1">
      <alignment horizontal="center" vertical="center"/>
    </xf>
    <xf numFmtId="1" fontId="6" fillId="14" borderId="2367" xfId="0" applyNumberFormat="1" applyFont="1" applyFill="1" applyBorder="1" applyAlignment="1">
      <alignment horizontal="center" vertical="center"/>
    </xf>
    <xf numFmtId="1" fontId="6" fillId="14" borderId="428" xfId="0" applyNumberFormat="1" applyFont="1" applyFill="1" applyBorder="1" applyAlignment="1">
      <alignment horizontal="center" vertical="center"/>
    </xf>
    <xf numFmtId="1" fontId="6" fillId="14" borderId="2184" xfId="0" applyNumberFormat="1" applyFont="1" applyFill="1" applyBorder="1" applyAlignment="1">
      <alignment horizontal="center" vertical="center"/>
    </xf>
    <xf numFmtId="1" fontId="6" fillId="14" borderId="1670" xfId="0" applyNumberFormat="1" applyFont="1" applyFill="1" applyBorder="1" applyAlignment="1">
      <alignment horizontal="center" vertical="center"/>
    </xf>
    <xf numFmtId="1" fontId="6" fillId="14" borderId="1667" xfId="0" applyNumberFormat="1" applyFont="1" applyFill="1" applyBorder="1" applyAlignment="1">
      <alignment horizontal="center" vertical="center"/>
    </xf>
    <xf numFmtId="1" fontId="6" fillId="14" borderId="1592" xfId="0" applyNumberFormat="1" applyFont="1" applyFill="1" applyBorder="1" applyAlignment="1">
      <alignment horizontal="left" vertical="center" wrapText="1"/>
    </xf>
    <xf numFmtId="1" fontId="13" fillId="0" borderId="1670" xfId="0" applyNumberFormat="1" applyFont="1" applyBorder="1" applyAlignment="1">
      <alignment horizontal="center" vertical="center"/>
    </xf>
    <xf numFmtId="1" fontId="13" fillId="0" borderId="1667" xfId="0" applyNumberFormat="1" applyFont="1" applyBorder="1" applyAlignment="1">
      <alignment horizontal="center" vertical="center"/>
    </xf>
    <xf numFmtId="1" fontId="6" fillId="14" borderId="1615" xfId="0" applyNumberFormat="1" applyFont="1" applyFill="1" applyBorder="1" applyAlignment="1" applyProtection="1">
      <alignment horizontal="center" vertical="center"/>
      <protection locked="0"/>
    </xf>
    <xf numFmtId="1" fontId="6" fillId="14" borderId="1688" xfId="0" applyNumberFormat="1" applyFont="1" applyFill="1" applyBorder="1" applyAlignment="1" applyProtection="1">
      <alignment horizontal="center" vertical="center"/>
      <protection locked="0"/>
    </xf>
    <xf numFmtId="1" fontId="6" fillId="14" borderId="1616" xfId="0" applyNumberFormat="1" applyFont="1" applyFill="1" applyBorder="1" applyAlignment="1">
      <alignment horizontal="center" vertical="center" wrapText="1"/>
    </xf>
    <xf numFmtId="1" fontId="6" fillId="14" borderId="1617" xfId="0" applyNumberFormat="1" applyFont="1" applyFill="1" applyBorder="1" applyAlignment="1">
      <alignment horizontal="center" vertical="center" wrapText="1"/>
    </xf>
    <xf numFmtId="1" fontId="6" fillId="14" borderId="1693" xfId="0" applyNumberFormat="1" applyFont="1" applyFill="1" applyBorder="1" applyAlignment="1">
      <alignment horizontal="center" vertical="center" wrapText="1"/>
    </xf>
    <xf numFmtId="1" fontId="6" fillId="14" borderId="1654" xfId="0" applyNumberFormat="1" applyFont="1" applyFill="1" applyBorder="1" applyAlignment="1">
      <alignment horizontal="center" vertical="center" wrapText="1"/>
    </xf>
    <xf numFmtId="1" fontId="6" fillId="14" borderId="1670" xfId="0" applyNumberFormat="1" applyFont="1" applyFill="1" applyBorder="1" applyAlignment="1">
      <alignment horizontal="left" vertical="center"/>
    </xf>
    <xf numFmtId="1" fontId="6" fillId="14" borderId="1667" xfId="0" applyNumberFormat="1" applyFont="1" applyFill="1" applyBorder="1" applyAlignment="1">
      <alignment horizontal="left" vertical="center"/>
    </xf>
    <xf numFmtId="1" fontId="13" fillId="14" borderId="1670" xfId="0" applyNumberFormat="1" applyFont="1" applyFill="1" applyBorder="1" applyAlignment="1">
      <alignment horizontal="left" vertical="center"/>
    </xf>
    <xf numFmtId="1" fontId="13" fillId="14" borderId="1667" xfId="0" applyNumberFormat="1" applyFont="1" applyFill="1" applyBorder="1" applyAlignment="1">
      <alignment horizontal="left" vertical="center"/>
    </xf>
    <xf numFmtId="0" fontId="6" fillId="0" borderId="2082" xfId="0" applyFont="1" applyBorder="1" applyAlignment="1">
      <alignment horizontal="center" vertical="center"/>
    </xf>
    <xf numFmtId="0" fontId="6" fillId="0" borderId="2120" xfId="0" applyFont="1" applyBorder="1" applyAlignment="1">
      <alignment horizontal="center" vertical="center"/>
    </xf>
    <xf numFmtId="0" fontId="6" fillId="0" borderId="2121" xfId="0" applyFont="1" applyBorder="1" applyAlignment="1">
      <alignment horizontal="center" vertical="center"/>
    </xf>
    <xf numFmtId="1" fontId="6" fillId="14" borderId="2092" xfId="0" applyNumberFormat="1" applyFont="1" applyFill="1" applyBorder="1" applyAlignment="1">
      <alignment horizontal="center" vertical="center"/>
    </xf>
    <xf numFmtId="1" fontId="6" fillId="3" borderId="1670" xfId="0" applyNumberFormat="1" applyFont="1" applyFill="1" applyBorder="1" applyAlignment="1">
      <alignment horizontal="center" vertical="center" wrapText="1"/>
    </xf>
    <xf numFmtId="1" fontId="6" fillId="3" borderId="1673" xfId="0" applyNumberFormat="1" applyFont="1" applyFill="1" applyBorder="1" applyAlignment="1">
      <alignment horizontal="center" vertical="center"/>
    </xf>
    <xf numFmtId="1" fontId="6" fillId="0" borderId="1687" xfId="0" applyNumberFormat="1" applyFont="1" applyBorder="1" applyAlignment="1">
      <alignment horizontal="center" vertical="center" wrapText="1"/>
    </xf>
    <xf numFmtId="1" fontId="6" fillId="14" borderId="2373" xfId="0" applyNumberFormat="1" applyFont="1" applyFill="1" applyBorder="1" applyAlignment="1">
      <alignment horizontal="center" vertical="center" wrapText="1"/>
    </xf>
    <xf numFmtId="1" fontId="6" fillId="14" borderId="2387" xfId="0" applyNumberFormat="1" applyFont="1" applyFill="1" applyBorder="1" applyAlignment="1">
      <alignment horizontal="center" vertical="center" wrapText="1"/>
    </xf>
    <xf numFmtId="1" fontId="6" fillId="14" borderId="2381" xfId="0" applyNumberFormat="1" applyFont="1" applyFill="1" applyBorder="1" applyAlignment="1">
      <alignment horizontal="center" vertical="center" wrapText="1"/>
    </xf>
    <xf numFmtId="1" fontId="6" fillId="14" borderId="2373" xfId="0" applyNumberFormat="1" applyFont="1" applyFill="1" applyBorder="1" applyAlignment="1">
      <alignment horizontal="left" vertical="center"/>
    </xf>
    <xf numFmtId="1" fontId="6" fillId="14" borderId="2381" xfId="0" applyNumberFormat="1" applyFont="1" applyFill="1" applyBorder="1" applyAlignment="1">
      <alignment horizontal="left" vertical="center"/>
    </xf>
    <xf numFmtId="1" fontId="6" fillId="0" borderId="1657" xfId="0" applyNumberFormat="1" applyFont="1" applyBorder="1" applyAlignment="1">
      <alignment horizontal="center" vertical="center"/>
    </xf>
    <xf numFmtId="1" fontId="4" fillId="0" borderId="1686" xfId="0" applyNumberFormat="1" applyFont="1" applyBorder="1" applyAlignment="1">
      <alignment horizontal="left" wrapText="1"/>
    </xf>
    <xf numFmtId="1" fontId="4" fillId="0" borderId="1653" xfId="0" applyNumberFormat="1" applyFont="1" applyBorder="1" applyAlignment="1">
      <alignment horizontal="left" wrapText="1"/>
    </xf>
    <xf numFmtId="1" fontId="13" fillId="3" borderId="2211" xfId="0" applyNumberFormat="1" applyFont="1" applyFill="1" applyBorder="1" applyAlignment="1">
      <alignment horizontal="center" vertical="center" wrapText="1"/>
    </xf>
    <xf numFmtId="1" fontId="13" fillId="3" borderId="2213" xfId="0" applyNumberFormat="1" applyFont="1" applyFill="1" applyBorder="1" applyAlignment="1">
      <alignment horizontal="center" vertical="center" wrapText="1"/>
    </xf>
    <xf numFmtId="1" fontId="13" fillId="3" borderId="2212" xfId="0" applyNumberFormat="1" applyFont="1" applyFill="1" applyBorder="1" applyAlignment="1">
      <alignment horizontal="center" vertical="center" wrapText="1"/>
    </xf>
    <xf numFmtId="0" fontId="6" fillId="0" borderId="795" xfId="0" applyFont="1" applyBorder="1" applyAlignment="1">
      <alignment horizontal="center" vertical="center" wrapText="1"/>
    </xf>
    <xf numFmtId="0" fontId="6" fillId="0" borderId="1927" xfId="0" applyFont="1" applyBorder="1" applyAlignment="1">
      <alignment horizontal="center" vertical="center" wrapText="1"/>
    </xf>
    <xf numFmtId="0" fontId="6" fillId="0" borderId="2109" xfId="0" applyFont="1" applyBorder="1" applyAlignment="1">
      <alignment horizontal="center" vertical="center"/>
    </xf>
    <xf numFmtId="0" fontId="6" fillId="0" borderId="1884" xfId="0" applyFont="1" applyBorder="1" applyAlignment="1">
      <alignment horizontal="center" vertical="center"/>
    </xf>
    <xf numFmtId="1" fontId="6" fillId="14" borderId="2441" xfId="0" applyNumberFormat="1" applyFont="1" applyFill="1" applyBorder="1" applyAlignment="1">
      <alignment horizontal="left" vertical="center" wrapText="1"/>
    </xf>
    <xf numFmtId="1" fontId="6" fillId="3" borderId="1670" xfId="0" applyNumberFormat="1" applyFont="1" applyFill="1" applyBorder="1" applyAlignment="1">
      <alignment horizontal="left" vertical="center"/>
    </xf>
    <xf numFmtId="1" fontId="6" fillId="3" borderId="1667" xfId="0" applyNumberFormat="1" applyFont="1" applyFill="1" applyBorder="1" applyAlignment="1">
      <alignment horizontal="left" vertical="center"/>
    </xf>
    <xf numFmtId="1" fontId="6" fillId="0" borderId="1615" xfId="0" applyNumberFormat="1" applyFont="1" applyBorder="1" applyAlignment="1">
      <alignment horizontal="left" vertical="center"/>
    </xf>
    <xf numFmtId="1" fontId="6" fillId="0" borderId="1648" xfId="0" applyNumberFormat="1" applyFont="1" applyBorder="1" applyAlignment="1">
      <alignment horizontal="left" vertical="center"/>
    </xf>
    <xf numFmtId="1" fontId="6" fillId="0" borderId="1926" xfId="0" applyNumberFormat="1" applyFont="1" applyBorder="1" applyAlignment="1">
      <alignment horizontal="left" vertical="center"/>
    </xf>
    <xf numFmtId="1" fontId="6" fillId="0" borderId="1884" xfId="0" applyNumberFormat="1" applyFont="1" applyBorder="1" applyAlignment="1">
      <alignment horizontal="left" vertical="center"/>
    </xf>
    <xf numFmtId="1" fontId="6" fillId="3" borderId="1705" xfId="0" applyNumberFormat="1" applyFont="1" applyFill="1" applyBorder="1" applyAlignment="1">
      <alignment horizontal="left" vertical="center" wrapText="1"/>
    </xf>
    <xf numFmtId="1" fontId="6" fillId="3" borderId="1706" xfId="0" applyNumberFormat="1" applyFont="1" applyFill="1" applyBorder="1" applyAlignment="1">
      <alignment horizontal="left" vertical="center" wrapText="1"/>
    </xf>
    <xf numFmtId="1" fontId="6" fillId="14" borderId="2457" xfId="0" applyNumberFormat="1" applyFont="1" applyFill="1" applyBorder="1" applyAlignment="1">
      <alignment horizontal="left" vertical="center" wrapText="1"/>
    </xf>
    <xf numFmtId="1" fontId="6" fillId="14" borderId="2459" xfId="0" applyNumberFormat="1" applyFont="1" applyFill="1" applyBorder="1" applyAlignment="1">
      <alignment horizontal="left" vertical="center" wrapText="1"/>
    </xf>
    <xf numFmtId="1" fontId="6" fillId="14" borderId="2441" xfId="0" applyNumberFormat="1" applyFont="1" applyFill="1" applyBorder="1" applyAlignment="1">
      <alignment horizontal="left" vertical="center"/>
    </xf>
    <xf numFmtId="1" fontId="6" fillId="0" borderId="1646" xfId="0" applyNumberFormat="1" applyFont="1" applyBorder="1" applyAlignment="1">
      <alignment horizontal="left" vertical="center"/>
    </xf>
    <xf numFmtId="1" fontId="6" fillId="0" borderId="1660" xfId="0" applyNumberFormat="1" applyFont="1" applyBorder="1" applyAlignment="1">
      <alignment horizontal="left" vertical="center" wrapText="1"/>
    </xf>
    <xf numFmtId="1" fontId="6" fillId="0" borderId="1611" xfId="0" applyNumberFormat="1" applyFont="1" applyBorder="1" applyAlignment="1">
      <alignment horizontal="left" vertical="center" wrapText="1"/>
    </xf>
    <xf numFmtId="1" fontId="6" fillId="0" borderId="1693" xfId="0" applyNumberFormat="1" applyFont="1" applyBorder="1" applyAlignment="1">
      <alignment horizontal="left" vertical="center"/>
    </xf>
    <xf numFmtId="1" fontId="6" fillId="0" borderId="1654" xfId="0" applyNumberFormat="1" applyFont="1" applyBorder="1" applyAlignment="1">
      <alignment horizontal="left" vertical="center"/>
    </xf>
    <xf numFmtId="0" fontId="6" fillId="0" borderId="1615" xfId="0" applyFont="1" applyBorder="1" applyAlignment="1">
      <alignment horizontal="center" vertical="center"/>
    </xf>
    <xf numFmtId="0" fontId="6" fillId="0" borderId="1646" xfId="0" applyFont="1" applyBorder="1" applyAlignment="1">
      <alignment horizontal="center" vertical="center"/>
    </xf>
    <xf numFmtId="0" fontId="6" fillId="0" borderId="1737" xfId="0" applyFont="1" applyBorder="1" applyAlignment="1">
      <alignment horizontal="center" vertical="center"/>
    </xf>
    <xf numFmtId="0" fontId="6" fillId="0" borderId="1737" xfId="0" applyFont="1" applyBorder="1"/>
    <xf numFmtId="0" fontId="6" fillId="0" borderId="1736" xfId="0" applyFont="1" applyBorder="1" applyAlignment="1">
      <alignment horizontal="center" vertical="center"/>
    </xf>
    <xf numFmtId="0" fontId="6" fillId="0" borderId="1817" xfId="0" applyFont="1" applyBorder="1"/>
    <xf numFmtId="0" fontId="13" fillId="0" borderId="1736" xfId="0" applyFont="1" applyBorder="1"/>
    <xf numFmtId="1" fontId="6" fillId="0" borderId="523" xfId="0" applyNumberFormat="1" applyFont="1" applyBorder="1" applyAlignment="1">
      <alignment horizontal="center"/>
    </xf>
    <xf numFmtId="1" fontId="6" fillId="0" borderId="347" xfId="0" applyNumberFormat="1" applyFont="1" applyBorder="1" applyAlignment="1">
      <alignment horizontal="center"/>
    </xf>
    <xf numFmtId="1" fontId="6" fillId="0" borderId="432" xfId="0" applyNumberFormat="1" applyFont="1" applyBorder="1" applyAlignment="1">
      <alignment horizontal="center"/>
    </xf>
    <xf numFmtId="1" fontId="4" fillId="3" borderId="0" xfId="25" applyNumberFormat="1" applyFont="1" applyFill="1" applyAlignment="1">
      <alignment horizontal="left" wrapText="1"/>
    </xf>
    <xf numFmtId="1" fontId="6" fillId="14" borderId="1640" xfId="25" applyNumberFormat="1" applyFont="1" applyFill="1" applyBorder="1" applyAlignment="1">
      <alignment horizontal="left" vertical="center" wrapText="1"/>
    </xf>
    <xf numFmtId="1" fontId="6" fillId="14" borderId="1421" xfId="25" applyNumberFormat="1" applyFont="1" applyFill="1" applyBorder="1" applyAlignment="1">
      <alignment horizontal="left" vertical="center" wrapText="1"/>
    </xf>
    <xf numFmtId="1" fontId="6" fillId="14" borderId="682" xfId="25" applyNumberFormat="1" applyFont="1" applyFill="1" applyBorder="1" applyAlignment="1">
      <alignment horizontal="left" vertical="center" wrapText="1"/>
    </xf>
    <xf numFmtId="1" fontId="6" fillId="14" borderId="812" xfId="25" applyNumberFormat="1" applyFont="1" applyFill="1" applyBorder="1" applyAlignment="1">
      <alignment horizontal="left" vertical="center" wrapText="1"/>
    </xf>
    <xf numFmtId="1" fontId="6" fillId="3" borderId="537" xfId="0" applyNumberFormat="1" applyFont="1" applyFill="1" applyBorder="1" applyAlignment="1">
      <alignment horizontal="center" vertical="center" wrapText="1"/>
    </xf>
    <xf numFmtId="1" fontId="6" fillId="3" borderId="493" xfId="7" applyNumberFormat="1" applyFont="1" applyFill="1" applyBorder="1" applyAlignment="1">
      <alignment horizontal="center" wrapText="1"/>
    </xf>
    <xf numFmtId="1" fontId="6" fillId="3" borderId="537" xfId="7" applyNumberFormat="1" applyFont="1" applyFill="1" applyBorder="1" applyAlignment="1">
      <alignment horizontal="center" wrapText="1"/>
    </xf>
    <xf numFmtId="1" fontId="6" fillId="14" borderId="1833" xfId="25" applyNumberFormat="1" applyFont="1" applyFill="1" applyBorder="1" applyAlignment="1">
      <alignment horizontal="left" vertical="center" wrapText="1"/>
    </xf>
    <xf numFmtId="1" fontId="6" fillId="14" borderId="1834" xfId="25" applyNumberFormat="1" applyFont="1" applyFill="1" applyBorder="1" applyAlignment="1">
      <alignment horizontal="left" vertical="center" wrapText="1"/>
    </xf>
    <xf numFmtId="1" fontId="4" fillId="3" borderId="1903" xfId="25" applyNumberFormat="1" applyFont="1" applyFill="1" applyBorder="1" applyAlignment="1">
      <alignment horizontal="left" wrapText="1"/>
    </xf>
    <xf numFmtId="1" fontId="6" fillId="0" borderId="1903" xfId="0" applyNumberFormat="1" applyFont="1" applyBorder="1" applyAlignment="1">
      <alignment horizontal="center" vertical="center" wrapText="1"/>
    </xf>
    <xf numFmtId="1" fontId="6" fillId="0" borderId="497" xfId="0" applyNumberFormat="1" applyFont="1" applyBorder="1" applyAlignment="1">
      <alignment horizontal="center" vertical="center" wrapText="1"/>
    </xf>
    <xf numFmtId="1" fontId="6" fillId="0" borderId="347" xfId="0" applyNumberFormat="1" applyFont="1" applyBorder="1" applyAlignment="1">
      <alignment horizontal="center" vertical="center" wrapText="1"/>
    </xf>
    <xf numFmtId="1" fontId="6" fillId="14" borderId="1787" xfId="0" applyNumberFormat="1" applyFont="1" applyFill="1" applyBorder="1" applyAlignment="1">
      <alignment horizontal="left" vertical="center" wrapText="1"/>
    </xf>
    <xf numFmtId="1" fontId="6" fillId="14" borderId="1668" xfId="0" applyNumberFormat="1" applyFont="1" applyFill="1" applyBorder="1" applyAlignment="1">
      <alignment horizontal="left" vertical="center" wrapText="1"/>
    </xf>
    <xf numFmtId="1" fontId="6" fillId="14" borderId="1835" xfId="0" applyNumberFormat="1" applyFont="1" applyFill="1" applyBorder="1" applyAlignment="1">
      <alignment horizontal="left" vertical="center" wrapText="1"/>
    </xf>
    <xf numFmtId="1" fontId="6" fillId="14" borderId="1646" xfId="0" applyNumberFormat="1" applyFont="1" applyFill="1" applyBorder="1" applyAlignment="1">
      <alignment horizontal="center" vertical="center" wrapText="1"/>
    </xf>
    <xf numFmtId="1" fontId="6" fillId="14" borderId="1737" xfId="0" applyNumberFormat="1" applyFont="1" applyFill="1" applyBorder="1" applyAlignment="1">
      <alignment horizontal="center" vertical="center" wrapText="1"/>
    </xf>
    <xf numFmtId="1" fontId="6" fillId="0" borderId="1831" xfId="25" applyNumberFormat="1" applyFont="1" applyBorder="1" applyAlignment="1">
      <alignment horizontal="left" vertical="center" wrapText="1"/>
    </xf>
    <xf numFmtId="1" fontId="6" fillId="0" borderId="1832" xfId="25" applyNumberFormat="1" applyFont="1" applyBorder="1" applyAlignment="1">
      <alignment horizontal="left" vertical="center" wrapText="1"/>
    </xf>
    <xf numFmtId="1" fontId="6" fillId="0" borderId="682" xfId="25" applyNumberFormat="1" applyFont="1" applyBorder="1" applyAlignment="1">
      <alignment horizontal="left" vertical="center" wrapText="1"/>
    </xf>
    <xf numFmtId="1" fontId="6" fillId="0" borderId="812" xfId="25" applyNumberFormat="1" applyFont="1" applyBorder="1" applyAlignment="1">
      <alignment horizontal="left" vertical="center" wrapText="1"/>
    </xf>
    <xf numFmtId="1" fontId="6" fillId="0" borderId="1833" xfId="25" applyNumberFormat="1" applyFont="1" applyBorder="1" applyAlignment="1">
      <alignment horizontal="left" vertical="center" wrapText="1"/>
    </xf>
    <xf numFmtId="1" fontId="6" fillId="0" borderId="1834" xfId="25" applyNumberFormat="1" applyFont="1" applyBorder="1" applyAlignment="1">
      <alignment horizontal="left" vertical="center" wrapText="1"/>
    </xf>
    <xf numFmtId="1" fontId="6" fillId="14" borderId="1737" xfId="0" applyNumberFormat="1" applyFont="1" applyFill="1" applyBorder="1" applyAlignment="1">
      <alignment horizontal="left" vertical="center" wrapText="1"/>
    </xf>
    <xf numFmtId="1" fontId="6" fillId="0" borderId="1640" xfId="25" applyNumberFormat="1" applyFont="1" applyBorder="1" applyAlignment="1">
      <alignment horizontal="left" vertical="center" wrapText="1"/>
    </xf>
    <xf numFmtId="1" fontId="6" fillId="0" borderId="1421" xfId="25" applyNumberFormat="1" applyFont="1" applyBorder="1" applyAlignment="1">
      <alignment horizontal="left" vertical="center" wrapText="1"/>
    </xf>
    <xf numFmtId="1" fontId="6" fillId="14" borderId="1615" xfId="0" applyNumberFormat="1" applyFont="1" applyFill="1" applyBorder="1" applyAlignment="1">
      <alignment vertical="center" wrapText="1"/>
    </xf>
    <xf numFmtId="1" fontId="6" fillId="14" borderId="1737" xfId="0" applyNumberFormat="1" applyFont="1" applyFill="1" applyBorder="1" applyAlignment="1">
      <alignment vertical="center" wrapText="1"/>
    </xf>
    <xf numFmtId="1" fontId="6" fillId="14" borderId="1826" xfId="0" applyNumberFormat="1" applyFont="1" applyFill="1" applyBorder="1" applyAlignment="1">
      <alignment horizontal="left" vertical="center" wrapText="1"/>
    </xf>
    <xf numFmtId="1" fontId="6" fillId="14" borderId="1646" xfId="0" applyNumberFormat="1" applyFont="1" applyFill="1" applyBorder="1" applyAlignment="1">
      <alignment vertical="center" wrapText="1"/>
    </xf>
    <xf numFmtId="1" fontId="6" fillId="14" borderId="2445" xfId="0" applyNumberFormat="1" applyFont="1" applyFill="1" applyBorder="1" applyAlignment="1">
      <alignment horizontal="left" vertical="center" wrapText="1"/>
    </xf>
    <xf numFmtId="1" fontId="6" fillId="14" borderId="2440" xfId="0" applyNumberFormat="1" applyFont="1" applyFill="1" applyBorder="1" applyAlignment="1">
      <alignment horizontal="left" vertical="center" wrapText="1"/>
    </xf>
    <xf numFmtId="1" fontId="6" fillId="14" borderId="2439" xfId="0" applyNumberFormat="1" applyFont="1" applyFill="1" applyBorder="1" applyAlignment="1">
      <alignment horizontal="left" vertical="center" wrapText="1"/>
    </xf>
    <xf numFmtId="1" fontId="6" fillId="3" borderId="497" xfId="0" applyNumberFormat="1" applyFont="1" applyFill="1" applyBorder="1" applyAlignment="1">
      <alignment horizontal="center" vertical="center" wrapText="1"/>
    </xf>
    <xf numFmtId="1" fontId="6" fillId="3" borderId="497" xfId="25" applyNumberFormat="1" applyFont="1" applyFill="1" applyBorder="1" applyAlignment="1">
      <alignment horizontal="center" vertical="center" wrapText="1"/>
    </xf>
    <xf numFmtId="1" fontId="6" fillId="3" borderId="496" xfId="25" applyNumberFormat="1" applyFont="1" applyFill="1" applyBorder="1" applyAlignment="1">
      <alignment horizontal="center" vertical="center" wrapText="1"/>
    </xf>
    <xf numFmtId="1" fontId="6" fillId="3" borderId="333" xfId="0" applyNumberFormat="1" applyFont="1" applyFill="1" applyBorder="1" applyAlignment="1">
      <alignment horizontal="left" vertical="center" wrapText="1"/>
    </xf>
    <xf numFmtId="1" fontId="6" fillId="0" borderId="499" xfId="0" applyNumberFormat="1" applyFont="1" applyBorder="1" applyAlignment="1">
      <alignment horizontal="left" vertical="center" wrapText="1"/>
    </xf>
    <xf numFmtId="1" fontId="6" fillId="0" borderId="523" xfId="0" applyNumberFormat="1" applyFont="1" applyBorder="1" applyAlignment="1">
      <alignment horizontal="left"/>
    </xf>
    <xf numFmtId="1" fontId="6" fillId="0" borderId="432" xfId="0" applyNumberFormat="1" applyFont="1" applyBorder="1" applyAlignment="1">
      <alignment horizontal="left"/>
    </xf>
    <xf numFmtId="1" fontId="6" fillId="0" borderId="502" xfId="0" applyNumberFormat="1" applyFont="1" applyBorder="1" applyAlignment="1">
      <alignment horizontal="left"/>
    </xf>
    <xf numFmtId="1" fontId="6" fillId="0" borderId="497" xfId="0" applyNumberFormat="1" applyFont="1" applyBorder="1" applyAlignment="1">
      <alignment horizontal="center"/>
    </xf>
    <xf numFmtId="1" fontId="6" fillId="3" borderId="512" xfId="25" applyNumberFormat="1" applyFont="1" applyFill="1" applyBorder="1" applyAlignment="1">
      <alignment horizontal="center" vertical="center" wrapText="1"/>
    </xf>
    <xf numFmtId="1" fontId="6" fillId="3" borderId="346" xfId="25" applyNumberFormat="1" applyFont="1" applyFill="1" applyBorder="1" applyAlignment="1">
      <alignment horizontal="center" vertical="center" wrapText="1"/>
    </xf>
    <xf numFmtId="1" fontId="6" fillId="3" borderId="336" xfId="25" applyNumberFormat="1" applyFont="1" applyFill="1" applyBorder="1" applyAlignment="1">
      <alignment horizontal="center" vertical="center" wrapText="1"/>
    </xf>
    <xf numFmtId="1" fontId="4" fillId="3" borderId="347" xfId="25" applyNumberFormat="1" applyFont="1" applyFill="1" applyBorder="1" applyAlignment="1">
      <alignment horizontal="left" wrapText="1"/>
    </xf>
    <xf numFmtId="1" fontId="6" fillId="3" borderId="503" xfId="0" applyNumberFormat="1" applyFont="1" applyFill="1" applyBorder="1" applyAlignment="1">
      <alignment horizontal="center" vertical="center" wrapText="1"/>
    </xf>
    <xf numFmtId="1" fontId="6" fillId="3" borderId="496" xfId="0" applyNumberFormat="1" applyFont="1" applyFill="1" applyBorder="1" applyAlignment="1">
      <alignment horizontal="center" vertical="center" wrapText="1"/>
    </xf>
    <xf numFmtId="1" fontId="6" fillId="3" borderId="503" xfId="0" applyNumberFormat="1" applyFont="1" applyFill="1" applyBorder="1" applyAlignment="1">
      <alignment horizontal="left" vertical="center" wrapText="1"/>
    </xf>
    <xf numFmtId="1" fontId="6" fillId="3" borderId="496" xfId="0" applyNumberFormat="1" applyFont="1" applyFill="1" applyBorder="1" applyAlignment="1">
      <alignment horizontal="left" vertical="center" wrapText="1"/>
    </xf>
    <xf numFmtId="1" fontId="6" fillId="3" borderId="327" xfId="0" applyNumberFormat="1" applyFont="1" applyFill="1" applyBorder="1" applyAlignment="1">
      <alignment horizontal="left" vertical="center" wrapText="1"/>
    </xf>
    <xf numFmtId="1" fontId="6" fillId="3" borderId="326" xfId="0" applyNumberFormat="1" applyFont="1" applyFill="1" applyBorder="1" applyAlignment="1">
      <alignment horizontal="left" vertical="center" wrapText="1"/>
    </xf>
    <xf numFmtId="1" fontId="6" fillId="3" borderId="23" xfId="0" applyNumberFormat="1" applyFont="1" applyFill="1" applyBorder="1" applyAlignment="1">
      <alignment horizontal="left"/>
    </xf>
    <xf numFmtId="1" fontId="6" fillId="3" borderId="21" xfId="0" applyNumberFormat="1" applyFont="1" applyFill="1" applyBorder="1" applyAlignment="1">
      <alignment horizontal="left"/>
    </xf>
    <xf numFmtId="1" fontId="6" fillId="3" borderId="498" xfId="0" applyNumberFormat="1" applyFont="1" applyFill="1" applyBorder="1" applyAlignment="1">
      <alignment horizontal="left" vertical="center" wrapText="1"/>
    </xf>
    <xf numFmtId="1" fontId="6" fillId="3" borderId="499" xfId="0" applyNumberFormat="1" applyFont="1" applyFill="1" applyBorder="1" applyAlignment="1">
      <alignment horizontal="left" vertical="center" wrapText="1"/>
    </xf>
    <xf numFmtId="1" fontId="6" fillId="12" borderId="2413" xfId="0" applyNumberFormat="1" applyFont="1" applyFill="1" applyBorder="1" applyAlignment="1">
      <alignment horizontal="center" vertical="center" wrapText="1"/>
    </xf>
    <xf numFmtId="1" fontId="6" fillId="12" borderId="1497" xfId="0" applyNumberFormat="1" applyFont="1" applyFill="1" applyBorder="1" applyAlignment="1">
      <alignment horizontal="center" vertical="center" wrapText="1"/>
    </xf>
    <xf numFmtId="1" fontId="4" fillId="14" borderId="0" xfId="25" applyNumberFormat="1" applyFont="1" applyFill="1" applyAlignment="1">
      <alignment horizontal="left" wrapText="1"/>
    </xf>
    <xf numFmtId="1" fontId="4" fillId="14" borderId="0" xfId="25" applyNumberFormat="1" applyFont="1" applyFill="1" applyAlignment="1">
      <alignment wrapText="1"/>
    </xf>
    <xf numFmtId="1" fontId="9" fillId="14" borderId="0" xfId="0" applyNumberFormat="1" applyFont="1" applyFill="1" applyAlignment="1">
      <alignment wrapText="1"/>
    </xf>
    <xf numFmtId="1" fontId="6" fillId="3" borderId="0" xfId="0" applyNumberFormat="1" applyFont="1" applyFill="1" applyAlignment="1">
      <alignment horizontal="center" vertical="center"/>
    </xf>
    <xf numFmtId="1" fontId="6" fillId="3" borderId="0" xfId="25" applyNumberFormat="1" applyFont="1" applyFill="1" applyAlignment="1">
      <alignment horizontal="center" vertical="center" wrapText="1"/>
    </xf>
    <xf numFmtId="1" fontId="6" fillId="3" borderId="428" xfId="0" applyNumberFormat="1" applyFont="1" applyFill="1" applyBorder="1" applyAlignment="1">
      <alignment horizontal="center" vertical="center" wrapText="1"/>
    </xf>
    <xf numFmtId="1" fontId="6" fillId="0" borderId="1787" xfId="0" applyNumberFormat="1" applyFont="1" applyBorder="1" applyAlignment="1">
      <alignment horizontal="center" vertical="center" wrapText="1"/>
    </xf>
    <xf numFmtId="1" fontId="6" fillId="0" borderId="503" xfId="0" applyNumberFormat="1" applyFont="1" applyBorder="1" applyAlignment="1">
      <alignment horizontal="center"/>
    </xf>
    <xf numFmtId="1" fontId="6" fillId="0" borderId="449" xfId="0" applyNumberFormat="1" applyFont="1" applyBorder="1" applyAlignment="1">
      <alignment horizontal="center"/>
    </xf>
    <xf numFmtId="1" fontId="6" fillId="0" borderId="491" xfId="0" applyNumberFormat="1" applyFont="1" applyBorder="1"/>
    <xf numFmtId="1" fontId="6" fillId="0" borderId="511" xfId="0" applyNumberFormat="1" applyFont="1" applyBorder="1" applyAlignment="1">
      <alignment horizontal="center" vertical="center" wrapText="1"/>
    </xf>
    <xf numFmtId="1" fontId="6" fillId="0" borderId="539" xfId="0" applyNumberFormat="1" applyFont="1" applyBorder="1" applyAlignment="1">
      <alignment horizontal="center" vertical="center" wrapText="1"/>
    </xf>
    <xf numFmtId="1" fontId="6" fillId="3" borderId="508" xfId="0" applyNumberFormat="1" applyFont="1" applyFill="1" applyBorder="1" applyAlignment="1">
      <alignment horizontal="left" vertical="center" wrapText="1"/>
    </xf>
    <xf numFmtId="1" fontId="6" fillId="3" borderId="491" xfId="0" applyNumberFormat="1" applyFont="1" applyFill="1" applyBorder="1" applyAlignment="1">
      <alignment horizontal="left" vertical="center" wrapText="1"/>
    </xf>
    <xf numFmtId="1" fontId="6" fillId="3" borderId="515" xfId="0" applyNumberFormat="1" applyFont="1" applyFill="1" applyBorder="1" applyAlignment="1">
      <alignment horizontal="left" vertical="center" wrapText="1"/>
    </xf>
    <xf numFmtId="1" fontId="6" fillId="3" borderId="31" xfId="0" applyNumberFormat="1" applyFont="1" applyFill="1" applyBorder="1" applyAlignment="1">
      <alignment horizontal="left" vertical="center" wrapText="1"/>
    </xf>
    <xf numFmtId="0" fontId="6" fillId="0" borderId="1833" xfId="0" applyFont="1" applyBorder="1" applyAlignment="1">
      <alignment horizontal="left" vertical="center" wrapText="1"/>
    </xf>
    <xf numFmtId="0" fontId="6" fillId="0" borderId="1834" xfId="0" applyFont="1" applyBorder="1" applyAlignment="1">
      <alignment horizontal="left" vertical="center" wrapText="1"/>
    </xf>
    <xf numFmtId="0" fontId="6" fillId="0" borderId="1711" xfId="0" applyFont="1" applyBorder="1" applyAlignment="1">
      <alignment horizontal="left" vertical="center" wrapText="1"/>
    </xf>
    <xf numFmtId="0" fontId="6" fillId="0" borderId="1654" xfId="0" applyFont="1" applyBorder="1" applyAlignment="1">
      <alignment horizontal="left" vertical="center" wrapText="1"/>
    </xf>
    <xf numFmtId="0" fontId="13" fillId="0" borderId="1787" xfId="0" applyFont="1" applyBorder="1" applyAlignment="1">
      <alignment horizontal="center" vertical="center"/>
    </xf>
    <xf numFmtId="0" fontId="13" fillId="0" borderId="1835" xfId="0" applyFont="1" applyBorder="1" applyAlignment="1">
      <alignment horizontal="center" vertical="center"/>
    </xf>
    <xf numFmtId="0" fontId="13" fillId="0" borderId="1829" xfId="0" applyFont="1" applyBorder="1" applyAlignment="1">
      <alignment horizontal="center"/>
    </xf>
    <xf numFmtId="0" fontId="13" fillId="0" borderId="1830" xfId="0" applyFont="1" applyBorder="1" applyAlignment="1">
      <alignment horizontal="center"/>
    </xf>
    <xf numFmtId="0" fontId="6" fillId="0" borderId="1831" xfId="0" applyFont="1" applyBorder="1" applyAlignment="1">
      <alignment horizontal="left" vertical="center"/>
    </xf>
    <xf numFmtId="0" fontId="6" fillId="0" borderId="1832" xfId="0" applyFont="1" applyBorder="1" applyAlignment="1">
      <alignment horizontal="left" vertical="center"/>
    </xf>
    <xf numFmtId="0" fontId="6" fillId="0" borderId="682" xfId="0" applyFont="1" applyBorder="1" applyAlignment="1">
      <alignment horizontal="left" vertical="center"/>
    </xf>
    <xf numFmtId="0" fontId="6" fillId="0" borderId="812" xfId="0" applyFont="1" applyBorder="1" applyAlignment="1">
      <alignment horizontal="left" vertical="center"/>
    </xf>
    <xf numFmtId="0" fontId="6" fillId="0" borderId="682" xfId="0" applyFont="1" applyBorder="1" applyAlignment="1">
      <alignment horizontal="left" vertical="center" wrapText="1"/>
    </xf>
    <xf numFmtId="0" fontId="6" fillId="0" borderId="812" xfId="0" applyFont="1" applyBorder="1" applyAlignment="1">
      <alignment horizontal="left" vertical="center" wrapText="1"/>
    </xf>
    <xf numFmtId="0" fontId="6" fillId="0" borderId="1711" xfId="0" applyFont="1" applyBorder="1" applyAlignment="1">
      <alignment horizontal="left" vertical="center"/>
    </xf>
    <xf numFmtId="0" fontId="6" fillId="0" borderId="1654" xfId="0" applyFont="1" applyBorder="1" applyAlignment="1">
      <alignment horizontal="left" vertical="center"/>
    </xf>
    <xf numFmtId="0" fontId="13" fillId="0" borderId="1787" xfId="0" applyFont="1" applyBorder="1" applyAlignment="1">
      <alignment horizontal="left" vertical="center"/>
    </xf>
    <xf numFmtId="0" fontId="13" fillId="0" borderId="1835" xfId="0" applyFont="1" applyBorder="1" applyAlignment="1">
      <alignment horizontal="left" vertical="center"/>
    </xf>
    <xf numFmtId="0" fontId="6" fillId="0" borderId="1421" xfId="0" applyFont="1" applyBorder="1" applyAlignment="1">
      <alignment horizontal="left" vertical="center"/>
    </xf>
    <xf numFmtId="0" fontId="6" fillId="0" borderId="1887" xfId="0" applyFont="1" applyBorder="1" applyAlignment="1">
      <alignment horizontal="center" vertical="center"/>
    </xf>
    <xf numFmtId="1" fontId="6" fillId="0" borderId="1720" xfId="0" applyNumberFormat="1" applyFont="1" applyBorder="1" applyAlignment="1">
      <alignment horizontal="center" vertical="center" wrapText="1"/>
    </xf>
    <xf numFmtId="1" fontId="13" fillId="3" borderId="1826" xfId="0" applyNumberFormat="1" applyFont="1" applyFill="1" applyBorder="1" applyAlignment="1">
      <alignment horizontal="left" vertical="center"/>
    </xf>
    <xf numFmtId="1" fontId="6" fillId="3" borderId="1826" xfId="0" applyNumberFormat="1" applyFont="1" applyFill="1" applyBorder="1" applyAlignment="1">
      <alignment horizontal="center" vertical="center"/>
    </xf>
    <xf numFmtId="1" fontId="6" fillId="3" borderId="1826" xfId="0" applyNumberFormat="1" applyFont="1" applyFill="1" applyBorder="1" applyAlignment="1">
      <alignment horizontal="center" vertical="center" wrapText="1"/>
    </xf>
    <xf numFmtId="1" fontId="13" fillId="3" borderId="1826" xfId="0" applyNumberFormat="1" applyFont="1" applyFill="1" applyBorder="1" applyAlignment="1">
      <alignment horizontal="center" vertical="center"/>
    </xf>
    <xf numFmtId="1" fontId="6" fillId="3" borderId="682" xfId="0" applyNumberFormat="1" applyFont="1" applyFill="1" applyBorder="1"/>
    <xf numFmtId="1" fontId="6" fillId="3" borderId="824" xfId="0" applyNumberFormat="1" applyFont="1" applyFill="1" applyBorder="1"/>
    <xf numFmtId="1" fontId="6" fillId="3" borderId="812" xfId="0" applyNumberFormat="1" applyFont="1" applyFill="1" applyBorder="1"/>
    <xf numFmtId="1" fontId="6" fillId="3" borderId="1833" xfId="0" applyNumberFormat="1" applyFont="1" applyFill="1" applyBorder="1"/>
    <xf numFmtId="1" fontId="6" fillId="3" borderId="1843" xfId="0" applyNumberFormat="1" applyFont="1" applyFill="1" applyBorder="1"/>
    <xf numFmtId="1" fontId="6" fillId="3" borderId="1834" xfId="0" applyNumberFormat="1" applyFont="1" applyFill="1" applyBorder="1"/>
    <xf numFmtId="1" fontId="13" fillId="3" borderId="1711" xfId="0" applyNumberFormat="1" applyFont="1" applyFill="1" applyBorder="1"/>
    <xf numFmtId="1" fontId="13" fillId="3" borderId="1079" xfId="0" applyNumberFormat="1" applyFont="1" applyFill="1" applyBorder="1"/>
    <xf numFmtId="1" fontId="13" fillId="3" borderId="1654" xfId="0" applyNumberFormat="1" applyFont="1" applyFill="1" applyBorder="1"/>
    <xf numFmtId="1" fontId="6" fillId="0" borderId="1699" xfId="0" applyNumberFormat="1" applyFont="1" applyBorder="1" applyAlignment="1">
      <alignment horizontal="center" vertical="center" wrapText="1"/>
    </xf>
    <xf numFmtId="1" fontId="6" fillId="0" borderId="1658" xfId="0" applyNumberFormat="1" applyFont="1" applyBorder="1" applyAlignment="1">
      <alignment horizontal="center" vertical="center" wrapText="1"/>
    </xf>
    <xf numFmtId="1" fontId="6" fillId="0" borderId="1824" xfId="0" applyNumberFormat="1" applyFont="1" applyBorder="1" applyAlignment="1">
      <alignment horizontal="center" vertical="center" wrapText="1"/>
    </xf>
    <xf numFmtId="1" fontId="13" fillId="3" borderId="1616" xfId="0" applyNumberFormat="1" applyFont="1" applyFill="1" applyBorder="1" applyAlignment="1">
      <alignment horizontal="center" vertical="center"/>
    </xf>
    <xf numFmtId="1" fontId="13" fillId="3" borderId="986" xfId="0" applyNumberFormat="1" applyFont="1" applyFill="1" applyBorder="1" applyAlignment="1">
      <alignment horizontal="center" vertical="center"/>
    </xf>
    <xf numFmtId="1" fontId="13" fillId="3" borderId="1617" xfId="0" applyNumberFormat="1" applyFont="1" applyFill="1" applyBorder="1" applyAlignment="1">
      <alignment horizontal="center" vertical="center"/>
    </xf>
    <xf numFmtId="1" fontId="13" fillId="3" borderId="1711" xfId="0" applyNumberFormat="1" applyFont="1" applyFill="1" applyBorder="1" applyAlignment="1">
      <alignment horizontal="center" vertical="center"/>
    </xf>
    <xf numFmtId="1" fontId="13" fillId="3" borderId="1079" xfId="0" applyNumberFormat="1" applyFont="1" applyFill="1" applyBorder="1" applyAlignment="1">
      <alignment horizontal="center" vertical="center"/>
    </xf>
    <xf numFmtId="1" fontId="13" fillId="3" borderId="1654" xfId="0" applyNumberFormat="1" applyFont="1" applyFill="1" applyBorder="1" applyAlignment="1">
      <alignment horizontal="center" vertical="center"/>
    </xf>
    <xf numFmtId="1" fontId="6" fillId="3" borderId="1831" xfId="0" applyNumberFormat="1" applyFont="1" applyFill="1" applyBorder="1"/>
    <xf numFmtId="1" fontId="6" fillId="3" borderId="1842" xfId="0" applyNumberFormat="1" applyFont="1" applyFill="1" applyBorder="1"/>
    <xf numFmtId="1" fontId="6" fillId="3" borderId="1832" xfId="0" applyNumberFormat="1" applyFont="1" applyFill="1" applyBorder="1"/>
    <xf numFmtId="1" fontId="6" fillId="3" borderId="1711" xfId="0" applyNumberFormat="1" applyFont="1" applyFill="1" applyBorder="1"/>
    <xf numFmtId="1" fontId="6" fillId="3" borderId="1079" xfId="0" applyNumberFormat="1" applyFont="1" applyFill="1" applyBorder="1"/>
    <xf numFmtId="1" fontId="6" fillId="3" borderId="1654" xfId="0" applyNumberFormat="1" applyFont="1" applyFill="1" applyBorder="1"/>
    <xf numFmtId="1" fontId="6" fillId="3" borderId="1640" xfId="0" applyNumberFormat="1" applyFont="1" applyFill="1" applyBorder="1"/>
    <xf numFmtId="1" fontId="6" fillId="3" borderId="71" xfId="0" applyNumberFormat="1" applyFont="1" applyFill="1" applyBorder="1"/>
    <xf numFmtId="1" fontId="6" fillId="3" borderId="1421" xfId="0" applyNumberFormat="1" applyFont="1" applyFill="1" applyBorder="1"/>
    <xf numFmtId="1" fontId="2" fillId="14" borderId="0" xfId="0" applyNumberFormat="1" applyFont="1" applyFill="1" applyAlignment="1">
      <alignment horizontal="center"/>
    </xf>
    <xf numFmtId="1" fontId="6" fillId="14" borderId="1787" xfId="25" applyNumberFormat="1" applyFont="1" applyFill="1" applyBorder="1" applyAlignment="1">
      <alignment horizontal="center" wrapText="1"/>
    </xf>
    <xf numFmtId="1" fontId="6" fillId="14" borderId="1835" xfId="25" applyNumberFormat="1" applyFont="1" applyFill="1" applyBorder="1" applyAlignment="1">
      <alignment horizontal="center" wrapText="1"/>
    </xf>
    <xf numFmtId="1" fontId="6" fillId="14" borderId="428" xfId="0" applyNumberFormat="1" applyFont="1" applyFill="1" applyBorder="1" applyAlignment="1">
      <alignment horizontal="left" vertical="center" wrapText="1"/>
    </xf>
    <xf numFmtId="1" fontId="6" fillId="14" borderId="2397" xfId="0" applyNumberFormat="1" applyFont="1" applyFill="1" applyBorder="1" applyAlignment="1">
      <alignment horizontal="left" vertical="center" wrapText="1"/>
    </xf>
    <xf numFmtId="1" fontId="6" fillId="14" borderId="71" xfId="0" applyNumberFormat="1" applyFont="1" applyFill="1" applyBorder="1" applyAlignment="1">
      <alignment horizontal="left" vertical="center" wrapText="1"/>
    </xf>
    <xf numFmtId="1" fontId="6" fillId="14" borderId="1421" xfId="0" applyNumberFormat="1" applyFont="1" applyFill="1" applyBorder="1" applyAlignment="1">
      <alignment horizontal="left" vertical="center" wrapText="1"/>
    </xf>
    <xf numFmtId="1" fontId="6" fillId="14" borderId="1613" xfId="0" applyNumberFormat="1" applyFont="1" applyFill="1" applyBorder="1" applyAlignment="1">
      <alignment horizontal="left" vertical="center" wrapText="1"/>
    </xf>
    <xf numFmtId="1" fontId="6" fillId="14" borderId="1611" xfId="0" applyNumberFormat="1" applyFont="1" applyFill="1" applyBorder="1" applyAlignment="1">
      <alignment horizontal="left" vertical="center" wrapText="1"/>
    </xf>
    <xf numFmtId="1" fontId="6" fillId="14" borderId="1646" xfId="0" applyNumberFormat="1" applyFont="1" applyFill="1" applyBorder="1" applyAlignment="1">
      <alignment horizontal="left" vertical="center" wrapText="1"/>
    </xf>
    <xf numFmtId="1" fontId="6" fillId="14" borderId="1711" xfId="0" applyNumberFormat="1" applyFont="1" applyFill="1" applyBorder="1" applyAlignment="1">
      <alignment horizontal="left" vertical="center" wrapText="1"/>
    </xf>
    <xf numFmtId="1" fontId="6" fillId="14" borderId="1654" xfId="0" applyNumberFormat="1" applyFont="1" applyFill="1" applyBorder="1" applyAlignment="1">
      <alignment horizontal="left" vertical="center" wrapText="1"/>
    </xf>
    <xf numFmtId="1" fontId="6" fillId="14" borderId="1831" xfId="0" applyNumberFormat="1" applyFont="1" applyFill="1" applyBorder="1" applyAlignment="1">
      <alignment horizontal="left" vertical="center" wrapText="1"/>
    </xf>
    <xf numFmtId="1" fontId="6" fillId="14" borderId="1832" xfId="0" applyNumberFormat="1" applyFont="1" applyFill="1" applyBorder="1" applyAlignment="1">
      <alignment horizontal="left" vertical="center" wrapText="1"/>
    </xf>
    <xf numFmtId="1" fontId="6" fillId="14" borderId="682" xfId="0" applyNumberFormat="1" applyFont="1" applyFill="1" applyBorder="1" applyAlignment="1">
      <alignment horizontal="left" vertical="center" wrapText="1"/>
    </xf>
    <xf numFmtId="1" fontId="6" fillId="14" borderId="812" xfId="0" applyNumberFormat="1" applyFont="1" applyFill="1" applyBorder="1" applyAlignment="1">
      <alignment horizontal="left" vertical="center" wrapText="1"/>
    </xf>
    <xf numFmtId="1" fontId="6" fillId="14" borderId="2408" xfId="0" applyNumberFormat="1" applyFont="1" applyFill="1" applyBorder="1" applyAlignment="1">
      <alignment horizontal="left" vertical="center" wrapText="1"/>
    </xf>
    <xf numFmtId="1" fontId="6" fillId="0" borderId="2457" xfId="0" applyNumberFormat="1" applyFont="1" applyBorder="1" applyAlignment="1">
      <alignment horizontal="center"/>
    </xf>
    <xf numFmtId="1" fontId="6" fillId="0" borderId="2458" xfId="0" applyNumberFormat="1" applyFont="1" applyBorder="1" applyAlignment="1">
      <alignment horizontal="center"/>
    </xf>
    <xf numFmtId="1" fontId="6" fillId="0" borderId="2459" xfId="0" applyNumberFormat="1" applyFont="1" applyBorder="1" applyAlignment="1">
      <alignment horizontal="center"/>
    </xf>
    <xf numFmtId="1" fontId="6" fillId="0" borderId="2397" xfId="0" applyNumberFormat="1" applyFont="1" applyBorder="1" applyAlignment="1">
      <alignment horizontal="center"/>
    </xf>
    <xf numFmtId="1" fontId="6" fillId="0" borderId="71" xfId="0" applyNumberFormat="1" applyFont="1" applyBorder="1" applyAlignment="1">
      <alignment horizontal="center"/>
    </xf>
    <xf numFmtId="1" fontId="6" fillId="0" borderId="1421" xfId="0" applyNumberFormat="1" applyFont="1" applyBorder="1" applyAlignment="1">
      <alignment horizontal="center"/>
    </xf>
    <xf numFmtId="1" fontId="32" fillId="3" borderId="1926" xfId="0" applyNumberFormat="1" applyFont="1" applyFill="1" applyBorder="1" applyAlignment="1">
      <alignment horizontal="center" vertical="center"/>
    </xf>
    <xf numFmtId="1" fontId="32" fillId="3" borderId="1927" xfId="0" applyNumberFormat="1" applyFont="1" applyFill="1" applyBorder="1" applyAlignment="1">
      <alignment horizontal="center" vertical="center"/>
    </xf>
    <xf numFmtId="1" fontId="32" fillId="3" borderId="1884" xfId="0" applyNumberFormat="1" applyFont="1" applyFill="1" applyBorder="1" applyAlignment="1">
      <alignment horizontal="center" vertical="center"/>
    </xf>
    <xf numFmtId="1" fontId="32" fillId="14" borderId="2109" xfId="0" applyNumberFormat="1" applyFont="1" applyFill="1" applyBorder="1" applyAlignment="1">
      <alignment horizontal="center" vertical="center"/>
    </xf>
    <xf numFmtId="1" fontId="32" fillId="14" borderId="510" xfId="0" applyNumberFormat="1" applyFont="1" applyFill="1" applyBorder="1" applyAlignment="1">
      <alignment horizontal="center" vertical="center"/>
    </xf>
    <xf numFmtId="1" fontId="32" fillId="14" borderId="1884" xfId="0" applyNumberFormat="1" applyFont="1" applyFill="1" applyBorder="1" applyAlignment="1">
      <alignment horizontal="center" vertical="center"/>
    </xf>
    <xf numFmtId="1" fontId="32" fillId="0" borderId="1926" xfId="0" applyNumberFormat="1" applyFont="1" applyBorder="1" applyAlignment="1">
      <alignment horizontal="center" vertical="center"/>
    </xf>
    <xf numFmtId="1" fontId="32" fillId="0" borderId="1927" xfId="0" applyNumberFormat="1" applyFont="1" applyBorder="1" applyAlignment="1">
      <alignment horizontal="center" vertical="center"/>
    </xf>
    <xf numFmtId="1" fontId="32" fillId="0" borderId="1884" xfId="0" applyNumberFormat="1" applyFont="1" applyBorder="1" applyAlignment="1">
      <alignment horizontal="center" vertical="center"/>
    </xf>
    <xf numFmtId="1" fontId="32" fillId="0" borderId="590" xfId="0" applyNumberFormat="1" applyFont="1" applyBorder="1" applyAlignment="1">
      <alignment horizontal="left" vertical="center" wrapText="1"/>
    </xf>
    <xf numFmtId="1" fontId="32" fillId="0" borderId="591" xfId="0" applyNumberFormat="1" applyFont="1" applyBorder="1" applyAlignment="1">
      <alignment horizontal="left" vertical="center" wrapText="1"/>
    </xf>
    <xf numFmtId="1" fontId="32" fillId="0" borderId="515" xfId="0" applyNumberFormat="1" applyFont="1" applyBorder="1" applyAlignment="1">
      <alignment horizontal="left" vertical="center" wrapText="1"/>
    </xf>
    <xf numFmtId="1" fontId="32" fillId="0" borderId="31" xfId="0" applyNumberFormat="1" applyFont="1" applyBorder="1" applyAlignment="1">
      <alignment horizontal="left" vertical="center" wrapText="1"/>
    </xf>
    <xf numFmtId="1" fontId="32" fillId="0" borderId="71" xfId="0" applyNumberFormat="1" applyFont="1" applyBorder="1" applyAlignment="1">
      <alignment horizontal="left" vertical="center" wrapText="1"/>
    </xf>
    <xf numFmtId="1" fontId="32" fillId="0" borderId="596" xfId="0" applyNumberFormat="1" applyFont="1" applyBorder="1" applyAlignment="1">
      <alignment horizontal="left" vertical="center" wrapText="1"/>
    </xf>
    <xf numFmtId="1" fontId="32" fillId="14" borderId="936" xfId="0" applyNumberFormat="1" applyFont="1" applyFill="1" applyBorder="1" applyAlignment="1">
      <alignment horizontal="left" vertical="center" wrapText="1"/>
    </xf>
    <xf numFmtId="1" fontId="32" fillId="14" borderId="918" xfId="0" applyNumberFormat="1" applyFont="1" applyFill="1" applyBorder="1" applyAlignment="1">
      <alignment horizontal="left" vertical="center" wrapText="1"/>
    </xf>
    <xf numFmtId="1" fontId="32" fillId="14" borderId="1125" xfId="0" applyNumberFormat="1" applyFont="1" applyFill="1" applyBorder="1" applyAlignment="1">
      <alignment horizontal="left" vertical="center" wrapText="1"/>
    </xf>
    <xf numFmtId="1" fontId="32" fillId="14" borderId="1258" xfId="0" applyNumberFormat="1" applyFont="1" applyFill="1" applyBorder="1" applyAlignment="1">
      <alignment horizontal="left" vertical="center" wrapText="1"/>
    </xf>
    <xf numFmtId="1" fontId="32" fillId="14" borderId="71" xfId="0" applyNumberFormat="1" applyFont="1" applyFill="1" applyBorder="1" applyAlignment="1">
      <alignment horizontal="left" vertical="center" wrapText="1"/>
    </xf>
    <xf numFmtId="1" fontId="32" fillId="14" borderId="1044" xfId="0" applyNumberFormat="1" applyFont="1" applyFill="1" applyBorder="1" applyAlignment="1">
      <alignment horizontal="left" vertical="center" wrapText="1"/>
    </xf>
    <xf numFmtId="1" fontId="32" fillId="0" borderId="564" xfId="0" applyNumberFormat="1" applyFont="1" applyBorder="1" applyAlignment="1">
      <alignment horizontal="center" vertical="center"/>
    </xf>
    <xf numFmtId="1" fontId="32" fillId="14" borderId="1105" xfId="0" applyNumberFormat="1" applyFont="1" applyFill="1" applyBorder="1" applyAlignment="1">
      <alignment horizontal="left" vertical="center" wrapText="1"/>
    </xf>
    <xf numFmtId="1" fontId="32" fillId="14" borderId="1104" xfId="0" applyNumberFormat="1" applyFont="1" applyFill="1" applyBorder="1" applyAlignment="1">
      <alignment horizontal="left" vertical="center" wrapText="1"/>
    </xf>
    <xf numFmtId="1" fontId="32" fillId="0" borderId="437" xfId="0" applyNumberFormat="1" applyFont="1" applyBorder="1" applyAlignment="1">
      <alignment horizontal="center"/>
    </xf>
    <xf numFmtId="1" fontId="32" fillId="0" borderId="435" xfId="0" applyNumberFormat="1" applyFont="1" applyBorder="1" applyAlignment="1">
      <alignment horizontal="center"/>
    </xf>
    <xf numFmtId="1" fontId="32" fillId="0" borderId="1416" xfId="0" applyNumberFormat="1" applyFont="1" applyBorder="1" applyAlignment="1">
      <alignment horizontal="center" vertical="center"/>
    </xf>
    <xf numFmtId="1" fontId="32" fillId="0" borderId="1433" xfId="0" applyNumberFormat="1" applyFont="1" applyBorder="1" applyAlignment="1">
      <alignment horizontal="center" vertical="center"/>
    </xf>
    <xf numFmtId="1" fontId="32" fillId="0" borderId="51" xfId="0" applyNumberFormat="1" applyFont="1" applyBorder="1" applyAlignment="1">
      <alignment horizontal="left" vertical="center" wrapText="1"/>
    </xf>
    <xf numFmtId="1" fontId="32" fillId="0" borderId="40" xfId="0" applyNumberFormat="1" applyFont="1" applyBorder="1" applyAlignment="1">
      <alignment horizontal="left" vertical="center" wrapText="1"/>
    </xf>
    <xf numFmtId="1" fontId="32" fillId="0" borderId="50" xfId="0" applyNumberFormat="1" applyFont="1" applyBorder="1" applyAlignment="1">
      <alignment horizontal="left" vertical="center" wrapText="1"/>
    </xf>
    <xf numFmtId="1" fontId="32" fillId="0" borderId="440" xfId="0" applyNumberFormat="1" applyFont="1" applyBorder="1" applyAlignment="1">
      <alignment horizontal="center" vertical="center" wrapText="1"/>
    </xf>
    <xf numFmtId="1" fontId="32" fillId="0" borderId="435" xfId="0" applyNumberFormat="1" applyFont="1" applyBorder="1" applyAlignment="1">
      <alignment horizontal="center" vertical="center"/>
    </xf>
    <xf numFmtId="1" fontId="32" fillId="0" borderId="446" xfId="0" applyNumberFormat="1" applyFont="1" applyBorder="1" applyAlignment="1">
      <alignment horizontal="left" vertical="center" wrapText="1"/>
    </xf>
    <xf numFmtId="1" fontId="32" fillId="0" borderId="444" xfId="0" applyNumberFormat="1" applyFont="1" applyBorder="1" applyAlignment="1">
      <alignment horizontal="left" vertical="center" wrapText="1"/>
    </xf>
    <xf numFmtId="1" fontId="32" fillId="14" borderId="61" xfId="0" applyNumberFormat="1" applyFont="1" applyFill="1" applyBorder="1" applyAlignment="1">
      <alignment horizontal="left" vertical="center" wrapText="1"/>
    </xf>
    <xf numFmtId="1" fontId="32" fillId="14" borderId="285" xfId="0" applyNumberFormat="1" applyFont="1" applyFill="1" applyBorder="1" applyAlignment="1">
      <alignment horizontal="left" vertical="center" wrapText="1"/>
    </xf>
    <xf numFmtId="1" fontId="32" fillId="0" borderId="1673" xfId="0" applyNumberFormat="1" applyFont="1" applyBorder="1" applyAlignment="1">
      <alignment horizontal="center" vertical="center" wrapText="1"/>
    </xf>
    <xf numFmtId="1" fontId="32" fillId="0" borderId="240" xfId="0" applyNumberFormat="1" applyFont="1" applyBorder="1" applyAlignment="1">
      <alignment horizontal="center" vertical="center"/>
    </xf>
    <xf numFmtId="1" fontId="32" fillId="0" borderId="416" xfId="0" applyNumberFormat="1" applyFont="1" applyBorder="1" applyAlignment="1">
      <alignment horizontal="center" vertical="center"/>
    </xf>
    <xf numFmtId="1" fontId="32" fillId="0" borderId="68" xfId="0" applyNumberFormat="1" applyFont="1" applyBorder="1" applyAlignment="1">
      <alignment horizontal="center" vertical="center"/>
    </xf>
    <xf numFmtId="1" fontId="32" fillId="0" borderId="440" xfId="0" applyNumberFormat="1" applyFont="1" applyBorder="1" applyAlignment="1">
      <alignment horizontal="center" vertical="center"/>
    </xf>
    <xf numFmtId="1" fontId="32" fillId="0" borderId="454" xfId="0" applyNumberFormat="1" applyFont="1" applyBorder="1" applyAlignment="1">
      <alignment horizontal="center" vertical="center"/>
    </xf>
    <xf numFmtId="1" fontId="32" fillId="0" borderId="40" xfId="0" applyNumberFormat="1" applyFont="1" applyBorder="1" applyAlignment="1">
      <alignment horizontal="left"/>
    </xf>
    <xf numFmtId="1" fontId="32" fillId="0" borderId="50" xfId="0" applyNumberFormat="1" applyFont="1" applyBorder="1" applyAlignment="1">
      <alignment horizontal="left"/>
    </xf>
    <xf numFmtId="1" fontId="32" fillId="0" borderId="40" xfId="0" quotePrefix="1" applyNumberFormat="1" applyFont="1" applyBorder="1" applyAlignment="1">
      <alignment horizontal="left"/>
    </xf>
    <xf numFmtId="1" fontId="32" fillId="0" borderId="1435" xfId="0" applyNumberFormat="1" applyFont="1" applyBorder="1" applyAlignment="1">
      <alignment horizontal="left" vertical="center" wrapText="1"/>
    </xf>
    <xf numFmtId="1" fontId="32" fillId="0" borderId="1436" xfId="0" applyNumberFormat="1" applyFont="1" applyBorder="1" applyAlignment="1">
      <alignment horizontal="left" vertical="center" wrapText="1"/>
    </xf>
    <xf numFmtId="1" fontId="32" fillId="0" borderId="1259" xfId="0" applyNumberFormat="1" applyFont="1" applyBorder="1" applyAlignment="1">
      <alignment horizontal="left" vertical="center" wrapText="1"/>
    </xf>
    <xf numFmtId="1" fontId="32" fillId="0" borderId="1117" xfId="0" applyNumberFormat="1" applyFont="1" applyBorder="1" applyAlignment="1">
      <alignment horizontal="left" vertical="center" wrapText="1"/>
    </xf>
    <xf numFmtId="1" fontId="32" fillId="0" borderId="1438" xfId="0" applyNumberFormat="1" applyFont="1" applyBorder="1" applyAlignment="1">
      <alignment horizontal="center" vertical="center" wrapText="1"/>
    </xf>
    <xf numFmtId="1" fontId="66" fillId="3" borderId="0" xfId="0" applyNumberFormat="1" applyFont="1" applyFill="1" applyAlignment="1">
      <alignment horizontal="center" vertical="center"/>
    </xf>
    <xf numFmtId="164" fontId="32" fillId="14" borderId="2405" xfId="6" applyNumberFormat="1" applyFont="1" applyFill="1" applyBorder="1" applyAlignment="1">
      <alignment horizontal="center" vertical="center"/>
    </xf>
    <xf numFmtId="164" fontId="32" fillId="14" borderId="2407" xfId="6" applyNumberFormat="1" applyFont="1" applyFill="1" applyBorder="1" applyAlignment="1">
      <alignment horizontal="center" vertical="center"/>
    </xf>
    <xf numFmtId="164" fontId="32" fillId="14" borderId="2445" xfId="6" applyNumberFormat="1" applyFont="1" applyFill="1" applyBorder="1" applyAlignment="1">
      <alignment horizontal="center" vertical="center"/>
    </xf>
    <xf numFmtId="164" fontId="32" fillId="14" borderId="2439" xfId="6" applyNumberFormat="1" applyFont="1" applyFill="1" applyBorder="1" applyAlignment="1">
      <alignment horizontal="center" vertical="center"/>
    </xf>
    <xf numFmtId="164" fontId="32" fillId="14" borderId="2405" xfId="32" applyNumberFormat="1" applyFont="1" applyFill="1" applyBorder="1" applyAlignment="1" applyProtection="1">
      <alignment horizontal="center"/>
    </xf>
    <xf numFmtId="164" fontId="32" fillId="14" borderId="2406" xfId="32" applyNumberFormat="1" applyFont="1" applyFill="1" applyBorder="1" applyAlignment="1" applyProtection="1">
      <alignment horizontal="center"/>
    </xf>
    <xf numFmtId="164" fontId="32" fillId="14" borderId="2418" xfId="32" applyNumberFormat="1" applyFont="1" applyFill="1" applyBorder="1" applyAlignment="1" applyProtection="1">
      <alignment horizontal="center" vertical="center" wrapText="1"/>
    </xf>
    <xf numFmtId="164" fontId="32" fillId="14" borderId="2435" xfId="32" applyNumberFormat="1" applyFont="1" applyFill="1" applyBorder="1" applyAlignment="1" applyProtection="1">
      <alignment horizontal="center" vertical="center" wrapText="1"/>
    </xf>
    <xf numFmtId="164" fontId="32" fillId="14" borderId="908" xfId="32" applyNumberFormat="1" applyFont="1" applyFill="1" applyBorder="1" applyAlignment="1" applyProtection="1">
      <alignment horizontal="center" vertical="center"/>
    </xf>
    <xf numFmtId="1" fontId="32" fillId="0" borderId="446" xfId="0" applyNumberFormat="1" applyFont="1" applyBorder="1" applyAlignment="1">
      <alignment horizontal="left"/>
    </xf>
    <xf numFmtId="1" fontId="32" fillId="0" borderId="444" xfId="0" applyNumberFormat="1" applyFont="1" applyBorder="1" applyAlignment="1">
      <alignment horizontal="left"/>
    </xf>
    <xf numFmtId="1" fontId="32" fillId="0" borderId="23" xfId="0" applyNumberFormat="1" applyFont="1" applyBorder="1" applyAlignment="1">
      <alignment horizontal="left"/>
    </xf>
    <xf numFmtId="1" fontId="32" fillId="0" borderId="21" xfId="0" applyNumberFormat="1" applyFont="1" applyBorder="1" applyAlignment="1">
      <alignment horizontal="left"/>
    </xf>
    <xf numFmtId="1" fontId="39" fillId="0" borderId="1744" xfId="6" applyNumberFormat="1" applyFont="1" applyBorder="1" applyAlignment="1">
      <alignment horizontal="center" vertical="center"/>
    </xf>
    <xf numFmtId="0" fontId="46" fillId="0" borderId="1753" xfId="6" applyFont="1" applyBorder="1"/>
    <xf numFmtId="0" fontId="46" fillId="0" borderId="1878" xfId="6" applyFont="1" applyBorder="1"/>
    <xf numFmtId="1" fontId="6" fillId="0" borderId="1747" xfId="6" applyNumberFormat="1" applyFont="1" applyBorder="1" applyAlignment="1">
      <alignment horizontal="center" vertical="center"/>
    </xf>
    <xf numFmtId="0" fontId="46" fillId="0" borderId="1756" xfId="6" applyFont="1" applyBorder="1"/>
    <xf numFmtId="0" fontId="46" fillId="0" borderId="1862" xfId="6" applyFont="1" applyBorder="1"/>
    <xf numFmtId="1" fontId="6" fillId="0" borderId="169" xfId="0" applyNumberFormat="1" applyFont="1" applyBorder="1" applyAlignment="1">
      <alignment horizontal="center" vertical="center"/>
    </xf>
    <xf numFmtId="1" fontId="6" fillId="0" borderId="170" xfId="0" applyNumberFormat="1" applyFont="1" applyBorder="1" applyAlignment="1">
      <alignment horizontal="center" vertical="center"/>
    </xf>
    <xf numFmtId="1" fontId="6" fillId="0" borderId="176" xfId="0" applyNumberFormat="1" applyFont="1" applyBorder="1" applyAlignment="1">
      <alignment horizontal="center" vertical="center"/>
    </xf>
    <xf numFmtId="1" fontId="6" fillId="0" borderId="168" xfId="0" applyNumberFormat="1" applyFont="1" applyBorder="1" applyAlignment="1">
      <alignment horizontal="center" vertical="center" wrapText="1"/>
    </xf>
    <xf numFmtId="1" fontId="11" fillId="0" borderId="161" xfId="0" applyNumberFormat="1" applyFont="1" applyBorder="1" applyAlignment="1">
      <alignment horizontal="center" vertical="center" wrapText="1"/>
    </xf>
    <xf numFmtId="1" fontId="11" fillId="0" borderId="167" xfId="0" applyNumberFormat="1" applyFont="1" applyBorder="1" applyAlignment="1">
      <alignment horizontal="center" vertical="center" wrapText="1"/>
    </xf>
    <xf numFmtId="1" fontId="11" fillId="0" borderId="173" xfId="0" applyNumberFormat="1" applyFont="1" applyBorder="1" applyAlignment="1">
      <alignment horizontal="center" vertical="center" wrapText="1"/>
    </xf>
    <xf numFmtId="1" fontId="6" fillId="0" borderId="167" xfId="0" applyNumberFormat="1" applyFont="1" applyBorder="1" applyAlignment="1">
      <alignment horizontal="center" vertical="center"/>
    </xf>
    <xf numFmtId="1" fontId="6" fillId="0" borderId="692" xfId="0" applyNumberFormat="1" applyFont="1" applyBorder="1" applyAlignment="1">
      <alignment horizontal="center" vertical="center"/>
    </xf>
    <xf numFmtId="1" fontId="6" fillId="0" borderId="682" xfId="0" applyNumberFormat="1" applyFont="1" applyBorder="1" applyAlignment="1">
      <alignment horizontal="left" vertical="center" wrapText="1"/>
    </xf>
    <xf numFmtId="1" fontId="6" fillId="0" borderId="683" xfId="0" applyNumberFormat="1" applyFont="1" applyBorder="1" applyAlignment="1">
      <alignment horizontal="left" vertical="center" wrapText="1"/>
    </xf>
    <xf numFmtId="1" fontId="6" fillId="3" borderId="15" xfId="0" applyNumberFormat="1" applyFont="1" applyFill="1" applyBorder="1" applyAlignment="1">
      <alignment horizontal="left" wrapText="1"/>
    </xf>
    <xf numFmtId="1" fontId="6" fillId="3" borderId="146" xfId="0" applyNumberFormat="1" applyFont="1" applyFill="1" applyBorder="1" applyAlignment="1">
      <alignment horizontal="left" wrapText="1"/>
    </xf>
    <xf numFmtId="1" fontId="6" fillId="3" borderId="176" xfId="0" applyNumberFormat="1" applyFont="1" applyFill="1" applyBorder="1" applyAlignment="1">
      <alignment horizontal="left" wrapText="1"/>
    </xf>
    <xf numFmtId="1" fontId="6" fillId="3" borderId="177" xfId="0" applyNumberFormat="1" applyFont="1" applyFill="1" applyBorder="1" applyAlignment="1">
      <alignment horizontal="left" wrapText="1"/>
    </xf>
    <xf numFmtId="1" fontId="6" fillId="0" borderId="161" xfId="0" applyNumberFormat="1" applyFont="1" applyBorder="1" applyAlignment="1">
      <alignment horizontal="center"/>
    </xf>
    <xf numFmtId="1" fontId="6" fillId="0" borderId="173" xfId="0" applyNumberFormat="1" applyFont="1" applyBorder="1" applyAlignment="1">
      <alignment horizontal="center"/>
    </xf>
    <xf numFmtId="1" fontId="6" fillId="0" borderId="1517" xfId="0" applyNumberFormat="1" applyFont="1" applyBorder="1" applyAlignment="1">
      <alignment horizontal="center" vertical="center"/>
    </xf>
    <xf numFmtId="1" fontId="6" fillId="0" borderId="1518" xfId="0" applyNumberFormat="1" applyFont="1" applyBorder="1" applyAlignment="1">
      <alignment horizontal="center" vertical="center"/>
    </xf>
    <xf numFmtId="1" fontId="6" fillId="0" borderId="1523" xfId="0" applyNumberFormat="1" applyFont="1" applyBorder="1" applyAlignment="1">
      <alignment horizontal="center" vertical="center"/>
    </xf>
    <xf numFmtId="1" fontId="6" fillId="0" borderId="529" xfId="0" applyNumberFormat="1" applyFont="1" applyBorder="1" applyAlignment="1">
      <alignment horizontal="left" vertical="center"/>
    </xf>
    <xf numFmtId="1" fontId="6" fillId="0" borderId="135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left" vertical="center" wrapText="1"/>
    </xf>
    <xf numFmtId="1" fontId="6" fillId="0" borderId="850" xfId="0" applyNumberFormat="1" applyFont="1" applyBorder="1" applyAlignment="1">
      <alignment horizontal="left" vertical="center"/>
    </xf>
    <xf numFmtId="1" fontId="6" fillId="0" borderId="877" xfId="0" applyNumberFormat="1" applyFont="1" applyBorder="1" applyAlignment="1">
      <alignment horizontal="left" vertical="center"/>
    </xf>
    <xf numFmtId="1" fontId="6" fillId="0" borderId="741" xfId="0" applyNumberFormat="1" applyFont="1" applyBorder="1" applyAlignment="1">
      <alignment horizontal="left" vertical="center"/>
    </xf>
    <xf numFmtId="1" fontId="6" fillId="0" borderId="839" xfId="0" applyNumberFormat="1" applyFont="1" applyBorder="1" applyAlignment="1">
      <alignment horizontal="left" vertical="center" wrapText="1"/>
    </xf>
    <xf numFmtId="1" fontId="6" fillId="3" borderId="613" xfId="0" applyNumberFormat="1" applyFont="1" applyFill="1" applyBorder="1" applyAlignment="1">
      <alignment horizontal="left" vertical="center"/>
    </xf>
    <xf numFmtId="1" fontId="6" fillId="3" borderId="424" xfId="0" applyNumberFormat="1" applyFont="1" applyFill="1" applyBorder="1" applyAlignment="1">
      <alignment horizontal="left" vertical="center"/>
    </xf>
    <xf numFmtId="1" fontId="6" fillId="0" borderId="156" xfId="0" applyNumberFormat="1" applyFont="1" applyBorder="1" applyAlignment="1">
      <alignment horizontal="center" vertical="center" textRotation="90"/>
    </xf>
    <xf numFmtId="1" fontId="6" fillId="0" borderId="9" xfId="0" applyNumberFormat="1" applyFont="1" applyBorder="1" applyAlignment="1">
      <alignment horizontal="center" vertical="center" textRotation="90"/>
    </xf>
    <xf numFmtId="1" fontId="6" fillId="0" borderId="428" xfId="0" applyNumberFormat="1" applyFont="1" applyBorder="1" applyAlignment="1">
      <alignment horizontal="center" vertical="center" textRotation="90"/>
    </xf>
    <xf numFmtId="1" fontId="6" fillId="0" borderId="1249" xfId="0" applyNumberFormat="1" applyFont="1" applyBorder="1" applyAlignment="1">
      <alignment horizontal="center" vertical="center" textRotation="90"/>
    </xf>
    <xf numFmtId="1" fontId="6" fillId="0" borderId="174" xfId="0" applyNumberFormat="1" applyFont="1" applyBorder="1" applyAlignment="1">
      <alignment horizontal="center" vertical="center" textRotation="90"/>
    </xf>
    <xf numFmtId="1" fontId="6" fillId="0" borderId="169" xfId="0" applyNumberFormat="1" applyFont="1" applyBorder="1" applyAlignment="1">
      <alignment horizontal="left" wrapText="1"/>
    </xf>
    <xf numFmtId="1" fontId="6" fillId="0" borderId="171" xfId="0" applyNumberFormat="1" applyFont="1" applyBorder="1" applyAlignment="1">
      <alignment horizontal="left" wrapText="1"/>
    </xf>
    <xf numFmtId="1" fontId="6" fillId="3" borderId="15" xfId="0" applyNumberFormat="1" applyFont="1" applyFill="1" applyBorder="1" applyAlignment="1">
      <alignment horizontal="left" vertical="center" wrapText="1"/>
    </xf>
    <xf numFmtId="1" fontId="6" fillId="3" borderId="146" xfId="0" applyNumberFormat="1" applyFont="1" applyFill="1" applyBorder="1" applyAlignment="1">
      <alignment horizontal="left" vertical="center" wrapText="1"/>
    </xf>
    <xf numFmtId="1" fontId="6" fillId="0" borderId="137" xfId="0" applyNumberFormat="1" applyFont="1" applyBorder="1" applyAlignment="1">
      <alignment horizontal="center" wrapText="1"/>
    </xf>
    <xf numFmtId="1" fontId="6" fillId="0" borderId="154" xfId="0" applyNumberFormat="1" applyFont="1" applyBorder="1" applyAlignment="1">
      <alignment horizontal="center" wrapText="1"/>
    </xf>
    <xf numFmtId="1" fontId="6" fillId="0" borderId="41" xfId="0" applyNumberFormat="1" applyFont="1" applyBorder="1"/>
    <xf numFmtId="1" fontId="6" fillId="0" borderId="63" xfId="0" applyNumberFormat="1" applyFont="1" applyBorder="1"/>
    <xf numFmtId="1" fontId="6" fillId="0" borderId="73" xfId="0" applyNumberFormat="1" applyFont="1" applyBorder="1"/>
    <xf numFmtId="1" fontId="11" fillId="3" borderId="0" xfId="0" applyNumberFormat="1" applyFont="1" applyFill="1" applyAlignment="1">
      <alignment horizontal="center"/>
    </xf>
    <xf numFmtId="1" fontId="6" fillId="0" borderId="38" xfId="0" applyNumberFormat="1" applyFont="1" applyBorder="1" applyAlignment="1">
      <alignment horizontal="left"/>
    </xf>
    <xf numFmtId="1" fontId="6" fillId="0" borderId="62" xfId="0" applyNumberFormat="1" applyFont="1" applyBorder="1" applyAlignment="1">
      <alignment horizontal="left"/>
    </xf>
    <xf numFmtId="1" fontId="6" fillId="0" borderId="59" xfId="0" applyNumberFormat="1" applyFont="1" applyBorder="1" applyAlignment="1">
      <alignment horizontal="left"/>
    </xf>
    <xf numFmtId="1" fontId="6" fillId="0" borderId="20" xfId="0" applyNumberFormat="1" applyFont="1" applyBorder="1" applyAlignment="1">
      <alignment horizontal="left"/>
    </xf>
    <xf numFmtId="1" fontId="6" fillId="0" borderId="45" xfId="0" applyNumberFormat="1" applyFont="1" applyBorder="1" applyAlignment="1">
      <alignment horizontal="left"/>
    </xf>
    <xf numFmtId="1" fontId="6" fillId="0" borderId="22" xfId="0" applyNumberFormat="1" applyFont="1" applyBorder="1" applyAlignment="1">
      <alignment horizontal="left"/>
    </xf>
    <xf numFmtId="1" fontId="6" fillId="0" borderId="135" xfId="0" applyNumberFormat="1" applyFont="1" applyBorder="1" applyAlignment="1">
      <alignment horizontal="center" vertical="center"/>
    </xf>
    <xf numFmtId="1" fontId="6" fillId="0" borderId="137" xfId="0" applyNumberFormat="1" applyFont="1" applyBorder="1" applyAlignment="1">
      <alignment horizontal="center" vertical="center" wrapText="1"/>
    </xf>
    <xf numFmtId="1" fontId="6" fillId="0" borderId="149" xfId="0" applyNumberFormat="1" applyFont="1" applyBorder="1" applyAlignment="1">
      <alignment horizontal="center" vertical="center" wrapText="1"/>
    </xf>
    <xf numFmtId="1" fontId="6" fillId="0" borderId="154" xfId="0" applyNumberFormat="1" applyFont="1" applyBorder="1" applyAlignment="1">
      <alignment horizontal="center" vertical="center" wrapText="1"/>
    </xf>
    <xf numFmtId="1" fontId="38" fillId="3" borderId="156" xfId="0" applyNumberFormat="1" applyFont="1" applyFill="1" applyBorder="1" applyAlignment="1">
      <alignment horizontal="center" vertical="center" wrapText="1"/>
    </xf>
    <xf numFmtId="1" fontId="38" fillId="3" borderId="174" xfId="0" applyNumberFormat="1" applyFont="1" applyFill="1" applyBorder="1" applyAlignment="1">
      <alignment horizontal="center" vertical="center" wrapText="1"/>
    </xf>
    <xf numFmtId="0" fontId="6" fillId="0" borderId="754" xfId="0" applyFont="1" applyBorder="1" applyAlignment="1">
      <alignment horizontal="center" vertical="center"/>
    </xf>
    <xf numFmtId="1" fontId="6" fillId="0" borderId="759" xfId="0" applyNumberFormat="1" applyFont="1" applyBorder="1" applyAlignment="1">
      <alignment horizontal="center" vertical="center" wrapText="1"/>
    </xf>
    <xf numFmtId="1" fontId="6" fillId="0" borderId="883" xfId="0" applyNumberFormat="1" applyFont="1" applyBorder="1" applyAlignment="1">
      <alignment horizontal="center" vertical="center" wrapText="1"/>
    </xf>
    <xf numFmtId="1" fontId="6" fillId="0" borderId="794" xfId="0" applyNumberFormat="1" applyFont="1" applyBorder="1" applyAlignment="1">
      <alignment horizontal="center" vertical="center" wrapText="1"/>
    </xf>
    <xf numFmtId="1" fontId="6" fillId="0" borderId="870" xfId="0" applyNumberFormat="1" applyFont="1" applyBorder="1" applyAlignment="1">
      <alignment horizontal="center" vertical="center" wrapText="1"/>
    </xf>
    <xf numFmtId="1" fontId="38" fillId="3" borderId="850" xfId="0" applyNumberFormat="1" applyFont="1" applyFill="1" applyBorder="1" applyAlignment="1">
      <alignment horizontal="center" vertical="center" wrapText="1"/>
    </xf>
    <xf numFmtId="1" fontId="38" fillId="3" borderId="878" xfId="0" applyNumberFormat="1" applyFont="1" applyFill="1" applyBorder="1" applyAlignment="1">
      <alignment horizontal="center" vertical="center" wrapText="1"/>
    </xf>
    <xf numFmtId="1" fontId="38" fillId="3" borderId="877" xfId="0" applyNumberFormat="1" applyFont="1" applyFill="1" applyBorder="1" applyAlignment="1">
      <alignment horizontal="center" vertical="center" wrapText="1"/>
    </xf>
    <xf numFmtId="1" fontId="11" fillId="0" borderId="224" xfId="0" applyNumberFormat="1" applyFont="1" applyBorder="1" applyAlignment="1">
      <alignment horizontal="center" vertical="center" wrapText="1"/>
    </xf>
    <xf numFmtId="1" fontId="11" fillId="0" borderId="227" xfId="0" applyNumberFormat="1" applyFont="1" applyBorder="1" applyAlignment="1">
      <alignment horizontal="center" vertical="center" wrapText="1"/>
    </xf>
    <xf numFmtId="1" fontId="6" fillId="3" borderId="1711" xfId="0" applyNumberFormat="1" applyFont="1" applyFill="1" applyBorder="1" applyAlignment="1">
      <alignment horizontal="left" wrapText="1"/>
    </xf>
    <xf numFmtId="1" fontId="6" fillId="3" borderId="1654" xfId="0" applyNumberFormat="1" applyFont="1" applyFill="1" applyBorder="1" applyAlignment="1">
      <alignment horizontal="left" wrapText="1"/>
    </xf>
    <xf numFmtId="1" fontId="6" fillId="0" borderId="38" xfId="0" applyNumberFormat="1" applyFont="1" applyBorder="1" applyAlignment="1">
      <alignment horizontal="left" vertical="center" wrapText="1"/>
    </xf>
    <xf numFmtId="1" fontId="6" fillId="0" borderId="62" xfId="0" applyNumberFormat="1" applyFont="1" applyBorder="1" applyAlignment="1">
      <alignment horizontal="left" vertical="center" wrapText="1"/>
    </xf>
    <xf numFmtId="1" fontId="6" fillId="0" borderId="36" xfId="0" applyNumberFormat="1" applyFont="1" applyBorder="1" applyAlignment="1">
      <alignment horizontal="left" vertical="center" wrapText="1"/>
    </xf>
    <xf numFmtId="1" fontId="38" fillId="0" borderId="164" xfId="0" applyNumberFormat="1" applyFont="1" applyBorder="1" applyAlignment="1">
      <alignment horizontal="center" vertical="center"/>
    </xf>
    <xf numFmtId="1" fontId="38" fillId="0" borderId="171" xfId="0" applyNumberFormat="1" applyFont="1" applyBorder="1" applyAlignment="1">
      <alignment horizontal="center" vertical="center"/>
    </xf>
    <xf numFmtId="1" fontId="38" fillId="0" borderId="175" xfId="0" applyNumberFormat="1" applyFont="1" applyBorder="1" applyAlignment="1">
      <alignment horizontal="center" vertical="center"/>
    </xf>
    <xf numFmtId="1" fontId="38" fillId="0" borderId="177" xfId="0" applyNumberFormat="1" applyFont="1" applyBorder="1" applyAlignment="1">
      <alignment horizontal="center" vertical="center"/>
    </xf>
    <xf numFmtId="1" fontId="6" fillId="0" borderId="1616" xfId="0" applyNumberFormat="1" applyFont="1" applyBorder="1" applyAlignment="1">
      <alignment horizontal="center" vertical="center"/>
    </xf>
    <xf numFmtId="1" fontId="6" fillId="0" borderId="1710" xfId="0" applyNumberFormat="1" applyFont="1" applyBorder="1" applyAlignment="1">
      <alignment horizontal="center" vertical="center"/>
    </xf>
    <xf numFmtId="1" fontId="6" fillId="0" borderId="173" xfId="0" applyNumberFormat="1" applyFont="1" applyBorder="1" applyAlignment="1">
      <alignment horizontal="center" vertical="center"/>
    </xf>
    <xf numFmtId="1" fontId="38" fillId="3" borderId="225" xfId="0" applyNumberFormat="1" applyFont="1" applyFill="1" applyBorder="1" applyAlignment="1">
      <alignment horizontal="center" vertical="center"/>
    </xf>
    <xf numFmtId="1" fontId="38" fillId="3" borderId="226" xfId="0" applyNumberFormat="1" applyFont="1" applyFill="1" applyBorder="1" applyAlignment="1">
      <alignment horizontal="center" vertical="center"/>
    </xf>
    <xf numFmtId="1" fontId="6" fillId="0" borderId="164" xfId="0" applyNumberFormat="1" applyFont="1" applyBorder="1" applyAlignment="1">
      <alignment horizontal="center" vertical="center"/>
    </xf>
    <xf numFmtId="1" fontId="6" fillId="0" borderId="15" xfId="0" applyNumberFormat="1" applyFont="1" applyBorder="1" applyAlignment="1">
      <alignment horizontal="left" vertical="center"/>
    </xf>
    <xf numFmtId="1" fontId="6" fillId="0" borderId="148" xfId="0" applyNumberFormat="1" applyFont="1" applyBorder="1" applyAlignment="1">
      <alignment horizontal="left" vertical="center"/>
    </xf>
    <xf numFmtId="1" fontId="6" fillId="0" borderId="146" xfId="0" applyNumberFormat="1" applyFont="1" applyBorder="1" applyAlignment="1">
      <alignment horizontal="left" vertical="center"/>
    </xf>
    <xf numFmtId="1" fontId="6" fillId="0" borderId="15" xfId="0" applyNumberFormat="1" applyFont="1" applyBorder="1" applyAlignment="1">
      <alignment horizontal="left" vertical="center" wrapText="1"/>
    </xf>
    <xf numFmtId="1" fontId="6" fillId="0" borderId="148" xfId="0" applyNumberFormat="1" applyFont="1" applyBorder="1" applyAlignment="1">
      <alignment horizontal="left" vertical="center" wrapText="1"/>
    </xf>
    <xf numFmtId="1" fontId="6" fillId="0" borderId="146" xfId="0" applyNumberFormat="1" applyFont="1" applyBorder="1" applyAlignment="1">
      <alignment horizontal="left" vertical="center" wrapText="1"/>
    </xf>
    <xf numFmtId="1" fontId="6" fillId="0" borderId="70" xfId="0" applyNumberFormat="1" applyFont="1" applyBorder="1" applyAlignment="1">
      <alignment horizontal="left" vertical="center"/>
    </xf>
    <xf numFmtId="1" fontId="6" fillId="0" borderId="181" xfId="0" applyNumberFormat="1" applyFont="1" applyBorder="1" applyAlignment="1">
      <alignment horizontal="center" vertical="center" wrapText="1"/>
    </xf>
    <xf numFmtId="1" fontId="6" fillId="0" borderId="91" xfId="0" applyNumberFormat="1" applyFont="1" applyBorder="1" applyAlignment="1">
      <alignment horizontal="center" vertical="center" wrapText="1"/>
    </xf>
    <xf numFmtId="1" fontId="38" fillId="3" borderId="832" xfId="0" applyNumberFormat="1" applyFont="1" applyFill="1" applyBorder="1" applyAlignment="1">
      <alignment horizontal="center" vertical="center" wrapText="1"/>
    </xf>
    <xf numFmtId="1" fontId="38" fillId="3" borderId="705" xfId="0" applyNumberFormat="1" applyFont="1" applyFill="1" applyBorder="1" applyAlignment="1">
      <alignment horizontal="center" vertical="center" wrapText="1"/>
    </xf>
    <xf numFmtId="1" fontId="6" fillId="0" borderId="836" xfId="0" applyNumberFormat="1" applyFont="1" applyBorder="1" applyAlignment="1">
      <alignment horizontal="center" vertical="center" wrapText="1"/>
    </xf>
    <xf numFmtId="1" fontId="6" fillId="0" borderId="837" xfId="0" applyNumberFormat="1" applyFont="1" applyBorder="1" applyAlignment="1">
      <alignment horizontal="center" vertical="center" wrapText="1"/>
    </xf>
    <xf numFmtId="1" fontId="6" fillId="0" borderId="838" xfId="0" applyNumberFormat="1" applyFont="1" applyBorder="1" applyAlignment="1">
      <alignment horizontal="center" vertical="center" wrapText="1"/>
    </xf>
    <xf numFmtId="1" fontId="6" fillId="0" borderId="1789" xfId="0" applyNumberFormat="1" applyFont="1" applyBorder="1" applyAlignment="1">
      <alignment horizontal="center" wrapText="1"/>
    </xf>
    <xf numFmtId="1" fontId="6" fillId="0" borderId="1814" xfId="0" applyNumberFormat="1" applyFont="1" applyBorder="1" applyAlignment="1">
      <alignment horizontal="center" wrapText="1"/>
    </xf>
    <xf numFmtId="1" fontId="6" fillId="0" borderId="1615" xfId="0" applyNumberFormat="1" applyFont="1" applyBorder="1" applyAlignment="1">
      <alignment horizontal="center" vertical="center" textRotation="90"/>
    </xf>
    <xf numFmtId="1" fontId="6" fillId="0" borderId="1592" xfId="0" applyNumberFormat="1" applyFont="1" applyBorder="1" applyAlignment="1">
      <alignment horizontal="center" vertical="center" textRotation="90"/>
    </xf>
    <xf numFmtId="1" fontId="6" fillId="0" borderId="1737" xfId="0" applyNumberFormat="1" applyFont="1" applyBorder="1" applyAlignment="1">
      <alignment horizontal="center" vertical="center" textRotation="90"/>
    </xf>
    <xf numFmtId="1" fontId="6" fillId="0" borderId="1616" xfId="0" applyNumberFormat="1" applyFont="1" applyBorder="1" applyAlignment="1">
      <alignment horizontal="left" wrapText="1"/>
    </xf>
    <xf numFmtId="1" fontId="6" fillId="0" borderId="1617" xfId="0" applyNumberFormat="1" applyFont="1" applyBorder="1" applyAlignment="1">
      <alignment horizontal="left" wrapText="1"/>
    </xf>
    <xf numFmtId="1" fontId="6" fillId="0" borderId="1152" xfId="0" applyNumberFormat="1" applyFont="1" applyBorder="1" applyAlignment="1">
      <alignment horizontal="left" vertical="center"/>
    </xf>
    <xf numFmtId="1" fontId="6" fillId="0" borderId="1142" xfId="0" applyNumberFormat="1" applyFont="1" applyBorder="1" applyAlignment="1">
      <alignment horizontal="left" vertical="center"/>
    </xf>
    <xf numFmtId="1" fontId="6" fillId="0" borderId="1736" xfId="0" applyNumberFormat="1" applyFont="1" applyBorder="1" applyAlignment="1">
      <alignment horizontal="center" vertical="center" wrapText="1"/>
    </xf>
    <xf numFmtId="1" fontId="6" fillId="0" borderId="1802" xfId="0" applyNumberFormat="1" applyFont="1" applyBorder="1" applyAlignment="1">
      <alignment horizontal="left" vertical="center" wrapText="1"/>
    </xf>
    <xf numFmtId="1" fontId="6" fillId="3" borderId="1640" xfId="0" applyNumberFormat="1" applyFont="1" applyFill="1" applyBorder="1" applyAlignment="1">
      <alignment horizontal="left" vertical="center"/>
    </xf>
    <xf numFmtId="1" fontId="6" fillId="3" borderId="1421" xfId="0" applyNumberFormat="1" applyFont="1" applyFill="1" applyBorder="1" applyAlignment="1">
      <alignment horizontal="left" vertical="center"/>
    </xf>
    <xf numFmtId="1" fontId="6" fillId="3" borderId="1770" xfId="0" applyNumberFormat="1" applyFont="1" applyFill="1" applyBorder="1" applyAlignment="1">
      <alignment horizontal="left" vertical="center" wrapText="1"/>
    </xf>
    <xf numFmtId="1" fontId="6" fillId="3" borderId="1739" xfId="0" applyNumberFormat="1" applyFont="1" applyFill="1" applyBorder="1" applyAlignment="1">
      <alignment horizontal="left" vertical="center" wrapText="1"/>
    </xf>
    <xf numFmtId="1" fontId="6" fillId="0" borderId="2258" xfId="0" applyNumberFormat="1" applyFont="1" applyBorder="1" applyAlignment="1">
      <alignment horizontal="center" vertical="center" wrapText="1"/>
    </xf>
    <xf numFmtId="1" fontId="6" fillId="0" borderId="1889" xfId="0" applyNumberFormat="1" applyFont="1" applyBorder="1" applyAlignment="1">
      <alignment horizontal="center" vertical="center" wrapText="1"/>
    </xf>
    <xf numFmtId="1" fontId="6" fillId="0" borderId="2257" xfId="0" applyNumberFormat="1" applyFont="1" applyBorder="1" applyAlignment="1">
      <alignment horizontal="center" vertical="center" wrapText="1"/>
    </xf>
    <xf numFmtId="1" fontId="6" fillId="0" borderId="1890" xfId="0" applyNumberFormat="1" applyFont="1" applyBorder="1" applyAlignment="1">
      <alignment horizontal="center" vertical="center"/>
    </xf>
    <xf numFmtId="1" fontId="6" fillId="0" borderId="1888" xfId="0" applyNumberFormat="1" applyFont="1" applyBorder="1" applyAlignment="1">
      <alignment horizontal="center" vertical="center"/>
    </xf>
    <xf numFmtId="1" fontId="6" fillId="0" borderId="1892" xfId="0" applyNumberFormat="1" applyFont="1" applyBorder="1" applyAlignment="1">
      <alignment horizontal="center" vertical="center"/>
    </xf>
    <xf numFmtId="1" fontId="6" fillId="0" borderId="1890" xfId="0" applyNumberFormat="1" applyFont="1" applyBorder="1" applyAlignment="1">
      <alignment horizontal="center" vertical="center" wrapText="1"/>
    </xf>
    <xf numFmtId="1" fontId="6" fillId="0" borderId="1888" xfId="0" applyNumberFormat="1" applyFont="1" applyBorder="1" applyAlignment="1">
      <alignment horizontal="center" vertical="center" wrapText="1"/>
    </xf>
    <xf numFmtId="0" fontId="6" fillId="0" borderId="1900" xfId="0" applyFont="1" applyBorder="1" applyAlignment="1">
      <alignment horizontal="center" vertical="center"/>
    </xf>
    <xf numFmtId="1" fontId="6" fillId="0" borderId="1887" xfId="0" applyNumberFormat="1" applyFont="1" applyBorder="1" applyAlignment="1">
      <alignment horizontal="center" vertical="center"/>
    </xf>
    <xf numFmtId="1" fontId="6" fillId="0" borderId="1904" xfId="0" applyNumberFormat="1" applyFont="1" applyBorder="1" applyAlignment="1">
      <alignment horizontal="center" vertical="center" wrapText="1"/>
    </xf>
    <xf numFmtId="1" fontId="6" fillId="0" borderId="2120" xfId="0" applyNumberFormat="1" applyFont="1" applyBorder="1" applyAlignment="1">
      <alignment horizontal="center" vertical="center"/>
    </xf>
    <xf numFmtId="1" fontId="6" fillId="0" borderId="2121" xfId="0" applyNumberFormat="1" applyFont="1" applyBorder="1" applyAlignment="1">
      <alignment horizontal="center" vertical="center"/>
    </xf>
    <xf numFmtId="1" fontId="6" fillId="0" borderId="724" xfId="0" applyNumberFormat="1" applyFont="1" applyBorder="1" applyAlignment="1">
      <alignment horizontal="center" vertical="center" wrapText="1"/>
    </xf>
    <xf numFmtId="1" fontId="6" fillId="0" borderId="375" xfId="0" applyNumberFormat="1" applyFont="1" applyBorder="1" applyAlignment="1">
      <alignment horizontal="center" vertical="center" wrapText="1"/>
    </xf>
    <xf numFmtId="1" fontId="6" fillId="0" borderId="885" xfId="0" applyNumberFormat="1" applyFont="1" applyBorder="1" applyAlignment="1">
      <alignment horizontal="center" vertical="center" wrapText="1"/>
    </xf>
    <xf numFmtId="1" fontId="6" fillId="14" borderId="2154" xfId="0" applyNumberFormat="1" applyFont="1" applyFill="1" applyBorder="1" applyAlignment="1">
      <alignment horizontal="center" vertical="center" wrapText="1"/>
    </xf>
    <xf numFmtId="0" fontId="6" fillId="14" borderId="795" xfId="0" applyFont="1" applyFill="1" applyBorder="1" applyAlignment="1">
      <alignment horizontal="center" wrapText="1"/>
    </xf>
    <xf numFmtId="0" fontId="6" fillId="14" borderId="2164" xfId="0" applyFont="1" applyFill="1" applyBorder="1" applyAlignment="1">
      <alignment horizontal="center" wrapText="1"/>
    </xf>
    <xf numFmtId="1" fontId="6" fillId="14" borderId="2165" xfId="0" applyNumberFormat="1" applyFont="1" applyFill="1" applyBorder="1" applyAlignment="1">
      <alignment horizontal="center" vertical="center"/>
    </xf>
    <xf numFmtId="1" fontId="6" fillId="14" borderId="2154" xfId="0" applyNumberFormat="1" applyFont="1" applyFill="1" applyBorder="1" applyAlignment="1">
      <alignment horizontal="center" vertical="center"/>
    </xf>
    <xf numFmtId="1" fontId="6" fillId="0" borderId="725" xfId="0" applyNumberFormat="1" applyFont="1" applyBorder="1" applyAlignment="1">
      <alignment horizontal="center" vertical="center"/>
    </xf>
    <xf numFmtId="0" fontId="6" fillId="0" borderId="2160" xfId="0" applyFont="1" applyBorder="1" applyAlignment="1">
      <alignment horizontal="center" vertical="center" wrapText="1"/>
    </xf>
    <xf numFmtId="0" fontId="6" fillId="0" borderId="2166" xfId="0" applyFont="1" applyBorder="1" applyAlignment="1">
      <alignment horizontal="center" vertical="center" wrapText="1"/>
    </xf>
    <xf numFmtId="1" fontId="6" fillId="0" borderId="2154" xfId="0" applyNumberFormat="1" applyFont="1" applyBorder="1" applyAlignment="1">
      <alignment horizontal="center" vertical="center"/>
    </xf>
    <xf numFmtId="1" fontId="6" fillId="0" borderId="2133" xfId="0" applyNumberFormat="1" applyFont="1" applyBorder="1" applyAlignment="1">
      <alignment horizontal="center" vertical="center"/>
    </xf>
    <xf numFmtId="1" fontId="6" fillId="14" borderId="2082" xfId="0" applyNumberFormat="1" applyFont="1" applyFill="1" applyBorder="1" applyAlignment="1">
      <alignment horizontal="center" vertical="center"/>
    </xf>
    <xf numFmtId="1" fontId="6" fillId="14" borderId="2120" xfId="0" applyNumberFormat="1" applyFont="1" applyFill="1" applyBorder="1" applyAlignment="1">
      <alignment horizontal="center" vertical="center"/>
    </xf>
    <xf numFmtId="1" fontId="6" fillId="14" borderId="2113" xfId="0" applyNumberFormat="1" applyFont="1" applyFill="1" applyBorder="1" applyAlignment="1">
      <alignment horizontal="center" vertical="center"/>
    </xf>
    <xf numFmtId="1" fontId="6" fillId="14" borderId="2114" xfId="0" applyNumberFormat="1" applyFont="1" applyFill="1" applyBorder="1" applyAlignment="1">
      <alignment horizontal="center" vertical="center"/>
    </xf>
    <xf numFmtId="1" fontId="6" fillId="14" borderId="2160" xfId="0" applyNumberFormat="1" applyFont="1" applyFill="1" applyBorder="1" applyAlignment="1">
      <alignment horizontal="center" vertical="center"/>
    </xf>
    <xf numFmtId="1" fontId="6" fillId="14" borderId="1646" xfId="0" applyNumberFormat="1" applyFont="1" applyFill="1" applyBorder="1" applyAlignment="1">
      <alignment horizontal="center" vertical="center"/>
    </xf>
    <xf numFmtId="1" fontId="6" fillId="14" borderId="2166" xfId="0" applyNumberFormat="1" applyFont="1" applyFill="1" applyBorder="1" applyAlignment="1">
      <alignment horizontal="center" vertical="center"/>
    </xf>
    <xf numFmtId="1" fontId="6" fillId="14" borderId="2161" xfId="0" applyNumberFormat="1" applyFont="1" applyFill="1" applyBorder="1" applyAlignment="1">
      <alignment horizontal="center" vertical="center"/>
    </xf>
    <xf numFmtId="1" fontId="6" fillId="14" borderId="2162" xfId="0" applyNumberFormat="1" applyFont="1" applyFill="1" applyBorder="1" applyAlignment="1">
      <alignment horizontal="center" vertical="center"/>
    </xf>
    <xf numFmtId="1" fontId="6" fillId="14" borderId="2163" xfId="0" applyNumberFormat="1" applyFont="1" applyFill="1" applyBorder="1" applyAlignment="1">
      <alignment horizontal="center" vertical="center"/>
    </xf>
    <xf numFmtId="1" fontId="6" fillId="14" borderId="724" xfId="0" applyNumberFormat="1" applyFont="1" applyFill="1" applyBorder="1" applyAlignment="1">
      <alignment horizontal="center" vertical="center"/>
    </xf>
    <xf numFmtId="1" fontId="6" fillId="14" borderId="886" xfId="0" applyNumberFormat="1" applyFont="1" applyFill="1" applyBorder="1" applyAlignment="1">
      <alignment horizontal="center" vertical="center"/>
    </xf>
    <xf numFmtId="1" fontId="7" fillId="0" borderId="768" xfId="0" applyNumberFormat="1" applyFont="1" applyBorder="1" applyAlignment="1">
      <alignment horizontal="center" vertical="center" wrapText="1"/>
    </xf>
    <xf numFmtId="1" fontId="7" fillId="0" borderId="885" xfId="0" applyNumberFormat="1" applyFont="1" applyBorder="1" applyAlignment="1">
      <alignment horizontal="center" vertical="center" wrapText="1"/>
    </xf>
    <xf numFmtId="1" fontId="6" fillId="0" borderId="2139" xfId="0" applyNumberFormat="1" applyFont="1" applyBorder="1" applyAlignment="1">
      <alignment horizontal="center" vertical="center"/>
    </xf>
    <xf numFmtId="1" fontId="6" fillId="0" borderId="2166" xfId="0" applyNumberFormat="1" applyFont="1" applyBorder="1" applyAlignment="1">
      <alignment horizontal="center" vertical="center" wrapText="1"/>
    </xf>
    <xf numFmtId="1" fontId="6" fillId="0" borderId="2166" xfId="0" applyNumberFormat="1" applyFont="1" applyBorder="1" applyAlignment="1">
      <alignment horizontal="center" vertical="center"/>
    </xf>
    <xf numFmtId="1" fontId="6" fillId="3" borderId="2112" xfId="0" applyNumberFormat="1" applyFont="1" applyFill="1" applyBorder="1" applyAlignment="1">
      <alignment horizontal="center" vertical="center" wrapText="1"/>
    </xf>
    <xf numFmtId="1" fontId="6" fillId="3" borderId="1646" xfId="0" applyNumberFormat="1" applyFont="1" applyFill="1" applyBorder="1" applyAlignment="1">
      <alignment horizontal="center" vertical="center" wrapText="1"/>
    </xf>
    <xf numFmtId="1" fontId="6" fillId="3" borderId="2123" xfId="0" applyNumberFormat="1" applyFont="1" applyFill="1" applyBorder="1" applyAlignment="1">
      <alignment horizontal="center" vertical="center" wrapText="1"/>
    </xf>
    <xf numFmtId="1" fontId="6" fillId="0" borderId="2127" xfId="0" applyNumberFormat="1" applyFont="1" applyBorder="1" applyAlignment="1">
      <alignment horizontal="center" vertical="center" wrapText="1"/>
    </xf>
    <xf numFmtId="1" fontId="6" fillId="0" borderId="1810" xfId="0" applyNumberFormat="1" applyFont="1" applyBorder="1" applyAlignment="1">
      <alignment horizontal="center" vertical="center" wrapText="1"/>
    </xf>
    <xf numFmtId="1" fontId="6" fillId="0" borderId="2136" xfId="0" applyNumberFormat="1" applyFont="1" applyBorder="1" applyAlignment="1">
      <alignment horizontal="center" vertical="center" wrapText="1"/>
    </xf>
    <xf numFmtId="1" fontId="6" fillId="3" borderId="2112" xfId="0" applyNumberFormat="1" applyFont="1" applyFill="1" applyBorder="1" applyAlignment="1">
      <alignment horizontal="center" vertical="center"/>
    </xf>
    <xf numFmtId="1" fontId="6" fillId="3" borderId="2123" xfId="0" applyNumberFormat="1" applyFont="1" applyFill="1" applyBorder="1" applyAlignment="1">
      <alignment horizontal="center" vertical="center"/>
    </xf>
    <xf numFmtId="1" fontId="6" fillId="0" borderId="401" xfId="0" applyNumberFormat="1" applyFont="1" applyBorder="1" applyAlignment="1">
      <alignment horizontal="center" vertical="center" wrapText="1"/>
    </xf>
    <xf numFmtId="1" fontId="6" fillId="0" borderId="1813" xfId="0" applyNumberFormat="1" applyFont="1" applyBorder="1" applyAlignment="1">
      <alignment horizontal="center" vertical="center" wrapText="1"/>
    </xf>
    <xf numFmtId="1" fontId="7" fillId="0" borderId="375" xfId="0" applyNumberFormat="1" applyFont="1" applyBorder="1" applyAlignment="1">
      <alignment horizontal="center" vertical="center" wrapText="1"/>
    </xf>
    <xf numFmtId="1" fontId="7" fillId="0" borderId="1658" xfId="0" applyNumberFormat="1" applyFont="1" applyBorder="1" applyAlignment="1">
      <alignment horizontal="center" vertical="center" wrapText="1"/>
    </xf>
    <xf numFmtId="1" fontId="7" fillId="0" borderId="1928" xfId="0" applyNumberFormat="1" applyFont="1" applyBorder="1" applyAlignment="1">
      <alignment horizontal="center" vertical="center" wrapText="1"/>
    </xf>
    <xf numFmtId="1" fontId="7" fillId="0" borderId="1824" xfId="0" applyNumberFormat="1" applyFont="1" applyBorder="1" applyAlignment="1">
      <alignment horizontal="center" vertical="center" wrapText="1"/>
    </xf>
    <xf numFmtId="1" fontId="6" fillId="14" borderId="2240" xfId="0" applyNumberFormat="1" applyFont="1" applyFill="1" applyBorder="1" applyAlignment="1">
      <alignment horizontal="center" vertical="center"/>
    </xf>
    <xf numFmtId="1" fontId="6" fillId="14" borderId="2212" xfId="0" applyNumberFormat="1" applyFont="1" applyFill="1" applyBorder="1" applyAlignment="1">
      <alignment horizontal="center" vertical="center"/>
    </xf>
    <xf numFmtId="1" fontId="6" fillId="0" borderId="2122" xfId="0" applyNumberFormat="1" applyFont="1" applyBorder="1" applyAlignment="1">
      <alignment horizontal="center" vertical="center" wrapText="1"/>
    </xf>
    <xf numFmtId="1" fontId="6" fillId="0" borderId="2109" xfId="0" applyNumberFormat="1" applyFont="1" applyBorder="1" applyAlignment="1">
      <alignment horizontal="center" vertical="center"/>
    </xf>
    <xf numFmtId="1" fontId="6" fillId="14" borderId="2416" xfId="0" applyNumberFormat="1" applyFont="1" applyFill="1" applyBorder="1" applyAlignment="1">
      <alignment horizontal="center" vertical="center"/>
    </xf>
    <xf numFmtId="1" fontId="6" fillId="14" borderId="2412" xfId="0" applyNumberFormat="1" applyFont="1" applyFill="1" applyBorder="1" applyAlignment="1">
      <alignment horizontal="center" vertical="center"/>
    </xf>
    <xf numFmtId="1" fontId="6" fillId="0" borderId="2424" xfId="0" applyNumberFormat="1" applyFont="1" applyBorder="1" applyAlignment="1">
      <alignment horizontal="center" vertical="center" wrapText="1"/>
    </xf>
    <xf numFmtId="1" fontId="6" fillId="0" borderId="2137" xfId="0" applyNumberFormat="1" applyFont="1" applyBorder="1" applyAlignment="1">
      <alignment horizontal="center" vertical="center" wrapText="1"/>
    </xf>
    <xf numFmtId="1" fontId="6" fillId="0" borderId="2137" xfId="0" applyNumberFormat="1" applyFont="1" applyBorder="1" applyAlignment="1">
      <alignment horizontal="center" vertical="center"/>
    </xf>
    <xf numFmtId="1" fontId="6" fillId="0" borderId="2138" xfId="0" applyNumberFormat="1" applyFont="1" applyBorder="1" applyAlignment="1">
      <alignment horizontal="center" vertical="center" wrapText="1"/>
    </xf>
    <xf numFmtId="1" fontId="6" fillId="14" borderId="2113" xfId="0" applyNumberFormat="1" applyFont="1" applyFill="1" applyBorder="1" applyAlignment="1">
      <alignment horizontal="center" vertical="center" wrapText="1"/>
    </xf>
    <xf numFmtId="1" fontId="6" fillId="14" borderId="2153" xfId="0" applyNumberFormat="1" applyFont="1" applyFill="1" applyBorder="1" applyAlignment="1">
      <alignment horizontal="center" vertical="center" wrapText="1"/>
    </xf>
    <xf numFmtId="1" fontId="6" fillId="3" borderId="2416" xfId="0" applyNumberFormat="1" applyFont="1" applyFill="1" applyBorder="1" applyAlignment="1">
      <alignment horizontal="center" vertical="center" wrapText="1"/>
    </xf>
    <xf numFmtId="1" fontId="6" fillId="3" borderId="2435" xfId="0" applyNumberFormat="1" applyFont="1" applyFill="1" applyBorder="1" applyAlignment="1">
      <alignment horizontal="center" vertical="center" wrapText="1"/>
    </xf>
    <xf numFmtId="1" fontId="6" fillId="3" borderId="2436" xfId="0" applyNumberFormat="1" applyFont="1" applyFill="1" applyBorder="1" applyAlignment="1">
      <alignment horizontal="center" vertical="center" wrapText="1"/>
    </xf>
    <xf numFmtId="1" fontId="6" fillId="0" borderId="2434" xfId="0" applyNumberFormat="1" applyFont="1" applyBorder="1" applyAlignment="1">
      <alignment horizontal="center" vertical="center"/>
    </xf>
    <xf numFmtId="1" fontId="6" fillId="0" borderId="129" xfId="0" applyNumberFormat="1" applyFont="1" applyBorder="1" applyAlignment="1">
      <alignment horizontal="center" vertical="center"/>
    </xf>
    <xf numFmtId="1" fontId="6" fillId="0" borderId="861" xfId="0" applyNumberFormat="1" applyFont="1" applyBorder="1" applyAlignment="1">
      <alignment horizontal="center" vertical="center" wrapText="1"/>
    </xf>
    <xf numFmtId="1" fontId="6" fillId="0" borderId="2146" xfId="0" applyNumberFormat="1" applyFont="1" applyBorder="1" applyAlignment="1">
      <alignment horizontal="center" vertical="center" wrapText="1"/>
    </xf>
    <xf numFmtId="1" fontId="6" fillId="0" borderId="2406" xfId="0" applyNumberFormat="1" applyFont="1" applyBorder="1" applyAlignment="1">
      <alignment horizontal="center" vertical="center"/>
    </xf>
    <xf numFmtId="1" fontId="6" fillId="0" borderId="2424" xfId="0" quotePrefix="1" applyNumberFormat="1" applyFont="1" applyBorder="1" applyAlignment="1">
      <alignment horizontal="center" vertical="center" wrapText="1"/>
    </xf>
    <xf numFmtId="1" fontId="32" fillId="0" borderId="1425" xfId="0" applyNumberFormat="1" applyFont="1" applyBorder="1" applyAlignment="1">
      <alignment horizontal="center" vertical="center"/>
    </xf>
    <xf numFmtId="1" fontId="32" fillId="0" borderId="493" xfId="0" applyNumberFormat="1" applyFont="1" applyBorder="1" applyAlignment="1">
      <alignment horizontal="center" vertical="center" wrapText="1"/>
    </xf>
    <xf numFmtId="1" fontId="32" fillId="0" borderId="9" xfId="0" applyNumberFormat="1" applyFont="1" applyBorder="1" applyAlignment="1">
      <alignment horizontal="center" vertical="center"/>
    </xf>
    <xf numFmtId="1" fontId="32" fillId="0" borderId="362" xfId="0" applyNumberFormat="1" applyFont="1" applyBorder="1" applyAlignment="1">
      <alignment horizontal="center" vertical="center"/>
    </xf>
    <xf numFmtId="1" fontId="32" fillId="0" borderId="35" xfId="0" applyNumberFormat="1" applyFont="1" applyBorder="1" applyAlignment="1">
      <alignment horizontal="center" vertical="center"/>
    </xf>
    <xf numFmtId="1" fontId="32" fillId="0" borderId="1826" xfId="0" applyNumberFormat="1" applyFont="1" applyBorder="1" applyAlignment="1">
      <alignment horizontal="center" vertical="center"/>
    </xf>
    <xf numFmtId="1" fontId="32" fillId="0" borderId="1881" xfId="0" applyNumberFormat="1" applyFont="1" applyBorder="1" applyAlignment="1">
      <alignment horizontal="center" vertical="center"/>
    </xf>
    <xf numFmtId="0" fontId="32" fillId="0" borderId="1835" xfId="0" applyFont="1" applyBorder="1" applyAlignment="1">
      <alignment horizontal="center" vertical="center" wrapText="1"/>
    </xf>
    <xf numFmtId="0" fontId="32" fillId="0" borderId="282" xfId="0" applyFont="1" applyBorder="1" applyAlignment="1">
      <alignment horizontal="center" vertical="center" wrapText="1"/>
    </xf>
    <xf numFmtId="1" fontId="32" fillId="0" borderId="799" xfId="0" applyNumberFormat="1" applyFont="1" applyBorder="1" applyAlignment="1">
      <alignment horizontal="center" vertical="center"/>
    </xf>
    <xf numFmtId="1" fontId="32" fillId="0" borderId="705" xfId="0" applyNumberFormat="1" applyFont="1" applyBorder="1" applyAlignment="1">
      <alignment horizontal="center" vertical="center"/>
    </xf>
    <xf numFmtId="0" fontId="32" fillId="0" borderId="887" xfId="0" applyFont="1" applyBorder="1" applyAlignment="1">
      <alignment horizontal="center" vertical="center" wrapText="1"/>
    </xf>
    <xf numFmtId="0" fontId="32" fillId="0" borderId="1406" xfId="0" applyFont="1" applyBorder="1" applyAlignment="1">
      <alignment horizontal="center" vertical="center" wrapText="1"/>
    </xf>
    <xf numFmtId="0" fontId="32" fillId="0" borderId="993" xfId="0" applyFont="1" applyBorder="1" applyAlignment="1">
      <alignment horizontal="center" vertical="center" wrapText="1"/>
    </xf>
    <xf numFmtId="0" fontId="32" fillId="0" borderId="1008" xfId="0" applyFont="1" applyBorder="1" applyAlignment="1">
      <alignment horizontal="center" vertical="center" wrapText="1"/>
    </xf>
    <xf numFmtId="0" fontId="32" fillId="0" borderId="1425" xfId="0" applyFont="1" applyBorder="1" applyAlignment="1">
      <alignment horizontal="center" vertical="center" wrapText="1"/>
    </xf>
    <xf numFmtId="0" fontId="32" fillId="0" borderId="1399" xfId="0" applyFont="1" applyBorder="1" applyAlignment="1">
      <alignment horizontal="center" vertical="center" wrapText="1"/>
    </xf>
    <xf numFmtId="0" fontId="32" fillId="0" borderId="1068" xfId="0" applyFont="1" applyBorder="1" applyAlignment="1">
      <alignment horizontal="center" vertical="center" wrapText="1"/>
    </xf>
    <xf numFmtId="1" fontId="32" fillId="0" borderId="380" xfId="0" applyNumberFormat="1" applyFont="1" applyBorder="1" applyAlignment="1">
      <alignment horizontal="center" vertical="center"/>
    </xf>
    <xf numFmtId="1" fontId="32" fillId="0" borderId="383" xfId="0" applyNumberFormat="1" applyFont="1" applyBorder="1" applyAlignment="1">
      <alignment horizontal="center" vertical="center"/>
    </xf>
    <xf numFmtId="1" fontId="32" fillId="0" borderId="363" xfId="0" applyNumberFormat="1" applyFont="1" applyBorder="1" applyAlignment="1">
      <alignment horizontal="center" vertical="center"/>
    </xf>
    <xf numFmtId="1" fontId="32" fillId="0" borderId="348" xfId="0" applyNumberFormat="1" applyFont="1" applyBorder="1" applyAlignment="1">
      <alignment horizontal="center" vertical="center"/>
    </xf>
    <xf numFmtId="1" fontId="82" fillId="0" borderId="1133" xfId="0" applyNumberFormat="1" applyFont="1" applyBorder="1" applyAlignment="1">
      <alignment horizontal="center" vertical="center" wrapText="1"/>
    </xf>
    <xf numFmtId="1" fontId="82" fillId="0" borderId="1094" xfId="0" applyNumberFormat="1" applyFont="1" applyBorder="1" applyAlignment="1">
      <alignment horizontal="center" vertical="center" wrapText="1"/>
    </xf>
    <xf numFmtId="1" fontId="82" fillId="0" borderId="1136" xfId="0" applyNumberFormat="1" applyFont="1" applyBorder="1" applyAlignment="1">
      <alignment horizontal="center" vertical="center" wrapText="1"/>
    </xf>
    <xf numFmtId="0" fontId="32" fillId="0" borderId="799" xfId="0" applyFont="1" applyBorder="1" applyAlignment="1">
      <alignment horizontal="center" vertical="center" wrapText="1"/>
    </xf>
    <xf numFmtId="0" fontId="32" fillId="0" borderId="1404" xfId="0" applyFont="1" applyBorder="1" applyAlignment="1">
      <alignment horizontal="center" vertical="center" wrapText="1"/>
    </xf>
    <xf numFmtId="1" fontId="32" fillId="0" borderId="1606" xfId="0" applyNumberFormat="1" applyFont="1" applyBorder="1" applyAlignment="1">
      <alignment horizontal="center" vertical="center" wrapText="1"/>
    </xf>
    <xf numFmtId="1" fontId="32" fillId="0" borderId="1595" xfId="0" applyNumberFormat="1" applyFont="1" applyBorder="1" applyAlignment="1">
      <alignment horizontal="center" vertical="center" wrapText="1"/>
    </xf>
    <xf numFmtId="0" fontId="32" fillId="0" borderId="1835" xfId="0" applyFont="1" applyBorder="1" applyAlignment="1">
      <alignment horizontal="center"/>
    </xf>
    <xf numFmtId="0" fontId="32" fillId="0" borderId="1481" xfId="0" applyFont="1" applyBorder="1" applyAlignment="1">
      <alignment horizontal="center"/>
    </xf>
    <xf numFmtId="0" fontId="32" fillId="0" borderId="1826" xfId="0" applyFont="1" applyBorder="1" applyAlignment="1">
      <alignment horizontal="center" vertical="center"/>
    </xf>
    <xf numFmtId="0" fontId="32" fillId="0" borderId="1881" xfId="0" applyFont="1" applyBorder="1" applyAlignment="1">
      <alignment horizontal="center" vertical="center"/>
    </xf>
    <xf numFmtId="1" fontId="32" fillId="0" borderId="1268" xfId="0" applyNumberFormat="1" applyFont="1" applyBorder="1" applyAlignment="1">
      <alignment horizontal="center" vertical="center"/>
    </xf>
    <xf numFmtId="1" fontId="32" fillId="0" borderId="1249" xfId="0" applyNumberFormat="1" applyFont="1" applyBorder="1" applyAlignment="1">
      <alignment horizontal="center" vertical="center"/>
    </xf>
    <xf numFmtId="1" fontId="32" fillId="0" borderId="1505" xfId="0" applyNumberFormat="1" applyFont="1" applyBorder="1" applyAlignment="1">
      <alignment horizontal="center" vertical="center"/>
    </xf>
    <xf numFmtId="1" fontId="32" fillId="0" borderId="1513" xfId="0" applyNumberFormat="1" applyFont="1" applyBorder="1" applyAlignment="1">
      <alignment horizontal="center" vertical="center" wrapText="1"/>
    </xf>
    <xf numFmtId="0" fontId="32" fillId="0" borderId="1668" xfId="0" applyFont="1" applyBorder="1" applyAlignment="1">
      <alignment horizontal="center" vertical="center"/>
    </xf>
    <xf numFmtId="0" fontId="32" fillId="0" borderId="1518" xfId="0" applyFont="1" applyBorder="1" applyAlignment="1">
      <alignment horizontal="center" vertical="center"/>
    </xf>
    <xf numFmtId="0" fontId="32" fillId="0" borderId="1519" xfId="0" applyFont="1" applyBorder="1" applyAlignment="1">
      <alignment horizontal="center" vertical="center"/>
    </xf>
    <xf numFmtId="1" fontId="32" fillId="0" borderId="1617" xfId="0" applyNumberFormat="1" applyFont="1" applyBorder="1" applyAlignment="1">
      <alignment horizontal="center" vertical="center"/>
    </xf>
    <xf numFmtId="1" fontId="32" fillId="0" borderId="1520" xfId="0" applyNumberFormat="1" applyFont="1" applyBorder="1" applyAlignment="1">
      <alignment horizontal="center" vertical="center"/>
    </xf>
    <xf numFmtId="1" fontId="32" fillId="0" borderId="887" xfId="0" applyNumberFormat="1" applyFont="1" applyBorder="1" applyAlignment="1">
      <alignment horizontal="center" vertical="center"/>
    </xf>
    <xf numFmtId="1" fontId="32" fillId="0" borderId="1462" xfId="0" applyNumberFormat="1" applyFont="1" applyBorder="1" applyAlignment="1">
      <alignment horizontal="center" vertical="center"/>
    </xf>
    <xf numFmtId="1" fontId="32" fillId="0" borderId="1463" xfId="0" applyNumberFormat="1" applyFont="1" applyBorder="1" applyAlignment="1">
      <alignment horizontal="center" vertical="center"/>
    </xf>
    <xf numFmtId="1" fontId="32" fillId="0" borderId="1473" xfId="0" applyNumberFormat="1" applyFont="1" applyBorder="1" applyAlignment="1">
      <alignment horizontal="center" vertical="center"/>
    </xf>
    <xf numFmtId="1" fontId="32" fillId="0" borderId="1465" xfId="0" applyNumberFormat="1" applyFont="1" applyBorder="1" applyAlignment="1">
      <alignment horizontal="center" vertical="center"/>
    </xf>
    <xf numFmtId="1" fontId="32" fillId="0" borderId="1481" xfId="0" applyNumberFormat="1" applyFont="1" applyBorder="1" applyAlignment="1">
      <alignment horizontal="center" vertical="center"/>
    </xf>
    <xf numFmtId="1" fontId="32" fillId="0" borderId="1471" xfId="0" applyNumberFormat="1" applyFont="1" applyBorder="1" applyAlignment="1">
      <alignment horizontal="center" vertical="center"/>
    </xf>
    <xf numFmtId="1" fontId="32" fillId="0" borderId="1605" xfId="0" applyNumberFormat="1" applyFont="1" applyBorder="1" applyAlignment="1">
      <alignment horizontal="left" vertical="center"/>
    </xf>
    <xf numFmtId="1" fontId="32" fillId="0" borderId="1495" xfId="0" applyNumberFormat="1" applyFont="1" applyBorder="1" applyAlignment="1">
      <alignment horizontal="left" vertical="center"/>
    </xf>
    <xf numFmtId="1" fontId="32" fillId="0" borderId="2244" xfId="0" applyNumberFormat="1" applyFont="1" applyBorder="1" applyAlignment="1">
      <alignment horizontal="left" vertical="center"/>
    </xf>
    <xf numFmtId="1" fontId="32" fillId="0" borderId="2211" xfId="0" applyNumberFormat="1" applyFont="1" applyBorder="1" applyAlignment="1">
      <alignment horizontal="center"/>
    </xf>
    <xf numFmtId="1" fontId="32" fillId="0" borderId="2212" xfId="0" applyNumberFormat="1" applyFont="1" applyBorder="1" applyAlignment="1">
      <alignment horizontal="center"/>
    </xf>
    <xf numFmtId="1" fontId="32" fillId="0" borderId="2247" xfId="0" applyNumberFormat="1" applyFont="1" applyBorder="1" applyAlignment="1">
      <alignment horizontal="center"/>
    </xf>
    <xf numFmtId="1" fontId="32" fillId="0" borderId="1104" xfId="0" applyNumberFormat="1" applyFont="1" applyBorder="1" applyAlignment="1">
      <alignment horizontal="center"/>
    </xf>
    <xf numFmtId="1" fontId="32" fillId="0" borderId="2248" xfId="0" applyNumberFormat="1" applyFont="1" applyBorder="1" applyAlignment="1">
      <alignment horizontal="center"/>
    </xf>
    <xf numFmtId="1" fontId="32" fillId="0" borderId="812" xfId="0" applyNumberFormat="1" applyFont="1" applyBorder="1" applyAlignment="1">
      <alignment horizontal="center"/>
    </xf>
    <xf numFmtId="1" fontId="6" fillId="0" borderId="1353" xfId="0" applyNumberFormat="1" applyFont="1" applyBorder="1" applyAlignment="1">
      <alignment horizontal="center" vertical="center" wrapText="1"/>
    </xf>
    <xf numFmtId="1" fontId="6" fillId="0" borderId="1371" xfId="0" applyNumberFormat="1" applyFont="1" applyBorder="1" applyAlignment="1">
      <alignment horizontal="center" vertical="center" wrapText="1"/>
    </xf>
    <xf numFmtId="1" fontId="6" fillId="0" borderId="435" xfId="0" applyNumberFormat="1" applyFont="1" applyBorder="1" applyAlignment="1">
      <alignment horizontal="center" vertical="center"/>
    </xf>
    <xf numFmtId="1" fontId="6" fillId="0" borderId="1394" xfId="0" applyNumberFormat="1" applyFont="1" applyBorder="1" applyAlignment="1">
      <alignment horizontal="center" vertical="center" wrapText="1"/>
    </xf>
    <xf numFmtId="1" fontId="6" fillId="0" borderId="1385" xfId="0" applyNumberFormat="1" applyFont="1" applyBorder="1" applyAlignment="1">
      <alignment horizontal="center" vertical="center" wrapText="1"/>
    </xf>
    <xf numFmtId="1" fontId="6" fillId="0" borderId="1393" xfId="0" applyNumberFormat="1" applyFont="1" applyBorder="1" applyAlignment="1">
      <alignment horizontal="center" vertical="center" wrapText="1"/>
    </xf>
    <xf numFmtId="1" fontId="6" fillId="0" borderId="1519" xfId="0" applyNumberFormat="1" applyFont="1" applyBorder="1" applyAlignment="1">
      <alignment horizontal="center" vertical="center"/>
    </xf>
    <xf numFmtId="1" fontId="6" fillId="0" borderId="1517" xfId="0" applyNumberFormat="1" applyFont="1" applyBorder="1" applyAlignment="1">
      <alignment horizontal="center" vertical="center" wrapText="1"/>
    </xf>
    <xf numFmtId="1" fontId="6" fillId="0" borderId="1518" xfId="0" applyNumberFormat="1" applyFont="1" applyBorder="1" applyAlignment="1">
      <alignment horizontal="center" vertical="center" wrapText="1"/>
    </xf>
    <xf numFmtId="1" fontId="6" fillId="0" borderId="1519" xfId="0" applyNumberFormat="1" applyFont="1" applyBorder="1" applyAlignment="1">
      <alignment horizontal="center" vertical="center" wrapText="1"/>
    </xf>
    <xf numFmtId="1" fontId="6" fillId="0" borderId="1523" xfId="0" applyNumberFormat="1" applyFont="1" applyBorder="1" applyAlignment="1">
      <alignment horizontal="center" vertical="center" wrapText="1"/>
    </xf>
    <xf numFmtId="1" fontId="6" fillId="0" borderId="1522" xfId="0" applyNumberFormat="1" applyFont="1" applyBorder="1" applyAlignment="1">
      <alignment horizontal="center" vertical="center" wrapText="1"/>
    </xf>
    <xf numFmtId="1" fontId="6" fillId="0" borderId="1522" xfId="0" applyNumberFormat="1" applyFont="1" applyBorder="1" applyAlignment="1">
      <alignment horizontal="center" vertical="center"/>
    </xf>
    <xf numFmtId="1" fontId="6" fillId="0" borderId="1543" xfId="0" applyNumberFormat="1" applyFont="1" applyBorder="1" applyAlignment="1">
      <alignment horizontal="center" vertical="center" wrapText="1"/>
    </xf>
    <xf numFmtId="1" fontId="6" fillId="0" borderId="1544" xfId="0" applyNumberFormat="1" applyFont="1" applyBorder="1" applyAlignment="1">
      <alignment horizontal="center" vertical="center" wrapText="1"/>
    </xf>
    <xf numFmtId="1" fontId="6" fillId="0" borderId="1478" xfId="0" applyNumberFormat="1" applyFont="1" applyBorder="1" applyAlignment="1">
      <alignment horizontal="center" vertical="center" wrapText="1"/>
    </xf>
    <xf numFmtId="1" fontId="6" fillId="0" borderId="1423" xfId="0" applyNumberFormat="1" applyFont="1" applyBorder="1" applyAlignment="1">
      <alignment horizontal="center" vertical="center" wrapText="1"/>
    </xf>
    <xf numFmtId="1" fontId="6" fillId="0" borderId="1516" xfId="0" applyNumberFormat="1" applyFont="1" applyBorder="1" applyAlignment="1">
      <alignment horizontal="center" vertical="center" wrapText="1"/>
    </xf>
    <xf numFmtId="1" fontId="6" fillId="0" borderId="872" xfId="0" applyNumberFormat="1" applyFont="1" applyBorder="1" applyAlignment="1">
      <alignment horizontal="center" vertical="center"/>
    </xf>
    <xf numFmtId="1" fontId="6" fillId="0" borderId="1516" xfId="0" applyNumberFormat="1" applyFont="1" applyBorder="1" applyAlignment="1">
      <alignment horizontal="center" vertical="center"/>
    </xf>
    <xf numFmtId="1" fontId="6" fillId="0" borderId="1538" xfId="0" applyNumberFormat="1" applyFont="1" applyBorder="1" applyAlignment="1">
      <alignment horizontal="center" vertical="center"/>
    </xf>
    <xf numFmtId="1" fontId="6" fillId="0" borderId="1357" xfId="0" applyNumberFormat="1" applyFont="1" applyBorder="1" applyAlignment="1">
      <alignment horizontal="center" vertical="center"/>
    </xf>
    <xf numFmtId="1" fontId="6" fillId="0" borderId="1350" xfId="0" applyNumberFormat="1" applyFont="1" applyBorder="1" applyAlignment="1">
      <alignment horizontal="center" vertical="center"/>
    </xf>
    <xf numFmtId="1" fontId="6" fillId="0" borderId="628" xfId="0" applyNumberFormat="1" applyFont="1" applyBorder="1" applyAlignment="1">
      <alignment horizontal="center" vertical="center"/>
    </xf>
    <xf numFmtId="1" fontId="6" fillId="0" borderId="437" xfId="0" applyNumberFormat="1" applyFont="1" applyBorder="1" applyAlignment="1">
      <alignment horizontal="center" vertical="center"/>
    </xf>
    <xf numFmtId="1" fontId="6" fillId="0" borderId="1362" xfId="0" applyNumberFormat="1" applyFont="1" applyBorder="1" applyAlignment="1">
      <alignment horizontal="center" vertical="center"/>
    </xf>
    <xf numFmtId="1" fontId="6" fillId="0" borderId="1353" xfId="0" applyNumberFormat="1" applyFont="1" applyBorder="1" applyAlignment="1">
      <alignment horizontal="center" vertical="center"/>
    </xf>
    <xf numFmtId="1" fontId="6" fillId="0" borderId="1355" xfId="0" applyNumberFormat="1" applyFont="1" applyBorder="1" applyAlignment="1">
      <alignment horizontal="center" vertical="center"/>
    </xf>
    <xf numFmtId="1" fontId="6" fillId="0" borderId="1543" xfId="0" applyNumberFormat="1" applyFont="1" applyBorder="1" applyAlignment="1">
      <alignment horizontal="center" vertical="center"/>
    </xf>
    <xf numFmtId="1" fontId="6" fillId="0" borderId="1544" xfId="0" applyNumberFormat="1" applyFont="1" applyBorder="1" applyAlignment="1">
      <alignment horizontal="center" vertical="center"/>
    </xf>
    <xf numFmtId="1" fontId="6" fillId="0" borderId="1478" xfId="0" applyNumberFormat="1" applyFont="1" applyBorder="1" applyAlignment="1">
      <alignment horizontal="center" vertical="center"/>
    </xf>
    <xf numFmtId="1" fontId="6" fillId="3" borderId="1335" xfId="0" applyNumberFormat="1" applyFont="1" applyFill="1" applyBorder="1" applyAlignment="1" applyProtection="1">
      <alignment horizontal="center" wrapText="1"/>
      <protection hidden="1"/>
    </xf>
    <xf numFmtId="1" fontId="6" fillId="3" borderId="1519" xfId="0" applyNumberFormat="1" applyFont="1" applyFill="1" applyBorder="1" applyAlignment="1" applyProtection="1">
      <alignment horizontal="center" wrapText="1"/>
      <protection hidden="1"/>
    </xf>
    <xf numFmtId="1" fontId="6" fillId="0" borderId="1536" xfId="0" applyNumberFormat="1" applyFont="1" applyBorder="1" applyAlignment="1">
      <alignment horizontal="center" vertical="center" wrapText="1"/>
    </xf>
    <xf numFmtId="1" fontId="6" fillId="0" borderId="1535" xfId="0" applyNumberFormat="1" applyFont="1" applyBorder="1" applyAlignment="1">
      <alignment horizontal="center" vertical="center" wrapText="1"/>
    </xf>
    <xf numFmtId="1" fontId="6" fillId="0" borderId="1537" xfId="0" applyNumberFormat="1" applyFont="1" applyBorder="1" applyAlignment="1">
      <alignment horizontal="center" vertical="center" wrapText="1"/>
    </xf>
    <xf numFmtId="1" fontId="6" fillId="0" borderId="1371" xfId="0" applyNumberFormat="1" applyFont="1" applyBorder="1" applyAlignment="1">
      <alignment horizontal="center" vertical="center"/>
    </xf>
    <xf numFmtId="1" fontId="6" fillId="0" borderId="1361" xfId="0" applyNumberFormat="1" applyFont="1" applyBorder="1" applyAlignment="1">
      <alignment horizontal="center" vertical="center"/>
    </xf>
    <xf numFmtId="1" fontId="6" fillId="0" borderId="1345" xfId="0" applyNumberFormat="1" applyFont="1" applyBorder="1" applyAlignment="1">
      <alignment horizontal="center" vertical="center"/>
    </xf>
    <xf numFmtId="1" fontId="6" fillId="0" borderId="1358" xfId="0" applyNumberFormat="1" applyFont="1" applyBorder="1" applyAlignment="1">
      <alignment horizontal="center" vertical="center"/>
    </xf>
    <xf numFmtId="1" fontId="6" fillId="0" borderId="1344" xfId="0" applyNumberFormat="1" applyFont="1" applyBorder="1" applyAlignment="1">
      <alignment horizontal="center" vertical="center"/>
    </xf>
    <xf numFmtId="1" fontId="6" fillId="0" borderId="1354" xfId="0" applyNumberFormat="1" applyFont="1" applyBorder="1" applyAlignment="1">
      <alignment horizontal="center" vertical="center" wrapText="1"/>
    </xf>
    <xf numFmtId="1" fontId="6" fillId="0" borderId="1355" xfId="0" applyNumberFormat="1" applyFont="1" applyBorder="1" applyAlignment="1">
      <alignment horizontal="center" vertical="center" wrapText="1"/>
    </xf>
    <xf numFmtId="1" fontId="6" fillId="0" borderId="223" xfId="27" applyNumberFormat="1" applyFont="1" applyBorder="1" applyAlignment="1">
      <alignment horizontal="center" vertical="center" wrapText="1"/>
    </xf>
    <xf numFmtId="1" fontId="6" fillId="0" borderId="428" xfId="27" applyNumberFormat="1" applyFont="1" applyBorder="1" applyAlignment="1">
      <alignment horizontal="center" vertical="center" wrapText="1"/>
    </xf>
    <xf numFmtId="1" fontId="6" fillId="0" borderId="236" xfId="27" applyNumberFormat="1" applyFont="1" applyBorder="1" applyAlignment="1">
      <alignment horizontal="center" vertical="center" wrapText="1"/>
    </xf>
    <xf numFmtId="1" fontId="6" fillId="0" borderId="1358" xfId="27" applyNumberFormat="1" applyFont="1" applyBorder="1" applyAlignment="1">
      <alignment horizontal="center" vertical="center" wrapText="1"/>
    </xf>
    <xf numFmtId="1" fontId="6" fillId="0" borderId="510" xfId="27" applyNumberFormat="1" applyFont="1" applyBorder="1" applyAlignment="1">
      <alignment horizontal="center" vertical="center" wrapText="1"/>
    </xf>
    <xf numFmtId="1" fontId="6" fillId="0" borderId="1344" xfId="27" applyNumberFormat="1" applyFont="1" applyBorder="1" applyAlignment="1">
      <alignment horizontal="center" vertical="center" wrapText="1"/>
    </xf>
    <xf numFmtId="1" fontId="6" fillId="0" borderId="987" xfId="0" applyNumberFormat="1" applyFont="1" applyBorder="1" applyAlignment="1">
      <alignment horizontal="center" vertical="center" wrapText="1"/>
    </xf>
    <xf numFmtId="1" fontId="6" fillId="0" borderId="1524" xfId="0" applyNumberFormat="1" applyFont="1" applyBorder="1" applyAlignment="1">
      <alignment horizontal="center" vertical="center" wrapText="1"/>
    </xf>
    <xf numFmtId="1" fontId="32" fillId="0" borderId="1351" xfId="0" applyNumberFormat="1" applyFont="1" applyBorder="1" applyAlignment="1">
      <alignment horizontal="center" vertical="center"/>
    </xf>
    <xf numFmtId="1" fontId="32" fillId="0" borderId="1347" xfId="0" applyNumberFormat="1" applyFont="1" applyBorder="1" applyAlignment="1">
      <alignment horizontal="center" vertical="center"/>
    </xf>
    <xf numFmtId="1" fontId="32" fillId="0" borderId="1354" xfId="0" applyNumberFormat="1" applyFont="1" applyBorder="1" applyAlignment="1">
      <alignment horizontal="center" vertical="center"/>
    </xf>
    <xf numFmtId="1" fontId="32" fillId="0" borderId="1353" xfId="0" applyNumberFormat="1" applyFont="1" applyBorder="1" applyAlignment="1">
      <alignment horizontal="center" vertical="center"/>
    </xf>
    <xf numFmtId="1" fontId="32" fillId="0" borderId="1352" xfId="0" applyNumberFormat="1" applyFont="1" applyBorder="1" applyAlignment="1">
      <alignment horizontal="center" vertical="center"/>
    </xf>
    <xf numFmtId="1" fontId="32" fillId="0" borderId="1354" xfId="0" applyNumberFormat="1" applyFont="1" applyBorder="1" applyAlignment="1">
      <alignment horizontal="center" vertical="center" wrapText="1"/>
    </xf>
    <xf numFmtId="1" fontId="32" fillId="0" borderId="1352" xfId="0" applyNumberFormat="1" applyFont="1" applyBorder="1" applyAlignment="1">
      <alignment horizontal="center" vertical="center" wrapText="1"/>
    </xf>
    <xf numFmtId="1" fontId="6" fillId="0" borderId="484" xfId="0" applyNumberFormat="1" applyFont="1" applyBorder="1" applyAlignment="1">
      <alignment horizontal="center" vertical="center" wrapText="1"/>
    </xf>
    <xf numFmtId="1" fontId="6" fillId="0" borderId="456" xfId="0" applyNumberFormat="1" applyFont="1" applyBorder="1" applyAlignment="1">
      <alignment horizontal="center" vertical="center" wrapText="1"/>
    </xf>
    <xf numFmtId="1" fontId="6" fillId="0" borderId="487" xfId="0" applyNumberFormat="1" applyFont="1" applyBorder="1" applyAlignment="1">
      <alignment horizontal="center" vertical="center"/>
    </xf>
    <xf numFmtId="1" fontId="6" fillId="0" borderId="456" xfId="0" applyNumberFormat="1" applyFont="1" applyBorder="1" applyAlignment="1">
      <alignment horizontal="center" vertical="center"/>
    </xf>
    <xf numFmtId="1" fontId="11" fillId="0" borderId="1358" xfId="27" applyNumberFormat="1" applyFont="1" applyBorder="1" applyAlignment="1">
      <alignment horizontal="center" vertical="center" wrapText="1"/>
    </xf>
    <xf numFmtId="1" fontId="11" fillId="0" borderId="510" xfId="27" applyNumberFormat="1" applyFont="1" applyBorder="1" applyAlignment="1">
      <alignment horizontal="center" vertical="center" wrapText="1"/>
    </xf>
    <xf numFmtId="1" fontId="11" fillId="0" borderId="1344" xfId="27" applyNumberFormat="1" applyFont="1" applyBorder="1" applyAlignment="1">
      <alignment horizontal="center" vertical="center" wrapText="1"/>
    </xf>
    <xf numFmtId="1" fontId="6" fillId="3" borderId="1519" xfId="0" applyNumberFormat="1" applyFont="1" applyFill="1" applyBorder="1" applyAlignment="1">
      <alignment horizontal="center" vertical="center" wrapText="1"/>
    </xf>
    <xf numFmtId="1" fontId="6" fillId="3" borderId="1335" xfId="0" applyNumberFormat="1" applyFont="1" applyFill="1" applyBorder="1" applyAlignment="1">
      <alignment horizontal="center" vertical="center" wrapText="1"/>
    </xf>
    <xf numFmtId="1" fontId="6" fillId="0" borderId="1415" xfId="0" applyNumberFormat="1" applyFont="1" applyBorder="1" applyAlignment="1">
      <alignment horizontal="center" vertical="center" wrapText="1"/>
    </xf>
    <xf numFmtId="1" fontId="6" fillId="0" borderId="488" xfId="0" applyNumberFormat="1" applyFont="1" applyBorder="1" applyAlignment="1">
      <alignment horizontal="center" vertical="center" wrapText="1"/>
    </xf>
    <xf numFmtId="1" fontId="6" fillId="0" borderId="145" xfId="0" applyNumberFormat="1" applyFont="1" applyBorder="1" applyAlignment="1">
      <alignment horizontal="center" vertical="center" wrapText="1"/>
    </xf>
    <xf numFmtId="1" fontId="11" fillId="0" borderId="2434" xfId="0" applyNumberFormat="1" applyFont="1" applyBorder="1" applyAlignment="1">
      <alignment horizontal="center" vertical="center" wrapText="1"/>
    </xf>
    <xf numFmtId="1" fontId="11" fillId="0" borderId="129" xfId="0" applyNumberFormat="1" applyFont="1" applyBorder="1" applyAlignment="1">
      <alignment horizontal="center" vertical="center" wrapText="1"/>
    </xf>
    <xf numFmtId="1" fontId="11" fillId="0" borderId="2437" xfId="0" applyNumberFormat="1" applyFont="1" applyBorder="1" applyAlignment="1">
      <alignment horizontal="center" vertical="center" wrapText="1"/>
    </xf>
    <xf numFmtId="1" fontId="6" fillId="0" borderId="2424" xfId="0" applyNumberFormat="1" applyFont="1" applyBorder="1" applyAlignment="1">
      <alignment horizontal="center" vertical="center"/>
    </xf>
    <xf numFmtId="1" fontId="4" fillId="3" borderId="2440" xfId="0" applyNumberFormat="1" applyFont="1" applyFill="1" applyBorder="1" applyAlignment="1">
      <alignment horizontal="left"/>
    </xf>
    <xf numFmtId="1" fontId="11" fillId="0" borderId="2408" xfId="0" applyNumberFormat="1" applyFont="1" applyBorder="1" applyAlignment="1">
      <alignment horizontal="center" vertical="center" wrapText="1"/>
    </xf>
    <xf numFmtId="1" fontId="11" fillId="0" borderId="428" xfId="0" applyNumberFormat="1" applyFont="1" applyBorder="1" applyAlignment="1">
      <alignment horizontal="center" vertical="center" wrapText="1"/>
    </xf>
    <xf numFmtId="1" fontId="11" fillId="0" borderId="2441" xfId="0" applyNumberFormat="1" applyFont="1" applyBorder="1" applyAlignment="1">
      <alignment horizontal="center" vertical="center" wrapText="1"/>
    </xf>
    <xf numFmtId="1" fontId="6" fillId="0" borderId="2432" xfId="0" applyNumberFormat="1" applyFont="1" applyBorder="1" applyAlignment="1">
      <alignment horizontal="center" vertical="center" wrapText="1"/>
    </xf>
    <xf numFmtId="1" fontId="11" fillId="0" borderId="2424" xfId="27" applyNumberFormat="1" applyFont="1" applyBorder="1" applyAlignment="1">
      <alignment horizontal="center" vertical="center" wrapText="1"/>
    </xf>
    <xf numFmtId="1" fontId="6" fillId="0" borderId="2432" xfId="0" applyNumberFormat="1" applyFont="1" applyBorder="1" applyAlignment="1">
      <alignment horizontal="center" vertical="center"/>
    </xf>
    <xf numFmtId="1" fontId="38" fillId="0" borderId="2424" xfId="27" applyNumberFormat="1" applyFont="1" applyBorder="1" applyAlignment="1">
      <alignment horizontal="center" vertical="center" wrapText="1"/>
    </xf>
    <xf numFmtId="1" fontId="11" fillId="0" borderId="2408" xfId="27" applyNumberFormat="1" applyFont="1" applyBorder="1" applyAlignment="1">
      <alignment horizontal="center" vertical="center" wrapText="1"/>
    </xf>
    <xf numFmtId="1" fontId="11" fillId="0" borderId="428" xfId="27" applyNumberFormat="1" applyFont="1" applyBorder="1" applyAlignment="1">
      <alignment horizontal="center" vertical="center" wrapText="1"/>
    </xf>
    <xf numFmtId="1" fontId="11" fillId="0" borderId="2441" xfId="27" applyNumberFormat="1" applyFont="1" applyBorder="1" applyAlignment="1">
      <alignment horizontal="center" vertical="center" wrapText="1"/>
    </xf>
    <xf numFmtId="1" fontId="6" fillId="0" borderId="2413" xfId="0" applyNumberFormat="1" applyFont="1" applyBorder="1" applyAlignment="1">
      <alignment horizontal="center" vertical="center" wrapText="1"/>
    </xf>
    <xf numFmtId="1" fontId="6" fillId="0" borderId="1497" xfId="0" applyNumberFormat="1" applyFont="1" applyBorder="1" applyAlignment="1">
      <alignment horizontal="center" vertical="center" wrapText="1"/>
    </xf>
    <xf numFmtId="1" fontId="6" fillId="0" borderId="1827" xfId="0" applyNumberFormat="1" applyFont="1" applyBorder="1" applyAlignment="1">
      <alignment horizontal="center" vertical="center" wrapText="1"/>
    </xf>
    <xf numFmtId="1" fontId="38" fillId="0" borderId="2418" xfId="27" applyNumberFormat="1" applyFont="1" applyBorder="1" applyAlignment="1">
      <alignment horizontal="center" vertical="center" wrapText="1"/>
    </xf>
    <xf numFmtId="0" fontId="6" fillId="0" borderId="239" xfId="0" applyFont="1" applyBorder="1" applyAlignment="1">
      <alignment horizontal="center" vertical="center" wrapText="1"/>
    </xf>
    <xf numFmtId="0" fontId="6" fillId="0" borderId="24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140" xfId="0" applyFont="1" applyBorder="1" applyAlignment="1">
      <alignment horizontal="center" vertical="center" wrapText="1"/>
    </xf>
    <xf numFmtId="0" fontId="6" fillId="0" borderId="141" xfId="0" applyFont="1" applyBorder="1" applyAlignment="1">
      <alignment horizontal="center" vertical="center" wrapText="1"/>
    </xf>
    <xf numFmtId="0" fontId="6" fillId="0" borderId="224" xfId="0" applyFont="1" applyBorder="1" applyAlignment="1">
      <alignment horizontal="center" vertical="center" wrapText="1"/>
    </xf>
    <xf numFmtId="0" fontId="6" fillId="0" borderId="225" xfId="0" applyFont="1" applyBorder="1" applyAlignment="1">
      <alignment horizontal="center" vertical="center" wrapText="1"/>
    </xf>
    <xf numFmtId="0" fontId="6" fillId="0" borderId="226" xfId="0" applyFont="1" applyBorder="1" applyAlignment="1">
      <alignment horizontal="center" vertical="center" wrapText="1"/>
    </xf>
    <xf numFmtId="0" fontId="6" fillId="14" borderId="240" xfId="0" applyFont="1" applyFill="1" applyBorder="1" applyAlignment="1">
      <alignment horizontal="center" vertical="center" wrapText="1"/>
    </xf>
    <xf numFmtId="0" fontId="6" fillId="14" borderId="68" xfId="0" applyFont="1" applyFill="1" applyBorder="1" applyAlignment="1">
      <alignment horizontal="center" vertical="center" wrapText="1"/>
    </xf>
    <xf numFmtId="0" fontId="6" fillId="14" borderId="141" xfId="0" applyFont="1" applyFill="1" applyBorder="1" applyAlignment="1">
      <alignment horizontal="center" vertical="center" wrapText="1"/>
    </xf>
    <xf numFmtId="0" fontId="6" fillId="0" borderId="224" xfId="0" applyFont="1" applyBorder="1" applyAlignment="1">
      <alignment horizontal="center" vertical="center"/>
    </xf>
    <xf numFmtId="0" fontId="6" fillId="0" borderId="227" xfId="0" applyFont="1" applyBorder="1" applyAlignment="1">
      <alignment horizontal="center" vertical="center"/>
    </xf>
    <xf numFmtId="0" fontId="6" fillId="0" borderId="22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36" xfId="0" applyFont="1" applyBorder="1" applyAlignment="1">
      <alignment horizontal="center" vertical="center" wrapText="1"/>
    </xf>
    <xf numFmtId="0" fontId="6" fillId="0" borderId="227" xfId="0" applyFont="1" applyBorder="1" applyAlignment="1">
      <alignment horizontal="center" vertical="center" wrapText="1"/>
    </xf>
    <xf numFmtId="1" fontId="6" fillId="0" borderId="88" xfId="0" applyNumberFormat="1" applyFont="1" applyBorder="1" applyAlignment="1">
      <alignment horizontal="center" vertical="center" wrapText="1"/>
    </xf>
    <xf numFmtId="1" fontId="6" fillId="0" borderId="128" xfId="0" applyNumberFormat="1" applyFont="1" applyBorder="1" applyAlignment="1">
      <alignment horizontal="center" vertical="center" wrapText="1"/>
    </xf>
    <xf numFmtId="0" fontId="6" fillId="0" borderId="226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 wrapText="1"/>
    </xf>
    <xf numFmtId="0" fontId="6" fillId="0" borderId="128" xfId="0" applyFont="1" applyBorder="1" applyAlignment="1">
      <alignment horizontal="center" vertical="center" wrapText="1"/>
    </xf>
    <xf numFmtId="0" fontId="6" fillId="0" borderId="91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22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40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141" xfId="0" applyFont="1" applyBorder="1" applyAlignment="1">
      <alignment horizontal="center" vertical="center"/>
    </xf>
    <xf numFmtId="0" fontId="6" fillId="0" borderId="22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592" xfId="0" applyFont="1" applyBorder="1" applyAlignment="1">
      <alignment horizontal="center" vertical="center" wrapText="1"/>
    </xf>
    <xf numFmtId="0" fontId="6" fillId="0" borderId="599" xfId="0" applyFont="1" applyBorder="1" applyAlignment="1">
      <alignment horizontal="center" vertical="center" wrapText="1"/>
    </xf>
    <xf numFmtId="0" fontId="6" fillId="0" borderId="237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235" xfId="0" applyFont="1" applyBorder="1" applyAlignment="1">
      <alignment horizontal="left" vertical="center" wrapText="1"/>
    </xf>
    <xf numFmtId="0" fontId="6" fillId="0" borderId="233" xfId="0" applyFont="1" applyBorder="1" applyAlignment="1">
      <alignment horizontal="left" vertical="center" wrapText="1"/>
    </xf>
    <xf numFmtId="0" fontId="6" fillId="0" borderId="590" xfId="0" applyFont="1" applyBorder="1" applyAlignment="1">
      <alignment horizontal="left" vertical="center" wrapText="1"/>
    </xf>
    <xf numFmtId="0" fontId="6" fillId="0" borderId="591" xfId="0" applyFont="1" applyBorder="1" applyAlignment="1">
      <alignment horizontal="left" vertical="center" wrapText="1"/>
    </xf>
    <xf numFmtId="0" fontId="6" fillId="14" borderId="590" xfId="0" applyFont="1" applyFill="1" applyBorder="1" applyAlignment="1">
      <alignment horizontal="left" vertical="center" wrapText="1"/>
    </xf>
    <xf numFmtId="0" fontId="6" fillId="14" borderId="591" xfId="0" applyFont="1" applyFill="1" applyBorder="1" applyAlignment="1">
      <alignment horizontal="left" vertical="center" wrapText="1"/>
    </xf>
    <xf numFmtId="0" fontId="6" fillId="0" borderId="224" xfId="0" applyFont="1" applyBorder="1" applyAlignment="1">
      <alignment horizontal="left" vertical="center" wrapText="1"/>
    </xf>
    <xf numFmtId="0" fontId="6" fillId="0" borderId="227" xfId="0" applyFont="1" applyBorder="1" applyAlignment="1">
      <alignment horizontal="left" vertical="center" wrapText="1"/>
    </xf>
    <xf numFmtId="0" fontId="6" fillId="0" borderId="950" xfId="0" applyFont="1" applyBorder="1" applyAlignment="1">
      <alignment horizontal="center" vertical="center" wrapText="1"/>
    </xf>
    <xf numFmtId="0" fontId="6" fillId="0" borderId="942" xfId="0" applyFont="1" applyBorder="1" applyAlignment="1">
      <alignment horizontal="center" vertical="center" wrapText="1"/>
    </xf>
    <xf numFmtId="0" fontId="6" fillId="0" borderId="951" xfId="0" applyFont="1" applyBorder="1" applyAlignment="1">
      <alignment horizontal="center" vertical="center" wrapText="1"/>
    </xf>
    <xf numFmtId="0" fontId="6" fillId="0" borderId="887" xfId="0" applyFont="1" applyBorder="1" applyAlignment="1">
      <alignment horizontal="center" vertical="center" wrapText="1"/>
    </xf>
    <xf numFmtId="0" fontId="6" fillId="0" borderId="510" xfId="0" applyFont="1" applyBorder="1" applyAlignment="1">
      <alignment horizontal="center" vertical="center" wrapText="1"/>
    </xf>
    <xf numFmtId="0" fontId="6" fillId="0" borderId="945" xfId="0" applyFont="1" applyBorder="1" applyAlignment="1">
      <alignment horizontal="center" vertical="center" wrapText="1"/>
    </xf>
    <xf numFmtId="0" fontId="6" fillId="0" borderId="627" xfId="0" applyFont="1" applyBorder="1" applyAlignment="1">
      <alignment horizontal="left" vertical="center" wrapText="1"/>
    </xf>
    <xf numFmtId="0" fontId="6" fillId="0" borderId="619" xfId="0" applyFont="1" applyBorder="1" applyAlignment="1">
      <alignment horizontal="left" vertical="center" wrapText="1"/>
    </xf>
    <xf numFmtId="0" fontId="45" fillId="0" borderId="887" xfId="0" applyFont="1" applyBorder="1" applyAlignment="1">
      <alignment horizontal="center" vertical="center" wrapText="1"/>
    </xf>
    <xf numFmtId="0" fontId="45" fillId="0" borderId="725" xfId="0" applyFont="1" applyBorder="1" applyAlignment="1">
      <alignment horizontal="center" vertical="center" wrapText="1"/>
    </xf>
    <xf numFmtId="1" fontId="45" fillId="0" borderId="832" xfId="0" applyNumberFormat="1" applyFont="1" applyBorder="1" applyAlignment="1" applyProtection="1">
      <alignment horizontal="center" vertical="center" wrapText="1"/>
      <protection hidden="1"/>
    </xf>
    <xf numFmtId="1" fontId="45" fillId="0" borderId="880" xfId="0" applyNumberFormat="1" applyFont="1" applyBorder="1" applyAlignment="1" applyProtection="1">
      <alignment horizontal="center" vertical="center" wrapText="1"/>
      <protection hidden="1"/>
    </xf>
    <xf numFmtId="1" fontId="6" fillId="0" borderId="907" xfId="0" applyNumberFormat="1" applyFont="1" applyBorder="1" applyAlignment="1">
      <alignment horizontal="center" vertical="center"/>
    </xf>
    <xf numFmtId="1" fontId="6" fillId="0" borderId="942" xfId="0" applyNumberFormat="1" applyFont="1" applyBorder="1" applyAlignment="1">
      <alignment horizontal="center" vertical="center"/>
    </xf>
    <xf numFmtId="1" fontId="6" fillId="0" borderId="941" xfId="0" applyNumberFormat="1" applyFont="1" applyBorder="1" applyAlignment="1">
      <alignment horizontal="center" vertical="center"/>
    </xf>
    <xf numFmtId="0" fontId="6" fillId="14" borderId="529" xfId="0" applyFont="1" applyFill="1" applyBorder="1" applyAlignment="1">
      <alignment horizontal="left" vertical="center" wrapText="1"/>
    </xf>
    <xf numFmtId="0" fontId="6" fillId="14" borderId="39" xfId="0" applyFont="1" applyFill="1" applyBorder="1" applyAlignment="1">
      <alignment horizontal="left" vertical="center" wrapText="1"/>
    </xf>
    <xf numFmtId="0" fontId="70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 wrapText="1"/>
    </xf>
    <xf numFmtId="1" fontId="70" fillId="0" borderId="0" xfId="0" applyNumberFormat="1" applyFont="1" applyAlignment="1">
      <alignment horizontal="center" vertical="center" wrapText="1"/>
    </xf>
    <xf numFmtId="1" fontId="32" fillId="48" borderId="573" xfId="0" applyNumberFormat="1" applyFont="1" applyFill="1" applyBorder="1" applyAlignment="1">
      <alignment horizontal="center" vertical="center"/>
    </xf>
    <xf numFmtId="1" fontId="32" fillId="48" borderId="428" xfId="0" applyNumberFormat="1" applyFont="1" applyFill="1" applyBorder="1" applyAlignment="1">
      <alignment horizontal="center" vertical="center"/>
    </xf>
    <xf numFmtId="1" fontId="32" fillId="48" borderId="537" xfId="0" applyNumberFormat="1" applyFont="1" applyFill="1" applyBorder="1" applyAlignment="1">
      <alignment horizontal="center" vertical="center"/>
    </xf>
    <xf numFmtId="1" fontId="32" fillId="48" borderId="569" xfId="0" applyNumberFormat="1" applyFont="1" applyFill="1" applyBorder="1" applyAlignment="1">
      <alignment horizontal="center" vertical="center" wrapText="1"/>
    </xf>
    <xf numFmtId="1" fontId="32" fillId="48" borderId="570" xfId="0" applyNumberFormat="1" applyFont="1" applyFill="1" applyBorder="1" applyAlignment="1">
      <alignment horizontal="center" vertical="center" wrapText="1"/>
    </xf>
    <xf numFmtId="1" fontId="32" fillId="48" borderId="571" xfId="0" applyNumberFormat="1" applyFont="1" applyFill="1" applyBorder="1" applyAlignment="1">
      <alignment horizontal="center" vertical="center" wrapText="1"/>
    </xf>
    <xf numFmtId="1" fontId="32" fillId="48" borderId="416" xfId="0" applyNumberFormat="1" applyFont="1" applyFill="1" applyBorder="1" applyAlignment="1">
      <alignment horizontal="center" vertical="center" wrapText="1"/>
    </xf>
    <xf numFmtId="1" fontId="32" fillId="48" borderId="0" xfId="0" applyNumberFormat="1" applyFont="1" applyFill="1" applyAlignment="1">
      <alignment horizontal="center" vertical="center" wrapText="1"/>
    </xf>
    <xf numFmtId="1" fontId="32" fillId="48" borderId="510" xfId="0" applyNumberFormat="1" applyFont="1" applyFill="1" applyBorder="1" applyAlignment="1">
      <alignment horizontal="center" vertical="center" wrapText="1"/>
    </xf>
    <xf numFmtId="1" fontId="32" fillId="48" borderId="1401" xfId="0" applyNumberFormat="1" applyFont="1" applyFill="1" applyBorder="1" applyAlignment="1">
      <alignment horizontal="center" vertical="center" wrapText="1"/>
    </xf>
    <xf numFmtId="1" fontId="32" fillId="48" borderId="1279" xfId="0" applyNumberFormat="1" applyFont="1" applyFill="1" applyBorder="1" applyAlignment="1">
      <alignment horizontal="center" vertical="center" wrapText="1"/>
    </xf>
    <xf numFmtId="1" fontId="32" fillId="48" borderId="1299" xfId="0" applyNumberFormat="1" applyFont="1" applyFill="1" applyBorder="1" applyAlignment="1">
      <alignment horizontal="center" vertical="center" wrapText="1"/>
    </xf>
    <xf numFmtId="1" fontId="32" fillId="48" borderId="1279" xfId="0" applyNumberFormat="1" applyFont="1" applyFill="1" applyBorder="1" applyAlignment="1">
      <alignment horizontal="center" vertical="center"/>
    </xf>
    <xf numFmtId="1" fontId="32" fillId="48" borderId="1299" xfId="0" applyNumberFormat="1" applyFont="1" applyFill="1" applyBorder="1" applyAlignment="1">
      <alignment horizontal="center" vertical="center"/>
    </xf>
    <xf numFmtId="1" fontId="32" fillId="48" borderId="1401" xfId="0" applyNumberFormat="1" applyFont="1" applyFill="1" applyBorder="1" applyAlignment="1">
      <alignment horizontal="center" vertical="center"/>
    </xf>
    <xf numFmtId="1" fontId="32" fillId="14" borderId="993" xfId="0" applyNumberFormat="1" applyFont="1" applyFill="1" applyBorder="1" applyAlignment="1" applyProtection="1">
      <alignment horizontal="center" vertical="center" wrapText="1"/>
      <protection hidden="1"/>
    </xf>
    <xf numFmtId="1" fontId="32" fillId="14" borderId="1008" xfId="0" applyNumberFormat="1" applyFont="1" applyFill="1" applyBorder="1" applyAlignment="1" applyProtection="1">
      <alignment horizontal="center" vertical="center" wrapText="1"/>
      <protection hidden="1"/>
    </xf>
    <xf numFmtId="1" fontId="32" fillId="14" borderId="996" xfId="0" applyNumberFormat="1" applyFont="1" applyFill="1" applyBorder="1" applyAlignment="1">
      <alignment horizontal="center" vertical="center"/>
    </xf>
    <xf numFmtId="1" fontId="32" fillId="14" borderId="1000" xfId="0" applyNumberFormat="1" applyFont="1" applyFill="1" applyBorder="1" applyAlignment="1">
      <alignment horizontal="center" vertical="center"/>
    </xf>
    <xf numFmtId="1" fontId="32" fillId="14" borderId="997" xfId="0" applyNumberFormat="1" applyFont="1" applyFill="1" applyBorder="1" applyAlignment="1">
      <alignment horizontal="center" vertical="center"/>
    </xf>
    <xf numFmtId="0" fontId="69" fillId="14" borderId="0" xfId="6" applyFont="1" applyFill="1" applyAlignment="1">
      <alignment horizontal="center" vertical="center" wrapText="1"/>
    </xf>
    <xf numFmtId="164" fontId="70" fillId="14" borderId="896" xfId="32" applyNumberFormat="1" applyFont="1" applyFill="1" applyBorder="1" applyAlignment="1" applyProtection="1">
      <alignment horizontal="center" vertical="center"/>
    </xf>
    <xf numFmtId="164" fontId="70" fillId="14" borderId="870" xfId="32" applyNumberFormat="1" applyFont="1" applyFill="1" applyBorder="1" applyAlignment="1" applyProtection="1">
      <alignment horizontal="center" vertical="center"/>
    </xf>
    <xf numFmtId="164" fontId="70" fillId="14" borderId="880" xfId="32" applyNumberFormat="1" applyFont="1" applyFill="1" applyBorder="1" applyAlignment="1" applyProtection="1">
      <alignment horizontal="center" vertical="center"/>
    </xf>
    <xf numFmtId="164" fontId="70" fillId="14" borderId="889" xfId="32" applyNumberFormat="1" applyFont="1" applyFill="1" applyBorder="1" applyAlignment="1" applyProtection="1">
      <alignment horizontal="center" vertical="center" wrapText="1"/>
    </xf>
    <xf numFmtId="164" fontId="70" fillId="14" borderId="835" xfId="32" applyNumberFormat="1" applyFont="1" applyFill="1" applyBorder="1" applyAlignment="1" applyProtection="1">
      <alignment horizontal="center" vertical="center" wrapText="1"/>
    </xf>
    <xf numFmtId="164" fontId="70" fillId="14" borderId="887" xfId="32" applyNumberFormat="1" applyFont="1" applyFill="1" applyBorder="1" applyAlignment="1" applyProtection="1">
      <alignment horizontal="center" vertical="center" wrapText="1"/>
    </xf>
    <xf numFmtId="164" fontId="70" fillId="14" borderId="832" xfId="32" applyNumberFormat="1" applyFont="1" applyFill="1" applyBorder="1" applyAlignment="1" applyProtection="1">
      <alignment horizontal="center" vertical="center"/>
    </xf>
    <xf numFmtId="164" fontId="70" fillId="14" borderId="907" xfId="32" applyNumberFormat="1" applyFont="1" applyFill="1" applyBorder="1" applyAlignment="1" applyProtection="1">
      <alignment horizontal="center" vertical="center" wrapText="1"/>
    </xf>
    <xf numFmtId="164" fontId="70" fillId="14" borderId="914" xfId="32" applyNumberFormat="1" applyFont="1" applyFill="1" applyBorder="1" applyAlignment="1" applyProtection="1">
      <alignment horizontal="center" vertical="center" wrapText="1"/>
    </xf>
    <xf numFmtId="164" fontId="70" fillId="14" borderId="913" xfId="32" applyNumberFormat="1" applyFont="1" applyFill="1" applyBorder="1" applyAlignment="1" applyProtection="1">
      <alignment horizontal="center" vertical="center" wrapText="1"/>
    </xf>
    <xf numFmtId="164" fontId="70" fillId="14" borderId="1398" xfId="6" applyNumberFormat="1" applyFont="1" applyFill="1" applyBorder="1" applyAlignment="1">
      <alignment horizontal="center"/>
    </xf>
    <xf numFmtId="164" fontId="70" fillId="14" borderId="1399" xfId="6" applyNumberFormat="1" applyFont="1" applyFill="1" applyBorder="1" applyAlignment="1">
      <alignment horizontal="center"/>
    </xf>
    <xf numFmtId="0" fontId="70" fillId="0" borderId="0" xfId="0" applyFont="1" applyAlignment="1">
      <alignment horizontal="center" wrapText="1"/>
    </xf>
    <xf numFmtId="164" fontId="70" fillId="14" borderId="1401" xfId="6" applyNumberFormat="1" applyFont="1" applyFill="1" applyBorder="1" applyAlignment="1">
      <alignment horizontal="center"/>
    </xf>
    <xf numFmtId="164" fontId="70" fillId="14" borderId="1400" xfId="6" applyNumberFormat="1" applyFont="1" applyFill="1" applyBorder="1" applyAlignment="1">
      <alignment horizontal="center"/>
    </xf>
    <xf numFmtId="1" fontId="32" fillId="0" borderId="1406" xfId="0" applyNumberFormat="1" applyFont="1" applyBorder="1" applyAlignment="1">
      <alignment horizontal="center" vertical="center" wrapText="1"/>
    </xf>
    <xf numFmtId="1" fontId="32" fillId="0" borderId="870" xfId="0" applyNumberFormat="1" applyFont="1" applyBorder="1" applyAlignment="1">
      <alignment horizontal="center" vertical="center" wrapText="1"/>
    </xf>
    <xf numFmtId="1" fontId="32" fillId="0" borderId="1736" xfId="449" applyNumberFormat="1" applyFont="1" applyBorder="1" applyAlignment="1">
      <alignment horizontal="center" vertical="center" wrapText="1"/>
    </xf>
    <xf numFmtId="0" fontId="64" fillId="0" borderId="1711" xfId="449" applyFont="1" applyBorder="1" applyAlignment="1">
      <alignment horizontal="left" wrapText="1"/>
    </xf>
    <xf numFmtId="0" fontId="64" fillId="0" borderId="1653" xfId="449" applyFont="1" applyBorder="1" applyAlignment="1">
      <alignment horizontal="left" wrapText="1"/>
    </xf>
    <xf numFmtId="1" fontId="32" fillId="0" borderId="1787" xfId="449" applyNumberFormat="1" applyFont="1" applyBorder="1" applyAlignment="1">
      <alignment horizontal="center" vertical="center" wrapText="1"/>
    </xf>
    <xf numFmtId="1" fontId="32" fillId="0" borderId="1668" xfId="449" applyNumberFormat="1" applyFont="1" applyBorder="1" applyAlignment="1">
      <alignment horizontal="center" vertical="center" wrapText="1"/>
    </xf>
    <xf numFmtId="1" fontId="32" fillId="0" borderId="1788" xfId="449" applyNumberFormat="1" applyFont="1" applyBorder="1" applyAlignment="1">
      <alignment horizontal="center" vertical="center" wrapText="1"/>
    </xf>
    <xf numFmtId="1" fontId="71" fillId="0" borderId="1667" xfId="449" applyNumberFormat="1" applyFont="1" applyBorder="1" applyAlignment="1">
      <alignment horizontal="center" vertical="center" wrapText="1"/>
    </xf>
    <xf numFmtId="1" fontId="71" fillId="0" borderId="1736" xfId="449" applyNumberFormat="1" applyFont="1" applyBorder="1" applyAlignment="1">
      <alignment horizontal="center" vertical="center" wrapText="1"/>
    </xf>
    <xf numFmtId="1" fontId="32" fillId="0" borderId="1736" xfId="449" applyNumberFormat="1" applyFont="1" applyBorder="1" applyAlignment="1">
      <alignment horizontal="center" vertical="center"/>
    </xf>
    <xf numFmtId="1" fontId="32" fillId="0" borderId="1800" xfId="449" applyNumberFormat="1" applyFont="1" applyBorder="1" applyAlignment="1">
      <alignment horizontal="center" vertical="center"/>
    </xf>
    <xf numFmtId="1" fontId="32" fillId="0" borderId="889" xfId="0" applyNumberFormat="1" applyFont="1" applyBorder="1" applyAlignment="1">
      <alignment horizontal="center" vertical="center" wrapText="1"/>
    </xf>
    <xf numFmtId="1" fontId="32" fillId="0" borderId="861" xfId="0" applyNumberFormat="1" applyFont="1" applyBorder="1" applyAlignment="1">
      <alignment horizontal="center" vertical="center" wrapText="1"/>
    </xf>
    <xf numFmtId="1" fontId="32" fillId="0" borderId="907" xfId="0" applyNumberFormat="1" applyFont="1" applyBorder="1" applyAlignment="1">
      <alignment horizontal="center" vertical="center" wrapText="1"/>
    </xf>
    <xf numFmtId="1" fontId="32" fillId="0" borderId="914" xfId="0" applyNumberFormat="1" applyFont="1" applyBorder="1" applyAlignment="1">
      <alignment horizontal="center" vertical="center" wrapText="1"/>
    </xf>
    <xf numFmtId="1" fontId="32" fillId="0" borderId="913" xfId="0" applyNumberFormat="1" applyFont="1" applyBorder="1" applyAlignment="1">
      <alignment horizontal="center" vertical="center" wrapText="1"/>
    </xf>
    <xf numFmtId="1" fontId="32" fillId="0" borderId="1268" xfId="0" applyNumberFormat="1" applyFont="1" applyBorder="1" applyAlignment="1">
      <alignment horizontal="center" vertical="center" wrapText="1"/>
    </xf>
    <xf numFmtId="1" fontId="32" fillId="0" borderId="1404" xfId="0" applyNumberFormat="1" applyFont="1" applyBorder="1" applyAlignment="1">
      <alignment horizontal="center" vertical="center" wrapText="1"/>
    </xf>
    <xf numFmtId="1" fontId="32" fillId="0" borderId="907" xfId="0" applyNumberFormat="1" applyFont="1" applyBorder="1" applyAlignment="1">
      <alignment horizontal="center" vertical="center"/>
    </xf>
    <xf numFmtId="1" fontId="32" fillId="0" borderId="914" xfId="0" applyNumberFormat="1" applyFont="1" applyBorder="1" applyAlignment="1">
      <alignment horizontal="center" vertical="center"/>
    </xf>
    <xf numFmtId="1" fontId="32" fillId="0" borderId="913" xfId="0" applyNumberFormat="1" applyFont="1" applyBorder="1" applyAlignment="1">
      <alignment horizontal="center" vertical="center"/>
    </xf>
    <xf numFmtId="1" fontId="32" fillId="0" borderId="2344" xfId="0" applyNumberFormat="1" applyFont="1" applyBorder="1" applyAlignment="1">
      <alignment horizontal="center" vertical="center" wrapText="1"/>
    </xf>
    <xf numFmtId="1" fontId="32" fillId="0" borderId="2324" xfId="0" applyNumberFormat="1" applyFont="1" applyBorder="1" applyAlignment="1">
      <alignment horizontal="center" vertical="center" wrapText="1"/>
    </xf>
    <xf numFmtId="1" fontId="32" fillId="0" borderId="2325" xfId="0" applyNumberFormat="1" applyFont="1" applyBorder="1" applyAlignment="1">
      <alignment horizontal="center" vertical="center" wrapText="1"/>
    </xf>
    <xf numFmtId="1" fontId="32" fillId="0" borderId="129" xfId="0" applyNumberFormat="1" applyFont="1" applyBorder="1" applyAlignment="1">
      <alignment horizontal="center" vertical="center" wrapText="1"/>
    </xf>
    <xf numFmtId="1" fontId="32" fillId="0" borderId="950" xfId="0" applyNumberFormat="1" applyFont="1" applyBorder="1" applyAlignment="1">
      <alignment horizontal="center" vertical="center"/>
    </xf>
    <xf numFmtId="1" fontId="32" fillId="0" borderId="945" xfId="0" applyNumberFormat="1" applyFont="1" applyBorder="1" applyAlignment="1">
      <alignment horizontal="center" vertical="center"/>
    </xf>
    <xf numFmtId="1" fontId="32" fillId="3" borderId="832" xfId="0" applyNumberFormat="1" applyFont="1" applyFill="1" applyBorder="1" applyAlignment="1">
      <alignment horizontal="center" vertical="center" wrapText="1"/>
    </xf>
    <xf numFmtId="1" fontId="32" fillId="3" borderId="880" xfId="0" applyNumberFormat="1" applyFont="1" applyFill="1" applyBorder="1" applyAlignment="1">
      <alignment horizontal="center" vertical="center" wrapText="1"/>
    </xf>
    <xf numFmtId="1" fontId="32" fillId="0" borderId="931" xfId="0" applyNumberFormat="1" applyFont="1" applyBorder="1" applyAlignment="1">
      <alignment horizontal="center" vertical="center" wrapText="1"/>
    </xf>
    <xf numFmtId="1" fontId="32" fillId="0" borderId="759" xfId="0" applyNumberFormat="1" applyFont="1" applyBorder="1" applyAlignment="1">
      <alignment horizontal="center" vertical="center" wrapText="1"/>
    </xf>
    <xf numFmtId="1" fontId="32" fillId="0" borderId="883" xfId="0" applyNumberFormat="1" applyFont="1" applyBorder="1" applyAlignment="1">
      <alignment horizontal="center" vertical="center" wrapText="1"/>
    </xf>
    <xf numFmtId="1" fontId="32" fillId="0" borderId="2115" xfId="0" applyNumberFormat="1" applyFont="1" applyBorder="1" applyAlignment="1">
      <alignment horizontal="center" vertical="center" wrapText="1"/>
    </xf>
    <xf numFmtId="1" fontId="32" fillId="0" borderId="1824" xfId="0" applyNumberFormat="1" applyFont="1" applyBorder="1" applyAlignment="1">
      <alignment horizontal="center" vertical="center" wrapText="1"/>
    </xf>
    <xf numFmtId="1" fontId="32" fillId="0" borderId="2111" xfId="0" applyNumberFormat="1" applyFont="1" applyBorder="1" applyAlignment="1">
      <alignment horizontal="center" vertical="center" wrapText="1"/>
    </xf>
    <xf numFmtId="1" fontId="32" fillId="0" borderId="1694" xfId="0" applyNumberFormat="1" applyFont="1" applyBorder="1" applyAlignment="1">
      <alignment horizontal="center" vertical="center" wrapText="1"/>
    </xf>
    <xf numFmtId="1" fontId="32" fillId="14" borderId="984" xfId="0" applyNumberFormat="1" applyFont="1" applyFill="1" applyBorder="1" applyAlignment="1">
      <alignment horizontal="center" vertical="center" wrapText="1"/>
    </xf>
    <xf numFmtId="1" fontId="32" fillId="14" borderId="510" xfId="0" applyNumberFormat="1" applyFont="1" applyFill="1" applyBorder="1" applyAlignment="1">
      <alignment horizontal="center" vertical="center" wrapText="1"/>
    </xf>
    <xf numFmtId="1" fontId="32" fillId="14" borderId="725" xfId="0" applyNumberFormat="1" applyFont="1" applyFill="1" applyBorder="1" applyAlignment="1">
      <alignment horizontal="center" vertical="center" wrapText="1"/>
    </xf>
    <xf numFmtId="1" fontId="32" fillId="0" borderId="951" xfId="0" applyNumberFormat="1" applyFont="1" applyBorder="1" applyAlignment="1">
      <alignment horizontal="center" vertical="center"/>
    </xf>
    <xf numFmtId="1" fontId="32" fillId="0" borderId="941" xfId="0" applyNumberFormat="1" applyFont="1" applyBorder="1" applyAlignment="1">
      <alignment horizontal="center" vertical="center"/>
    </xf>
    <xf numFmtId="1" fontId="32" fillId="0" borderId="996" xfId="0" applyNumberFormat="1" applyFont="1" applyBorder="1" applyAlignment="1">
      <alignment horizontal="center" vertical="center"/>
    </xf>
    <xf numFmtId="1" fontId="32" fillId="0" borderId="997" xfId="0" applyNumberFormat="1" applyFont="1" applyBorder="1" applyAlignment="1">
      <alignment horizontal="center" vertical="center"/>
    </xf>
    <xf numFmtId="1" fontId="70" fillId="14" borderId="984" xfId="0" applyNumberFormat="1" applyFont="1" applyFill="1" applyBorder="1" applyAlignment="1">
      <alignment horizontal="center" vertical="center" wrapText="1"/>
    </xf>
    <xf numFmtId="1" fontId="70" fillId="14" borderId="510" xfId="0" applyNumberFormat="1" applyFont="1" applyFill="1" applyBorder="1" applyAlignment="1">
      <alignment horizontal="center" vertical="center" wrapText="1"/>
    </xf>
    <xf numFmtId="1" fontId="70" fillId="14" borderId="725" xfId="0" applyNumberFormat="1" applyFont="1" applyFill="1" applyBorder="1" applyAlignment="1">
      <alignment horizontal="center" vertical="center" wrapText="1"/>
    </xf>
    <xf numFmtId="0" fontId="32" fillId="0" borderId="428" xfId="0" applyFont="1" applyBorder="1" applyAlignment="1">
      <alignment horizontal="center" vertical="center" wrapText="1"/>
    </xf>
    <xf numFmtId="0" fontId="32" fillId="0" borderId="880" xfId="0" applyFont="1" applyBorder="1" applyAlignment="1">
      <alignment horizontal="center" vertical="center" wrapText="1"/>
    </xf>
    <xf numFmtId="0" fontId="32" fillId="0" borderId="832" xfId="0" applyFont="1" applyBorder="1" applyAlignment="1">
      <alignment horizontal="center" vertical="center" wrapText="1"/>
    </xf>
    <xf numFmtId="0" fontId="32" fillId="0" borderId="907" xfId="0" applyFont="1" applyBorder="1" applyAlignment="1">
      <alignment horizontal="center" vertical="center"/>
    </xf>
    <xf numFmtId="0" fontId="32" fillId="0" borderId="942" xfId="0" applyFont="1" applyBorder="1" applyAlignment="1">
      <alignment horizontal="center" vertical="center"/>
    </xf>
    <xf numFmtId="0" fontId="32" fillId="0" borderId="996" xfId="0" applyFont="1" applyBorder="1" applyAlignment="1">
      <alignment horizontal="center"/>
    </xf>
    <xf numFmtId="0" fontId="32" fillId="0" borderId="1000" xfId="0" applyFont="1" applyBorder="1" applyAlignment="1">
      <alignment horizontal="center"/>
    </xf>
    <xf numFmtId="0" fontId="32" fillId="0" borderId="997" xfId="0" applyFont="1" applyBorder="1" applyAlignment="1">
      <alignment horizontal="center"/>
    </xf>
    <xf numFmtId="1" fontId="32" fillId="0" borderId="1550" xfId="0" applyNumberFormat="1" applyFont="1" applyBorder="1" applyAlignment="1">
      <alignment horizontal="center" vertical="center"/>
    </xf>
    <xf numFmtId="0" fontId="32" fillId="0" borderId="1517" xfId="0" applyFont="1" applyBorder="1" applyAlignment="1">
      <alignment horizontal="center" vertical="center" wrapText="1"/>
    </xf>
    <xf numFmtId="0" fontId="32" fillId="0" borderId="1518" xfId="0" applyFont="1" applyBorder="1" applyAlignment="1">
      <alignment horizontal="center" vertical="center" wrapText="1"/>
    </xf>
    <xf numFmtId="0" fontId="32" fillId="0" borderId="1519" xfId="0" applyFont="1" applyBorder="1" applyAlignment="1">
      <alignment horizontal="center" vertical="center" wrapText="1"/>
    </xf>
    <xf numFmtId="1" fontId="32" fillId="0" borderId="832" xfId="0" applyNumberFormat="1" applyFont="1" applyBorder="1" applyAlignment="1">
      <alignment horizontal="center" vertical="center"/>
    </xf>
    <xf numFmtId="1" fontId="32" fillId="0" borderId="880" xfId="0" applyNumberFormat="1" applyFont="1" applyBorder="1" applyAlignment="1">
      <alignment horizontal="center" vertical="center"/>
    </xf>
    <xf numFmtId="1" fontId="32" fillId="0" borderId="835" xfId="0" applyNumberFormat="1" applyFont="1" applyBorder="1" applyAlignment="1">
      <alignment horizontal="center" vertical="center" wrapText="1"/>
    </xf>
    <xf numFmtId="1" fontId="32" fillId="0" borderId="724" xfId="0" applyNumberFormat="1" applyFont="1" applyBorder="1" applyAlignment="1">
      <alignment horizontal="center" vertical="center" wrapText="1"/>
    </xf>
    <xf numFmtId="1" fontId="32" fillId="0" borderId="996" xfId="0" applyNumberFormat="1" applyFont="1" applyBorder="1" applyAlignment="1">
      <alignment horizontal="center" vertical="center" wrapText="1"/>
    </xf>
    <xf numFmtId="1" fontId="32" fillId="0" borderId="832" xfId="0" applyNumberFormat="1" applyFont="1" applyBorder="1" applyAlignment="1">
      <alignment horizontal="center" vertical="center" wrapText="1"/>
    </xf>
    <xf numFmtId="1" fontId="32" fillId="0" borderId="942" xfId="0" applyNumberFormat="1" applyFont="1" applyBorder="1" applyAlignment="1">
      <alignment horizontal="center" vertical="center"/>
    </xf>
    <xf numFmtId="1" fontId="32" fillId="0" borderId="889" xfId="0" applyNumberFormat="1" applyFont="1" applyBorder="1" applyAlignment="1">
      <alignment horizontal="center" vertical="center"/>
    </xf>
    <xf numFmtId="1" fontId="32" fillId="14" borderId="907" xfId="0" applyNumberFormat="1" applyFont="1" applyFill="1" applyBorder="1" applyAlignment="1">
      <alignment horizontal="center" vertical="center" wrapText="1"/>
    </xf>
    <xf numFmtId="1" fontId="32" fillId="14" borderId="942" xfId="0" applyNumberFormat="1" applyFont="1" applyFill="1" applyBorder="1" applyAlignment="1">
      <alignment horizontal="center" vertical="center" wrapText="1"/>
    </xf>
    <xf numFmtId="1" fontId="32" fillId="14" borderId="941" xfId="0" applyNumberFormat="1" applyFont="1" applyFill="1" applyBorder="1" applyAlignment="1">
      <alignment horizontal="center" vertical="center" wrapText="1"/>
    </xf>
    <xf numFmtId="1" fontId="32" fillId="0" borderId="941" xfId="0" applyNumberFormat="1" applyFont="1" applyBorder="1" applyAlignment="1">
      <alignment horizontal="center" vertical="center" wrapText="1"/>
    </xf>
    <xf numFmtId="0" fontId="32" fillId="0" borderId="887" xfId="0" applyFont="1" applyBorder="1" applyAlignment="1">
      <alignment horizontal="center" vertical="center"/>
    </xf>
    <xf numFmtId="0" fontId="32" fillId="0" borderId="510" xfId="0" applyFont="1" applyBorder="1" applyAlignment="1">
      <alignment horizontal="center" vertical="center"/>
    </xf>
    <xf numFmtId="0" fontId="32" fillId="0" borderId="725" xfId="0" applyFont="1" applyBorder="1" applyAlignment="1">
      <alignment horizontal="center" vertical="center"/>
    </xf>
    <xf numFmtId="1" fontId="32" fillId="14" borderId="832" xfId="0" applyNumberFormat="1" applyFont="1" applyFill="1" applyBorder="1" applyAlignment="1" applyProtection="1">
      <alignment horizontal="center" vertical="center" wrapText="1"/>
      <protection hidden="1"/>
    </xf>
    <xf numFmtId="1" fontId="32" fillId="14" borderId="428" xfId="0" applyNumberFormat="1" applyFont="1" applyFill="1" applyBorder="1" applyAlignment="1" applyProtection="1">
      <alignment horizontal="center" vertical="center" wrapText="1"/>
      <protection hidden="1"/>
    </xf>
    <xf numFmtId="1" fontId="32" fillId="14" borderId="880" xfId="0" applyNumberFormat="1" applyFont="1" applyFill="1" applyBorder="1" applyAlignment="1" applyProtection="1">
      <alignment horizontal="center" vertical="center" wrapText="1"/>
      <protection hidden="1"/>
    </xf>
    <xf numFmtId="1" fontId="32" fillId="14" borderId="889" xfId="0" applyNumberFormat="1" applyFont="1" applyFill="1" applyBorder="1" applyAlignment="1">
      <alignment horizontal="center" vertical="center" wrapText="1"/>
    </xf>
    <xf numFmtId="1" fontId="32" fillId="14" borderId="835" xfId="0" applyNumberFormat="1" applyFont="1" applyFill="1" applyBorder="1" applyAlignment="1">
      <alignment horizontal="center" vertical="center" wrapText="1"/>
    </xf>
    <xf numFmtId="1" fontId="32" fillId="14" borderId="887" xfId="0" applyNumberFormat="1" applyFont="1" applyFill="1" applyBorder="1" applyAlignment="1">
      <alignment horizontal="center" vertical="center" wrapText="1"/>
    </xf>
    <xf numFmtId="1" fontId="32" fillId="14" borderId="861" xfId="0" applyNumberFormat="1" applyFont="1" applyFill="1" applyBorder="1" applyAlignment="1">
      <alignment horizontal="center" vertical="center" wrapText="1"/>
    </xf>
    <xf numFmtId="1" fontId="32" fillId="14" borderId="724" xfId="0" applyNumberFormat="1" applyFont="1" applyFill="1" applyBorder="1" applyAlignment="1">
      <alignment horizontal="center" vertical="center" wrapText="1"/>
    </xf>
    <xf numFmtId="0" fontId="32" fillId="0" borderId="907" xfId="0" applyFont="1" applyBorder="1" applyAlignment="1">
      <alignment horizontal="center"/>
    </xf>
    <xf numFmtId="0" fontId="32" fillId="0" borderId="942" xfId="0" applyFont="1" applyBorder="1" applyAlignment="1">
      <alignment horizontal="center"/>
    </xf>
    <xf numFmtId="0" fontId="32" fillId="0" borderId="941" xfId="0" applyFont="1" applyBorder="1" applyAlignment="1">
      <alignment horizontal="center"/>
    </xf>
    <xf numFmtId="1" fontId="32" fillId="14" borderId="907" xfId="0" applyNumberFormat="1" applyFont="1" applyFill="1" applyBorder="1" applyAlignment="1">
      <alignment horizontal="center" vertical="top"/>
    </xf>
    <xf numFmtId="1" fontId="32" fillId="14" borderId="942" xfId="0" applyNumberFormat="1" applyFont="1" applyFill="1" applyBorder="1" applyAlignment="1">
      <alignment horizontal="center" vertical="top"/>
    </xf>
    <xf numFmtId="1" fontId="32" fillId="14" borderId="941" xfId="0" applyNumberFormat="1" applyFont="1" applyFill="1" applyBorder="1" applyAlignment="1">
      <alignment horizontal="center" vertical="top"/>
    </xf>
    <xf numFmtId="0" fontId="32" fillId="14" borderId="832" xfId="0" applyFont="1" applyFill="1" applyBorder="1" applyAlignment="1" applyProtection="1">
      <alignment horizontal="center" vertical="center" wrapText="1"/>
      <protection locked="0"/>
    </xf>
    <xf numFmtId="0" fontId="32" fillId="14" borderId="880" xfId="0" applyFont="1" applyFill="1" applyBorder="1" applyAlignment="1" applyProtection="1">
      <alignment horizontal="center" vertical="center" wrapText="1"/>
      <protection locked="0"/>
    </xf>
    <xf numFmtId="0" fontId="32" fillId="14" borderId="908" xfId="0" applyFont="1" applyFill="1" applyBorder="1" applyAlignment="1" applyProtection="1">
      <alignment horizontal="center" vertical="center" wrapText="1"/>
      <protection locked="0"/>
    </xf>
    <xf numFmtId="0" fontId="32" fillId="14" borderId="907" xfId="0" applyFont="1" applyFill="1" applyBorder="1" applyAlignment="1" applyProtection="1">
      <alignment horizontal="center" vertical="center" wrapText="1"/>
      <protection locked="0"/>
    </xf>
    <xf numFmtId="0" fontId="32" fillId="14" borderId="941" xfId="0" applyFont="1" applyFill="1" applyBorder="1" applyAlignment="1" applyProtection="1">
      <alignment horizontal="center" vertical="center" wrapText="1"/>
      <protection locked="0"/>
    </xf>
    <xf numFmtId="0" fontId="32" fillId="14" borderId="907" xfId="0" applyFont="1" applyFill="1" applyBorder="1" applyAlignment="1" applyProtection="1">
      <alignment horizontal="center" wrapText="1"/>
      <protection locked="0"/>
    </xf>
    <xf numFmtId="0" fontId="32" fillId="14" borderId="942" xfId="0" applyFont="1" applyFill="1" applyBorder="1" applyAlignment="1" applyProtection="1">
      <alignment horizontal="center" wrapText="1"/>
      <protection locked="0"/>
    </xf>
    <xf numFmtId="0" fontId="32" fillId="14" borderId="941" xfId="0" applyFont="1" applyFill="1" applyBorder="1" applyAlignment="1" applyProtection="1">
      <alignment horizontal="center" wrapText="1"/>
      <protection locked="0"/>
    </xf>
    <xf numFmtId="0" fontId="70" fillId="14" borderId="908" xfId="0" applyFont="1" applyFill="1" applyBorder="1" applyAlignment="1" applyProtection="1">
      <alignment horizontal="center" vertical="center" wrapText="1"/>
      <protection locked="0"/>
    </xf>
    <xf numFmtId="0" fontId="32" fillId="14" borderId="887" xfId="0" applyFont="1" applyFill="1" applyBorder="1" applyAlignment="1" applyProtection="1">
      <alignment horizontal="center" vertical="center" wrapText="1"/>
      <protection locked="0"/>
    </xf>
    <xf numFmtId="0" fontId="32" fillId="14" borderId="725" xfId="0" applyFont="1" applyFill="1" applyBorder="1" applyAlignment="1" applyProtection="1">
      <alignment horizontal="center" vertical="center" wrapText="1"/>
      <protection locked="0"/>
    </xf>
    <xf numFmtId="1" fontId="65" fillId="3" borderId="0" xfId="0" applyNumberFormat="1" applyFont="1" applyFill="1" applyAlignment="1">
      <alignment horizontal="center" vertical="center" wrapText="1"/>
    </xf>
    <xf numFmtId="1" fontId="32" fillId="0" borderId="908" xfId="0" applyNumberFormat="1" applyFont="1" applyBorder="1" applyAlignment="1">
      <alignment horizontal="center" vertical="center" wrapText="1"/>
    </xf>
    <xf numFmtId="1" fontId="32" fillId="0" borderId="915" xfId="0" applyNumberFormat="1" applyFont="1" applyBorder="1" applyAlignment="1">
      <alignment horizontal="center" vertical="center" wrapText="1"/>
    </xf>
    <xf numFmtId="1" fontId="70" fillId="0" borderId="832" xfId="0" applyNumberFormat="1" applyFont="1" applyBorder="1" applyAlignment="1">
      <alignment horizontal="center" vertical="center"/>
    </xf>
    <xf numFmtId="1" fontId="70" fillId="0" borderId="428" xfId="0" applyNumberFormat="1" applyFont="1" applyBorder="1" applyAlignment="1">
      <alignment horizontal="center" vertical="center"/>
    </xf>
    <xf numFmtId="1" fontId="70" fillId="0" borderId="880" xfId="0" applyNumberFormat="1" applyFont="1" applyBorder="1" applyAlignment="1">
      <alignment horizontal="center" vertical="center"/>
    </xf>
    <xf numFmtId="1" fontId="32" fillId="0" borderId="1000" xfId="0" applyNumberFormat="1" applyFont="1" applyBorder="1" applyAlignment="1">
      <alignment horizontal="center" vertical="center"/>
    </xf>
    <xf numFmtId="1" fontId="32" fillId="0" borderId="910" xfId="0" applyNumberFormat="1" applyFont="1" applyBorder="1" applyAlignment="1">
      <alignment horizontal="center" vertical="center" wrapText="1"/>
    </xf>
    <xf numFmtId="1" fontId="32" fillId="0" borderId="912" xfId="0" applyNumberFormat="1" applyFont="1" applyBorder="1" applyAlignment="1">
      <alignment horizontal="center" vertical="center" wrapText="1"/>
    </xf>
    <xf numFmtId="1" fontId="32" fillId="0" borderId="992" xfId="0" applyNumberFormat="1" applyFont="1" applyBorder="1" applyAlignment="1">
      <alignment horizontal="center" vertical="center" wrapText="1"/>
    </xf>
    <xf numFmtId="1" fontId="32" fillId="0" borderId="1539" xfId="0" applyNumberFormat="1" applyFont="1" applyBorder="1" applyAlignment="1">
      <alignment horizontal="center" vertical="center" wrapText="1"/>
    </xf>
    <xf numFmtId="1" fontId="32" fillId="0" borderId="376" xfId="0" applyNumberFormat="1" applyFont="1" applyBorder="1" applyAlignment="1">
      <alignment horizontal="center" vertical="center" wrapText="1"/>
    </xf>
    <xf numFmtId="1" fontId="32" fillId="0" borderId="613" xfId="0" applyNumberFormat="1" applyFont="1" applyBorder="1" applyAlignment="1">
      <alignment horizontal="left" vertical="center"/>
    </xf>
    <xf numFmtId="1" fontId="32" fillId="0" borderId="424" xfId="0" applyNumberFormat="1" applyFont="1" applyBorder="1" applyAlignment="1">
      <alignment horizontal="left" vertical="center"/>
    </xf>
    <xf numFmtId="1" fontId="32" fillId="0" borderId="901" xfId="0" applyNumberFormat="1" applyFont="1" applyBorder="1" applyAlignment="1">
      <alignment horizontal="left" vertical="center"/>
    </xf>
    <xf numFmtId="1" fontId="32" fillId="0" borderId="903" xfId="0" applyNumberFormat="1" applyFont="1" applyBorder="1" applyAlignment="1">
      <alignment horizontal="left" vertical="center"/>
    </xf>
    <xf numFmtId="1" fontId="32" fillId="0" borderId="901" xfId="0" applyNumberFormat="1" applyFont="1" applyBorder="1" applyAlignment="1">
      <alignment horizontal="left" vertical="center" shrinkToFit="1"/>
    </xf>
    <xf numFmtId="1" fontId="32" fillId="0" borderId="903" xfId="0" applyNumberFormat="1" applyFont="1" applyBorder="1" applyAlignment="1">
      <alignment horizontal="left" vertical="center" shrinkToFit="1"/>
    </xf>
    <xf numFmtId="1" fontId="32" fillId="0" borderId="923" xfId="0" applyNumberFormat="1" applyFont="1" applyBorder="1" applyAlignment="1">
      <alignment horizontal="left" vertical="center"/>
    </xf>
    <xf numFmtId="1" fontId="32" fillId="0" borderId="674" xfId="0" applyNumberFormat="1" applyFont="1" applyBorder="1" applyAlignment="1">
      <alignment horizontal="left" vertical="center"/>
    </xf>
    <xf numFmtId="1" fontId="32" fillId="0" borderId="889" xfId="0" applyNumberFormat="1" applyFont="1" applyBorder="1" applyAlignment="1">
      <alignment horizontal="left" vertical="center"/>
    </xf>
    <xf numFmtId="1" fontId="32" fillId="0" borderId="887" xfId="0" applyNumberFormat="1" applyFont="1" applyBorder="1" applyAlignment="1">
      <alignment horizontal="left" vertical="center"/>
    </xf>
    <xf numFmtId="1" fontId="32" fillId="0" borderId="835" xfId="0" applyNumberFormat="1" applyFont="1" applyBorder="1" applyAlignment="1">
      <alignment horizontal="center" vertical="center"/>
    </xf>
    <xf numFmtId="1" fontId="32" fillId="0" borderId="1014" xfId="0" applyNumberFormat="1" applyFont="1" applyBorder="1" applyAlignment="1">
      <alignment horizontal="center" vertical="center" wrapText="1"/>
    </xf>
    <xf numFmtId="1" fontId="32" fillId="0" borderId="1545" xfId="0" applyNumberFormat="1" applyFont="1" applyBorder="1" applyAlignment="1">
      <alignment horizontal="center" vertical="center" wrapText="1"/>
    </xf>
    <xf numFmtId="1" fontId="32" fillId="0" borderId="506" xfId="0" applyNumberFormat="1" applyFont="1" applyBorder="1" applyAlignment="1">
      <alignment horizontal="center" vertical="center" wrapText="1"/>
    </xf>
    <xf numFmtId="1" fontId="32" fillId="0" borderId="1517" xfId="0" applyNumberFormat="1" applyFont="1" applyBorder="1" applyAlignment="1">
      <alignment horizontal="center" vertical="center"/>
    </xf>
    <xf numFmtId="1" fontId="32" fillId="0" borderId="1518" xfId="0" applyNumberFormat="1" applyFont="1" applyBorder="1" applyAlignment="1">
      <alignment horizontal="center" vertical="center"/>
    </xf>
    <xf numFmtId="1" fontId="32" fillId="0" borderId="1519" xfId="0" applyNumberFormat="1" applyFont="1" applyBorder="1" applyAlignment="1">
      <alignment horizontal="center" vertical="center"/>
    </xf>
    <xf numFmtId="1" fontId="32" fillId="0" borderId="1249" xfId="0" applyNumberFormat="1" applyFont="1" applyBorder="1" applyAlignment="1" applyProtection="1">
      <alignment horizontal="center" vertical="center" wrapText="1"/>
      <protection hidden="1"/>
    </xf>
    <xf numFmtId="1" fontId="32" fillId="0" borderId="1520" xfId="0" applyNumberFormat="1" applyFont="1" applyBorder="1" applyAlignment="1" applyProtection="1">
      <alignment horizontal="center" vertical="center" wrapText="1"/>
      <protection hidden="1"/>
    </xf>
    <xf numFmtId="164" fontId="32" fillId="14" borderId="908" xfId="6" applyNumberFormat="1" applyFont="1" applyFill="1" applyBorder="1" applyAlignment="1">
      <alignment horizontal="center"/>
    </xf>
    <xf numFmtId="164" fontId="32" fillId="14" borderId="921" xfId="6" applyNumberFormat="1" applyFont="1" applyFill="1" applyBorder="1" applyAlignment="1">
      <alignment horizontal="center"/>
    </xf>
    <xf numFmtId="1" fontId="32" fillId="0" borderId="1517" xfId="0" applyNumberFormat="1" applyFont="1" applyBorder="1" applyAlignment="1">
      <alignment horizontal="center" vertical="center" wrapText="1"/>
    </xf>
    <xf numFmtId="1" fontId="32" fillId="0" borderId="1518" xfId="0" applyNumberFormat="1" applyFont="1" applyBorder="1" applyAlignment="1">
      <alignment horizontal="center" vertical="center" wrapText="1"/>
    </xf>
    <xf numFmtId="1" fontId="32" fillId="0" borderId="1519" xfId="0" applyNumberFormat="1" applyFont="1" applyBorder="1" applyAlignment="1">
      <alignment horizontal="center" vertical="center" wrapText="1"/>
    </xf>
    <xf numFmtId="1" fontId="32" fillId="0" borderId="1523" xfId="0" applyNumberFormat="1" applyFont="1" applyBorder="1" applyAlignment="1">
      <alignment horizontal="center" vertical="center" wrapText="1"/>
    </xf>
    <xf numFmtId="1" fontId="32" fillId="3" borderId="1268" xfId="0" applyNumberFormat="1" applyFont="1" applyFill="1" applyBorder="1" applyAlignment="1">
      <alignment horizontal="center" vertical="center" wrapText="1"/>
    </xf>
    <xf numFmtId="1" fontId="32" fillId="3" borderId="1520" xfId="0" applyNumberFormat="1" applyFont="1" applyFill="1" applyBorder="1" applyAlignment="1">
      <alignment horizontal="center" vertical="center" wrapText="1"/>
    </xf>
    <xf numFmtId="1" fontId="32" fillId="0" borderId="1536" xfId="0" applyNumberFormat="1" applyFont="1" applyBorder="1" applyAlignment="1">
      <alignment horizontal="center" vertical="center" wrapText="1"/>
    </xf>
    <xf numFmtId="1" fontId="32" fillId="0" borderId="1535" xfId="0" applyNumberFormat="1" applyFont="1" applyBorder="1" applyAlignment="1">
      <alignment horizontal="center" vertical="center" wrapText="1"/>
    </xf>
    <xf numFmtId="164" fontId="32" fillId="14" borderId="889" xfId="32" applyNumberFormat="1" applyFont="1" applyFill="1" applyBorder="1" applyAlignment="1" applyProtection="1">
      <alignment horizontal="center" vertical="center"/>
    </xf>
    <xf numFmtId="164" fontId="32" fillId="14" borderId="887" xfId="32" applyNumberFormat="1" applyFont="1" applyFill="1" applyBorder="1" applyAlignment="1" applyProtection="1">
      <alignment horizontal="center" vertical="center"/>
    </xf>
    <xf numFmtId="164" fontId="32" fillId="14" borderId="861" xfId="32" applyNumberFormat="1" applyFont="1" applyFill="1" applyBorder="1" applyAlignment="1" applyProtection="1">
      <alignment horizontal="center" vertical="center"/>
    </xf>
    <xf numFmtId="164" fontId="32" fillId="14" borderId="725" xfId="32" applyNumberFormat="1" applyFont="1" applyFill="1" applyBorder="1" applyAlignment="1" applyProtection="1">
      <alignment horizontal="center" vertical="center"/>
    </xf>
    <xf numFmtId="164" fontId="32" fillId="14" borderId="1615" xfId="32" applyNumberFormat="1" applyFont="1" applyFill="1" applyBorder="1" applyAlignment="1" applyProtection="1">
      <alignment horizontal="center" vertical="center"/>
    </xf>
    <xf numFmtId="164" fontId="32" fillId="14" borderId="428" xfId="32" applyNumberFormat="1" applyFont="1" applyFill="1" applyBorder="1" applyAlignment="1" applyProtection="1">
      <alignment horizontal="center" vertical="center"/>
    </xf>
    <xf numFmtId="164" fontId="32" fillId="14" borderId="1737" xfId="32" applyNumberFormat="1" applyFont="1" applyFill="1" applyBorder="1" applyAlignment="1" applyProtection="1">
      <alignment horizontal="center" vertical="center"/>
    </xf>
    <xf numFmtId="164" fontId="32" fillId="14" borderId="907" xfId="32" applyNumberFormat="1" applyFont="1" applyFill="1" applyBorder="1" applyAlignment="1" applyProtection="1">
      <alignment horizontal="center"/>
    </xf>
    <xf numFmtId="164" fontId="32" fillId="14" borderId="914" xfId="32" applyNumberFormat="1" applyFont="1" applyFill="1" applyBorder="1" applyAlignment="1" applyProtection="1">
      <alignment horizontal="center"/>
    </xf>
    <xf numFmtId="164" fontId="32" fillId="14" borderId="913" xfId="32" applyNumberFormat="1" applyFont="1" applyFill="1" applyBorder="1" applyAlignment="1" applyProtection="1">
      <alignment horizontal="center"/>
    </xf>
    <xf numFmtId="164" fontId="32" fillId="14" borderId="908" xfId="32" applyNumberFormat="1" applyFont="1" applyFill="1" applyBorder="1" applyAlignment="1" applyProtection="1">
      <alignment horizontal="center" vertical="center" wrapText="1"/>
    </xf>
    <xf numFmtId="164" fontId="32" fillId="14" borderId="913" xfId="6" applyNumberFormat="1" applyFont="1" applyFill="1" applyBorder="1" applyAlignment="1">
      <alignment horizontal="center" vertical="center"/>
    </xf>
    <xf numFmtId="164" fontId="32" fillId="14" borderId="908" xfId="6" applyNumberFormat="1" applyFont="1" applyFill="1" applyBorder="1" applyAlignment="1">
      <alignment horizontal="center" vertical="center"/>
    </xf>
    <xf numFmtId="1" fontId="32" fillId="0" borderId="1014" xfId="0" applyNumberFormat="1" applyFont="1" applyBorder="1" applyAlignment="1">
      <alignment horizontal="center" vertical="center"/>
    </xf>
    <xf numFmtId="1" fontId="32" fillId="0" borderId="2346" xfId="0" applyNumberFormat="1" applyFont="1" applyBorder="1" applyAlignment="1">
      <alignment horizontal="center" vertical="center" wrapText="1"/>
    </xf>
    <xf numFmtId="1" fontId="32" fillId="0" borderId="363" xfId="0" applyNumberFormat="1" applyFont="1" applyBorder="1" applyAlignment="1">
      <alignment horizontal="center" vertical="center" wrapText="1"/>
    </xf>
    <xf numFmtId="1" fontId="32" fillId="0" borderId="888" xfId="0" applyNumberFormat="1" applyFont="1" applyBorder="1" applyAlignment="1">
      <alignment horizontal="center" vertical="center" wrapText="1"/>
    </xf>
    <xf numFmtId="1" fontId="32" fillId="0" borderId="88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32" fillId="0" borderId="2436" xfId="0" applyNumberFormat="1" applyFont="1" applyBorder="1" applyAlignment="1">
      <alignment horizontal="center" vertical="center" wrapText="1"/>
    </xf>
    <xf numFmtId="0" fontId="32" fillId="0" borderId="1744" xfId="0" applyFont="1" applyBorder="1" applyAlignment="1">
      <alignment horizontal="center" vertical="center"/>
    </xf>
    <xf numFmtId="0" fontId="32" fillId="0" borderId="1745" xfId="0" applyFont="1" applyBorder="1" applyAlignment="1">
      <alignment horizontal="center" vertical="center"/>
    </xf>
    <xf numFmtId="0" fontId="32" fillId="0" borderId="1750" xfId="0" applyFont="1" applyBorder="1" applyAlignment="1">
      <alignment horizontal="center" vertical="center"/>
    </xf>
    <xf numFmtId="0" fontId="32" fillId="0" borderId="1751" xfId="0" applyFont="1" applyBorder="1" applyAlignment="1">
      <alignment horizontal="center" vertical="center"/>
    </xf>
    <xf numFmtId="1" fontId="32" fillId="0" borderId="1734" xfId="0" applyNumberFormat="1" applyFont="1" applyBorder="1" applyAlignment="1">
      <alignment horizontal="center" vertical="center" wrapText="1"/>
    </xf>
    <xf numFmtId="1" fontId="32" fillId="0" borderId="1726" xfId="0" applyNumberFormat="1" applyFont="1" applyBorder="1" applyAlignment="1">
      <alignment horizontal="center" vertical="center" wrapText="1"/>
    </xf>
    <xf numFmtId="1" fontId="32" fillId="0" borderId="2418" xfId="0" applyNumberFormat="1" applyFont="1" applyBorder="1" applyAlignment="1">
      <alignment horizontal="center" vertical="center"/>
    </xf>
    <xf numFmtId="1" fontId="32" fillId="0" borderId="2468" xfId="0" applyNumberFormat="1" applyFont="1" applyBorder="1" applyAlignment="1">
      <alignment horizontal="center" vertical="center"/>
    </xf>
    <xf numFmtId="1" fontId="32" fillId="0" borderId="1780" xfId="0" applyNumberFormat="1" applyFont="1" applyBorder="1" applyAlignment="1">
      <alignment horizontal="center" vertical="center"/>
    </xf>
    <xf numFmtId="1" fontId="32" fillId="0" borderId="1781" xfId="0" applyNumberFormat="1" applyFont="1" applyBorder="1" applyAlignment="1">
      <alignment horizontal="center" vertical="center"/>
    </xf>
    <xf numFmtId="1" fontId="32" fillId="0" borderId="1734" xfId="0" applyNumberFormat="1" applyFont="1" applyBorder="1" applyAlignment="1">
      <alignment horizontal="center" vertical="center"/>
    </xf>
    <xf numFmtId="0" fontId="67" fillId="0" borderId="2406" xfId="0" applyFont="1" applyBorder="1" applyAlignment="1">
      <alignment horizontal="center" vertical="center"/>
    </xf>
    <xf numFmtId="0" fontId="67" fillId="0" borderId="2406" xfId="0" applyFont="1" applyBorder="1"/>
    <xf numFmtId="0" fontId="67" fillId="0" borderId="2407" xfId="0" applyFont="1" applyBorder="1"/>
    <xf numFmtId="0" fontId="67" fillId="0" borderId="1750" xfId="0" applyFont="1" applyBorder="1"/>
    <xf numFmtId="0" fontId="67" fillId="0" borderId="2470" xfId="0" applyFont="1" applyBorder="1"/>
    <xf numFmtId="1" fontId="32" fillId="0" borderId="1787" xfId="0" applyNumberFormat="1" applyFont="1" applyBorder="1" applyAlignment="1">
      <alignment horizontal="center" vertical="center"/>
    </xf>
    <xf numFmtId="1" fontId="32" fillId="0" borderId="1788" xfId="0" applyNumberFormat="1" applyFont="1" applyBorder="1" applyAlignment="1">
      <alignment horizontal="center" vertical="center"/>
    </xf>
    <xf numFmtId="0" fontId="32" fillId="0" borderId="1746" xfId="0" applyFont="1" applyBorder="1" applyAlignment="1">
      <alignment horizontal="center" vertical="center"/>
    </xf>
    <xf numFmtId="0" fontId="67" fillId="0" borderId="1752" xfId="0" applyFont="1" applyBorder="1" applyAlignment="1">
      <alignment vertical="center"/>
    </xf>
    <xf numFmtId="0" fontId="32" fillId="0" borderId="1747" xfId="0" applyFont="1" applyBorder="1" applyAlignment="1">
      <alignment horizontal="center" vertical="center"/>
    </xf>
    <xf numFmtId="0" fontId="32" fillId="0" borderId="1752" xfId="0" applyFont="1" applyBorder="1" applyAlignment="1">
      <alignment horizontal="center" vertical="center"/>
    </xf>
    <xf numFmtId="0" fontId="32" fillId="0" borderId="1742" xfId="0" applyFont="1" applyBorder="1" applyAlignment="1">
      <alignment horizontal="center" vertical="center" wrapText="1"/>
    </xf>
    <xf numFmtId="0" fontId="32" fillId="0" borderId="1748" xfId="0" applyFont="1" applyBorder="1" applyAlignment="1">
      <alignment horizontal="center"/>
    </xf>
    <xf numFmtId="0" fontId="32" fillId="0" borderId="1753" xfId="0" applyFont="1" applyBorder="1" applyAlignment="1">
      <alignment horizontal="center"/>
    </xf>
    <xf numFmtId="0" fontId="32" fillId="0" borderId="1742" xfId="0" applyFont="1" applyBorder="1" applyAlignment="1">
      <alignment horizontal="center" vertical="center"/>
    </xf>
    <xf numFmtId="1" fontId="32" fillId="0" borderId="2465" xfId="0" applyNumberFormat="1" applyFont="1" applyBorder="1" applyAlignment="1">
      <alignment horizontal="center" vertical="center" wrapText="1"/>
    </xf>
    <xf numFmtId="0" fontId="67" fillId="0" borderId="2466" xfId="0" applyFont="1" applyBorder="1"/>
    <xf numFmtId="0" fontId="67" fillId="0" borderId="1749" xfId="0" applyFont="1" applyBorder="1"/>
    <xf numFmtId="0" fontId="67" fillId="0" borderId="1751" xfId="0" applyFont="1" applyBorder="1"/>
    <xf numFmtId="0" fontId="32" fillId="0" borderId="1748" xfId="0" applyFont="1" applyBorder="1" applyAlignment="1">
      <alignment horizontal="center" vertical="center"/>
    </xf>
    <xf numFmtId="0" fontId="32" fillId="0" borderId="1746" xfId="0" applyFont="1" applyBorder="1" applyAlignment="1">
      <alignment horizontal="center"/>
    </xf>
    <xf numFmtId="0" fontId="67" fillId="0" borderId="1747" xfId="0" applyFont="1" applyBorder="1"/>
    <xf numFmtId="0" fontId="67" fillId="0" borderId="1752" xfId="0" applyFont="1" applyBorder="1"/>
    <xf numFmtId="1" fontId="32" fillId="0" borderId="2467" xfId="0" applyNumberFormat="1" applyFont="1" applyBorder="1" applyAlignment="1">
      <alignment horizontal="center" vertical="center"/>
    </xf>
    <xf numFmtId="1" fontId="32" fillId="0" borderId="2435" xfId="0" applyNumberFormat="1" applyFont="1" applyBorder="1" applyAlignment="1">
      <alignment horizontal="center" vertical="center"/>
    </xf>
    <xf numFmtId="1" fontId="32" fillId="0" borderId="2467" xfId="0" applyNumberFormat="1" applyFont="1" applyBorder="1" applyAlignment="1">
      <alignment horizontal="center" vertical="center" wrapText="1"/>
    </xf>
    <xf numFmtId="1" fontId="32" fillId="0" borderId="1780" xfId="0" applyNumberFormat="1" applyFont="1" applyBorder="1" applyAlignment="1">
      <alignment horizontal="center" vertical="center" wrapText="1"/>
    </xf>
    <xf numFmtId="0" fontId="32" fillId="0" borderId="2464" xfId="0" applyFont="1" applyBorder="1" applyAlignment="1">
      <alignment horizontal="center" vertical="center"/>
    </xf>
    <xf numFmtId="0" fontId="32" fillId="0" borderId="2469" xfId="0" applyFont="1" applyBorder="1" applyAlignment="1">
      <alignment horizontal="center" vertical="center"/>
    </xf>
    <xf numFmtId="0" fontId="32" fillId="0" borderId="2471" xfId="0" applyFont="1" applyBorder="1" applyAlignment="1">
      <alignment horizontal="center" vertical="center"/>
    </xf>
    <xf numFmtId="0" fontId="67" fillId="0" borderId="1742" xfId="0" applyFont="1" applyBorder="1" applyAlignment="1">
      <alignment horizontal="center" vertical="center"/>
    </xf>
    <xf numFmtId="0" fontId="67" fillId="0" borderId="1748" xfId="0" applyFont="1" applyBorder="1" applyAlignment="1">
      <alignment horizontal="center" vertical="center"/>
    </xf>
    <xf numFmtId="0" fontId="67" fillId="0" borderId="1753" xfId="0" applyFont="1" applyBorder="1" applyAlignment="1">
      <alignment horizontal="center" vertical="center"/>
    </xf>
    <xf numFmtId="1" fontId="65" fillId="0" borderId="1743" xfId="0" applyNumberFormat="1" applyFont="1" applyBorder="1" applyAlignment="1">
      <alignment horizontal="center" vertical="center" wrapText="1"/>
    </xf>
    <xf numFmtId="1" fontId="65" fillId="0" borderId="1745" xfId="0" applyNumberFormat="1" applyFont="1" applyBorder="1" applyAlignment="1">
      <alignment horizontal="center" vertical="center" wrapText="1"/>
    </xf>
    <xf numFmtId="1" fontId="65" fillId="0" borderId="1756" xfId="0" applyNumberFormat="1" applyFont="1" applyBorder="1" applyAlignment="1">
      <alignment horizontal="center" vertical="center" wrapText="1"/>
    </xf>
    <xf numFmtId="1" fontId="65" fillId="0" borderId="1862" xfId="0" applyNumberFormat="1" applyFont="1" applyBorder="1" applyAlignment="1">
      <alignment horizontal="center" vertical="center" wrapText="1"/>
    </xf>
    <xf numFmtId="1" fontId="65" fillId="0" borderId="1749" xfId="0" applyNumberFormat="1" applyFont="1" applyBorder="1" applyAlignment="1">
      <alignment horizontal="center" vertical="center" wrapText="1"/>
    </xf>
    <xf numFmtId="1" fontId="65" fillId="0" borderId="1751" xfId="0" applyNumberFormat="1" applyFont="1" applyBorder="1" applyAlignment="1">
      <alignment horizontal="center" vertical="center" wrapText="1"/>
    </xf>
    <xf numFmtId="1" fontId="32" fillId="0" borderId="1743" xfId="0" applyNumberFormat="1" applyFont="1" applyBorder="1" applyAlignment="1">
      <alignment horizontal="center" vertical="center" wrapText="1"/>
    </xf>
    <xf numFmtId="0" fontId="67" fillId="0" borderId="1744" xfId="0" applyFont="1" applyBorder="1"/>
    <xf numFmtId="0" fontId="67" fillId="0" borderId="1745" xfId="0" applyFont="1" applyBorder="1"/>
    <xf numFmtId="0" fontId="29" fillId="0" borderId="2405" xfId="0" applyFont="1" applyBorder="1" applyAlignment="1" applyProtection="1">
      <alignment horizontal="center" vertical="center"/>
      <protection hidden="1"/>
    </xf>
    <xf numFmtId="0" fontId="29" fillId="0" borderId="2406" xfId="0" applyFont="1" applyBorder="1" applyAlignment="1" applyProtection="1">
      <alignment horizontal="center" vertical="center"/>
      <protection hidden="1"/>
    </xf>
    <xf numFmtId="0" fontId="29" fillId="0" borderId="2407" xfId="0" applyFont="1" applyBorder="1" applyAlignment="1" applyProtection="1">
      <alignment horizontal="center" vertical="center"/>
      <protection hidden="1"/>
    </xf>
    <xf numFmtId="0" fontId="28" fillId="0" borderId="416" xfId="0" applyFont="1" applyBorder="1" applyAlignment="1" applyProtection="1">
      <alignment horizontal="left" vertical="center"/>
      <protection hidden="1"/>
    </xf>
    <xf numFmtId="0" fontId="28" fillId="0" borderId="0" xfId="0" applyFont="1" applyAlignment="1" applyProtection="1">
      <alignment horizontal="left" vertical="center"/>
      <protection hidden="1"/>
    </xf>
    <xf numFmtId="0" fontId="28" fillId="0" borderId="510" xfId="0" applyFont="1" applyBorder="1" applyAlignment="1" applyProtection="1">
      <alignment horizontal="left" vertical="center"/>
      <protection hidden="1"/>
    </xf>
    <xf numFmtId="0" fontId="28" fillId="0" borderId="2445" xfId="0" applyFont="1" applyBorder="1" applyAlignment="1" applyProtection="1">
      <alignment horizontal="left" vertical="center"/>
      <protection hidden="1"/>
    </xf>
    <xf numFmtId="0" fontId="28" fillId="0" borderId="2440" xfId="0" applyFont="1" applyBorder="1" applyAlignment="1" applyProtection="1">
      <alignment horizontal="left" vertical="center"/>
      <protection hidden="1"/>
    </xf>
    <xf numFmtId="0" fontId="28" fillId="0" borderId="2439" xfId="0" applyFont="1" applyBorder="1" applyAlignment="1" applyProtection="1">
      <alignment horizontal="left" vertical="center"/>
      <protection hidden="1"/>
    </xf>
    <xf numFmtId="0" fontId="31" fillId="11" borderId="126" xfId="0" applyFont="1" applyFill="1" applyBorder="1" applyAlignment="1">
      <alignment horizontal="center" vertical="center" wrapText="1"/>
    </xf>
    <xf numFmtId="0" fontId="31" fillId="11" borderId="125" xfId="0" applyFont="1" applyFill="1" applyBorder="1" applyAlignment="1">
      <alignment horizontal="center" vertical="center" wrapText="1"/>
    </xf>
    <xf numFmtId="0" fontId="31" fillId="11" borderId="124" xfId="0" applyFont="1" applyFill="1" applyBorder="1" applyAlignment="1">
      <alignment horizontal="center" vertical="center" wrapText="1"/>
    </xf>
    <xf numFmtId="0" fontId="30" fillId="11" borderId="122" xfId="0" applyFont="1" applyFill="1" applyBorder="1" applyAlignment="1" applyProtection="1">
      <alignment horizontal="center" vertical="center" wrapText="1"/>
      <protection hidden="1"/>
    </xf>
    <xf numFmtId="0" fontId="30" fillId="11" borderId="116" xfId="0" applyFont="1" applyFill="1" applyBorder="1" applyAlignment="1" applyProtection="1">
      <alignment horizontal="center" vertical="center" wrapText="1"/>
      <protection hidden="1"/>
    </xf>
    <xf numFmtId="0" fontId="30" fillId="11" borderId="121" xfId="0" applyFont="1" applyFill="1" applyBorder="1" applyAlignment="1" applyProtection="1">
      <alignment horizontal="center" vertical="center" wrapText="1"/>
      <protection hidden="1"/>
    </xf>
    <xf numFmtId="0" fontId="30" fillId="11" borderId="120" xfId="0" applyFont="1" applyFill="1" applyBorder="1" applyAlignment="1" applyProtection="1">
      <alignment horizontal="center" vertical="center" wrapText="1"/>
      <protection hidden="1"/>
    </xf>
    <xf numFmtId="0" fontId="30" fillId="11" borderId="119" xfId="0" applyFont="1" applyFill="1" applyBorder="1" applyAlignment="1" applyProtection="1">
      <alignment horizontal="center" vertical="center" wrapText="1"/>
      <protection hidden="1"/>
    </xf>
    <xf numFmtId="0" fontId="30" fillId="11" borderId="118" xfId="0" applyFont="1" applyFill="1" applyBorder="1" applyAlignment="1" applyProtection="1">
      <alignment horizontal="center" vertical="center" wrapText="1"/>
      <protection hidden="1"/>
    </xf>
    <xf numFmtId="1" fontId="6" fillId="14" borderId="2418" xfId="0" applyNumberFormat="1" applyFont="1" applyFill="1" applyBorder="1" applyProtection="1"/>
    <xf numFmtId="1" fontId="6" fillId="14" borderId="2417" xfId="0" applyNumberFormat="1" applyFont="1" applyFill="1" applyBorder="1" applyProtection="1"/>
    <xf numFmtId="1" fontId="6" fillId="12" borderId="2420" xfId="0" applyNumberFormat="1" applyFont="1" applyFill="1" applyBorder="1" applyProtection="1"/>
    <xf numFmtId="1" fontId="6" fillId="12" borderId="2421" xfId="0" applyNumberFormat="1" applyFont="1" applyFill="1" applyBorder="1" applyProtection="1"/>
    <xf numFmtId="1" fontId="6" fillId="0" borderId="2405" xfId="0" applyNumberFormat="1" applyFont="1" applyBorder="1" applyProtection="1"/>
    <xf numFmtId="1" fontId="6" fillId="0" borderId="2260" xfId="0" applyNumberFormat="1" applyFont="1" applyBorder="1" applyProtection="1"/>
    <xf numFmtId="1" fontId="6" fillId="0" borderId="1498" xfId="0" applyNumberFormat="1" applyFont="1" applyBorder="1" applyProtection="1"/>
    <xf numFmtId="1" fontId="6" fillId="0" borderId="1844" xfId="0" applyNumberFormat="1" applyFont="1" applyBorder="1" applyProtection="1"/>
    <xf numFmtId="1" fontId="6" fillId="12" borderId="1498" xfId="0" applyNumberFormat="1" applyFont="1" applyFill="1" applyBorder="1" applyProtection="1"/>
    <xf numFmtId="1" fontId="6" fillId="12" borderId="2260" xfId="0" applyNumberFormat="1" applyFont="1" applyFill="1" applyBorder="1" applyProtection="1"/>
    <xf numFmtId="1" fontId="6" fillId="0" borderId="1836" xfId="0" applyNumberFormat="1" applyFont="1" applyBorder="1" applyProtection="1"/>
    <xf numFmtId="1" fontId="6" fillId="0" borderId="1494" xfId="0" applyNumberFormat="1" applyFont="1" applyBorder="1" applyProtection="1"/>
  </cellXfs>
  <cellStyles count="2528">
    <cellStyle name="20% - Énfasis1" xfId="21" builtinId="30"/>
    <cellStyle name="Bueno" xfId="2527" builtinId="26"/>
    <cellStyle name="Celda de comprobación" xfId="29" builtinId="23"/>
    <cellStyle name="Escribir 2" xfId="12" xr:uid="{00000000-0005-0000-0000-000002000000}"/>
    <cellStyle name="Escribir 2 10" xfId="87" xr:uid="{00000000-0005-0000-0000-000003000000}"/>
    <cellStyle name="Escribir 2 10 2" xfId="284" xr:uid="{15D995FE-0D33-46DC-896A-EE20B3671B55}"/>
    <cellStyle name="Escribir 2 10 2 2" xfId="718" xr:uid="{6AA49824-7011-4B38-ABE5-CEF60BFD8658}"/>
    <cellStyle name="Escribir 2 10 2 3" xfId="1134" xr:uid="{D83BE1B3-61C7-449D-8BE0-F0D83E1E4D66}"/>
    <cellStyle name="Escribir 2 10 2 4" xfId="1547" xr:uid="{22C9C73F-EC92-4A35-BFAF-CA46DDEC0A9D}"/>
    <cellStyle name="Escribir 2 10 2 5" xfId="1957" xr:uid="{208D4129-13FC-48A3-B91C-2B65E3A84297}"/>
    <cellStyle name="Escribir 2 10 2 6" xfId="2364" xr:uid="{8F123145-B65D-4A32-841C-B066EA57FAFA}"/>
    <cellStyle name="Escribir 2 10 3" xfId="521" xr:uid="{31508749-19D1-458E-8B83-866E9C7CC255}"/>
    <cellStyle name="Escribir 2 10 4" xfId="939" xr:uid="{4955CBD0-55BA-457B-A3EF-F4E8E6B0D1E2}"/>
    <cellStyle name="Escribir 2 10 5" xfId="1352" xr:uid="{4FA4C4CC-D291-4B43-9728-057CF08E9DD3}"/>
    <cellStyle name="Escribir 2 10 6" xfId="1763" xr:uid="{B129E43A-17F4-4F40-B88B-AD05082F0941}"/>
    <cellStyle name="Escribir 2 10 7" xfId="2171" xr:uid="{8157673B-BEB3-425F-9763-4DDD7CBC2EF4}"/>
    <cellStyle name="Escribir 2 11" xfId="99" xr:uid="{00000000-0005-0000-0000-000004000000}"/>
    <cellStyle name="Escribir 2 11 2" xfId="296" xr:uid="{C0661566-4C01-40B0-A43A-FB7907A1456C}"/>
    <cellStyle name="Escribir 2 11 2 2" xfId="730" xr:uid="{F642F97D-1B47-4499-8C04-68682451F2D4}"/>
    <cellStyle name="Escribir 2 11 2 3" xfId="1146" xr:uid="{2D92E357-5D34-44FE-9938-3D3F8823BA1D}"/>
    <cellStyle name="Escribir 2 11 2 4" xfId="1559" xr:uid="{F8D2C716-2896-4538-9C3C-2AA7C7A6A2E5}"/>
    <cellStyle name="Escribir 2 11 2 5" xfId="1969" xr:uid="{A4C35B7F-F9A1-4073-9726-BC9913CCE32B}"/>
    <cellStyle name="Escribir 2 11 2 6" xfId="2376" xr:uid="{70386415-8C1C-497B-8B9B-C7F67739988E}"/>
    <cellStyle name="Escribir 2 11 3" xfId="533" xr:uid="{49E74CB3-A89E-40E3-BE0D-54846FFC20C3}"/>
    <cellStyle name="Escribir 2 11 4" xfId="951" xr:uid="{B157748A-4A43-408C-8277-039302883C85}"/>
    <cellStyle name="Escribir 2 11 5" xfId="1364" xr:uid="{3E25F49F-B4B4-4518-9E96-17C9CF53B2CE}"/>
    <cellStyle name="Escribir 2 11 6" xfId="1775" xr:uid="{516069F5-A90E-445C-AC7E-BA7494914FAB}"/>
    <cellStyle name="Escribir 2 11 7" xfId="2183" xr:uid="{B82EC869-602B-46A0-B47E-95AEEC3C17D2}"/>
    <cellStyle name="Escribir 2 12" xfId="120" xr:uid="{00000000-0005-0000-0000-000005000000}"/>
    <cellStyle name="Escribir 2 12 2" xfId="317" xr:uid="{8FE594D8-21FD-4D31-988C-96CF699C8235}"/>
    <cellStyle name="Escribir 2 12 2 2" xfId="751" xr:uid="{B68E2F3D-D84A-4127-B2C0-E592DCDCE4DD}"/>
    <cellStyle name="Escribir 2 12 2 3" xfId="1167" xr:uid="{FEFB6916-E485-4887-9404-55EED4ADE034}"/>
    <cellStyle name="Escribir 2 12 2 4" xfId="1580" xr:uid="{376B7E0A-18E9-418B-A694-744A8CB4A6E5}"/>
    <cellStyle name="Escribir 2 12 2 5" xfId="1990" xr:uid="{39524EF6-1249-4E16-9618-75DC38EF6FB1}"/>
    <cellStyle name="Escribir 2 12 2 6" xfId="2397" xr:uid="{1D4C7E05-026D-4DF7-8625-4A7312D1CC97}"/>
    <cellStyle name="Escribir 2 12 3" xfId="554" xr:uid="{FB7CFAA8-65F2-4E6D-A0D1-EE4323C56949}"/>
    <cellStyle name="Escribir 2 12 4" xfId="972" xr:uid="{E75A9793-B641-4CAE-9E3C-C003B7D64620}"/>
    <cellStyle name="Escribir 2 12 5" xfId="1385" xr:uid="{ECDFB853-F510-4E88-9D5D-30BBB1F69512}"/>
    <cellStyle name="Escribir 2 12 6" xfId="1796" xr:uid="{C5444515-E789-4A0F-817C-DD31CDEE3DB3}"/>
    <cellStyle name="Escribir 2 12 7" xfId="2204" xr:uid="{E725EB68-6813-4E05-9913-BA58B0403176}"/>
    <cellStyle name="Escribir 2 13" xfId="130" xr:uid="{00000000-0005-0000-0000-000006000000}"/>
    <cellStyle name="Escribir 2 13 2" xfId="327" xr:uid="{A133219F-B572-4D35-86FB-AA2C3E2E8430}"/>
    <cellStyle name="Escribir 2 13 2 2" xfId="761" xr:uid="{CE4EC1D7-E420-4CAB-B548-6F0A4FF94CCD}"/>
    <cellStyle name="Escribir 2 13 2 3" xfId="1177" xr:uid="{D4065B0D-1FB9-44D8-831C-C65C9313DFA3}"/>
    <cellStyle name="Escribir 2 13 2 4" xfId="1590" xr:uid="{1259845B-C2C4-4689-80DC-D5E5285156D6}"/>
    <cellStyle name="Escribir 2 13 2 5" xfId="2000" xr:uid="{DDD61917-229C-4BFF-8471-E00EA4413C72}"/>
    <cellStyle name="Escribir 2 13 2 6" xfId="2407" xr:uid="{658A86C2-9703-42DF-A06E-280CB20B8563}"/>
    <cellStyle name="Escribir 2 13 3" xfId="564" xr:uid="{5DF94484-470B-4CAC-B899-E4229C0017A3}"/>
    <cellStyle name="Escribir 2 13 4" xfId="982" xr:uid="{BE98A79B-D261-4BF8-83D6-5022DAC8E1F6}"/>
    <cellStyle name="Escribir 2 13 5" xfId="1395" xr:uid="{D2B120EB-1DBD-4388-8670-97122FD01F25}"/>
    <cellStyle name="Escribir 2 13 6" xfId="1806" xr:uid="{D818F7CF-7041-4AC1-91C5-9FA9BEF03673}"/>
    <cellStyle name="Escribir 2 13 7" xfId="2214" xr:uid="{9FB8960E-9FB0-4DD4-9E0E-E702DF3A8EDE}"/>
    <cellStyle name="Escribir 2 14" xfId="137" xr:uid="{00000000-0005-0000-0000-000007000000}"/>
    <cellStyle name="Escribir 2 14 2" xfId="334" xr:uid="{5FA122CC-B625-4EF7-99EE-06BE74289335}"/>
    <cellStyle name="Escribir 2 14 2 2" xfId="768" xr:uid="{77A2F770-2AA4-4C01-A7F7-9106408C7180}"/>
    <cellStyle name="Escribir 2 14 2 3" xfId="1184" xr:uid="{4F14E39C-4A80-4179-8AB6-4CD75C722BC6}"/>
    <cellStyle name="Escribir 2 14 2 4" xfId="1597" xr:uid="{7BD56BED-D02F-414E-B83F-F421E1374843}"/>
    <cellStyle name="Escribir 2 14 2 5" xfId="2007" xr:uid="{5046F3E7-49D0-4E0D-B874-D37284961017}"/>
    <cellStyle name="Escribir 2 14 2 6" xfId="2414" xr:uid="{B73186CC-E6D3-48AF-9C8D-000548F735A6}"/>
    <cellStyle name="Escribir 2 14 3" xfId="571" xr:uid="{A53F2560-F5AA-4024-AB0D-EDA760CC054B}"/>
    <cellStyle name="Escribir 2 14 4" xfId="989" xr:uid="{B5B38822-ABA2-498E-BFE3-232907001779}"/>
    <cellStyle name="Escribir 2 14 5" xfId="1402" xr:uid="{C0EB628A-B7E4-4B53-B80B-291396BCA7E6}"/>
    <cellStyle name="Escribir 2 14 6" xfId="1813" xr:uid="{05ED33BD-428F-4354-AAC2-ECA99CD988A4}"/>
    <cellStyle name="Escribir 2 14 7" xfId="2221" xr:uid="{452FE202-8D27-4C17-95C2-73702E877A74}"/>
    <cellStyle name="Escribir 2 15" xfId="146" xr:uid="{00000000-0005-0000-0000-000008000000}"/>
    <cellStyle name="Escribir 2 15 2" xfId="343" xr:uid="{6D271D5C-6883-457B-B7F8-9890C5E94DF9}"/>
    <cellStyle name="Escribir 2 15 2 2" xfId="777" xr:uid="{1F4EF6FB-7BC4-43F6-8D43-25A91578F2F9}"/>
    <cellStyle name="Escribir 2 15 2 3" xfId="1193" xr:uid="{475FC2AB-E126-4B67-A7B1-FB7EA1031C7B}"/>
    <cellStyle name="Escribir 2 15 2 4" xfId="1606" xr:uid="{12268346-BD3F-4F7D-88BC-B75103300BB6}"/>
    <cellStyle name="Escribir 2 15 2 5" xfId="2016" xr:uid="{EE5BD3A1-4639-40AE-957A-CAD168CCC305}"/>
    <cellStyle name="Escribir 2 15 2 6" xfId="2423" xr:uid="{4FFD5F9B-C473-415E-B5ED-8A1E1DC53F9D}"/>
    <cellStyle name="Escribir 2 15 3" xfId="580" xr:uid="{5CD74932-837C-44B5-9ED6-9A31615B3552}"/>
    <cellStyle name="Escribir 2 15 4" xfId="998" xr:uid="{5CD1C78B-C5B7-4C12-85C4-E52F8602AAB9}"/>
    <cellStyle name="Escribir 2 15 5" xfId="1411" xr:uid="{F9778F4B-91E5-4084-BDD0-2933E2C0A3DD}"/>
    <cellStyle name="Escribir 2 15 6" xfId="1822" xr:uid="{09465540-62F3-4ACD-8575-7CD582442E30}"/>
    <cellStyle name="Escribir 2 15 7" xfId="2230" xr:uid="{8F29E7AD-AA25-4298-ACFC-48AADD15A3CA}"/>
    <cellStyle name="Escribir 2 16" xfId="154" xr:uid="{00000000-0005-0000-0000-000009000000}"/>
    <cellStyle name="Escribir 2 16 2" xfId="351" xr:uid="{9841E221-7816-4CE5-8D2B-48F06E81E6B7}"/>
    <cellStyle name="Escribir 2 16 2 2" xfId="785" xr:uid="{2A7F26EA-F33E-4A56-8D87-36F29DAAE9A2}"/>
    <cellStyle name="Escribir 2 16 2 3" xfId="1201" xr:uid="{DE4CC9CB-9B93-4E13-BEF1-C5DF68006ADF}"/>
    <cellStyle name="Escribir 2 16 2 4" xfId="1614" xr:uid="{E338DD7D-1A85-4391-A011-DF052795EF35}"/>
    <cellStyle name="Escribir 2 16 2 5" xfId="2024" xr:uid="{EF2B4F42-162B-4D7B-B6C6-EA64EEE98783}"/>
    <cellStyle name="Escribir 2 16 2 6" xfId="2431" xr:uid="{23100CE9-B6CE-4783-912F-3A00DF734EED}"/>
    <cellStyle name="Escribir 2 16 3" xfId="588" xr:uid="{8F276266-3CD1-4B22-9097-F64025D8DF56}"/>
    <cellStyle name="Escribir 2 16 4" xfId="1006" xr:uid="{DF9810BE-05C7-434D-BC49-476C7D7DD52A}"/>
    <cellStyle name="Escribir 2 16 5" xfId="1419" xr:uid="{98E0EEC9-EBD2-4817-8ACC-1023C4779B47}"/>
    <cellStyle name="Escribir 2 16 6" xfId="1830" xr:uid="{B8FE3398-1ABB-4430-8306-82D637CDE7FE}"/>
    <cellStyle name="Escribir 2 16 7" xfId="2238" xr:uid="{E80660E1-5C2A-4C3F-85B9-0AD1553CDD5B}"/>
    <cellStyle name="Escribir 2 17" xfId="160" xr:uid="{D1A020B9-DB62-4890-AC99-ADC3B22311A4}"/>
    <cellStyle name="Escribir 2 17 2" xfId="357" xr:uid="{F643FBC6-659C-414B-8CE8-CEDC57280391}"/>
    <cellStyle name="Escribir 2 17 2 2" xfId="791" xr:uid="{EF2E0834-A220-4741-9397-EC62EE603C37}"/>
    <cellStyle name="Escribir 2 17 2 3" xfId="1207" xr:uid="{D4E9984F-2270-40F1-B3A2-D5DD7AD7C53F}"/>
    <cellStyle name="Escribir 2 17 2 4" xfId="1620" xr:uid="{5505CB8F-964F-46DE-A1A7-B76184251DC5}"/>
    <cellStyle name="Escribir 2 17 2 5" xfId="2030" xr:uid="{BBD47CC0-302C-4526-8FA3-26389EC1A005}"/>
    <cellStyle name="Escribir 2 17 2 6" xfId="2437" xr:uid="{3206DE06-0711-470D-9E1D-1457C083EEA9}"/>
    <cellStyle name="Escribir 2 17 3" xfId="594" xr:uid="{5D21D4CF-B7A0-42EE-B90A-089129270918}"/>
    <cellStyle name="Escribir 2 17 4" xfId="1012" xr:uid="{40591DD3-C8F9-4326-9B6C-3D84211BABDA}"/>
    <cellStyle name="Escribir 2 17 5" xfId="1425" xr:uid="{5EAE6C67-CCA0-4CF6-9BC1-749529D98B04}"/>
    <cellStyle name="Escribir 2 17 6" xfId="1836" xr:uid="{18749C04-EB25-438B-B945-F567031D5D02}"/>
    <cellStyle name="Escribir 2 17 7" xfId="2244" xr:uid="{7B4649F0-2F0F-4621-AC4E-976CAE8D0207}"/>
    <cellStyle name="Escribir 2 18" xfId="178" xr:uid="{2B199F24-9A38-4E63-9FCD-F6305B815975}"/>
    <cellStyle name="Escribir 2 18 2" xfId="375" xr:uid="{66985584-235A-4A9D-8A7B-2052D98C489E}"/>
    <cellStyle name="Escribir 2 18 2 2" xfId="809" xr:uid="{DE8ACBCD-D0EE-4680-BEC8-BA8C47CC2A3B}"/>
    <cellStyle name="Escribir 2 18 2 3" xfId="1224" xr:uid="{E1846E50-5213-46C8-BE50-401FFB9AB98E}"/>
    <cellStyle name="Escribir 2 18 2 4" xfId="1637" xr:uid="{7D544742-C7DD-45CD-AF44-1ED527F32DD6}"/>
    <cellStyle name="Escribir 2 18 2 5" xfId="2047" xr:uid="{9FBE4A71-7022-4028-B0DB-56C585F80ECF}"/>
    <cellStyle name="Escribir 2 18 2 6" xfId="2454" xr:uid="{A64D5871-CBE8-4B1D-8BD2-509336896068}"/>
    <cellStyle name="Escribir 2 18 3" xfId="612" xr:uid="{C994DCFA-D595-4F8C-9248-9C14E394AA12}"/>
    <cellStyle name="Escribir 2 18 4" xfId="1030" xr:uid="{9B615EBF-0AFD-49E9-AF03-ED1052308472}"/>
    <cellStyle name="Escribir 2 18 5" xfId="1443" xr:uid="{7C8C7311-A8A0-46FD-AE90-1092E8EB44B0}"/>
    <cellStyle name="Escribir 2 18 6" xfId="1853" xr:uid="{67F8918C-EC1E-414C-B152-27C1F44A6583}"/>
    <cellStyle name="Escribir 2 18 7" xfId="2261" xr:uid="{C73BFCED-B7DC-4C2B-8F44-9E7CB5B33883}"/>
    <cellStyle name="Escribir 2 19" xfId="188" xr:uid="{CEBD12DF-DDB3-460A-BCFE-89665A154133}"/>
    <cellStyle name="Escribir 2 19 2" xfId="385" xr:uid="{450DB207-FEA9-44AF-92EC-A8D17D746998}"/>
    <cellStyle name="Escribir 2 19 2 2" xfId="819" xr:uid="{C6EDA67E-E32B-440B-B140-372132B2A6F8}"/>
    <cellStyle name="Escribir 2 19 2 3" xfId="1234" xr:uid="{1DE9128C-32A0-4C34-BFA5-0E9187FB1106}"/>
    <cellStyle name="Escribir 2 19 2 4" xfId="1647" xr:uid="{3DBA221D-F233-4010-BF60-F06D583E2D75}"/>
    <cellStyle name="Escribir 2 19 2 5" xfId="2057" xr:uid="{2465F388-F225-4300-8F1E-7FECF5C93A6D}"/>
    <cellStyle name="Escribir 2 19 2 6" xfId="2464" xr:uid="{4FC71B82-D982-4535-B4E3-7C4743687ED8}"/>
    <cellStyle name="Escribir 2 19 3" xfId="622" xr:uid="{159AB87E-BB5B-4F8E-AFE5-C0089DC9A6C1}"/>
    <cellStyle name="Escribir 2 19 4" xfId="1040" xr:uid="{D298E339-A8FC-4815-8327-5D4888570009}"/>
    <cellStyle name="Escribir 2 19 5" xfId="1453" xr:uid="{C0048852-8798-49D0-A24D-B53CC23CE228}"/>
    <cellStyle name="Escribir 2 19 6" xfId="1863" xr:uid="{7D2560AC-9C9B-480A-9051-D78E9FE4D8FC}"/>
    <cellStyle name="Escribir 2 19 7" xfId="2271" xr:uid="{44D78BF1-12B8-4870-9043-BF004BEECA5B}"/>
    <cellStyle name="Escribir 2 2" xfId="11" xr:uid="{00000000-0005-0000-0000-00000A000000}"/>
    <cellStyle name="Escribir 2 2 10" xfId="119" xr:uid="{00000000-0005-0000-0000-00000B000000}"/>
    <cellStyle name="Escribir 2 2 10 2" xfId="316" xr:uid="{D5EF21B6-9DF5-48DE-B291-8ED185080C12}"/>
    <cellStyle name="Escribir 2 2 10 2 2" xfId="750" xr:uid="{D7A47E74-7D47-4E85-A790-04EE097A28A5}"/>
    <cellStyle name="Escribir 2 2 10 2 3" xfId="1166" xr:uid="{67EBDDAE-E6FD-46EA-B6A8-D48D3357DD92}"/>
    <cellStyle name="Escribir 2 2 10 2 4" xfId="1579" xr:uid="{55209FB4-DA96-4D75-95C7-4B24298CC50E}"/>
    <cellStyle name="Escribir 2 2 10 2 5" xfId="1989" xr:uid="{C9766941-1504-4061-BEB5-F4FCE219D69C}"/>
    <cellStyle name="Escribir 2 2 10 2 6" xfId="2396" xr:uid="{43086EB3-9E2B-469E-A69F-A731F6B29C06}"/>
    <cellStyle name="Escribir 2 2 10 3" xfId="553" xr:uid="{AC1FA55A-2112-45C9-B661-18C026659D96}"/>
    <cellStyle name="Escribir 2 2 10 4" xfId="971" xr:uid="{F0C1CF8B-5236-4D2E-9F31-D104A9819EBE}"/>
    <cellStyle name="Escribir 2 2 10 5" xfId="1384" xr:uid="{1E493D60-AD5C-4AB0-ABEE-7C94007DAE40}"/>
    <cellStyle name="Escribir 2 2 10 6" xfId="1795" xr:uid="{6B9126EA-EB28-4D9C-9919-543D0FAEBC12}"/>
    <cellStyle name="Escribir 2 2 10 7" xfId="2203" xr:uid="{02D4CE8E-9261-4CD0-AD00-B0B1745C74DC}"/>
    <cellStyle name="Escribir 2 2 11" xfId="129" xr:uid="{00000000-0005-0000-0000-00000C000000}"/>
    <cellStyle name="Escribir 2 2 11 2" xfId="326" xr:uid="{64709C9E-5FB4-4AC9-B2D0-A22C60FE2075}"/>
    <cellStyle name="Escribir 2 2 11 2 2" xfId="760" xr:uid="{5F2E85D6-3150-4703-A36F-85161C0B06EE}"/>
    <cellStyle name="Escribir 2 2 11 2 3" xfId="1176" xr:uid="{08369CD6-6BF1-4877-A49F-A05757D408B4}"/>
    <cellStyle name="Escribir 2 2 11 2 4" xfId="1589" xr:uid="{74717A30-C4F4-40EE-BEA7-1069EBE68D1B}"/>
    <cellStyle name="Escribir 2 2 11 2 5" xfId="1999" xr:uid="{DEB8BF18-7F4D-46EE-AC3E-83CC14292158}"/>
    <cellStyle name="Escribir 2 2 11 2 6" xfId="2406" xr:uid="{F7330172-DB83-4FC0-9761-64912A4C778B}"/>
    <cellStyle name="Escribir 2 2 11 3" xfId="563" xr:uid="{69BC9226-63E8-41C1-BB74-BED826EF0097}"/>
    <cellStyle name="Escribir 2 2 11 4" xfId="981" xr:uid="{1E41D6A2-9C4F-4F02-93CB-DB9FEEFC3605}"/>
    <cellStyle name="Escribir 2 2 11 5" xfId="1394" xr:uid="{B7701933-E008-4301-AB96-D85F4CE47713}"/>
    <cellStyle name="Escribir 2 2 11 6" xfId="1805" xr:uid="{C2563E08-B526-41E1-B411-65DD8D1AD0A2}"/>
    <cellStyle name="Escribir 2 2 11 7" xfId="2213" xr:uid="{E4CE2C5D-61CC-4D1A-9386-AFAB99D5C08B}"/>
    <cellStyle name="Escribir 2 2 12" xfId="121" xr:uid="{00000000-0005-0000-0000-00000D000000}"/>
    <cellStyle name="Escribir 2 2 12 2" xfId="318" xr:uid="{C3B195F4-0732-4549-B659-F57398BC4957}"/>
    <cellStyle name="Escribir 2 2 12 2 2" xfId="752" xr:uid="{AF614A0B-0660-43F6-A1EA-463CCEFD346E}"/>
    <cellStyle name="Escribir 2 2 12 2 3" xfId="1168" xr:uid="{09614600-9CA3-455E-80D3-4E82104C7B6F}"/>
    <cellStyle name="Escribir 2 2 12 2 4" xfId="1581" xr:uid="{A488497A-AD25-4475-827C-52424283BFD5}"/>
    <cellStyle name="Escribir 2 2 12 2 5" xfId="1991" xr:uid="{9FD407DC-BD81-4A39-B04C-7B082A9560FC}"/>
    <cellStyle name="Escribir 2 2 12 2 6" xfId="2398" xr:uid="{08D6D2D2-DBAE-45DA-8A37-CD144EED656C}"/>
    <cellStyle name="Escribir 2 2 12 3" xfId="555" xr:uid="{1F71AE53-7DB8-424A-9E16-401EE6F4C514}"/>
    <cellStyle name="Escribir 2 2 12 4" xfId="973" xr:uid="{48E62920-776D-4F0E-A12A-49B2718DD906}"/>
    <cellStyle name="Escribir 2 2 12 5" xfId="1386" xr:uid="{80E07694-11F5-437F-BBD0-4725D72D7535}"/>
    <cellStyle name="Escribir 2 2 12 6" xfId="1797" xr:uid="{2D88DDDD-E8CF-4E1B-821B-2323A9E5818B}"/>
    <cellStyle name="Escribir 2 2 12 7" xfId="2205" xr:uid="{89C45A93-38B5-43E1-9A0B-D5177A1359C3}"/>
    <cellStyle name="Escribir 2 2 13" xfId="145" xr:uid="{00000000-0005-0000-0000-00000E000000}"/>
    <cellStyle name="Escribir 2 2 13 2" xfId="342" xr:uid="{B519522B-FC9D-4464-A574-83405B3B3CA2}"/>
    <cellStyle name="Escribir 2 2 13 2 2" xfId="776" xr:uid="{B2810975-760A-475C-A71F-E7998DDE9DD9}"/>
    <cellStyle name="Escribir 2 2 13 2 3" xfId="1192" xr:uid="{C2345442-9018-4DDE-BDB1-48A0C403ED4F}"/>
    <cellStyle name="Escribir 2 2 13 2 4" xfId="1605" xr:uid="{67A36E1C-6307-474A-B9E9-BC9F53069E47}"/>
    <cellStyle name="Escribir 2 2 13 2 5" xfId="2015" xr:uid="{B9A27060-FFD5-4F99-A2F6-4092FED12621}"/>
    <cellStyle name="Escribir 2 2 13 2 6" xfId="2422" xr:uid="{BF0EE05F-223F-4DE7-A10D-BF1203AEB6AB}"/>
    <cellStyle name="Escribir 2 2 13 3" xfId="579" xr:uid="{157D72E0-B949-4B1B-AA49-89054A8AEC9D}"/>
    <cellStyle name="Escribir 2 2 13 4" xfId="997" xr:uid="{09EFAC08-3784-4FF3-AE2E-8BD26E4F6912}"/>
    <cellStyle name="Escribir 2 2 13 5" xfId="1410" xr:uid="{23EFFD99-7A6F-4F7F-A47B-054CA4D83558}"/>
    <cellStyle name="Escribir 2 2 13 6" xfId="1821" xr:uid="{9D01AE91-A147-415E-B940-2678AE5AEC76}"/>
    <cellStyle name="Escribir 2 2 13 7" xfId="2229" xr:uid="{8D102C52-8002-407D-9133-BB1E8DAE415B}"/>
    <cellStyle name="Escribir 2 2 14" xfId="159" xr:uid="{2C1E27BC-1C88-4867-9727-CBAB9B147085}"/>
    <cellStyle name="Escribir 2 2 14 2" xfId="356" xr:uid="{5D062ED1-37C0-49AE-8D5F-7F426B354908}"/>
    <cellStyle name="Escribir 2 2 14 2 2" xfId="790" xr:uid="{EE1773E8-3EA0-4B93-8BF3-053AA969FEF0}"/>
    <cellStyle name="Escribir 2 2 14 2 3" xfId="1206" xr:uid="{5CDE13CF-36EF-4F65-BA36-F614A503B502}"/>
    <cellStyle name="Escribir 2 2 14 2 4" xfId="1619" xr:uid="{FD7C42A1-653D-4351-833E-A0F69A22E347}"/>
    <cellStyle name="Escribir 2 2 14 2 5" xfId="2029" xr:uid="{57FDA978-9F09-4748-94A8-E0975E372A71}"/>
    <cellStyle name="Escribir 2 2 14 2 6" xfId="2436" xr:uid="{9A35ADBF-3B1B-408E-8365-8C58C547FEFF}"/>
    <cellStyle name="Escribir 2 2 14 3" xfId="593" xr:uid="{C1BAD7CB-FCF3-4261-AF8C-10A6B6F7D5A4}"/>
    <cellStyle name="Escribir 2 2 14 4" xfId="1011" xr:uid="{C5BE8619-D1B7-45A4-A05C-046A0FF0F3BD}"/>
    <cellStyle name="Escribir 2 2 14 5" xfId="1424" xr:uid="{E4B4D546-3263-4802-A3AA-065DD78E1E86}"/>
    <cellStyle name="Escribir 2 2 14 6" xfId="1835" xr:uid="{973F7215-DCEB-41FD-94FF-D628B546076D}"/>
    <cellStyle name="Escribir 2 2 14 7" xfId="2243" xr:uid="{F7884E14-BCDE-4F70-A351-DF9E56BAFE50}"/>
    <cellStyle name="Escribir 2 2 15" xfId="168" xr:uid="{4803CA62-46E2-4958-8F3F-A9FF6651404E}"/>
    <cellStyle name="Escribir 2 2 15 2" xfId="365" xr:uid="{2AC118F3-E049-43BD-BDBC-8A3E8F256CA3}"/>
    <cellStyle name="Escribir 2 2 15 2 2" xfId="799" xr:uid="{8C82D061-8AC8-46C3-B133-EB9716829791}"/>
    <cellStyle name="Escribir 2 2 15 2 3" xfId="1214" xr:uid="{35F51C1A-3193-4CF6-BAF8-37DA5EA49A9C}"/>
    <cellStyle name="Escribir 2 2 15 2 4" xfId="1627" xr:uid="{4EE70FB6-A12D-4C93-B31F-4B4200E6DD48}"/>
    <cellStyle name="Escribir 2 2 15 2 5" xfId="2037" xr:uid="{C80B61CA-6E3C-49E3-BB1B-62D4AC8755D4}"/>
    <cellStyle name="Escribir 2 2 15 2 6" xfId="2444" xr:uid="{55A64657-5164-4DAA-BD8E-9BE802854D83}"/>
    <cellStyle name="Escribir 2 2 15 3" xfId="602" xr:uid="{8CC4054E-702C-4BDC-8674-3F56E55DFD9A}"/>
    <cellStyle name="Escribir 2 2 15 4" xfId="1020" xr:uid="{93F97D6E-4B03-431D-A9FC-1E2EC9F14DA9}"/>
    <cellStyle name="Escribir 2 2 15 5" xfId="1433" xr:uid="{46E9B787-93E2-481C-86B3-D22483B412FA}"/>
    <cellStyle name="Escribir 2 2 15 6" xfId="1843" xr:uid="{84277D21-A097-4B25-A495-29541757B05D}"/>
    <cellStyle name="Escribir 2 2 15 7" xfId="2251" xr:uid="{94BFBC92-23E5-4DD3-9BF8-7C59733C5B9E}"/>
    <cellStyle name="Escribir 2 2 16" xfId="177" xr:uid="{97F1E428-602A-4445-BB74-69EE8018D7E2}"/>
    <cellStyle name="Escribir 2 2 16 2" xfId="374" xr:uid="{B9A46088-9C47-4438-9637-AAD9F4D8DE65}"/>
    <cellStyle name="Escribir 2 2 16 2 2" xfId="808" xr:uid="{802FE356-B189-4FDC-A1C9-EBBC37653621}"/>
    <cellStyle name="Escribir 2 2 16 2 3" xfId="1223" xr:uid="{29DC3395-72D8-436D-937D-9FE31B2F95C9}"/>
    <cellStyle name="Escribir 2 2 16 2 4" xfId="1636" xr:uid="{C2BDC68B-CE37-4A0D-AD8C-6DCBAE002647}"/>
    <cellStyle name="Escribir 2 2 16 2 5" xfId="2046" xr:uid="{FDEBB941-5580-4AD0-B1BF-93FFE47AB8B3}"/>
    <cellStyle name="Escribir 2 2 16 2 6" xfId="2453" xr:uid="{31AD1882-1FEA-40C6-A528-79A6083D2A31}"/>
    <cellStyle name="Escribir 2 2 16 3" xfId="611" xr:uid="{64EE9ACB-F618-4500-8823-D47494859E24}"/>
    <cellStyle name="Escribir 2 2 16 4" xfId="1029" xr:uid="{42F11739-AE09-4A37-B20D-B399EB55993E}"/>
    <cellStyle name="Escribir 2 2 16 5" xfId="1442" xr:uid="{5E5059D5-F559-4776-AAE6-71E4A04A4478}"/>
    <cellStyle name="Escribir 2 2 16 6" xfId="1852" xr:uid="{F1C17105-997B-4169-B4E9-CFAEBEB49408}"/>
    <cellStyle name="Escribir 2 2 16 7" xfId="2260" xr:uid="{6321D987-529F-4E82-A25F-002DC2B6BF0B}"/>
    <cellStyle name="Escribir 2 2 17" xfId="187" xr:uid="{8B954C44-54F5-4974-BA9E-3375FB46D736}"/>
    <cellStyle name="Escribir 2 2 17 2" xfId="384" xr:uid="{04759599-8EE7-4058-B4AE-617BFF7E9479}"/>
    <cellStyle name="Escribir 2 2 17 2 2" xfId="818" xr:uid="{C2668E1B-D448-45F4-93B1-D31939135B3C}"/>
    <cellStyle name="Escribir 2 2 17 2 3" xfId="1233" xr:uid="{B46F4288-2DEF-4781-A970-B8ED2ECDC771}"/>
    <cellStyle name="Escribir 2 2 17 2 4" xfId="1646" xr:uid="{17CC55B6-3C36-4F26-A846-54B515A52CFB}"/>
    <cellStyle name="Escribir 2 2 17 2 5" xfId="2056" xr:uid="{280A09B4-758F-4B42-B681-E07F7FF81D03}"/>
    <cellStyle name="Escribir 2 2 17 2 6" xfId="2463" xr:uid="{00BA5216-DA7F-4C36-A2D9-99835EFF7A70}"/>
    <cellStyle name="Escribir 2 2 17 3" xfId="621" xr:uid="{615F4653-13B0-40EC-951F-319ABC5716A6}"/>
    <cellStyle name="Escribir 2 2 17 4" xfId="1039" xr:uid="{761CC37A-F6B8-400E-92C6-C4AA26CAC6AA}"/>
    <cellStyle name="Escribir 2 2 17 5" xfId="1452" xr:uid="{0C8C5F2A-50E6-43F7-B6F8-1CBD378683D3}"/>
    <cellStyle name="Escribir 2 2 17 6" xfId="1862" xr:uid="{E611FBBE-98BA-422C-86A2-1B9B6635F4B0}"/>
    <cellStyle name="Escribir 2 2 17 7" xfId="2270" xr:uid="{07242FF7-7ACE-4DB6-97D3-402A1C24DDA1}"/>
    <cellStyle name="Escribir 2 2 18" xfId="197" xr:uid="{E719DC29-46EF-4A0E-BCCF-CE99389310A3}"/>
    <cellStyle name="Escribir 2 2 18 2" xfId="394" xr:uid="{12F535F2-4F3C-45F9-94C4-BCA4CE448B16}"/>
    <cellStyle name="Escribir 2 2 18 2 2" xfId="828" xr:uid="{4827E0CB-FA51-43E8-BFC6-7818AA598764}"/>
    <cellStyle name="Escribir 2 2 18 2 3" xfId="1243" xr:uid="{FF47CFF9-BA4B-4515-A3F4-ECC355613E0A}"/>
    <cellStyle name="Escribir 2 2 18 2 4" xfId="1656" xr:uid="{195416B6-7123-42EF-B63E-1BE3A1A652B0}"/>
    <cellStyle name="Escribir 2 2 18 2 5" xfId="2066" xr:uid="{586FC814-1A3B-433B-86F5-C2655641B8CC}"/>
    <cellStyle name="Escribir 2 2 18 2 6" xfId="2473" xr:uid="{FC530A67-D93B-49F1-9E6A-CBE20D2BE772}"/>
    <cellStyle name="Escribir 2 2 18 3" xfId="631" xr:uid="{DF07129F-B21C-4014-A2C3-B82CCE610EA1}"/>
    <cellStyle name="Escribir 2 2 18 4" xfId="1049" xr:uid="{216E6F2B-D066-4EB6-8173-343D0A334871}"/>
    <cellStyle name="Escribir 2 2 18 5" xfId="1462" xr:uid="{4F44FE6D-C712-4DAC-AAA1-A7B703E2772B}"/>
    <cellStyle name="Escribir 2 2 18 6" xfId="1872" xr:uid="{367691FD-070E-443C-A08B-D7BEEEDAFF1F}"/>
    <cellStyle name="Escribir 2 2 18 7" xfId="2280" xr:uid="{A905CA8E-0D83-4444-8390-2974E78C44BA}"/>
    <cellStyle name="Escribir 2 2 19" xfId="209" xr:uid="{12D35654-4266-4AD9-BC9B-2C26E753EE0F}"/>
    <cellStyle name="Escribir 2 2 19 2" xfId="406" xr:uid="{4DF68860-6626-4571-A285-0CB0BE5F88B6}"/>
    <cellStyle name="Escribir 2 2 19 2 2" xfId="840" xr:uid="{149C7041-4814-4081-B7CA-0268D58B9365}"/>
    <cellStyle name="Escribir 2 2 19 2 3" xfId="1255" xr:uid="{A2B0B51A-C0F0-4FF6-AF12-7FD0E4EB0C22}"/>
    <cellStyle name="Escribir 2 2 19 2 4" xfId="1668" xr:uid="{BD17E2BB-A928-4ED2-A38D-C28F6B73C9EF}"/>
    <cellStyle name="Escribir 2 2 19 2 5" xfId="2078" xr:uid="{AD73757D-561E-45C8-981E-F47233F6C9A8}"/>
    <cellStyle name="Escribir 2 2 19 2 6" xfId="2485" xr:uid="{5A735B3D-C6D3-473E-91F3-2D2878E65E0D}"/>
    <cellStyle name="Escribir 2 2 19 3" xfId="643" xr:uid="{CA7A25B7-572A-4404-BAEC-2EA6A9B9C5C6}"/>
    <cellStyle name="Escribir 2 2 19 4" xfId="1061" xr:uid="{2D76DA6F-7B54-4AFD-8198-1AE0C8BE4D51}"/>
    <cellStyle name="Escribir 2 2 19 5" xfId="1474" xr:uid="{0903CFD7-96D6-4C54-9B12-355D9166DB10}"/>
    <cellStyle name="Escribir 2 2 19 6" xfId="1884" xr:uid="{C49A90CC-E086-402D-A652-F58172DD0DF3}"/>
    <cellStyle name="Escribir 2 2 19 7" xfId="2292" xr:uid="{1D74F178-5246-4193-81AA-60682F1AE912}"/>
    <cellStyle name="Escribir 2 2 2" xfId="42" xr:uid="{00000000-0005-0000-0000-00000F000000}"/>
    <cellStyle name="Escribir 2 2 2 2" xfId="239" xr:uid="{8C6FDD0C-7852-47FC-8160-F3F899B79B39}"/>
    <cellStyle name="Escribir 2 2 2 2 2" xfId="673" xr:uid="{C3655187-E737-48A6-B4FF-F2B7B5EEC178}"/>
    <cellStyle name="Escribir 2 2 2 2 3" xfId="1090" xr:uid="{11CC7EED-62D9-4161-AB8E-0F564263F5C3}"/>
    <cellStyle name="Escribir 2 2 2 2 4" xfId="1503" xr:uid="{3017BA7F-F040-4F0B-9766-9FC30A99438F}"/>
    <cellStyle name="Escribir 2 2 2 2 5" xfId="1913" xr:uid="{AB2A6256-9F67-47D1-8AC1-97520247D62E}"/>
    <cellStyle name="Escribir 2 2 2 2 6" xfId="2321" xr:uid="{E481EB29-03BB-49CF-8145-06DDA8F21872}"/>
    <cellStyle name="Escribir 2 2 2 3" xfId="476" xr:uid="{CAC50D7D-4A1B-4004-9F71-1556D6F3A54B}"/>
    <cellStyle name="Escribir 2 2 2 4" xfId="894" xr:uid="{356BBF64-FFEB-42D6-A036-F42A0D457FDD}"/>
    <cellStyle name="Escribir 2 2 2 5" xfId="1309" xr:uid="{FCCC6693-3442-4EE2-BDEB-038226ED25D9}"/>
    <cellStyle name="Escribir 2 2 2 6" xfId="1720" xr:uid="{6703AD01-62CE-405C-9FAF-7F387DEACB95}"/>
    <cellStyle name="Escribir 2 2 2 7" xfId="2128" xr:uid="{87976DA1-07BA-4821-A37E-29698800BF77}"/>
    <cellStyle name="Escribir 2 2 20" xfId="216" xr:uid="{145AF2B3-6CF9-4849-9345-2CE73F3D39A1}"/>
    <cellStyle name="Escribir 2 2 20 2" xfId="413" xr:uid="{0E2D9D51-6132-475B-9307-1A2CC4944779}"/>
    <cellStyle name="Escribir 2 2 20 2 2" xfId="847" xr:uid="{16364A44-AED3-4AA3-91BB-4ADC3DD01CD9}"/>
    <cellStyle name="Escribir 2 2 20 2 3" xfId="1262" xr:uid="{FC7FAFBF-3B8B-4490-9167-F1A9E4432F77}"/>
    <cellStyle name="Escribir 2 2 20 2 4" xfId="1675" xr:uid="{A87C97C7-F9C1-43CD-88DE-AF6FB46ED3F6}"/>
    <cellStyle name="Escribir 2 2 20 2 5" xfId="2085" xr:uid="{81AA0ACA-BC08-4608-B872-12B69D696BEF}"/>
    <cellStyle name="Escribir 2 2 20 2 6" xfId="2492" xr:uid="{29A323D8-183E-444B-BCF9-8459635B66C7}"/>
    <cellStyle name="Escribir 2 2 20 3" xfId="650" xr:uid="{A2449901-F958-413A-8E13-354290322DB8}"/>
    <cellStyle name="Escribir 2 2 20 4" xfId="1068" xr:uid="{CA3F61F5-A458-4EC6-99C2-AC1A3585A5D2}"/>
    <cellStyle name="Escribir 2 2 20 5" xfId="1481" xr:uid="{9DBFE72D-990E-47ED-80EA-554B8F1A2702}"/>
    <cellStyle name="Escribir 2 2 20 6" xfId="1891" xr:uid="{B8F5BF1A-1BFB-4D9B-AAD8-31B5FA26E717}"/>
    <cellStyle name="Escribir 2 2 20 7" xfId="2299" xr:uid="{E732CBDB-47A7-465F-9DEA-73800685345D}"/>
    <cellStyle name="Escribir 2 2 21" xfId="225" xr:uid="{0E7736E6-C308-49AA-A4C8-B95981103149}"/>
    <cellStyle name="Escribir 2 2 21 2" xfId="659" xr:uid="{04DC258F-C6DE-4933-B02C-065D5BBEE60A}"/>
    <cellStyle name="Escribir 2 2 21 3" xfId="1077" xr:uid="{74CA4B8A-9457-4773-BDC5-800DD7DDDE9D}"/>
    <cellStyle name="Escribir 2 2 21 4" xfId="1490" xr:uid="{A29C8FC1-E5A7-45DF-816C-CA924FD5C08A}"/>
    <cellStyle name="Escribir 2 2 21 5" xfId="1900" xr:uid="{C117D171-BC95-49E8-96CD-9C72FC4D2819}"/>
    <cellStyle name="Escribir 2 2 21 6" xfId="2308" xr:uid="{8984FA9A-1F72-4799-97E6-FF5D0F0317C9}"/>
    <cellStyle name="Escribir 2 2 22" xfId="422" xr:uid="{8914C6FC-DD48-41AC-8047-9DA46F37F77F}"/>
    <cellStyle name="Escribir 2 2 22 2" xfId="856" xr:uid="{4F0981CC-DE1C-4534-9FFD-1B9E3E18D99A}"/>
    <cellStyle name="Escribir 2 2 22 3" xfId="1271" xr:uid="{923EC1BC-77DC-4CD4-9BAB-50F62F86F446}"/>
    <cellStyle name="Escribir 2 2 22 4" xfId="1684" xr:uid="{2F676ECA-684D-42AA-8E73-191D36245095}"/>
    <cellStyle name="Escribir 2 2 22 5" xfId="2094" xr:uid="{82C8E092-B923-4FE6-BEA9-974C3CA64DC9}"/>
    <cellStyle name="Escribir 2 2 22 6" xfId="2501" xr:uid="{D855ECD3-6CF1-4CF7-94AA-3345E42D0D21}"/>
    <cellStyle name="Escribir 2 2 23" xfId="436" xr:uid="{CACE8AA4-A926-49DE-BF12-EA356D984FCA}"/>
    <cellStyle name="Escribir 2 2 23 2" xfId="870" xr:uid="{267AD359-8E9B-4616-A01A-1C37139F77E1}"/>
    <cellStyle name="Escribir 2 2 23 3" xfId="1284" xr:uid="{1CF5AA0B-5CE8-429F-9436-8C2023655516}"/>
    <cellStyle name="Escribir 2 2 23 4" xfId="1698" xr:uid="{E3BB4783-A965-4B52-90B1-67B025536382}"/>
    <cellStyle name="Escribir 2 2 23 5" xfId="2108" xr:uid="{5DCE24E6-AB0D-405C-AFAC-7969B94C65CD}"/>
    <cellStyle name="Escribir 2 2 23 6" xfId="2514" xr:uid="{5E19E1DC-3859-4960-B26A-691CF4F2D3DA}"/>
    <cellStyle name="Escribir 2 2 24" xfId="434" xr:uid="{C3BDE745-2E6C-4BB4-BAC3-3D7D2BA8035F}"/>
    <cellStyle name="Escribir 2 2 24 2" xfId="868" xr:uid="{F207E6A2-5A2E-45BA-84FE-1E6EDA441A90}"/>
    <cellStyle name="Escribir 2 2 24 3" xfId="1282" xr:uid="{95EE047A-EAB1-4BA6-BAFB-FD4F44923BA1}"/>
    <cellStyle name="Escribir 2 2 24 4" xfId="1696" xr:uid="{6260417C-79D7-487D-A4F0-A4B10B98A963}"/>
    <cellStyle name="Escribir 2 2 24 5" xfId="2106" xr:uid="{29B6A66B-0398-40C5-B82A-B7B9E871EBC0}"/>
    <cellStyle name="Escribir 2 2 24 6" xfId="2512" xr:uid="{064F8379-C1F6-4C9C-9864-73617E7E8EA6}"/>
    <cellStyle name="Escribir 2 2 25" xfId="455" xr:uid="{40EA2300-A9CB-4397-9B82-6EE27BEEBD34}"/>
    <cellStyle name="Escribir 2 2 26" xfId="453" xr:uid="{E806E2E0-3E12-41E6-BD05-4B70C8D17EE7}"/>
    <cellStyle name="Escribir 2 2 27" xfId="468" xr:uid="{83E1A503-9BE6-45E5-B7CD-534599FE77A2}"/>
    <cellStyle name="Escribir 2 2 28" xfId="933" xr:uid="{F140009D-80BA-48F6-8BEB-B4E1270C0890}"/>
    <cellStyle name="Escribir 2 2 29" xfId="2121" xr:uid="{35541D50-B161-4EF3-884C-0A38B6A06D68}"/>
    <cellStyle name="Escribir 2 2 3" xfId="54" xr:uid="{00000000-0005-0000-0000-000010000000}"/>
    <cellStyle name="Escribir 2 2 3 2" xfId="251" xr:uid="{F4D4D0AF-BE96-4E3E-B703-9EEEBBF2D85F}"/>
    <cellStyle name="Escribir 2 2 3 2 2" xfId="685" xr:uid="{92694073-2394-48E0-98E2-41C5CA8F458E}"/>
    <cellStyle name="Escribir 2 2 3 2 3" xfId="1102" xr:uid="{C66CEA15-9CF8-45C9-B8A1-13EB7B507940}"/>
    <cellStyle name="Escribir 2 2 3 2 4" xfId="1514" xr:uid="{D3BED6EA-464C-46B3-B05C-4F8B1483D700}"/>
    <cellStyle name="Escribir 2 2 3 2 5" xfId="1925" xr:uid="{523E3385-B838-4F3C-B739-937A820D06C4}"/>
    <cellStyle name="Escribir 2 2 3 2 6" xfId="2332" xr:uid="{652F11C0-B6F7-4A99-998D-CE5E9BE881C3}"/>
    <cellStyle name="Escribir 2 2 3 3" xfId="488" xr:uid="{1C135E9A-43C3-4608-9BD9-5B55D1D7454D}"/>
    <cellStyle name="Escribir 2 2 3 4" xfId="906" xr:uid="{28F195AA-ACC8-4467-BE34-2C30B4D53A34}"/>
    <cellStyle name="Escribir 2 2 3 5" xfId="1320" xr:uid="{CFE8A3DD-C703-4273-B2F3-26868CCF3FA8}"/>
    <cellStyle name="Escribir 2 2 3 6" xfId="1731" xr:uid="{1A270E18-54CA-4BAE-80BE-15C281251950}"/>
    <cellStyle name="Escribir 2 2 3 7" xfId="2139" xr:uid="{573CAA66-2670-41B5-B9E1-686116CD048A}"/>
    <cellStyle name="Escribir 2 2 4" xfId="37" xr:uid="{00000000-0005-0000-0000-000011000000}"/>
    <cellStyle name="Escribir 2 2 4 2" xfId="234" xr:uid="{41444932-C2CC-4F3A-9ED2-D49759194720}"/>
    <cellStyle name="Escribir 2 2 4 2 2" xfId="668" xr:uid="{721AB16E-5A87-4D8F-A12A-60C2D8BDD0A8}"/>
    <cellStyle name="Escribir 2 2 4 2 3" xfId="1085" xr:uid="{7ED61452-BD4C-4929-8182-C9E738CBFFC2}"/>
    <cellStyle name="Escribir 2 2 4 2 4" xfId="1498" xr:uid="{929CCA9B-24D9-4FF7-A3D3-F90CDF4CD6B4}"/>
    <cellStyle name="Escribir 2 2 4 2 5" xfId="1908" xr:uid="{127E881B-C5EC-4DC9-A6F0-CFFBC81AE4A5}"/>
    <cellStyle name="Escribir 2 2 4 2 6" xfId="2316" xr:uid="{78F4A2F2-8287-482C-BA73-5B5117685F52}"/>
    <cellStyle name="Escribir 2 2 4 3" xfId="471" xr:uid="{B0096E6D-C1DE-41E1-84CD-8048ED2021C6}"/>
    <cellStyle name="Escribir 2 2 4 4" xfId="889" xr:uid="{D9EB29EC-2AE9-4674-8480-9DECC7171E41}"/>
    <cellStyle name="Escribir 2 2 4 5" xfId="1304" xr:uid="{DCF044BE-AEE2-40FA-BE60-2FB72E69557D}"/>
    <cellStyle name="Escribir 2 2 4 6" xfId="1715" xr:uid="{4668EB7D-B408-4262-92A1-067D7717A993}"/>
    <cellStyle name="Escribir 2 2 4 7" xfId="2123" xr:uid="{4434F012-C82E-4BB1-BBEB-DABEA8036367}"/>
    <cellStyle name="Escribir 2 2 5" xfId="47" xr:uid="{00000000-0005-0000-0000-000012000000}"/>
    <cellStyle name="Escribir 2 2 5 2" xfId="244" xr:uid="{3AF5E311-47F6-465C-AE4A-CF9A097A4765}"/>
    <cellStyle name="Escribir 2 2 5 2 2" xfId="678" xr:uid="{808C40D1-1436-4075-AD97-A0B8C8A7B79C}"/>
    <cellStyle name="Escribir 2 2 5 2 3" xfId="1095" xr:uid="{FCB8E577-33C4-4D74-B0E4-08A553F30DCD}"/>
    <cellStyle name="Escribir 2 2 5 2 4" xfId="1508" xr:uid="{8D309C28-56A4-4872-B7F6-6FB0091A2440}"/>
    <cellStyle name="Escribir 2 2 5 2 5" xfId="1918" xr:uid="{02162312-38CE-49C2-A0DC-6C5811E985C1}"/>
    <cellStyle name="Escribir 2 2 5 2 6" xfId="2326" xr:uid="{A8A132E9-B828-458B-9652-27104FCE238C}"/>
    <cellStyle name="Escribir 2 2 5 3" xfId="481" xr:uid="{A334074B-ED13-443D-B862-BF88F4D8A026}"/>
    <cellStyle name="Escribir 2 2 5 4" xfId="899" xr:uid="{3B16268E-9215-432C-85C9-4CAE01825016}"/>
    <cellStyle name="Escribir 2 2 5 5" xfId="1314" xr:uid="{1F82AFB9-E242-4EC9-9ED6-2DD3E7543057}"/>
    <cellStyle name="Escribir 2 2 5 6" xfId="1725" xr:uid="{DDE98488-4748-4761-82F9-884BB74BEBAA}"/>
    <cellStyle name="Escribir 2 2 5 7" xfId="2133" xr:uid="{E63F340D-A142-41EC-A28F-81799906BB0B}"/>
    <cellStyle name="Escribir 2 2 6" xfId="90" xr:uid="{00000000-0005-0000-0000-000013000000}"/>
    <cellStyle name="Escribir 2 2 6 2" xfId="287" xr:uid="{024C957E-1122-43F3-AC7F-DADF19C7415E}"/>
    <cellStyle name="Escribir 2 2 6 2 2" xfId="721" xr:uid="{FA3C0EE1-EB4A-4CF7-BF65-1D59855FC3F8}"/>
    <cellStyle name="Escribir 2 2 6 2 3" xfId="1137" xr:uid="{25FDD263-F0D6-4B64-B2BD-5A44DEC7D86F}"/>
    <cellStyle name="Escribir 2 2 6 2 4" xfId="1550" xr:uid="{1734B29A-E385-4CE4-A1B6-059D70C5FAF5}"/>
    <cellStyle name="Escribir 2 2 6 2 5" xfId="1960" xr:uid="{1F9628F6-6CCA-4CCA-96A8-4FB88BF6E6F1}"/>
    <cellStyle name="Escribir 2 2 6 2 6" xfId="2367" xr:uid="{37BB9F5B-C3E7-4DE8-A38A-E5C7BD90DA59}"/>
    <cellStyle name="Escribir 2 2 6 3" xfId="524" xr:uid="{3F437306-678D-4D9B-879C-4E2AD4094CA1}"/>
    <cellStyle name="Escribir 2 2 6 4" xfId="942" xr:uid="{B7A1BBA3-71DF-4F28-B084-91C1A136F8EA}"/>
    <cellStyle name="Escribir 2 2 6 5" xfId="1355" xr:uid="{0EFAE75F-AC77-49AC-83A9-CB9129A42A78}"/>
    <cellStyle name="Escribir 2 2 6 6" xfId="1766" xr:uid="{19BE7CAD-D63F-4D25-9E77-B1B025843243}"/>
    <cellStyle name="Escribir 2 2 6 7" xfId="2174" xr:uid="{E341AB44-63CA-4B0B-9575-939BF64A068D}"/>
    <cellStyle name="Escribir 2 2 7" xfId="88" xr:uid="{00000000-0005-0000-0000-000014000000}"/>
    <cellStyle name="Escribir 2 2 7 2" xfId="285" xr:uid="{E3209EF5-FE4D-4B78-BCDE-BA2034D066C4}"/>
    <cellStyle name="Escribir 2 2 7 2 2" xfId="719" xr:uid="{053BE9A2-A03C-4EBB-9D25-9CA1821BE83A}"/>
    <cellStyle name="Escribir 2 2 7 2 3" xfId="1135" xr:uid="{2F2B3175-1914-45BA-BDB5-D00CD1EC6D73}"/>
    <cellStyle name="Escribir 2 2 7 2 4" xfId="1548" xr:uid="{FD953CC6-E652-4173-BB47-10E653FF267A}"/>
    <cellStyle name="Escribir 2 2 7 2 5" xfId="1958" xr:uid="{20040826-EB91-4F23-A66A-8C04BB0F80A3}"/>
    <cellStyle name="Escribir 2 2 7 2 6" xfId="2365" xr:uid="{392EEAE2-9B29-4A4C-829E-0BEE1232390A}"/>
    <cellStyle name="Escribir 2 2 7 3" xfId="522" xr:uid="{1BF10B2A-B555-49EA-91F8-7BD5C7B29AE7}"/>
    <cellStyle name="Escribir 2 2 7 4" xfId="940" xr:uid="{327DB497-D8BF-412A-A697-E86C9F854748}"/>
    <cellStyle name="Escribir 2 2 7 5" xfId="1353" xr:uid="{68536B26-BA71-4626-A89B-073A855A6A8D}"/>
    <cellStyle name="Escribir 2 2 7 6" xfId="1764" xr:uid="{59B5E2AE-30C9-4869-A1C2-A8C5A74D20C0}"/>
    <cellStyle name="Escribir 2 2 7 7" xfId="2172" xr:uid="{F471209C-3C06-49B6-8530-150BE0793360}"/>
    <cellStyle name="Escribir 2 2 8" xfId="98" xr:uid="{00000000-0005-0000-0000-000015000000}"/>
    <cellStyle name="Escribir 2 2 8 2" xfId="295" xr:uid="{B48D6A85-B37F-43E6-9B5B-1CBCCDAB31D2}"/>
    <cellStyle name="Escribir 2 2 8 2 2" xfId="729" xr:uid="{D166B4C7-7B0D-406A-A361-E4DE9F563729}"/>
    <cellStyle name="Escribir 2 2 8 2 3" xfId="1145" xr:uid="{58B7E8BB-B52E-45AD-91B3-40CD991E887D}"/>
    <cellStyle name="Escribir 2 2 8 2 4" xfId="1558" xr:uid="{189C4C45-8BE3-4D8D-90AB-A16B901AD695}"/>
    <cellStyle name="Escribir 2 2 8 2 5" xfId="1968" xr:uid="{2F5D5CB9-79B4-475F-AC8A-5D86E30F57B0}"/>
    <cellStyle name="Escribir 2 2 8 2 6" xfId="2375" xr:uid="{1E3B4DE1-DB28-4A7D-8E2D-D50D1C85C0D7}"/>
    <cellStyle name="Escribir 2 2 8 3" xfId="532" xr:uid="{A38DB46B-EC20-4ADE-BE16-8D24F469E426}"/>
    <cellStyle name="Escribir 2 2 8 4" xfId="950" xr:uid="{63547D3C-BE8D-43A7-AECF-7C2A39160D98}"/>
    <cellStyle name="Escribir 2 2 8 5" xfId="1363" xr:uid="{0868C0C1-6E2E-43A9-A9BA-5FE39A00096D}"/>
    <cellStyle name="Escribir 2 2 8 6" xfId="1774" xr:uid="{9EEB46C2-08F9-4C1A-8F42-3FD8BA6B6EAA}"/>
    <cellStyle name="Escribir 2 2 8 7" xfId="2182" xr:uid="{360E059E-14A4-4473-8149-D545A83E0F6E}"/>
    <cellStyle name="Escribir 2 2 9" xfId="111" xr:uid="{00000000-0005-0000-0000-000016000000}"/>
    <cellStyle name="Escribir 2 2 9 2" xfId="308" xr:uid="{FC232C5B-A34E-4D42-91C5-1DC6B75CCD1C}"/>
    <cellStyle name="Escribir 2 2 9 2 2" xfId="742" xr:uid="{39AA1EEE-3FBF-4335-A24A-E06E1B8164A3}"/>
    <cellStyle name="Escribir 2 2 9 2 3" xfId="1158" xr:uid="{6FAEA9D3-DFA6-448E-AE4A-02E5E3DF5D27}"/>
    <cellStyle name="Escribir 2 2 9 2 4" xfId="1571" xr:uid="{575EDA3D-EDBF-4EA0-9C03-631D88EE8ABE}"/>
    <cellStyle name="Escribir 2 2 9 2 5" xfId="1981" xr:uid="{D9B08FDE-040F-45F5-9E20-AA6C9DDB96A1}"/>
    <cellStyle name="Escribir 2 2 9 2 6" xfId="2388" xr:uid="{D3CB77D7-5B55-47E6-83AE-5EB324E08D75}"/>
    <cellStyle name="Escribir 2 2 9 3" xfId="545" xr:uid="{E26D105F-0449-467C-AAA7-A174C152D458}"/>
    <cellStyle name="Escribir 2 2 9 4" xfId="963" xr:uid="{B5BF7E9C-DF73-465A-B25C-C780F00FB35B}"/>
    <cellStyle name="Escribir 2 2 9 5" xfId="1376" xr:uid="{445B6044-68EA-4E62-A691-7D6DF1E08C23}"/>
    <cellStyle name="Escribir 2 2 9 6" xfId="1787" xr:uid="{D79EC43C-26B6-4698-BC94-F27DF850C3EF}"/>
    <cellStyle name="Escribir 2 2 9 7" xfId="2195" xr:uid="{E9519C01-4BBD-45BA-956C-E20749FB9566}"/>
    <cellStyle name="Escribir 2 20" xfId="198" xr:uid="{70CB7D16-36F4-44AC-A09C-5C25CA1C2F40}"/>
    <cellStyle name="Escribir 2 20 2" xfId="395" xr:uid="{1A405FC1-87F1-4F8C-9661-DF712B036CBC}"/>
    <cellStyle name="Escribir 2 20 2 2" xfId="829" xr:uid="{A7F508E5-6B90-4696-9D0F-1174CE0B9A7E}"/>
    <cellStyle name="Escribir 2 20 2 3" xfId="1244" xr:uid="{A4E34307-F7FD-4915-8328-BEF61E06BB0B}"/>
    <cellStyle name="Escribir 2 20 2 4" xfId="1657" xr:uid="{DCE372A0-43DA-4FCE-952A-51753CBE0196}"/>
    <cellStyle name="Escribir 2 20 2 5" xfId="2067" xr:uid="{676F6F87-D8AC-41D1-8839-50E34DA58E1F}"/>
    <cellStyle name="Escribir 2 20 2 6" xfId="2474" xr:uid="{2849A798-2E30-4892-B10C-0FF9583E4B66}"/>
    <cellStyle name="Escribir 2 20 3" xfId="632" xr:uid="{E5A74DCD-88EA-4182-8B8F-039AAAA3506C}"/>
    <cellStyle name="Escribir 2 20 4" xfId="1050" xr:uid="{BC5D7AEA-6852-4351-9092-3F36058B1B16}"/>
    <cellStyle name="Escribir 2 20 5" xfId="1463" xr:uid="{36D42E4A-975F-4403-963B-70FAB50E419A}"/>
    <cellStyle name="Escribir 2 20 6" xfId="1873" xr:uid="{B55D3692-A41D-4C4E-9075-AA68E3552173}"/>
    <cellStyle name="Escribir 2 20 7" xfId="2281" xr:uid="{6FA18B34-76C8-4A89-9786-8C970D2A1EA9}"/>
    <cellStyle name="Escribir 2 21" xfId="210" xr:uid="{6B853DFA-40D9-4A9D-9C43-05A39F9E902B}"/>
    <cellStyle name="Escribir 2 21 2" xfId="407" xr:uid="{AC707F16-6128-43E9-B2C6-A37B9FA55280}"/>
    <cellStyle name="Escribir 2 21 2 2" xfId="841" xr:uid="{53C93430-5307-4AC8-8DC2-C6040A16B497}"/>
    <cellStyle name="Escribir 2 21 2 3" xfId="1256" xr:uid="{0D7A5857-47D8-469A-8021-8FD720ACFDF5}"/>
    <cellStyle name="Escribir 2 21 2 4" xfId="1669" xr:uid="{ECFF661F-F434-4CD4-82C2-20192E6AF3C4}"/>
    <cellStyle name="Escribir 2 21 2 5" xfId="2079" xr:uid="{F3C7327C-6219-405A-87BF-96981D12CD23}"/>
    <cellStyle name="Escribir 2 21 2 6" xfId="2486" xr:uid="{3E6BEC2B-052F-467D-B3F7-FFE78CF8410A}"/>
    <cellStyle name="Escribir 2 21 3" xfId="644" xr:uid="{819FB96C-936D-48F6-B67B-8D3CDB0815E7}"/>
    <cellStyle name="Escribir 2 21 4" xfId="1062" xr:uid="{CA927003-DBD0-4C5A-8A74-10B08099FCA3}"/>
    <cellStyle name="Escribir 2 21 5" xfId="1475" xr:uid="{9434501A-73AC-4D48-8982-C36FF6B8B03C}"/>
    <cellStyle name="Escribir 2 21 6" xfId="1885" xr:uid="{0CECD1C9-A747-4DA4-88F3-B507235C013A}"/>
    <cellStyle name="Escribir 2 21 7" xfId="2293" xr:uid="{F3738282-E014-461D-BF24-2B0A0B3BA31D}"/>
    <cellStyle name="Escribir 2 22" xfId="226" xr:uid="{1D150A33-5755-4FC8-B964-3BCC6263F570}"/>
    <cellStyle name="Escribir 2 22 2" xfId="660" xr:uid="{F47046D7-93EE-4544-B6C0-696248FFBC77}"/>
    <cellStyle name="Escribir 2 22 3" xfId="1078" xr:uid="{25B565AE-31BC-49FD-9514-0F097EF522A4}"/>
    <cellStyle name="Escribir 2 22 4" xfId="1491" xr:uid="{1D219052-798F-4D27-BB2F-B024E8449D22}"/>
    <cellStyle name="Escribir 2 22 5" xfId="1901" xr:uid="{7EF5E766-AD3D-40F4-BF1B-876DDB42027E}"/>
    <cellStyle name="Escribir 2 22 6" xfId="2309" xr:uid="{C37E50AE-B72C-4349-A815-B1D54844A61C}"/>
    <cellStyle name="Escribir 2 23" xfId="423" xr:uid="{B9F64D4D-A1CF-4E95-99A2-5D7CE84FDA43}"/>
    <cellStyle name="Escribir 2 23 2" xfId="857" xr:uid="{319D54C9-D3C4-4B28-A483-FAA39CF82B89}"/>
    <cellStyle name="Escribir 2 23 3" xfId="1272" xr:uid="{C1CE412C-54B8-468E-ADDF-FDC35132F211}"/>
    <cellStyle name="Escribir 2 23 4" xfId="1685" xr:uid="{A6E1134B-83E3-4C41-9593-AE9346197EA9}"/>
    <cellStyle name="Escribir 2 23 5" xfId="2095" xr:uid="{B6271676-755D-48E5-87F4-9B5325536D20}"/>
    <cellStyle name="Escribir 2 23 6" xfId="2502" xr:uid="{237D3169-CE18-43CD-B06A-CC185BCF6333}"/>
    <cellStyle name="Escribir 2 24" xfId="437" xr:uid="{BC2FDF4C-1B92-4534-82F9-7D71E44D497C}"/>
    <cellStyle name="Escribir 2 24 2" xfId="871" xr:uid="{C4DEA5AB-0D7E-4CD0-98C9-8C791F89A240}"/>
    <cellStyle name="Escribir 2 24 3" xfId="1285" xr:uid="{56DC20DA-FAA4-49CE-BE64-B380A66137F1}"/>
    <cellStyle name="Escribir 2 24 4" xfId="1699" xr:uid="{F9BB1600-A40E-456E-B664-26D5C1DB4008}"/>
    <cellStyle name="Escribir 2 24 5" xfId="2109" xr:uid="{2C8F42B1-6977-4701-8EDA-B08D152991BF}"/>
    <cellStyle name="Escribir 2 24 6" xfId="2515" xr:uid="{111F7BC1-4EB5-4ABF-A8DB-61BC78F4EF79}"/>
    <cellStyle name="Escribir 2 25" xfId="433" xr:uid="{F5A1F4FB-B375-4577-8EF0-5E5222B89B9B}"/>
    <cellStyle name="Escribir 2 25 2" xfId="867" xr:uid="{80EBDA6E-3069-4BA8-895D-A39EAB707021}"/>
    <cellStyle name="Escribir 2 25 3" xfId="1281" xr:uid="{979A7318-3C94-415F-9BCC-0666C4C8C864}"/>
    <cellStyle name="Escribir 2 25 4" xfId="1695" xr:uid="{5108F21F-9E30-48CC-9E6C-532AC5C9FAD7}"/>
    <cellStyle name="Escribir 2 25 5" xfId="2105" xr:uid="{9FCF8BA1-3F6E-4837-B11B-0C6A4CF1818A}"/>
    <cellStyle name="Escribir 2 25 6" xfId="2511" xr:uid="{73DDFF73-AFE6-4A64-9189-D627C0673C71}"/>
    <cellStyle name="Escribir 2 26" xfId="456" xr:uid="{2D59AED3-A1C6-4C1F-81B8-E6E85DF5FC72}"/>
    <cellStyle name="Escribir 2 27" xfId="451" xr:uid="{CD52395C-A109-4673-81E4-E3A094E0F19C}"/>
    <cellStyle name="Escribir 2 28" xfId="467" xr:uid="{584DEB5A-B923-4D7E-823A-DBECD107989A}"/>
    <cellStyle name="Escribir 2 29" xfId="887" xr:uid="{1F22384D-BF79-43DF-B121-8A989D71E6A7}"/>
    <cellStyle name="Escribir 2 3" xfId="16" xr:uid="{00000000-0005-0000-0000-000017000000}"/>
    <cellStyle name="Escribir 2 3 10" xfId="113" xr:uid="{00000000-0005-0000-0000-000018000000}"/>
    <cellStyle name="Escribir 2 3 10 2" xfId="310" xr:uid="{C833F916-7839-4CF9-A0B0-7E901CD7B3AA}"/>
    <cellStyle name="Escribir 2 3 10 2 2" xfId="744" xr:uid="{D980C83D-ABE4-4A4C-A912-9AE98A59080C}"/>
    <cellStyle name="Escribir 2 3 10 2 3" xfId="1160" xr:uid="{A2D1E5DA-E59F-4C62-B334-25180EC0B295}"/>
    <cellStyle name="Escribir 2 3 10 2 4" xfId="1573" xr:uid="{B93B739E-F416-436F-A134-5D506BD71EF3}"/>
    <cellStyle name="Escribir 2 3 10 2 5" xfId="1983" xr:uid="{0471AF0D-B4CB-4726-BE6E-ED0E2F0A144F}"/>
    <cellStyle name="Escribir 2 3 10 2 6" xfId="2390" xr:uid="{46963D30-A143-404C-BE46-803BC047DE6D}"/>
    <cellStyle name="Escribir 2 3 10 3" xfId="547" xr:uid="{9861F957-77CA-49AA-9C71-44493A93C566}"/>
    <cellStyle name="Escribir 2 3 10 4" xfId="965" xr:uid="{16829E76-3D65-45ED-9FA4-421AC8622F7C}"/>
    <cellStyle name="Escribir 2 3 10 5" xfId="1378" xr:uid="{2C9149B6-509B-4DB6-BE11-282C36D9D128}"/>
    <cellStyle name="Escribir 2 3 10 6" xfId="1789" xr:uid="{35B04364-F61D-40C7-9C2D-277BA02F1C27}"/>
    <cellStyle name="Escribir 2 3 10 7" xfId="2197" xr:uid="{8468356E-588A-496D-A3E6-310D1FF204D0}"/>
    <cellStyle name="Escribir 2 3 11" xfId="123" xr:uid="{00000000-0005-0000-0000-000019000000}"/>
    <cellStyle name="Escribir 2 3 11 2" xfId="320" xr:uid="{A90DEEBA-38AF-426D-A415-DD9B32A19783}"/>
    <cellStyle name="Escribir 2 3 11 2 2" xfId="754" xr:uid="{CAFB280E-6803-4CF6-BDF4-90C5ED5AF387}"/>
    <cellStyle name="Escribir 2 3 11 2 3" xfId="1170" xr:uid="{FA7BB0C7-6DFB-4734-B41D-2C49DBB5EC8F}"/>
    <cellStyle name="Escribir 2 3 11 2 4" xfId="1583" xr:uid="{26551298-B461-436D-A282-A6E72178F944}"/>
    <cellStyle name="Escribir 2 3 11 2 5" xfId="1993" xr:uid="{A3804749-CF1A-47AA-9C3D-011ACB7A26E8}"/>
    <cellStyle name="Escribir 2 3 11 2 6" xfId="2400" xr:uid="{C7D0DE91-41CA-4B18-9E33-3E0134AB403D}"/>
    <cellStyle name="Escribir 2 3 11 3" xfId="557" xr:uid="{973E9019-9C15-480F-B375-D2D93639C13B}"/>
    <cellStyle name="Escribir 2 3 11 4" xfId="975" xr:uid="{EF382654-BCED-4A2D-B185-FB7855F7E7F9}"/>
    <cellStyle name="Escribir 2 3 11 5" xfId="1388" xr:uid="{EB7492F4-6CC0-4360-824B-67561D420A3B}"/>
    <cellStyle name="Escribir 2 3 11 6" xfId="1799" xr:uid="{41002CC1-A1E2-4133-B6FE-3B56ABB1211D}"/>
    <cellStyle name="Escribir 2 3 11 7" xfId="2207" xr:uid="{BC0E2AF0-9348-4327-9CD9-788FEAEEB920}"/>
    <cellStyle name="Escribir 2 3 12" xfId="132" xr:uid="{00000000-0005-0000-0000-00001A000000}"/>
    <cellStyle name="Escribir 2 3 12 2" xfId="329" xr:uid="{116198CF-76CD-4894-8BCF-CDF02EE803F0}"/>
    <cellStyle name="Escribir 2 3 12 2 2" xfId="763" xr:uid="{3EB81257-34E0-4A41-BACE-D8DF9FB1425B}"/>
    <cellStyle name="Escribir 2 3 12 2 3" xfId="1179" xr:uid="{29AAD31C-5179-4F49-BD49-2E7BA423925E}"/>
    <cellStyle name="Escribir 2 3 12 2 4" xfId="1592" xr:uid="{595EE5F9-175D-4326-892A-24939372926D}"/>
    <cellStyle name="Escribir 2 3 12 2 5" xfId="2002" xr:uid="{5918EB74-45C7-4259-BFCD-B0976762E271}"/>
    <cellStyle name="Escribir 2 3 12 2 6" xfId="2409" xr:uid="{F8F8810A-CC2D-449C-BA41-C188FF959F11}"/>
    <cellStyle name="Escribir 2 3 12 3" xfId="566" xr:uid="{626ACDF4-0578-4330-B918-42982034D0E7}"/>
    <cellStyle name="Escribir 2 3 12 4" xfId="984" xr:uid="{50EB66F9-BA71-4154-BED7-E95F9A1C1A06}"/>
    <cellStyle name="Escribir 2 3 12 5" xfId="1397" xr:uid="{00CC162B-D053-4E1C-8723-A1877D111F6A}"/>
    <cellStyle name="Escribir 2 3 12 6" xfId="1808" xr:uid="{ED87BCA2-6B58-4511-B42D-9C9D599C80E9}"/>
    <cellStyle name="Escribir 2 3 12 7" xfId="2216" xr:uid="{09B1C064-81E2-4271-9F74-26D1E3BFD114}"/>
    <cellStyle name="Escribir 2 3 13" xfId="139" xr:uid="{00000000-0005-0000-0000-00001B000000}"/>
    <cellStyle name="Escribir 2 3 13 2" xfId="336" xr:uid="{56272F98-C6C3-41C2-9109-53254ECBF588}"/>
    <cellStyle name="Escribir 2 3 13 2 2" xfId="770" xr:uid="{8FEFB4A9-2A0F-4FCB-B65A-6FEE385CBF6B}"/>
    <cellStyle name="Escribir 2 3 13 2 3" xfId="1186" xr:uid="{8AA79B99-E461-4988-BB12-23C9C31078F6}"/>
    <cellStyle name="Escribir 2 3 13 2 4" xfId="1599" xr:uid="{0BA47430-33AA-44DA-8F73-070EAB56E80F}"/>
    <cellStyle name="Escribir 2 3 13 2 5" xfId="2009" xr:uid="{8536B204-8D4B-4FFC-92A6-C2B53EB8DF0C}"/>
    <cellStyle name="Escribir 2 3 13 2 6" xfId="2416" xr:uid="{3CBAD11B-E4AB-41C5-80A5-F55E805869B9}"/>
    <cellStyle name="Escribir 2 3 13 3" xfId="573" xr:uid="{AD906697-E81F-4722-9682-5EF23E27AEFB}"/>
    <cellStyle name="Escribir 2 3 13 4" xfId="991" xr:uid="{DD42D791-536D-4820-8682-3212F62AC234}"/>
    <cellStyle name="Escribir 2 3 13 5" xfId="1404" xr:uid="{5032080E-2245-4568-9718-41B7F0173B43}"/>
    <cellStyle name="Escribir 2 3 13 6" xfId="1815" xr:uid="{1CE2BBB9-34D3-429C-A93C-6D2FF8757CE7}"/>
    <cellStyle name="Escribir 2 3 13 7" xfId="2223" xr:uid="{78A8DED9-3A04-4248-9DDB-32CB2686400E}"/>
    <cellStyle name="Escribir 2 3 14" xfId="148" xr:uid="{00000000-0005-0000-0000-00001C000000}"/>
    <cellStyle name="Escribir 2 3 14 2" xfId="345" xr:uid="{AA342691-040D-47C9-B71A-B1468EAAA30D}"/>
    <cellStyle name="Escribir 2 3 14 2 2" xfId="779" xr:uid="{1071D67A-236D-42D5-BD90-3863D10FDFFA}"/>
    <cellStyle name="Escribir 2 3 14 2 3" xfId="1195" xr:uid="{8917C277-11BF-4418-87FC-D483F6D9E367}"/>
    <cellStyle name="Escribir 2 3 14 2 4" xfId="1608" xr:uid="{8160BBF0-C7A4-4970-AF6D-CA9682F9C7B2}"/>
    <cellStyle name="Escribir 2 3 14 2 5" xfId="2018" xr:uid="{D892A19C-C741-4C6B-A638-EFC0F373792F}"/>
    <cellStyle name="Escribir 2 3 14 2 6" xfId="2425" xr:uid="{B30B971F-AD67-4AD8-BBA3-5F4BB31CEBFF}"/>
    <cellStyle name="Escribir 2 3 14 3" xfId="582" xr:uid="{97583F31-A903-447A-B0FA-A1BF55C3F0C9}"/>
    <cellStyle name="Escribir 2 3 14 4" xfId="1000" xr:uid="{1EC199BA-2F1E-427A-A73B-5A4B043E6EA9}"/>
    <cellStyle name="Escribir 2 3 14 5" xfId="1413" xr:uid="{9DF2995B-F5F2-4020-A899-906E6F33E6CC}"/>
    <cellStyle name="Escribir 2 3 14 6" xfId="1824" xr:uid="{52EFCC67-29B9-4915-9EFB-1F3AB977CB83}"/>
    <cellStyle name="Escribir 2 3 14 7" xfId="2232" xr:uid="{CE6F9318-84F8-4DD6-A615-13E982F39301}"/>
    <cellStyle name="Escribir 2 3 15" xfId="155" xr:uid="{00000000-0005-0000-0000-00001D000000}"/>
    <cellStyle name="Escribir 2 3 15 2" xfId="352" xr:uid="{7C69C380-06E7-4680-8009-843CE8617699}"/>
    <cellStyle name="Escribir 2 3 15 2 2" xfId="786" xr:uid="{EF4658A7-0E06-4FB7-A5F3-F2DEBDB588DF}"/>
    <cellStyle name="Escribir 2 3 15 2 3" xfId="1202" xr:uid="{A14F5561-F524-4BAD-9BEF-2568BB7328BF}"/>
    <cellStyle name="Escribir 2 3 15 2 4" xfId="1615" xr:uid="{A294F44F-555C-43EE-9458-597B801CC180}"/>
    <cellStyle name="Escribir 2 3 15 2 5" xfId="2025" xr:uid="{DF753F49-FD17-4878-805E-266CF577A269}"/>
    <cellStyle name="Escribir 2 3 15 2 6" xfId="2432" xr:uid="{430196B7-8D4C-4279-888B-4654042BF725}"/>
    <cellStyle name="Escribir 2 3 15 3" xfId="589" xr:uid="{C9D9E791-16F5-4551-A2F6-580118BF5345}"/>
    <cellStyle name="Escribir 2 3 15 4" xfId="1007" xr:uid="{6A7DC7AC-1810-4442-BF7C-70A4AA59D145}"/>
    <cellStyle name="Escribir 2 3 15 5" xfId="1420" xr:uid="{A5F1E168-0741-4DB0-99EA-2726858B2FA6}"/>
    <cellStyle name="Escribir 2 3 15 6" xfId="1831" xr:uid="{EEB0D722-DB6C-4C13-B044-A6C017B79126}"/>
    <cellStyle name="Escribir 2 3 15 7" xfId="2239" xr:uid="{13D0368A-10FF-4BB2-B67F-2956217F505B}"/>
    <cellStyle name="Escribir 2 3 16" xfId="162" xr:uid="{E02F49AF-0142-4314-BFE0-99033779472F}"/>
    <cellStyle name="Escribir 2 3 16 2" xfId="359" xr:uid="{8798BDFD-B3CA-4087-8740-80A5AE7938D6}"/>
    <cellStyle name="Escribir 2 3 16 2 2" xfId="793" xr:uid="{841E345E-EC53-4E1E-905E-87C1342677F1}"/>
    <cellStyle name="Escribir 2 3 16 2 3" xfId="1209" xr:uid="{9FD65BA1-A7C3-4180-8F30-E6013D5194F9}"/>
    <cellStyle name="Escribir 2 3 16 2 4" xfId="1622" xr:uid="{21E35AE3-86DA-4533-9944-307C0708DCCA}"/>
    <cellStyle name="Escribir 2 3 16 2 5" xfId="2032" xr:uid="{B0DE1E8B-D583-4C65-8B98-C68BE02694A1}"/>
    <cellStyle name="Escribir 2 3 16 2 6" xfId="2439" xr:uid="{725F6BBF-F070-492F-B596-D528DA7E3D54}"/>
    <cellStyle name="Escribir 2 3 16 3" xfId="596" xr:uid="{61ED0427-F7A0-4901-9225-6AD9C10437ED}"/>
    <cellStyle name="Escribir 2 3 16 4" xfId="1014" xr:uid="{A80C056C-F30E-49E3-8F49-833C41377EDC}"/>
    <cellStyle name="Escribir 2 3 16 5" xfId="1427" xr:uid="{67D34223-820B-43C3-BD2D-2DB09AE8BF53}"/>
    <cellStyle name="Escribir 2 3 16 6" xfId="1838" xr:uid="{32EECF28-E0EF-4DE3-AD99-3714BFDEC0F6}"/>
    <cellStyle name="Escribir 2 3 16 7" xfId="2246" xr:uid="{E8EFC3CD-8640-475C-9D05-9915C5C81536}"/>
    <cellStyle name="Escribir 2 3 17" xfId="180" xr:uid="{96DC62BD-FA47-4975-A89F-5B850502649E}"/>
    <cellStyle name="Escribir 2 3 17 2" xfId="377" xr:uid="{4D43BF0D-00FF-4307-BC62-22C46B2CDE21}"/>
    <cellStyle name="Escribir 2 3 17 2 2" xfId="811" xr:uid="{8672E181-E227-4E7F-874F-ED0C7C5437EB}"/>
    <cellStyle name="Escribir 2 3 17 2 3" xfId="1226" xr:uid="{DACB4727-BB95-406C-AF73-4559FCF8F182}"/>
    <cellStyle name="Escribir 2 3 17 2 4" xfId="1639" xr:uid="{CF05E3DF-45E9-489C-BA95-D2DB9C05C8C7}"/>
    <cellStyle name="Escribir 2 3 17 2 5" xfId="2049" xr:uid="{0404C226-6589-4E4A-B3D6-203C7F9888F9}"/>
    <cellStyle name="Escribir 2 3 17 2 6" xfId="2456" xr:uid="{2E2FD636-AE1F-47DA-8ED1-0AAE7366D9E2}"/>
    <cellStyle name="Escribir 2 3 17 3" xfId="614" xr:uid="{4624717C-0537-4CB4-A460-8E46B339B263}"/>
    <cellStyle name="Escribir 2 3 17 4" xfId="1032" xr:uid="{78F8A5C6-8824-4B54-AC4E-DEACC278E898}"/>
    <cellStyle name="Escribir 2 3 17 5" xfId="1445" xr:uid="{69DB0ACC-7050-4308-90AB-848C9E9C58CB}"/>
    <cellStyle name="Escribir 2 3 17 6" xfId="1855" xr:uid="{F6831E8F-D337-41F5-BFC0-94B71EF57DC8}"/>
    <cellStyle name="Escribir 2 3 17 7" xfId="2263" xr:uid="{F5775AC9-1CBE-4D53-9AE8-F52F1E2E0B4B}"/>
    <cellStyle name="Escribir 2 3 18" xfId="190" xr:uid="{426E40D7-3809-41FA-A17B-D8D6A495BCB1}"/>
    <cellStyle name="Escribir 2 3 18 2" xfId="387" xr:uid="{34ECE449-B1B0-4A54-80AE-B2DA0BBEA527}"/>
    <cellStyle name="Escribir 2 3 18 2 2" xfId="821" xr:uid="{E3AA1517-93DF-419D-8F2D-C3C605801343}"/>
    <cellStyle name="Escribir 2 3 18 2 3" xfId="1236" xr:uid="{6753AFA8-42C6-4905-AD92-13CDC4396E1E}"/>
    <cellStyle name="Escribir 2 3 18 2 4" xfId="1649" xr:uid="{215C52FC-252B-43D9-AED8-B32C87A3DFA0}"/>
    <cellStyle name="Escribir 2 3 18 2 5" xfId="2059" xr:uid="{E1AE0F77-406B-4DC3-B2F9-12ADC12C784C}"/>
    <cellStyle name="Escribir 2 3 18 2 6" xfId="2466" xr:uid="{E7349F9A-5A21-40E7-B70F-F6AFED5A97CE}"/>
    <cellStyle name="Escribir 2 3 18 3" xfId="624" xr:uid="{8636A327-DD3E-4738-B6BD-7B4C0645D3A4}"/>
    <cellStyle name="Escribir 2 3 18 4" xfId="1042" xr:uid="{D03A8047-5D9E-41AF-9D73-002FE2503796}"/>
    <cellStyle name="Escribir 2 3 18 5" xfId="1455" xr:uid="{521AA422-068E-4FEC-ABF5-452400B8EEA7}"/>
    <cellStyle name="Escribir 2 3 18 6" xfId="1865" xr:uid="{495C81AB-2348-4659-8E07-256F923820CA}"/>
    <cellStyle name="Escribir 2 3 18 7" xfId="2273" xr:uid="{8908DB64-B138-41B6-8743-96212E0A0174}"/>
    <cellStyle name="Escribir 2 3 19" xfId="200" xr:uid="{CEE9E9AA-8A8C-448D-929C-DB61A20942CE}"/>
    <cellStyle name="Escribir 2 3 19 2" xfId="397" xr:uid="{B37D6BDD-0BB8-4594-BCFF-F04BE272DC00}"/>
    <cellStyle name="Escribir 2 3 19 2 2" xfId="831" xr:uid="{D41DDC88-E97F-4D01-AC15-92B6AD1E61C6}"/>
    <cellStyle name="Escribir 2 3 19 2 3" xfId="1246" xr:uid="{40A65D62-8B38-45E9-B796-ECC45773A796}"/>
    <cellStyle name="Escribir 2 3 19 2 4" xfId="1659" xr:uid="{F563601E-2E44-465C-B241-60D92AC6922B}"/>
    <cellStyle name="Escribir 2 3 19 2 5" xfId="2069" xr:uid="{EE1D0CFB-DD4E-4781-8245-4A0D5FCF9861}"/>
    <cellStyle name="Escribir 2 3 19 2 6" xfId="2476" xr:uid="{B32C7345-F638-4096-9703-C0DE9E4DDF08}"/>
    <cellStyle name="Escribir 2 3 19 3" xfId="634" xr:uid="{A00C2D33-1BCC-4F5F-921B-47B34B015231}"/>
    <cellStyle name="Escribir 2 3 19 4" xfId="1052" xr:uid="{DCFD62AC-6515-45DF-AD22-15C2DBBE7EB6}"/>
    <cellStyle name="Escribir 2 3 19 5" xfId="1465" xr:uid="{82D08649-C5CC-41A6-91D6-71A232439422}"/>
    <cellStyle name="Escribir 2 3 19 6" xfId="1875" xr:uid="{837BE19E-A138-44AA-A92C-5856CB657D60}"/>
    <cellStyle name="Escribir 2 3 19 7" xfId="2283" xr:uid="{E7C2FCD4-E901-4F32-B3C7-45F84E759CB5}"/>
    <cellStyle name="Escribir 2 3 2" xfId="45" xr:uid="{00000000-0005-0000-0000-00001E000000}"/>
    <cellStyle name="Escribir 2 3 2 2" xfId="242" xr:uid="{E7834B4D-259C-47C7-AFD4-49650C8E0F83}"/>
    <cellStyle name="Escribir 2 3 2 2 2" xfId="676" xr:uid="{31FE609E-44B6-4DB2-B00C-0B41198550DE}"/>
    <cellStyle name="Escribir 2 3 2 2 3" xfId="1093" xr:uid="{FC28CF1F-D991-43E3-A9FA-951DC583A24A}"/>
    <cellStyle name="Escribir 2 3 2 2 4" xfId="1506" xr:uid="{0DDD999A-0255-4657-BDFC-77407CE1C836}"/>
    <cellStyle name="Escribir 2 3 2 2 5" xfId="1916" xr:uid="{9CEA6495-8A55-41BE-A0E5-004C8E00E435}"/>
    <cellStyle name="Escribir 2 3 2 2 6" xfId="2324" xr:uid="{EC120A62-E464-4F2A-9EAC-A9996080D396}"/>
    <cellStyle name="Escribir 2 3 2 3" xfId="479" xr:uid="{7644770D-2F91-4790-8CFF-4885EB5A55CA}"/>
    <cellStyle name="Escribir 2 3 2 4" xfId="897" xr:uid="{AE2081E3-BE84-4078-ACC5-1B3CD1DBFAE9}"/>
    <cellStyle name="Escribir 2 3 2 5" xfId="1312" xr:uid="{7205F39C-7ECB-459A-98C4-E4F563FB64BC}"/>
    <cellStyle name="Escribir 2 3 2 6" xfId="1723" xr:uid="{A14B5FEB-390F-44FE-A98D-BA448CCDBFFB}"/>
    <cellStyle name="Escribir 2 3 2 7" xfId="2131" xr:uid="{8AA1D59B-38BD-4FB5-A12D-2767C848CDBB}"/>
    <cellStyle name="Escribir 2 3 20" xfId="212" xr:uid="{EE6994F2-4C67-42CF-B7D7-31CB5230F25F}"/>
    <cellStyle name="Escribir 2 3 20 2" xfId="409" xr:uid="{09621B6C-64D8-4843-AD92-DDB97B914515}"/>
    <cellStyle name="Escribir 2 3 20 2 2" xfId="843" xr:uid="{FCCD1B37-23ED-41D2-BA61-7D7E7128CC1C}"/>
    <cellStyle name="Escribir 2 3 20 2 3" xfId="1258" xr:uid="{8C70194E-B423-4C7F-BF9A-11F99C20BA24}"/>
    <cellStyle name="Escribir 2 3 20 2 4" xfId="1671" xr:uid="{0B54E2EB-8005-43EA-93B4-791C9B85261B}"/>
    <cellStyle name="Escribir 2 3 20 2 5" xfId="2081" xr:uid="{E6647EE7-8C4E-4A61-8800-792A49043658}"/>
    <cellStyle name="Escribir 2 3 20 2 6" xfId="2488" xr:uid="{E238DE7C-D178-4253-A9BD-DE96DC086313}"/>
    <cellStyle name="Escribir 2 3 20 3" xfId="646" xr:uid="{99978509-50E0-46F4-9F54-FB8B24BEE50E}"/>
    <cellStyle name="Escribir 2 3 20 4" xfId="1064" xr:uid="{23BA769B-8D60-4CA1-BD42-88E91F9A96E6}"/>
    <cellStyle name="Escribir 2 3 20 5" xfId="1477" xr:uid="{7BC79D4E-24D9-479D-9495-6ABFAC82B961}"/>
    <cellStyle name="Escribir 2 3 20 6" xfId="1887" xr:uid="{64FAFE16-B08A-4B76-B1F0-5DE4CDA4AEF1}"/>
    <cellStyle name="Escribir 2 3 20 7" xfId="2295" xr:uid="{FC80BB19-225D-4663-B252-65387EFB9AD1}"/>
    <cellStyle name="Escribir 2 3 21" xfId="228" xr:uid="{6CF8CB9B-8B3C-47A0-890E-132B38E85466}"/>
    <cellStyle name="Escribir 2 3 21 2" xfId="662" xr:uid="{AD1077BE-CEB8-4F76-A478-DE7170BAA270}"/>
    <cellStyle name="Escribir 2 3 21 3" xfId="1080" xr:uid="{FA70833B-7994-49D6-8F04-028B5EF213D7}"/>
    <cellStyle name="Escribir 2 3 21 4" xfId="1493" xr:uid="{DC70D21A-129D-49C4-8D8F-78C64C45C620}"/>
    <cellStyle name="Escribir 2 3 21 5" xfId="1903" xr:uid="{8CB9890E-041D-4972-989B-FC9364FA00AF}"/>
    <cellStyle name="Escribir 2 3 21 6" xfId="2311" xr:uid="{B018E579-A59D-4CA0-8726-1F00DAF777BD}"/>
    <cellStyle name="Escribir 2 3 22" xfId="425" xr:uid="{14B53BC0-2012-486C-9BC9-30764EFA3082}"/>
    <cellStyle name="Escribir 2 3 22 2" xfId="859" xr:uid="{8582D5FE-ADAD-4BF8-B563-34A11594D6F6}"/>
    <cellStyle name="Escribir 2 3 22 3" xfId="1274" xr:uid="{DF18259C-B43B-4088-9583-ED1E85937A47}"/>
    <cellStyle name="Escribir 2 3 22 4" xfId="1687" xr:uid="{C1F048BA-D27F-43B8-96EE-4839C0B7D58F}"/>
    <cellStyle name="Escribir 2 3 22 5" xfId="2097" xr:uid="{F09B2CB9-5F3C-4F6C-87E8-DD65ACD0D833}"/>
    <cellStyle name="Escribir 2 3 22 6" xfId="2504" xr:uid="{A37F9EE6-7F12-47AF-9D3D-99534F1A1C8C}"/>
    <cellStyle name="Escribir 2 3 23" xfId="440" xr:uid="{4666C1AA-BDB3-40FC-83D8-7E25E1312EEC}"/>
    <cellStyle name="Escribir 2 3 23 2" xfId="874" xr:uid="{CF89E1B5-18FE-414C-BEAA-5EAB44CB9123}"/>
    <cellStyle name="Escribir 2 3 23 3" xfId="1288" xr:uid="{A3008B24-6230-455F-9A01-885D759D4056}"/>
    <cellStyle name="Escribir 2 3 23 4" xfId="1702" xr:uid="{F401AF15-FFA3-4E84-8052-A6EE77129016}"/>
    <cellStyle name="Escribir 2 3 23 5" xfId="2112" xr:uid="{FFAF36E2-0FDB-4A72-B1D5-F95075F2CA66}"/>
    <cellStyle name="Escribir 2 3 23 6" xfId="2518" xr:uid="{B95EC9F1-BEFC-4D3F-961A-41C232C429BD}"/>
    <cellStyle name="Escribir 2 3 24" xfId="432" xr:uid="{BAD88F7D-A5D9-40D9-A998-56D60C0F95D3}"/>
    <cellStyle name="Escribir 2 3 24 2" xfId="866" xr:uid="{32168184-4CC8-4AF5-B6CC-C997116A1DC2}"/>
    <cellStyle name="Escribir 2 3 24 3" xfId="1280" xr:uid="{90A0E070-4365-4064-9060-6A3AC025735A}"/>
    <cellStyle name="Escribir 2 3 24 4" xfId="1694" xr:uid="{3F112DA3-B07D-472C-8BFD-B6F5926962D5}"/>
    <cellStyle name="Escribir 2 3 24 5" xfId="2104" xr:uid="{BAEA7E55-6FE8-4926-A01B-A23F26746ADC}"/>
    <cellStyle name="Escribir 2 3 24 6" xfId="2510" xr:uid="{2EFA23A7-4AA6-4640-A270-2BD0CE84F5F7}"/>
    <cellStyle name="Escribir 2 3 25" xfId="459" xr:uid="{89562535-7BA6-4330-BA02-2A1CA5C0F094}"/>
    <cellStyle name="Escribir 2 3 26" xfId="457" xr:uid="{D8AE2A45-67E1-4F0D-B51F-1D1A518A9AC6}"/>
    <cellStyle name="Escribir 2 3 27" xfId="886" xr:uid="{DAADF287-0270-476A-B4BD-14FA3A4BEC90}"/>
    <cellStyle name="Escribir 2 3 28" xfId="1691" xr:uid="{3451D17B-82C4-4BAF-844F-1F3F379CACDF}"/>
    <cellStyle name="Escribir 2 3 29" xfId="1299" xr:uid="{DC37D0A6-9E6C-41FF-95DD-3D77665D15D6}"/>
    <cellStyle name="Escribir 2 3 3" xfId="58" xr:uid="{00000000-0005-0000-0000-00001F000000}"/>
    <cellStyle name="Escribir 2 3 3 2" xfId="255" xr:uid="{B0C01C9E-0EA8-4B96-8E53-C1E3F3353803}"/>
    <cellStyle name="Escribir 2 3 3 2 2" xfId="689" xr:uid="{9BF36A4C-0C4E-4B0A-9FF5-B905E97E87E3}"/>
    <cellStyle name="Escribir 2 3 3 2 3" xfId="1106" xr:uid="{A181F809-93CD-408B-8D84-1AC55BDC6348}"/>
    <cellStyle name="Escribir 2 3 3 2 4" xfId="1518" xr:uid="{5DB85F5D-7C20-42C8-8F8E-117570755787}"/>
    <cellStyle name="Escribir 2 3 3 2 5" xfId="1929" xr:uid="{15E56C54-8AFF-4F76-B574-155164C5A5AF}"/>
    <cellStyle name="Escribir 2 3 3 2 6" xfId="2336" xr:uid="{E96E259A-4174-4A9B-8F5D-E240F1C7F5E1}"/>
    <cellStyle name="Escribir 2 3 3 3" xfId="492" xr:uid="{2C991DA9-432E-43CE-A686-A556256BDF87}"/>
    <cellStyle name="Escribir 2 3 3 4" xfId="910" xr:uid="{B1DF6FF7-733D-489A-8238-4620355CB782}"/>
    <cellStyle name="Escribir 2 3 3 5" xfId="1324" xr:uid="{087E7F01-ABD1-475E-A780-A589CE9ACB98}"/>
    <cellStyle name="Escribir 2 3 3 6" xfId="1735" xr:uid="{74C5658C-90EE-4028-A6CB-3C120E589A97}"/>
    <cellStyle name="Escribir 2 3 3 7" xfId="2143" xr:uid="{FE15B96C-B513-4DE2-9ECF-1CB74AB3E142}"/>
    <cellStyle name="Escribir 2 3 4" xfId="39" xr:uid="{00000000-0005-0000-0000-000020000000}"/>
    <cellStyle name="Escribir 2 3 4 2" xfId="236" xr:uid="{E65F3C62-8BC5-4B69-8D5C-8AFC8285C7CD}"/>
    <cellStyle name="Escribir 2 3 4 2 2" xfId="670" xr:uid="{2E29D9BA-09FC-4239-B022-E9F06ADF5AA6}"/>
    <cellStyle name="Escribir 2 3 4 2 3" xfId="1087" xr:uid="{454D8729-AEEA-49CD-A70F-A1A24C318FC4}"/>
    <cellStyle name="Escribir 2 3 4 2 4" xfId="1500" xr:uid="{8CBC861C-E693-43D5-B438-15FCAB0469A8}"/>
    <cellStyle name="Escribir 2 3 4 2 5" xfId="1910" xr:uid="{55B4B96D-C63B-4373-92AE-680F1F910B85}"/>
    <cellStyle name="Escribir 2 3 4 2 6" xfId="2318" xr:uid="{3EC139A5-0C28-4F01-AA50-4A24C8D4A3B3}"/>
    <cellStyle name="Escribir 2 3 4 3" xfId="473" xr:uid="{AD89ED18-04E0-4002-879A-44D880CF43D4}"/>
    <cellStyle name="Escribir 2 3 4 4" xfId="891" xr:uid="{3BB3661C-D224-494F-ABDC-FAD1B0453EFF}"/>
    <cellStyle name="Escribir 2 3 4 5" xfId="1306" xr:uid="{BFD5922A-292D-470A-A334-C89E05C44658}"/>
    <cellStyle name="Escribir 2 3 4 6" xfId="1717" xr:uid="{DD49E0DA-0E78-425B-915C-7B17394D42D6}"/>
    <cellStyle name="Escribir 2 3 4 7" xfId="2125" xr:uid="{2DC62DFE-C40C-4ED5-B900-4CE69E5AA663}"/>
    <cellStyle name="Escribir 2 3 5" xfId="71" xr:uid="{00000000-0005-0000-0000-000021000000}"/>
    <cellStyle name="Escribir 2 3 5 2" xfId="268" xr:uid="{559E77B2-9AE9-4A41-93CD-25CF706B66B9}"/>
    <cellStyle name="Escribir 2 3 5 2 2" xfId="702" xr:uid="{995851A9-7496-4CA0-9761-67B9423B6AC9}"/>
    <cellStyle name="Escribir 2 3 5 2 3" xfId="1119" xr:uid="{D3CE6DB8-829C-4825-A6A7-09B6365A057B}"/>
    <cellStyle name="Escribir 2 3 5 2 4" xfId="1531" xr:uid="{C2DC1B22-10FE-4CA3-B94F-5ACE3545C3D2}"/>
    <cellStyle name="Escribir 2 3 5 2 5" xfId="1942" xr:uid="{37CF5CFE-F436-4D13-90DB-297EB144AB90}"/>
    <cellStyle name="Escribir 2 3 5 2 6" xfId="2349" xr:uid="{4195F0FA-12BF-4C56-8008-4900CC0E9041}"/>
    <cellStyle name="Escribir 2 3 5 3" xfId="505" xr:uid="{B0CE0B75-BA42-49AF-8AD8-3E55BEB6B615}"/>
    <cellStyle name="Escribir 2 3 5 4" xfId="923" xr:uid="{38FE4A18-0DC6-430B-8E28-EDD4D82BE188}"/>
    <cellStyle name="Escribir 2 3 5 5" xfId="1337" xr:uid="{79869905-2B76-4A87-A43C-BF7A5E770719}"/>
    <cellStyle name="Escribir 2 3 5 6" xfId="1748" xr:uid="{CD7963AD-91D8-44DA-A0BE-42B4785E062A}"/>
    <cellStyle name="Escribir 2 3 5 7" xfId="2156" xr:uid="{E7D02DF4-C74F-4471-B33D-4F730A29AF69}"/>
    <cellStyle name="Escribir 2 3 6" xfId="77" xr:uid="{00000000-0005-0000-0000-000022000000}"/>
    <cellStyle name="Escribir 2 3 6 2" xfId="274" xr:uid="{26A9CDCA-61B7-4FB8-91F3-0F9B540C2474}"/>
    <cellStyle name="Escribir 2 3 6 2 2" xfId="708" xr:uid="{3AA04C9E-6FD9-494F-A2FB-25B9111CFEA3}"/>
    <cellStyle name="Escribir 2 3 6 2 3" xfId="1125" xr:uid="{359B66DF-A9F9-4C2E-B16F-635872DBE3CE}"/>
    <cellStyle name="Escribir 2 3 6 2 4" xfId="1537" xr:uid="{707AC83B-5B6C-4DD3-93B5-ADA4C601D230}"/>
    <cellStyle name="Escribir 2 3 6 2 5" xfId="1948" xr:uid="{F029B5BA-CE82-4BD1-A8E8-E347535CA697}"/>
    <cellStyle name="Escribir 2 3 6 2 6" xfId="2355" xr:uid="{66C3E511-7F93-49A9-ADDC-C0AE61471285}"/>
    <cellStyle name="Escribir 2 3 6 3" xfId="511" xr:uid="{46361094-6D27-47BD-9ECB-D2C0E50A3BF7}"/>
    <cellStyle name="Escribir 2 3 6 4" xfId="929" xr:uid="{AD8C9D4D-78B8-448A-884E-2B75E11EBC56}"/>
    <cellStyle name="Escribir 2 3 6 5" xfId="1343" xr:uid="{B52520C7-3B6E-4881-B280-6D7B4981B9E4}"/>
    <cellStyle name="Escribir 2 3 6 6" xfId="1754" xr:uid="{9FED6F7F-C1A7-4832-A9E9-2402B76BE982}"/>
    <cellStyle name="Escribir 2 3 6 7" xfId="2162" xr:uid="{9AF334D0-2C20-4FB1-A173-A14B46940F9C}"/>
    <cellStyle name="Escribir 2 3 7" xfId="93" xr:uid="{00000000-0005-0000-0000-000023000000}"/>
    <cellStyle name="Escribir 2 3 7 2" xfId="290" xr:uid="{E27254C4-EBAD-47E6-9123-3268238296C9}"/>
    <cellStyle name="Escribir 2 3 7 2 2" xfId="724" xr:uid="{89462585-18AD-4BB8-997B-F684F88DCA70}"/>
    <cellStyle name="Escribir 2 3 7 2 3" xfId="1140" xr:uid="{6AC04D6F-34D7-4949-8B65-03B54E036816}"/>
    <cellStyle name="Escribir 2 3 7 2 4" xfId="1553" xr:uid="{46138116-F16B-47C7-8049-7F7C59DD46E8}"/>
    <cellStyle name="Escribir 2 3 7 2 5" xfId="1963" xr:uid="{1F576717-81DD-4561-8797-EB8A3FB3558A}"/>
    <cellStyle name="Escribir 2 3 7 2 6" xfId="2370" xr:uid="{E7111BCD-7BB3-4CB1-B4D6-A613A41C1715}"/>
    <cellStyle name="Escribir 2 3 7 3" xfId="527" xr:uid="{CAC15521-F2B9-4F2A-9645-9D73E3E8D972}"/>
    <cellStyle name="Escribir 2 3 7 4" xfId="945" xr:uid="{4B095992-38A9-4CC7-893C-12CE3B656C76}"/>
    <cellStyle name="Escribir 2 3 7 5" xfId="1358" xr:uid="{64AE9262-2465-41D1-A198-D29A2F4A3455}"/>
    <cellStyle name="Escribir 2 3 7 6" xfId="1769" xr:uid="{990375E0-66BF-4F4C-8AC6-582FE2049C11}"/>
    <cellStyle name="Escribir 2 3 7 7" xfId="2177" xr:uid="{06BE4F60-175D-42A1-A59D-250DD02D009E}"/>
    <cellStyle name="Escribir 2 3 8" xfId="86" xr:uid="{00000000-0005-0000-0000-000024000000}"/>
    <cellStyle name="Escribir 2 3 8 2" xfId="283" xr:uid="{C9246F2E-3EB0-42BE-B907-1201E4DE041B}"/>
    <cellStyle name="Escribir 2 3 8 2 2" xfId="717" xr:uid="{BAE69DF5-98E8-48F1-8D11-6CAF971B9E1B}"/>
    <cellStyle name="Escribir 2 3 8 2 3" xfId="1133" xr:uid="{92E89978-5D41-4FFC-8A35-D997D9618045}"/>
    <cellStyle name="Escribir 2 3 8 2 4" xfId="1546" xr:uid="{5ACC255B-15B7-4291-9F17-F0866B07080C}"/>
    <cellStyle name="Escribir 2 3 8 2 5" xfId="1956" xr:uid="{8ECFC61F-5871-4C11-B917-9AE7B0EDF8C5}"/>
    <cellStyle name="Escribir 2 3 8 2 6" xfId="2363" xr:uid="{9ABA730F-7787-4C6F-840E-DA3A00A7E479}"/>
    <cellStyle name="Escribir 2 3 8 3" xfId="520" xr:uid="{5FA96DAA-0A06-42F2-B169-2687B762E1E6}"/>
    <cellStyle name="Escribir 2 3 8 4" xfId="938" xr:uid="{33EDB723-A794-44A0-8507-A7EB2CEB1B86}"/>
    <cellStyle name="Escribir 2 3 8 5" xfId="1351" xr:uid="{E21FCE25-2A00-4F71-A181-6297AF2F8F6B}"/>
    <cellStyle name="Escribir 2 3 8 6" xfId="1762" xr:uid="{DCBC11F1-D772-4573-A320-17F583218C15}"/>
    <cellStyle name="Escribir 2 3 8 7" xfId="2170" xr:uid="{636A0A8F-CB9D-4B54-86C4-7F1E649768D8}"/>
    <cellStyle name="Escribir 2 3 9" xfId="106" xr:uid="{00000000-0005-0000-0000-000025000000}"/>
    <cellStyle name="Escribir 2 3 9 2" xfId="303" xr:uid="{573B6F6C-7E82-46EC-A0FF-C1A7AB4B1F9C}"/>
    <cellStyle name="Escribir 2 3 9 2 2" xfId="737" xr:uid="{566F2ACA-5F92-4B4A-B9F9-F9599E4F3245}"/>
    <cellStyle name="Escribir 2 3 9 2 3" xfId="1153" xr:uid="{E4854536-84CD-49A6-BD23-AD02A8138ADE}"/>
    <cellStyle name="Escribir 2 3 9 2 4" xfId="1566" xr:uid="{8EBFBAFB-A9A3-4534-91E8-ED00128B1AD8}"/>
    <cellStyle name="Escribir 2 3 9 2 5" xfId="1976" xr:uid="{A504F88C-149F-4E18-BD2C-13A735641A2D}"/>
    <cellStyle name="Escribir 2 3 9 2 6" xfId="2383" xr:uid="{5D6095B8-137B-4202-AC92-461866190DA0}"/>
    <cellStyle name="Escribir 2 3 9 3" xfId="540" xr:uid="{552A78EC-E800-4D1F-ACC6-A6A11CDA0BC4}"/>
    <cellStyle name="Escribir 2 3 9 4" xfId="958" xr:uid="{040E91B5-2123-4345-95E1-7DDD1B782919}"/>
    <cellStyle name="Escribir 2 3 9 5" xfId="1371" xr:uid="{133CA00C-43C2-46E5-A054-7569695CC020}"/>
    <cellStyle name="Escribir 2 3 9 6" xfId="1782" xr:uid="{74FE6799-3280-4671-B62F-E877E4BB7AF7}"/>
    <cellStyle name="Escribir 2 3 9 7" xfId="2190" xr:uid="{2BCACF0B-2D72-46FF-B68B-7F47A1BBDFCD}"/>
    <cellStyle name="Escribir 2 30" xfId="903" xr:uid="{4601DE38-A91A-40F3-BE63-2EA598A0B5FF}"/>
    <cellStyle name="Escribir 2 4" xfId="43" xr:uid="{00000000-0005-0000-0000-000026000000}"/>
    <cellStyle name="Escribir 2 4 2" xfId="240" xr:uid="{A4708ACB-78CE-498B-A475-C47A03AE0844}"/>
    <cellStyle name="Escribir 2 4 2 2" xfId="674" xr:uid="{9B9EEE84-B0FF-4C84-B35B-8FFF26A25BC3}"/>
    <cellStyle name="Escribir 2 4 2 3" xfId="1091" xr:uid="{986B6A46-E645-4DAB-BDD9-7543554424F7}"/>
    <cellStyle name="Escribir 2 4 2 4" xfId="1504" xr:uid="{2E3E24BA-A902-4B75-871D-FA5F5253E574}"/>
    <cellStyle name="Escribir 2 4 2 5" xfId="1914" xr:uid="{10D1D2CF-FF82-4D25-8161-7C446B0C8377}"/>
    <cellStyle name="Escribir 2 4 2 6" xfId="2322" xr:uid="{1018E7E3-2DD9-445D-99AF-7837CC5A9780}"/>
    <cellStyle name="Escribir 2 4 3" xfId="477" xr:uid="{C087CE4F-4C30-4779-9596-37EA87EB29BC}"/>
    <cellStyle name="Escribir 2 4 4" xfId="895" xr:uid="{3F963EED-0D9B-461D-B717-564C30A94A1D}"/>
    <cellStyle name="Escribir 2 4 5" xfId="1310" xr:uid="{8CA128FA-F16A-458A-AC7D-8191C2932557}"/>
    <cellStyle name="Escribir 2 4 6" xfId="1721" xr:uid="{8B24403E-0A85-44F1-90EC-B4F37BF726A4}"/>
    <cellStyle name="Escribir 2 4 7" xfId="2129" xr:uid="{F43D587D-89A0-48D7-87A4-4757F7A6AC81}"/>
    <cellStyle name="Escribir 2 5" xfId="55" xr:uid="{00000000-0005-0000-0000-000027000000}"/>
    <cellStyle name="Escribir 2 5 2" xfId="252" xr:uid="{29A555E8-AF7B-42DC-8379-4666F38721C6}"/>
    <cellStyle name="Escribir 2 5 2 2" xfId="686" xr:uid="{7B6CF69D-90A9-451C-92DC-04C4D0FAB1A3}"/>
    <cellStyle name="Escribir 2 5 2 3" xfId="1103" xr:uid="{EAE0DC06-7BFC-40D6-B5A1-78A7606E4B3A}"/>
    <cellStyle name="Escribir 2 5 2 4" xfId="1515" xr:uid="{72D3F757-13E9-4DD5-A579-267A88C5A1E3}"/>
    <cellStyle name="Escribir 2 5 2 5" xfId="1926" xr:uid="{3707D0ED-52B5-4DCF-89DF-DF65A04840E2}"/>
    <cellStyle name="Escribir 2 5 2 6" xfId="2333" xr:uid="{DE8B0476-A31F-44B2-BA79-BF74E745DDE0}"/>
    <cellStyle name="Escribir 2 5 3" xfId="489" xr:uid="{8EF792BF-8CB4-4E74-BE63-C34962A83383}"/>
    <cellStyle name="Escribir 2 5 4" xfId="907" xr:uid="{CF00AF6E-AB06-4DCE-B4AE-56730235D3ED}"/>
    <cellStyle name="Escribir 2 5 5" xfId="1321" xr:uid="{D61F57A8-B794-48C4-A845-3EC87FFB4949}"/>
    <cellStyle name="Escribir 2 5 6" xfId="1732" xr:uid="{9466E3E7-345E-4880-831B-18D8792FA96F}"/>
    <cellStyle name="Escribir 2 5 7" xfId="2140" xr:uid="{E6E61DE5-42B1-45E4-93BF-E70DA7A57D86}"/>
    <cellStyle name="Escribir 2 6" xfId="38" xr:uid="{00000000-0005-0000-0000-000028000000}"/>
    <cellStyle name="Escribir 2 6 2" xfId="235" xr:uid="{614F926C-8B24-4901-AB78-315364E78AB6}"/>
    <cellStyle name="Escribir 2 6 2 2" xfId="669" xr:uid="{59297AD3-028A-4D7A-B0A7-A6284F31FF18}"/>
    <cellStyle name="Escribir 2 6 2 3" xfId="1086" xr:uid="{AA10215B-38B5-433E-97D5-C9CCC9AA733A}"/>
    <cellStyle name="Escribir 2 6 2 4" xfId="1499" xr:uid="{8FA23BDE-2106-4077-9B1A-72684210177F}"/>
    <cellStyle name="Escribir 2 6 2 5" xfId="1909" xr:uid="{8C4131C3-C0A5-4BA1-B5FE-3664A7C9C197}"/>
    <cellStyle name="Escribir 2 6 2 6" xfId="2317" xr:uid="{3F60BDBA-EEA3-44A8-A7FB-7621784337B2}"/>
    <cellStyle name="Escribir 2 6 3" xfId="472" xr:uid="{C0BC8BF7-8862-47F3-A81E-EFCC45D16094}"/>
    <cellStyle name="Escribir 2 6 4" xfId="890" xr:uid="{45985124-CF6C-42E9-8646-39CC47C4F23D}"/>
    <cellStyle name="Escribir 2 6 5" xfId="1305" xr:uid="{2188F745-F005-4A2F-9D27-E38A3A8178BF}"/>
    <cellStyle name="Escribir 2 6 6" xfId="1716" xr:uid="{C3102F1E-5CF9-433D-9988-CA1B1A9575CF}"/>
    <cellStyle name="Escribir 2 6 7" xfId="2124" xr:uid="{E4D6FE50-F6C9-4FF0-8E99-55C45E9A8936}"/>
    <cellStyle name="Escribir 2 7" xfId="63" xr:uid="{00000000-0005-0000-0000-000029000000}"/>
    <cellStyle name="Escribir 2 7 2" xfId="260" xr:uid="{4A9FCECB-6A1B-4FA1-90D5-DA9D1CFCCC94}"/>
    <cellStyle name="Escribir 2 7 2 2" xfId="694" xr:uid="{1D581224-E39A-4687-9EF7-ACB2681002D7}"/>
    <cellStyle name="Escribir 2 7 2 3" xfId="1111" xr:uid="{0376C330-E611-4816-964E-15AEF1EEE713}"/>
    <cellStyle name="Escribir 2 7 2 4" xfId="1523" xr:uid="{F872E208-8211-44ED-9B41-08584FFDAD00}"/>
    <cellStyle name="Escribir 2 7 2 5" xfId="1934" xr:uid="{D29D905E-5AD8-444F-B960-897FD0BD4435}"/>
    <cellStyle name="Escribir 2 7 2 6" xfId="2341" xr:uid="{0B9D58E0-5DD3-4086-96CA-D28DB857D091}"/>
    <cellStyle name="Escribir 2 7 3" xfId="497" xr:uid="{6CFBA609-7B9E-46C5-A853-C206435757A3}"/>
    <cellStyle name="Escribir 2 7 4" xfId="915" xr:uid="{3A87472E-A517-43E6-9E1B-8EC0DAEC7233}"/>
    <cellStyle name="Escribir 2 7 5" xfId="1329" xr:uid="{A0C63CEF-DE91-46E0-8D74-877F87C690F2}"/>
    <cellStyle name="Escribir 2 7 6" xfId="1740" xr:uid="{6BDF5CCC-019D-410C-8442-3FCCA93B9BD0}"/>
    <cellStyle name="Escribir 2 7 7" xfId="2148" xr:uid="{89414238-E27E-4D08-AD72-610ABBA27DFA}"/>
    <cellStyle name="Escribir 2 8" xfId="75" xr:uid="{00000000-0005-0000-0000-00002A000000}"/>
    <cellStyle name="Escribir 2 8 2" xfId="272" xr:uid="{16244151-C15F-4B0D-9171-A4FF87350472}"/>
    <cellStyle name="Escribir 2 8 2 2" xfId="706" xr:uid="{B5456082-0960-499F-B281-A4D563009A06}"/>
    <cellStyle name="Escribir 2 8 2 3" xfId="1123" xr:uid="{18983991-D522-4845-BAFB-35A136F8D1A6}"/>
    <cellStyle name="Escribir 2 8 2 4" xfId="1535" xr:uid="{AA9AF48B-7D35-4E2A-9BDC-A0F129A49609}"/>
    <cellStyle name="Escribir 2 8 2 5" xfId="1946" xr:uid="{F69E53A6-4D4A-402E-8790-B519DE89A67F}"/>
    <cellStyle name="Escribir 2 8 2 6" xfId="2353" xr:uid="{B146AEC1-9819-4221-B5A6-F7D8E7C4B6BC}"/>
    <cellStyle name="Escribir 2 8 3" xfId="509" xr:uid="{13225321-D8C4-4A3B-BA80-7337A7266AAC}"/>
    <cellStyle name="Escribir 2 8 4" xfId="927" xr:uid="{0B5933D7-7D53-4E83-8CDF-7BA92CCB66E5}"/>
    <cellStyle name="Escribir 2 8 5" xfId="1341" xr:uid="{AAC0F02A-65B4-40D9-ADF6-C1EB9F6CA277}"/>
    <cellStyle name="Escribir 2 8 6" xfId="1752" xr:uid="{43EF5DEB-D80B-4BE3-9960-1C5FB30C9832}"/>
    <cellStyle name="Escribir 2 8 7" xfId="2160" xr:uid="{6B27501C-747F-4DB6-A8E8-02B71E805C78}"/>
    <cellStyle name="Escribir 2 9" xfId="91" xr:uid="{00000000-0005-0000-0000-00002B000000}"/>
    <cellStyle name="Escribir 2 9 2" xfId="288" xr:uid="{99EE0127-73F5-4F6A-8351-04E5E32C99A4}"/>
    <cellStyle name="Escribir 2 9 2 2" xfId="722" xr:uid="{6F23C0A9-DD4B-4327-AD9A-F531645479B8}"/>
    <cellStyle name="Escribir 2 9 2 3" xfId="1138" xr:uid="{9F186F10-4C0C-4D68-ACD6-B64429E0C350}"/>
    <cellStyle name="Escribir 2 9 2 4" xfId="1551" xr:uid="{FCAC8E10-2243-4B68-83B3-722ABAE59A9C}"/>
    <cellStyle name="Escribir 2 9 2 5" xfId="1961" xr:uid="{9FAB1356-DC91-4816-8020-B3B993CCD2E2}"/>
    <cellStyle name="Escribir 2 9 2 6" xfId="2368" xr:uid="{3909B2DE-56D5-4BE5-93A4-F1B04E16DFD8}"/>
    <cellStyle name="Escribir 2 9 3" xfId="525" xr:uid="{F95C60DF-E10F-45F3-A36B-EC0825693457}"/>
    <cellStyle name="Escribir 2 9 4" xfId="943" xr:uid="{C242F458-2351-4E5A-96F1-80F4AEFD6292}"/>
    <cellStyle name="Escribir 2 9 5" xfId="1356" xr:uid="{C33DAB1D-5991-4530-90F8-2DFD34ADBD1A}"/>
    <cellStyle name="Escribir 2 9 6" xfId="1767" xr:uid="{48F736A1-B352-48C4-B73F-CFCFC6EB6B98}"/>
    <cellStyle name="Escribir 2 9 7" xfId="2175" xr:uid="{09CFAB34-0455-4FD1-8E24-39C36D8CDBA2}"/>
    <cellStyle name="Hipervínculo" xfId="19" builtinId="8" hidden="1"/>
    <cellStyle name="Hipervínculo visitado" xfId="20" builtinId="9" hidden="1"/>
    <cellStyle name="Millares [0]" xfId="30" builtinId="6"/>
    <cellStyle name="Millares [0] 2" xfId="1" xr:uid="{00000000-0005-0000-0000-00002F000000}"/>
    <cellStyle name="Millares [0] 2 2" xfId="2" xr:uid="{00000000-0005-0000-0000-000030000000}"/>
    <cellStyle name="Millares [0] 3" xfId="36" xr:uid="{00000000-0005-0000-0000-000031000000}"/>
    <cellStyle name="Millares [0] 3 2 2" xfId="3" xr:uid="{00000000-0005-0000-0000-000032000000}"/>
    <cellStyle name="Millares [0] 3 2 2 2" xfId="13" xr:uid="{00000000-0005-0000-0000-000033000000}"/>
    <cellStyle name="Millares [0] 4" xfId="51" xr:uid="{00000000-0005-0000-0000-000034000000}"/>
    <cellStyle name="Millares [0] 4 2" xfId="166" xr:uid="{306284BB-30A7-458A-83AD-10DA7CDACCE1}"/>
    <cellStyle name="Millares [0] 4 2 2" xfId="363" xr:uid="{9E8147D0-CB62-45DC-B3DA-A6F7C9164316}"/>
    <cellStyle name="Millares [0] 4 2 2 2" xfId="797" xr:uid="{B9565B60-E8D2-4518-BD54-9F46157629E1}"/>
    <cellStyle name="Millares [0] 4 2 3" xfId="600" xr:uid="{0580948A-9775-4706-AA04-7B49B690E5DA}"/>
    <cellStyle name="Millares [0] 4 3" xfId="248" xr:uid="{D8F0E587-CB19-4749-A270-FF33F430AA52}"/>
    <cellStyle name="Millares [0] 4 3 2" xfId="682" xr:uid="{BE2FABD1-AAF0-4DFB-BC23-650E84ED6B19}"/>
    <cellStyle name="Millares [0] 4 4" xfId="485" xr:uid="{566E6332-6F56-477C-9C52-677DFA759ACA}"/>
    <cellStyle name="Millares [0] 5" xfId="81" xr:uid="{00000000-0005-0000-0000-000035000000}"/>
    <cellStyle name="Millares [0] 5 2" xfId="278" xr:uid="{B8542C25-0673-4AA8-83C9-990A08BF3223}"/>
    <cellStyle name="Millares [0] 5 2 2" xfId="712" xr:uid="{60FF9639-4948-4EA6-ACCD-3B90CF7B37C4}"/>
    <cellStyle name="Millares [0] 5 3" xfId="515" xr:uid="{1C6B72DE-366D-4234-8611-5CC2319B3482}"/>
    <cellStyle name="Millares [0] 6" xfId="232" xr:uid="{AF70C630-A9E5-4EB7-87BD-44DE7AF322F4}"/>
    <cellStyle name="Millares [0] 6 2" xfId="666" xr:uid="{62F35D37-A2BB-419A-97FD-80DDB7E44F04}"/>
    <cellStyle name="Millares [0] 7" xfId="429" xr:uid="{958F6C68-8BBA-4F44-932A-CBB2109C1F0F}"/>
    <cellStyle name="Millares [0] 7 2" xfId="863" xr:uid="{CEF784C7-9B7D-4EC0-8AA9-4EB4F7A46E2A}"/>
    <cellStyle name="Millares [0] 8" xfId="466" xr:uid="{15E1D3B2-6339-4DAC-8705-71F9D6756129}"/>
    <cellStyle name="Millares 10 3" xfId="4" xr:uid="{00000000-0005-0000-0000-000036000000}"/>
    <cellStyle name="Millares 2" xfId="5" xr:uid="{00000000-0005-0000-0000-000037000000}"/>
    <cellStyle name="Millares 2 2" xfId="34" xr:uid="{00000000-0005-0000-0000-000038000000}"/>
    <cellStyle name="Normal" xfId="0" builtinId="0"/>
    <cellStyle name="Normal 2" xfId="6" xr:uid="{00000000-0005-0000-0000-00003A000000}"/>
    <cellStyle name="Normal 2 2" xfId="7" xr:uid="{00000000-0005-0000-0000-00003B000000}"/>
    <cellStyle name="Normal 3" xfId="449" xr:uid="{3D3D14F2-C8F7-4429-813D-26A313651531}"/>
    <cellStyle name="Normal 6" xfId="8" xr:uid="{00000000-0005-0000-0000-00003C000000}"/>
    <cellStyle name="Normal_nombre" xfId="10" xr:uid="{00000000-0005-0000-0000-00003D000000}"/>
    <cellStyle name="Normal_REM 02-2002" xfId="23" xr:uid="{00000000-0005-0000-0000-00003E000000}"/>
    <cellStyle name="Normal_REM 04-2002" xfId="25" xr:uid="{00000000-0005-0000-0000-00003F000000}"/>
    <cellStyle name="Normal_REM 05-2002" xfId="24" xr:uid="{00000000-0005-0000-0000-000040000000}"/>
    <cellStyle name="Normal_REM 09-2002" xfId="33" xr:uid="{00000000-0005-0000-0000-000041000000}"/>
    <cellStyle name="Normal_REM 17-2002" xfId="17" xr:uid="{00000000-0005-0000-0000-000042000000}"/>
    <cellStyle name="Normal_REM 18A-2002" xfId="27" xr:uid="{00000000-0005-0000-0000-000043000000}"/>
    <cellStyle name="Normal_REM 21-2002" xfId="28" xr:uid="{00000000-0005-0000-0000-000044000000}"/>
    <cellStyle name="Normal_RMC-MUNI" xfId="32" xr:uid="{00000000-0005-0000-0000-000045000000}"/>
    <cellStyle name="Notas 2" xfId="9" xr:uid="{00000000-0005-0000-0000-000046000000}"/>
    <cellStyle name="Notas 2 10" xfId="84" xr:uid="{00000000-0005-0000-0000-000047000000}"/>
    <cellStyle name="Notas 2 10 2" xfId="281" xr:uid="{55F58605-D71B-4D0D-B447-B9A7C1F04F9E}"/>
    <cellStyle name="Notas 2 10 2 2" xfId="715" xr:uid="{E8022804-20CF-46F5-85C6-BE037B7AE4D4}"/>
    <cellStyle name="Notas 2 10 2 3" xfId="1131" xr:uid="{72DF1A11-3419-4E36-BA8A-6C7C359BA3BA}"/>
    <cellStyle name="Notas 2 10 2 4" xfId="1544" xr:uid="{C33C1BD5-B7F7-4F9C-B97F-BB265E9A89C2}"/>
    <cellStyle name="Notas 2 10 2 5" xfId="1954" xr:uid="{A05D8D25-2500-4BAB-8FE2-7F06BF7023DB}"/>
    <cellStyle name="Notas 2 10 2 6" xfId="2361" xr:uid="{23E8A14F-C116-473C-897B-B752A9B28441}"/>
    <cellStyle name="Notas 2 10 3" xfId="518" xr:uid="{B09B643D-0AC5-431E-B915-AD408E82C810}"/>
    <cellStyle name="Notas 2 10 4" xfId="936" xr:uid="{71D7620E-2FE9-46FD-8718-37D246A43D65}"/>
    <cellStyle name="Notas 2 10 5" xfId="1349" xr:uid="{F3FC9A80-1BD4-49AB-B108-F9C597B79E07}"/>
    <cellStyle name="Notas 2 10 6" xfId="1760" xr:uid="{946FD175-7A34-45F3-BB73-6C01A002E492}"/>
    <cellStyle name="Notas 2 10 7" xfId="2168" xr:uid="{00A3AEDC-B5E6-4D4D-B40C-A1C3ED0D68AD}"/>
    <cellStyle name="Notas 2 11" xfId="97" xr:uid="{00000000-0005-0000-0000-000048000000}"/>
    <cellStyle name="Notas 2 11 2" xfId="294" xr:uid="{B8DE554E-AD12-482B-903A-6CB852EB3812}"/>
    <cellStyle name="Notas 2 11 2 2" xfId="728" xr:uid="{1A8BB024-CD2D-4965-B90F-9FCD08445D88}"/>
    <cellStyle name="Notas 2 11 2 3" xfId="1144" xr:uid="{31CBDC2F-BF95-4E9E-A213-4182D29F2C47}"/>
    <cellStyle name="Notas 2 11 2 4" xfId="1557" xr:uid="{B789D1C3-C341-45F8-ADD5-4F8E9D0A2AB1}"/>
    <cellStyle name="Notas 2 11 2 5" xfId="1967" xr:uid="{FBFFBE7C-A654-471A-9A0E-A3DC6DF132C4}"/>
    <cellStyle name="Notas 2 11 2 6" xfId="2374" xr:uid="{D0669625-485F-4439-ABD1-528D04F17922}"/>
    <cellStyle name="Notas 2 11 3" xfId="531" xr:uid="{5CE58CB5-12BB-4A49-8239-30C43038D4F5}"/>
    <cellStyle name="Notas 2 11 4" xfId="949" xr:uid="{69916BA1-91E5-4A07-8B5C-8A8C7526112E}"/>
    <cellStyle name="Notas 2 11 5" xfId="1362" xr:uid="{FC768B44-1914-4699-BB3B-6D038EE85086}"/>
    <cellStyle name="Notas 2 11 6" xfId="1773" xr:uid="{766FB3B2-38F2-49EF-A250-FD7543FC633A}"/>
    <cellStyle name="Notas 2 11 7" xfId="2181" xr:uid="{E73CA4B0-C9CF-49A4-8E55-A082BE8C6FE6}"/>
    <cellStyle name="Notas 2 12" xfId="118" xr:uid="{00000000-0005-0000-0000-000049000000}"/>
    <cellStyle name="Notas 2 12 2" xfId="315" xr:uid="{AA2204F0-9FFA-4ED6-B54A-006B784BCBD7}"/>
    <cellStyle name="Notas 2 12 2 2" xfId="749" xr:uid="{977E6262-14A1-49BE-9D3E-E8E0A23CC929}"/>
    <cellStyle name="Notas 2 12 2 3" xfId="1165" xr:uid="{A3CC56D3-0330-4FB9-B9CB-27B9F2E4E340}"/>
    <cellStyle name="Notas 2 12 2 4" xfId="1578" xr:uid="{2D0798C6-AD21-478F-B42D-B5F3AEEB1EE0}"/>
    <cellStyle name="Notas 2 12 2 5" xfId="1988" xr:uid="{912FE52A-2C81-49D2-AE6D-FE12CBFE5F11}"/>
    <cellStyle name="Notas 2 12 2 6" xfId="2395" xr:uid="{852969D0-91BE-45F4-B144-E3B642CF434D}"/>
    <cellStyle name="Notas 2 12 3" xfId="552" xr:uid="{668AB710-0611-4922-A908-49BC5640D916}"/>
    <cellStyle name="Notas 2 12 4" xfId="970" xr:uid="{64037C71-1651-426A-BE11-AF36CA5512D9}"/>
    <cellStyle name="Notas 2 12 5" xfId="1383" xr:uid="{90D57FD6-20B8-4204-A03D-3F1A69D3A7E7}"/>
    <cellStyle name="Notas 2 12 6" xfId="1794" xr:uid="{713FC4AA-CB03-4FD7-8B54-7B667F021BA1}"/>
    <cellStyle name="Notas 2 12 7" xfId="2202" xr:uid="{22425B6C-BB18-47A6-BE0C-172AEA0A02BC}"/>
    <cellStyle name="Notas 2 13" xfId="128" xr:uid="{00000000-0005-0000-0000-00004A000000}"/>
    <cellStyle name="Notas 2 13 2" xfId="325" xr:uid="{5DA66067-008A-44B1-8FA6-0130E8EEFEE0}"/>
    <cellStyle name="Notas 2 13 2 2" xfId="759" xr:uid="{37C4E85A-9E99-4728-8511-E2C84DA20C2F}"/>
    <cellStyle name="Notas 2 13 2 3" xfId="1175" xr:uid="{AEDFC8D5-50A1-41ED-8F86-604B86580422}"/>
    <cellStyle name="Notas 2 13 2 4" xfId="1588" xr:uid="{C6CFD3CC-888B-4F02-9CF7-52F9F61C505E}"/>
    <cellStyle name="Notas 2 13 2 5" xfId="1998" xr:uid="{82A6BCA1-8C02-4A8D-8BA6-604DA094A094}"/>
    <cellStyle name="Notas 2 13 2 6" xfId="2405" xr:uid="{1C3743A6-DAFE-4BCA-8ACF-67D2C4AF6AA7}"/>
    <cellStyle name="Notas 2 13 3" xfId="562" xr:uid="{7A68F711-B14B-44BE-A424-37D593ADC647}"/>
    <cellStyle name="Notas 2 13 4" xfId="980" xr:uid="{A6A1BF3F-1F24-4D70-811D-52E365AE32DD}"/>
    <cellStyle name="Notas 2 13 5" xfId="1393" xr:uid="{0E818319-441D-4E3B-BD69-9C8F1EA85CF2}"/>
    <cellStyle name="Notas 2 13 6" xfId="1804" xr:uid="{40CD8A4E-1906-4021-8798-20B115151B1E}"/>
    <cellStyle name="Notas 2 13 7" xfId="2212" xr:uid="{F490794E-5084-4698-84A8-5C4D307A9C07}"/>
    <cellStyle name="Notas 2 14" xfId="117" xr:uid="{00000000-0005-0000-0000-00004B000000}"/>
    <cellStyle name="Notas 2 14 2" xfId="314" xr:uid="{431713E0-E040-4C87-A3B1-6B32E9D33C80}"/>
    <cellStyle name="Notas 2 14 2 2" xfId="748" xr:uid="{53F87AB5-6B8D-4AFC-82E4-FBF5FE1FE566}"/>
    <cellStyle name="Notas 2 14 2 3" xfId="1164" xr:uid="{EF01A2E8-DFC9-4EF6-BE05-8C8E820321DB}"/>
    <cellStyle name="Notas 2 14 2 4" xfId="1577" xr:uid="{79929117-C8F0-435B-903D-C7F54FFFEEEF}"/>
    <cellStyle name="Notas 2 14 2 5" xfId="1987" xr:uid="{1EEC5A7F-DC51-4BC6-A986-ACF0C33694F7}"/>
    <cellStyle name="Notas 2 14 2 6" xfId="2394" xr:uid="{ABC69B50-64A7-4A53-A9C9-E8227CCF71F0}"/>
    <cellStyle name="Notas 2 14 3" xfId="551" xr:uid="{702B8348-9B1C-4CAA-98D8-362628CD553A}"/>
    <cellStyle name="Notas 2 14 4" xfId="969" xr:uid="{908832FA-76E6-45BA-A282-2B1A1B1BD1AC}"/>
    <cellStyle name="Notas 2 14 5" xfId="1382" xr:uid="{44A2E696-E254-42AB-8903-C25C1A761CFD}"/>
    <cellStyle name="Notas 2 14 6" xfId="1793" xr:uid="{014B1FCE-86FE-4922-A8E0-0E05E6EA5844}"/>
    <cellStyle name="Notas 2 14 7" xfId="2201" xr:uid="{8B253D66-EF49-40D3-9F95-D838C8D8F3FD}"/>
    <cellStyle name="Notas 2 15" xfId="144" xr:uid="{00000000-0005-0000-0000-00004C000000}"/>
    <cellStyle name="Notas 2 15 2" xfId="341" xr:uid="{6060473A-0440-44EA-9216-20C470D646EA}"/>
    <cellStyle name="Notas 2 15 2 2" xfId="775" xr:uid="{6BF90297-2449-4433-84F3-4FC764B269A1}"/>
    <cellStyle name="Notas 2 15 2 3" xfId="1191" xr:uid="{3552C9B6-653F-41A4-8E2B-F0D4EB6824B1}"/>
    <cellStyle name="Notas 2 15 2 4" xfId="1604" xr:uid="{D7EE28CA-DA9D-4EDA-BE18-3572D76BCC4C}"/>
    <cellStyle name="Notas 2 15 2 5" xfId="2014" xr:uid="{FCCE71BB-2F24-4804-81EB-FEF94F2062F3}"/>
    <cellStyle name="Notas 2 15 2 6" xfId="2421" xr:uid="{A5EE02B4-980E-4F3E-B425-972F01752B9E}"/>
    <cellStyle name="Notas 2 15 3" xfId="578" xr:uid="{A9A5E0BA-C3FA-4304-93F9-BF7242D17139}"/>
    <cellStyle name="Notas 2 15 4" xfId="996" xr:uid="{6FF381A1-6847-4F8C-8ABC-EA79AD998EAA}"/>
    <cellStyle name="Notas 2 15 5" xfId="1409" xr:uid="{5FE4EC34-69DC-4176-9ADE-922CFAC2D4A0}"/>
    <cellStyle name="Notas 2 15 6" xfId="1820" xr:uid="{0B164D9E-87F7-413F-9237-1AB2E3D4B058}"/>
    <cellStyle name="Notas 2 15 7" xfId="2228" xr:uid="{8EAF4D02-FF9D-437A-B07A-B0F18B7DF49E}"/>
    <cellStyle name="Notas 2 16" xfId="153" xr:uid="{00000000-0005-0000-0000-00004D000000}"/>
    <cellStyle name="Notas 2 16 2" xfId="350" xr:uid="{5EFDE236-F7D7-472E-AB9C-3B842BAB6489}"/>
    <cellStyle name="Notas 2 16 2 2" xfId="784" xr:uid="{27DE4398-1FAA-45B8-90C2-2C01E9487B61}"/>
    <cellStyle name="Notas 2 16 2 3" xfId="1200" xr:uid="{8B1717E9-BCE9-425B-8DAF-A3A6584A4FAC}"/>
    <cellStyle name="Notas 2 16 2 4" xfId="1613" xr:uid="{0254B1E0-3BC0-4561-8F70-118F2BDC0A15}"/>
    <cellStyle name="Notas 2 16 2 5" xfId="2023" xr:uid="{9BE62868-FBA1-4DAF-9B01-8987D60EBF07}"/>
    <cellStyle name="Notas 2 16 2 6" xfId="2430" xr:uid="{DF461DBD-D08F-460E-B899-D3512A605EBF}"/>
    <cellStyle name="Notas 2 16 3" xfId="587" xr:uid="{9F5407B7-0DEE-49B4-A013-E0392038B687}"/>
    <cellStyle name="Notas 2 16 4" xfId="1005" xr:uid="{5F298BDD-CBFF-4AE4-933A-0ED10CFB7810}"/>
    <cellStyle name="Notas 2 16 5" xfId="1418" xr:uid="{78E3BDB5-2047-46A0-9172-2251FBFB61FC}"/>
    <cellStyle name="Notas 2 16 6" xfId="1829" xr:uid="{6B0A44CF-251E-435C-AD21-29BD76337668}"/>
    <cellStyle name="Notas 2 16 7" xfId="2237" xr:uid="{20D9BF98-EF9C-48C2-A599-8EDB9141EA32}"/>
    <cellStyle name="Notas 2 17" xfId="158" xr:uid="{6F8CB93F-6FB2-4D15-B431-DB2E7B89A9D4}"/>
    <cellStyle name="Notas 2 17 2" xfId="355" xr:uid="{27C6EBA0-0667-4FD8-8EF1-C2B2E6274EDE}"/>
    <cellStyle name="Notas 2 17 2 2" xfId="789" xr:uid="{87A10F97-C4CA-4A61-91EF-CDB027CA5A56}"/>
    <cellStyle name="Notas 2 17 2 3" xfId="1205" xr:uid="{3C292508-D364-42BE-9C9B-A156727BA95A}"/>
    <cellStyle name="Notas 2 17 2 4" xfId="1618" xr:uid="{6B73BC03-4F75-4F2C-90F4-90009A383752}"/>
    <cellStyle name="Notas 2 17 2 5" xfId="2028" xr:uid="{EDA98E12-5C83-4B11-954B-8067B36A9A0A}"/>
    <cellStyle name="Notas 2 17 2 6" xfId="2435" xr:uid="{4A702316-1FF0-44AB-8681-083E76305860}"/>
    <cellStyle name="Notas 2 17 3" xfId="592" xr:uid="{1F370F72-A962-4DF8-A03A-F3BF195960B5}"/>
    <cellStyle name="Notas 2 17 4" xfId="1010" xr:uid="{92B29F79-1803-43A2-9B98-9757F1B340EF}"/>
    <cellStyle name="Notas 2 17 5" xfId="1423" xr:uid="{076363E5-D48F-49B2-87DB-B1E675081102}"/>
    <cellStyle name="Notas 2 17 6" xfId="1834" xr:uid="{17B125E8-85AA-48F1-BC9B-E3D0CE15B7EA}"/>
    <cellStyle name="Notas 2 17 7" xfId="2242" xr:uid="{D0C1346E-CD1D-4424-97B0-BB7E45B21961}"/>
    <cellStyle name="Notas 2 18" xfId="176" xr:uid="{B61D352F-E441-4A28-BBF7-0DF64FCDE6E0}"/>
    <cellStyle name="Notas 2 18 2" xfId="373" xr:uid="{104FBBA2-456B-4FB3-98FA-7EDA7131D783}"/>
    <cellStyle name="Notas 2 18 2 2" xfId="807" xr:uid="{DF8EAA00-7EB6-4FE6-B334-FB9B14D6DB2C}"/>
    <cellStyle name="Notas 2 18 2 3" xfId="1222" xr:uid="{37EA6F76-E640-4910-866F-5D94A6B2D718}"/>
    <cellStyle name="Notas 2 18 2 4" xfId="1635" xr:uid="{17BC88E1-1E88-45AC-A199-0AAA33BC0748}"/>
    <cellStyle name="Notas 2 18 2 5" xfId="2045" xr:uid="{BDAA7C06-F926-46F9-849E-F439940FB88A}"/>
    <cellStyle name="Notas 2 18 2 6" xfId="2452" xr:uid="{CC55D321-FFC6-43D6-9986-ABF9CB772DE0}"/>
    <cellStyle name="Notas 2 18 3" xfId="610" xr:uid="{8955526D-1C03-4EB4-B441-162B4A270A4B}"/>
    <cellStyle name="Notas 2 18 4" xfId="1028" xr:uid="{1785DA99-DF96-4682-A552-45C61EFD0C6C}"/>
    <cellStyle name="Notas 2 18 5" xfId="1441" xr:uid="{335AD755-AC33-4440-BAB0-C5B499C92F10}"/>
    <cellStyle name="Notas 2 18 6" xfId="1851" xr:uid="{02A60C0A-2997-475E-A40A-F569E6644107}"/>
    <cellStyle name="Notas 2 18 7" xfId="2259" xr:uid="{7F56FBD6-44FB-4A2E-ABFF-6BED0866ED08}"/>
    <cellStyle name="Notas 2 19" xfId="186" xr:uid="{10166131-E932-439D-93E8-72DA6ACF198F}"/>
    <cellStyle name="Notas 2 19 2" xfId="383" xr:uid="{36F8AEC0-6B27-4FBF-8D93-5CCB474782D6}"/>
    <cellStyle name="Notas 2 19 2 2" xfId="817" xr:uid="{536A5D73-22FB-42F6-90C9-F9FBFE1320BD}"/>
    <cellStyle name="Notas 2 19 2 3" xfId="1232" xr:uid="{04E24E9A-8F3C-497B-B496-A0F4BE8026BA}"/>
    <cellStyle name="Notas 2 19 2 4" xfId="1645" xr:uid="{389471D2-FC79-494D-8B0F-832B818861A4}"/>
    <cellStyle name="Notas 2 19 2 5" xfId="2055" xr:uid="{22B057E6-2CFE-4D66-8FFA-1885D573FC95}"/>
    <cellStyle name="Notas 2 19 2 6" xfId="2462" xr:uid="{DA228D44-3AAA-40C2-B322-2D8F4C1F4611}"/>
    <cellStyle name="Notas 2 19 3" xfId="620" xr:uid="{164FB4DC-52E5-476D-BD1F-BA4B5764BB93}"/>
    <cellStyle name="Notas 2 19 4" xfId="1038" xr:uid="{86EC2598-0150-44DE-991F-1FAE2114E556}"/>
    <cellStyle name="Notas 2 19 5" xfId="1451" xr:uid="{FF1A53B1-CED5-4430-BE64-3F4CFEA9E6EB}"/>
    <cellStyle name="Notas 2 19 6" xfId="1861" xr:uid="{9ADC94C5-1DD4-421D-8FC8-4B1233CC8938}"/>
    <cellStyle name="Notas 2 19 7" xfId="2269" xr:uid="{FFC851E6-7DD3-4CD6-BCED-7AB0C38BC67A}"/>
    <cellStyle name="Notas 2 2" xfId="15" xr:uid="{00000000-0005-0000-0000-00004E000000}"/>
    <cellStyle name="Notas 2 2 10" xfId="105" xr:uid="{00000000-0005-0000-0000-00004F000000}"/>
    <cellStyle name="Notas 2 2 10 2" xfId="302" xr:uid="{39877CCE-944C-492C-BB24-27BE48E2183C}"/>
    <cellStyle name="Notas 2 2 10 2 2" xfId="736" xr:uid="{8F790E91-60D6-44D2-A63F-AF670FE772C4}"/>
    <cellStyle name="Notas 2 2 10 2 3" xfId="1152" xr:uid="{99EF6B76-49A0-4D69-9E2D-EBE0F901DF79}"/>
    <cellStyle name="Notas 2 2 10 2 4" xfId="1565" xr:uid="{CCDCF9AD-5B8C-43FC-B10B-B3591A22A8B3}"/>
    <cellStyle name="Notas 2 2 10 2 5" xfId="1975" xr:uid="{EEAEBC7A-3515-4179-9AF0-29F0BC3219E7}"/>
    <cellStyle name="Notas 2 2 10 2 6" xfId="2382" xr:uid="{DCD5C15E-7A6E-4D51-B638-4D38928F54EB}"/>
    <cellStyle name="Notas 2 2 10 3" xfId="539" xr:uid="{B3936883-9059-485F-A518-4ACACEAE65BC}"/>
    <cellStyle name="Notas 2 2 10 4" xfId="957" xr:uid="{07707B17-497C-48E3-8E16-DC2BD0CABF82}"/>
    <cellStyle name="Notas 2 2 10 5" xfId="1370" xr:uid="{29B34EC2-2C7F-44D8-ACA5-6AC06134173A}"/>
    <cellStyle name="Notas 2 2 10 6" xfId="1781" xr:uid="{11959843-42A9-4973-870D-50BCDC545DB6}"/>
    <cellStyle name="Notas 2 2 10 7" xfId="2189" xr:uid="{8944606F-1F36-4B22-9DB0-617EF80E76BA}"/>
    <cellStyle name="Notas 2 2 11" xfId="112" xr:uid="{00000000-0005-0000-0000-000050000000}"/>
    <cellStyle name="Notas 2 2 11 2" xfId="309" xr:uid="{BD1EBD52-365B-4D65-A452-F7C809BAA27B}"/>
    <cellStyle name="Notas 2 2 11 2 2" xfId="743" xr:uid="{3E0F1768-3779-4FBE-86F6-1BA13E9C8397}"/>
    <cellStyle name="Notas 2 2 11 2 3" xfId="1159" xr:uid="{3BD5BDF0-EEFB-4C75-9826-516EDA03ED35}"/>
    <cellStyle name="Notas 2 2 11 2 4" xfId="1572" xr:uid="{D63D12F8-CAE9-4BB3-A6F1-3091E47E88B6}"/>
    <cellStyle name="Notas 2 2 11 2 5" xfId="1982" xr:uid="{7B0BE804-486B-476F-946A-4106B0CF9DD2}"/>
    <cellStyle name="Notas 2 2 11 2 6" xfId="2389" xr:uid="{DD5EDA09-582C-4EE1-8D41-E04986C5EE95}"/>
    <cellStyle name="Notas 2 2 11 3" xfId="546" xr:uid="{35654D58-905B-4FAC-8A8D-B35FB0C0DCC2}"/>
    <cellStyle name="Notas 2 2 11 4" xfId="964" xr:uid="{EEDCB9A6-7D3B-44B2-A043-3D1FF2C8EEED}"/>
    <cellStyle name="Notas 2 2 11 5" xfId="1377" xr:uid="{E861B4ED-C997-4C01-82B3-B01CF2F84DE9}"/>
    <cellStyle name="Notas 2 2 11 6" xfId="1788" xr:uid="{DC7BD9CD-DA8A-45BE-B457-606B2FE58DE3}"/>
    <cellStyle name="Notas 2 2 11 7" xfId="2196" xr:uid="{AEF4435B-9A4B-4E28-82AD-F6FAB261C27D}"/>
    <cellStyle name="Notas 2 2 12" xfId="122" xr:uid="{00000000-0005-0000-0000-000051000000}"/>
    <cellStyle name="Notas 2 2 12 2" xfId="319" xr:uid="{FB71192C-29C2-4D53-97C4-11F92A7D561B}"/>
    <cellStyle name="Notas 2 2 12 2 2" xfId="753" xr:uid="{BA8EF7AC-9A76-4548-92D6-350D5842979E}"/>
    <cellStyle name="Notas 2 2 12 2 3" xfId="1169" xr:uid="{31125E43-F48C-46A8-8EE4-906F09DE4E4E}"/>
    <cellStyle name="Notas 2 2 12 2 4" xfId="1582" xr:uid="{B888D319-09BE-4F9B-916F-862B5C52B8AB}"/>
    <cellStyle name="Notas 2 2 12 2 5" xfId="1992" xr:uid="{16022B9A-BA27-4A3B-BEC9-AFB79BD4C06D}"/>
    <cellStyle name="Notas 2 2 12 2 6" xfId="2399" xr:uid="{771DEAAF-680A-45B2-80C0-5A9996F261C1}"/>
    <cellStyle name="Notas 2 2 12 3" xfId="556" xr:uid="{10D00BBB-1ED0-43CD-AC40-8CC31BEFF71C}"/>
    <cellStyle name="Notas 2 2 12 4" xfId="974" xr:uid="{FB0752E0-35EB-49D7-88AE-4FBEB8938920}"/>
    <cellStyle name="Notas 2 2 12 5" xfId="1387" xr:uid="{A57CACE0-D544-4207-82B7-9512B8A58679}"/>
    <cellStyle name="Notas 2 2 12 6" xfId="1798" xr:uid="{224E9586-AB5E-4C9C-A17C-B87A27C5461B}"/>
    <cellStyle name="Notas 2 2 12 7" xfId="2206" xr:uid="{8AF37B69-DCE9-45C4-8F18-518D88033A8F}"/>
    <cellStyle name="Notas 2 2 13" xfId="131" xr:uid="{00000000-0005-0000-0000-000052000000}"/>
    <cellStyle name="Notas 2 2 13 2" xfId="328" xr:uid="{546A5176-8075-4792-94B3-58E4C3AB0C28}"/>
    <cellStyle name="Notas 2 2 13 2 2" xfId="762" xr:uid="{669CAC10-DEEE-4741-BC46-90813089E341}"/>
    <cellStyle name="Notas 2 2 13 2 3" xfId="1178" xr:uid="{C648B4F6-9B3D-49DB-AABC-F117D86E0D0B}"/>
    <cellStyle name="Notas 2 2 13 2 4" xfId="1591" xr:uid="{C814A3AD-285F-4A60-886E-DD93474C15A1}"/>
    <cellStyle name="Notas 2 2 13 2 5" xfId="2001" xr:uid="{F9C2A8B8-AF07-4A9E-BD17-FCE6001DB790}"/>
    <cellStyle name="Notas 2 2 13 2 6" xfId="2408" xr:uid="{375E29A0-D549-4383-952B-56F16C037177}"/>
    <cellStyle name="Notas 2 2 13 3" xfId="565" xr:uid="{04AD0A55-74E2-4FE5-9D10-123658C32CAA}"/>
    <cellStyle name="Notas 2 2 13 4" xfId="983" xr:uid="{7CC001E2-FF68-4CFA-98AF-4E65F441A090}"/>
    <cellStyle name="Notas 2 2 13 5" xfId="1396" xr:uid="{312502D5-D623-4D4B-BB28-B0CA7B11643B}"/>
    <cellStyle name="Notas 2 2 13 6" xfId="1807" xr:uid="{C8E43C15-70D2-4707-83E8-DF071D8B1A73}"/>
    <cellStyle name="Notas 2 2 13 7" xfId="2215" xr:uid="{ED1FABA8-4BD8-4B00-AA08-B0A7B0569387}"/>
    <cellStyle name="Notas 2 2 14" xfId="138" xr:uid="{00000000-0005-0000-0000-000053000000}"/>
    <cellStyle name="Notas 2 2 14 2" xfId="335" xr:uid="{CB71FCDB-F183-4131-B0DA-2BEF51965FFE}"/>
    <cellStyle name="Notas 2 2 14 2 2" xfId="769" xr:uid="{4E30D971-5ADD-4267-BEA3-F84CA1C573D5}"/>
    <cellStyle name="Notas 2 2 14 2 3" xfId="1185" xr:uid="{6730AEA8-CC83-4E1F-8EB4-AD159F61C334}"/>
    <cellStyle name="Notas 2 2 14 2 4" xfId="1598" xr:uid="{16DF0F1E-2D95-4708-A985-FD498B1441C9}"/>
    <cellStyle name="Notas 2 2 14 2 5" xfId="2008" xr:uid="{836A53C5-6469-4563-B459-DECB349BA36D}"/>
    <cellStyle name="Notas 2 2 14 2 6" xfId="2415" xr:uid="{D4BE3F96-AEC1-4E49-A874-2217B1A77A1E}"/>
    <cellStyle name="Notas 2 2 14 3" xfId="572" xr:uid="{2D8D3B56-88A0-4395-A992-13EE44DEA1F0}"/>
    <cellStyle name="Notas 2 2 14 4" xfId="990" xr:uid="{E8073847-79FA-4E12-9D9D-A66412BD6BD6}"/>
    <cellStyle name="Notas 2 2 14 5" xfId="1403" xr:uid="{EB4D0B48-F82D-4AF6-AAF3-587C05904114}"/>
    <cellStyle name="Notas 2 2 14 6" xfId="1814" xr:uid="{BD147E2B-B647-4575-9D04-5B9DD71791CD}"/>
    <cellStyle name="Notas 2 2 14 7" xfId="2222" xr:uid="{BAF995AB-2453-4F57-B102-FEAA2CE768EB}"/>
    <cellStyle name="Notas 2 2 15" xfId="147" xr:uid="{00000000-0005-0000-0000-000054000000}"/>
    <cellStyle name="Notas 2 2 15 2" xfId="344" xr:uid="{AA04F71E-6DDF-4632-BCCA-9B5FD1590759}"/>
    <cellStyle name="Notas 2 2 15 2 2" xfId="778" xr:uid="{C4BD0523-062A-4964-BA55-C56BD78A297A}"/>
    <cellStyle name="Notas 2 2 15 2 3" xfId="1194" xr:uid="{A6AFD5DF-9334-49C5-AD9C-C80D88EE76A1}"/>
    <cellStyle name="Notas 2 2 15 2 4" xfId="1607" xr:uid="{24BB7550-0C1F-4CEE-A896-4AD2AE2504A6}"/>
    <cellStyle name="Notas 2 2 15 2 5" xfId="2017" xr:uid="{91D09673-0015-41A5-8678-E5BEDE2E9930}"/>
    <cellStyle name="Notas 2 2 15 2 6" xfId="2424" xr:uid="{6ED4572C-60D3-4662-8F9D-1C251498A1F3}"/>
    <cellStyle name="Notas 2 2 15 3" xfId="581" xr:uid="{85EECD52-E9F3-439E-984E-A7C2B9930C26}"/>
    <cellStyle name="Notas 2 2 15 4" xfId="999" xr:uid="{C0A48114-95FF-433A-A09A-49622018F71C}"/>
    <cellStyle name="Notas 2 2 15 5" xfId="1412" xr:uid="{83828513-CDB3-42BB-BDC7-495A873A176C}"/>
    <cellStyle name="Notas 2 2 15 6" xfId="1823" xr:uid="{9AE33F0A-6DA1-4305-84E0-7298E58DE186}"/>
    <cellStyle name="Notas 2 2 15 7" xfId="2231" xr:uid="{26068433-7ACB-4208-84F3-77E98D8ABA02}"/>
    <cellStyle name="Notas 2 2 16" xfId="161" xr:uid="{EFA6D262-2284-42E8-BCB1-6CBF04617C80}"/>
    <cellStyle name="Notas 2 2 16 2" xfId="358" xr:uid="{E42152E7-15BA-4DB3-98EF-91C4971C603F}"/>
    <cellStyle name="Notas 2 2 16 2 2" xfId="792" xr:uid="{ECD6D2C3-DC5D-4D60-9133-79D2A595610B}"/>
    <cellStyle name="Notas 2 2 16 2 3" xfId="1208" xr:uid="{21DB8222-4E56-412D-9CED-EE5538B2BD18}"/>
    <cellStyle name="Notas 2 2 16 2 4" xfId="1621" xr:uid="{DDC7BA0C-3287-42AE-9DE8-BFB76CB773E7}"/>
    <cellStyle name="Notas 2 2 16 2 5" xfId="2031" xr:uid="{E24DEC17-CA8E-433C-A0AB-ED8145549262}"/>
    <cellStyle name="Notas 2 2 16 2 6" xfId="2438" xr:uid="{D9AF91CB-8364-4ECF-8D4C-C6F8CDBF57C7}"/>
    <cellStyle name="Notas 2 2 16 3" xfId="595" xr:uid="{887FB878-4006-46EC-8168-1F9D440111F5}"/>
    <cellStyle name="Notas 2 2 16 4" xfId="1013" xr:uid="{B9ABAA71-DAC1-40DF-982E-AE77738F0252}"/>
    <cellStyle name="Notas 2 2 16 5" xfId="1426" xr:uid="{F841912A-ED80-444F-95C5-E1ECCE808E64}"/>
    <cellStyle name="Notas 2 2 16 6" xfId="1837" xr:uid="{3A180057-F23B-4C1C-B9D7-7A2CC26EB746}"/>
    <cellStyle name="Notas 2 2 16 7" xfId="2245" xr:uid="{4C7D4814-9E9D-449C-9ED5-256D84F16E52}"/>
    <cellStyle name="Notas 2 2 17" xfId="170" xr:uid="{666AABC2-345B-481F-9C10-941B097FF596}"/>
    <cellStyle name="Notas 2 2 17 2" xfId="367" xr:uid="{B175CA02-B2C1-44D1-A459-673A80E334EF}"/>
    <cellStyle name="Notas 2 2 17 2 2" xfId="801" xr:uid="{E2D28604-FC73-4D87-8D50-152B97293F47}"/>
    <cellStyle name="Notas 2 2 17 2 3" xfId="1216" xr:uid="{AC71D85B-5771-466B-9B4E-01B14ED28CF4}"/>
    <cellStyle name="Notas 2 2 17 2 4" xfId="1629" xr:uid="{4C2BCAA9-B1BB-4FE6-8C49-1E3EA1804B7E}"/>
    <cellStyle name="Notas 2 2 17 2 5" xfId="2039" xr:uid="{E4BA590A-9B52-402A-AD65-81BCE83DFFE1}"/>
    <cellStyle name="Notas 2 2 17 2 6" xfId="2446" xr:uid="{FB92588C-5602-4F88-8110-276C560A5661}"/>
    <cellStyle name="Notas 2 2 17 3" xfId="604" xr:uid="{62920362-54F7-4C42-8AF1-980124EC1C88}"/>
    <cellStyle name="Notas 2 2 17 4" xfId="1022" xr:uid="{54A7CD51-4958-4A5C-B926-CF298EB600E3}"/>
    <cellStyle name="Notas 2 2 17 5" xfId="1435" xr:uid="{CAF80F84-F941-452D-B2B4-9557BCD6F7A3}"/>
    <cellStyle name="Notas 2 2 17 6" xfId="1845" xr:uid="{06D7E48E-5F9F-421C-9107-9CDD0A97B116}"/>
    <cellStyle name="Notas 2 2 17 7" xfId="2253" xr:uid="{FA481820-DB67-4ABE-AD28-CE85CBFEE829}"/>
    <cellStyle name="Notas 2 2 18" xfId="179" xr:uid="{7F81B05C-23D0-4D11-A143-B5F088C2BB22}"/>
    <cellStyle name="Notas 2 2 18 2" xfId="376" xr:uid="{96B53232-3DB5-4FAF-A8DC-C196EF9EBF8B}"/>
    <cellStyle name="Notas 2 2 18 2 2" xfId="810" xr:uid="{C0EB10EB-C7BB-4068-A81B-C047E4516705}"/>
    <cellStyle name="Notas 2 2 18 2 3" xfId="1225" xr:uid="{3B13D0E6-B7D1-4206-B5F3-A11744E483CC}"/>
    <cellStyle name="Notas 2 2 18 2 4" xfId="1638" xr:uid="{96968D3C-A5B0-499D-8FDC-55320D89D1B8}"/>
    <cellStyle name="Notas 2 2 18 2 5" xfId="2048" xr:uid="{5291DE21-E9CB-4478-9F8B-A4A36F708BF1}"/>
    <cellStyle name="Notas 2 2 18 2 6" xfId="2455" xr:uid="{CB85DF56-D612-4506-B58E-5ED0FFF5CE66}"/>
    <cellStyle name="Notas 2 2 18 3" xfId="613" xr:uid="{36008F9D-D880-4C24-A47B-0B007CDBDE14}"/>
    <cellStyle name="Notas 2 2 18 4" xfId="1031" xr:uid="{5A428D87-D994-4CA9-A4D2-F92DEE3C1E49}"/>
    <cellStyle name="Notas 2 2 18 5" xfId="1444" xr:uid="{657C5F67-CF3B-49FC-9074-5743CC0CB357}"/>
    <cellStyle name="Notas 2 2 18 6" xfId="1854" xr:uid="{8A52B8A5-12FD-4C06-A6E1-1E63B1871DD9}"/>
    <cellStyle name="Notas 2 2 18 7" xfId="2262" xr:uid="{4F0868C3-BEC8-42DF-99C0-64C73E3CEFEB}"/>
    <cellStyle name="Notas 2 2 19" xfId="189" xr:uid="{27FCB378-6D03-4E3D-B76F-2382C5092832}"/>
    <cellStyle name="Notas 2 2 19 2" xfId="386" xr:uid="{E2850678-7785-48F9-ABF1-D4A097203A3F}"/>
    <cellStyle name="Notas 2 2 19 2 2" xfId="820" xr:uid="{9214D89A-1289-42ED-9B8F-7056E286516C}"/>
    <cellStyle name="Notas 2 2 19 2 3" xfId="1235" xr:uid="{D98CBB1B-BBB3-467F-8C86-FFD244AD77E4}"/>
    <cellStyle name="Notas 2 2 19 2 4" xfId="1648" xr:uid="{2B8FCF81-F655-4DC8-B0AB-3AE120B8D7EB}"/>
    <cellStyle name="Notas 2 2 19 2 5" xfId="2058" xr:uid="{06AFE5F2-2B27-4BC6-987B-71AD6CD0EAC7}"/>
    <cellStyle name="Notas 2 2 19 2 6" xfId="2465" xr:uid="{7E35EC30-48C9-4D74-AA78-83F83A1D08F4}"/>
    <cellStyle name="Notas 2 2 19 3" xfId="623" xr:uid="{8F758773-ABD2-4285-9E9A-A7D577FB9BC4}"/>
    <cellStyle name="Notas 2 2 19 4" xfId="1041" xr:uid="{E667E0C8-9CE0-41EF-AF34-AA7F4F15A96B}"/>
    <cellStyle name="Notas 2 2 19 5" xfId="1454" xr:uid="{04AC475C-264B-478D-9879-DECA57BFA2E8}"/>
    <cellStyle name="Notas 2 2 19 6" xfId="1864" xr:uid="{722FBF76-AA80-482C-A9AC-7E7A5AFFD0A5}"/>
    <cellStyle name="Notas 2 2 19 7" xfId="2272" xr:uid="{FF5D2ABD-29EE-44AD-BBD4-8608B8181403}"/>
    <cellStyle name="Notas 2 2 2" xfId="18" xr:uid="{00000000-0005-0000-0000-000055000000}"/>
    <cellStyle name="Notas 2 2 2 10" xfId="107" xr:uid="{00000000-0005-0000-0000-000056000000}"/>
    <cellStyle name="Notas 2 2 2 10 2" xfId="304" xr:uid="{D5B034A0-7097-4421-9336-03CF35136126}"/>
    <cellStyle name="Notas 2 2 2 10 2 2" xfId="738" xr:uid="{20CE6626-C414-4264-BFD6-A5CBCAA73007}"/>
    <cellStyle name="Notas 2 2 2 10 2 3" xfId="1154" xr:uid="{BE49AABF-52C4-4CD0-84B5-C2B4F4B7CAC1}"/>
    <cellStyle name="Notas 2 2 2 10 2 4" xfId="1567" xr:uid="{45FAC395-9DBC-4DAD-B468-530B03FF959A}"/>
    <cellStyle name="Notas 2 2 2 10 2 5" xfId="1977" xr:uid="{D02C710E-14AB-460F-8CE0-CE497B71D860}"/>
    <cellStyle name="Notas 2 2 2 10 2 6" xfId="2384" xr:uid="{AB5A96A0-09E9-497E-857F-7DC01A84A865}"/>
    <cellStyle name="Notas 2 2 2 10 3" xfId="541" xr:uid="{FC59DB57-CDE5-422C-879F-4E87D6A178D9}"/>
    <cellStyle name="Notas 2 2 2 10 4" xfId="959" xr:uid="{1A0C5508-960F-4B5A-B703-9F9CA1178AE4}"/>
    <cellStyle name="Notas 2 2 2 10 5" xfId="1372" xr:uid="{20F12E48-2A1F-4665-966B-63D0686A316A}"/>
    <cellStyle name="Notas 2 2 2 10 6" xfId="1783" xr:uid="{8B976571-0862-4D58-908A-9E1BC70F2AF0}"/>
    <cellStyle name="Notas 2 2 2 10 7" xfId="2191" xr:uid="{976F69FA-695D-42EE-817B-0313ED48C3FD}"/>
    <cellStyle name="Notas 2 2 2 11" xfId="124" xr:uid="{00000000-0005-0000-0000-000057000000}"/>
    <cellStyle name="Notas 2 2 2 11 2" xfId="321" xr:uid="{0810F0DD-0951-444B-9279-EBBF61007105}"/>
    <cellStyle name="Notas 2 2 2 11 2 2" xfId="755" xr:uid="{8987C0FB-68BD-4522-BB7E-02ADD28CB9D2}"/>
    <cellStyle name="Notas 2 2 2 11 2 3" xfId="1171" xr:uid="{0B6D4000-5877-4520-8E9F-ACD391898311}"/>
    <cellStyle name="Notas 2 2 2 11 2 4" xfId="1584" xr:uid="{446EC6D2-C4AE-40F4-A0E4-A09F52A8D382}"/>
    <cellStyle name="Notas 2 2 2 11 2 5" xfId="1994" xr:uid="{D33E0121-C79B-4E9D-A914-EA6797D445C0}"/>
    <cellStyle name="Notas 2 2 2 11 2 6" xfId="2401" xr:uid="{B99DCA8A-1078-46FD-91BC-932044270861}"/>
    <cellStyle name="Notas 2 2 2 11 3" xfId="558" xr:uid="{A1AA46AD-00F6-477C-8175-16088BCFD107}"/>
    <cellStyle name="Notas 2 2 2 11 4" xfId="976" xr:uid="{2A0D0CC8-D98C-435A-A52D-3C8A605BF928}"/>
    <cellStyle name="Notas 2 2 2 11 5" xfId="1389" xr:uid="{973B1B2D-7B4F-43E9-98C3-5C08524C43E9}"/>
    <cellStyle name="Notas 2 2 2 11 6" xfId="1800" xr:uid="{7DC5B113-D12C-42F0-802F-2F744DF36CD3}"/>
    <cellStyle name="Notas 2 2 2 11 7" xfId="2208" xr:uid="{493A1D3F-7CEF-4347-BFA7-0BF58E1A84A4}"/>
    <cellStyle name="Notas 2 2 2 12" xfId="133" xr:uid="{00000000-0005-0000-0000-000058000000}"/>
    <cellStyle name="Notas 2 2 2 12 2" xfId="330" xr:uid="{EB0BE167-7E50-499E-BB2B-4195F4F33959}"/>
    <cellStyle name="Notas 2 2 2 12 2 2" xfId="764" xr:uid="{F6C4AF70-47A4-4328-B7AB-FE5785204944}"/>
    <cellStyle name="Notas 2 2 2 12 2 3" xfId="1180" xr:uid="{9BCEF4C4-4B6F-4F1F-A6AC-C51013E94D6A}"/>
    <cellStyle name="Notas 2 2 2 12 2 4" xfId="1593" xr:uid="{3F114B65-481C-4566-AEB2-594682812E60}"/>
    <cellStyle name="Notas 2 2 2 12 2 5" xfId="2003" xr:uid="{3177933A-29BB-4202-B0E7-D0410F9D1A22}"/>
    <cellStyle name="Notas 2 2 2 12 2 6" xfId="2410" xr:uid="{ECF18B39-6177-4FEF-87B2-5187A6CE917B}"/>
    <cellStyle name="Notas 2 2 2 12 3" xfId="567" xr:uid="{B6EF0FA6-58DA-41BF-91DB-F926E5CDC44B}"/>
    <cellStyle name="Notas 2 2 2 12 4" xfId="985" xr:uid="{2589C4AB-BF9A-4965-BF03-9127E99246BC}"/>
    <cellStyle name="Notas 2 2 2 12 5" xfId="1398" xr:uid="{99C77853-0A0B-447B-9695-058AE82708D0}"/>
    <cellStyle name="Notas 2 2 2 12 6" xfId="1809" xr:uid="{5AF55986-C0B9-4F09-9C9A-9258AD6FAA64}"/>
    <cellStyle name="Notas 2 2 2 12 7" xfId="2217" xr:uid="{0C1418FE-053D-4415-AA34-9559394A2736}"/>
    <cellStyle name="Notas 2 2 2 13" xfId="140" xr:uid="{00000000-0005-0000-0000-000059000000}"/>
    <cellStyle name="Notas 2 2 2 13 2" xfId="337" xr:uid="{34B5BADD-31F3-4939-843E-916FDB6C9B3C}"/>
    <cellStyle name="Notas 2 2 2 13 2 2" xfId="771" xr:uid="{019ABC7E-D6FD-4299-99B5-F2F670E5D196}"/>
    <cellStyle name="Notas 2 2 2 13 2 3" xfId="1187" xr:uid="{45143B9B-078B-4E75-89CF-8B0B2FDC71EC}"/>
    <cellStyle name="Notas 2 2 2 13 2 4" xfId="1600" xr:uid="{EB7E66E1-81F3-4AC6-9D00-8BFE33CC6E02}"/>
    <cellStyle name="Notas 2 2 2 13 2 5" xfId="2010" xr:uid="{F23CE006-CDA8-4DD2-8413-84C55E5CDD8B}"/>
    <cellStyle name="Notas 2 2 2 13 2 6" xfId="2417" xr:uid="{C08B4CDF-2134-444C-8931-03F4AC46E572}"/>
    <cellStyle name="Notas 2 2 2 13 3" xfId="574" xr:uid="{AFB54375-54D8-4C1F-BD6F-408FCA11F4CA}"/>
    <cellStyle name="Notas 2 2 2 13 4" xfId="992" xr:uid="{AA783DCC-429F-404A-9CA6-1DAE67A36224}"/>
    <cellStyle name="Notas 2 2 2 13 5" xfId="1405" xr:uid="{937F00C0-DAC3-472A-98CD-25368BBBEAB2}"/>
    <cellStyle name="Notas 2 2 2 13 6" xfId="1816" xr:uid="{335FBB4A-BE99-4A46-92B2-A5A11D2E11B8}"/>
    <cellStyle name="Notas 2 2 2 13 7" xfId="2224" xr:uid="{7B2CCD62-C3EF-4C9D-A48B-ECC2E548E131}"/>
    <cellStyle name="Notas 2 2 2 14" xfId="149" xr:uid="{00000000-0005-0000-0000-00005A000000}"/>
    <cellStyle name="Notas 2 2 2 14 2" xfId="346" xr:uid="{E50FCB8B-A160-4AA3-9953-AAC206E360D7}"/>
    <cellStyle name="Notas 2 2 2 14 2 2" xfId="780" xr:uid="{5C1ABB81-9F17-42A0-A5E1-C5862AA93B31}"/>
    <cellStyle name="Notas 2 2 2 14 2 3" xfId="1196" xr:uid="{23973F1E-5139-44CF-B948-C0CE1B039FA7}"/>
    <cellStyle name="Notas 2 2 2 14 2 4" xfId="1609" xr:uid="{848B2BB8-DF8B-4362-88DC-FCBED1BFE5D5}"/>
    <cellStyle name="Notas 2 2 2 14 2 5" xfId="2019" xr:uid="{DE6572A8-37AB-4075-8F90-D2827A661E44}"/>
    <cellStyle name="Notas 2 2 2 14 2 6" xfId="2426" xr:uid="{FE52C901-18B5-45B3-B140-26F6406EDC06}"/>
    <cellStyle name="Notas 2 2 2 14 3" xfId="583" xr:uid="{F963FDB4-3B89-467E-8C39-4D4A114F12B7}"/>
    <cellStyle name="Notas 2 2 2 14 4" xfId="1001" xr:uid="{5271DAE5-2CB5-480E-AA85-81CDAC0A409C}"/>
    <cellStyle name="Notas 2 2 2 14 5" xfId="1414" xr:uid="{C0169579-C5A3-4603-9187-93918559F134}"/>
    <cellStyle name="Notas 2 2 2 14 6" xfId="1825" xr:uid="{F5BA15C0-CCD1-425B-8FE7-F365137F8744}"/>
    <cellStyle name="Notas 2 2 2 14 7" xfId="2233" xr:uid="{66C433AA-95FB-43C4-B916-5D652B7A48C8}"/>
    <cellStyle name="Notas 2 2 2 15" xfId="156" xr:uid="{00000000-0005-0000-0000-00005B000000}"/>
    <cellStyle name="Notas 2 2 2 15 2" xfId="353" xr:uid="{27EE4EFA-4E5F-417B-BA68-F9C75E1E63CE}"/>
    <cellStyle name="Notas 2 2 2 15 2 2" xfId="787" xr:uid="{0FBC59CF-5B11-48CF-A7F0-0C41112D8871}"/>
    <cellStyle name="Notas 2 2 2 15 2 3" xfId="1203" xr:uid="{D153B10D-2127-41F4-A74A-EDA60D9818CE}"/>
    <cellStyle name="Notas 2 2 2 15 2 4" xfId="1616" xr:uid="{389435A0-632B-457B-A503-FFC6FE16BC52}"/>
    <cellStyle name="Notas 2 2 2 15 2 5" xfId="2026" xr:uid="{8FCEF3E7-C791-4EA0-84D6-9156BB3B82C5}"/>
    <cellStyle name="Notas 2 2 2 15 2 6" xfId="2433" xr:uid="{3A96D268-15A6-4705-8B5B-A7FA29A7E393}"/>
    <cellStyle name="Notas 2 2 2 15 3" xfId="590" xr:uid="{0648D762-1365-4CFA-AA20-1F1BEF51A808}"/>
    <cellStyle name="Notas 2 2 2 15 4" xfId="1008" xr:uid="{143B8218-F54F-4C26-B87A-B3ACC653CDE5}"/>
    <cellStyle name="Notas 2 2 2 15 5" xfId="1421" xr:uid="{C1560232-2F1C-41D7-981B-31B6A55AEB3B}"/>
    <cellStyle name="Notas 2 2 2 15 6" xfId="1832" xr:uid="{79DF5355-4798-4B91-8CC9-C22407A8DEC3}"/>
    <cellStyle name="Notas 2 2 2 15 7" xfId="2240" xr:uid="{F5C9023E-3B14-41F3-A555-70E60A2EF41B}"/>
    <cellStyle name="Notas 2 2 2 16" xfId="163" xr:uid="{7DB8AB18-64B2-4C7C-B054-E637FBE8231D}"/>
    <cellStyle name="Notas 2 2 2 16 2" xfId="360" xr:uid="{20944D6C-84A7-4482-9D29-6327DDB0416F}"/>
    <cellStyle name="Notas 2 2 2 16 2 2" xfId="794" xr:uid="{82FAA6C0-52B6-4D1E-99CC-6FE4F26AAE75}"/>
    <cellStyle name="Notas 2 2 2 16 2 3" xfId="1210" xr:uid="{54E25DDE-3813-42F0-A3B2-9C2F4BD60B24}"/>
    <cellStyle name="Notas 2 2 2 16 2 4" xfId="1623" xr:uid="{FDCBF190-0A7A-4E4F-AE2D-E851DA48FB2A}"/>
    <cellStyle name="Notas 2 2 2 16 2 5" xfId="2033" xr:uid="{2852CB44-ADA3-4406-89D3-3E80313F8812}"/>
    <cellStyle name="Notas 2 2 2 16 2 6" xfId="2440" xr:uid="{EE363029-F72A-4DF1-A108-D7564E513D35}"/>
    <cellStyle name="Notas 2 2 2 16 3" xfId="597" xr:uid="{703B3B03-3A2A-41A1-9301-D1FC8422D273}"/>
    <cellStyle name="Notas 2 2 2 16 4" xfId="1015" xr:uid="{A7390709-0B31-4CA9-99EC-B8A0A5772672}"/>
    <cellStyle name="Notas 2 2 2 16 5" xfId="1428" xr:uid="{B205FE81-270E-4ADF-B5D1-991FDE781AD4}"/>
    <cellStyle name="Notas 2 2 2 16 6" xfId="1839" xr:uid="{212EDC3B-F319-46B8-873F-1B15AAC37593}"/>
    <cellStyle name="Notas 2 2 2 16 7" xfId="2247" xr:uid="{05DCCE4B-A35D-4C5D-9D7A-0A7A4809ACA5}"/>
    <cellStyle name="Notas 2 2 2 17" xfId="171" xr:uid="{EFABD00A-71E7-4875-BE3F-2D4CBF82AE47}"/>
    <cellStyle name="Notas 2 2 2 17 2" xfId="368" xr:uid="{FFE0320C-A733-457F-96E4-9846467BFB6B}"/>
    <cellStyle name="Notas 2 2 2 17 2 2" xfId="802" xr:uid="{73B841EC-14F2-490B-BA39-9E561DD8A63E}"/>
    <cellStyle name="Notas 2 2 2 17 2 3" xfId="1217" xr:uid="{7AF9E0E9-36F0-4211-8AF8-27D455A6537B}"/>
    <cellStyle name="Notas 2 2 2 17 2 4" xfId="1630" xr:uid="{5D32FC53-9DDC-4618-A793-CD065D482241}"/>
    <cellStyle name="Notas 2 2 2 17 2 5" xfId="2040" xr:uid="{C41E96E6-2D9B-4276-88FB-30B40B99851C}"/>
    <cellStyle name="Notas 2 2 2 17 2 6" xfId="2447" xr:uid="{85C9F962-97B8-49E6-A34C-A35D37A97260}"/>
    <cellStyle name="Notas 2 2 2 17 3" xfId="605" xr:uid="{A4770AF6-A88E-4884-86E5-AB9443ADC100}"/>
    <cellStyle name="Notas 2 2 2 17 4" xfId="1023" xr:uid="{0B63210E-9E75-4A35-A09E-B29AB798AF54}"/>
    <cellStyle name="Notas 2 2 2 17 5" xfId="1436" xr:uid="{849ACA1F-319D-42AF-8AA9-670202EB05D3}"/>
    <cellStyle name="Notas 2 2 2 17 6" xfId="1846" xr:uid="{DFD58FB7-25A8-4830-AE4D-3A8B4868B975}"/>
    <cellStyle name="Notas 2 2 2 17 7" xfId="2254" xr:uid="{01338F2E-4733-4870-83B9-CF987850049C}"/>
    <cellStyle name="Notas 2 2 2 18" xfId="181" xr:uid="{14298F65-55E1-49A1-BFDC-A94AD7E52490}"/>
    <cellStyle name="Notas 2 2 2 18 2" xfId="378" xr:uid="{593CEE90-AC6A-4D07-AE23-14FBCED1EA5E}"/>
    <cellStyle name="Notas 2 2 2 18 2 2" xfId="812" xr:uid="{B4EBE2E3-48F6-49EA-8455-DF6008373DAC}"/>
    <cellStyle name="Notas 2 2 2 18 2 3" xfId="1227" xr:uid="{A3A87E73-DFC5-46EC-82A8-340A78C35F1E}"/>
    <cellStyle name="Notas 2 2 2 18 2 4" xfId="1640" xr:uid="{8E6E7C46-6839-430F-B252-A47244CFF349}"/>
    <cellStyle name="Notas 2 2 2 18 2 5" xfId="2050" xr:uid="{2FFCB33F-164A-46F2-932B-81C72024DDAF}"/>
    <cellStyle name="Notas 2 2 2 18 2 6" xfId="2457" xr:uid="{B55C0286-7D3C-4F05-AF8E-70FC929DBF68}"/>
    <cellStyle name="Notas 2 2 2 18 3" xfId="615" xr:uid="{307CB07D-B0F7-419D-ACB5-FB382B93F284}"/>
    <cellStyle name="Notas 2 2 2 18 4" xfId="1033" xr:uid="{6EAFFDAA-A129-4496-9BFF-85BAB8CCFD1F}"/>
    <cellStyle name="Notas 2 2 2 18 5" xfId="1446" xr:uid="{A71BC4F4-271F-494C-9B68-327AB62CA883}"/>
    <cellStyle name="Notas 2 2 2 18 6" xfId="1856" xr:uid="{9DFF78B5-990F-410A-BC4A-A2CE33E03802}"/>
    <cellStyle name="Notas 2 2 2 18 7" xfId="2264" xr:uid="{11388F50-0E87-470B-B946-0DFA6208CD6E}"/>
    <cellStyle name="Notas 2 2 2 19" xfId="191" xr:uid="{21007EAD-AF18-4D2F-A87E-0F22DF39085B}"/>
    <cellStyle name="Notas 2 2 2 19 2" xfId="388" xr:uid="{A31B4794-9DFB-4AC5-8F21-9C70DC029BAC}"/>
    <cellStyle name="Notas 2 2 2 19 2 2" xfId="822" xr:uid="{37429352-8F76-466B-A900-9D738B03D387}"/>
    <cellStyle name="Notas 2 2 2 19 2 3" xfId="1237" xr:uid="{38FFA649-8235-4922-9B12-2D293281327D}"/>
    <cellStyle name="Notas 2 2 2 19 2 4" xfId="1650" xr:uid="{7453790E-3561-4B46-B56E-07B06A968106}"/>
    <cellStyle name="Notas 2 2 2 19 2 5" xfId="2060" xr:uid="{71C669F4-C3F7-4991-A25B-1E2C98117827}"/>
    <cellStyle name="Notas 2 2 2 19 2 6" xfId="2467" xr:uid="{7FFBB3F7-8628-491F-AB08-923CD8BD254B}"/>
    <cellStyle name="Notas 2 2 2 19 3" xfId="625" xr:uid="{3EAA9898-3F6A-44A1-A8C4-4403BE28AA24}"/>
    <cellStyle name="Notas 2 2 2 19 4" xfId="1043" xr:uid="{0E61BFA0-3666-42E9-96D6-569B3434F361}"/>
    <cellStyle name="Notas 2 2 2 19 5" xfId="1456" xr:uid="{8F10DB2D-A9FD-4F2C-B794-D2F23D92C58E}"/>
    <cellStyle name="Notas 2 2 2 19 6" xfId="1866" xr:uid="{309F03B5-6B4C-45B1-B615-61EE696F6631}"/>
    <cellStyle name="Notas 2 2 2 19 7" xfId="2274" xr:uid="{FB2F4501-9667-4C6C-B133-E7DE6F2CA054}"/>
    <cellStyle name="Notas 2 2 2 2" xfId="22" xr:uid="{00000000-0005-0000-0000-00005C000000}"/>
    <cellStyle name="Notas 2 2 2 2 10" xfId="114" xr:uid="{00000000-0005-0000-0000-00005D000000}"/>
    <cellStyle name="Notas 2 2 2 2 10 2" xfId="311" xr:uid="{02E0561D-0463-4BFE-82E3-3407DDED9A80}"/>
    <cellStyle name="Notas 2 2 2 2 10 2 2" xfId="745" xr:uid="{5C3E7005-2BAC-45B8-A643-8702683866B4}"/>
    <cellStyle name="Notas 2 2 2 2 10 2 3" xfId="1161" xr:uid="{C9868535-0A3C-4F76-89CC-7CC329839889}"/>
    <cellStyle name="Notas 2 2 2 2 10 2 4" xfId="1574" xr:uid="{F49373C0-99A7-4A84-AF6A-47CEBCACCFC4}"/>
    <cellStyle name="Notas 2 2 2 2 10 2 5" xfId="1984" xr:uid="{E8DCF488-2F10-4ADF-A838-90FFBED262C0}"/>
    <cellStyle name="Notas 2 2 2 2 10 2 6" xfId="2391" xr:uid="{03702910-F081-43CD-97E8-2E0914412876}"/>
    <cellStyle name="Notas 2 2 2 2 10 3" xfId="548" xr:uid="{5F86AB91-9809-4DA2-A024-CF4C487C7D53}"/>
    <cellStyle name="Notas 2 2 2 2 10 4" xfId="966" xr:uid="{54597139-40EE-4252-96A2-2DC401C48189}"/>
    <cellStyle name="Notas 2 2 2 2 10 5" xfId="1379" xr:uid="{764E0FD4-95E6-4106-A2D9-005ECB4B1C24}"/>
    <cellStyle name="Notas 2 2 2 2 10 6" xfId="1790" xr:uid="{3A42E1BB-0769-4F90-82D4-CEC37CE8CB1E}"/>
    <cellStyle name="Notas 2 2 2 2 10 7" xfId="2198" xr:uid="{F5BBE09B-70FB-431B-9469-CAA14442404C}"/>
    <cellStyle name="Notas 2 2 2 2 11" xfId="125" xr:uid="{00000000-0005-0000-0000-00005E000000}"/>
    <cellStyle name="Notas 2 2 2 2 11 2" xfId="322" xr:uid="{DAABDC3E-12A7-4183-B858-321F93D06E55}"/>
    <cellStyle name="Notas 2 2 2 2 11 2 2" xfId="756" xr:uid="{ACC2FEBA-15E2-458E-9AD7-2F9150CDB91D}"/>
    <cellStyle name="Notas 2 2 2 2 11 2 3" xfId="1172" xr:uid="{7878E1E0-CD62-4162-8DD8-132B75E4A222}"/>
    <cellStyle name="Notas 2 2 2 2 11 2 4" xfId="1585" xr:uid="{10CCABFD-8C46-4D21-ABC7-865F2087DACD}"/>
    <cellStyle name="Notas 2 2 2 2 11 2 5" xfId="1995" xr:uid="{C7851592-85A2-456A-BE49-DD2F90676EF3}"/>
    <cellStyle name="Notas 2 2 2 2 11 2 6" xfId="2402" xr:uid="{63AE5972-BFFE-45A1-8E0C-CC647D68A5BB}"/>
    <cellStyle name="Notas 2 2 2 2 11 3" xfId="559" xr:uid="{4B875084-AA01-47C3-9EA8-445061C9F377}"/>
    <cellStyle name="Notas 2 2 2 2 11 4" xfId="977" xr:uid="{1131B52D-B443-4C26-B85B-332A180D04EE}"/>
    <cellStyle name="Notas 2 2 2 2 11 5" xfId="1390" xr:uid="{ADC36D21-738D-4C15-8AA1-7E4FA05B4073}"/>
    <cellStyle name="Notas 2 2 2 2 11 6" xfId="1801" xr:uid="{97816AF3-AC98-46BD-9D2D-6A2F378A8766}"/>
    <cellStyle name="Notas 2 2 2 2 11 7" xfId="2209" xr:uid="{CFE0EAE1-E360-4B69-A0D3-B46DF146DF17}"/>
    <cellStyle name="Notas 2 2 2 2 12" xfId="134" xr:uid="{00000000-0005-0000-0000-00005F000000}"/>
    <cellStyle name="Notas 2 2 2 2 12 2" xfId="331" xr:uid="{2A542E3C-B298-4187-9322-B4D7943E2E5A}"/>
    <cellStyle name="Notas 2 2 2 2 12 2 2" xfId="765" xr:uid="{00B8C691-FB46-4835-8FB3-F0BEA60B3462}"/>
    <cellStyle name="Notas 2 2 2 2 12 2 3" xfId="1181" xr:uid="{CEFE045A-7477-4855-A0B8-EF000951B494}"/>
    <cellStyle name="Notas 2 2 2 2 12 2 4" xfId="1594" xr:uid="{47DCC4C0-0391-4325-8590-C47A83C06D97}"/>
    <cellStyle name="Notas 2 2 2 2 12 2 5" xfId="2004" xr:uid="{F9033529-F111-400E-B515-6E2AC0940928}"/>
    <cellStyle name="Notas 2 2 2 2 12 2 6" xfId="2411" xr:uid="{76EC7F2F-F00E-45C0-80CA-217EDB0AD692}"/>
    <cellStyle name="Notas 2 2 2 2 12 3" xfId="568" xr:uid="{3E90761F-008F-459B-9304-DE3D35B46F14}"/>
    <cellStyle name="Notas 2 2 2 2 12 4" xfId="986" xr:uid="{6CC0BC7E-AC96-4C84-8534-B3906DAD75EF}"/>
    <cellStyle name="Notas 2 2 2 2 12 5" xfId="1399" xr:uid="{CE1AFE15-3334-4B24-BD63-F6A9E3ACA447}"/>
    <cellStyle name="Notas 2 2 2 2 12 6" xfId="1810" xr:uid="{107835B8-E10C-4E41-8967-254D812CBFBE}"/>
    <cellStyle name="Notas 2 2 2 2 12 7" xfId="2218" xr:uid="{7E2C2952-9CF3-4AFD-AE35-E3DCD85CD993}"/>
    <cellStyle name="Notas 2 2 2 2 13" xfId="141" xr:uid="{00000000-0005-0000-0000-000060000000}"/>
    <cellStyle name="Notas 2 2 2 2 13 2" xfId="338" xr:uid="{B4DEABCE-319C-4F3B-BCB1-5C0834B35161}"/>
    <cellStyle name="Notas 2 2 2 2 13 2 2" xfId="772" xr:uid="{5702C989-F011-44A1-8328-6371765FDE32}"/>
    <cellStyle name="Notas 2 2 2 2 13 2 3" xfId="1188" xr:uid="{C607A77D-A97B-417D-830E-0B58B20566FE}"/>
    <cellStyle name="Notas 2 2 2 2 13 2 4" xfId="1601" xr:uid="{3C723877-79D3-4D4E-B85C-F837DAEC0EA3}"/>
    <cellStyle name="Notas 2 2 2 2 13 2 5" xfId="2011" xr:uid="{DF494178-878B-4F43-8E32-390111D93B1B}"/>
    <cellStyle name="Notas 2 2 2 2 13 2 6" xfId="2418" xr:uid="{3F0C23D4-AEDD-47A1-A472-F4F452B6774C}"/>
    <cellStyle name="Notas 2 2 2 2 13 3" xfId="575" xr:uid="{FCAEE01D-6345-41C6-8F45-EAE75A9D9E53}"/>
    <cellStyle name="Notas 2 2 2 2 13 4" xfId="993" xr:uid="{16418C4E-4AF6-4BAF-ABAC-7BC27C47EB6B}"/>
    <cellStyle name="Notas 2 2 2 2 13 5" xfId="1406" xr:uid="{F5232B84-DDE4-4638-9F0D-659F7DD28274}"/>
    <cellStyle name="Notas 2 2 2 2 13 6" xfId="1817" xr:uid="{1EB397D9-07ED-417C-9023-972C8BFF0A4F}"/>
    <cellStyle name="Notas 2 2 2 2 13 7" xfId="2225" xr:uid="{BF4231C0-F82D-4E26-AD39-B6863AE1FD83}"/>
    <cellStyle name="Notas 2 2 2 2 14" xfId="150" xr:uid="{00000000-0005-0000-0000-000061000000}"/>
    <cellStyle name="Notas 2 2 2 2 14 2" xfId="347" xr:uid="{5369EC45-8F75-45AF-A587-C77F3BB5B917}"/>
    <cellStyle name="Notas 2 2 2 2 14 2 2" xfId="781" xr:uid="{C6E722E5-F5F5-42C2-B618-7ED3DCE68117}"/>
    <cellStyle name="Notas 2 2 2 2 14 2 3" xfId="1197" xr:uid="{AF0F1763-1086-4024-86ED-559B2BB61D41}"/>
    <cellStyle name="Notas 2 2 2 2 14 2 4" xfId="1610" xr:uid="{4E853599-DDB3-428A-A93F-56DCE95A26B2}"/>
    <cellStyle name="Notas 2 2 2 2 14 2 5" xfId="2020" xr:uid="{410CA5C9-413E-4DB6-9633-EBAAB482171E}"/>
    <cellStyle name="Notas 2 2 2 2 14 2 6" xfId="2427" xr:uid="{0A461659-C9C9-4BBC-A224-862D8C50C40B}"/>
    <cellStyle name="Notas 2 2 2 2 14 3" xfId="584" xr:uid="{66562A83-2D96-4F2B-8392-1E01F839F9BF}"/>
    <cellStyle name="Notas 2 2 2 2 14 4" xfId="1002" xr:uid="{668A7970-7818-49D6-923C-9DEDB40BA961}"/>
    <cellStyle name="Notas 2 2 2 2 14 5" xfId="1415" xr:uid="{A973B99F-E8CB-4A80-976D-0CAC0079D2E8}"/>
    <cellStyle name="Notas 2 2 2 2 14 6" xfId="1826" xr:uid="{9A2CC69E-B124-4473-9E20-3A8AFA4EDDE2}"/>
    <cellStyle name="Notas 2 2 2 2 14 7" xfId="2234" xr:uid="{A4583C69-0DA0-4D69-8E0B-52DCA6B0DB71}"/>
    <cellStyle name="Notas 2 2 2 2 15" xfId="164" xr:uid="{26E03CC8-F20E-4EE6-AA72-CD4FA8BA20EB}"/>
    <cellStyle name="Notas 2 2 2 2 15 2" xfId="361" xr:uid="{8157F93B-6625-414C-B72E-FBA8F79D8B5A}"/>
    <cellStyle name="Notas 2 2 2 2 15 2 2" xfId="795" xr:uid="{F63E645C-452D-41DE-B74A-6B200B33AE22}"/>
    <cellStyle name="Notas 2 2 2 2 15 2 3" xfId="1211" xr:uid="{B162393F-7B12-417C-B25B-E384C9446668}"/>
    <cellStyle name="Notas 2 2 2 2 15 2 4" xfId="1624" xr:uid="{618C45BF-71CE-4163-86E2-008BEDFC1AC1}"/>
    <cellStyle name="Notas 2 2 2 2 15 2 5" xfId="2034" xr:uid="{EA380C22-A2D4-43CC-99E9-E75DEE0DA5C5}"/>
    <cellStyle name="Notas 2 2 2 2 15 2 6" xfId="2441" xr:uid="{23C0B174-B632-43D7-A0DE-4B3650187096}"/>
    <cellStyle name="Notas 2 2 2 2 15 3" xfId="598" xr:uid="{2515B62F-04E4-4166-8B41-E40CD632F06B}"/>
    <cellStyle name="Notas 2 2 2 2 15 4" xfId="1016" xr:uid="{D9F3CE7B-61EB-4B3E-87B9-3E1992844E23}"/>
    <cellStyle name="Notas 2 2 2 2 15 5" xfId="1429" xr:uid="{963F0FEC-4E06-4BE5-96AA-88420DFF1616}"/>
    <cellStyle name="Notas 2 2 2 2 15 6" xfId="1840" xr:uid="{A9F7D103-9950-4DCD-B9FD-38A269ACDA6A}"/>
    <cellStyle name="Notas 2 2 2 2 15 7" xfId="2248" xr:uid="{35DD8FB3-1AE7-4948-AB83-9ABCA5281999}"/>
    <cellStyle name="Notas 2 2 2 2 16" xfId="172" xr:uid="{C8915F99-B71A-4FF1-ACF8-A26C4E15AE9D}"/>
    <cellStyle name="Notas 2 2 2 2 16 2" xfId="369" xr:uid="{3F32F0F0-FCB5-4849-9A7A-708C54ABF816}"/>
    <cellStyle name="Notas 2 2 2 2 16 2 2" xfId="803" xr:uid="{A42C0D0C-ED7F-4DAA-B5AB-42B232B28E13}"/>
    <cellStyle name="Notas 2 2 2 2 16 2 3" xfId="1218" xr:uid="{C45FFB18-344B-4834-AAB8-E8EF405BC278}"/>
    <cellStyle name="Notas 2 2 2 2 16 2 4" xfId="1631" xr:uid="{670CB3ED-E52C-4013-84B2-5FB64B66ACF7}"/>
    <cellStyle name="Notas 2 2 2 2 16 2 5" xfId="2041" xr:uid="{E7FEE3BA-0F07-40A0-88F3-8F99EAD56ACA}"/>
    <cellStyle name="Notas 2 2 2 2 16 2 6" xfId="2448" xr:uid="{19DE65FE-A5CF-46C9-9271-1B84E5C5CDF8}"/>
    <cellStyle name="Notas 2 2 2 2 16 3" xfId="606" xr:uid="{5805A73A-C459-4E3B-AD8B-3A1756FA9979}"/>
    <cellStyle name="Notas 2 2 2 2 16 4" xfId="1024" xr:uid="{DB93BE5C-574E-46F5-B5C8-5CE5FEA129BC}"/>
    <cellStyle name="Notas 2 2 2 2 16 5" xfId="1437" xr:uid="{1530861F-EB14-4DBA-8813-C81EC97E17BE}"/>
    <cellStyle name="Notas 2 2 2 2 16 6" xfId="1847" xr:uid="{1094B180-0694-49C1-9DB4-E65791FF00D4}"/>
    <cellStyle name="Notas 2 2 2 2 16 7" xfId="2255" xr:uid="{8C4E7DD0-F2B8-423E-B881-1EC2A66727F3}"/>
    <cellStyle name="Notas 2 2 2 2 17" xfId="182" xr:uid="{7D842BB6-2A1B-49A9-BB05-3BE5F893B2DC}"/>
    <cellStyle name="Notas 2 2 2 2 17 2" xfId="379" xr:uid="{3710ECB0-D11D-4382-AD14-20107EFE676F}"/>
    <cellStyle name="Notas 2 2 2 2 17 2 2" xfId="813" xr:uid="{C4FA79DA-9995-40A7-8712-6CB6B75CA897}"/>
    <cellStyle name="Notas 2 2 2 2 17 2 3" xfId="1228" xr:uid="{BDED86C3-0ABA-4BC0-9468-56B48A32AE26}"/>
    <cellStyle name="Notas 2 2 2 2 17 2 4" xfId="1641" xr:uid="{42EED954-4409-470E-8910-81599024F1F4}"/>
    <cellStyle name="Notas 2 2 2 2 17 2 5" xfId="2051" xr:uid="{E8328F02-A9DF-4CBC-AE35-4F8DABAB7266}"/>
    <cellStyle name="Notas 2 2 2 2 17 2 6" xfId="2458" xr:uid="{E7ED5B8E-FFD2-4AED-9EBB-C768497FC1E3}"/>
    <cellStyle name="Notas 2 2 2 2 17 3" xfId="616" xr:uid="{545942CA-B61E-4722-858D-EFF9A51A4619}"/>
    <cellStyle name="Notas 2 2 2 2 17 4" xfId="1034" xr:uid="{893EC3F7-2757-4A35-BFE7-72A6B399FDC8}"/>
    <cellStyle name="Notas 2 2 2 2 17 5" xfId="1447" xr:uid="{432F82B1-6329-4021-9A33-7CE9FC020650}"/>
    <cellStyle name="Notas 2 2 2 2 17 6" xfId="1857" xr:uid="{17070755-2EF5-4EDE-818A-79FCE074F36A}"/>
    <cellStyle name="Notas 2 2 2 2 17 7" xfId="2265" xr:uid="{3789822A-D057-4A08-A040-57D887A235E5}"/>
    <cellStyle name="Notas 2 2 2 2 18" xfId="192" xr:uid="{96E849BA-43D0-493C-A07F-CEF39ABB4B95}"/>
    <cellStyle name="Notas 2 2 2 2 18 2" xfId="389" xr:uid="{C443C743-A780-4885-8468-157DE88478FF}"/>
    <cellStyle name="Notas 2 2 2 2 18 2 2" xfId="823" xr:uid="{0BC45755-0FCB-4258-8115-CAE539A131A6}"/>
    <cellStyle name="Notas 2 2 2 2 18 2 3" xfId="1238" xr:uid="{E6C35F1A-D133-4D1A-A23D-A498D5BBA12B}"/>
    <cellStyle name="Notas 2 2 2 2 18 2 4" xfId="1651" xr:uid="{5321AEC2-81C6-4565-A153-F2435DD0F28E}"/>
    <cellStyle name="Notas 2 2 2 2 18 2 5" xfId="2061" xr:uid="{7DE74F53-E975-4F06-8D6F-1E9AEA89714F}"/>
    <cellStyle name="Notas 2 2 2 2 18 2 6" xfId="2468" xr:uid="{FE5EF2B9-5053-430E-9B15-530ED0D96E05}"/>
    <cellStyle name="Notas 2 2 2 2 18 3" xfId="626" xr:uid="{36CE51E6-AEEB-4E59-9A41-12DCD4CDABB2}"/>
    <cellStyle name="Notas 2 2 2 2 18 4" xfId="1044" xr:uid="{D996E8FA-AA71-4F17-8656-0045D214AD3D}"/>
    <cellStyle name="Notas 2 2 2 2 18 5" xfId="1457" xr:uid="{96CCD11A-E267-4321-9520-A31853F2E84B}"/>
    <cellStyle name="Notas 2 2 2 2 18 6" xfId="1867" xr:uid="{A0A379E6-DBF6-4420-A9F0-3F091FF9F196}"/>
    <cellStyle name="Notas 2 2 2 2 18 7" xfId="2275" xr:uid="{3922CE30-A408-4A40-9325-1E5E1B696073}"/>
    <cellStyle name="Notas 2 2 2 2 19" xfId="202" xr:uid="{F0286EB3-3DD6-4D0F-8C45-C41F91B8C770}"/>
    <cellStyle name="Notas 2 2 2 2 19 2" xfId="399" xr:uid="{BA6E49C0-8353-45BF-AF7C-25C13D5761D4}"/>
    <cellStyle name="Notas 2 2 2 2 19 2 2" xfId="833" xr:uid="{523B58C9-B0F7-423B-B857-970EE76E3C7E}"/>
    <cellStyle name="Notas 2 2 2 2 19 2 3" xfId="1248" xr:uid="{239B300F-04BD-434E-9A46-CF34CF2604E5}"/>
    <cellStyle name="Notas 2 2 2 2 19 2 4" xfId="1661" xr:uid="{738748C6-A141-4611-AB36-4D7139CC8354}"/>
    <cellStyle name="Notas 2 2 2 2 19 2 5" xfId="2071" xr:uid="{15D6E2C3-F463-4B35-A792-B92C47708C6A}"/>
    <cellStyle name="Notas 2 2 2 2 19 2 6" xfId="2478" xr:uid="{DF301904-5D4F-4A06-91BF-1E53C210544E}"/>
    <cellStyle name="Notas 2 2 2 2 19 3" xfId="636" xr:uid="{8F9D4421-036A-49A9-94D0-01D99A25D648}"/>
    <cellStyle name="Notas 2 2 2 2 19 4" xfId="1054" xr:uid="{3CC03D75-17C1-43E7-B6CC-3731B3EDEA0D}"/>
    <cellStyle name="Notas 2 2 2 2 19 5" xfId="1467" xr:uid="{D0AE2877-4000-41E5-BA5F-EBE0DFC59C4B}"/>
    <cellStyle name="Notas 2 2 2 2 19 6" xfId="1877" xr:uid="{D56DB3F2-C20F-4B92-96B1-5A72B7A509B1}"/>
    <cellStyle name="Notas 2 2 2 2 19 7" xfId="2285" xr:uid="{72648EEF-C34E-46B4-9C2E-347A2BC9DC02}"/>
    <cellStyle name="Notas 2 2 2 2 2" xfId="48" xr:uid="{00000000-0005-0000-0000-000062000000}"/>
    <cellStyle name="Notas 2 2 2 2 2 2" xfId="245" xr:uid="{9B5BA3D1-F60F-47C6-830D-E2B746D1D245}"/>
    <cellStyle name="Notas 2 2 2 2 2 2 2" xfId="679" xr:uid="{5ED8E092-4DC0-458B-9B92-7B563B7144CF}"/>
    <cellStyle name="Notas 2 2 2 2 2 2 3" xfId="1096" xr:uid="{7D87114C-ACE9-41F4-B5FB-2DC311929B1A}"/>
    <cellStyle name="Notas 2 2 2 2 2 2 4" xfId="1509" xr:uid="{3C65E2C4-04DC-4A34-901D-AAFB3CFF580C}"/>
    <cellStyle name="Notas 2 2 2 2 2 2 5" xfId="1919" xr:uid="{B09B2CA9-E61E-4A5A-B96B-3168BC56B062}"/>
    <cellStyle name="Notas 2 2 2 2 2 2 6" xfId="2327" xr:uid="{79678C53-C410-480F-9D36-C192A8F8235E}"/>
    <cellStyle name="Notas 2 2 2 2 2 3" xfId="482" xr:uid="{1DC7AAF2-153D-4007-B0D5-991934D675E9}"/>
    <cellStyle name="Notas 2 2 2 2 2 4" xfId="900" xr:uid="{7B5430A7-D915-4CF8-8F3F-032ACEE2F085}"/>
    <cellStyle name="Notas 2 2 2 2 2 5" xfId="1315" xr:uid="{77F14421-D4B2-448B-9BA6-3AD260AE2A32}"/>
    <cellStyle name="Notas 2 2 2 2 2 6" xfId="1726" xr:uid="{4880CE0E-A3D3-4F78-901D-5040783AF877}"/>
    <cellStyle name="Notas 2 2 2 2 2 7" xfId="2134" xr:uid="{ED4A9359-02E7-42B9-BB68-E61CD6E529DF}"/>
    <cellStyle name="Notas 2 2 2 2 20" xfId="214" xr:uid="{9025A42D-F0FE-4026-A631-362084A7984F}"/>
    <cellStyle name="Notas 2 2 2 2 20 2" xfId="411" xr:uid="{AD2DDDFF-ADAA-484E-8F48-DC5E6B0ED962}"/>
    <cellStyle name="Notas 2 2 2 2 20 2 2" xfId="845" xr:uid="{C372A837-CE6F-403B-B95C-1699AF7E98BF}"/>
    <cellStyle name="Notas 2 2 2 2 20 2 3" xfId="1260" xr:uid="{C4116C2D-4C37-49E1-A3E4-2548CE735BEE}"/>
    <cellStyle name="Notas 2 2 2 2 20 2 4" xfId="1673" xr:uid="{C9673B43-0D03-4ED0-BF6D-5A3DC8D4CC54}"/>
    <cellStyle name="Notas 2 2 2 2 20 2 5" xfId="2083" xr:uid="{1B8E5EC1-2FA0-4962-88B5-C0F07C0089AF}"/>
    <cellStyle name="Notas 2 2 2 2 20 2 6" xfId="2490" xr:uid="{4CFC4F1B-B031-4415-ABA1-3FEE6DCE743C}"/>
    <cellStyle name="Notas 2 2 2 2 20 3" xfId="648" xr:uid="{B11F11DF-EB9C-4355-98CF-F26A12171B82}"/>
    <cellStyle name="Notas 2 2 2 2 20 4" xfId="1066" xr:uid="{47FAA886-C532-40B7-AB33-7FEAC2AAD658}"/>
    <cellStyle name="Notas 2 2 2 2 20 5" xfId="1479" xr:uid="{E21C1642-B63A-437C-A554-D30DA3BAFB4B}"/>
    <cellStyle name="Notas 2 2 2 2 20 6" xfId="1889" xr:uid="{AABA12B4-6EC1-4397-BC0C-C482F69500D5}"/>
    <cellStyle name="Notas 2 2 2 2 20 7" xfId="2297" xr:uid="{13FD1805-80ED-4468-A937-24AD35C7CBE9}"/>
    <cellStyle name="Notas 2 2 2 2 21" xfId="220" xr:uid="{4B7A8BDD-C0AF-4785-BDA0-51C16321621D}"/>
    <cellStyle name="Notas 2 2 2 2 21 2" xfId="417" xr:uid="{3B9FFB65-717D-490E-9017-FE1C3B666276}"/>
    <cellStyle name="Notas 2 2 2 2 21 2 2" xfId="851" xr:uid="{3C65AB75-0CB6-4457-B7A2-4583591DFBC6}"/>
    <cellStyle name="Notas 2 2 2 2 21 2 3" xfId="1266" xr:uid="{164E7780-6EB1-402B-833A-15B75245E3F8}"/>
    <cellStyle name="Notas 2 2 2 2 21 2 4" xfId="1679" xr:uid="{0720AAB8-870A-4394-BDCA-3A5EBA4AE394}"/>
    <cellStyle name="Notas 2 2 2 2 21 2 5" xfId="2089" xr:uid="{F91A3320-B046-4B13-81B9-462D789729E8}"/>
    <cellStyle name="Notas 2 2 2 2 21 2 6" xfId="2496" xr:uid="{71231F36-D6BC-4786-939C-8A9234114BF6}"/>
    <cellStyle name="Notas 2 2 2 2 21 3" xfId="654" xr:uid="{E875BA15-B56F-4FAB-8CBF-227B7FF62973}"/>
    <cellStyle name="Notas 2 2 2 2 21 4" xfId="1072" xr:uid="{C763BB1C-AAD0-421D-9BAF-84D48E5B12F5}"/>
    <cellStyle name="Notas 2 2 2 2 21 5" xfId="1485" xr:uid="{A3C787FD-2F01-4ED6-B7AC-F1E2865FF46E}"/>
    <cellStyle name="Notas 2 2 2 2 21 6" xfId="1895" xr:uid="{01D06279-35AC-4402-8456-433155C1F62B}"/>
    <cellStyle name="Notas 2 2 2 2 21 7" xfId="2303" xr:uid="{7B9C48B4-4126-4D1D-9868-7CAE3A428B2E}"/>
    <cellStyle name="Notas 2 2 2 2 22" xfId="230" xr:uid="{C0E68636-DD69-4962-9D41-CE4065CE5566}"/>
    <cellStyle name="Notas 2 2 2 2 22 2" xfId="664" xr:uid="{E1DC6347-A7C0-4262-9058-AC2EC31686B8}"/>
    <cellStyle name="Notas 2 2 2 2 22 3" xfId="1082" xr:uid="{6AF948C1-D3EC-4133-BF35-229F32B7F668}"/>
    <cellStyle name="Notas 2 2 2 2 22 4" xfId="1495" xr:uid="{ADEA6AAE-D82F-45E0-879C-3D371A402934}"/>
    <cellStyle name="Notas 2 2 2 2 22 5" xfId="1905" xr:uid="{64367B8A-4EF1-47B4-BD10-B5275CE19FB9}"/>
    <cellStyle name="Notas 2 2 2 2 22 6" xfId="2313" xr:uid="{48EDF103-DE72-406C-858E-32C708BACF04}"/>
    <cellStyle name="Notas 2 2 2 2 23" xfId="427" xr:uid="{559E57BC-CD11-4BB4-8FEC-13B230C9CC62}"/>
    <cellStyle name="Notas 2 2 2 2 23 2" xfId="861" xr:uid="{F04FADFF-0409-401B-8AF0-2C0703B4A3DE}"/>
    <cellStyle name="Notas 2 2 2 2 23 3" xfId="1276" xr:uid="{3D72D7F8-ADAF-45B5-A0FC-3FC14FD8E435}"/>
    <cellStyle name="Notas 2 2 2 2 23 4" xfId="1689" xr:uid="{CF1B8CD2-DBBE-43DE-8CD8-AB21F364BBBE}"/>
    <cellStyle name="Notas 2 2 2 2 23 5" xfId="2099" xr:uid="{B52FC4B2-144E-481A-B0BB-E5DFDF98B9A0}"/>
    <cellStyle name="Notas 2 2 2 2 23 6" xfId="2506" xr:uid="{637934FD-82AE-4282-8CF2-B8571F9CFBD7}"/>
    <cellStyle name="Notas 2 2 2 2 24" xfId="442" xr:uid="{B93DA6D6-4852-47A1-8B6E-2AA29E776D15}"/>
    <cellStyle name="Notas 2 2 2 2 24 2" xfId="876" xr:uid="{43A327EC-90FC-4B0A-B6EF-B9EB632EDCD2}"/>
    <cellStyle name="Notas 2 2 2 2 24 3" xfId="1290" xr:uid="{05E7734E-8F31-4171-9231-323CB053726D}"/>
    <cellStyle name="Notas 2 2 2 2 24 4" xfId="1704" xr:uid="{74A94E02-BBC9-497E-ADC3-5BDE6A2043D8}"/>
    <cellStyle name="Notas 2 2 2 2 24 5" xfId="2114" xr:uid="{B605CAD4-3EC4-4CB0-8A65-2B166B74DF43}"/>
    <cellStyle name="Notas 2 2 2 2 24 6" xfId="2520" xr:uid="{683B7483-99AF-47C0-A9E9-7F4260C74450}"/>
    <cellStyle name="Notas 2 2 2 2 25" xfId="431" xr:uid="{4C3C63D2-428B-4D83-BB6E-D4835F1FF8AA}"/>
    <cellStyle name="Notas 2 2 2 2 25 2" xfId="865" xr:uid="{605C11A0-7C84-4BA3-8E4A-448494BA914F}"/>
    <cellStyle name="Notas 2 2 2 2 25 3" xfId="1279" xr:uid="{54CEB559-2E61-436E-86D2-8B2630A1799A}"/>
    <cellStyle name="Notas 2 2 2 2 25 4" xfId="1693" xr:uid="{C8AC39CC-4DA6-4966-B0BD-C8A3FE631E03}"/>
    <cellStyle name="Notas 2 2 2 2 25 5" xfId="2103" xr:uid="{48F54BA0-8960-4E0A-8468-92F64F7E6A4F}"/>
    <cellStyle name="Notas 2 2 2 2 25 6" xfId="2509" xr:uid="{8B460FA4-F073-49BA-AF09-8EB4792FBD9C}"/>
    <cellStyle name="Notas 2 2 2 2 26" xfId="462" xr:uid="{7D979C94-8534-4C22-B74B-CF0422F3445D}"/>
    <cellStyle name="Notas 2 2 2 2 27" xfId="461" xr:uid="{DD566933-5E9F-42D8-B1B1-DAAB7CA68357}"/>
    <cellStyle name="Notas 2 2 2 2 28" xfId="1298" xr:uid="{600498BF-A842-4ABB-9663-7976B059A37E}"/>
    <cellStyle name="Notas 2 2 2 2 29" xfId="1431" xr:uid="{DC5EF824-0680-4EA8-9E33-77E36BFA93AF}"/>
    <cellStyle name="Notas 2 2 2 2 3" xfId="61" xr:uid="{00000000-0005-0000-0000-000063000000}"/>
    <cellStyle name="Notas 2 2 2 2 3 2" xfId="258" xr:uid="{71B4C665-F2F9-4211-8B70-82179F999AFE}"/>
    <cellStyle name="Notas 2 2 2 2 3 2 2" xfId="692" xr:uid="{C6A20D83-DD92-43CB-A390-45A2809BFD46}"/>
    <cellStyle name="Notas 2 2 2 2 3 2 3" xfId="1109" xr:uid="{E3E8981D-7CFC-4602-9EE5-240343301F0B}"/>
    <cellStyle name="Notas 2 2 2 2 3 2 4" xfId="1521" xr:uid="{E597B47E-A850-4EAF-98FA-0558E0EF2E40}"/>
    <cellStyle name="Notas 2 2 2 2 3 2 5" xfId="1932" xr:uid="{5D431572-57ED-440F-9B38-69FEFBA1FB8C}"/>
    <cellStyle name="Notas 2 2 2 2 3 2 6" xfId="2339" xr:uid="{72337B99-FE33-419B-A5C8-0375E9C673E1}"/>
    <cellStyle name="Notas 2 2 2 2 3 3" xfId="495" xr:uid="{ADDCBF25-E60E-4055-BB21-10B1F830B83A}"/>
    <cellStyle name="Notas 2 2 2 2 3 4" xfId="913" xr:uid="{127028D5-6A7B-4198-BE0F-78D338D81C7E}"/>
    <cellStyle name="Notas 2 2 2 2 3 5" xfId="1327" xr:uid="{89D87029-61DA-4301-AAC7-359C34886980}"/>
    <cellStyle name="Notas 2 2 2 2 3 6" xfId="1738" xr:uid="{747F56F1-1282-49FC-8F2E-A3B51E6209BB}"/>
    <cellStyle name="Notas 2 2 2 2 3 7" xfId="2146" xr:uid="{22091A74-48DF-4D1A-AC82-51A84D47F5CA}"/>
    <cellStyle name="Notas 2 2 2 2 30" xfId="1922" xr:uid="{79E23DE3-4BFC-4337-92D5-95641DC1C89F}"/>
    <cellStyle name="Notas 2 2 2 2 4" xfId="52" xr:uid="{00000000-0005-0000-0000-000064000000}"/>
    <cellStyle name="Notas 2 2 2 2 4 2" xfId="249" xr:uid="{2DD190BC-BDA6-44B2-A3AB-7F1779C3C25F}"/>
    <cellStyle name="Notas 2 2 2 2 4 2 2" xfId="683" xr:uid="{0504211B-2FF2-46B6-9F90-2E67094FF517}"/>
    <cellStyle name="Notas 2 2 2 2 4 2 3" xfId="1100" xr:uid="{2283A3F2-AAAA-47AA-B828-603926B42A4B}"/>
    <cellStyle name="Notas 2 2 2 2 4 2 4" xfId="1512" xr:uid="{222E8A3E-FA04-4B2F-BE96-25AF3468E50F}"/>
    <cellStyle name="Notas 2 2 2 2 4 2 5" xfId="1923" xr:uid="{C78282C8-7A04-423B-BCCB-D18F2B83CDFE}"/>
    <cellStyle name="Notas 2 2 2 2 4 2 6" xfId="2330" xr:uid="{9E89BB0C-14CB-4BAE-BA10-D7095A41C4B5}"/>
    <cellStyle name="Notas 2 2 2 2 4 3" xfId="486" xr:uid="{2084093A-9E4E-4D33-A3A7-4EFA839D4CA3}"/>
    <cellStyle name="Notas 2 2 2 2 4 4" xfId="904" xr:uid="{51720FEA-23FC-48A1-A90C-8378E7473E7C}"/>
    <cellStyle name="Notas 2 2 2 2 4 5" xfId="1318" xr:uid="{755066BF-0043-47ED-95FB-9FB8206CB996}"/>
    <cellStyle name="Notas 2 2 2 2 4 6" xfId="1729" xr:uid="{24A324D8-05E2-467B-B768-A1873977FD10}"/>
    <cellStyle name="Notas 2 2 2 2 4 7" xfId="2137" xr:uid="{A20FE615-366B-4DE5-BD15-B8BE83260776}"/>
    <cellStyle name="Notas 2 2 2 2 5" xfId="67" xr:uid="{00000000-0005-0000-0000-000065000000}"/>
    <cellStyle name="Notas 2 2 2 2 5 2" xfId="264" xr:uid="{3E676E23-AC0E-4770-881B-883EF1A27A65}"/>
    <cellStyle name="Notas 2 2 2 2 5 2 2" xfId="698" xr:uid="{F11A7FB0-6F8A-4DD2-ADB3-3ACD6E744443}"/>
    <cellStyle name="Notas 2 2 2 2 5 2 3" xfId="1115" xr:uid="{AB0AAE19-5A65-41CF-809D-FD110FCE9F91}"/>
    <cellStyle name="Notas 2 2 2 2 5 2 4" xfId="1527" xr:uid="{69D2E31F-9FFB-46F7-9F1B-50BC7A394DEF}"/>
    <cellStyle name="Notas 2 2 2 2 5 2 5" xfId="1938" xr:uid="{75C14BC2-DED7-419E-A4D8-EF58B2B30365}"/>
    <cellStyle name="Notas 2 2 2 2 5 2 6" xfId="2345" xr:uid="{AA41C62C-A514-4931-B53F-72A958DD70DC}"/>
    <cellStyle name="Notas 2 2 2 2 5 3" xfId="501" xr:uid="{84D4FADF-B009-451B-95B2-B528E7AF67E3}"/>
    <cellStyle name="Notas 2 2 2 2 5 4" xfId="919" xr:uid="{13B38FC3-CA02-4F21-A74C-FCFC078D0F93}"/>
    <cellStyle name="Notas 2 2 2 2 5 5" xfId="1333" xr:uid="{30A36790-BDED-4783-BED2-997DC96A3D73}"/>
    <cellStyle name="Notas 2 2 2 2 5 6" xfId="1744" xr:uid="{7B5CE5AE-AEC9-477A-B808-E567D4C5F4A8}"/>
    <cellStyle name="Notas 2 2 2 2 5 7" xfId="2152" xr:uid="{831E6B54-0A98-4454-BB03-10942EDCB7F5}"/>
    <cellStyle name="Notas 2 2 2 2 6" xfId="79" xr:uid="{00000000-0005-0000-0000-000066000000}"/>
    <cellStyle name="Notas 2 2 2 2 6 2" xfId="276" xr:uid="{0B34579B-1134-42B2-9780-1E58655015FB}"/>
    <cellStyle name="Notas 2 2 2 2 6 2 2" xfId="710" xr:uid="{E158AD41-D7F6-4202-A7C9-5FF0AD0AE46E}"/>
    <cellStyle name="Notas 2 2 2 2 6 2 3" xfId="1127" xr:uid="{EB105D5F-7201-438E-8423-9BD36A7468D7}"/>
    <cellStyle name="Notas 2 2 2 2 6 2 4" xfId="1539" xr:uid="{5852A8C7-5621-471F-B25F-11CA7A989427}"/>
    <cellStyle name="Notas 2 2 2 2 6 2 5" xfId="1950" xr:uid="{5A3E164D-332E-4D25-93FE-00B2A2ABDD69}"/>
    <cellStyle name="Notas 2 2 2 2 6 2 6" xfId="2357" xr:uid="{E97A623D-9F1E-4A21-BD8F-7CAB84971213}"/>
    <cellStyle name="Notas 2 2 2 2 6 3" xfId="513" xr:uid="{13F3D001-8B7A-4664-A5DD-4D44B982BCFA}"/>
    <cellStyle name="Notas 2 2 2 2 6 4" xfId="931" xr:uid="{9DB73EB2-3129-4455-A128-94E16D5F3A62}"/>
    <cellStyle name="Notas 2 2 2 2 6 5" xfId="1345" xr:uid="{2FFFD723-4F76-409F-BBE3-23131C421993}"/>
    <cellStyle name="Notas 2 2 2 2 6 6" xfId="1756" xr:uid="{48FE3333-86AD-449A-A1A3-A45AA1A65852}"/>
    <cellStyle name="Notas 2 2 2 2 6 7" xfId="2164" xr:uid="{96EFDF4E-7FFF-4C78-9E86-BEE1E057DFBD}"/>
    <cellStyle name="Notas 2 2 2 2 7" xfId="95" xr:uid="{00000000-0005-0000-0000-000067000000}"/>
    <cellStyle name="Notas 2 2 2 2 7 2" xfId="292" xr:uid="{61D6255D-6867-4439-A1AA-F7C1FCBF242E}"/>
    <cellStyle name="Notas 2 2 2 2 7 2 2" xfId="726" xr:uid="{290312FD-95EA-4FAE-B432-42B21608FC5E}"/>
    <cellStyle name="Notas 2 2 2 2 7 2 3" xfId="1142" xr:uid="{54841792-4629-4B3D-83F9-B8531767ECB1}"/>
    <cellStyle name="Notas 2 2 2 2 7 2 4" xfId="1555" xr:uid="{24777B2C-4A91-4021-B5CE-F18F5205A9C4}"/>
    <cellStyle name="Notas 2 2 2 2 7 2 5" xfId="1965" xr:uid="{2B5EAF40-4D15-4C92-A24A-188C14988F53}"/>
    <cellStyle name="Notas 2 2 2 2 7 2 6" xfId="2372" xr:uid="{73287101-C8C4-4A3E-950A-D6F98F6E3B0E}"/>
    <cellStyle name="Notas 2 2 2 2 7 3" xfId="529" xr:uid="{E9D58F92-A21E-4192-ACA5-B923FB164AF6}"/>
    <cellStyle name="Notas 2 2 2 2 7 4" xfId="947" xr:uid="{95D3661D-3A13-4E5C-9113-41EC0B74E396}"/>
    <cellStyle name="Notas 2 2 2 2 7 5" xfId="1360" xr:uid="{BD73455A-31F5-430B-88DC-51CB71488372}"/>
    <cellStyle name="Notas 2 2 2 2 7 6" xfId="1771" xr:uid="{B3CA5BFC-0A5A-49F5-9302-94A01059D4CA}"/>
    <cellStyle name="Notas 2 2 2 2 7 7" xfId="2179" xr:uid="{A4F168B6-83B4-49AE-BEEE-C1836BA0C43A}"/>
    <cellStyle name="Notas 2 2 2 2 8" xfId="102" xr:uid="{00000000-0005-0000-0000-000068000000}"/>
    <cellStyle name="Notas 2 2 2 2 8 2" xfId="299" xr:uid="{9198BDD1-E64F-4DFE-AD73-344BBBB3AC76}"/>
    <cellStyle name="Notas 2 2 2 2 8 2 2" xfId="733" xr:uid="{2E8F688B-339C-42F7-8E47-A17CC9CA95A5}"/>
    <cellStyle name="Notas 2 2 2 2 8 2 3" xfId="1149" xr:uid="{E702C5F2-C249-4FD4-8A5A-AF84366067CA}"/>
    <cellStyle name="Notas 2 2 2 2 8 2 4" xfId="1562" xr:uid="{26B6AF8C-8704-45B2-AC92-B83C5D6047C9}"/>
    <cellStyle name="Notas 2 2 2 2 8 2 5" xfId="1972" xr:uid="{9D64C88E-3ACB-42BF-92D2-B83EC7685EAF}"/>
    <cellStyle name="Notas 2 2 2 2 8 2 6" xfId="2379" xr:uid="{9AB439E4-4AF5-47C2-BAD1-C001C0C67359}"/>
    <cellStyle name="Notas 2 2 2 2 8 3" xfId="536" xr:uid="{10538771-0F71-477B-B374-568A965E5460}"/>
    <cellStyle name="Notas 2 2 2 2 8 4" xfId="954" xr:uid="{B69F31DD-3FDE-4B4A-82CD-D34968F87C2C}"/>
    <cellStyle name="Notas 2 2 2 2 8 5" xfId="1367" xr:uid="{6193E158-B248-4197-96D1-4012F49F512C}"/>
    <cellStyle name="Notas 2 2 2 2 8 6" xfId="1778" xr:uid="{E2A637E2-F1CA-423F-A4E2-1A0C4A982CA6}"/>
    <cellStyle name="Notas 2 2 2 2 8 7" xfId="2186" xr:uid="{333E0CD0-EE65-4B6E-895E-A2CE6141662B}"/>
    <cellStyle name="Notas 2 2 2 2 9" xfId="108" xr:uid="{00000000-0005-0000-0000-000069000000}"/>
    <cellStyle name="Notas 2 2 2 2 9 2" xfId="305" xr:uid="{703C51CF-3432-42F5-BD9A-476DAA33E3B6}"/>
    <cellStyle name="Notas 2 2 2 2 9 2 2" xfId="739" xr:uid="{9C22AAA9-0611-49EE-9AF0-30D95DBC876E}"/>
    <cellStyle name="Notas 2 2 2 2 9 2 3" xfId="1155" xr:uid="{57036FE7-22F8-49CA-B94A-3DC4D53C903B}"/>
    <cellStyle name="Notas 2 2 2 2 9 2 4" xfId="1568" xr:uid="{B96A3CE1-D4B5-45E7-9A75-B616CB093CEF}"/>
    <cellStyle name="Notas 2 2 2 2 9 2 5" xfId="1978" xr:uid="{6032D58B-300A-4645-BE4F-9AABD251A13B}"/>
    <cellStyle name="Notas 2 2 2 2 9 2 6" xfId="2385" xr:uid="{A9586E6C-DA93-4EF7-8F7F-C1E39141D5A0}"/>
    <cellStyle name="Notas 2 2 2 2 9 3" xfId="542" xr:uid="{E3E5DF08-8C49-4D2F-85BF-8DCB7C70222F}"/>
    <cellStyle name="Notas 2 2 2 2 9 4" xfId="960" xr:uid="{27BC4498-A058-474F-A663-7289AF6EAEBC}"/>
    <cellStyle name="Notas 2 2 2 2 9 5" xfId="1373" xr:uid="{EFC92643-D3F6-432A-8082-9884EBE96466}"/>
    <cellStyle name="Notas 2 2 2 2 9 6" xfId="1784" xr:uid="{CEE37F2E-8520-4C05-B4D4-CB5D60AE487B}"/>
    <cellStyle name="Notas 2 2 2 2 9 7" xfId="2192" xr:uid="{9BC67E6F-04BD-4211-A056-40595B67E450}"/>
    <cellStyle name="Notas 2 2 2 20" xfId="201" xr:uid="{C488D8C0-4BD7-49F7-8236-2B4FB63FCB42}"/>
    <cellStyle name="Notas 2 2 2 20 2" xfId="398" xr:uid="{D40A752E-0941-4BEF-ACB5-C51ABC3B24C3}"/>
    <cellStyle name="Notas 2 2 2 20 2 2" xfId="832" xr:uid="{E9B7084D-EA3D-41FB-ACAD-055756D9B767}"/>
    <cellStyle name="Notas 2 2 2 20 2 3" xfId="1247" xr:uid="{6FA61F90-183A-4468-9036-8867C615C072}"/>
    <cellStyle name="Notas 2 2 2 20 2 4" xfId="1660" xr:uid="{B9D4EB78-CC56-447E-84DF-093130D5D197}"/>
    <cellStyle name="Notas 2 2 2 20 2 5" xfId="2070" xr:uid="{A473AA1A-0013-49E7-9F53-265B12EE92CE}"/>
    <cellStyle name="Notas 2 2 2 20 2 6" xfId="2477" xr:uid="{9C169AF6-DFDF-4237-9CAB-873472A14171}"/>
    <cellStyle name="Notas 2 2 2 20 3" xfId="635" xr:uid="{0D40E1F1-13C8-41F0-8DE7-3E6A6ECD9F4B}"/>
    <cellStyle name="Notas 2 2 2 20 4" xfId="1053" xr:uid="{700A50BC-21E2-410B-B309-59284BF6843C}"/>
    <cellStyle name="Notas 2 2 2 20 5" xfId="1466" xr:uid="{CB92C7B7-7D0E-4E14-A93B-626CCB099EA7}"/>
    <cellStyle name="Notas 2 2 2 20 6" xfId="1876" xr:uid="{ED8B66D3-EA07-49F8-B5B0-FA2B7032FA3C}"/>
    <cellStyle name="Notas 2 2 2 20 7" xfId="2284" xr:uid="{5666437C-8FB5-4989-AE8E-A20D3B2C9BAB}"/>
    <cellStyle name="Notas 2 2 2 21" xfId="213" xr:uid="{735F9C02-1181-4375-BEB2-AF8B056359E3}"/>
    <cellStyle name="Notas 2 2 2 21 2" xfId="410" xr:uid="{5AFDA3EF-DCF7-48E5-846C-F4D499D38065}"/>
    <cellStyle name="Notas 2 2 2 21 2 2" xfId="844" xr:uid="{693A0E72-A8CD-4250-A1F1-430AFAB656B0}"/>
    <cellStyle name="Notas 2 2 2 21 2 3" xfId="1259" xr:uid="{9E0E507D-6305-48B6-AFF0-E9AB93183DEC}"/>
    <cellStyle name="Notas 2 2 2 21 2 4" xfId="1672" xr:uid="{80C028FF-8568-4C62-B7FB-90F75E747666}"/>
    <cellStyle name="Notas 2 2 2 21 2 5" xfId="2082" xr:uid="{5408A058-D51F-45F9-AF70-E94B3ACA3726}"/>
    <cellStyle name="Notas 2 2 2 21 2 6" xfId="2489" xr:uid="{9321689D-51D8-4A45-B015-42DE3C34C3E9}"/>
    <cellStyle name="Notas 2 2 2 21 3" xfId="647" xr:uid="{EE177150-B0D6-482C-A8F6-AB68E9C305F9}"/>
    <cellStyle name="Notas 2 2 2 21 4" xfId="1065" xr:uid="{88E10B32-619F-4349-8551-136215DF867B}"/>
    <cellStyle name="Notas 2 2 2 21 5" xfId="1478" xr:uid="{D32D1E1A-C6BA-49C4-AE86-DDEAE9133058}"/>
    <cellStyle name="Notas 2 2 2 21 6" xfId="1888" xr:uid="{F5ECE336-3206-498A-BA60-F9EA186DDE85}"/>
    <cellStyle name="Notas 2 2 2 21 7" xfId="2296" xr:uid="{09335605-4D63-4BF5-93B0-07F82CCED3EE}"/>
    <cellStyle name="Notas 2 2 2 22" xfId="219" xr:uid="{D9BCF46B-A5FE-42B3-8615-D5A079B81DBA}"/>
    <cellStyle name="Notas 2 2 2 22 2" xfId="416" xr:uid="{7AE2F2FF-5376-4BA5-8386-63679BA313C4}"/>
    <cellStyle name="Notas 2 2 2 22 2 2" xfId="850" xr:uid="{6FFF67D8-9E22-4B4C-8CBC-DA24B17CA973}"/>
    <cellStyle name="Notas 2 2 2 22 2 3" xfId="1265" xr:uid="{FAF7579B-DC33-4AD0-A5F0-E3A8A2AD96E7}"/>
    <cellStyle name="Notas 2 2 2 22 2 4" xfId="1678" xr:uid="{E621E7E6-88DB-4900-987D-C0BC675C6381}"/>
    <cellStyle name="Notas 2 2 2 22 2 5" xfId="2088" xr:uid="{BBE05065-D2C5-4E85-B143-2FABE38B7B5A}"/>
    <cellStyle name="Notas 2 2 2 22 2 6" xfId="2495" xr:uid="{66B6F8F6-980C-4B1D-8692-2A6F820B8D8A}"/>
    <cellStyle name="Notas 2 2 2 22 3" xfId="653" xr:uid="{16DFCB11-6C1A-488D-BE57-E339753B7BED}"/>
    <cellStyle name="Notas 2 2 2 22 4" xfId="1071" xr:uid="{96BA4E29-2D1D-4726-BB2A-C88C39A3D2CD}"/>
    <cellStyle name="Notas 2 2 2 22 5" xfId="1484" xr:uid="{40A76DD0-9F8E-4D9B-839F-0029FB30206A}"/>
    <cellStyle name="Notas 2 2 2 22 6" xfId="1894" xr:uid="{6ED709CF-7855-49B2-8561-C92303E539B1}"/>
    <cellStyle name="Notas 2 2 2 22 7" xfId="2302" xr:uid="{F82876E9-2E10-4924-9C36-DE51D512195C}"/>
    <cellStyle name="Notas 2 2 2 23" xfId="229" xr:uid="{7FD3EDCB-94E5-4798-8C00-5B8D0FFC780B}"/>
    <cellStyle name="Notas 2 2 2 23 2" xfId="663" xr:uid="{F67DE70B-CB71-45DD-B604-626C0400B87D}"/>
    <cellStyle name="Notas 2 2 2 23 3" xfId="1081" xr:uid="{179CA306-236D-417D-99A8-AEE1E045DF46}"/>
    <cellStyle name="Notas 2 2 2 23 4" xfId="1494" xr:uid="{F6BCC2B1-A88A-492B-96AE-EAAEE4D06E5B}"/>
    <cellStyle name="Notas 2 2 2 23 5" xfId="1904" xr:uid="{5FA3080D-D89B-42E3-B4C2-A5AD6975FC6E}"/>
    <cellStyle name="Notas 2 2 2 23 6" xfId="2312" xr:uid="{EE4C1C21-1B75-441C-9D8A-16D556F5F33F}"/>
    <cellStyle name="Notas 2 2 2 24" xfId="426" xr:uid="{CFE5A114-6BF6-49AF-A63D-378FAD45737B}"/>
    <cellStyle name="Notas 2 2 2 24 2" xfId="860" xr:uid="{BAA9FE7C-BC0F-4FDB-9A7A-4B099C7526E4}"/>
    <cellStyle name="Notas 2 2 2 24 3" xfId="1275" xr:uid="{8B887DE2-7DBB-4961-8A08-8BFEC700DED3}"/>
    <cellStyle name="Notas 2 2 2 24 4" xfId="1688" xr:uid="{C6F32546-D059-4370-9492-C5BA3C362535}"/>
    <cellStyle name="Notas 2 2 2 24 5" xfId="2098" xr:uid="{DD26EF8F-5DA2-4312-9648-BBFFF5A4EC3C}"/>
    <cellStyle name="Notas 2 2 2 24 6" xfId="2505" xr:uid="{FF1082B6-16AD-4E57-BEED-B6190A808BC3}"/>
    <cellStyle name="Notas 2 2 2 25" xfId="441" xr:uid="{EF5853C0-6D2F-4076-A1AD-055E2754AF7D}"/>
    <cellStyle name="Notas 2 2 2 25 2" xfId="875" xr:uid="{B97E3A0B-52D7-4E3C-AB4A-844D345FA6B3}"/>
    <cellStyle name="Notas 2 2 2 25 3" xfId="1289" xr:uid="{8EE82659-3873-4E0F-8002-BB3F37A5AC9A}"/>
    <cellStyle name="Notas 2 2 2 25 4" xfId="1703" xr:uid="{56B15908-29A0-44FA-80E3-4C473DC23F1E}"/>
    <cellStyle name="Notas 2 2 2 25 5" xfId="2113" xr:uid="{AEB587B0-8D30-4D0E-A847-37B7AE5C16AD}"/>
    <cellStyle name="Notas 2 2 2 25 6" xfId="2519" xr:uid="{6C2ACD57-283B-40FD-869E-AF123483C60C}"/>
    <cellStyle name="Notas 2 2 2 26" xfId="438" xr:uid="{372EA159-CA71-4558-A935-11B2972DA278}"/>
    <cellStyle name="Notas 2 2 2 26 2" xfId="872" xr:uid="{588C344C-1A24-49B4-9970-ED41353F3AC8}"/>
    <cellStyle name="Notas 2 2 2 26 3" xfId="1286" xr:uid="{D3BD4BC8-EC5F-4C3B-8EE2-8A2E04F1BB51}"/>
    <cellStyle name="Notas 2 2 2 26 4" xfId="1700" xr:uid="{C2CC27EE-6C19-481F-AB4E-D4812380D836}"/>
    <cellStyle name="Notas 2 2 2 26 5" xfId="2110" xr:uid="{711EAC51-1564-4362-BF3A-B6292905F091}"/>
    <cellStyle name="Notas 2 2 2 26 6" xfId="2516" xr:uid="{0FBD1A5F-3807-4483-8422-C31D290CA9FD}"/>
    <cellStyle name="Notas 2 2 2 27" xfId="460" xr:uid="{5CD467A8-C984-4770-B8E2-2C76E56E39C8}"/>
    <cellStyle name="Notas 2 2 2 28" xfId="470" xr:uid="{EAC41B24-C716-4DEE-AFC5-3228350FA1E0}"/>
    <cellStyle name="Notas 2 2 2 29" xfId="465" xr:uid="{ED7E3D5B-61B4-4916-BEEE-FD76081E8E68}"/>
    <cellStyle name="Notas 2 2 2 3" xfId="46" xr:uid="{00000000-0005-0000-0000-00006A000000}"/>
    <cellStyle name="Notas 2 2 2 3 2" xfId="243" xr:uid="{E41F847D-BA57-4546-9833-92B3D59EC9D4}"/>
    <cellStyle name="Notas 2 2 2 3 2 2" xfId="677" xr:uid="{32469E5D-F861-4D89-AEB9-27DEDCCBC5D5}"/>
    <cellStyle name="Notas 2 2 2 3 2 3" xfId="1094" xr:uid="{525AC7BD-C4AD-4411-BA9E-F21ADDCFB1E9}"/>
    <cellStyle name="Notas 2 2 2 3 2 4" xfId="1507" xr:uid="{FC96F6DD-402C-47E1-907E-003389A46D9E}"/>
    <cellStyle name="Notas 2 2 2 3 2 5" xfId="1917" xr:uid="{56E3948C-EAE6-40BB-857C-491ADCCFB9C6}"/>
    <cellStyle name="Notas 2 2 2 3 2 6" xfId="2325" xr:uid="{AAB78AAA-68F8-4B92-B291-AE21587B4EBA}"/>
    <cellStyle name="Notas 2 2 2 3 3" xfId="480" xr:uid="{F6C5CCA3-E8D5-47DB-8B85-0D7DDB6B7DA6}"/>
    <cellStyle name="Notas 2 2 2 3 4" xfId="898" xr:uid="{5C52899F-9314-4305-89C8-BA72F2BFC9F9}"/>
    <cellStyle name="Notas 2 2 2 3 5" xfId="1313" xr:uid="{0D5A5665-6CF5-4143-8AC8-E09DF4EFFD36}"/>
    <cellStyle name="Notas 2 2 2 3 6" xfId="1724" xr:uid="{0BCE4D73-ED59-42A4-860E-F2F7233710D2}"/>
    <cellStyle name="Notas 2 2 2 3 7" xfId="2132" xr:uid="{F6F6343B-DB2A-4132-B650-EBDD3E8C7FBC}"/>
    <cellStyle name="Notas 2 2 2 30" xfId="1541" xr:uid="{5E2179B4-C4CE-4A8D-B991-AEFB4DDF5015}"/>
    <cellStyle name="Notas 2 2 2 31" xfId="2101" xr:uid="{8A08DCAF-E433-4036-A4C6-44C0A481D0C3}"/>
    <cellStyle name="Notas 2 2 2 4" xfId="59" xr:uid="{00000000-0005-0000-0000-00006B000000}"/>
    <cellStyle name="Notas 2 2 2 4 2" xfId="256" xr:uid="{8C8C061A-E360-4A4F-8532-393FE4BC3D02}"/>
    <cellStyle name="Notas 2 2 2 4 2 2" xfId="690" xr:uid="{69F48102-4D43-4E59-B498-BD75CA17246F}"/>
    <cellStyle name="Notas 2 2 2 4 2 3" xfId="1107" xr:uid="{3E7066B2-14CB-44BD-ABDE-53BA66598616}"/>
    <cellStyle name="Notas 2 2 2 4 2 4" xfId="1519" xr:uid="{C015B563-1818-4A8B-836F-6CC3A1FEA4BD}"/>
    <cellStyle name="Notas 2 2 2 4 2 5" xfId="1930" xr:uid="{0CBF3FD1-A680-41F7-A9FB-E54BD2C7EE50}"/>
    <cellStyle name="Notas 2 2 2 4 2 6" xfId="2337" xr:uid="{5C485F97-1F0B-42B4-BB31-2F9ED1AA811F}"/>
    <cellStyle name="Notas 2 2 2 4 3" xfId="493" xr:uid="{8106E51C-2F5B-4ACB-B6BB-E73FC06ACA88}"/>
    <cellStyle name="Notas 2 2 2 4 4" xfId="911" xr:uid="{DE121D91-B030-45FE-94E2-7C67679F4C43}"/>
    <cellStyle name="Notas 2 2 2 4 5" xfId="1325" xr:uid="{5FF07752-B26D-45AA-93D6-05C87F8A608A}"/>
    <cellStyle name="Notas 2 2 2 4 6" xfId="1736" xr:uid="{FFCD9FB0-6F58-4F72-A13E-C35FBA8EE8E9}"/>
    <cellStyle name="Notas 2 2 2 4 7" xfId="2144" xr:uid="{1B86CC64-2F4B-46CC-9647-993FD6D5FB06}"/>
    <cellStyle name="Notas 2 2 2 5" xfId="56" xr:uid="{00000000-0005-0000-0000-00006C000000}"/>
    <cellStyle name="Notas 2 2 2 5 2" xfId="253" xr:uid="{A0179FAD-5E88-4DF7-9DB0-812F1FCD8D34}"/>
    <cellStyle name="Notas 2 2 2 5 2 2" xfId="687" xr:uid="{A071259D-300A-4C63-B2E2-9D7B890BA4C1}"/>
    <cellStyle name="Notas 2 2 2 5 2 3" xfId="1104" xr:uid="{9344BD94-8B03-4D9B-AD1F-3A30D2AFDE07}"/>
    <cellStyle name="Notas 2 2 2 5 2 4" xfId="1516" xr:uid="{DFC4F5B5-85E8-4E65-8704-A98F7F335D6F}"/>
    <cellStyle name="Notas 2 2 2 5 2 5" xfId="1927" xr:uid="{594A9D57-ED06-4601-8A3F-783524519BB4}"/>
    <cellStyle name="Notas 2 2 2 5 2 6" xfId="2334" xr:uid="{40AC497F-1667-458D-90B2-19FD50080EE3}"/>
    <cellStyle name="Notas 2 2 2 5 3" xfId="490" xr:uid="{F0F63FD3-D384-4CAB-B5AD-BC758935936E}"/>
    <cellStyle name="Notas 2 2 2 5 4" xfId="908" xr:uid="{2A4FF89A-9564-40AC-BDA7-99924894684C}"/>
    <cellStyle name="Notas 2 2 2 5 5" xfId="1322" xr:uid="{396CF16D-F3F0-4D9D-AA18-51A99441AAEA}"/>
    <cellStyle name="Notas 2 2 2 5 6" xfId="1733" xr:uid="{4389D1C9-2F4B-40B4-B59B-4CC67B83427A}"/>
    <cellStyle name="Notas 2 2 2 5 7" xfId="2141" xr:uid="{F912A8BD-76B3-46C0-8C42-9EB96EF67410}"/>
    <cellStyle name="Notas 2 2 2 6" xfId="65" xr:uid="{00000000-0005-0000-0000-00006D000000}"/>
    <cellStyle name="Notas 2 2 2 6 2" xfId="262" xr:uid="{8091F82C-7380-4CF3-8ED7-29591F257321}"/>
    <cellStyle name="Notas 2 2 2 6 2 2" xfId="696" xr:uid="{9A60C4FC-B5A7-42B8-89C9-820C218D944A}"/>
    <cellStyle name="Notas 2 2 2 6 2 3" xfId="1113" xr:uid="{7CF86E26-685D-4679-BA9B-895268F74CC7}"/>
    <cellStyle name="Notas 2 2 2 6 2 4" xfId="1525" xr:uid="{DC87E0DA-5C22-47C6-9D40-8BD7339E80AC}"/>
    <cellStyle name="Notas 2 2 2 6 2 5" xfId="1936" xr:uid="{FACAB8AA-E33B-466E-B03A-69AB92C8A7A4}"/>
    <cellStyle name="Notas 2 2 2 6 2 6" xfId="2343" xr:uid="{F589657D-3CFA-44AB-9F41-417964B0204A}"/>
    <cellStyle name="Notas 2 2 2 6 3" xfId="499" xr:uid="{775F8276-16CB-4E7D-8945-13CC6B32F2DC}"/>
    <cellStyle name="Notas 2 2 2 6 4" xfId="917" xr:uid="{5439D2FA-FB1D-44AC-8A81-E6906D7C7B8D}"/>
    <cellStyle name="Notas 2 2 2 6 5" xfId="1331" xr:uid="{23BF34BB-D701-4D7E-B621-7CE00F6794E9}"/>
    <cellStyle name="Notas 2 2 2 6 6" xfId="1742" xr:uid="{DAFE0E9A-ED2C-40D9-BF90-F7FDF37623E9}"/>
    <cellStyle name="Notas 2 2 2 6 7" xfId="2150" xr:uid="{225B0EB4-9C27-4EEB-90DD-01D81806C1B6}"/>
    <cellStyle name="Notas 2 2 2 7" xfId="78" xr:uid="{00000000-0005-0000-0000-00006E000000}"/>
    <cellStyle name="Notas 2 2 2 7 2" xfId="275" xr:uid="{7A244929-B19A-46B8-9F01-7606C96C51B1}"/>
    <cellStyle name="Notas 2 2 2 7 2 2" xfId="709" xr:uid="{16B0B5C0-3618-4DDD-9941-2828B7533076}"/>
    <cellStyle name="Notas 2 2 2 7 2 3" xfId="1126" xr:uid="{9F28395C-C9B5-4681-8569-FAF4EAB9C6F6}"/>
    <cellStyle name="Notas 2 2 2 7 2 4" xfId="1538" xr:uid="{9338590E-9BBC-4471-A476-B9C3DB40E6A2}"/>
    <cellStyle name="Notas 2 2 2 7 2 5" xfId="1949" xr:uid="{98A9AF39-D163-48E9-89D3-9F1D00AE01BA}"/>
    <cellStyle name="Notas 2 2 2 7 2 6" xfId="2356" xr:uid="{A45DA25E-B881-4B1D-899B-61AB8FB9120F}"/>
    <cellStyle name="Notas 2 2 2 7 3" xfId="512" xr:uid="{7890F1FE-20CD-4E47-96F1-1AD17DD0F7AD}"/>
    <cellStyle name="Notas 2 2 2 7 4" xfId="930" xr:uid="{BCDEE386-AE08-4453-9874-8F855768255B}"/>
    <cellStyle name="Notas 2 2 2 7 5" xfId="1344" xr:uid="{94538CF3-C957-491B-9694-8C66AEA09223}"/>
    <cellStyle name="Notas 2 2 2 7 6" xfId="1755" xr:uid="{582E1E88-D82B-49E7-B47D-0883225BC182}"/>
    <cellStyle name="Notas 2 2 2 7 7" xfId="2163" xr:uid="{A78E4020-9627-4791-BAC5-41CA71AF4169}"/>
    <cellStyle name="Notas 2 2 2 8" xfId="94" xr:uid="{00000000-0005-0000-0000-00006F000000}"/>
    <cellStyle name="Notas 2 2 2 8 2" xfId="291" xr:uid="{6C46907F-78C5-4D62-8253-2A56AA19C133}"/>
    <cellStyle name="Notas 2 2 2 8 2 2" xfId="725" xr:uid="{5059C6F9-F817-4B90-95E6-FA51817C94D6}"/>
    <cellStyle name="Notas 2 2 2 8 2 3" xfId="1141" xr:uid="{69EA7F1E-0A35-4CFC-A230-BF80BFDD8EBB}"/>
    <cellStyle name="Notas 2 2 2 8 2 4" xfId="1554" xr:uid="{72893F50-EC48-4DA6-8563-3FFFC515EB9C}"/>
    <cellStyle name="Notas 2 2 2 8 2 5" xfId="1964" xr:uid="{7E85CCDA-355B-412F-967C-ACEC063361C4}"/>
    <cellStyle name="Notas 2 2 2 8 2 6" xfId="2371" xr:uid="{0A80EF38-B87C-4AF5-8072-6CEF5A89200C}"/>
    <cellStyle name="Notas 2 2 2 8 3" xfId="528" xr:uid="{86C7D6E1-4B36-42CA-80D2-C7AF839BC615}"/>
    <cellStyle name="Notas 2 2 2 8 4" xfId="946" xr:uid="{2F225507-A91C-4D6D-82B6-E04839F0832D}"/>
    <cellStyle name="Notas 2 2 2 8 5" xfId="1359" xr:uid="{4BD5055A-CEE2-4812-B197-F9840D7180F6}"/>
    <cellStyle name="Notas 2 2 2 8 6" xfId="1770" xr:uid="{97A1026B-53CF-4D0F-920E-DF60F83A573B}"/>
    <cellStyle name="Notas 2 2 2 8 7" xfId="2178" xr:uid="{FA908A23-903C-4DEB-8076-849E4197E1C5}"/>
    <cellStyle name="Notas 2 2 2 9" xfId="85" xr:uid="{00000000-0005-0000-0000-000070000000}"/>
    <cellStyle name="Notas 2 2 2 9 2" xfId="282" xr:uid="{A6D7C4BC-543A-48AC-AE84-C9A2DF9D4FEC}"/>
    <cellStyle name="Notas 2 2 2 9 2 2" xfId="716" xr:uid="{E0D5A080-86F3-4903-9C83-070EBFF29234}"/>
    <cellStyle name="Notas 2 2 2 9 2 3" xfId="1132" xr:uid="{70AEAB7E-741E-4F98-A537-CBF4457ECABA}"/>
    <cellStyle name="Notas 2 2 2 9 2 4" xfId="1545" xr:uid="{EC51884A-9C6C-46E9-A942-59E23D47AF36}"/>
    <cellStyle name="Notas 2 2 2 9 2 5" xfId="1955" xr:uid="{2F5A95AF-FC51-4719-9BFC-7D36052A04F9}"/>
    <cellStyle name="Notas 2 2 2 9 2 6" xfId="2362" xr:uid="{097A669E-F87C-472D-8F67-75B3E35C0503}"/>
    <cellStyle name="Notas 2 2 2 9 3" xfId="519" xr:uid="{793725E8-71A0-4999-A49B-AAACCAAA70BA}"/>
    <cellStyle name="Notas 2 2 2 9 4" xfId="937" xr:uid="{AB193DE8-22BD-4B18-9355-E91847CED135}"/>
    <cellStyle name="Notas 2 2 2 9 5" xfId="1350" xr:uid="{6D166BE4-8437-468D-8A77-35E8CCE165E6}"/>
    <cellStyle name="Notas 2 2 2 9 6" xfId="1761" xr:uid="{20124A25-EED2-4F7C-A339-8B5F6A8A58F5}"/>
    <cellStyle name="Notas 2 2 2 9 7" xfId="2169" xr:uid="{3958A12B-21E1-49C5-93D9-0E3579011B98}"/>
    <cellStyle name="Notas 2 2 20" xfId="199" xr:uid="{D3D09771-795E-4493-8FDD-D9680DC8C688}"/>
    <cellStyle name="Notas 2 2 20 2" xfId="396" xr:uid="{2CEB99F6-83C6-42F9-8051-35D4AEB55281}"/>
    <cellStyle name="Notas 2 2 20 2 2" xfId="830" xr:uid="{8DCBA647-820E-47F0-A4E9-189A14647008}"/>
    <cellStyle name="Notas 2 2 20 2 3" xfId="1245" xr:uid="{17335B25-3E02-43C0-A59D-D3C7F2CCC09C}"/>
    <cellStyle name="Notas 2 2 20 2 4" xfId="1658" xr:uid="{5BA647A2-5A4E-47E0-A217-A3330CAA2BB9}"/>
    <cellStyle name="Notas 2 2 20 2 5" xfId="2068" xr:uid="{A4753045-D32F-4774-A7A4-98A3C1C6CB52}"/>
    <cellStyle name="Notas 2 2 20 2 6" xfId="2475" xr:uid="{1459F53C-023A-40E0-B649-96081838E58C}"/>
    <cellStyle name="Notas 2 2 20 3" xfId="633" xr:uid="{0DC6754F-3986-429E-9DDA-C808FA1EF3DF}"/>
    <cellStyle name="Notas 2 2 20 4" xfId="1051" xr:uid="{51D6D329-1135-417F-9ACB-2301B3302EFC}"/>
    <cellStyle name="Notas 2 2 20 5" xfId="1464" xr:uid="{A5DD96AF-0107-4E28-A09D-715D148A6D2B}"/>
    <cellStyle name="Notas 2 2 20 6" xfId="1874" xr:uid="{69ACBE62-A8AA-426C-AC20-1897B0AD03A0}"/>
    <cellStyle name="Notas 2 2 20 7" xfId="2282" xr:uid="{AE72ED69-FC94-450B-8C28-9F4F12068648}"/>
    <cellStyle name="Notas 2 2 21" xfId="211" xr:uid="{CEFA556C-47CC-40AA-8985-C15D2861D427}"/>
    <cellStyle name="Notas 2 2 21 2" xfId="408" xr:uid="{751F9B54-8D92-428D-997A-8D3949074B58}"/>
    <cellStyle name="Notas 2 2 21 2 2" xfId="842" xr:uid="{17AB8F59-3A7F-460D-A65B-E5F015539480}"/>
    <cellStyle name="Notas 2 2 21 2 3" xfId="1257" xr:uid="{FF9A8BC1-2363-4330-94C3-D0F6FCC3D41B}"/>
    <cellStyle name="Notas 2 2 21 2 4" xfId="1670" xr:uid="{15E81002-A68C-4239-B6E6-1B1CA5AD0641}"/>
    <cellStyle name="Notas 2 2 21 2 5" xfId="2080" xr:uid="{90630C3E-E3C5-4F72-AA58-8C29AAB52FEB}"/>
    <cellStyle name="Notas 2 2 21 2 6" xfId="2487" xr:uid="{A6E9A60E-F078-4814-A2C8-387A760EB508}"/>
    <cellStyle name="Notas 2 2 21 3" xfId="645" xr:uid="{39908769-187E-43C0-9FCC-551AA41E0579}"/>
    <cellStyle name="Notas 2 2 21 4" xfId="1063" xr:uid="{54F727EE-3C71-4B1B-98D7-14263A988217}"/>
    <cellStyle name="Notas 2 2 21 5" xfId="1476" xr:uid="{C469CB4F-3A01-42E8-868F-113A3C9D1885}"/>
    <cellStyle name="Notas 2 2 21 6" xfId="1886" xr:uid="{1FABC8C9-4140-4A6D-83CA-0E8B943255D7}"/>
    <cellStyle name="Notas 2 2 21 7" xfId="2294" xr:uid="{B637B657-6055-4203-B1E6-865B237F00BE}"/>
    <cellStyle name="Notas 2 2 22" xfId="206" xr:uid="{682EC3DB-D3DE-4F65-A224-5D75A920D211}"/>
    <cellStyle name="Notas 2 2 22 2" xfId="403" xr:uid="{8A39F559-9AF6-4483-AE9F-3606CC6B5B94}"/>
    <cellStyle name="Notas 2 2 22 2 2" xfId="837" xr:uid="{E5E3CD05-E5B6-4EC5-AD51-DC76FE08CB24}"/>
    <cellStyle name="Notas 2 2 22 2 3" xfId="1252" xr:uid="{DE79E111-D348-44E8-BDA2-A54453D6E1C7}"/>
    <cellStyle name="Notas 2 2 22 2 4" xfId="1665" xr:uid="{4A47714F-D319-48A1-A313-F62DCEBFDD99}"/>
    <cellStyle name="Notas 2 2 22 2 5" xfId="2075" xr:uid="{ABE6A61D-2941-41F4-B68F-B6A99DF73296}"/>
    <cellStyle name="Notas 2 2 22 2 6" xfId="2482" xr:uid="{A99F26D4-4570-4700-8127-29012FB3739F}"/>
    <cellStyle name="Notas 2 2 22 3" xfId="640" xr:uid="{8C9BE18D-CC45-4AC1-908A-2D0E47BA4680}"/>
    <cellStyle name="Notas 2 2 22 4" xfId="1058" xr:uid="{9E8BC1B5-A403-42D6-BCCA-998C468AC268}"/>
    <cellStyle name="Notas 2 2 22 5" xfId="1471" xr:uid="{18D0B5FC-FC02-4E21-B21D-32D433B0A54A}"/>
    <cellStyle name="Notas 2 2 22 6" xfId="1881" xr:uid="{9356513E-514A-4300-A889-503A1E7BF8E2}"/>
    <cellStyle name="Notas 2 2 22 7" xfId="2289" xr:uid="{0B853F65-1807-4EA2-8353-D786BF4A9095}"/>
    <cellStyle name="Notas 2 2 23" xfId="227" xr:uid="{3DA4E975-909A-4A01-9732-C7BB98E777E3}"/>
    <cellStyle name="Notas 2 2 23 2" xfId="661" xr:uid="{3B13C2C4-36E1-4BFE-B345-4B5656D72BBC}"/>
    <cellStyle name="Notas 2 2 23 3" xfId="1079" xr:uid="{05E6C155-E1B3-422B-AAC9-020EF67D4516}"/>
    <cellStyle name="Notas 2 2 23 4" xfId="1492" xr:uid="{197F9D9F-4B9C-4620-80CA-F601E2E316A8}"/>
    <cellStyle name="Notas 2 2 23 5" xfId="1902" xr:uid="{07B7E4C9-6FCC-4DFB-A73A-CDAFEF669325}"/>
    <cellStyle name="Notas 2 2 23 6" xfId="2310" xr:uid="{CAE97C7D-CD74-4076-9610-4240E1FB656C}"/>
    <cellStyle name="Notas 2 2 24" xfId="424" xr:uid="{32C7FF97-8790-4508-86AD-58241F5A89BB}"/>
    <cellStyle name="Notas 2 2 24 2" xfId="858" xr:uid="{93D47AA6-7BA0-4E42-8803-288FF63009BC}"/>
    <cellStyle name="Notas 2 2 24 3" xfId="1273" xr:uid="{CA9DFE55-B0A4-4252-800A-6DE4853D70F2}"/>
    <cellStyle name="Notas 2 2 24 4" xfId="1686" xr:uid="{6F134E24-FCF2-4584-BCF1-65697FB1786D}"/>
    <cellStyle name="Notas 2 2 24 5" xfId="2096" xr:uid="{9CF7A3D6-A3D6-4A29-BD49-EBF5A0CCC44B}"/>
    <cellStyle name="Notas 2 2 24 6" xfId="2503" xr:uid="{1EA187AF-9AFB-4CF0-A068-16A50613706F}"/>
    <cellStyle name="Notas 2 2 25" xfId="439" xr:uid="{31150215-6C4F-4A94-B8BE-8DF300C2BFA7}"/>
    <cellStyle name="Notas 2 2 25 2" xfId="873" xr:uid="{0F36C041-214E-4103-9394-A598C7779503}"/>
    <cellStyle name="Notas 2 2 25 3" xfId="1287" xr:uid="{AFCE1E92-EBF0-4086-9537-A26F7E1D2115}"/>
    <cellStyle name="Notas 2 2 25 4" xfId="1701" xr:uid="{03668AFE-6002-4ABA-BAAC-86F3AE55E092}"/>
    <cellStyle name="Notas 2 2 25 5" xfId="2111" xr:uid="{D8D572C8-F022-48A9-88F9-1B843BA26289}"/>
    <cellStyle name="Notas 2 2 25 6" xfId="2517" xr:uid="{1135BFF9-35FE-4816-AB46-6A0BDEC3C62B}"/>
    <cellStyle name="Notas 2 2 26" xfId="445" xr:uid="{360E524E-22EA-4558-9AEF-816088FD45AD}"/>
    <cellStyle name="Notas 2 2 26 2" xfId="879" xr:uid="{738FAB5A-3CA1-404E-8955-1561DD292728}"/>
    <cellStyle name="Notas 2 2 26 3" xfId="1293" xr:uid="{AB5B67C6-003D-452D-915B-7FF0C6726252}"/>
    <cellStyle name="Notas 2 2 26 4" xfId="1707" xr:uid="{445175D3-320D-4546-BF0A-5992F15D6540}"/>
    <cellStyle name="Notas 2 2 26 5" xfId="2117" xr:uid="{30CBBE95-6E6B-45FE-95D6-83F58F8C246E}"/>
    <cellStyle name="Notas 2 2 26 6" xfId="2523" xr:uid="{0EA374EA-98CA-4410-8A2D-B5D9151D337F}"/>
    <cellStyle name="Notas 2 2 27" xfId="458" xr:uid="{4D41178D-4FE4-482D-A7E9-94F1370CBF7B}"/>
    <cellStyle name="Notas 2 2 28" xfId="452" xr:uid="{0CB6F2C3-6DB0-4641-BEC3-96AE5496FB81}"/>
    <cellStyle name="Notas 2 2 29" xfId="464" xr:uid="{7747D60E-C1D8-4DED-AA15-B9470EB6E68F}"/>
    <cellStyle name="Notas 2 2 3" xfId="44" xr:uid="{00000000-0005-0000-0000-000071000000}"/>
    <cellStyle name="Notas 2 2 3 2" xfId="241" xr:uid="{ADF9A832-285D-45C2-98C8-5945CED8D845}"/>
    <cellStyle name="Notas 2 2 3 2 2" xfId="675" xr:uid="{4A788847-D200-4DAA-A1DC-A016A21B900D}"/>
    <cellStyle name="Notas 2 2 3 2 3" xfId="1092" xr:uid="{BDF32793-01B6-41C2-B430-96D5C3836403}"/>
    <cellStyle name="Notas 2 2 3 2 4" xfId="1505" xr:uid="{72619406-8530-459E-A1F6-DC465E961A64}"/>
    <cellStyle name="Notas 2 2 3 2 5" xfId="1915" xr:uid="{C925BBCE-EA75-4745-B1DD-2855926DE2D1}"/>
    <cellStyle name="Notas 2 2 3 2 6" xfId="2323" xr:uid="{185C0393-64A6-4F2D-821F-7EF665B0017F}"/>
    <cellStyle name="Notas 2 2 3 3" xfId="478" xr:uid="{86C1BD3A-1B69-4E29-881C-8EB2BE3CFF11}"/>
    <cellStyle name="Notas 2 2 3 4" xfId="896" xr:uid="{885F381A-31F3-4732-919E-EFDFD934C3EE}"/>
    <cellStyle name="Notas 2 2 3 5" xfId="1311" xr:uid="{BA411E72-7FDC-404D-BD43-F88C8C45A2B7}"/>
    <cellStyle name="Notas 2 2 3 6" xfId="1722" xr:uid="{A058F9C4-E99A-4335-B483-0601574E2AF1}"/>
    <cellStyle name="Notas 2 2 3 7" xfId="2130" xr:uid="{C53A9598-6021-48FF-BED6-A233F7B8710E}"/>
    <cellStyle name="Notas 2 2 30" xfId="1713" xr:uid="{4C1CB618-39D1-4063-96C9-550FCD6A6A29}"/>
    <cellStyle name="Notas 2 2 4" xfId="57" xr:uid="{00000000-0005-0000-0000-000072000000}"/>
    <cellStyle name="Notas 2 2 4 2" xfId="254" xr:uid="{3FBE1C7D-48C3-4240-839E-D13F64BD6774}"/>
    <cellStyle name="Notas 2 2 4 2 2" xfId="688" xr:uid="{35957AE1-4437-43DD-A375-6BB98FCD82B2}"/>
    <cellStyle name="Notas 2 2 4 2 3" xfId="1105" xr:uid="{86295D66-9944-426F-B599-13E36D596068}"/>
    <cellStyle name="Notas 2 2 4 2 4" xfId="1517" xr:uid="{79F3AEA8-24CB-45F8-92CD-EE156BF295D8}"/>
    <cellStyle name="Notas 2 2 4 2 5" xfId="1928" xr:uid="{5F9A6194-013C-4DD6-83BA-055E7D3A238A}"/>
    <cellStyle name="Notas 2 2 4 2 6" xfId="2335" xr:uid="{B78415D6-366D-4B06-9723-8781C736AAF7}"/>
    <cellStyle name="Notas 2 2 4 3" xfId="491" xr:uid="{D93627B3-3D3F-4D06-A81F-E91444205187}"/>
    <cellStyle name="Notas 2 2 4 4" xfId="909" xr:uid="{081C8058-202D-4381-95DF-9D49B9F1BA18}"/>
    <cellStyle name="Notas 2 2 4 5" xfId="1323" xr:uid="{20CD788F-1E55-4367-BE06-DF90BFC3AFB6}"/>
    <cellStyle name="Notas 2 2 4 6" xfId="1734" xr:uid="{84E7CE23-C218-4070-A4FC-2EE57C47007B}"/>
    <cellStyle name="Notas 2 2 4 7" xfId="2142" xr:uid="{7CDB2CAB-F873-4F0C-A81B-0C1B4460E5B4}"/>
    <cellStyle name="Notas 2 2 5" xfId="68" xr:uid="{00000000-0005-0000-0000-000073000000}"/>
    <cellStyle name="Notas 2 2 5 2" xfId="265" xr:uid="{B78A57A9-A7ED-45D6-9B56-9CCAE9B48E4E}"/>
    <cellStyle name="Notas 2 2 5 2 2" xfId="699" xr:uid="{D4256C32-410D-4ABE-8DC0-0323D3EE5514}"/>
    <cellStyle name="Notas 2 2 5 2 3" xfId="1116" xr:uid="{E07D0638-F067-49C5-BFDE-D900B340CA7C}"/>
    <cellStyle name="Notas 2 2 5 2 4" xfId="1528" xr:uid="{660A2F80-EA6A-4501-9B51-11C02521DE84}"/>
    <cellStyle name="Notas 2 2 5 2 5" xfId="1939" xr:uid="{AE868CD5-DEBA-4231-B452-61AA90061439}"/>
    <cellStyle name="Notas 2 2 5 2 6" xfId="2346" xr:uid="{282D27E3-01A7-43C0-8DB8-766AECB84673}"/>
    <cellStyle name="Notas 2 2 5 3" xfId="502" xr:uid="{1069F17B-7150-4159-A156-54B8E4E8040F}"/>
    <cellStyle name="Notas 2 2 5 4" xfId="920" xr:uid="{2CB24296-60ED-40CD-A14E-1CDD203E57C6}"/>
    <cellStyle name="Notas 2 2 5 5" xfId="1334" xr:uid="{667E3015-2E8E-45E8-909B-B4FF45D631FE}"/>
    <cellStyle name="Notas 2 2 5 6" xfId="1745" xr:uid="{2102F36B-5523-4662-837D-98C1DFD071B8}"/>
    <cellStyle name="Notas 2 2 5 7" xfId="2153" xr:uid="{7FC859BB-3C8F-4276-A8B3-E864FA357168}"/>
    <cellStyle name="Notas 2 2 6" xfId="66" xr:uid="{00000000-0005-0000-0000-000074000000}"/>
    <cellStyle name="Notas 2 2 6 2" xfId="263" xr:uid="{1E91A472-AF70-48BC-A64F-13D8FC852516}"/>
    <cellStyle name="Notas 2 2 6 2 2" xfId="697" xr:uid="{8ADA93D1-AFE3-4E09-B4EA-1990F5D109C0}"/>
    <cellStyle name="Notas 2 2 6 2 3" xfId="1114" xr:uid="{2EDD1AE4-D178-496E-8237-77768D906841}"/>
    <cellStyle name="Notas 2 2 6 2 4" xfId="1526" xr:uid="{F18075E8-8046-4C53-B27B-3680898D23EC}"/>
    <cellStyle name="Notas 2 2 6 2 5" xfId="1937" xr:uid="{3DD4B50D-4BC4-46D1-828B-C7BC8A4C36BB}"/>
    <cellStyle name="Notas 2 2 6 2 6" xfId="2344" xr:uid="{D60F61D1-1828-48DB-A773-370B107F93BA}"/>
    <cellStyle name="Notas 2 2 6 3" xfId="500" xr:uid="{8C3A94A6-EDBA-4A92-99EC-EECDD2F30A21}"/>
    <cellStyle name="Notas 2 2 6 4" xfId="918" xr:uid="{339A1ED6-B8CA-43BC-A5FC-37060702E5AC}"/>
    <cellStyle name="Notas 2 2 6 5" xfId="1332" xr:uid="{5689FCBE-1648-4C79-A06E-26D010C2C33F}"/>
    <cellStyle name="Notas 2 2 6 6" xfId="1743" xr:uid="{5F40F3E0-581E-402E-AB48-0726B00CA454}"/>
    <cellStyle name="Notas 2 2 6 7" xfId="2151" xr:uid="{137C6A7D-BDF2-49F2-B42E-95F54FAA7C78}"/>
    <cellStyle name="Notas 2 2 7" xfId="76" xr:uid="{00000000-0005-0000-0000-000075000000}"/>
    <cellStyle name="Notas 2 2 7 2" xfId="273" xr:uid="{CE91B484-AB24-4C37-90F7-0CCD9535CCBE}"/>
    <cellStyle name="Notas 2 2 7 2 2" xfId="707" xr:uid="{52D10B30-78A4-4507-A57D-15E9093145ED}"/>
    <cellStyle name="Notas 2 2 7 2 3" xfId="1124" xr:uid="{5A37C4AD-8DCD-499C-884F-1574D2731486}"/>
    <cellStyle name="Notas 2 2 7 2 4" xfId="1536" xr:uid="{9B279684-8A97-4CFF-B0A2-5C16CD3A364D}"/>
    <cellStyle name="Notas 2 2 7 2 5" xfId="1947" xr:uid="{FC6B103B-6CE9-4E8A-B006-BBDCBC65D3BC}"/>
    <cellStyle name="Notas 2 2 7 2 6" xfId="2354" xr:uid="{C5F609CD-8AD3-456E-B595-D74C3F487D4D}"/>
    <cellStyle name="Notas 2 2 7 3" xfId="510" xr:uid="{F362C9BD-1974-4F3F-91A0-49E39A4E8C87}"/>
    <cellStyle name="Notas 2 2 7 4" xfId="928" xr:uid="{401502CB-580B-419A-B692-274C84A7A203}"/>
    <cellStyle name="Notas 2 2 7 5" xfId="1342" xr:uid="{FEB90355-9B9C-4234-A729-601AF4C7B12B}"/>
    <cellStyle name="Notas 2 2 7 6" xfId="1753" xr:uid="{8F4686B8-0702-4BE3-BA3F-70A8A4E69F42}"/>
    <cellStyle name="Notas 2 2 7 7" xfId="2161" xr:uid="{06D7D49D-32F8-44DC-A4B1-45D42B993B43}"/>
    <cellStyle name="Notas 2 2 8" xfId="92" xr:uid="{00000000-0005-0000-0000-000076000000}"/>
    <cellStyle name="Notas 2 2 8 2" xfId="289" xr:uid="{004538E1-6C6B-49B4-8E9A-BA1887CB7FEC}"/>
    <cellStyle name="Notas 2 2 8 2 2" xfId="723" xr:uid="{39ACE978-6AC6-4ED0-8100-ACF9890180EF}"/>
    <cellStyle name="Notas 2 2 8 2 3" xfId="1139" xr:uid="{6F0A8691-40AE-4C95-BFA0-774E67D0E05F}"/>
    <cellStyle name="Notas 2 2 8 2 4" xfId="1552" xr:uid="{E284F621-099F-4D62-9213-4BE69A6F5036}"/>
    <cellStyle name="Notas 2 2 8 2 5" xfId="1962" xr:uid="{8C817EF2-B90C-4A37-AAD7-3EB868591D33}"/>
    <cellStyle name="Notas 2 2 8 2 6" xfId="2369" xr:uid="{1EC9F51B-0A36-44A1-A479-B99172DC192F}"/>
    <cellStyle name="Notas 2 2 8 3" xfId="526" xr:uid="{2006711B-C433-4803-A7A2-756DCEE94209}"/>
    <cellStyle name="Notas 2 2 8 4" xfId="944" xr:uid="{EE4F91FC-9EE1-4929-A4F0-0A8086E9CFE5}"/>
    <cellStyle name="Notas 2 2 8 5" xfId="1357" xr:uid="{223D4274-CD53-4A0F-8701-3E916DCA3435}"/>
    <cellStyle name="Notas 2 2 8 6" xfId="1768" xr:uid="{519288CC-B387-4149-A5EE-25223E4C3FC5}"/>
    <cellStyle name="Notas 2 2 8 7" xfId="2176" xr:uid="{EC2EB825-9237-4EC6-88D0-918928A6A076}"/>
    <cellStyle name="Notas 2 2 9" xfId="101" xr:uid="{00000000-0005-0000-0000-000077000000}"/>
    <cellStyle name="Notas 2 2 9 2" xfId="298" xr:uid="{554395B6-B3E6-4177-B3C4-9CFE02F0717E}"/>
    <cellStyle name="Notas 2 2 9 2 2" xfId="732" xr:uid="{A7A0B92E-8DA6-4BEF-9F54-BBB587F82441}"/>
    <cellStyle name="Notas 2 2 9 2 3" xfId="1148" xr:uid="{F6B83530-EFD4-490B-B76B-1961B43064CC}"/>
    <cellStyle name="Notas 2 2 9 2 4" xfId="1561" xr:uid="{F3F04F13-7775-4A65-90DF-485ED964D169}"/>
    <cellStyle name="Notas 2 2 9 2 5" xfId="1971" xr:uid="{CE47E519-04B8-4AF9-9B71-062A7AE2FE24}"/>
    <cellStyle name="Notas 2 2 9 2 6" xfId="2378" xr:uid="{5B7101D7-9E5E-4AF6-959B-CEEEDE3DC4F9}"/>
    <cellStyle name="Notas 2 2 9 3" xfId="535" xr:uid="{F43CF32B-E9F7-4C28-A632-2357350D671E}"/>
    <cellStyle name="Notas 2 2 9 4" xfId="953" xr:uid="{B28F4B85-685F-453B-98C4-B6FAD6D6B58C}"/>
    <cellStyle name="Notas 2 2 9 5" xfId="1366" xr:uid="{3977D910-9A5A-456D-950B-9C1C181110B5}"/>
    <cellStyle name="Notas 2 2 9 6" xfId="1777" xr:uid="{195CDF1F-827C-4CB1-BA3D-C6D81B97D190}"/>
    <cellStyle name="Notas 2 2 9 7" xfId="2185" xr:uid="{AD2677CE-1F82-4A62-BF77-575C285A371A}"/>
    <cellStyle name="Notas 2 20" xfId="196" xr:uid="{A45A1D69-8E5C-42E8-A64A-75665E4866B2}"/>
    <cellStyle name="Notas 2 20 2" xfId="393" xr:uid="{FD3429BE-61E3-46CA-AA90-A836B7C938F4}"/>
    <cellStyle name="Notas 2 20 2 2" xfId="827" xr:uid="{4F102802-AC40-4B7D-BAE4-22D609AFF922}"/>
    <cellStyle name="Notas 2 20 2 3" xfId="1242" xr:uid="{E17E5CE4-DA30-4FC3-BCAC-3B354DB37875}"/>
    <cellStyle name="Notas 2 20 2 4" xfId="1655" xr:uid="{BF1F2430-5FE2-44A5-942E-6D7AE885A539}"/>
    <cellStyle name="Notas 2 20 2 5" xfId="2065" xr:uid="{469E222B-5DDC-4502-9179-34B1B3AF56B8}"/>
    <cellStyle name="Notas 2 20 2 6" xfId="2472" xr:uid="{62B3A9CB-4E59-45B6-8BAF-0E7817E6CBEB}"/>
    <cellStyle name="Notas 2 20 3" xfId="630" xr:uid="{82F288A9-6E38-4585-8135-98752A622356}"/>
    <cellStyle name="Notas 2 20 4" xfId="1048" xr:uid="{9926CDF2-CC46-4B32-8A15-ECEAFA8D2553}"/>
    <cellStyle name="Notas 2 20 5" xfId="1461" xr:uid="{521EC00F-A5E1-4A70-B062-81F317E2FC15}"/>
    <cellStyle name="Notas 2 20 6" xfId="1871" xr:uid="{80FBC618-4892-462B-B1EE-F8A50D1FFC81}"/>
    <cellStyle name="Notas 2 20 7" xfId="2279" xr:uid="{E9097DEB-CF0F-48EA-ABA0-743F59FC9AC8}"/>
    <cellStyle name="Notas 2 21" xfId="208" xr:uid="{99160E83-B4CE-46BC-8A51-1CCAD3FDC643}"/>
    <cellStyle name="Notas 2 21 2" xfId="405" xr:uid="{43917F67-5BCA-4184-95D8-1076B77E0B04}"/>
    <cellStyle name="Notas 2 21 2 2" xfId="839" xr:uid="{02D70A66-0D62-436C-BF81-7D8DDED5F17E}"/>
    <cellStyle name="Notas 2 21 2 3" xfId="1254" xr:uid="{CAD86B93-42B2-4F56-9E71-974AC5BBF4B4}"/>
    <cellStyle name="Notas 2 21 2 4" xfId="1667" xr:uid="{BE795157-ECAD-4C83-B44B-445E48DEB72F}"/>
    <cellStyle name="Notas 2 21 2 5" xfId="2077" xr:uid="{FED77DC6-5A14-44E3-AC56-7DE9FE19EE1B}"/>
    <cellStyle name="Notas 2 21 2 6" xfId="2484" xr:uid="{5D3EB816-73C2-48EF-A348-D03EDD660DE3}"/>
    <cellStyle name="Notas 2 21 3" xfId="642" xr:uid="{27FA8B76-2DC9-452D-A710-D34389F8AE1B}"/>
    <cellStyle name="Notas 2 21 4" xfId="1060" xr:uid="{8C0AEF3F-092C-4F15-8175-35C7366AD442}"/>
    <cellStyle name="Notas 2 21 5" xfId="1473" xr:uid="{3F02A2A1-CC89-4BB6-8C72-7AC964CB64BE}"/>
    <cellStyle name="Notas 2 21 6" xfId="1883" xr:uid="{C9905ABE-3C0B-43B6-9523-6CA6A37AA716}"/>
    <cellStyle name="Notas 2 21 7" xfId="2291" xr:uid="{7D2AFE0A-4B0D-490C-9C61-1CF83BBB59BB}"/>
    <cellStyle name="Notas 2 22" xfId="207" xr:uid="{C975D8E1-B37A-4E25-B700-BBB402E3E894}"/>
    <cellStyle name="Notas 2 22 2" xfId="404" xr:uid="{DFBE2E8C-E7B0-4693-9275-3F82DCE00054}"/>
    <cellStyle name="Notas 2 22 2 2" xfId="838" xr:uid="{645CBFA6-8F48-4D53-A582-63001D494001}"/>
    <cellStyle name="Notas 2 22 2 3" xfId="1253" xr:uid="{51A1D452-EB25-458F-96C7-0D130A7ACF8D}"/>
    <cellStyle name="Notas 2 22 2 4" xfId="1666" xr:uid="{8D56189E-B6E7-4EF0-9AD7-4C0D3F7E8C46}"/>
    <cellStyle name="Notas 2 22 2 5" xfId="2076" xr:uid="{7D0BCDB8-8308-4E9B-99DA-D62871C7E782}"/>
    <cellStyle name="Notas 2 22 2 6" xfId="2483" xr:uid="{037DDC64-381A-4959-80C7-AF1CCDB5DA7E}"/>
    <cellStyle name="Notas 2 22 3" xfId="641" xr:uid="{35A6FFA8-27C8-4B14-9A03-D6190814AD8B}"/>
    <cellStyle name="Notas 2 22 4" xfId="1059" xr:uid="{05D0594E-2817-43F5-991A-1EDEA5C8E7E3}"/>
    <cellStyle name="Notas 2 22 5" xfId="1472" xr:uid="{1D49892A-6A1F-4D27-9676-889DDCB76D34}"/>
    <cellStyle name="Notas 2 22 6" xfId="1882" xr:uid="{C3848BF3-EE5B-4350-A605-7E2E95BD7D74}"/>
    <cellStyle name="Notas 2 22 7" xfId="2290" xr:uid="{8AEC1F86-2368-4220-8D54-9E0257FC38B2}"/>
    <cellStyle name="Notas 2 23" xfId="224" xr:uid="{3150A918-B828-4133-B75A-11ABFE9D5470}"/>
    <cellStyle name="Notas 2 23 2" xfId="658" xr:uid="{B05E578A-3127-436E-9695-0D922A625162}"/>
    <cellStyle name="Notas 2 23 3" xfId="1076" xr:uid="{AC246F30-6AA4-457C-854E-CAE2D3ACA164}"/>
    <cellStyle name="Notas 2 23 4" xfId="1489" xr:uid="{1CFD69A3-AB62-4A1A-8AFA-9DEAB0878E9C}"/>
    <cellStyle name="Notas 2 23 5" xfId="1899" xr:uid="{02B3A1CF-1641-437A-B60E-7E024E10513F}"/>
    <cellStyle name="Notas 2 23 6" xfId="2307" xr:uid="{C3C200FD-1BAB-465A-9F5B-EF9C25A5CD81}"/>
    <cellStyle name="Notas 2 24" xfId="421" xr:uid="{D7F46960-B24B-477B-A30C-3DA5E0C99E31}"/>
    <cellStyle name="Notas 2 24 2" xfId="855" xr:uid="{7B68DBF3-E2AC-4187-AD19-D7373DD952F6}"/>
    <cellStyle name="Notas 2 24 3" xfId="1270" xr:uid="{22642099-05AC-42B1-B395-2579BA4A6BBC}"/>
    <cellStyle name="Notas 2 24 4" xfId="1683" xr:uid="{0954AE4E-C2A8-4D98-B1D7-756A546C7B13}"/>
    <cellStyle name="Notas 2 24 5" xfId="2093" xr:uid="{DDAC7A13-E809-4FE0-80AD-F629BE22B845}"/>
    <cellStyle name="Notas 2 24 6" xfId="2500" xr:uid="{1FA2175F-6220-4623-B606-0E7C0EFE6D83}"/>
    <cellStyle name="Notas 2 25" xfId="435" xr:uid="{32F5A10C-F3EB-4733-A16D-CB5D47C3B414}"/>
    <cellStyle name="Notas 2 25 2" xfId="869" xr:uid="{98F58B65-7651-4422-B3D8-1E915E7273D8}"/>
    <cellStyle name="Notas 2 25 3" xfId="1283" xr:uid="{99D767BD-1FEC-42EC-AC47-BEDDFD632545}"/>
    <cellStyle name="Notas 2 25 4" xfId="1697" xr:uid="{E8E5A34D-DFB8-4B5D-B041-F04450FC5DC0}"/>
    <cellStyle name="Notas 2 25 5" xfId="2107" xr:uid="{2B07EF45-5708-4147-BC99-ECAD0635ADE7}"/>
    <cellStyle name="Notas 2 25 6" xfId="2513" xr:uid="{279B9968-816F-4674-922B-77BB38D8EF28}"/>
    <cellStyle name="Notas 2 26" xfId="443" xr:uid="{CCA258D3-AB0A-459D-92CD-F1B4448A8542}"/>
    <cellStyle name="Notas 2 26 2" xfId="877" xr:uid="{6D3FBE21-A2B6-478D-8EC5-ED2D8E79961A}"/>
    <cellStyle name="Notas 2 26 3" xfId="1291" xr:uid="{CD97C852-BC44-41B4-BF89-E0E520EC3778}"/>
    <cellStyle name="Notas 2 26 4" xfId="1705" xr:uid="{DFDBD34F-DFFA-4129-8E5B-B5C1748853DC}"/>
    <cellStyle name="Notas 2 26 5" xfId="2115" xr:uid="{33841039-678A-479F-B1FD-8FC41E4D1CFE}"/>
    <cellStyle name="Notas 2 26 6" xfId="2521" xr:uid="{8D45EE70-F626-4A21-A943-C17633884AD3}"/>
    <cellStyle name="Notas 2 27" xfId="454" xr:uid="{01720A6F-195A-4A80-A59F-1933DD4CB675}"/>
    <cellStyle name="Notas 2 28" xfId="883" xr:uid="{76778239-65BE-4AA3-8ED8-897487F32556}"/>
    <cellStyle name="Notas 2 29" xfId="1018" xr:uid="{1B105990-3D1C-440C-9E63-C4FE910187F9}"/>
    <cellStyle name="Notas 2 3" xfId="26" xr:uid="{00000000-0005-0000-0000-000078000000}"/>
    <cellStyle name="Notas 2 3 10" xfId="109" xr:uid="{00000000-0005-0000-0000-000079000000}"/>
    <cellStyle name="Notas 2 3 10 2" xfId="306" xr:uid="{5F6A4ECB-4385-43F7-A01E-040C3B30C290}"/>
    <cellStyle name="Notas 2 3 10 2 2" xfId="740" xr:uid="{34068066-3928-4856-BD0E-9BA915789A3A}"/>
    <cellStyle name="Notas 2 3 10 2 3" xfId="1156" xr:uid="{B84DBBA7-4E2D-4853-99B3-49CFC56D1B89}"/>
    <cellStyle name="Notas 2 3 10 2 4" xfId="1569" xr:uid="{EC5AEF1E-B4F5-4FFC-8A77-B8E4A8D7C438}"/>
    <cellStyle name="Notas 2 3 10 2 5" xfId="1979" xr:uid="{2CF7CDE0-A1EC-40CC-AFAC-4774A60B88E4}"/>
    <cellStyle name="Notas 2 3 10 2 6" xfId="2386" xr:uid="{46128D1B-876D-4CC2-9B62-ADBBB819FB2C}"/>
    <cellStyle name="Notas 2 3 10 3" xfId="543" xr:uid="{72773E4C-02AD-46CF-AB94-D32E64D0C790}"/>
    <cellStyle name="Notas 2 3 10 4" xfId="961" xr:uid="{817E066A-A7B8-469B-8F04-A820385EF8BC}"/>
    <cellStyle name="Notas 2 3 10 5" xfId="1374" xr:uid="{BD6DF046-D458-4AB8-91BA-06DCD37E4F4C}"/>
    <cellStyle name="Notas 2 3 10 6" xfId="1785" xr:uid="{05EE8468-BFEB-474A-BF12-2BAA705300CF}"/>
    <cellStyle name="Notas 2 3 10 7" xfId="2193" xr:uid="{D2C00932-B159-4BC8-9A93-10779B696620}"/>
    <cellStyle name="Notas 2 3 11" xfId="115" xr:uid="{00000000-0005-0000-0000-00007A000000}"/>
    <cellStyle name="Notas 2 3 11 2" xfId="312" xr:uid="{91FC444A-896C-4537-A3B0-F7928B6F1E43}"/>
    <cellStyle name="Notas 2 3 11 2 2" xfId="746" xr:uid="{153CD498-8280-4404-A6E8-F53CADAB8F52}"/>
    <cellStyle name="Notas 2 3 11 2 3" xfId="1162" xr:uid="{4BBD44A5-0FD4-4078-B8FE-17405F284A26}"/>
    <cellStyle name="Notas 2 3 11 2 4" xfId="1575" xr:uid="{B80262B5-F95A-402C-822D-D4CB2BE704CF}"/>
    <cellStyle name="Notas 2 3 11 2 5" xfId="1985" xr:uid="{44E5BC41-A5E6-4ED6-AB7B-3E51CF4513BB}"/>
    <cellStyle name="Notas 2 3 11 2 6" xfId="2392" xr:uid="{8D695E20-8067-4BCA-835C-9F9120659E63}"/>
    <cellStyle name="Notas 2 3 11 3" xfId="549" xr:uid="{17C9159F-1C70-4483-9D91-A44BB19AECCE}"/>
    <cellStyle name="Notas 2 3 11 4" xfId="967" xr:uid="{E343E0EE-DE7C-4738-A3EC-7607BF8387A2}"/>
    <cellStyle name="Notas 2 3 11 5" xfId="1380" xr:uid="{21ADC1D3-9CD1-4232-89A8-96DB12D500E2}"/>
    <cellStyle name="Notas 2 3 11 6" xfId="1791" xr:uid="{0111CC81-2333-4950-8835-2AF64D2AA0EB}"/>
    <cellStyle name="Notas 2 3 11 7" xfId="2199" xr:uid="{939D2469-AF26-42BB-97C7-1E08F12727C3}"/>
    <cellStyle name="Notas 2 3 12" xfId="126" xr:uid="{00000000-0005-0000-0000-00007B000000}"/>
    <cellStyle name="Notas 2 3 12 2" xfId="323" xr:uid="{7BD6C4B2-00B2-469E-B2BE-3E45BDD46850}"/>
    <cellStyle name="Notas 2 3 12 2 2" xfId="757" xr:uid="{2F198B32-7AEA-4655-B8E0-12133E2D70B0}"/>
    <cellStyle name="Notas 2 3 12 2 3" xfId="1173" xr:uid="{02EDC87A-7EF5-48FB-89C6-509F2ADDA955}"/>
    <cellStyle name="Notas 2 3 12 2 4" xfId="1586" xr:uid="{591A66D1-5D17-4906-B578-15A3377E725B}"/>
    <cellStyle name="Notas 2 3 12 2 5" xfId="1996" xr:uid="{0A386136-9528-44F2-A72D-CADFD1A249D4}"/>
    <cellStyle name="Notas 2 3 12 2 6" xfId="2403" xr:uid="{0E0A6308-7BC7-4812-8CCC-E5032152D424}"/>
    <cellStyle name="Notas 2 3 12 3" xfId="560" xr:uid="{4C83E7DA-8B03-43C0-85F2-59EFB9A3C33D}"/>
    <cellStyle name="Notas 2 3 12 4" xfId="978" xr:uid="{B22EF6BB-9E88-4D3D-9210-65471CA7BF7B}"/>
    <cellStyle name="Notas 2 3 12 5" xfId="1391" xr:uid="{699E8AB3-8EFE-4628-A3C9-27602266A8ED}"/>
    <cellStyle name="Notas 2 3 12 6" xfId="1802" xr:uid="{B74CC565-71D5-41D6-80B0-39EFD687ED7C}"/>
    <cellStyle name="Notas 2 3 12 7" xfId="2210" xr:uid="{99D99F59-513F-4601-B8C8-685842DF9990}"/>
    <cellStyle name="Notas 2 3 13" xfId="135" xr:uid="{00000000-0005-0000-0000-00007C000000}"/>
    <cellStyle name="Notas 2 3 13 2" xfId="332" xr:uid="{97A6890C-9F74-4949-B228-8F968CB648C1}"/>
    <cellStyle name="Notas 2 3 13 2 2" xfId="766" xr:uid="{D2796D12-F915-4809-84B4-765CF0DD97B8}"/>
    <cellStyle name="Notas 2 3 13 2 3" xfId="1182" xr:uid="{4A83AE31-EA99-4B70-ABFE-654230F9A839}"/>
    <cellStyle name="Notas 2 3 13 2 4" xfId="1595" xr:uid="{7AC4BE97-7EE2-42E2-A0C4-82AE87A564DA}"/>
    <cellStyle name="Notas 2 3 13 2 5" xfId="2005" xr:uid="{63CF9426-9900-42A9-A7D1-E0FE01675E92}"/>
    <cellStyle name="Notas 2 3 13 2 6" xfId="2412" xr:uid="{784F3992-3BDF-4533-B691-B60D2C0F0F4F}"/>
    <cellStyle name="Notas 2 3 13 3" xfId="569" xr:uid="{B9937E7E-673E-41EB-82B8-B5694A09AC02}"/>
    <cellStyle name="Notas 2 3 13 4" xfId="987" xr:uid="{68295A96-070F-428B-AE5E-20292A432F88}"/>
    <cellStyle name="Notas 2 3 13 5" xfId="1400" xr:uid="{87A8A118-EEDA-4A49-B0AC-D0A6FE49369D}"/>
    <cellStyle name="Notas 2 3 13 6" xfId="1811" xr:uid="{E78A22FB-5854-469C-BB5A-4E979925462B}"/>
    <cellStyle name="Notas 2 3 13 7" xfId="2219" xr:uid="{C7D0EA30-5D04-42B8-BC64-0C9B1FD5EFDD}"/>
    <cellStyle name="Notas 2 3 14" xfId="142" xr:uid="{00000000-0005-0000-0000-00007D000000}"/>
    <cellStyle name="Notas 2 3 14 2" xfId="339" xr:uid="{BB021ECC-163F-45CA-9101-8017C848A5D6}"/>
    <cellStyle name="Notas 2 3 14 2 2" xfId="773" xr:uid="{5D9C5619-AC6B-4FD4-BA3F-63B7D58ED8F0}"/>
    <cellStyle name="Notas 2 3 14 2 3" xfId="1189" xr:uid="{E5DCFD9D-6493-48B6-B84B-84C8A4412F10}"/>
    <cellStyle name="Notas 2 3 14 2 4" xfId="1602" xr:uid="{7FC2FA93-BCF9-4397-9C6E-CBB937ABE9F1}"/>
    <cellStyle name="Notas 2 3 14 2 5" xfId="2012" xr:uid="{2BF3B8CD-D082-4E30-A9F0-D055183162A4}"/>
    <cellStyle name="Notas 2 3 14 2 6" xfId="2419" xr:uid="{0571731E-DBAE-4E60-A83E-67C3175F2AC4}"/>
    <cellStyle name="Notas 2 3 14 3" xfId="576" xr:uid="{E132D5BD-E57E-491F-8AE0-D0D62721A8A5}"/>
    <cellStyle name="Notas 2 3 14 4" xfId="994" xr:uid="{5A608F1C-0EDD-4427-9ED3-2CFFB2C2365C}"/>
    <cellStyle name="Notas 2 3 14 5" xfId="1407" xr:uid="{BDA4D6D1-09FA-437F-89AC-3E829A11EC65}"/>
    <cellStyle name="Notas 2 3 14 6" xfId="1818" xr:uid="{EDDB1F0A-3D2A-4A57-BA84-927C628DFE96}"/>
    <cellStyle name="Notas 2 3 14 7" xfId="2226" xr:uid="{638E1F13-5664-40D4-B933-8F77AF675D47}"/>
    <cellStyle name="Notas 2 3 15" xfId="151" xr:uid="{00000000-0005-0000-0000-00007E000000}"/>
    <cellStyle name="Notas 2 3 15 2" xfId="348" xr:uid="{16FAC8F0-7338-44FB-A5D6-96C5C59E67B8}"/>
    <cellStyle name="Notas 2 3 15 2 2" xfId="782" xr:uid="{1D5767F7-0978-45C6-8D89-7328183B5E28}"/>
    <cellStyle name="Notas 2 3 15 2 3" xfId="1198" xr:uid="{25F05EAF-20D6-4326-BFB2-57612725AE27}"/>
    <cellStyle name="Notas 2 3 15 2 4" xfId="1611" xr:uid="{AB86DB45-4CC6-4611-92ED-4099416AF6A0}"/>
    <cellStyle name="Notas 2 3 15 2 5" xfId="2021" xr:uid="{BEFAA222-479B-46CE-AB69-B730E8B43099}"/>
    <cellStyle name="Notas 2 3 15 2 6" xfId="2428" xr:uid="{9BC1DF93-9A7E-47D6-A238-60078118FAAD}"/>
    <cellStyle name="Notas 2 3 15 3" xfId="585" xr:uid="{6EDAC3D9-E7CB-4485-BF2D-E9951E807A08}"/>
    <cellStyle name="Notas 2 3 15 4" xfId="1003" xr:uid="{FBD4D037-DF59-4783-83D4-632467E4D854}"/>
    <cellStyle name="Notas 2 3 15 5" xfId="1416" xr:uid="{30915366-3E36-4BFD-9F11-E64E5EBE05E7}"/>
    <cellStyle name="Notas 2 3 15 6" xfId="1827" xr:uid="{0CC0FA4C-FF17-4293-BCD1-86836DE2B85D}"/>
    <cellStyle name="Notas 2 3 15 7" xfId="2235" xr:uid="{C6A3B9D8-D9B0-41AA-A055-32655C0EC677}"/>
    <cellStyle name="Notas 2 3 16" xfId="165" xr:uid="{2C834F48-3E4A-4230-941E-3CF914CB43AA}"/>
    <cellStyle name="Notas 2 3 16 2" xfId="362" xr:uid="{8B471514-85D1-43FF-84B4-1A5B3F68CB59}"/>
    <cellStyle name="Notas 2 3 16 2 2" xfId="796" xr:uid="{F86D8158-2953-4421-BDD6-CED439F6EC85}"/>
    <cellStyle name="Notas 2 3 16 2 3" xfId="1212" xr:uid="{92D45557-5895-4505-9F3C-0B9032B9A156}"/>
    <cellStyle name="Notas 2 3 16 2 4" xfId="1625" xr:uid="{EA341A5F-A644-44F5-BFAC-613885989227}"/>
    <cellStyle name="Notas 2 3 16 2 5" xfId="2035" xr:uid="{18A50A3C-A303-4210-B6BD-E520C59D67D1}"/>
    <cellStyle name="Notas 2 3 16 2 6" xfId="2442" xr:uid="{34F24F2C-55D3-4B42-80DF-1EB89E0E450B}"/>
    <cellStyle name="Notas 2 3 16 3" xfId="599" xr:uid="{04FC5350-48D4-41C0-8349-F861FE59E5F7}"/>
    <cellStyle name="Notas 2 3 16 4" xfId="1017" xr:uid="{F7849CD4-3C5B-4E28-AD65-70525A02A110}"/>
    <cellStyle name="Notas 2 3 16 5" xfId="1430" xr:uid="{AE59C391-E32E-4904-9FCD-C64B0FCF20AD}"/>
    <cellStyle name="Notas 2 3 16 6" xfId="1841" xr:uid="{376885F9-1BB2-4244-A021-FD70640144CE}"/>
    <cellStyle name="Notas 2 3 16 7" xfId="2249" xr:uid="{F5680B87-7128-4F2C-AD9E-8B018FA0620D}"/>
    <cellStyle name="Notas 2 3 17" xfId="173" xr:uid="{C29BC2F7-684D-4585-A36E-969E1D4B7EB6}"/>
    <cellStyle name="Notas 2 3 17 2" xfId="370" xr:uid="{CD72A959-E512-46F0-8D07-63A0B39CD1FF}"/>
    <cellStyle name="Notas 2 3 17 2 2" xfId="804" xr:uid="{44BC0920-2B2D-4D62-B2A8-6719648732A5}"/>
    <cellStyle name="Notas 2 3 17 2 3" xfId="1219" xr:uid="{78DFC5DD-4095-4DA6-8C25-2947C98225AD}"/>
    <cellStyle name="Notas 2 3 17 2 4" xfId="1632" xr:uid="{3FB60D51-FFB9-4264-B5D1-6A705B264449}"/>
    <cellStyle name="Notas 2 3 17 2 5" xfId="2042" xr:uid="{25F7E7D7-5867-40DF-B221-A13F9AA86829}"/>
    <cellStyle name="Notas 2 3 17 2 6" xfId="2449" xr:uid="{7635CFAB-3832-4C8C-9632-D49EC2E6482D}"/>
    <cellStyle name="Notas 2 3 17 3" xfId="607" xr:uid="{74927BE3-E469-43D4-B063-68B059CC476B}"/>
    <cellStyle name="Notas 2 3 17 4" xfId="1025" xr:uid="{83EED7A0-C44D-4A10-9C26-618A94B2BBB6}"/>
    <cellStyle name="Notas 2 3 17 5" xfId="1438" xr:uid="{AE02023D-88E5-483F-B9F9-254868F8BD4B}"/>
    <cellStyle name="Notas 2 3 17 6" xfId="1848" xr:uid="{B9153EE8-B0A6-4A5B-847C-48FB201BD9F5}"/>
    <cellStyle name="Notas 2 3 17 7" xfId="2256" xr:uid="{B91C2CD9-0473-4EC4-B19F-CF23F291B3F8}"/>
    <cellStyle name="Notas 2 3 18" xfId="183" xr:uid="{1DF31BB2-DCC5-414A-8BF3-B9A9D4142762}"/>
    <cellStyle name="Notas 2 3 18 2" xfId="380" xr:uid="{E416BA6C-1473-4FAF-912F-45D9FCD75EB1}"/>
    <cellStyle name="Notas 2 3 18 2 2" xfId="814" xr:uid="{C79B6275-AE2B-4633-8EF7-F464D4CDA541}"/>
    <cellStyle name="Notas 2 3 18 2 3" xfId="1229" xr:uid="{F8D5E7F9-F4CC-4645-B95C-E0BFA05E2E63}"/>
    <cellStyle name="Notas 2 3 18 2 4" xfId="1642" xr:uid="{62D4111B-D72A-4E59-BD23-D5B95AC36BA5}"/>
    <cellStyle name="Notas 2 3 18 2 5" xfId="2052" xr:uid="{3F46BB55-8BBC-4982-873B-C0A58F67D183}"/>
    <cellStyle name="Notas 2 3 18 2 6" xfId="2459" xr:uid="{70159CC3-BDC7-4B8F-8C77-E70D30F9D93C}"/>
    <cellStyle name="Notas 2 3 18 3" xfId="617" xr:uid="{9EAD00B7-A853-4E6C-A2C0-D4A062DFABDF}"/>
    <cellStyle name="Notas 2 3 18 4" xfId="1035" xr:uid="{E3EC93C6-EE9C-47E0-84CF-001757A93F2E}"/>
    <cellStyle name="Notas 2 3 18 5" xfId="1448" xr:uid="{A4A5136C-FF35-48F7-B255-9C9BC7DB55B2}"/>
    <cellStyle name="Notas 2 3 18 6" xfId="1858" xr:uid="{DA54B168-020E-4288-8CF6-0BA0E0ECC5D0}"/>
    <cellStyle name="Notas 2 3 18 7" xfId="2266" xr:uid="{5E1BA238-AEA8-43D9-A4DA-A6142BF88684}"/>
    <cellStyle name="Notas 2 3 19" xfId="193" xr:uid="{30F8B6B9-96AB-4C82-8E97-B49C94BBC25B}"/>
    <cellStyle name="Notas 2 3 19 2" xfId="390" xr:uid="{BCA1B1A8-0B24-441D-BC96-14EFEA4CA625}"/>
    <cellStyle name="Notas 2 3 19 2 2" xfId="824" xr:uid="{BC430CBB-DEDE-4A98-A145-E23390869E35}"/>
    <cellStyle name="Notas 2 3 19 2 3" xfId="1239" xr:uid="{A81FB9D6-95CB-4776-9F62-1886CA98F507}"/>
    <cellStyle name="Notas 2 3 19 2 4" xfId="1652" xr:uid="{D5841963-75D9-4EB7-A562-C3D922244975}"/>
    <cellStyle name="Notas 2 3 19 2 5" xfId="2062" xr:uid="{C09AAD12-BCBF-445C-9013-F062DF0594CE}"/>
    <cellStyle name="Notas 2 3 19 2 6" xfId="2469" xr:uid="{0A816329-8642-49A6-A9FB-07633FDA6EC0}"/>
    <cellStyle name="Notas 2 3 19 3" xfId="627" xr:uid="{EEAF89A2-0B4D-4B80-AE24-5BB05C507E35}"/>
    <cellStyle name="Notas 2 3 19 4" xfId="1045" xr:uid="{F9AFE844-67CB-438D-BB33-6F7562D6F54D}"/>
    <cellStyle name="Notas 2 3 19 5" xfId="1458" xr:uid="{31E35182-A6DF-49AB-8A5A-7A82F613E71A}"/>
    <cellStyle name="Notas 2 3 19 6" xfId="1868" xr:uid="{3AE54ED3-9A4D-422D-A203-FF7FD58ADA0C}"/>
    <cellStyle name="Notas 2 3 19 7" xfId="2276" xr:uid="{34AB1A04-E72D-4D7B-AFAD-F470766287B7}"/>
    <cellStyle name="Notas 2 3 2" xfId="49" xr:uid="{00000000-0005-0000-0000-00007F000000}"/>
    <cellStyle name="Notas 2 3 2 2" xfId="246" xr:uid="{F0FC6638-3A26-43F5-A3EF-766387BA4D45}"/>
    <cellStyle name="Notas 2 3 2 2 2" xfId="680" xr:uid="{93F70EE9-4EA0-4E2D-BF8F-5060CA6DBD8D}"/>
    <cellStyle name="Notas 2 3 2 2 3" xfId="1097" xr:uid="{CD6F9B14-23E2-48EE-AEDA-7331594EBD72}"/>
    <cellStyle name="Notas 2 3 2 2 4" xfId="1510" xr:uid="{6D6385C5-463C-44B8-A54F-E540A06DD39C}"/>
    <cellStyle name="Notas 2 3 2 2 5" xfId="1920" xr:uid="{580E2AE3-59A7-43F0-8740-89016B27A57E}"/>
    <cellStyle name="Notas 2 3 2 2 6" xfId="2328" xr:uid="{0CFBFD14-CC6F-43C0-A456-6E1A0EDE1629}"/>
    <cellStyle name="Notas 2 3 2 3" xfId="483" xr:uid="{4D6B004C-840F-4722-B6E5-68384F89B4E4}"/>
    <cellStyle name="Notas 2 3 2 4" xfId="901" xr:uid="{18803873-1020-4049-AE8F-B5FCB05E40F1}"/>
    <cellStyle name="Notas 2 3 2 5" xfId="1316" xr:uid="{39A119FD-1369-4A97-93E3-1361940E6107}"/>
    <cellStyle name="Notas 2 3 2 6" xfId="1727" xr:uid="{EB895129-B55A-4EB6-A820-601ED236EFFB}"/>
    <cellStyle name="Notas 2 3 2 7" xfId="2135" xr:uid="{1055C6A8-238A-421D-937E-D0754EECDA8E}"/>
    <cellStyle name="Notas 2 3 20" xfId="203" xr:uid="{AB0302CC-E6C1-4EED-B057-7508573A3C2E}"/>
    <cellStyle name="Notas 2 3 20 2" xfId="400" xr:uid="{195C10ED-43F8-4481-A798-279BFBD3B27D}"/>
    <cellStyle name="Notas 2 3 20 2 2" xfId="834" xr:uid="{A19F8208-547D-4457-BA0A-72E33C889432}"/>
    <cellStyle name="Notas 2 3 20 2 3" xfId="1249" xr:uid="{1A1841AF-41D0-4F70-AD7C-97EBAD7EA582}"/>
    <cellStyle name="Notas 2 3 20 2 4" xfId="1662" xr:uid="{8726659A-5D00-4BF9-BD23-BE0305ED84E1}"/>
    <cellStyle name="Notas 2 3 20 2 5" xfId="2072" xr:uid="{614AE131-E849-416A-94A2-1819CF2AD4CE}"/>
    <cellStyle name="Notas 2 3 20 2 6" xfId="2479" xr:uid="{71B59DEE-3A26-4E6A-8BAC-61854800AC7A}"/>
    <cellStyle name="Notas 2 3 20 3" xfId="637" xr:uid="{8FD47846-89E1-4677-BAF2-1CA7AC1FA32A}"/>
    <cellStyle name="Notas 2 3 20 4" xfId="1055" xr:uid="{61BDEA8E-8A23-45DF-B112-10DFBFE8FECB}"/>
    <cellStyle name="Notas 2 3 20 5" xfId="1468" xr:uid="{796C817D-72FD-41D3-934F-B8E4494DCA0C}"/>
    <cellStyle name="Notas 2 3 20 6" xfId="1878" xr:uid="{C7650B89-7F39-4127-88FE-D4DEEF83CAFD}"/>
    <cellStyle name="Notas 2 3 20 7" xfId="2286" xr:uid="{562E92C8-23E6-4369-AF00-33655F751B0B}"/>
    <cellStyle name="Notas 2 3 21" xfId="215" xr:uid="{D0A9A056-5DD6-425E-87D6-C89ACF78BAE2}"/>
    <cellStyle name="Notas 2 3 21 2" xfId="412" xr:uid="{301CE788-87DD-4473-9AF8-E26D776BD6BE}"/>
    <cellStyle name="Notas 2 3 21 2 2" xfId="846" xr:uid="{76E50FFA-B091-43CA-B1F4-38B87B4AEB09}"/>
    <cellStyle name="Notas 2 3 21 2 3" xfId="1261" xr:uid="{6F78A797-17E0-45B2-A2FE-4A419B40C741}"/>
    <cellStyle name="Notas 2 3 21 2 4" xfId="1674" xr:uid="{8FE2DC12-699B-433D-8F22-3B82D7B60298}"/>
    <cellStyle name="Notas 2 3 21 2 5" xfId="2084" xr:uid="{07BA22EA-E939-42E4-9228-9BDFFDC82C8C}"/>
    <cellStyle name="Notas 2 3 21 2 6" xfId="2491" xr:uid="{00DFF37C-19D1-4DAD-8447-EAF261A8D5CF}"/>
    <cellStyle name="Notas 2 3 21 3" xfId="649" xr:uid="{EC61A114-2BA9-408D-B454-8A5F51F4AE45}"/>
    <cellStyle name="Notas 2 3 21 4" xfId="1067" xr:uid="{8FBCC583-1BF6-4F3B-B66B-DA5162AA3EC9}"/>
    <cellStyle name="Notas 2 3 21 5" xfId="1480" xr:uid="{3C8B44BE-B1B7-4ED5-AA11-A82D996E790E}"/>
    <cellStyle name="Notas 2 3 21 6" xfId="1890" xr:uid="{4F16D68D-E5C8-4B1D-ABB2-2668C0BE74C1}"/>
    <cellStyle name="Notas 2 3 21 7" xfId="2298" xr:uid="{9D72CB2A-3E73-42B9-8F49-D1E24E6B0D7F}"/>
    <cellStyle name="Notas 2 3 22" xfId="221" xr:uid="{70BFAD42-F28A-40B3-992C-083447699D29}"/>
    <cellStyle name="Notas 2 3 22 2" xfId="418" xr:uid="{CA168F5A-6DA7-4959-838A-82C17795AA5E}"/>
    <cellStyle name="Notas 2 3 22 2 2" xfId="852" xr:uid="{2AA846F2-02D2-4027-B327-F2E056471C87}"/>
    <cellStyle name="Notas 2 3 22 2 3" xfId="1267" xr:uid="{8753E68D-3365-4813-AD17-F85D448681DA}"/>
    <cellStyle name="Notas 2 3 22 2 4" xfId="1680" xr:uid="{FB09D410-C958-4203-8FEA-5743953D817C}"/>
    <cellStyle name="Notas 2 3 22 2 5" xfId="2090" xr:uid="{C02CF50D-1849-4372-9CDA-C3AC93960C90}"/>
    <cellStyle name="Notas 2 3 22 2 6" xfId="2497" xr:uid="{DB6CB4E7-AAA0-46D6-BC8D-C746DE1940B3}"/>
    <cellStyle name="Notas 2 3 22 3" xfId="655" xr:uid="{16954BEA-93FD-4D76-9C66-49B3DD9FB0BA}"/>
    <cellStyle name="Notas 2 3 22 4" xfId="1073" xr:uid="{68D34110-50E8-4BE8-81A6-7933C906BCC9}"/>
    <cellStyle name="Notas 2 3 22 5" xfId="1486" xr:uid="{832D7D5E-F0BD-48C2-9E98-A1D79491ADDD}"/>
    <cellStyle name="Notas 2 3 22 6" xfId="1896" xr:uid="{4D8CF8FC-1068-41F8-9404-5F45A984F280}"/>
    <cellStyle name="Notas 2 3 22 7" xfId="2304" xr:uid="{9787728D-F167-44FE-BECD-318479786366}"/>
    <cellStyle name="Notas 2 3 23" xfId="231" xr:uid="{CF8DECB9-4187-47F5-87C2-499F6920EF75}"/>
    <cellStyle name="Notas 2 3 23 2" xfId="665" xr:uid="{9AB61DE3-A0CC-4DC4-B127-4604CF06CE55}"/>
    <cellStyle name="Notas 2 3 23 3" xfId="1083" xr:uid="{A4167805-9F52-4816-BEAD-ECCC3F0F788C}"/>
    <cellStyle name="Notas 2 3 23 4" xfId="1496" xr:uid="{A2BCE2E0-9D82-4064-A9CB-C1E51012A5A7}"/>
    <cellStyle name="Notas 2 3 23 5" xfId="1906" xr:uid="{FEC82A27-8854-4CD7-8645-CBBCC12ED870}"/>
    <cellStyle name="Notas 2 3 23 6" xfId="2314" xr:uid="{9CEAB104-2988-4812-8AC0-22025F10210F}"/>
    <cellStyle name="Notas 2 3 24" xfId="428" xr:uid="{A7C7151B-1443-4634-BCE2-0E9504BDCF21}"/>
    <cellStyle name="Notas 2 3 24 2" xfId="862" xr:uid="{5BD8A643-0A3C-4AD3-A46E-F2E4D971E43D}"/>
    <cellStyle name="Notas 2 3 24 3" xfId="1277" xr:uid="{5E594434-BEBC-4763-A1C6-AF6954AC5CC4}"/>
    <cellStyle name="Notas 2 3 24 4" xfId="1690" xr:uid="{5644D23A-06DF-42EF-AC06-5BC754436F08}"/>
    <cellStyle name="Notas 2 3 24 5" xfId="2100" xr:uid="{19AE64D6-0930-4720-8700-258262131780}"/>
    <cellStyle name="Notas 2 3 24 6" xfId="2507" xr:uid="{3DE02940-AFB2-4593-9160-F1D2CF1C2F80}"/>
    <cellStyle name="Notas 2 3 25" xfId="444" xr:uid="{A7884C01-4F8A-41E4-9EFC-44B9D4539011}"/>
    <cellStyle name="Notas 2 3 25 2" xfId="878" xr:uid="{47FB2E67-1B5A-4CDA-8712-B2BE7208C079}"/>
    <cellStyle name="Notas 2 3 25 3" xfId="1292" xr:uid="{4A79A3C2-D73E-484F-9493-21ED477115FA}"/>
    <cellStyle name="Notas 2 3 25 4" xfId="1706" xr:uid="{0772139B-B7D0-485E-A44A-893E77B3B194}"/>
    <cellStyle name="Notas 2 3 25 5" xfId="2116" xr:uid="{02DF0352-CA47-46A6-BB55-9E2A0496D058}"/>
    <cellStyle name="Notas 2 3 25 6" xfId="2522" xr:uid="{896B79D2-62D6-4EF8-ADC5-109C73CF0243}"/>
    <cellStyle name="Notas 2 3 26" xfId="447" xr:uid="{78C46709-F2FF-417B-8B40-ECBD4C1CA45F}"/>
    <cellStyle name="Notas 2 3 26 2" xfId="881" xr:uid="{F828B864-F188-49FE-908F-782A72439DBE}"/>
    <cellStyle name="Notas 2 3 26 3" xfId="1295" xr:uid="{85E28729-E31F-41DF-87B0-FEC32C38AEFF}"/>
    <cellStyle name="Notas 2 3 26 4" xfId="1709" xr:uid="{9C8841B3-0211-47A8-B228-A0B3A4C1B99F}"/>
    <cellStyle name="Notas 2 3 26 5" xfId="2119" xr:uid="{6E2C5D68-5E89-4339-9785-4F2A47056DD0}"/>
    <cellStyle name="Notas 2 3 26 6" xfId="2525" xr:uid="{4FBFA1AD-A327-4B28-9C7A-22C770151B14}"/>
    <cellStyle name="Notas 2 3 27" xfId="463" xr:uid="{7FC1D12C-8E41-44F5-B572-CA28AFB485B9}"/>
    <cellStyle name="Notas 2 3 28" xfId="885" xr:uid="{291DD4C3-F03C-4CFF-800F-11BDB710D982}"/>
    <cellStyle name="Notas 2 3 29" xfId="1300" xr:uid="{46C1D6FD-C03D-47D8-ABB8-9DADA2BF1553}"/>
    <cellStyle name="Notas 2 3 3" xfId="64" xr:uid="{00000000-0005-0000-0000-000080000000}"/>
    <cellStyle name="Notas 2 3 3 2" xfId="261" xr:uid="{346F41E9-1E90-42B4-8CFA-CED564F0D4EC}"/>
    <cellStyle name="Notas 2 3 3 2 2" xfId="695" xr:uid="{7AF5AAA8-F8B5-48E9-9128-68448722CE83}"/>
    <cellStyle name="Notas 2 3 3 2 3" xfId="1112" xr:uid="{BC720024-CC9F-4795-9CE3-AC49E0CDBCFA}"/>
    <cellStyle name="Notas 2 3 3 2 4" xfId="1524" xr:uid="{6E1279E0-26AF-4549-90B5-2E06E39AB34E}"/>
    <cellStyle name="Notas 2 3 3 2 5" xfId="1935" xr:uid="{726D584F-8790-41BC-B04E-24E6B4E37C8E}"/>
    <cellStyle name="Notas 2 3 3 2 6" xfId="2342" xr:uid="{1D7CA2D0-6C71-4F26-846E-114CE47E344D}"/>
    <cellStyle name="Notas 2 3 3 3" xfId="498" xr:uid="{E3F3F511-A5D7-4D85-B632-6E8BFD340B79}"/>
    <cellStyle name="Notas 2 3 3 4" xfId="916" xr:uid="{A55D1C2F-41E1-4168-8F60-F4217AB8F44D}"/>
    <cellStyle name="Notas 2 3 3 5" xfId="1330" xr:uid="{C685E8B7-ACF7-485F-9467-31CBFA47BD47}"/>
    <cellStyle name="Notas 2 3 3 6" xfId="1741" xr:uid="{4DC459A2-E1DE-474F-BE49-49EE8BF044B3}"/>
    <cellStyle name="Notas 2 3 3 7" xfId="2149" xr:uid="{D8913F00-5078-4B6C-B3C1-4BD7419284A1}"/>
    <cellStyle name="Notas 2 3 30" xfId="1303" xr:uid="{1FFCAAC5-7432-4782-8593-44FE0685C294}"/>
    <cellStyle name="Notas 2 3 31" xfId="1301" xr:uid="{F7267448-753E-4B89-871C-07AC4A35969C}"/>
    <cellStyle name="Notas 2 3 4" xfId="70" xr:uid="{00000000-0005-0000-0000-000081000000}"/>
    <cellStyle name="Notas 2 3 4 2" xfId="267" xr:uid="{FACA27B4-528D-4801-A0BA-C51FEE130E12}"/>
    <cellStyle name="Notas 2 3 4 2 2" xfId="701" xr:uid="{5B859C6D-DCFB-46BE-AB75-A9B6450397B9}"/>
    <cellStyle name="Notas 2 3 4 2 3" xfId="1118" xr:uid="{990F1AFA-F4B0-4F8B-928E-0FBFE2D92F2C}"/>
    <cellStyle name="Notas 2 3 4 2 4" xfId="1530" xr:uid="{BECEDE36-EF4B-460B-8C21-4E9AFCAE50A7}"/>
    <cellStyle name="Notas 2 3 4 2 5" xfId="1941" xr:uid="{E8AC94AC-65AD-43B8-95C8-49177115BB3A}"/>
    <cellStyle name="Notas 2 3 4 2 6" xfId="2348" xr:uid="{8F42F41F-12C4-400E-81B1-5701FE70CAEC}"/>
    <cellStyle name="Notas 2 3 4 3" xfId="504" xr:uid="{FBFD0C1D-028B-410E-9D08-E0DEFF6B2518}"/>
    <cellStyle name="Notas 2 3 4 4" xfId="922" xr:uid="{BB39B4C9-D696-4FA3-99BF-D98FDEC20ED6}"/>
    <cellStyle name="Notas 2 3 4 5" xfId="1336" xr:uid="{2D314DA2-7FC6-45D3-8E41-A11DF1CBF80D}"/>
    <cellStyle name="Notas 2 3 4 6" xfId="1747" xr:uid="{5235D7B6-B6C2-421E-8483-A60D3F85F6CE}"/>
    <cellStyle name="Notas 2 3 4 7" xfId="2155" xr:uid="{B3430880-41B8-48D2-8FC3-948E9D25027D}"/>
    <cellStyle name="Notas 2 3 5" xfId="40" xr:uid="{00000000-0005-0000-0000-000082000000}"/>
    <cellStyle name="Notas 2 3 5 2" xfId="237" xr:uid="{1A95B34E-3B5D-4794-BF59-6BC4063806B3}"/>
    <cellStyle name="Notas 2 3 5 2 2" xfId="671" xr:uid="{C493937E-C038-4D82-AC0D-72511775BDFD}"/>
    <cellStyle name="Notas 2 3 5 2 3" xfId="1088" xr:uid="{E9282F3D-050E-4953-B1AD-2279C99FC7D7}"/>
    <cellStyle name="Notas 2 3 5 2 4" xfId="1501" xr:uid="{3181EEFB-9739-4AA2-B694-7450DD48CA04}"/>
    <cellStyle name="Notas 2 3 5 2 5" xfId="1911" xr:uid="{F89F9F56-7F06-42D2-B1FD-7424F1ABBFB5}"/>
    <cellStyle name="Notas 2 3 5 2 6" xfId="2319" xr:uid="{B8FAD745-E09B-4867-9228-4D465E830654}"/>
    <cellStyle name="Notas 2 3 5 3" xfId="474" xr:uid="{4509F21F-FEC1-4239-BC4C-786E00EE4684}"/>
    <cellStyle name="Notas 2 3 5 4" xfId="892" xr:uid="{5D085FFB-0239-48D8-95E5-E080F373D5DB}"/>
    <cellStyle name="Notas 2 3 5 5" xfId="1307" xr:uid="{064ED254-4A65-4913-AE54-879AA4DD90FB}"/>
    <cellStyle name="Notas 2 3 5 6" xfId="1718" xr:uid="{E14D5122-A89B-4007-B949-F028F2F08E0B}"/>
    <cellStyle name="Notas 2 3 5 7" xfId="2126" xr:uid="{7FD53062-D7EA-413F-A0F5-590D7FEB0300}"/>
    <cellStyle name="Notas 2 3 6" xfId="80" xr:uid="{00000000-0005-0000-0000-000083000000}"/>
    <cellStyle name="Notas 2 3 6 2" xfId="277" xr:uid="{33886197-3740-4BD1-BEB6-A22FABA42376}"/>
    <cellStyle name="Notas 2 3 6 2 2" xfId="711" xr:uid="{2CC0BF86-CE01-4F73-9897-12EB9CB10BEC}"/>
    <cellStyle name="Notas 2 3 6 2 3" xfId="1128" xr:uid="{034D4EAD-AA30-4D4D-A049-557A95691246}"/>
    <cellStyle name="Notas 2 3 6 2 4" xfId="1540" xr:uid="{2D9405B0-61E4-4DD8-981D-F5505833D462}"/>
    <cellStyle name="Notas 2 3 6 2 5" xfId="1951" xr:uid="{B164C2D8-389A-407F-A78D-60526EEF1FDC}"/>
    <cellStyle name="Notas 2 3 6 2 6" xfId="2358" xr:uid="{75E4A6F3-372C-4627-9696-B04EE8BBBEE9}"/>
    <cellStyle name="Notas 2 3 6 3" xfId="514" xr:uid="{52A47E8F-D10B-474C-A41A-EA46FD02BB24}"/>
    <cellStyle name="Notas 2 3 6 4" xfId="932" xr:uid="{D896A999-10C3-45F0-8856-AB1A66481E3E}"/>
    <cellStyle name="Notas 2 3 6 5" xfId="1346" xr:uid="{752446D7-D460-4988-AC49-4C2B1550F68E}"/>
    <cellStyle name="Notas 2 3 6 6" xfId="1757" xr:uid="{78C28ACD-9026-463E-A6BF-FDF1355E6B69}"/>
    <cellStyle name="Notas 2 3 6 7" xfId="2165" xr:uid="{DA4CC368-343E-489F-9667-6A157B4E88FF}"/>
    <cellStyle name="Notas 2 3 7" xfId="83" xr:uid="{00000000-0005-0000-0000-000084000000}"/>
    <cellStyle name="Notas 2 3 7 2" xfId="280" xr:uid="{F71A4957-8444-4D37-84DC-37AF4DB4D6A4}"/>
    <cellStyle name="Notas 2 3 7 2 2" xfId="714" xr:uid="{860FC389-A647-438B-A2A4-38010C3DE3FF}"/>
    <cellStyle name="Notas 2 3 7 2 3" xfId="1130" xr:uid="{5AFA3FFE-66D9-4C3F-B4AC-0CD9ACB726E4}"/>
    <cellStyle name="Notas 2 3 7 2 4" xfId="1543" xr:uid="{A101C4F5-AEE8-4244-8F5D-8717A8C8ECED}"/>
    <cellStyle name="Notas 2 3 7 2 5" xfId="1953" xr:uid="{150EF1E5-D609-4BC3-B882-6056E9A8590B}"/>
    <cellStyle name="Notas 2 3 7 2 6" xfId="2360" xr:uid="{79A03C9D-317A-48B6-8CB4-4DA1C81805EB}"/>
    <cellStyle name="Notas 2 3 7 3" xfId="517" xr:uid="{DCE5A332-7143-4BC8-843B-079A824C65F2}"/>
    <cellStyle name="Notas 2 3 7 4" xfId="935" xr:uid="{8DC692BE-F226-416A-B0FE-7028E8971FA6}"/>
    <cellStyle name="Notas 2 3 7 5" xfId="1348" xr:uid="{92903F09-9AFF-42E9-AA42-736B5136DF75}"/>
    <cellStyle name="Notas 2 3 7 6" xfId="1759" xr:uid="{3212507A-CFFA-4C1C-92B8-FB655A09811B}"/>
    <cellStyle name="Notas 2 3 7 7" xfId="2167" xr:uid="{962E8483-46DF-4391-94C5-1C86B5C5D0D4}"/>
    <cellStyle name="Notas 2 3 8" xfId="96" xr:uid="{00000000-0005-0000-0000-000085000000}"/>
    <cellStyle name="Notas 2 3 8 2" xfId="293" xr:uid="{97A5684A-EE21-4690-B1EB-80A344979603}"/>
    <cellStyle name="Notas 2 3 8 2 2" xfId="727" xr:uid="{97B671FA-3750-4863-9780-11F056D92651}"/>
    <cellStyle name="Notas 2 3 8 2 3" xfId="1143" xr:uid="{C3007A1B-F4CD-44E5-80E8-F547BEA1AECF}"/>
    <cellStyle name="Notas 2 3 8 2 4" xfId="1556" xr:uid="{30FD3A2E-3B09-406A-A2AD-B91C04EAB585}"/>
    <cellStyle name="Notas 2 3 8 2 5" xfId="1966" xr:uid="{5F4AEFE4-81E8-46C8-8C01-58C5C52B6866}"/>
    <cellStyle name="Notas 2 3 8 2 6" xfId="2373" xr:uid="{2D6B65A1-6F95-4311-85C9-AB8D2617DE18}"/>
    <cellStyle name="Notas 2 3 8 3" xfId="530" xr:uid="{41520922-DC51-4B7D-8F1C-E599A55A7465}"/>
    <cellStyle name="Notas 2 3 8 4" xfId="948" xr:uid="{BA1A69D4-68E3-4369-9D90-F976D65279DF}"/>
    <cellStyle name="Notas 2 3 8 5" xfId="1361" xr:uid="{8DFECD8E-9135-4262-BD44-C46176B68E49}"/>
    <cellStyle name="Notas 2 3 8 6" xfId="1772" xr:uid="{DC34DC01-D7AA-4BF2-BD6D-396C3202953B}"/>
    <cellStyle name="Notas 2 3 8 7" xfId="2180" xr:uid="{430D62DB-F384-4036-8B80-11C8BAE5B566}"/>
    <cellStyle name="Notas 2 3 9" xfId="103" xr:uid="{00000000-0005-0000-0000-000086000000}"/>
    <cellStyle name="Notas 2 3 9 2" xfId="300" xr:uid="{1C820332-83A9-4598-965A-2E14E54FB622}"/>
    <cellStyle name="Notas 2 3 9 2 2" xfId="734" xr:uid="{3FE7A237-D76E-4DBF-9245-BC9A1ECBCD96}"/>
    <cellStyle name="Notas 2 3 9 2 3" xfId="1150" xr:uid="{54E9EC61-ED93-4BAC-A52D-EC224EFFAD6B}"/>
    <cellStyle name="Notas 2 3 9 2 4" xfId="1563" xr:uid="{A9FB456A-7515-4FF0-B115-30970B22944D}"/>
    <cellStyle name="Notas 2 3 9 2 5" xfId="1973" xr:uid="{BE8708AC-83C1-4DA3-A6D0-263BA60AECA2}"/>
    <cellStyle name="Notas 2 3 9 2 6" xfId="2380" xr:uid="{B99675F1-1F6A-4FE9-A103-373C8F6FAF20}"/>
    <cellStyle name="Notas 2 3 9 3" xfId="537" xr:uid="{D7EB828C-6830-46ED-A10E-AF6AAB8ADDD2}"/>
    <cellStyle name="Notas 2 3 9 4" xfId="955" xr:uid="{DC223DDD-5B17-4EBF-B894-46733F6E89EB}"/>
    <cellStyle name="Notas 2 3 9 5" xfId="1368" xr:uid="{1B20D4A4-3BF7-4B30-9C0C-89DB08648F4B}"/>
    <cellStyle name="Notas 2 3 9 6" xfId="1779" xr:uid="{5B94057D-B046-4885-A7FE-793764045D94}"/>
    <cellStyle name="Notas 2 3 9 7" xfId="2187" xr:uid="{9004AA1B-2633-4C69-ABA7-82AF1BE16F3E}"/>
    <cellStyle name="Notas 2 30" xfId="1711" xr:uid="{C5784303-F8D1-4E88-9940-F85EC0850397}"/>
    <cellStyle name="Notas 2 31" xfId="1099" xr:uid="{AA6B882D-5465-4E79-B5F8-2E424E95EC45}"/>
    <cellStyle name="Notas 2 4" xfId="41" xr:uid="{00000000-0005-0000-0000-000087000000}"/>
    <cellStyle name="Notas 2 4 2" xfId="238" xr:uid="{B8D1325B-692E-4C55-BA84-7C95C26A00E2}"/>
    <cellStyle name="Notas 2 4 2 2" xfId="672" xr:uid="{30BC9260-39F8-4A9F-ABF3-E983B15189E0}"/>
    <cellStyle name="Notas 2 4 2 3" xfId="1089" xr:uid="{CA8CAB59-E52D-42C2-BE40-1531071B49BD}"/>
    <cellStyle name="Notas 2 4 2 4" xfId="1502" xr:uid="{28DB70B6-4BF2-48A8-B464-8BC7BC8C943F}"/>
    <cellStyle name="Notas 2 4 2 5" xfId="1912" xr:uid="{A88C1E92-013B-4915-956A-5FDA57E7442A}"/>
    <cellStyle name="Notas 2 4 2 6" xfId="2320" xr:uid="{F0B4BCD5-FBE4-4856-BE27-21C56C3F5DF6}"/>
    <cellStyle name="Notas 2 4 3" xfId="475" xr:uid="{90C76FA9-C31B-4691-957A-07E33C9495BF}"/>
    <cellStyle name="Notas 2 4 4" xfId="893" xr:uid="{E38617B5-73D5-4A3B-9220-AA5DD671CCC9}"/>
    <cellStyle name="Notas 2 4 5" xfId="1308" xr:uid="{22AA2E6E-3EC0-426C-B657-65FE12D03A78}"/>
    <cellStyle name="Notas 2 4 6" xfId="1719" xr:uid="{E23E725F-BE30-4A7F-BB36-3471932D2CFC}"/>
    <cellStyle name="Notas 2 4 7" xfId="2127" xr:uid="{0F8AE698-DE03-41F8-A38A-C9DB4F8CB94A}"/>
    <cellStyle name="Notas 2 5" xfId="50" xr:uid="{00000000-0005-0000-0000-000088000000}"/>
    <cellStyle name="Notas 2 5 2" xfId="247" xr:uid="{D46DD86C-82AA-45BD-AFF6-1E3E791F6310}"/>
    <cellStyle name="Notas 2 5 2 2" xfId="681" xr:uid="{8E056651-C18C-4B2B-8CB7-0662AAC153F5}"/>
    <cellStyle name="Notas 2 5 2 3" xfId="1098" xr:uid="{91FB4AC9-90B0-44C4-8F16-6681663F644F}"/>
    <cellStyle name="Notas 2 5 2 4" xfId="1511" xr:uid="{DBF28FAA-3847-4FEC-BBA2-B69E4A165DBF}"/>
    <cellStyle name="Notas 2 5 2 5" xfId="1921" xr:uid="{16294337-91E6-48A2-B854-686504F4D468}"/>
    <cellStyle name="Notas 2 5 2 6" xfId="2329" xr:uid="{6591F97E-3209-42FE-A023-CA04DCDDA700}"/>
    <cellStyle name="Notas 2 5 3" xfId="484" xr:uid="{9700A5A7-EB0A-42B2-ACD3-DA3A306E4DFC}"/>
    <cellStyle name="Notas 2 5 4" xfId="902" xr:uid="{8C503306-133D-43DA-B403-569F87CACC3D}"/>
    <cellStyle name="Notas 2 5 5" xfId="1317" xr:uid="{72A2B0E1-8866-4849-A1C6-A5F69F955211}"/>
    <cellStyle name="Notas 2 5 6" xfId="1728" xr:uid="{F6725D66-117F-42B1-B37F-472C72CEFB89}"/>
    <cellStyle name="Notas 2 5 7" xfId="2136" xr:uid="{1E2F3DA6-4F21-48B9-BAC3-D30074365D33}"/>
    <cellStyle name="Notas 2 6" xfId="62" xr:uid="{00000000-0005-0000-0000-000089000000}"/>
    <cellStyle name="Notas 2 6 2" xfId="259" xr:uid="{16DC81EA-0B1B-4416-9C70-C8B29F9696C1}"/>
    <cellStyle name="Notas 2 6 2 2" xfId="693" xr:uid="{6C1C596E-9C4C-4E6C-B2AA-B564B021E316}"/>
    <cellStyle name="Notas 2 6 2 3" xfId="1110" xr:uid="{6CB2F7E8-54C0-426D-AAD5-44DF365FB3A3}"/>
    <cellStyle name="Notas 2 6 2 4" xfId="1522" xr:uid="{4B352C9C-36C0-46B2-BBB6-794456B87D51}"/>
    <cellStyle name="Notas 2 6 2 5" xfId="1933" xr:uid="{E5A2AF01-5EAA-457A-B852-33CA371D20AE}"/>
    <cellStyle name="Notas 2 6 2 6" xfId="2340" xr:uid="{B9893D5B-76C8-46F2-AD4E-FF477168440B}"/>
    <cellStyle name="Notas 2 6 3" xfId="496" xr:uid="{D70CF261-CC80-4FE3-8738-8E2D8ED19FA8}"/>
    <cellStyle name="Notas 2 6 4" xfId="914" xr:uid="{AFF24F44-8209-4B15-8028-B02094146F39}"/>
    <cellStyle name="Notas 2 6 5" xfId="1328" xr:uid="{099A89E1-0CA1-4EE6-918F-137A02A125D1}"/>
    <cellStyle name="Notas 2 6 6" xfId="1739" xr:uid="{A70CD3EC-EDA5-4A75-A592-4F1ED546B419}"/>
    <cellStyle name="Notas 2 6 7" xfId="2147" xr:uid="{7577273E-FC92-4C18-B6A7-8B5CBF7538A0}"/>
    <cellStyle name="Notas 2 7" xfId="60" xr:uid="{00000000-0005-0000-0000-00008A000000}"/>
    <cellStyle name="Notas 2 7 2" xfId="257" xr:uid="{B5C0D35A-83E8-495B-8AA4-8CBF2D0377F1}"/>
    <cellStyle name="Notas 2 7 2 2" xfId="691" xr:uid="{D2B259A4-B4EF-4A7D-8D62-2224869641E0}"/>
    <cellStyle name="Notas 2 7 2 3" xfId="1108" xr:uid="{61DCFF7D-EAA9-4F02-B421-D8C56A46B358}"/>
    <cellStyle name="Notas 2 7 2 4" xfId="1520" xr:uid="{E577185E-4A1C-477E-93F4-5C7EEE779641}"/>
    <cellStyle name="Notas 2 7 2 5" xfId="1931" xr:uid="{D974F152-B367-44F8-B19F-59817A489127}"/>
    <cellStyle name="Notas 2 7 2 6" xfId="2338" xr:uid="{62BE6B1F-9C4F-4703-AC27-D6F935FE6111}"/>
    <cellStyle name="Notas 2 7 3" xfId="494" xr:uid="{19FB070A-4226-4372-B2DA-1030D121A123}"/>
    <cellStyle name="Notas 2 7 4" xfId="912" xr:uid="{4FEFD82B-3C9B-4B3A-9B85-C562557A01EF}"/>
    <cellStyle name="Notas 2 7 5" xfId="1326" xr:uid="{9765B7EF-F3AE-470A-9DEA-B420857E44BA}"/>
    <cellStyle name="Notas 2 7 6" xfId="1737" xr:uid="{1D67B265-F48E-4960-A8ED-62C53D4CE77D}"/>
    <cellStyle name="Notas 2 7 7" xfId="2145" xr:uid="{1027B86F-2B21-4096-A337-C84E3ABFD38C}"/>
    <cellStyle name="Notas 2 8" xfId="74" xr:uid="{00000000-0005-0000-0000-00008B000000}"/>
    <cellStyle name="Notas 2 8 2" xfId="271" xr:uid="{A3B10A0B-A945-4547-8CA3-C452DDE21967}"/>
    <cellStyle name="Notas 2 8 2 2" xfId="705" xr:uid="{FE2724A6-E6C6-47C2-8B38-4B5D194AB4F1}"/>
    <cellStyle name="Notas 2 8 2 3" xfId="1122" xr:uid="{4D359C26-E603-4F54-B772-FF7270BEC66C}"/>
    <cellStyle name="Notas 2 8 2 4" xfId="1534" xr:uid="{A514C64A-E037-49E3-8E6A-C0F20C745332}"/>
    <cellStyle name="Notas 2 8 2 5" xfId="1945" xr:uid="{8F89EDD0-FF0B-463A-A8E2-776E563385C3}"/>
    <cellStyle name="Notas 2 8 2 6" xfId="2352" xr:uid="{99D39F19-67DC-46EF-A28B-9126CE19E81B}"/>
    <cellStyle name="Notas 2 8 3" xfId="508" xr:uid="{5366F988-3E3F-45EB-A15D-D49619CFE6BF}"/>
    <cellStyle name="Notas 2 8 4" xfId="926" xr:uid="{0A3A0C2A-EF68-4651-920D-79057D928E00}"/>
    <cellStyle name="Notas 2 8 5" xfId="1340" xr:uid="{A85F54EC-A3F4-45D1-8DD8-DDF24DD841D9}"/>
    <cellStyle name="Notas 2 8 6" xfId="1751" xr:uid="{DE1496F8-4ACC-4864-A88F-C8A14EEC09E5}"/>
    <cellStyle name="Notas 2 8 7" xfId="2159" xr:uid="{81A245D8-2A2F-439F-AFD1-9066A47AFE81}"/>
    <cellStyle name="Notas 2 9" xfId="89" xr:uid="{00000000-0005-0000-0000-00008C000000}"/>
    <cellStyle name="Notas 2 9 2" xfId="286" xr:uid="{602DE936-15B0-4F13-B3FE-C490740E728F}"/>
    <cellStyle name="Notas 2 9 2 2" xfId="720" xr:uid="{10FD7348-0565-45B5-8B9A-55B062F5633D}"/>
    <cellStyle name="Notas 2 9 2 3" xfId="1136" xr:uid="{0499DBAB-6219-4CBC-9B9C-CF70C50B70CA}"/>
    <cellStyle name="Notas 2 9 2 4" xfId="1549" xr:uid="{423F835C-956F-4647-946F-6C9976443163}"/>
    <cellStyle name="Notas 2 9 2 5" xfId="1959" xr:uid="{94EA93EB-4AE2-4FA4-8E80-27DB1FA67CDE}"/>
    <cellStyle name="Notas 2 9 2 6" xfId="2366" xr:uid="{370E4871-AD55-49BD-AB24-19A5FF18503E}"/>
    <cellStyle name="Notas 2 9 3" xfId="523" xr:uid="{D1680BF7-473D-4862-B579-8AA5E67148C8}"/>
    <cellStyle name="Notas 2 9 4" xfId="941" xr:uid="{DBE70E34-FD18-40F3-91E9-8C8804D759FA}"/>
    <cellStyle name="Notas 2 9 5" xfId="1354" xr:uid="{B075D18B-D97F-4B94-922B-38FD5586AB98}"/>
    <cellStyle name="Notas 2 9 6" xfId="1765" xr:uid="{717F25BA-737D-4CC0-AE5A-860E4E6555BF}"/>
    <cellStyle name="Notas 2 9 7" xfId="2173" xr:uid="{D1822638-EA7B-44BF-B651-E2FE7C931AD0}"/>
    <cellStyle name="Notas 3" xfId="14" xr:uid="{00000000-0005-0000-0000-00008D000000}"/>
    <cellStyle name="Notas 3 2" xfId="35" xr:uid="{00000000-0005-0000-0000-00008E000000}"/>
    <cellStyle name="Notas 3 2 10" xfId="116" xr:uid="{00000000-0005-0000-0000-00008F000000}"/>
    <cellStyle name="Notas 3 2 10 2" xfId="313" xr:uid="{AE49FB5A-EFFD-4C0D-90CA-88F4D2859E18}"/>
    <cellStyle name="Notas 3 2 10 2 2" xfId="747" xr:uid="{6F299485-DE0C-40BD-8912-146F821D9539}"/>
    <cellStyle name="Notas 3 2 10 2 3" xfId="1163" xr:uid="{EEE267A0-9DDB-402E-B1D0-87DA31FACDF6}"/>
    <cellStyle name="Notas 3 2 10 2 4" xfId="1576" xr:uid="{ED63EE65-5FF8-4064-B3D5-CC529FBDDA33}"/>
    <cellStyle name="Notas 3 2 10 2 5" xfId="1986" xr:uid="{A672852F-478C-4E63-AF93-E7F13EC93540}"/>
    <cellStyle name="Notas 3 2 10 2 6" xfId="2393" xr:uid="{FFEA0E9F-35D5-4053-AAA8-B0FCE9C03A0E}"/>
    <cellStyle name="Notas 3 2 10 3" xfId="550" xr:uid="{94D7DBD8-6EB2-43F4-A41F-0ACA5A1CC494}"/>
    <cellStyle name="Notas 3 2 10 4" xfId="968" xr:uid="{710F6C76-3D7F-4742-A4E8-E890808988CA}"/>
    <cellStyle name="Notas 3 2 10 5" xfId="1381" xr:uid="{C15A1102-0902-46C7-BF67-8CD2DD6E793E}"/>
    <cellStyle name="Notas 3 2 10 6" xfId="1792" xr:uid="{9EB89D49-C819-438F-B780-B0E643F1A6D2}"/>
    <cellStyle name="Notas 3 2 10 7" xfId="2200" xr:uid="{AE3FC724-BDBE-4EE5-A312-7BB99DDB1E85}"/>
    <cellStyle name="Notas 3 2 11" xfId="127" xr:uid="{00000000-0005-0000-0000-000090000000}"/>
    <cellStyle name="Notas 3 2 11 2" xfId="324" xr:uid="{F8453826-8B54-466A-BBE6-0DE5BC239AD0}"/>
    <cellStyle name="Notas 3 2 11 2 2" xfId="758" xr:uid="{6D3942FD-E0D0-4814-BA5E-7D86D8766895}"/>
    <cellStyle name="Notas 3 2 11 2 3" xfId="1174" xr:uid="{26BB57E7-C285-4272-BE05-002FDC4A8D9B}"/>
    <cellStyle name="Notas 3 2 11 2 4" xfId="1587" xr:uid="{EE281806-C902-4B6F-8DEF-1B666BED5AE0}"/>
    <cellStyle name="Notas 3 2 11 2 5" xfId="1997" xr:uid="{37244FCD-B516-4C20-8300-2F94A682580D}"/>
    <cellStyle name="Notas 3 2 11 2 6" xfId="2404" xr:uid="{31AE213C-E89F-44B5-9EC2-C02FF9DAA6F7}"/>
    <cellStyle name="Notas 3 2 11 3" xfId="561" xr:uid="{FE76401B-36D6-4C58-9363-7E7A01839CCA}"/>
    <cellStyle name="Notas 3 2 11 4" xfId="979" xr:uid="{4A4A1023-4C1A-449A-B089-2E07B0C7AD17}"/>
    <cellStyle name="Notas 3 2 11 5" xfId="1392" xr:uid="{F2067AEA-CA9B-4FF5-BCE0-974BDF5410AC}"/>
    <cellStyle name="Notas 3 2 11 6" xfId="1803" xr:uid="{6BF73D0B-8A40-4CA4-BE8A-B7D72142D81B}"/>
    <cellStyle name="Notas 3 2 11 7" xfId="2211" xr:uid="{5F72FCC0-5736-49CB-9222-0974CBC0355D}"/>
    <cellStyle name="Notas 3 2 12" xfId="136" xr:uid="{00000000-0005-0000-0000-000091000000}"/>
    <cellStyle name="Notas 3 2 12 2" xfId="333" xr:uid="{BDFB9D03-0BFA-49C7-96D3-44C3C38FCC89}"/>
    <cellStyle name="Notas 3 2 12 2 2" xfId="767" xr:uid="{5AE5C223-4DF2-442D-B9F0-1A8C6453F38E}"/>
    <cellStyle name="Notas 3 2 12 2 3" xfId="1183" xr:uid="{B3142030-A055-491B-B25B-A7D210CD7711}"/>
    <cellStyle name="Notas 3 2 12 2 4" xfId="1596" xr:uid="{D3AE4A39-FFA8-4888-9F35-EB1D654F5293}"/>
    <cellStyle name="Notas 3 2 12 2 5" xfId="2006" xr:uid="{8C5627D2-9F90-4D0E-A667-E3E7B08D5BEB}"/>
    <cellStyle name="Notas 3 2 12 2 6" xfId="2413" xr:uid="{9DD3B816-D54A-435F-879E-9EEE62DFFFD9}"/>
    <cellStyle name="Notas 3 2 12 3" xfId="570" xr:uid="{AC6CBC90-ED21-461D-8701-D14C82A8B8F5}"/>
    <cellStyle name="Notas 3 2 12 4" xfId="988" xr:uid="{EDFB7169-2A56-4E57-9D7F-DE4DC82881C8}"/>
    <cellStyle name="Notas 3 2 12 5" xfId="1401" xr:uid="{F0FB5F34-8AB0-4AAA-8625-6D6CC6B56A8A}"/>
    <cellStyle name="Notas 3 2 12 6" xfId="1812" xr:uid="{47374F10-B6AD-47B7-906E-E49F676BF79B}"/>
    <cellStyle name="Notas 3 2 12 7" xfId="2220" xr:uid="{B23B9B32-3789-43B1-94A7-A82DFE97A803}"/>
    <cellStyle name="Notas 3 2 13" xfId="143" xr:uid="{00000000-0005-0000-0000-000092000000}"/>
    <cellStyle name="Notas 3 2 13 2" xfId="340" xr:uid="{875D7B2B-74CE-42F0-865A-98D7D88C7B98}"/>
    <cellStyle name="Notas 3 2 13 2 2" xfId="774" xr:uid="{EAC3D242-FE01-4823-8D65-A52691B73BF4}"/>
    <cellStyle name="Notas 3 2 13 2 3" xfId="1190" xr:uid="{A45A78A2-85A5-4318-BB97-19B621A84365}"/>
    <cellStyle name="Notas 3 2 13 2 4" xfId="1603" xr:uid="{926D516B-B2B0-4517-A589-1C129A334CB2}"/>
    <cellStyle name="Notas 3 2 13 2 5" xfId="2013" xr:uid="{D3B1DEFF-4027-464E-9EAD-1474AF379881}"/>
    <cellStyle name="Notas 3 2 13 2 6" xfId="2420" xr:uid="{F7743745-4BED-4B4A-813F-F3F78A4948B0}"/>
    <cellStyle name="Notas 3 2 13 3" xfId="577" xr:uid="{F34A0964-E06C-46E5-9C17-E3E6ECD6488E}"/>
    <cellStyle name="Notas 3 2 13 4" xfId="995" xr:uid="{7922C06D-46B6-44B3-9B4C-88C5A3327C44}"/>
    <cellStyle name="Notas 3 2 13 5" xfId="1408" xr:uid="{FD4B93F1-66EB-4C7A-B402-04DD259202D2}"/>
    <cellStyle name="Notas 3 2 13 6" xfId="1819" xr:uid="{2D191C39-72A1-4E0F-B2A1-7AF0F5F3C2B1}"/>
    <cellStyle name="Notas 3 2 13 7" xfId="2227" xr:uid="{F13B3F03-E144-490F-A89F-776317A68365}"/>
    <cellStyle name="Notas 3 2 14" xfId="152" xr:uid="{00000000-0005-0000-0000-000093000000}"/>
    <cellStyle name="Notas 3 2 14 2" xfId="349" xr:uid="{85E16EE0-A7E6-4E83-AD79-80984E82F6FE}"/>
    <cellStyle name="Notas 3 2 14 2 2" xfId="783" xr:uid="{693BD6B9-6F48-4BF1-B9F9-48C436718894}"/>
    <cellStyle name="Notas 3 2 14 2 3" xfId="1199" xr:uid="{4A83E90F-23B3-4760-BDAC-76F02153E2BA}"/>
    <cellStyle name="Notas 3 2 14 2 4" xfId="1612" xr:uid="{617E05AE-2B97-4533-94EC-A01B155AD09B}"/>
    <cellStyle name="Notas 3 2 14 2 5" xfId="2022" xr:uid="{35B8BCF6-A166-4D57-8024-551BB2F0DDB6}"/>
    <cellStyle name="Notas 3 2 14 2 6" xfId="2429" xr:uid="{56A8B3CC-2CFD-418B-8F3C-4A914E39854F}"/>
    <cellStyle name="Notas 3 2 14 3" xfId="586" xr:uid="{009BE35E-F8C8-452D-9E3B-62C288D523EC}"/>
    <cellStyle name="Notas 3 2 14 4" xfId="1004" xr:uid="{3E69B34D-29D5-434B-90DF-9555ED2B81D3}"/>
    <cellStyle name="Notas 3 2 14 5" xfId="1417" xr:uid="{7984C894-23A5-40BB-8998-9D8521A781D7}"/>
    <cellStyle name="Notas 3 2 14 6" xfId="1828" xr:uid="{61D55CF5-5AE6-462C-A710-0BE1B788EC48}"/>
    <cellStyle name="Notas 3 2 14 7" xfId="2236" xr:uid="{9C1AB666-EDBD-479E-B493-331B8B86CEDC}"/>
    <cellStyle name="Notas 3 2 15" xfId="157" xr:uid="{00000000-0005-0000-0000-000094000000}"/>
    <cellStyle name="Notas 3 2 15 2" xfId="354" xr:uid="{3378804C-1767-49A7-9165-5E39B9CD018A}"/>
    <cellStyle name="Notas 3 2 15 2 2" xfId="788" xr:uid="{FC21B329-5F41-45F6-BB5A-83B77039D800}"/>
    <cellStyle name="Notas 3 2 15 2 3" xfId="1204" xr:uid="{D9F87AFA-7ADF-4255-90E2-AB9EDFB176D5}"/>
    <cellStyle name="Notas 3 2 15 2 4" xfId="1617" xr:uid="{90A6423F-06DE-409B-81AA-243922723B7C}"/>
    <cellStyle name="Notas 3 2 15 2 5" xfId="2027" xr:uid="{0A34F47C-D0C7-4983-ABEB-3E0214D35C33}"/>
    <cellStyle name="Notas 3 2 15 2 6" xfId="2434" xr:uid="{3AFB6F24-B962-4942-8F07-F63885C0C1E6}"/>
    <cellStyle name="Notas 3 2 15 3" xfId="591" xr:uid="{2EF0F954-E300-4576-8326-7D6D4BD2C230}"/>
    <cellStyle name="Notas 3 2 15 4" xfId="1009" xr:uid="{D2D263A0-E2DC-4066-89D3-60EF514BE1E0}"/>
    <cellStyle name="Notas 3 2 15 5" xfId="1422" xr:uid="{C190ED66-E344-4B19-B2EB-4A9D1642BC58}"/>
    <cellStyle name="Notas 3 2 15 6" xfId="1833" xr:uid="{735179FB-18F1-4581-AEEF-B315E7D7C1DF}"/>
    <cellStyle name="Notas 3 2 15 7" xfId="2241" xr:uid="{0C65D558-09D7-44F2-84E0-9272F549AC58}"/>
    <cellStyle name="Notas 3 2 16" xfId="167" xr:uid="{458DDFAD-D9F6-4D59-AAF1-9ABAEB1430E7}"/>
    <cellStyle name="Notas 3 2 16 2" xfId="364" xr:uid="{41E6FFFB-0387-4757-AFB3-E29740A14C50}"/>
    <cellStyle name="Notas 3 2 16 2 2" xfId="798" xr:uid="{58176FDC-B190-4A13-BAE6-1A1D14E37D9C}"/>
    <cellStyle name="Notas 3 2 16 2 3" xfId="1213" xr:uid="{E3225033-C4F5-44E7-8ECD-DF4B410BE56F}"/>
    <cellStyle name="Notas 3 2 16 2 4" xfId="1626" xr:uid="{842416F2-8770-41B8-934A-C43CB8A278A0}"/>
    <cellStyle name="Notas 3 2 16 2 5" xfId="2036" xr:uid="{C0F82A18-4754-4454-B81D-056094639F14}"/>
    <cellStyle name="Notas 3 2 16 2 6" xfId="2443" xr:uid="{6F2AEEA1-038E-4B2C-83DC-AD86867A2FC7}"/>
    <cellStyle name="Notas 3 2 16 3" xfId="601" xr:uid="{CC65614F-1475-4E51-BB69-767E333DE11F}"/>
    <cellStyle name="Notas 3 2 16 4" xfId="1019" xr:uid="{DD0E8A3B-1EFF-46FE-84A2-6E981C95D7C0}"/>
    <cellStyle name="Notas 3 2 16 5" xfId="1432" xr:uid="{893772D9-3A4B-4FD4-BF7F-FD55FFF6DA35}"/>
    <cellStyle name="Notas 3 2 16 6" xfId="1842" xr:uid="{6FDADD91-6C4D-4C0F-9D2A-20B95F6BD03A}"/>
    <cellStyle name="Notas 3 2 16 7" xfId="2250" xr:uid="{DA2799EC-CA4F-4217-AB95-BCCE740F61FC}"/>
    <cellStyle name="Notas 3 2 17" xfId="174" xr:uid="{6138AD7F-8E8F-4894-822A-40CF10A325D3}"/>
    <cellStyle name="Notas 3 2 17 2" xfId="371" xr:uid="{7658B938-F032-4944-BD5F-BEB2DECF4AD5}"/>
    <cellStyle name="Notas 3 2 17 2 2" xfId="805" xr:uid="{BD6FDA43-8371-4ED1-A8D3-117FFEF25D04}"/>
    <cellStyle name="Notas 3 2 17 2 3" xfId="1220" xr:uid="{04BC1055-E7C9-4E5D-A502-84AA4D8FD11A}"/>
    <cellStyle name="Notas 3 2 17 2 4" xfId="1633" xr:uid="{F97F3CEA-E711-4DA4-8979-E67EAB5913BC}"/>
    <cellStyle name="Notas 3 2 17 2 5" xfId="2043" xr:uid="{A66059B0-D2BF-4EC8-BF48-820EBB1D8050}"/>
    <cellStyle name="Notas 3 2 17 2 6" xfId="2450" xr:uid="{1FD7DA75-04C5-46C9-8329-5C8B5D8F3FF1}"/>
    <cellStyle name="Notas 3 2 17 3" xfId="608" xr:uid="{08BD659D-D4C6-4767-A455-DF45D1E19EF1}"/>
    <cellStyle name="Notas 3 2 17 4" xfId="1026" xr:uid="{587D23DA-78A3-4B66-8A7D-97E331CB4795}"/>
    <cellStyle name="Notas 3 2 17 5" xfId="1439" xr:uid="{7C291010-3B88-4E57-88CF-E5B9AC016F5B}"/>
    <cellStyle name="Notas 3 2 17 6" xfId="1849" xr:uid="{90EE35DA-D235-4B00-849C-F78BFC012B08}"/>
    <cellStyle name="Notas 3 2 17 7" xfId="2257" xr:uid="{02F3B1DC-F9AF-4532-BC45-EF3D329DE5BB}"/>
    <cellStyle name="Notas 3 2 18" xfId="184" xr:uid="{E86CAD0A-8A00-402C-8522-EDF18CB7E214}"/>
    <cellStyle name="Notas 3 2 18 2" xfId="381" xr:uid="{4201F385-4EDC-4562-82ED-08B8A695587B}"/>
    <cellStyle name="Notas 3 2 18 2 2" xfId="815" xr:uid="{D4A71E4D-814B-4DB9-85A9-D91D1B9A4752}"/>
    <cellStyle name="Notas 3 2 18 2 3" xfId="1230" xr:uid="{7E0B8F02-2355-4FD7-BBE4-9EAF9659A34D}"/>
    <cellStyle name="Notas 3 2 18 2 4" xfId="1643" xr:uid="{42799BFE-B0D2-40AF-9398-9267CEAF4FFA}"/>
    <cellStyle name="Notas 3 2 18 2 5" xfId="2053" xr:uid="{4AF02D79-B197-4F11-AA42-DA7BFD99E50C}"/>
    <cellStyle name="Notas 3 2 18 2 6" xfId="2460" xr:uid="{18011CDB-3F33-4223-9EF1-23D5190117F6}"/>
    <cellStyle name="Notas 3 2 18 3" xfId="618" xr:uid="{6C879722-9190-44AA-AB14-942484692D08}"/>
    <cellStyle name="Notas 3 2 18 4" xfId="1036" xr:uid="{4671F226-28DE-4E05-8589-3AF905B04C5B}"/>
    <cellStyle name="Notas 3 2 18 5" xfId="1449" xr:uid="{87B02103-E633-45BD-9183-5B78BAC0281A}"/>
    <cellStyle name="Notas 3 2 18 6" xfId="1859" xr:uid="{6F5B7ABB-43DA-4A27-BC1E-E9FAA4817413}"/>
    <cellStyle name="Notas 3 2 18 7" xfId="2267" xr:uid="{5FCA8D6C-7466-4059-9D27-E90F63F028ED}"/>
    <cellStyle name="Notas 3 2 19" xfId="194" xr:uid="{DDFC4E4C-7C24-49D9-8099-5BCD706B868E}"/>
    <cellStyle name="Notas 3 2 19 2" xfId="391" xr:uid="{1F88C704-6C8D-4C4B-A219-277E339AD886}"/>
    <cellStyle name="Notas 3 2 19 2 2" xfId="825" xr:uid="{293B4C2A-0CA9-4E4B-87FF-211B975C3E3F}"/>
    <cellStyle name="Notas 3 2 19 2 3" xfId="1240" xr:uid="{DD62B886-FED9-47B4-B6A9-397F538B7111}"/>
    <cellStyle name="Notas 3 2 19 2 4" xfId="1653" xr:uid="{C9EECFD5-A1C2-4CCC-A944-89F9924ACD3D}"/>
    <cellStyle name="Notas 3 2 19 2 5" xfId="2063" xr:uid="{14FE9CE8-6B1A-4DF1-B4E1-DEDBF731DDDF}"/>
    <cellStyle name="Notas 3 2 19 2 6" xfId="2470" xr:uid="{B6852FBC-EEA7-4D47-9054-13A142EE088F}"/>
    <cellStyle name="Notas 3 2 19 3" xfId="628" xr:uid="{7720EA07-0B8F-4CC3-81D0-FE377A178B35}"/>
    <cellStyle name="Notas 3 2 19 4" xfId="1046" xr:uid="{4674B1A2-045E-43B6-800A-9EB1A528D8BA}"/>
    <cellStyle name="Notas 3 2 19 5" xfId="1459" xr:uid="{9CF11E41-5331-4318-BBA3-931BF78C6BF0}"/>
    <cellStyle name="Notas 3 2 19 6" xfId="1869" xr:uid="{2F469015-2240-48C6-8B90-49A5272B3220}"/>
    <cellStyle name="Notas 3 2 19 7" xfId="2277" xr:uid="{EEA21DDB-9D5E-4B3B-8BE4-A691C56A9062}"/>
    <cellStyle name="Notas 3 2 2" xfId="53" xr:uid="{00000000-0005-0000-0000-000095000000}"/>
    <cellStyle name="Notas 3 2 2 10" xfId="487" xr:uid="{C4800D0E-4375-4F55-8A1E-048A742C8B52}"/>
    <cellStyle name="Notas 3 2 2 11" xfId="905" xr:uid="{B4CA35D4-1F50-47D7-8CD7-7DA4897560E5}"/>
    <cellStyle name="Notas 3 2 2 12" xfId="1319" xr:uid="{A99D6E54-BA9E-4C17-93D9-6C187D8461F5}"/>
    <cellStyle name="Notas 3 2 2 13" xfId="1730" xr:uid="{04C4E274-4DB9-4C8B-A24C-4849C2CE1D44}"/>
    <cellStyle name="Notas 3 2 2 14" xfId="2138" xr:uid="{2ECF929C-4F2D-4FB8-9E5F-C8CD3E6F551C}"/>
    <cellStyle name="Notas 3 2 2 2" xfId="169" xr:uid="{FFB16E10-E6EA-446F-9E0D-27166C59AEE3}"/>
    <cellStyle name="Notas 3 2 2 2 2" xfId="366" xr:uid="{844BB9AC-CB1F-4F9A-BAB6-184B5C89A36C}"/>
    <cellStyle name="Notas 3 2 2 2 2 2" xfId="800" xr:uid="{7D468C67-85BE-481F-80D6-DE7C90C57C8C}"/>
    <cellStyle name="Notas 3 2 2 2 2 3" xfId="1215" xr:uid="{B2B44DAB-31D1-473F-A8F8-410A297CC73A}"/>
    <cellStyle name="Notas 3 2 2 2 2 4" xfId="1628" xr:uid="{1B5E7F0D-6E56-468C-AA3F-CFE9383771E6}"/>
    <cellStyle name="Notas 3 2 2 2 2 5" xfId="2038" xr:uid="{C012AC7B-6B4B-41C8-A4E1-1DD85F4108E4}"/>
    <cellStyle name="Notas 3 2 2 2 2 6" xfId="2445" xr:uid="{D61E0115-32D4-4DCF-A78B-4944988108C0}"/>
    <cellStyle name="Notas 3 2 2 2 3" xfId="603" xr:uid="{12B308A9-F2C0-4DC6-A1C7-D545523CAD90}"/>
    <cellStyle name="Notas 3 2 2 2 4" xfId="1021" xr:uid="{0B1F9E02-B27D-4786-9914-7E6184DDEA42}"/>
    <cellStyle name="Notas 3 2 2 2 5" xfId="1434" xr:uid="{05753FC3-35D7-42C8-9502-76426B59E14C}"/>
    <cellStyle name="Notas 3 2 2 2 6" xfId="1844" xr:uid="{23C735F6-72D2-450E-A260-ED5C4AB11BFF}"/>
    <cellStyle name="Notas 3 2 2 2 7" xfId="2252" xr:uid="{FA396E15-1AA9-49AF-9FB6-515402B74BE6}"/>
    <cellStyle name="Notas 3 2 2 3" xfId="175" xr:uid="{F1AA91E8-8326-4F99-BB1B-317FD8AB93D2}"/>
    <cellStyle name="Notas 3 2 2 3 2" xfId="372" xr:uid="{E0B0A4C8-89F9-419F-B551-EE81F54691A6}"/>
    <cellStyle name="Notas 3 2 2 3 2 2" xfId="806" xr:uid="{3F33E20E-131C-4DF3-A6DA-878AD559C0F4}"/>
    <cellStyle name="Notas 3 2 2 3 2 3" xfId="1221" xr:uid="{C38FA365-608C-4372-A110-98062ADE9BC8}"/>
    <cellStyle name="Notas 3 2 2 3 2 4" xfId="1634" xr:uid="{3DA588CE-97E2-403F-9736-652DE79D5102}"/>
    <cellStyle name="Notas 3 2 2 3 2 5" xfId="2044" xr:uid="{06413691-63BC-410C-AC7C-959064CC0D3D}"/>
    <cellStyle name="Notas 3 2 2 3 2 6" xfId="2451" xr:uid="{C3CF928C-D674-43AD-A82B-ABE89C91658F}"/>
    <cellStyle name="Notas 3 2 2 3 3" xfId="609" xr:uid="{99EED540-5EFA-43D0-BDCE-6D72F546FC28}"/>
    <cellStyle name="Notas 3 2 2 3 4" xfId="1027" xr:uid="{E8A6298A-7759-4605-8B82-A3559389FE6A}"/>
    <cellStyle name="Notas 3 2 2 3 5" xfId="1440" xr:uid="{C00BE81F-2AF6-4D98-AD57-6050A867B0C6}"/>
    <cellStyle name="Notas 3 2 2 3 6" xfId="1850" xr:uid="{62C64A75-0A52-4FFE-AC53-25F3143CC060}"/>
    <cellStyle name="Notas 3 2 2 3 7" xfId="2258" xr:uid="{436AD3B5-A62F-4C0D-980F-625D88006861}"/>
    <cellStyle name="Notas 3 2 2 4" xfId="185" xr:uid="{FD45B187-64C2-4598-AB40-AC0A07E4D80B}"/>
    <cellStyle name="Notas 3 2 2 4 2" xfId="382" xr:uid="{AC8826C8-A862-424E-AE44-DD1A273943ED}"/>
    <cellStyle name="Notas 3 2 2 4 2 2" xfId="816" xr:uid="{928DB6C1-BB0B-4926-8458-800746610D2C}"/>
    <cellStyle name="Notas 3 2 2 4 2 3" xfId="1231" xr:uid="{C20A7ED0-1045-4DF8-9740-528CEF33E2E8}"/>
    <cellStyle name="Notas 3 2 2 4 2 4" xfId="1644" xr:uid="{F03020EC-A6F3-4933-9B08-EA09E73E0C9A}"/>
    <cellStyle name="Notas 3 2 2 4 2 5" xfId="2054" xr:uid="{D9BCFABE-D0A3-4625-96DE-8EA1862CF74B}"/>
    <cellStyle name="Notas 3 2 2 4 2 6" xfId="2461" xr:uid="{E6FCA86E-55FB-4422-8590-AC802B682A1D}"/>
    <cellStyle name="Notas 3 2 2 4 3" xfId="619" xr:uid="{A93E2A7A-7AA7-4CCD-A743-FD5F01AD06AE}"/>
    <cellStyle name="Notas 3 2 2 4 4" xfId="1037" xr:uid="{96358BE2-4D51-4613-9169-9E171D1ECA13}"/>
    <cellStyle name="Notas 3 2 2 4 5" xfId="1450" xr:uid="{009CA749-9DEF-412D-8377-553C1F812E45}"/>
    <cellStyle name="Notas 3 2 2 4 6" xfId="1860" xr:uid="{2580B2FB-D0C5-4DAB-B80F-01B41720E50C}"/>
    <cellStyle name="Notas 3 2 2 4 7" xfId="2268" xr:uid="{1A9AFA3D-ED62-4238-B773-4B6178377247}"/>
    <cellStyle name="Notas 3 2 2 5" xfId="195" xr:uid="{03A69184-120B-4DE2-B8D7-A68D921F738B}"/>
    <cellStyle name="Notas 3 2 2 5 2" xfId="392" xr:uid="{683DD475-1625-4026-9F9F-CA4EE0217933}"/>
    <cellStyle name="Notas 3 2 2 5 2 2" xfId="826" xr:uid="{C16E599F-031D-4F57-8D7B-8E53825BBBB9}"/>
    <cellStyle name="Notas 3 2 2 5 2 3" xfId="1241" xr:uid="{C4D836EF-B01E-4782-9A26-DFF639716C9D}"/>
    <cellStyle name="Notas 3 2 2 5 2 4" xfId="1654" xr:uid="{E622F1E7-195E-46DD-B247-665AFAC2595B}"/>
    <cellStyle name="Notas 3 2 2 5 2 5" xfId="2064" xr:uid="{FC17C4B5-AB2B-4BF7-8909-08A3A7D999AD}"/>
    <cellStyle name="Notas 3 2 2 5 2 6" xfId="2471" xr:uid="{4931AD9D-87F0-49E7-8757-12ACC07D76AB}"/>
    <cellStyle name="Notas 3 2 2 5 3" xfId="629" xr:uid="{6DF166FD-16FF-4227-ABA0-447A62F3EE0D}"/>
    <cellStyle name="Notas 3 2 2 5 4" xfId="1047" xr:uid="{A187FA8C-25E3-49C7-88E1-A290951553C5}"/>
    <cellStyle name="Notas 3 2 2 5 5" xfId="1460" xr:uid="{11F3997D-CF55-4601-9A69-CFB4917BFB43}"/>
    <cellStyle name="Notas 3 2 2 5 6" xfId="1870" xr:uid="{9CE0F993-3B8B-444F-B353-D9277520BB1F}"/>
    <cellStyle name="Notas 3 2 2 5 7" xfId="2278" xr:uid="{4EC55E03-D03D-4735-A5C2-40F9B39A8E2C}"/>
    <cellStyle name="Notas 3 2 2 6" xfId="205" xr:uid="{9771BD2E-C172-4209-9824-1EF212E9C27A}"/>
    <cellStyle name="Notas 3 2 2 6 2" xfId="402" xr:uid="{6445CDF4-5932-4B12-8C02-22214A5989D2}"/>
    <cellStyle name="Notas 3 2 2 6 2 2" xfId="836" xr:uid="{E2EB644A-588D-403A-A1CC-74BBFB493C04}"/>
    <cellStyle name="Notas 3 2 2 6 2 3" xfId="1251" xr:uid="{5DDB9EC5-4B54-4FEE-AD2C-7165CE5AA43A}"/>
    <cellStyle name="Notas 3 2 2 6 2 4" xfId="1664" xr:uid="{5D2EE864-0F1D-4C86-BD30-196586E753C1}"/>
    <cellStyle name="Notas 3 2 2 6 2 5" xfId="2074" xr:uid="{888886B9-D46E-4504-AF07-F0E6C3416AA3}"/>
    <cellStyle name="Notas 3 2 2 6 2 6" xfId="2481" xr:uid="{1A62007E-A35B-4015-96AD-4A7AFBDAA7BD}"/>
    <cellStyle name="Notas 3 2 2 6 3" xfId="639" xr:uid="{CF8FE70F-9095-49D9-9D19-D917BFB15FA8}"/>
    <cellStyle name="Notas 3 2 2 6 4" xfId="1057" xr:uid="{413F12B0-3861-435A-A583-F3DC7FB4A52B}"/>
    <cellStyle name="Notas 3 2 2 6 5" xfId="1470" xr:uid="{4362DFE4-F120-4CBE-9D0C-A0C6FD48915C}"/>
    <cellStyle name="Notas 3 2 2 6 6" xfId="1880" xr:uid="{163C2D4A-D49D-4087-B01D-0166476AB0AC}"/>
    <cellStyle name="Notas 3 2 2 6 7" xfId="2288" xr:uid="{237D7D9D-0ACF-4152-8106-1554AA814676}"/>
    <cellStyle name="Notas 3 2 2 7" xfId="218" xr:uid="{8FD21BC7-67BA-41B7-9C9C-DD36B0CB9D0B}"/>
    <cellStyle name="Notas 3 2 2 7 2" xfId="415" xr:uid="{097DC34C-429C-459D-870F-087FF94ACE10}"/>
    <cellStyle name="Notas 3 2 2 7 2 2" xfId="849" xr:uid="{1269FA83-5F70-4EA9-A344-484C956730A9}"/>
    <cellStyle name="Notas 3 2 2 7 2 3" xfId="1264" xr:uid="{51632A53-85A3-45A1-9998-F0B0A156FE3E}"/>
    <cellStyle name="Notas 3 2 2 7 2 4" xfId="1677" xr:uid="{A74AD121-41A7-4C29-9F88-46067DF0ACDC}"/>
    <cellStyle name="Notas 3 2 2 7 2 5" xfId="2087" xr:uid="{C3F01DA0-0FC4-4485-92D9-C4D7EDD909F0}"/>
    <cellStyle name="Notas 3 2 2 7 2 6" xfId="2494" xr:uid="{5BC2DBC6-3628-4331-8889-4386A65BD0AB}"/>
    <cellStyle name="Notas 3 2 2 7 3" xfId="652" xr:uid="{0814BE18-77A4-4617-AC1F-26C1FEBE988B}"/>
    <cellStyle name="Notas 3 2 2 7 4" xfId="1070" xr:uid="{EF9BD627-07C0-4F00-A68A-0DDF590BAA69}"/>
    <cellStyle name="Notas 3 2 2 7 5" xfId="1483" xr:uid="{78397A49-71AE-4C37-A514-CC63764DA32D}"/>
    <cellStyle name="Notas 3 2 2 7 6" xfId="1893" xr:uid="{2ADC35C6-E653-4BCB-8A96-5C0878CC1BDF}"/>
    <cellStyle name="Notas 3 2 2 7 7" xfId="2301" xr:uid="{2C0A549B-BFD1-4C97-BBCF-A96CB49DFFB5}"/>
    <cellStyle name="Notas 3 2 2 8" xfId="223" xr:uid="{C37F22A4-79DC-42D7-B3A0-683EBD507D2E}"/>
    <cellStyle name="Notas 3 2 2 8 2" xfId="420" xr:uid="{6EB9C533-A021-4803-9EC2-0361258E0EA8}"/>
    <cellStyle name="Notas 3 2 2 8 2 2" xfId="854" xr:uid="{0CE33634-FFDD-4D56-A41F-4D308F086E17}"/>
    <cellStyle name="Notas 3 2 2 8 2 3" xfId="1269" xr:uid="{EA6E44A3-8BB1-41BD-8E8B-C8F2529C2ABB}"/>
    <cellStyle name="Notas 3 2 2 8 2 4" xfId="1682" xr:uid="{04B96CF8-27EC-4368-91A4-74CC20FF80A7}"/>
    <cellStyle name="Notas 3 2 2 8 2 5" xfId="2092" xr:uid="{E17615F8-C4C0-42C5-BE46-F0916817BA19}"/>
    <cellStyle name="Notas 3 2 2 8 2 6" xfId="2499" xr:uid="{0BADFE07-0A40-4D92-A941-5FE3B8D87975}"/>
    <cellStyle name="Notas 3 2 2 8 3" xfId="657" xr:uid="{404D4DCB-25F3-4751-8C2B-546A331560A1}"/>
    <cellStyle name="Notas 3 2 2 8 4" xfId="1075" xr:uid="{382C8299-D369-4611-87ED-95794A471BAC}"/>
    <cellStyle name="Notas 3 2 2 8 5" xfId="1488" xr:uid="{578313BC-F981-4477-911C-532A49844807}"/>
    <cellStyle name="Notas 3 2 2 8 6" xfId="1898" xr:uid="{916D73F4-1157-4625-BE81-BCBA634F008A}"/>
    <cellStyle name="Notas 3 2 2 8 7" xfId="2306" xr:uid="{B514C9EB-475F-41D0-BBE6-0C39FAB1CC97}"/>
    <cellStyle name="Notas 3 2 2 9" xfId="250" xr:uid="{51CED234-3375-4DFA-9DC1-F3F774FA90C2}"/>
    <cellStyle name="Notas 3 2 2 9 2" xfId="684" xr:uid="{6659CA44-874D-466E-8601-846F9C1A3D1E}"/>
    <cellStyle name="Notas 3 2 2 9 3" xfId="1101" xr:uid="{8845AB5D-C652-40D0-87C2-37F47301C44D}"/>
    <cellStyle name="Notas 3 2 2 9 4" xfId="1513" xr:uid="{67514B0C-1CA8-4532-99CF-36E9D30A76D7}"/>
    <cellStyle name="Notas 3 2 2 9 5" xfId="1924" xr:uid="{1C488F7A-0868-4058-A679-9A1C4FBA3D5F}"/>
    <cellStyle name="Notas 3 2 2 9 6" xfId="2331" xr:uid="{C8DE254A-4893-47E1-AA2C-06CC8DF555EB}"/>
    <cellStyle name="Notas 3 2 20" xfId="204" xr:uid="{B859FC21-7532-4895-8E00-6C8BB9F58D6F}"/>
    <cellStyle name="Notas 3 2 20 2" xfId="401" xr:uid="{6A23501E-9AFF-4F1D-98FE-CF1F665266E0}"/>
    <cellStyle name="Notas 3 2 20 2 2" xfId="835" xr:uid="{37485594-284B-4D68-AE42-418B1D7928E9}"/>
    <cellStyle name="Notas 3 2 20 2 3" xfId="1250" xr:uid="{F4988412-15BD-4BC8-AA53-023949F38E2B}"/>
    <cellStyle name="Notas 3 2 20 2 4" xfId="1663" xr:uid="{CD6C1CE0-DB63-49BB-895E-494146FF81A1}"/>
    <cellStyle name="Notas 3 2 20 2 5" xfId="2073" xr:uid="{C57DA236-8F78-4692-BB5C-E48966053003}"/>
    <cellStyle name="Notas 3 2 20 2 6" xfId="2480" xr:uid="{9EEAF177-5F0E-4A1C-8440-CDDB5A0273EB}"/>
    <cellStyle name="Notas 3 2 20 3" xfId="638" xr:uid="{9DE3C6DC-7877-496C-9FC1-37B2934135C3}"/>
    <cellStyle name="Notas 3 2 20 4" xfId="1056" xr:uid="{8AF41AFC-B434-4020-98D6-C7BD8A73527E}"/>
    <cellStyle name="Notas 3 2 20 5" xfId="1469" xr:uid="{B72C8F52-8012-4C83-AD4F-0E58C3836830}"/>
    <cellStyle name="Notas 3 2 20 6" xfId="1879" xr:uid="{AB9B51DA-13BD-47D6-8816-A9371B55BA15}"/>
    <cellStyle name="Notas 3 2 20 7" xfId="2287" xr:uid="{01D3446D-FAE8-455B-BE25-A8426052F43C}"/>
    <cellStyle name="Notas 3 2 21" xfId="217" xr:uid="{9A9EBAB2-89D4-4629-A240-1282DF101A73}"/>
    <cellStyle name="Notas 3 2 21 2" xfId="414" xr:uid="{ED1D91F1-EB93-47AD-B2B1-9270B565DA0D}"/>
    <cellStyle name="Notas 3 2 21 2 2" xfId="848" xr:uid="{A67424F9-C8A0-4C7E-B032-749A953B9E54}"/>
    <cellStyle name="Notas 3 2 21 2 3" xfId="1263" xr:uid="{B30B64CD-FD8C-4C9B-8959-0B7B1340F7E0}"/>
    <cellStyle name="Notas 3 2 21 2 4" xfId="1676" xr:uid="{13CD3344-9ED5-45C3-9750-938B5A5D9DAC}"/>
    <cellStyle name="Notas 3 2 21 2 5" xfId="2086" xr:uid="{58F5E6C4-CA55-4D9D-B394-DB4C8CD741FA}"/>
    <cellStyle name="Notas 3 2 21 2 6" xfId="2493" xr:uid="{39791342-D726-4A51-8F6F-F388F0E5A6BC}"/>
    <cellStyle name="Notas 3 2 21 3" xfId="651" xr:uid="{5CAA7290-A9CD-4A78-9304-0C57D6598A18}"/>
    <cellStyle name="Notas 3 2 21 4" xfId="1069" xr:uid="{86C039A7-035A-4D43-920D-6C680EAFE01B}"/>
    <cellStyle name="Notas 3 2 21 5" xfId="1482" xr:uid="{191ED29A-308B-4AA3-8B7B-F227683A2D64}"/>
    <cellStyle name="Notas 3 2 21 6" xfId="1892" xr:uid="{91F8B49B-3EA6-4549-ACC3-9000644349D2}"/>
    <cellStyle name="Notas 3 2 21 7" xfId="2300" xr:uid="{64B6F81F-CDEE-4D0C-8666-82B6DE45AA4A}"/>
    <cellStyle name="Notas 3 2 22" xfId="222" xr:uid="{0141FF48-151A-403D-8B1C-853BF6124E88}"/>
    <cellStyle name="Notas 3 2 22 2" xfId="419" xr:uid="{3B08E7A3-9D65-4F9D-B22E-ECFE684C6463}"/>
    <cellStyle name="Notas 3 2 22 2 2" xfId="853" xr:uid="{F5E1B778-9236-4488-9969-04AF8CC6EE06}"/>
    <cellStyle name="Notas 3 2 22 2 3" xfId="1268" xr:uid="{603E1036-6E7A-48F9-AA05-912A4B9E9973}"/>
    <cellStyle name="Notas 3 2 22 2 4" xfId="1681" xr:uid="{94CD886C-A201-416D-A164-247EE2C44892}"/>
    <cellStyle name="Notas 3 2 22 2 5" xfId="2091" xr:uid="{EE7BCF07-A5F5-4DCD-A1E0-BEF53F490AA4}"/>
    <cellStyle name="Notas 3 2 22 2 6" xfId="2498" xr:uid="{E03713A4-FAA6-44C7-9285-7AF184D32B44}"/>
    <cellStyle name="Notas 3 2 22 3" xfId="656" xr:uid="{366B7014-CE35-411C-AA6D-5FBCC4805CA6}"/>
    <cellStyle name="Notas 3 2 22 4" xfId="1074" xr:uid="{2B22730F-97B2-46D9-86AF-0D8D98B2C97F}"/>
    <cellStyle name="Notas 3 2 22 5" xfId="1487" xr:uid="{2C8EBD08-FA06-4F81-9ED1-6710D5412C54}"/>
    <cellStyle name="Notas 3 2 22 6" xfId="1897" xr:uid="{B0CE514B-15FE-4E74-BCA0-4C22112B6D5C}"/>
    <cellStyle name="Notas 3 2 22 7" xfId="2305" xr:uid="{4631655A-C256-49B6-ACD4-B69FA1D3911C}"/>
    <cellStyle name="Notas 3 2 23" xfId="233" xr:uid="{2E6FA1F4-105C-4EA6-AB57-E709A6EB73E6}"/>
    <cellStyle name="Notas 3 2 23 2" xfId="667" xr:uid="{B04DE57E-EEA7-4702-B680-F1E0BCC86633}"/>
    <cellStyle name="Notas 3 2 23 3" xfId="1084" xr:uid="{447B344E-7B80-44F3-A7C2-C88E4A03713F}"/>
    <cellStyle name="Notas 3 2 23 4" xfId="1497" xr:uid="{A315123F-051E-477F-8AD9-E968D80C4694}"/>
    <cellStyle name="Notas 3 2 23 5" xfId="1907" xr:uid="{E3CE7A4B-34D8-4F32-9049-6386BDDA2E34}"/>
    <cellStyle name="Notas 3 2 23 6" xfId="2315" xr:uid="{EB074DD7-6844-4D6B-9890-947F420B010E}"/>
    <cellStyle name="Notas 3 2 24" xfId="430" xr:uid="{58CBAAC1-7346-44FA-85A6-8B22AF087E5D}"/>
    <cellStyle name="Notas 3 2 24 2" xfId="864" xr:uid="{9D9E589E-E371-458C-B5F3-692C6FE356C4}"/>
    <cellStyle name="Notas 3 2 24 3" xfId="1278" xr:uid="{9D9941D5-567A-4CA9-AB36-C6EFBEB5835F}"/>
    <cellStyle name="Notas 3 2 24 4" xfId="1692" xr:uid="{E90DCF19-9749-48FB-8B47-12889E0AFA56}"/>
    <cellStyle name="Notas 3 2 24 5" xfId="2102" xr:uid="{018ABD9D-2D05-4E47-B03C-F834335DDFA4}"/>
    <cellStyle name="Notas 3 2 24 6" xfId="2508" xr:uid="{5CAA83C9-F81C-4519-A64C-FDEF47DEF638}"/>
    <cellStyle name="Notas 3 2 25" xfId="446" xr:uid="{3FC3715E-5EE2-47C6-9B38-5E89F6659CF7}"/>
    <cellStyle name="Notas 3 2 25 2" xfId="880" xr:uid="{E18F9330-943D-4920-8596-667ADEB5FBD0}"/>
    <cellStyle name="Notas 3 2 25 3" xfId="1294" xr:uid="{E6F92A12-5258-42F3-9A56-1CCDB27650C0}"/>
    <cellStyle name="Notas 3 2 25 4" xfId="1708" xr:uid="{675C448D-F765-4CC9-8542-800BC077B77A}"/>
    <cellStyle name="Notas 3 2 25 5" xfId="2118" xr:uid="{798385B7-0342-4EF4-8805-6E512E1699C5}"/>
    <cellStyle name="Notas 3 2 25 6" xfId="2524" xr:uid="{06A39C33-A78E-4E25-8C7D-05C6734942F7}"/>
    <cellStyle name="Notas 3 2 26" xfId="448" xr:uid="{785FC654-C3F0-486D-9DE7-C65E6BC91A02}"/>
    <cellStyle name="Notas 3 2 26 2" xfId="882" xr:uid="{B6D3DCE1-5E87-454D-8F5F-04CE2F3D6B00}"/>
    <cellStyle name="Notas 3 2 26 3" xfId="1296" xr:uid="{B7A0BCF8-F919-4E8E-A0F0-B538553922B6}"/>
    <cellStyle name="Notas 3 2 26 4" xfId="1710" xr:uid="{296AA3A2-3007-4717-8F81-8FFA7A9A8229}"/>
    <cellStyle name="Notas 3 2 26 5" xfId="2120" xr:uid="{A94F7ED0-C5E0-4C6A-9096-31A386EDC39D}"/>
    <cellStyle name="Notas 3 2 26 6" xfId="2526" xr:uid="{7B11D536-FA59-4997-982A-3FBA06EB3683}"/>
    <cellStyle name="Notas 3 2 27" xfId="450" xr:uid="{2330ABB2-A7CF-4614-9443-5198A0432A27}"/>
    <cellStyle name="Notas 3 2 27 2" xfId="884" xr:uid="{93422729-373D-4D5C-BD94-02C5E22A21AC}"/>
    <cellStyle name="Notas 3 2 27 3" xfId="1297" xr:uid="{9F0E03F0-414E-4E8A-9D50-3C9FB90C9356}"/>
    <cellStyle name="Notas 3 2 27 4" xfId="1712" xr:uid="{434D2924-694F-403A-81C3-018BF586316F}"/>
    <cellStyle name="Notas 3 2 28" xfId="469" xr:uid="{677EEAD2-E2B5-48F3-AC2B-73005BF44CEE}"/>
    <cellStyle name="Notas 3 2 29" xfId="888" xr:uid="{9DF04CA7-5803-4198-B692-341B49296894}"/>
    <cellStyle name="Notas 3 2 3" xfId="69" xr:uid="{00000000-0005-0000-0000-000096000000}"/>
    <cellStyle name="Notas 3 2 3 2" xfId="266" xr:uid="{86BB64DC-E5F0-4CE9-8992-A0373FF195AD}"/>
    <cellStyle name="Notas 3 2 3 2 2" xfId="700" xr:uid="{7910F1F2-DDA8-4A3B-94EB-8AAB052F237E}"/>
    <cellStyle name="Notas 3 2 3 2 3" xfId="1117" xr:uid="{272F963B-64D0-4AF2-A2EB-690A59B12D7A}"/>
    <cellStyle name="Notas 3 2 3 2 4" xfId="1529" xr:uid="{0B5F63A1-7FF5-451C-B89B-FA056324D0FB}"/>
    <cellStyle name="Notas 3 2 3 2 5" xfId="1940" xr:uid="{9096F2A7-C74F-4A6C-811C-D3FB82850056}"/>
    <cellStyle name="Notas 3 2 3 2 6" xfId="2347" xr:uid="{B0E1C6B8-45B1-496B-9D94-7A46FEC72DB6}"/>
    <cellStyle name="Notas 3 2 3 3" xfId="503" xr:uid="{E9A3EA41-CBED-4E03-BDBF-4190E566DCC1}"/>
    <cellStyle name="Notas 3 2 3 4" xfId="921" xr:uid="{B0BAE228-82FA-44FA-A5B2-E642CB178CED}"/>
    <cellStyle name="Notas 3 2 3 5" xfId="1335" xr:uid="{15F8E889-A7E8-41CB-A598-FBC407D629A0}"/>
    <cellStyle name="Notas 3 2 3 6" xfId="1746" xr:uid="{CD309529-4D16-4AFB-A424-9E99913F69C3}"/>
    <cellStyle name="Notas 3 2 3 7" xfId="2154" xr:uid="{51B9D932-8B37-479F-9264-8E0191C58D07}"/>
    <cellStyle name="Notas 3 2 30" xfId="1302" xr:uid="{05710979-6BE1-4B87-9173-8DE315420737}"/>
    <cellStyle name="Notas 3 2 31" xfId="1714" xr:uid="{6F7A944D-B60D-4C80-AE8A-04D16C3A9DC4}"/>
    <cellStyle name="Notas 3 2 32" xfId="2122" xr:uid="{15978CF9-D17E-437C-B6B0-AD583F36F9D3}"/>
    <cellStyle name="Notas 3 2 4" xfId="72" xr:uid="{00000000-0005-0000-0000-000097000000}"/>
    <cellStyle name="Notas 3 2 4 2" xfId="269" xr:uid="{1F2D85F4-D675-4757-A0BE-22194812006D}"/>
    <cellStyle name="Notas 3 2 4 2 2" xfId="703" xr:uid="{B8CBE33F-B2FF-4109-8F35-FCF0DA5B781C}"/>
    <cellStyle name="Notas 3 2 4 2 3" xfId="1120" xr:uid="{36D4CE7E-88D0-4BA2-B5BD-4A5BAA74755F}"/>
    <cellStyle name="Notas 3 2 4 2 4" xfId="1532" xr:uid="{D26EBF12-8D05-411D-9445-22F5869E48E9}"/>
    <cellStyle name="Notas 3 2 4 2 5" xfId="1943" xr:uid="{D689A5DE-3DD3-4528-94A2-8EACE0C21FFD}"/>
    <cellStyle name="Notas 3 2 4 2 6" xfId="2350" xr:uid="{AFBB5236-B3FA-4E55-A054-2174DFCFD83A}"/>
    <cellStyle name="Notas 3 2 4 3" xfId="506" xr:uid="{A4C702A6-E27A-438A-B563-D6A1A5F1FB37}"/>
    <cellStyle name="Notas 3 2 4 4" xfId="924" xr:uid="{5620D773-60A2-4B26-B5AB-1E8DA804E7B2}"/>
    <cellStyle name="Notas 3 2 4 5" xfId="1338" xr:uid="{49D98198-2894-4E85-B4B6-46C7BD536165}"/>
    <cellStyle name="Notas 3 2 4 6" xfId="1749" xr:uid="{3790C8EF-C619-45B8-A7BD-C0A5133327CE}"/>
    <cellStyle name="Notas 3 2 4 7" xfId="2157" xr:uid="{E1C62504-A4E7-481C-8BAC-D5BC6224BC5D}"/>
    <cellStyle name="Notas 3 2 5" xfId="73" xr:uid="{00000000-0005-0000-0000-000098000000}"/>
    <cellStyle name="Notas 3 2 5 2" xfId="270" xr:uid="{595013A9-EAD0-43BC-8D57-55A8C2D76275}"/>
    <cellStyle name="Notas 3 2 5 2 2" xfId="704" xr:uid="{7E67E50F-1221-4BF6-8B9A-314A4A737AEB}"/>
    <cellStyle name="Notas 3 2 5 2 3" xfId="1121" xr:uid="{895E5ADF-89E6-4D47-86BB-958E3162F5D4}"/>
    <cellStyle name="Notas 3 2 5 2 4" xfId="1533" xr:uid="{73C9B980-EF83-400E-A915-BB6A669F752A}"/>
    <cellStyle name="Notas 3 2 5 2 5" xfId="1944" xr:uid="{32D71A11-809B-47F8-8699-A50EAD58EA75}"/>
    <cellStyle name="Notas 3 2 5 2 6" xfId="2351" xr:uid="{171ABDE0-E38B-4A93-8483-9047ADD091BB}"/>
    <cellStyle name="Notas 3 2 5 3" xfId="507" xr:uid="{2A9D7C3D-526C-418E-B1C9-76861C33B0A9}"/>
    <cellStyle name="Notas 3 2 5 4" xfId="925" xr:uid="{C794F851-0638-4FA1-9D00-40180052C017}"/>
    <cellStyle name="Notas 3 2 5 5" xfId="1339" xr:uid="{F4156196-E322-4C40-8F86-D0945B570AF2}"/>
    <cellStyle name="Notas 3 2 5 6" xfId="1750" xr:uid="{F75C0A43-DC20-4DF7-9C36-4E8EF24C8E37}"/>
    <cellStyle name="Notas 3 2 5 7" xfId="2158" xr:uid="{D7AF20AC-0C3E-4AD6-B222-72D80A08E431}"/>
    <cellStyle name="Notas 3 2 6" xfId="82" xr:uid="{00000000-0005-0000-0000-000099000000}"/>
    <cellStyle name="Notas 3 2 6 2" xfId="279" xr:uid="{BEC4E61A-C4B0-4B31-8967-622DB9E0E233}"/>
    <cellStyle name="Notas 3 2 6 2 2" xfId="713" xr:uid="{A8C4EFA0-5AC7-4B95-9A52-6AA6E1036D59}"/>
    <cellStyle name="Notas 3 2 6 2 3" xfId="1129" xr:uid="{1F9509AD-2E4B-479A-BBA9-99C5CC64E375}"/>
    <cellStyle name="Notas 3 2 6 2 4" xfId="1542" xr:uid="{BBDCF166-6868-44A6-982E-B91CB84DB6FF}"/>
    <cellStyle name="Notas 3 2 6 2 5" xfId="1952" xr:uid="{E709E22D-2568-454A-8E29-D2E087ACC831}"/>
    <cellStyle name="Notas 3 2 6 2 6" xfId="2359" xr:uid="{0A4D6623-AB92-451A-9E4A-266A861E44D2}"/>
    <cellStyle name="Notas 3 2 6 3" xfId="516" xr:uid="{75A62848-FD32-44AA-BA6A-DB5D9E089489}"/>
    <cellStyle name="Notas 3 2 6 4" xfId="934" xr:uid="{35617F17-24CF-4E2D-9A54-E72073CDA77D}"/>
    <cellStyle name="Notas 3 2 6 5" xfId="1347" xr:uid="{258368BF-DE15-4975-AE88-65AA10E533D8}"/>
    <cellStyle name="Notas 3 2 6 6" xfId="1758" xr:uid="{0F30A21B-27BD-45B2-A6C8-D4BBF47C0809}"/>
    <cellStyle name="Notas 3 2 6 7" xfId="2166" xr:uid="{EA73DFDE-54AD-4CE7-AC5C-C65B815D429C}"/>
    <cellStyle name="Notas 3 2 7" xfId="100" xr:uid="{00000000-0005-0000-0000-00009A000000}"/>
    <cellStyle name="Notas 3 2 7 2" xfId="297" xr:uid="{FB6CAB48-764C-449A-9B0E-858F28872EC5}"/>
    <cellStyle name="Notas 3 2 7 2 2" xfId="731" xr:uid="{7F85CA28-1707-4AFE-9FA5-528D2C97291D}"/>
    <cellStyle name="Notas 3 2 7 2 3" xfId="1147" xr:uid="{A5278DE9-43C9-4B3B-B7C4-A54E3EACC7A9}"/>
    <cellStyle name="Notas 3 2 7 2 4" xfId="1560" xr:uid="{B624A9E1-13BB-4B72-8E39-29B890F77F86}"/>
    <cellStyle name="Notas 3 2 7 2 5" xfId="1970" xr:uid="{60DAF137-05AF-4685-A00D-AD20315BF8AF}"/>
    <cellStyle name="Notas 3 2 7 2 6" xfId="2377" xr:uid="{0FFFEE4B-61FB-4E7A-A341-1341E7129024}"/>
    <cellStyle name="Notas 3 2 7 3" xfId="534" xr:uid="{DE471CAC-D7B7-4E64-9F91-4E9FF7CF60C1}"/>
    <cellStyle name="Notas 3 2 7 4" xfId="952" xr:uid="{AE11D30D-982C-4BD9-B94B-6752B8F2B5E4}"/>
    <cellStyle name="Notas 3 2 7 5" xfId="1365" xr:uid="{56C7E5CC-3D65-4CFD-8898-0B9CD750FEB7}"/>
    <cellStyle name="Notas 3 2 7 6" xfId="1776" xr:uid="{A65B3CA5-6172-4EF8-9FE3-607DAC0062F2}"/>
    <cellStyle name="Notas 3 2 7 7" xfId="2184" xr:uid="{9CEE35C1-ECAE-48E0-9E64-ED8C0FEF56B3}"/>
    <cellStyle name="Notas 3 2 8" xfId="104" xr:uid="{00000000-0005-0000-0000-00009B000000}"/>
    <cellStyle name="Notas 3 2 8 2" xfId="301" xr:uid="{96356644-8863-4A64-9761-9AA1AF2CAC76}"/>
    <cellStyle name="Notas 3 2 8 2 2" xfId="735" xr:uid="{C3DE33BF-C7F4-4320-92E1-21FDCFDD7A18}"/>
    <cellStyle name="Notas 3 2 8 2 3" xfId="1151" xr:uid="{64E7E5EF-9C66-4914-B2FE-C4C6571ED5E7}"/>
    <cellStyle name="Notas 3 2 8 2 4" xfId="1564" xr:uid="{213F2D39-15A1-404E-8110-CD9899D6B547}"/>
    <cellStyle name="Notas 3 2 8 2 5" xfId="1974" xr:uid="{6D409710-A1E5-4432-83F4-197E9DED0FE8}"/>
    <cellStyle name="Notas 3 2 8 2 6" xfId="2381" xr:uid="{525FEFB1-5699-4DBB-926C-F69E040B7A5B}"/>
    <cellStyle name="Notas 3 2 8 3" xfId="538" xr:uid="{AF002A4C-0202-4F8F-8211-52D9586D8806}"/>
    <cellStyle name="Notas 3 2 8 4" xfId="956" xr:uid="{B4402865-37B7-4EB6-9CA4-697E6F7CCC25}"/>
    <cellStyle name="Notas 3 2 8 5" xfId="1369" xr:uid="{C7474FA1-EE76-41E1-B296-4F2CAC589CFC}"/>
    <cellStyle name="Notas 3 2 8 6" xfId="1780" xr:uid="{4CE1C74E-3851-4B25-8302-65473900EFDF}"/>
    <cellStyle name="Notas 3 2 8 7" xfId="2188" xr:uid="{12F7A03B-8067-41DB-AF91-C6AE93CFA3F7}"/>
    <cellStyle name="Notas 3 2 9" xfId="110" xr:uid="{00000000-0005-0000-0000-00009C000000}"/>
    <cellStyle name="Notas 3 2 9 2" xfId="307" xr:uid="{28FDF210-074A-4A46-B407-11BAF24970D6}"/>
    <cellStyle name="Notas 3 2 9 2 2" xfId="741" xr:uid="{CC70DBBA-0201-4DF8-88B1-B26D52F77509}"/>
    <cellStyle name="Notas 3 2 9 2 3" xfId="1157" xr:uid="{E8674253-51B6-4C87-B567-D895BD435C3A}"/>
    <cellStyle name="Notas 3 2 9 2 4" xfId="1570" xr:uid="{66809C58-08EE-465A-9533-8D4323D3450F}"/>
    <cellStyle name="Notas 3 2 9 2 5" xfId="1980" xr:uid="{6C7FB44F-C564-41CF-A378-50F01FDA8C2F}"/>
    <cellStyle name="Notas 3 2 9 2 6" xfId="2387" xr:uid="{731508F6-A4D3-4C8E-931D-FA5A5AD1E0BB}"/>
    <cellStyle name="Notas 3 2 9 3" xfId="544" xr:uid="{83CBA7DD-367B-4DCF-AE25-8A148DD24988}"/>
    <cellStyle name="Notas 3 2 9 4" xfId="962" xr:uid="{6CF19F4D-54B4-45B4-9DDB-7175D048BBC8}"/>
    <cellStyle name="Notas 3 2 9 5" xfId="1375" xr:uid="{E62EE103-E695-41AB-B591-1E79FB396AC3}"/>
    <cellStyle name="Notas 3 2 9 6" xfId="1786" xr:uid="{9FB9CEFE-F71E-49ED-985E-9CC503F220C8}"/>
    <cellStyle name="Notas 3 2 9 7" xfId="2194" xr:uid="{37E21916-5B8F-43A6-9ED5-4E23B47B65C9}"/>
    <cellStyle name="Porcentaje" xfId="31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FBFBF"/>
      <color rgb="FFD9D9D9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06/relationships/vbaProject" Target="vbaProject.bin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123825</xdr:colOff>
          <xdr:row>18</xdr:row>
          <xdr:rowOff>114300</xdr:rowOff>
        </xdr:from>
        <xdr:to>
          <xdr:col>9</xdr:col>
          <xdr:colOff>685800</xdr:colOff>
          <xdr:row>19</xdr:row>
          <xdr:rowOff>152400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CL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Verificar Habilitacion de Macros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4</xdr:row>
      <xdr:rowOff>142875</xdr:rowOff>
    </xdr:from>
    <xdr:to>
      <xdr:col>4</xdr:col>
      <xdr:colOff>1200150</xdr:colOff>
      <xdr:row>4</xdr:row>
      <xdr:rowOff>409575</xdr:rowOff>
    </xdr:to>
    <xdr:sp macro="[0]!RESPALDAARCHIVO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/>
      </xdr:nvSpPr>
      <xdr:spPr>
        <a:xfrm>
          <a:off x="1047750" y="1476375"/>
          <a:ext cx="0" cy="47625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>
              <a:solidFill>
                <a:sysClr val="windowText" lastClr="000000"/>
              </a:solidFill>
            </a:rPr>
            <a:t>ACEPTAR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M167"/>
  <sheetViews>
    <sheetView showGridLines="0" tabSelected="1" zoomScaleNormal="100" workbookViewId="0">
      <selection activeCell="B17" sqref="B17:B19"/>
    </sheetView>
  </sheetViews>
  <sheetFormatPr baseColWidth="10" defaultColWidth="11.42578125" defaultRowHeight="10.5" x14ac:dyDescent="0.15"/>
  <cols>
    <col min="1" max="1" width="49.42578125" style="7" customWidth="1"/>
    <col min="2" max="2" width="60.7109375" style="4" customWidth="1"/>
    <col min="3" max="8" width="5.7109375" style="4" customWidth="1"/>
    <col min="9" max="9" width="16.85546875" style="1" customWidth="1"/>
    <col min="10" max="18" width="11.85546875" style="1" customWidth="1"/>
    <col min="19" max="26" width="23.140625" style="1" customWidth="1"/>
    <col min="27" max="27" width="11.42578125" style="1" hidden="1" customWidth="1"/>
    <col min="28" max="28" width="54.28515625" style="1" hidden="1" customWidth="1"/>
    <col min="29" max="29" width="27.42578125" style="1" hidden="1" customWidth="1"/>
    <col min="30" max="30" width="8.7109375" style="1" hidden="1" customWidth="1"/>
    <col min="31" max="32" width="23.140625" style="1" hidden="1" customWidth="1"/>
    <col min="33" max="33" width="39.5703125" style="1" hidden="1" customWidth="1"/>
    <col min="34" max="39" width="23.140625" style="1" customWidth="1"/>
    <col min="40" max="50" width="23.140625" style="4" customWidth="1"/>
    <col min="51" max="16384" width="11.42578125" style="4"/>
  </cols>
  <sheetData>
    <row r="1" spans="1:33" ht="36" customHeight="1" x14ac:dyDescent="0.15">
      <c r="A1" s="8106" t="s">
        <v>3974</v>
      </c>
      <c r="B1" s="8107"/>
      <c r="C1" s="8100" t="s">
        <v>213</v>
      </c>
      <c r="D1" s="8101"/>
      <c r="E1" s="8101"/>
      <c r="F1" s="8101"/>
      <c r="G1" s="8101"/>
      <c r="H1" s="8102"/>
    </row>
    <row r="2" spans="1:33" ht="21.75" customHeight="1" x14ac:dyDescent="0.2">
      <c r="A2" s="23" t="s">
        <v>212</v>
      </c>
      <c r="B2" s="40"/>
      <c r="C2" s="38"/>
      <c r="D2" s="37"/>
      <c r="E2" s="37"/>
      <c r="F2" s="37"/>
      <c r="G2" s="36"/>
      <c r="H2" s="1"/>
      <c r="I2" s="39" t="str">
        <f>IF(OR(NOMBRE!C2="",NOMBRE!D2="",NOMBRE!E2="",NOMBRE!F2="",NOMBRE!G2=""),"Falta Cód. Com.","")</f>
        <v>Falta Cód. Com.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D2" s="5"/>
      <c r="AG2" s="24">
        <f>IF(I2&gt;"",1,0)</f>
        <v>1</v>
      </c>
    </row>
    <row r="3" spans="1:33" ht="21.75" customHeight="1" x14ac:dyDescent="0.2">
      <c r="A3" s="23" t="s">
        <v>211</v>
      </c>
      <c r="B3" s="30"/>
      <c r="C3" s="38"/>
      <c r="D3" s="37"/>
      <c r="E3" s="37"/>
      <c r="F3" s="37"/>
      <c r="G3" s="37"/>
      <c r="H3" s="36"/>
      <c r="I3" s="35" t="str">
        <f>IF(OR(NOMBRE!C3="",NOMBRE!D3="",NOMBRE!E3="",NOMBRE!F3="",NOMBRE!G3="",NOMBRE!H3=""),"Falta Cód. Est.","")</f>
        <v>Falta Cód. Est.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D3" s="5"/>
      <c r="AG3" s="24">
        <f>IF(I3&gt;"",1,0)</f>
        <v>1</v>
      </c>
    </row>
    <row r="4" spans="1:33" ht="28.5" customHeight="1" x14ac:dyDescent="0.2">
      <c r="A4" s="23" t="s">
        <v>210</v>
      </c>
      <c r="B4" s="7519"/>
      <c r="C4" s="33"/>
      <c r="D4" s="8"/>
      <c r="E4" s="8"/>
      <c r="F4" s="8"/>
      <c r="G4" s="8"/>
      <c r="H4" s="8"/>
      <c r="I4" s="27" t="str">
        <f>IF(OR(NOMBRE!B4=""),"Falta Tipo. Est.","")</f>
        <v>Falta Tipo. Est.</v>
      </c>
      <c r="J4" s="26"/>
      <c r="K4" s="32"/>
      <c r="L4" s="4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31"/>
      <c r="AB4" s="31"/>
      <c r="AD4" s="5"/>
      <c r="AG4" s="24">
        <f>IF(I4&gt;"",1,0)</f>
        <v>1</v>
      </c>
    </row>
    <row r="5" spans="1:33" ht="21.75" customHeight="1" x14ac:dyDescent="0.2">
      <c r="A5" s="23" t="s">
        <v>209</v>
      </c>
      <c r="B5" s="30"/>
      <c r="C5" s="33"/>
      <c r="D5" s="8"/>
      <c r="E5" s="8"/>
      <c r="F5" s="8"/>
      <c r="G5" s="8"/>
      <c r="H5" s="8"/>
      <c r="I5" s="27" t="str">
        <f>IF(OR(NOMBRE!B5=""),"Falta Dependencia. Est.","")</f>
        <v>Falta Dependencia. Est.</v>
      </c>
      <c r="J5" s="26"/>
      <c r="K5" s="32"/>
      <c r="L5" s="4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31"/>
      <c r="AB5" s="31"/>
      <c r="AD5" s="5"/>
      <c r="AG5" s="24">
        <f>IF(I5&gt;"",1,0)</f>
        <v>1</v>
      </c>
    </row>
    <row r="6" spans="1:33" ht="21.75" customHeight="1" x14ac:dyDescent="0.2">
      <c r="A6" s="23" t="s">
        <v>208</v>
      </c>
      <c r="B6" s="30"/>
      <c r="C6" s="29"/>
      <c r="D6" s="28"/>
      <c r="E6" s="8"/>
      <c r="F6" s="8"/>
      <c r="G6" s="8"/>
      <c r="H6" s="8"/>
      <c r="I6" s="27" t="str">
        <f>IF(OR(NOMBRE!C6="",NOMBRE!D6=""),"Falta Cód. Mes.","")</f>
        <v>Falta Cód. Mes.</v>
      </c>
      <c r="J6" s="26"/>
      <c r="K6" s="26"/>
      <c r="L6" s="26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D6" s="5"/>
      <c r="AG6" s="24">
        <f>IF(I6&gt;"",1,0)</f>
        <v>1</v>
      </c>
    </row>
    <row r="7" spans="1:33" ht="21.75" customHeight="1" x14ac:dyDescent="0.2">
      <c r="A7" s="23" t="s">
        <v>207</v>
      </c>
      <c r="B7" s="22">
        <v>2023</v>
      </c>
      <c r="C7" s="1"/>
      <c r="D7" s="1"/>
      <c r="E7" s="1"/>
      <c r="F7" s="1"/>
      <c r="G7" s="1"/>
      <c r="H7" s="1"/>
      <c r="AG7" s="21">
        <f>SUM(AG2:AG6)</f>
        <v>5</v>
      </c>
    </row>
    <row r="8" spans="1:33" ht="12" customHeight="1" x14ac:dyDescent="0.15">
      <c r="A8" s="20"/>
      <c r="B8" s="19"/>
      <c r="C8" s="1"/>
      <c r="D8" s="1"/>
      <c r="E8" s="1"/>
      <c r="F8" s="1"/>
      <c r="G8" s="1"/>
      <c r="H8" s="1"/>
    </row>
    <row r="9" spans="1:33" ht="28.5" customHeight="1" x14ac:dyDescent="0.15">
      <c r="A9" s="8108" t="s">
        <v>4017</v>
      </c>
      <c r="B9" s="8109"/>
      <c r="C9" s="1"/>
      <c r="D9" s="1"/>
      <c r="E9" s="1"/>
      <c r="F9" s="1"/>
      <c r="G9" s="8112" t="s">
        <v>326</v>
      </c>
      <c r="H9" s="8113"/>
      <c r="I9" s="8113"/>
      <c r="J9" s="8114"/>
    </row>
    <row r="10" spans="1:33" ht="12" customHeight="1" x14ac:dyDescent="0.2">
      <c r="A10" s="18"/>
      <c r="B10" s="3"/>
      <c r="C10" s="1"/>
      <c r="D10" s="1"/>
      <c r="E10" s="1"/>
      <c r="F10" s="1"/>
      <c r="G10" s="8115"/>
      <c r="H10" s="8116"/>
      <c r="I10" s="8116"/>
      <c r="J10" s="8117"/>
    </row>
    <row r="11" spans="1:33" ht="27" customHeight="1" x14ac:dyDescent="0.2">
      <c r="A11" s="17" t="s">
        <v>4018</v>
      </c>
      <c r="B11" s="15"/>
      <c r="C11" s="1"/>
      <c r="D11" s="1"/>
      <c r="E11" s="1"/>
      <c r="F11" s="1"/>
      <c r="G11" s="8115"/>
      <c r="H11" s="8116"/>
      <c r="I11" s="8116"/>
      <c r="J11" s="8117"/>
      <c r="L11" s="13"/>
      <c r="M11" s="1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9" t="s">
        <v>332</v>
      </c>
      <c r="AB11" s="9" t="s">
        <v>344</v>
      </c>
      <c r="AC11" s="65" t="s">
        <v>206</v>
      </c>
    </row>
    <row r="12" spans="1:33" ht="23.25" customHeight="1" x14ac:dyDescent="0.2">
      <c r="A12" s="16" t="s">
        <v>4019</v>
      </c>
      <c r="B12" s="15"/>
      <c r="C12" s="1"/>
      <c r="D12" s="1"/>
      <c r="E12" s="1"/>
      <c r="F12" s="1"/>
      <c r="G12" s="8115"/>
      <c r="H12" s="8116"/>
      <c r="I12" s="8116"/>
      <c r="J12" s="8117"/>
      <c r="L12" s="13"/>
      <c r="M12" s="1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9" t="s">
        <v>333</v>
      </c>
      <c r="AB12" s="9" t="s">
        <v>345</v>
      </c>
      <c r="AC12" s="65" t="s">
        <v>354</v>
      </c>
    </row>
    <row r="13" spans="1:33" ht="23.25" customHeight="1" x14ac:dyDescent="0.2">
      <c r="A13" s="3"/>
      <c r="B13" s="14"/>
      <c r="C13" s="1"/>
      <c r="D13" s="1"/>
      <c r="E13" s="1"/>
      <c r="F13" s="1"/>
      <c r="G13" s="8115"/>
      <c r="H13" s="8116"/>
      <c r="I13" s="8116"/>
      <c r="J13" s="8117"/>
      <c r="L13" s="13" t="s">
        <v>45</v>
      </c>
      <c r="M13" s="13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9" t="s">
        <v>334</v>
      </c>
      <c r="AB13" s="9" t="s">
        <v>346</v>
      </c>
      <c r="AC13" s="65" t="s">
        <v>2523</v>
      </c>
    </row>
    <row r="14" spans="1:33" ht="23.25" customHeight="1" x14ac:dyDescent="0.15">
      <c r="A14" s="6"/>
      <c r="B14" s="1"/>
      <c r="C14" s="1"/>
      <c r="D14" s="1"/>
      <c r="E14" s="1"/>
      <c r="F14" s="1"/>
      <c r="G14" s="8118"/>
      <c r="H14" s="8119"/>
      <c r="I14" s="8119"/>
      <c r="J14" s="8120"/>
      <c r="L14" s="13"/>
      <c r="M14" s="1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9" t="s">
        <v>335</v>
      </c>
      <c r="AB14" s="9" t="s">
        <v>3957</v>
      </c>
      <c r="AC14" s="66"/>
    </row>
    <row r="15" spans="1:33" ht="21" customHeight="1" x14ac:dyDescent="0.15">
      <c r="A15" s="8110" t="s">
        <v>205</v>
      </c>
      <c r="B15" s="8111"/>
      <c r="C15" s="1"/>
      <c r="D15" s="1"/>
      <c r="E15" s="1"/>
      <c r="F15" s="1"/>
      <c r="G15" s="1"/>
      <c r="H15" s="1"/>
      <c r="L15" s="13"/>
      <c r="M15" s="13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9" t="s">
        <v>336</v>
      </c>
      <c r="AB15" s="9" t="s">
        <v>347</v>
      </c>
      <c r="AC15" s="66"/>
    </row>
    <row r="16" spans="1:33" ht="21.75" customHeight="1" x14ac:dyDescent="0.15">
      <c r="A16" s="6"/>
      <c r="B16" s="1"/>
      <c r="C16" s="1"/>
      <c r="D16" s="1"/>
      <c r="E16" s="1"/>
      <c r="F16" s="1"/>
      <c r="G16" s="1"/>
      <c r="H16" s="1"/>
      <c r="L16" s="13"/>
      <c r="M16" s="1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9" t="s">
        <v>337</v>
      </c>
      <c r="AB16" s="9" t="s">
        <v>348</v>
      </c>
      <c r="AC16" s="66"/>
    </row>
    <row r="17" spans="1:29" ht="21" customHeight="1" x14ac:dyDescent="0.15">
      <c r="A17" s="6"/>
      <c r="B17" s="8103" t="s">
        <v>204</v>
      </c>
      <c r="C17" s="1"/>
      <c r="D17" s="1"/>
      <c r="E17" s="1"/>
      <c r="F17" s="1"/>
      <c r="G17" s="8121" t="s">
        <v>325</v>
      </c>
      <c r="H17" s="8122"/>
      <c r="I17" s="8122"/>
      <c r="J17" s="8123"/>
      <c r="L17" s="13"/>
      <c r="M17" s="13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9" t="s">
        <v>338</v>
      </c>
      <c r="AB17" s="9" t="s">
        <v>3551</v>
      </c>
      <c r="AC17" s="66"/>
    </row>
    <row r="18" spans="1:29" ht="21" customHeight="1" x14ac:dyDescent="0.15">
      <c r="A18" s="6"/>
      <c r="B18" s="8104"/>
      <c r="C18" s="1"/>
      <c r="D18" s="1"/>
      <c r="E18" s="1"/>
      <c r="F18" s="1"/>
      <c r="G18" s="60"/>
      <c r="H18" s="61"/>
      <c r="I18" s="64" t="s">
        <v>396</v>
      </c>
      <c r="J18" s="62"/>
      <c r="L18" s="13"/>
      <c r="M18" s="13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9" t="s">
        <v>339</v>
      </c>
      <c r="AB18" s="9" t="s">
        <v>349</v>
      </c>
      <c r="AC18" s="66"/>
    </row>
    <row r="19" spans="1:29" ht="21" customHeight="1" x14ac:dyDescent="0.15">
      <c r="A19" s="6"/>
      <c r="B19" s="8105"/>
      <c r="C19" s="1"/>
      <c r="D19" s="1"/>
      <c r="E19" s="1"/>
      <c r="F19" s="1"/>
      <c r="G19" s="57"/>
      <c r="H19" s="58"/>
      <c r="I19" s="58"/>
      <c r="J19" s="59"/>
      <c r="L19" s="13"/>
      <c r="M19" s="13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9" t="s">
        <v>340</v>
      </c>
      <c r="AB19" s="9" t="s">
        <v>3552</v>
      </c>
      <c r="AC19" s="66"/>
    </row>
    <row r="20" spans="1:29" ht="21" customHeight="1" x14ac:dyDescent="0.15">
      <c r="A20" s="6"/>
      <c r="B20" s="1"/>
      <c r="C20" s="1"/>
      <c r="D20" s="1"/>
      <c r="E20" s="1"/>
      <c r="F20" s="1"/>
      <c r="G20" s="60"/>
      <c r="H20" s="61"/>
      <c r="I20" s="61"/>
      <c r="J20" s="62"/>
      <c r="L20" s="13"/>
      <c r="M20" s="13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9" t="s">
        <v>341</v>
      </c>
      <c r="AB20" s="9" t="s">
        <v>350</v>
      </c>
      <c r="AC20" s="66"/>
    </row>
    <row r="21" spans="1:29" ht="21" customHeight="1" x14ac:dyDescent="0.15">
      <c r="A21" s="6"/>
      <c r="B21" s="1"/>
      <c r="C21" s="1"/>
      <c r="D21" s="1"/>
      <c r="E21" s="1"/>
      <c r="F21" s="1"/>
      <c r="G21" s="63"/>
      <c r="H21" s="63"/>
      <c r="I21" s="63"/>
      <c r="J21" s="63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9" t="s">
        <v>342</v>
      </c>
      <c r="AB21" s="9" t="s">
        <v>3553</v>
      </c>
      <c r="AC21" s="66"/>
    </row>
    <row r="22" spans="1:29" ht="21" customHeight="1" x14ac:dyDescent="0.15">
      <c r="A22" s="6"/>
      <c r="B22" s="1"/>
      <c r="C22" s="1"/>
      <c r="D22" s="1"/>
      <c r="E22" s="1"/>
      <c r="F22" s="1"/>
      <c r="G22" s="63"/>
      <c r="H22" s="63"/>
      <c r="I22" s="63"/>
      <c r="J22" s="63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9" t="s">
        <v>343</v>
      </c>
      <c r="AB22" s="9" t="s">
        <v>351</v>
      </c>
      <c r="AC22" s="66"/>
    </row>
    <row r="23" spans="1:29" ht="17.25" customHeight="1" x14ac:dyDescent="0.15">
      <c r="A23" s="6"/>
      <c r="B23" s="1"/>
      <c r="C23" s="1"/>
      <c r="D23" s="1"/>
      <c r="E23" s="1"/>
      <c r="F23" s="1"/>
      <c r="G23" s="1"/>
      <c r="H23" s="1"/>
      <c r="I23" s="2"/>
      <c r="J23" s="2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2"/>
      <c r="AB23" s="9" t="s">
        <v>3554</v>
      </c>
      <c r="AC23" s="66"/>
    </row>
    <row r="24" spans="1:29" ht="18.75" customHeight="1" x14ac:dyDescent="0.1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0"/>
      <c r="S24" s="10"/>
      <c r="T24" s="10"/>
      <c r="U24" s="10"/>
      <c r="V24" s="10"/>
      <c r="W24" s="10"/>
      <c r="X24" s="10"/>
      <c r="Y24" s="10"/>
      <c r="Z24" s="10"/>
      <c r="AA24" s="12"/>
      <c r="AB24" s="9" t="s">
        <v>352</v>
      </c>
      <c r="AC24" s="66"/>
    </row>
    <row r="25" spans="1:29" ht="18" customHeigh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0"/>
      <c r="S25" s="10"/>
      <c r="T25" s="10"/>
      <c r="U25" s="10"/>
      <c r="V25" s="10"/>
      <c r="W25" s="10"/>
      <c r="X25" s="10"/>
      <c r="Y25" s="10"/>
      <c r="Z25" s="10"/>
      <c r="AA25" s="12"/>
      <c r="AB25" s="9" t="s">
        <v>3555</v>
      </c>
      <c r="AC25" s="66"/>
    </row>
    <row r="26" spans="1:29" ht="19.5" customHeight="1" x14ac:dyDescent="0.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0"/>
      <c r="S26" s="10"/>
      <c r="T26" s="10"/>
      <c r="U26" s="10"/>
      <c r="V26" s="10"/>
      <c r="W26" s="10"/>
      <c r="X26" s="10"/>
      <c r="Y26" s="10"/>
      <c r="Z26" s="10"/>
      <c r="AA26" s="12"/>
      <c r="AB26" s="9" t="s">
        <v>353</v>
      </c>
      <c r="AC26" s="66"/>
    </row>
    <row r="27" spans="1:29" ht="19.5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0"/>
      <c r="S27" s="10"/>
      <c r="T27" s="10"/>
      <c r="U27" s="10"/>
      <c r="V27" s="10"/>
      <c r="W27" s="10"/>
      <c r="X27" s="10"/>
      <c r="Y27" s="10"/>
      <c r="Z27" s="10"/>
      <c r="AA27" s="12"/>
      <c r="AB27" s="9" t="s">
        <v>3958</v>
      </c>
      <c r="AC27" s="66"/>
    </row>
    <row r="28" spans="1:29" ht="18.75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0"/>
      <c r="S28" s="10"/>
      <c r="T28" s="10"/>
      <c r="U28" s="10"/>
      <c r="V28" s="10"/>
      <c r="W28" s="10"/>
      <c r="X28" s="10"/>
      <c r="Y28" s="10"/>
      <c r="Z28" s="10"/>
      <c r="AA28" s="12"/>
      <c r="AB28" s="9" t="s">
        <v>3959</v>
      </c>
      <c r="AC28" s="66"/>
    </row>
    <row r="29" spans="1:29" ht="18.75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0"/>
      <c r="S29" s="10"/>
      <c r="T29" s="10"/>
      <c r="U29" s="10"/>
      <c r="V29" s="10"/>
      <c r="W29" s="10"/>
      <c r="X29" s="10"/>
      <c r="Y29" s="10"/>
      <c r="Z29" s="10"/>
      <c r="AA29" s="12"/>
      <c r="AB29" s="9" t="s">
        <v>3960</v>
      </c>
      <c r="AC29" s="66"/>
    </row>
    <row r="30" spans="1:29" ht="18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0"/>
      <c r="S30" s="10"/>
      <c r="T30" s="10"/>
      <c r="U30" s="10"/>
      <c r="V30" s="10"/>
      <c r="W30" s="10"/>
      <c r="X30" s="10"/>
      <c r="Y30" s="10"/>
      <c r="Z30" s="10"/>
      <c r="AA30"/>
      <c r="AB30" s="9" t="s">
        <v>3961</v>
      </c>
      <c r="AC30" s="67"/>
    </row>
    <row r="31" spans="1:29" ht="17.2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0"/>
      <c r="S31" s="10"/>
      <c r="T31" s="10"/>
      <c r="U31" s="10"/>
      <c r="V31" s="10"/>
      <c r="W31" s="10"/>
      <c r="X31" s="10"/>
      <c r="Y31" s="10"/>
      <c r="Z31" s="10"/>
      <c r="AA31"/>
      <c r="AB31" s="9" t="s">
        <v>3962</v>
      </c>
      <c r="AC31" s="67"/>
    </row>
    <row r="32" spans="1:29" ht="17.2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0"/>
      <c r="S32" s="10"/>
      <c r="T32" s="10"/>
      <c r="U32" s="10"/>
      <c r="V32" s="10"/>
      <c r="W32" s="10"/>
      <c r="X32" s="10"/>
      <c r="Y32" s="10"/>
      <c r="Z32" s="10"/>
      <c r="AA32"/>
      <c r="AB32" s="9" t="s">
        <v>3963</v>
      </c>
      <c r="AC32" s="67"/>
    </row>
    <row r="33" spans="1:29" ht="17.2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0"/>
      <c r="S33" s="10"/>
      <c r="T33" s="10"/>
      <c r="U33" s="10"/>
      <c r="V33" s="10"/>
      <c r="W33" s="10"/>
      <c r="X33" s="10"/>
      <c r="Y33" s="10"/>
      <c r="Z33" s="10"/>
      <c r="AA33"/>
      <c r="AB33" s="9" t="s">
        <v>3973</v>
      </c>
      <c r="AC33" s="67"/>
    </row>
    <row r="34" spans="1:29" ht="17.2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0"/>
      <c r="S34" s="10"/>
      <c r="T34" s="10"/>
      <c r="U34" s="10"/>
      <c r="V34" s="10"/>
      <c r="W34" s="10"/>
      <c r="X34" s="10"/>
      <c r="Y34" s="10"/>
      <c r="Z34" s="10"/>
      <c r="AA34"/>
      <c r="AB34" s="9" t="s">
        <v>3964</v>
      </c>
      <c r="AC34" s="67"/>
    </row>
    <row r="35" spans="1:29" ht="17.25" customHeight="1" x14ac:dyDescent="0.15">
      <c r="A35" s="6"/>
      <c r="B35" s="1"/>
      <c r="C35" s="1"/>
      <c r="D35" s="1"/>
      <c r="E35" s="1"/>
      <c r="F35" s="1"/>
      <c r="G35" s="1"/>
      <c r="H35" s="1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B35" s="9" t="s">
        <v>3965</v>
      </c>
      <c r="AC35" s="65"/>
    </row>
    <row r="36" spans="1:29" ht="17.25" customHeight="1" x14ac:dyDescent="0.15">
      <c r="A36" s="6"/>
      <c r="B36" s="1"/>
      <c r="C36" s="1"/>
      <c r="D36" s="1"/>
      <c r="E36" s="1"/>
      <c r="F36" s="1"/>
      <c r="G36" s="1"/>
      <c r="H36" s="1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B36" s="9" t="s">
        <v>3966</v>
      </c>
      <c r="AC36" s="65"/>
    </row>
    <row r="37" spans="1:29" ht="17.25" customHeight="1" x14ac:dyDescent="0.15">
      <c r="A37" s="6"/>
      <c r="B37" s="1"/>
      <c r="C37" s="1"/>
      <c r="D37" s="1"/>
      <c r="E37" s="1"/>
      <c r="F37" s="1"/>
      <c r="G37" s="1"/>
      <c r="H37" s="1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B37" s="9" t="s">
        <v>3967</v>
      </c>
      <c r="AC37" s="65"/>
    </row>
    <row r="38" spans="1:29" ht="17.25" customHeight="1" x14ac:dyDescent="0.15">
      <c r="A38" s="6"/>
      <c r="B38" s="1"/>
      <c r="C38" s="1"/>
      <c r="D38" s="1"/>
      <c r="E38" s="1"/>
      <c r="F38" s="1"/>
      <c r="G38" s="1"/>
      <c r="H38" s="1"/>
      <c r="AB38" s="9" t="s">
        <v>3968</v>
      </c>
      <c r="AC38" s="65"/>
    </row>
    <row r="39" spans="1:29" ht="17.25" customHeight="1" x14ac:dyDescent="0.15">
      <c r="A39" s="6"/>
      <c r="B39" s="1"/>
      <c r="C39" s="1"/>
      <c r="D39" s="1"/>
      <c r="E39" s="1"/>
      <c r="F39" s="1"/>
      <c r="G39" s="1"/>
      <c r="H39" s="1"/>
      <c r="AB39" s="9" t="s">
        <v>3969</v>
      </c>
    </row>
    <row r="40" spans="1:29" ht="17.25" customHeight="1" x14ac:dyDescent="0.15">
      <c r="A40" s="6"/>
      <c r="C40" s="1"/>
      <c r="D40" s="1"/>
      <c r="E40" s="1"/>
      <c r="F40" s="1"/>
      <c r="G40" s="1"/>
      <c r="H40" s="1"/>
      <c r="AB40" s="9" t="s">
        <v>934</v>
      </c>
    </row>
    <row r="41" spans="1:29" x14ac:dyDescent="0.15">
      <c r="A41" s="6"/>
      <c r="C41" s="1"/>
      <c r="D41" s="1"/>
      <c r="E41" s="1"/>
      <c r="F41" s="1"/>
      <c r="G41" s="1"/>
      <c r="H41" s="1"/>
      <c r="AB41" s="9" t="s">
        <v>4005</v>
      </c>
    </row>
    <row r="42" spans="1:29" x14ac:dyDescent="0.15">
      <c r="A42" s="6"/>
      <c r="C42" s="1"/>
      <c r="D42" s="1"/>
      <c r="E42" s="1"/>
      <c r="F42" s="1"/>
      <c r="G42" s="1"/>
      <c r="H42" s="1"/>
    </row>
    <row r="43" spans="1:29" x14ac:dyDescent="0.15">
      <c r="A43" s="6"/>
      <c r="C43" s="1"/>
      <c r="D43" s="1"/>
      <c r="E43" s="1"/>
      <c r="F43" s="1"/>
      <c r="G43" s="1"/>
      <c r="H43" s="1"/>
    </row>
    <row r="44" spans="1:29" x14ac:dyDescent="0.15">
      <c r="A44" s="6"/>
      <c r="C44" s="1"/>
      <c r="D44" s="1"/>
      <c r="E44" s="1"/>
      <c r="F44" s="1"/>
      <c r="G44" s="1"/>
      <c r="H44" s="1"/>
    </row>
    <row r="45" spans="1:29" x14ac:dyDescent="0.15">
      <c r="A45" s="6"/>
      <c r="C45" s="1"/>
      <c r="D45" s="1"/>
      <c r="E45" s="1"/>
      <c r="F45" s="1"/>
      <c r="G45" s="1"/>
      <c r="H45" s="1"/>
    </row>
    <row r="46" spans="1:29" x14ac:dyDescent="0.15">
      <c r="A46" s="6"/>
      <c r="C46" s="1"/>
      <c r="D46" s="1"/>
      <c r="E46" s="1"/>
      <c r="F46" s="1"/>
      <c r="G46" s="1"/>
      <c r="H46" s="1"/>
    </row>
    <row r="47" spans="1:29" x14ac:dyDescent="0.15">
      <c r="A47" s="6"/>
      <c r="C47" s="1"/>
      <c r="D47" s="1"/>
      <c r="E47" s="1"/>
      <c r="F47" s="1"/>
      <c r="G47" s="1"/>
      <c r="H47" s="1"/>
    </row>
    <row r="48" spans="1:29" x14ac:dyDescent="0.15">
      <c r="A48" s="6"/>
      <c r="C48" s="1"/>
      <c r="D48" s="1"/>
      <c r="E48" s="1"/>
      <c r="F48" s="1"/>
      <c r="G48" s="1"/>
      <c r="H48" s="1"/>
    </row>
    <row r="49" spans="1:8" x14ac:dyDescent="0.15">
      <c r="A49" s="6"/>
      <c r="C49" s="1"/>
      <c r="D49" s="1"/>
      <c r="E49" s="1"/>
      <c r="F49" s="1"/>
      <c r="G49" s="1"/>
      <c r="H49" s="1"/>
    </row>
    <row r="50" spans="1:8" x14ac:dyDescent="0.15">
      <c r="A50" s="6"/>
      <c r="C50" s="1"/>
      <c r="D50" s="1"/>
      <c r="E50" s="1"/>
      <c r="F50" s="1"/>
      <c r="G50" s="1"/>
      <c r="H50" s="1"/>
    </row>
    <row r="51" spans="1:8" x14ac:dyDescent="0.15">
      <c r="C51" s="1"/>
      <c r="D51" s="1"/>
      <c r="E51" s="1"/>
      <c r="F51" s="1"/>
      <c r="G51" s="1"/>
      <c r="H51" s="1"/>
    </row>
    <row r="52" spans="1:8" x14ac:dyDescent="0.15">
      <c r="C52" s="1"/>
      <c r="D52" s="1"/>
      <c r="E52" s="1"/>
      <c r="F52" s="1"/>
      <c r="G52" s="1"/>
      <c r="H52" s="1"/>
    </row>
    <row r="53" spans="1:8" x14ac:dyDescent="0.15">
      <c r="C53" s="1"/>
      <c r="D53" s="1"/>
      <c r="E53" s="1"/>
      <c r="F53" s="1"/>
      <c r="G53" s="1"/>
      <c r="H53" s="1"/>
    </row>
    <row r="54" spans="1:8" x14ac:dyDescent="0.15">
      <c r="C54" s="1"/>
      <c r="D54" s="1"/>
      <c r="E54" s="1"/>
      <c r="F54" s="1"/>
      <c r="G54" s="1"/>
      <c r="H54" s="1"/>
    </row>
    <row r="55" spans="1:8" x14ac:dyDescent="0.15">
      <c r="C55" s="1"/>
      <c r="D55" s="1"/>
      <c r="E55" s="1"/>
      <c r="F55" s="1"/>
      <c r="G55" s="1"/>
      <c r="H55" s="1"/>
    </row>
    <row r="56" spans="1:8" x14ac:dyDescent="0.15">
      <c r="C56" s="1"/>
      <c r="D56" s="1"/>
      <c r="E56" s="1"/>
      <c r="F56" s="1"/>
      <c r="G56" s="1"/>
      <c r="H56" s="1"/>
    </row>
    <row r="57" spans="1:8" x14ac:dyDescent="0.15">
      <c r="C57" s="1"/>
      <c r="D57" s="1"/>
      <c r="E57" s="1"/>
      <c r="F57" s="1"/>
      <c r="G57" s="1"/>
      <c r="H57" s="1"/>
    </row>
    <row r="58" spans="1:8" x14ac:dyDescent="0.15">
      <c r="C58" s="1"/>
      <c r="D58" s="1"/>
      <c r="E58" s="1"/>
      <c r="F58" s="1"/>
      <c r="G58" s="1"/>
      <c r="H58" s="1"/>
    </row>
    <row r="59" spans="1:8" x14ac:dyDescent="0.15">
      <c r="C59" s="1"/>
      <c r="D59" s="1"/>
      <c r="E59" s="1"/>
      <c r="F59" s="1"/>
      <c r="G59" s="1"/>
      <c r="H59" s="1"/>
    </row>
    <row r="60" spans="1:8" x14ac:dyDescent="0.15">
      <c r="C60" s="1"/>
      <c r="D60" s="1"/>
      <c r="E60" s="1"/>
      <c r="F60" s="1"/>
      <c r="G60" s="1"/>
      <c r="H60" s="1"/>
    </row>
    <row r="61" spans="1:8" x14ac:dyDescent="0.15">
      <c r="C61" s="1"/>
      <c r="D61" s="1"/>
      <c r="E61" s="1"/>
      <c r="F61" s="1"/>
      <c r="G61" s="1"/>
      <c r="H61" s="1"/>
    </row>
    <row r="62" spans="1:8" x14ac:dyDescent="0.15">
      <c r="C62" s="1"/>
      <c r="D62" s="1"/>
      <c r="E62" s="1"/>
      <c r="F62" s="1"/>
      <c r="G62" s="1"/>
      <c r="H62" s="1"/>
    </row>
    <row r="63" spans="1:8" x14ac:dyDescent="0.15">
      <c r="C63" s="1"/>
      <c r="D63" s="1"/>
      <c r="E63" s="1"/>
      <c r="F63" s="1"/>
      <c r="G63" s="1"/>
      <c r="H63" s="1"/>
    </row>
    <row r="64" spans="1:8" x14ac:dyDescent="0.15">
      <c r="C64" s="1"/>
      <c r="D64" s="1"/>
      <c r="E64" s="1"/>
      <c r="F64" s="1"/>
      <c r="G64" s="1"/>
      <c r="H64" s="1"/>
    </row>
    <row r="65" spans="3:8" x14ac:dyDescent="0.15">
      <c r="C65" s="1"/>
      <c r="D65" s="1"/>
      <c r="E65" s="1"/>
      <c r="F65" s="1"/>
      <c r="G65" s="1"/>
      <c r="H65" s="1"/>
    </row>
    <row r="66" spans="3:8" x14ac:dyDescent="0.15">
      <c r="C66" s="1"/>
      <c r="D66" s="1"/>
      <c r="E66" s="1"/>
      <c r="F66" s="1"/>
      <c r="G66" s="1"/>
      <c r="H66" s="1"/>
    </row>
    <row r="67" spans="3:8" x14ac:dyDescent="0.15">
      <c r="C67" s="1"/>
      <c r="D67" s="1"/>
      <c r="E67" s="1"/>
      <c r="F67" s="1"/>
      <c r="G67" s="1"/>
      <c r="H67" s="1"/>
    </row>
    <row r="68" spans="3:8" x14ac:dyDescent="0.15">
      <c r="C68" s="1"/>
      <c r="D68" s="1"/>
      <c r="E68" s="1"/>
      <c r="F68" s="1"/>
      <c r="G68" s="1"/>
      <c r="H68" s="1"/>
    </row>
    <row r="69" spans="3:8" x14ac:dyDescent="0.15">
      <c r="C69" s="1"/>
      <c r="D69" s="1"/>
      <c r="E69" s="1"/>
      <c r="F69" s="1"/>
      <c r="G69" s="1"/>
      <c r="H69" s="1"/>
    </row>
    <row r="70" spans="3:8" x14ac:dyDescent="0.15">
      <c r="C70" s="1"/>
      <c r="D70" s="1"/>
      <c r="E70" s="1"/>
      <c r="F70" s="1"/>
      <c r="G70" s="1"/>
      <c r="H70" s="1"/>
    </row>
    <row r="71" spans="3:8" x14ac:dyDescent="0.15">
      <c r="C71" s="1"/>
      <c r="D71" s="1"/>
      <c r="E71" s="1"/>
      <c r="F71" s="1"/>
      <c r="G71" s="1"/>
      <c r="H71" s="1"/>
    </row>
    <row r="72" spans="3:8" x14ac:dyDescent="0.15">
      <c r="C72" s="1"/>
      <c r="D72" s="1"/>
      <c r="E72" s="1"/>
      <c r="F72" s="1"/>
      <c r="G72" s="1"/>
      <c r="H72" s="1"/>
    </row>
    <row r="73" spans="3:8" x14ac:dyDescent="0.15">
      <c r="C73" s="1"/>
      <c r="D73" s="1"/>
      <c r="E73" s="1"/>
      <c r="F73" s="1"/>
      <c r="G73" s="1"/>
      <c r="H73" s="1"/>
    </row>
    <row r="74" spans="3:8" x14ac:dyDescent="0.15">
      <c r="C74" s="1"/>
      <c r="D74" s="1"/>
      <c r="E74" s="1"/>
      <c r="F74" s="1"/>
      <c r="G74" s="1"/>
      <c r="H74" s="1"/>
    </row>
    <row r="75" spans="3:8" x14ac:dyDescent="0.15">
      <c r="C75" s="1"/>
      <c r="D75" s="1"/>
      <c r="E75" s="1"/>
      <c r="F75" s="1"/>
      <c r="G75" s="1"/>
      <c r="H75" s="1"/>
    </row>
    <row r="76" spans="3:8" x14ac:dyDescent="0.15">
      <c r="C76" s="1"/>
      <c r="D76" s="1"/>
      <c r="E76" s="1"/>
      <c r="F76" s="1"/>
      <c r="G76" s="1"/>
      <c r="H76" s="1"/>
    </row>
    <row r="77" spans="3:8" x14ac:dyDescent="0.15">
      <c r="C77" s="1"/>
      <c r="D77" s="1"/>
      <c r="E77" s="1"/>
      <c r="F77" s="1"/>
      <c r="G77" s="1"/>
      <c r="H77" s="1"/>
    </row>
    <row r="78" spans="3:8" x14ac:dyDescent="0.15">
      <c r="C78" s="1"/>
      <c r="D78" s="1"/>
      <c r="E78" s="1"/>
      <c r="F78" s="1"/>
      <c r="G78" s="1"/>
      <c r="H78" s="1"/>
    </row>
    <row r="79" spans="3:8" x14ac:dyDescent="0.15">
      <c r="C79" s="1"/>
      <c r="D79" s="1"/>
      <c r="E79" s="1"/>
      <c r="F79" s="1"/>
      <c r="G79" s="1"/>
      <c r="H79" s="1"/>
    </row>
    <row r="80" spans="3:8" x14ac:dyDescent="0.15">
      <c r="C80" s="1"/>
      <c r="D80" s="1"/>
      <c r="E80" s="1"/>
      <c r="F80" s="1"/>
      <c r="G80" s="1"/>
      <c r="H80" s="1"/>
    </row>
    <row r="81" spans="3:8" x14ac:dyDescent="0.15">
      <c r="C81" s="1"/>
      <c r="D81" s="1"/>
      <c r="E81" s="1"/>
      <c r="F81" s="1"/>
      <c r="G81" s="1"/>
      <c r="H81" s="1"/>
    </row>
    <row r="82" spans="3:8" x14ac:dyDescent="0.15">
      <c r="C82" s="1"/>
      <c r="D82" s="1"/>
      <c r="E82" s="1"/>
      <c r="F82" s="1"/>
      <c r="G82" s="1"/>
      <c r="H82" s="1"/>
    </row>
    <row r="83" spans="3:8" x14ac:dyDescent="0.15">
      <c r="C83" s="1"/>
      <c r="D83" s="1"/>
      <c r="E83" s="1"/>
      <c r="F83" s="1"/>
      <c r="G83" s="1"/>
      <c r="H83" s="1"/>
    </row>
    <row r="84" spans="3:8" x14ac:dyDescent="0.15">
      <c r="C84" s="1"/>
      <c r="D84" s="1"/>
      <c r="E84" s="1"/>
      <c r="F84" s="1"/>
      <c r="G84" s="1"/>
      <c r="H84" s="1"/>
    </row>
    <row r="85" spans="3:8" x14ac:dyDescent="0.15">
      <c r="C85" s="1"/>
      <c r="D85" s="1"/>
      <c r="E85" s="1"/>
      <c r="F85" s="1"/>
      <c r="G85" s="1"/>
      <c r="H85" s="1"/>
    </row>
    <row r="86" spans="3:8" x14ac:dyDescent="0.15">
      <c r="C86" s="1"/>
      <c r="D86" s="1"/>
      <c r="E86" s="1"/>
      <c r="F86" s="1"/>
      <c r="G86" s="1"/>
      <c r="H86" s="1"/>
    </row>
    <row r="87" spans="3:8" x14ac:dyDescent="0.15">
      <c r="C87" s="1"/>
      <c r="D87" s="1"/>
      <c r="E87" s="1"/>
      <c r="F87" s="1"/>
      <c r="G87" s="1"/>
      <c r="H87" s="1"/>
    </row>
    <row r="88" spans="3:8" x14ac:dyDescent="0.15">
      <c r="C88" s="1"/>
      <c r="D88" s="1"/>
      <c r="E88" s="1"/>
      <c r="F88" s="1"/>
      <c r="G88" s="1"/>
      <c r="H88" s="1"/>
    </row>
    <row r="89" spans="3:8" x14ac:dyDescent="0.15">
      <c r="C89" s="1"/>
      <c r="D89" s="1"/>
      <c r="E89" s="1"/>
      <c r="F89" s="1"/>
      <c r="G89" s="1"/>
      <c r="H89" s="1"/>
    </row>
    <row r="90" spans="3:8" x14ac:dyDescent="0.15">
      <c r="C90" s="1"/>
      <c r="D90" s="1"/>
      <c r="E90" s="1"/>
      <c r="F90" s="1"/>
      <c r="G90" s="1"/>
      <c r="H90" s="1"/>
    </row>
    <row r="91" spans="3:8" x14ac:dyDescent="0.15">
      <c r="C91" s="1"/>
      <c r="D91" s="1"/>
      <c r="E91" s="1"/>
      <c r="F91" s="1"/>
      <c r="G91" s="1"/>
      <c r="H91" s="1"/>
    </row>
    <row r="92" spans="3:8" x14ac:dyDescent="0.15">
      <c r="C92" s="1"/>
      <c r="D92" s="1"/>
      <c r="E92" s="1"/>
      <c r="F92" s="1"/>
      <c r="G92" s="1"/>
      <c r="H92" s="1"/>
    </row>
    <row r="93" spans="3:8" x14ac:dyDescent="0.15">
      <c r="C93" s="1"/>
      <c r="D93" s="1"/>
      <c r="E93" s="1"/>
      <c r="F93" s="1"/>
      <c r="G93" s="1"/>
      <c r="H93" s="1"/>
    </row>
    <row r="94" spans="3:8" x14ac:dyDescent="0.15">
      <c r="C94" s="1"/>
      <c r="D94" s="1"/>
      <c r="E94" s="1"/>
      <c r="F94" s="1"/>
      <c r="G94" s="1"/>
      <c r="H94" s="1"/>
    </row>
    <row r="95" spans="3:8" x14ac:dyDescent="0.15">
      <c r="C95" s="1"/>
      <c r="D95" s="1"/>
      <c r="E95" s="1"/>
      <c r="F95" s="1"/>
      <c r="G95" s="1"/>
      <c r="H95" s="1"/>
    </row>
    <row r="96" spans="3:8" x14ac:dyDescent="0.15">
      <c r="C96" s="1"/>
      <c r="D96" s="1"/>
      <c r="E96" s="1"/>
      <c r="F96" s="1"/>
      <c r="G96" s="1"/>
      <c r="H96" s="1"/>
    </row>
    <row r="97" spans="3:8" x14ac:dyDescent="0.15">
      <c r="C97" s="1"/>
      <c r="D97" s="1"/>
      <c r="E97" s="1"/>
      <c r="F97" s="1"/>
      <c r="G97" s="1"/>
      <c r="H97" s="1"/>
    </row>
    <row r="98" spans="3:8" x14ac:dyDescent="0.15">
      <c r="C98" s="1"/>
      <c r="D98" s="1"/>
      <c r="E98" s="1"/>
      <c r="F98" s="1"/>
      <c r="G98" s="1"/>
      <c r="H98" s="1"/>
    </row>
    <row r="99" spans="3:8" x14ac:dyDescent="0.15">
      <c r="C99" s="1"/>
      <c r="D99" s="1"/>
      <c r="E99" s="1"/>
      <c r="F99" s="1"/>
      <c r="G99" s="1"/>
      <c r="H99" s="1"/>
    </row>
    <row r="100" spans="3:8" x14ac:dyDescent="0.15">
      <c r="C100" s="1"/>
      <c r="D100" s="1"/>
      <c r="E100" s="1"/>
      <c r="F100" s="1"/>
      <c r="G100" s="1"/>
      <c r="H100" s="1"/>
    </row>
    <row r="101" spans="3:8" x14ac:dyDescent="0.15">
      <c r="C101" s="1"/>
      <c r="D101" s="1"/>
      <c r="E101" s="1"/>
      <c r="F101" s="1"/>
      <c r="G101" s="1"/>
      <c r="H101" s="1"/>
    </row>
    <row r="102" spans="3:8" x14ac:dyDescent="0.15">
      <c r="C102" s="1"/>
      <c r="D102" s="1"/>
      <c r="E102" s="1"/>
      <c r="F102" s="1"/>
      <c r="G102" s="1"/>
      <c r="H102" s="1"/>
    </row>
    <row r="103" spans="3:8" x14ac:dyDescent="0.15">
      <c r="C103" s="1"/>
      <c r="D103" s="1"/>
      <c r="E103" s="1"/>
      <c r="F103" s="1"/>
      <c r="G103" s="1"/>
      <c r="H103" s="1"/>
    </row>
    <row r="104" spans="3:8" x14ac:dyDescent="0.15">
      <c r="C104" s="1"/>
      <c r="D104" s="1"/>
      <c r="E104" s="1"/>
      <c r="F104" s="1"/>
      <c r="G104" s="1"/>
      <c r="H104" s="1"/>
    </row>
    <row r="105" spans="3:8" x14ac:dyDescent="0.15">
      <c r="C105" s="1"/>
      <c r="D105" s="1"/>
      <c r="E105" s="1"/>
      <c r="F105" s="1"/>
      <c r="G105" s="1"/>
      <c r="H105" s="1"/>
    </row>
    <row r="106" spans="3:8" x14ac:dyDescent="0.15">
      <c r="C106" s="1"/>
      <c r="D106" s="1"/>
      <c r="E106" s="1"/>
      <c r="F106" s="1"/>
      <c r="G106" s="1"/>
      <c r="H106" s="1"/>
    </row>
    <row r="107" spans="3:8" x14ac:dyDescent="0.15">
      <c r="C107" s="1"/>
      <c r="D107" s="1"/>
      <c r="E107" s="1"/>
      <c r="F107" s="1"/>
      <c r="G107" s="1"/>
      <c r="H107" s="1"/>
    </row>
    <row r="108" spans="3:8" x14ac:dyDescent="0.15">
      <c r="C108" s="1"/>
      <c r="D108" s="1"/>
      <c r="E108" s="1"/>
      <c r="F108" s="1"/>
      <c r="G108" s="1"/>
      <c r="H108" s="1"/>
    </row>
    <row r="109" spans="3:8" x14ac:dyDescent="0.15">
      <c r="C109" s="1"/>
      <c r="D109" s="1"/>
      <c r="E109" s="1"/>
      <c r="F109" s="1"/>
      <c r="G109" s="1"/>
      <c r="H109" s="1"/>
    </row>
    <row r="110" spans="3:8" x14ac:dyDescent="0.15">
      <c r="C110" s="1"/>
      <c r="D110" s="1"/>
      <c r="E110" s="1"/>
      <c r="F110" s="1"/>
      <c r="G110" s="1"/>
      <c r="H110" s="1"/>
    </row>
    <row r="111" spans="3:8" x14ac:dyDescent="0.15">
      <c r="C111" s="1"/>
      <c r="D111" s="1"/>
      <c r="E111" s="1"/>
      <c r="F111" s="1"/>
      <c r="G111" s="1"/>
      <c r="H111" s="1"/>
    </row>
    <row r="112" spans="3:8" x14ac:dyDescent="0.15">
      <c r="C112" s="1"/>
      <c r="D112" s="1"/>
      <c r="E112" s="1"/>
      <c r="F112" s="1"/>
      <c r="G112" s="1"/>
      <c r="H112" s="1"/>
    </row>
    <row r="113" spans="3:8" x14ac:dyDescent="0.15">
      <c r="C113" s="1"/>
      <c r="D113" s="1"/>
      <c r="E113" s="1"/>
      <c r="F113" s="1"/>
      <c r="G113" s="1"/>
      <c r="H113" s="1"/>
    </row>
    <row r="114" spans="3:8" x14ac:dyDescent="0.15">
      <c r="C114" s="1"/>
      <c r="D114" s="1"/>
      <c r="E114" s="1"/>
      <c r="F114" s="1"/>
      <c r="G114" s="1"/>
      <c r="H114" s="1"/>
    </row>
    <row r="115" spans="3:8" x14ac:dyDescent="0.15">
      <c r="C115" s="1"/>
      <c r="D115" s="1"/>
      <c r="E115" s="1"/>
      <c r="F115" s="1"/>
      <c r="G115" s="1"/>
      <c r="H115" s="1"/>
    </row>
    <row r="116" spans="3:8" x14ac:dyDescent="0.15">
      <c r="C116" s="1"/>
      <c r="D116" s="1"/>
      <c r="E116" s="1"/>
      <c r="F116" s="1"/>
      <c r="G116" s="1"/>
      <c r="H116" s="1"/>
    </row>
    <row r="117" spans="3:8" x14ac:dyDescent="0.15">
      <c r="C117" s="1"/>
      <c r="D117" s="1"/>
      <c r="E117" s="1"/>
      <c r="F117" s="1"/>
      <c r="G117" s="1"/>
      <c r="H117" s="1"/>
    </row>
    <row r="118" spans="3:8" x14ac:dyDescent="0.15">
      <c r="C118" s="1"/>
      <c r="D118" s="1"/>
      <c r="E118" s="1"/>
      <c r="F118" s="1"/>
      <c r="G118" s="1"/>
      <c r="H118" s="1"/>
    </row>
    <row r="119" spans="3:8" x14ac:dyDescent="0.15">
      <c r="C119" s="1"/>
      <c r="D119" s="1"/>
      <c r="E119" s="1"/>
      <c r="F119" s="1"/>
      <c r="G119" s="1"/>
      <c r="H119" s="1"/>
    </row>
    <row r="120" spans="3:8" x14ac:dyDescent="0.15">
      <c r="C120" s="1"/>
      <c r="D120" s="1"/>
      <c r="E120" s="1"/>
      <c r="F120" s="1"/>
      <c r="G120" s="1"/>
      <c r="H120" s="1"/>
    </row>
    <row r="121" spans="3:8" x14ac:dyDescent="0.15">
      <c r="C121" s="1"/>
      <c r="D121" s="1"/>
      <c r="E121" s="1"/>
      <c r="F121" s="1"/>
      <c r="G121" s="1"/>
      <c r="H121" s="1"/>
    </row>
    <row r="122" spans="3:8" x14ac:dyDescent="0.15">
      <c r="C122" s="1"/>
      <c r="D122" s="1"/>
      <c r="E122" s="1"/>
      <c r="F122" s="1"/>
      <c r="G122" s="1"/>
      <c r="H122" s="1"/>
    </row>
    <row r="123" spans="3:8" x14ac:dyDescent="0.15">
      <c r="C123" s="1"/>
      <c r="D123" s="1"/>
      <c r="E123" s="1"/>
      <c r="F123" s="1"/>
      <c r="G123" s="1"/>
      <c r="H123" s="1"/>
    </row>
    <row r="124" spans="3:8" x14ac:dyDescent="0.15">
      <c r="C124" s="1"/>
      <c r="D124" s="1"/>
      <c r="E124" s="1"/>
      <c r="F124" s="1"/>
      <c r="G124" s="1"/>
      <c r="H124" s="1"/>
    </row>
    <row r="125" spans="3:8" x14ac:dyDescent="0.15">
      <c r="C125" s="1"/>
      <c r="D125" s="1"/>
      <c r="E125" s="1"/>
      <c r="F125" s="1"/>
      <c r="G125" s="1"/>
      <c r="H125" s="1"/>
    </row>
    <row r="126" spans="3:8" x14ac:dyDescent="0.15">
      <c r="C126" s="1"/>
      <c r="D126" s="1"/>
      <c r="E126" s="1"/>
      <c r="F126" s="1"/>
      <c r="G126" s="1"/>
      <c r="H126" s="1"/>
    </row>
    <row r="127" spans="3:8" x14ac:dyDescent="0.15">
      <c r="C127" s="1"/>
      <c r="D127" s="1"/>
      <c r="E127" s="1"/>
      <c r="F127" s="1"/>
      <c r="G127" s="1"/>
      <c r="H127" s="1"/>
    </row>
    <row r="128" spans="3:8" x14ac:dyDescent="0.15">
      <c r="C128" s="1"/>
      <c r="D128" s="1"/>
      <c r="E128" s="1"/>
      <c r="F128" s="1"/>
      <c r="G128" s="1"/>
      <c r="H128" s="1"/>
    </row>
    <row r="129" spans="3:8" x14ac:dyDescent="0.15">
      <c r="C129" s="1"/>
      <c r="D129" s="1"/>
      <c r="E129" s="1"/>
      <c r="F129" s="1"/>
      <c r="G129" s="1"/>
      <c r="H129" s="1"/>
    </row>
    <row r="130" spans="3:8" x14ac:dyDescent="0.15">
      <c r="C130" s="1"/>
      <c r="D130" s="1"/>
      <c r="E130" s="1"/>
      <c r="F130" s="1"/>
      <c r="G130" s="1"/>
      <c r="H130" s="1"/>
    </row>
    <row r="131" spans="3:8" x14ac:dyDescent="0.15">
      <c r="C131" s="1"/>
      <c r="D131" s="1"/>
      <c r="E131" s="1"/>
      <c r="F131" s="1"/>
      <c r="G131" s="1"/>
      <c r="H131" s="1"/>
    </row>
    <row r="132" spans="3:8" x14ac:dyDescent="0.15">
      <c r="C132" s="1"/>
      <c r="D132" s="1"/>
      <c r="E132" s="1"/>
      <c r="F132" s="1"/>
      <c r="G132" s="1"/>
      <c r="H132" s="1"/>
    </row>
    <row r="133" spans="3:8" x14ac:dyDescent="0.15">
      <c r="C133" s="1"/>
      <c r="D133" s="1"/>
      <c r="E133" s="1"/>
      <c r="F133" s="1"/>
      <c r="G133" s="1"/>
      <c r="H133" s="1"/>
    </row>
    <row r="134" spans="3:8" x14ac:dyDescent="0.15">
      <c r="C134" s="1"/>
      <c r="D134" s="1"/>
      <c r="E134" s="1"/>
      <c r="F134" s="1"/>
      <c r="G134" s="1"/>
      <c r="H134" s="1"/>
    </row>
    <row r="135" spans="3:8" x14ac:dyDescent="0.15">
      <c r="C135" s="1"/>
      <c r="D135" s="1"/>
      <c r="E135" s="1"/>
      <c r="F135" s="1"/>
      <c r="G135" s="1"/>
      <c r="H135" s="1"/>
    </row>
    <row r="136" spans="3:8" x14ac:dyDescent="0.15">
      <c r="C136" s="1"/>
      <c r="D136" s="1"/>
      <c r="E136" s="1"/>
      <c r="F136" s="1"/>
      <c r="G136" s="1"/>
      <c r="H136" s="1"/>
    </row>
    <row r="137" spans="3:8" x14ac:dyDescent="0.15">
      <c r="C137" s="1"/>
      <c r="D137" s="1"/>
      <c r="E137" s="1"/>
      <c r="F137" s="1"/>
      <c r="G137" s="1"/>
      <c r="H137" s="1"/>
    </row>
    <row r="138" spans="3:8" x14ac:dyDescent="0.15">
      <c r="C138" s="1"/>
      <c r="D138" s="1"/>
      <c r="E138" s="1"/>
      <c r="F138" s="1"/>
      <c r="G138" s="1"/>
      <c r="H138" s="1"/>
    </row>
    <row r="139" spans="3:8" x14ac:dyDescent="0.15">
      <c r="C139" s="1"/>
      <c r="D139" s="1"/>
      <c r="E139" s="1"/>
      <c r="F139" s="1"/>
      <c r="G139" s="1"/>
      <c r="H139" s="1"/>
    </row>
    <row r="140" spans="3:8" x14ac:dyDescent="0.15">
      <c r="C140" s="1"/>
      <c r="D140" s="1"/>
      <c r="E140" s="1"/>
      <c r="F140" s="1"/>
      <c r="G140" s="1"/>
      <c r="H140" s="1"/>
    </row>
    <row r="141" spans="3:8" x14ac:dyDescent="0.15">
      <c r="C141" s="1"/>
      <c r="D141" s="1"/>
      <c r="E141" s="1"/>
      <c r="F141" s="1"/>
      <c r="G141" s="1"/>
      <c r="H141" s="1"/>
    </row>
    <row r="142" spans="3:8" x14ac:dyDescent="0.15">
      <c r="C142" s="1"/>
      <c r="D142" s="1"/>
      <c r="E142" s="1"/>
      <c r="F142" s="1"/>
      <c r="G142" s="1"/>
      <c r="H142" s="1"/>
    </row>
    <row r="143" spans="3:8" x14ac:dyDescent="0.15">
      <c r="C143" s="1"/>
      <c r="D143" s="1"/>
      <c r="E143" s="1"/>
      <c r="F143" s="1"/>
      <c r="G143" s="1"/>
      <c r="H143" s="1"/>
    </row>
    <row r="144" spans="3:8" x14ac:dyDescent="0.15">
      <c r="C144" s="1"/>
      <c r="D144" s="1"/>
      <c r="E144" s="1"/>
      <c r="F144" s="1"/>
      <c r="G144" s="1"/>
      <c r="H144" s="1"/>
    </row>
    <row r="145" spans="3:8" x14ac:dyDescent="0.15">
      <c r="C145" s="1"/>
      <c r="D145" s="1"/>
      <c r="E145" s="1"/>
      <c r="F145" s="1"/>
      <c r="G145" s="1"/>
      <c r="H145" s="1"/>
    </row>
    <row r="146" spans="3:8" x14ac:dyDescent="0.15">
      <c r="C146" s="1"/>
      <c r="D146" s="1"/>
      <c r="E146" s="1"/>
      <c r="F146" s="1"/>
      <c r="G146" s="1"/>
      <c r="H146" s="1"/>
    </row>
    <row r="147" spans="3:8" x14ac:dyDescent="0.15">
      <c r="C147" s="1"/>
      <c r="D147" s="1"/>
      <c r="E147" s="1"/>
      <c r="F147" s="1"/>
      <c r="G147" s="1"/>
      <c r="H147" s="1"/>
    </row>
    <row r="148" spans="3:8" x14ac:dyDescent="0.15">
      <c r="C148" s="1"/>
      <c r="D148" s="1"/>
      <c r="E148" s="1"/>
      <c r="F148" s="1"/>
      <c r="G148" s="1"/>
      <c r="H148" s="1"/>
    </row>
    <row r="149" spans="3:8" x14ac:dyDescent="0.15">
      <c r="C149" s="1"/>
      <c r="D149" s="1"/>
      <c r="E149" s="1"/>
      <c r="F149" s="1"/>
      <c r="G149" s="1"/>
      <c r="H149" s="1"/>
    </row>
    <row r="150" spans="3:8" x14ac:dyDescent="0.15">
      <c r="C150" s="1"/>
      <c r="D150" s="1"/>
      <c r="E150" s="1"/>
      <c r="F150" s="1"/>
      <c r="G150" s="1"/>
      <c r="H150" s="1"/>
    </row>
    <row r="151" spans="3:8" x14ac:dyDescent="0.15">
      <c r="C151" s="1"/>
      <c r="D151" s="1"/>
      <c r="E151" s="1"/>
      <c r="F151" s="1"/>
      <c r="G151" s="1"/>
      <c r="H151" s="1"/>
    </row>
    <row r="152" spans="3:8" x14ac:dyDescent="0.15">
      <c r="C152" s="1"/>
      <c r="D152" s="1"/>
      <c r="E152" s="1"/>
      <c r="F152" s="1"/>
      <c r="G152" s="1"/>
      <c r="H152" s="1"/>
    </row>
    <row r="153" spans="3:8" x14ac:dyDescent="0.15">
      <c r="C153" s="1"/>
      <c r="D153" s="1"/>
      <c r="E153" s="1"/>
      <c r="F153" s="1"/>
      <c r="G153" s="1"/>
      <c r="H153" s="1"/>
    </row>
    <row r="154" spans="3:8" x14ac:dyDescent="0.15">
      <c r="C154" s="1"/>
      <c r="D154" s="1"/>
      <c r="E154" s="1"/>
      <c r="F154" s="1"/>
      <c r="G154" s="1"/>
      <c r="H154" s="1"/>
    </row>
    <row r="155" spans="3:8" x14ac:dyDescent="0.15">
      <c r="C155" s="1"/>
      <c r="D155" s="1"/>
      <c r="E155" s="1"/>
      <c r="F155" s="1"/>
      <c r="G155" s="1"/>
      <c r="H155" s="1"/>
    </row>
    <row r="156" spans="3:8" x14ac:dyDescent="0.15">
      <c r="C156" s="1"/>
      <c r="D156" s="1"/>
      <c r="E156" s="1"/>
      <c r="F156" s="1"/>
      <c r="G156" s="1"/>
      <c r="H156" s="1"/>
    </row>
    <row r="157" spans="3:8" x14ac:dyDescent="0.15">
      <c r="C157" s="1"/>
      <c r="D157" s="1"/>
      <c r="E157" s="1"/>
      <c r="F157" s="1"/>
      <c r="G157" s="1"/>
      <c r="H157" s="1"/>
    </row>
    <row r="158" spans="3:8" x14ac:dyDescent="0.15">
      <c r="C158" s="1"/>
      <c r="D158" s="1"/>
      <c r="E158" s="1"/>
      <c r="F158" s="1"/>
      <c r="G158" s="1"/>
      <c r="H158" s="1"/>
    </row>
    <row r="159" spans="3:8" x14ac:dyDescent="0.15">
      <c r="C159" s="1"/>
      <c r="D159" s="1"/>
      <c r="E159" s="1"/>
      <c r="F159" s="1"/>
      <c r="G159" s="1"/>
      <c r="H159" s="1"/>
    </row>
    <row r="160" spans="3:8" x14ac:dyDescent="0.15">
      <c r="C160" s="1"/>
      <c r="D160" s="1"/>
      <c r="E160" s="1"/>
      <c r="F160" s="1"/>
      <c r="G160" s="1"/>
      <c r="H160" s="1"/>
    </row>
    <row r="161" spans="3:8" x14ac:dyDescent="0.15">
      <c r="C161" s="1"/>
      <c r="D161" s="1"/>
      <c r="E161" s="1"/>
      <c r="F161" s="1"/>
      <c r="G161" s="1"/>
      <c r="H161" s="1"/>
    </row>
    <row r="162" spans="3:8" x14ac:dyDescent="0.15">
      <c r="C162" s="1"/>
      <c r="D162" s="1"/>
      <c r="E162" s="1"/>
      <c r="F162" s="1"/>
      <c r="G162" s="1"/>
      <c r="H162" s="1"/>
    </row>
    <row r="163" spans="3:8" x14ac:dyDescent="0.15">
      <c r="C163" s="1"/>
      <c r="D163" s="1"/>
      <c r="E163" s="1"/>
      <c r="F163" s="1"/>
      <c r="G163" s="1"/>
      <c r="H163" s="1"/>
    </row>
    <row r="164" spans="3:8" x14ac:dyDescent="0.15">
      <c r="C164" s="1"/>
      <c r="D164" s="1"/>
      <c r="E164" s="1"/>
      <c r="F164" s="1"/>
      <c r="G164" s="1"/>
      <c r="H164" s="1"/>
    </row>
    <row r="165" spans="3:8" x14ac:dyDescent="0.15">
      <c r="C165" s="1"/>
      <c r="D165" s="1"/>
      <c r="E165" s="1"/>
      <c r="F165" s="1"/>
      <c r="G165" s="1"/>
      <c r="H165" s="1"/>
    </row>
    <row r="166" spans="3:8" x14ac:dyDescent="0.15">
      <c r="C166" s="1"/>
      <c r="D166" s="1"/>
      <c r="E166" s="1"/>
      <c r="F166" s="1"/>
      <c r="G166" s="1"/>
      <c r="H166" s="1"/>
    </row>
    <row r="167" spans="3:8" x14ac:dyDescent="0.15">
      <c r="C167" s="1"/>
      <c r="D167" s="1"/>
      <c r="E167" s="1"/>
      <c r="F167" s="1"/>
      <c r="G167" s="1"/>
      <c r="H167" s="1"/>
    </row>
  </sheetData>
  <sheetProtection algorithmName="SHA-512" hashValue="m0lMeYgLpijVC2CM4cI8B2QZ7bR9LBn8Rp1WTz8qx+g4cJsGRiKoy75+a7zb9JShgoMpQOE8HQ0HBYpENGQxug==" saltValue="XMuvNtwPfcljmxe1Z7IOOQ==" spinCount="100000" sheet="1" objects="1" scenarios="1"/>
  <dataConsolidate link="1"/>
  <mergeCells count="7">
    <mergeCell ref="C1:H1"/>
    <mergeCell ref="B17:B19"/>
    <mergeCell ref="A1:B1"/>
    <mergeCell ref="A9:B9"/>
    <mergeCell ref="A15:B15"/>
    <mergeCell ref="G9:J14"/>
    <mergeCell ref="G17:J17"/>
  </mergeCells>
  <dataValidations count="7">
    <dataValidation type="list" allowBlank="1" showInputMessage="1" showErrorMessage="1" sqref="B5" xr:uid="{00000000-0002-0000-0000-000000000000}">
      <formula1>$AC$11:$AC$13</formula1>
    </dataValidation>
    <dataValidation type="list" allowBlank="1" showInputMessage="1" showErrorMessage="1" sqref="B6" xr:uid="{00000000-0002-0000-0000-000001000000}">
      <formula1>$AA$11:$AA$22</formula1>
    </dataValidation>
    <dataValidation type="whole" allowBlank="1" showInputMessage="1" showErrorMessage="1" errorTitle="Número Incorrecto" error="Sólo se permite ingresar un dígito entre 0 y 9." sqref="D6" xr:uid="{00000000-0002-0000-0000-000002000000}">
      <formula1>0</formula1>
      <formula2>9</formula2>
    </dataValidation>
    <dataValidation type="whole" allowBlank="1" showInputMessage="1" showErrorMessage="1" errorTitle="Número Inválido" error="Sólo se permite ingresar un dígito." sqref="C2:G2" xr:uid="{00000000-0002-0000-0000-000003000000}">
      <formula1>0</formula1>
      <formula2>9</formula2>
    </dataValidation>
    <dataValidation type="whole" allowBlank="1" showInputMessage="1" showErrorMessage="1" errorTitle="Número Inválido" error="Sólo se permite ingresar un dígito entre 0 y 9." sqref="C3:H3" xr:uid="{00000000-0002-0000-0000-000004000000}">
      <formula1>0</formula1>
      <formula2>9</formula2>
    </dataValidation>
    <dataValidation type="whole" allowBlank="1" showInputMessage="1" showErrorMessage="1" errorTitle="Número Incorrecto" error="Sólo se permite ingresar un dígito 0 o 1." sqref="C6" xr:uid="{00000000-0002-0000-0000-000005000000}">
      <formula1>0</formula1>
      <formula2>1</formula2>
    </dataValidation>
    <dataValidation type="list" allowBlank="1" showInputMessage="1" showErrorMessage="1" sqref="B4" xr:uid="{00000000-0002-0000-0000-000006000000}">
      <formula1>$AB$11:$AB$41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Button 2">
              <controlPr defaultSize="0" print="0" autoFill="0" autoPict="0" macro="[0]!Verificar_Macros">
                <anchor moveWithCells="1" sizeWithCells="1">
                  <from>
                    <xdr:col>6</xdr:col>
                    <xdr:colOff>123825</xdr:colOff>
                    <xdr:row>18</xdr:row>
                    <xdr:rowOff>114300</xdr:rowOff>
                  </from>
                  <to>
                    <xdr:col>9</xdr:col>
                    <xdr:colOff>685800</xdr:colOff>
                    <xdr:row>19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Z194"/>
  <sheetViews>
    <sheetView showGridLines="0" zoomScaleNormal="100" workbookViewId="0">
      <selection activeCell="A28" sqref="A28:A29"/>
    </sheetView>
  </sheetViews>
  <sheetFormatPr baseColWidth="10" defaultColWidth="11.42578125" defaultRowHeight="14.25" x14ac:dyDescent="0.2"/>
  <cols>
    <col min="1" max="1" width="50.7109375" style="165" customWidth="1"/>
    <col min="2" max="2" width="26" style="165" customWidth="1"/>
    <col min="3" max="3" width="12.42578125" style="165" customWidth="1"/>
    <col min="4" max="4" width="12.140625" style="165" customWidth="1"/>
    <col min="5" max="5" width="14.42578125" style="165" bestFit="1" customWidth="1"/>
    <col min="6" max="6" width="12.28515625" style="165" customWidth="1"/>
    <col min="7" max="7" width="11.42578125" style="165"/>
    <col min="8" max="8" width="11.5703125" style="165" customWidth="1"/>
    <col min="9" max="9" width="11.7109375" style="165" customWidth="1"/>
    <col min="10" max="10" width="11.28515625" style="165" customWidth="1"/>
    <col min="11" max="22" width="11.42578125" style="165"/>
    <col min="23" max="23" width="12.28515625" style="165" customWidth="1"/>
    <col min="24" max="36" width="11.42578125" style="165"/>
    <col min="37" max="37" width="13.42578125" style="165" customWidth="1"/>
    <col min="38" max="38" width="11.42578125" style="165" customWidth="1"/>
    <col min="39" max="39" width="12.42578125" style="165" customWidth="1"/>
    <col min="40" max="41" width="11.42578125" style="165"/>
    <col min="42" max="42" width="10.7109375" style="165" customWidth="1"/>
    <col min="43" max="46" width="11.42578125" style="165"/>
    <col min="47" max="47" width="9.42578125" style="165" customWidth="1"/>
    <col min="48" max="52" width="11.42578125" style="165"/>
    <col min="53" max="76" width="11.42578125" style="290"/>
    <col min="77" max="78" width="11.42578125" style="290" customWidth="1"/>
    <col min="79" max="104" width="11.42578125" style="1451" hidden="1" customWidth="1"/>
    <col min="105" max="130" width="11.42578125" style="3296" hidden="1" customWidth="1"/>
    <col min="131" max="16384" width="11.42578125" style="165"/>
  </cols>
  <sheetData>
    <row r="1" spans="1:120" ht="16.350000000000001" customHeight="1" x14ac:dyDescent="0.2">
      <c r="A1" s="150" t="s">
        <v>206</v>
      </c>
      <c r="B1" s="1452"/>
    </row>
    <row r="2" spans="1:120" ht="16.350000000000001" customHeight="1" x14ac:dyDescent="0.2">
      <c r="A2" s="150" t="str">
        <f>CONCATENATE("COMUNA: ",NOMBRE!B2," - ","( ",NOMBRE!C2,NOMBRE!D2,NOMBRE!E2,NOMBRE!F2,NOMBRE!G2," )")</f>
        <v>COMUNA:  - (  )</v>
      </c>
    </row>
    <row r="3" spans="1:120" ht="16.350000000000001" customHeight="1" x14ac:dyDescent="0.2">
      <c r="A3" s="150" t="str">
        <f>CONCATENATE("ESTABLECIMIENTO/ESTRATEGIA: ",NOMBRE!B3," - ","( ",NOMBRE!C3,NOMBRE!D3,NOMBRE!E3,NOMBRE!F3,NOMBRE!G3,NOMBRE!H3," )")</f>
        <v>ESTABLECIMIENTO/ESTRATEGIA:  - (  )</v>
      </c>
    </row>
    <row r="4" spans="1:120" ht="16.350000000000001" customHeight="1" x14ac:dyDescent="0.2">
      <c r="A4" s="150" t="str">
        <f>CONCATENATE("MES: ",NOMBRE!B6," - ","( ",NOMBRE!C6,NOMBRE!D6," )")</f>
        <v>MES:  - (  )</v>
      </c>
    </row>
    <row r="5" spans="1:120" ht="16.350000000000001" customHeight="1" x14ac:dyDescent="0.2">
      <c r="A5" s="150" t="str">
        <f>CONCATENATE("AÑO: ",NOMBRE!B7)</f>
        <v>AÑO: 2023</v>
      </c>
    </row>
    <row r="6" spans="1:120" ht="15" x14ac:dyDescent="0.2">
      <c r="A6" s="8199" t="s">
        <v>704</v>
      </c>
      <c r="B6" s="8199"/>
      <c r="C6" s="8199"/>
      <c r="D6" s="8199"/>
      <c r="E6" s="8199"/>
      <c r="F6" s="8199"/>
      <c r="G6" s="8199"/>
      <c r="H6" s="8199"/>
      <c r="I6" s="8199"/>
      <c r="J6" s="8199"/>
      <c r="K6" s="8199"/>
      <c r="L6" s="8199"/>
      <c r="M6" s="8199"/>
      <c r="N6" s="8199"/>
      <c r="O6" s="8199"/>
      <c r="P6" s="8199"/>
      <c r="Q6" s="587"/>
      <c r="R6" s="587"/>
      <c r="S6" s="587"/>
      <c r="T6" s="587"/>
      <c r="U6" s="587"/>
      <c r="V6" s="587"/>
      <c r="W6" s="587"/>
      <c r="X6" s="587"/>
      <c r="Y6" s="587"/>
      <c r="Z6" s="587"/>
      <c r="AA6" s="587"/>
      <c r="AB6" s="587"/>
      <c r="AC6" s="587"/>
      <c r="AD6" s="587"/>
      <c r="AE6" s="587"/>
      <c r="AF6" s="587"/>
      <c r="AG6" s="587"/>
      <c r="AH6" s="587"/>
      <c r="AI6" s="587"/>
      <c r="AJ6" s="587"/>
      <c r="AK6" s="587"/>
      <c r="AL6" s="71"/>
      <c r="AM6" s="71"/>
      <c r="AN6" s="71"/>
      <c r="AO6" s="71"/>
      <c r="AP6" s="71"/>
      <c r="AQ6" s="71"/>
      <c r="AR6" s="71"/>
      <c r="AS6" s="71"/>
    </row>
    <row r="7" spans="1:120" ht="15" x14ac:dyDescent="0.2">
      <c r="A7" s="8199"/>
      <c r="B7" s="8199"/>
      <c r="C7" s="8199"/>
      <c r="D7" s="8199"/>
      <c r="E7" s="8199"/>
      <c r="F7" s="8199"/>
      <c r="G7" s="8199"/>
      <c r="H7" s="8199"/>
      <c r="I7" s="8199"/>
      <c r="J7" s="8199"/>
      <c r="K7" s="8199"/>
      <c r="L7" s="8199"/>
      <c r="M7" s="587"/>
      <c r="N7" s="587"/>
      <c r="O7" s="587"/>
      <c r="P7" s="587"/>
      <c r="Q7" s="587"/>
      <c r="R7" s="587"/>
      <c r="S7" s="587"/>
      <c r="T7" s="587"/>
      <c r="U7" s="587"/>
      <c r="V7" s="587"/>
      <c r="W7" s="587"/>
      <c r="X7" s="587"/>
      <c r="Y7" s="587"/>
      <c r="Z7" s="587"/>
      <c r="AA7" s="587"/>
      <c r="AB7" s="587"/>
      <c r="AC7" s="587"/>
      <c r="AD7" s="587"/>
      <c r="AE7" s="587"/>
      <c r="AF7" s="587"/>
      <c r="AG7" s="587"/>
      <c r="AH7" s="587"/>
      <c r="AI7" s="587"/>
      <c r="AJ7" s="587"/>
      <c r="AK7" s="587"/>
      <c r="AL7" s="71"/>
      <c r="AM7" s="71"/>
      <c r="AN7" s="71"/>
      <c r="AO7" s="71"/>
      <c r="AP7" s="71"/>
      <c r="AQ7" s="71"/>
      <c r="AR7" s="71"/>
      <c r="AS7" s="71"/>
      <c r="AT7" s="140"/>
      <c r="AU7" s="140"/>
      <c r="AV7" s="140"/>
      <c r="AW7" s="140"/>
      <c r="AX7" s="140"/>
      <c r="AY7" s="140"/>
      <c r="AZ7" s="140"/>
      <c r="BA7" s="288"/>
      <c r="BB7" s="288"/>
      <c r="BC7" s="288"/>
      <c r="BD7" s="288"/>
      <c r="BE7" s="288"/>
      <c r="BF7" s="288"/>
      <c r="BG7" s="288"/>
      <c r="BH7" s="288"/>
      <c r="BI7" s="288"/>
      <c r="BJ7" s="288"/>
      <c r="BK7" s="288"/>
      <c r="BL7" s="288"/>
      <c r="BM7" s="288"/>
      <c r="BN7" s="288"/>
    </row>
    <row r="8" spans="1:120" ht="15" x14ac:dyDescent="0.2">
      <c r="A8" s="501"/>
      <c r="B8" s="501"/>
      <c r="C8" s="501"/>
      <c r="D8" s="501"/>
      <c r="E8" s="501"/>
      <c r="F8" s="501"/>
      <c r="G8" s="501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</row>
    <row r="9" spans="1:120" ht="31.35" customHeight="1" x14ac:dyDescent="0.2">
      <c r="A9" s="72" t="s">
        <v>703</v>
      </c>
      <c r="B9" s="524"/>
      <c r="C9" s="524"/>
      <c r="D9" s="525"/>
      <c r="E9" s="52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24"/>
      <c r="Q9" s="524"/>
      <c r="R9" s="524"/>
      <c r="S9" s="524"/>
      <c r="T9" s="524"/>
      <c r="U9" s="524"/>
      <c r="V9" s="501"/>
      <c r="W9" s="501"/>
      <c r="X9" s="501"/>
      <c r="Y9" s="140"/>
    </row>
    <row r="10" spans="1:120" ht="19.5" customHeight="1" x14ac:dyDescent="0.2">
      <c r="A10" s="8186" t="s">
        <v>650</v>
      </c>
      <c r="B10" s="8186" t="s">
        <v>0</v>
      </c>
      <c r="C10" s="8153" t="s">
        <v>1</v>
      </c>
      <c r="D10" s="8200" t="s">
        <v>2</v>
      </c>
      <c r="E10" s="8201"/>
      <c r="F10" s="8201"/>
      <c r="G10" s="8201"/>
      <c r="H10" s="8201"/>
      <c r="I10" s="8201"/>
      <c r="J10" s="8201"/>
      <c r="K10" s="8201"/>
      <c r="L10" s="8201"/>
      <c r="M10" s="8201"/>
      <c r="N10" s="8201"/>
      <c r="O10" s="8201"/>
      <c r="P10" s="8201"/>
      <c r="Q10" s="8201"/>
      <c r="R10" s="8201"/>
      <c r="S10" s="8201"/>
      <c r="T10" s="8202"/>
      <c r="U10" s="8156" t="s">
        <v>22</v>
      </c>
      <c r="V10" s="8157"/>
      <c r="W10" s="8127" t="s">
        <v>702</v>
      </c>
      <c r="X10" s="8153" t="s">
        <v>701</v>
      </c>
      <c r="Y10" s="8127" t="s">
        <v>3702</v>
      </c>
      <c r="Z10" s="8127" t="s">
        <v>2947</v>
      </c>
      <c r="AA10" s="8127" t="s">
        <v>2607</v>
      </c>
      <c r="AB10" s="8127" t="s">
        <v>360</v>
      </c>
      <c r="AC10" s="8124" t="s">
        <v>359</v>
      </c>
    </row>
    <row r="11" spans="1:120" ht="48" customHeight="1" x14ac:dyDescent="0.2">
      <c r="A11" s="8187"/>
      <c r="B11" s="8187"/>
      <c r="C11" s="8154"/>
      <c r="D11" s="3120" t="s">
        <v>2946</v>
      </c>
      <c r="E11" s="3237" t="s">
        <v>3444</v>
      </c>
      <c r="F11" s="3237" t="s">
        <v>3445</v>
      </c>
      <c r="G11" s="3238" t="s">
        <v>33</v>
      </c>
      <c r="H11" s="3239" t="s">
        <v>81</v>
      </c>
      <c r="I11" s="3239" t="s">
        <v>82</v>
      </c>
      <c r="J11" s="3239" t="s">
        <v>83</v>
      </c>
      <c r="K11" s="3239" t="s">
        <v>398</v>
      </c>
      <c r="L11" s="3239" t="s">
        <v>124</v>
      </c>
      <c r="M11" s="3239" t="s">
        <v>125</v>
      </c>
      <c r="N11" s="3239" t="s">
        <v>126</v>
      </c>
      <c r="O11" s="3239" t="s">
        <v>127</v>
      </c>
      <c r="P11" s="3239" t="s">
        <v>128</v>
      </c>
      <c r="Q11" s="3239" t="s">
        <v>129</v>
      </c>
      <c r="R11" s="3239" t="s">
        <v>130</v>
      </c>
      <c r="S11" s="3239" t="s">
        <v>131</v>
      </c>
      <c r="T11" s="3240" t="s">
        <v>1403</v>
      </c>
      <c r="U11" s="2476" t="s">
        <v>699</v>
      </c>
      <c r="V11" s="2463" t="s">
        <v>698</v>
      </c>
      <c r="W11" s="8146"/>
      <c r="X11" s="8154"/>
      <c r="Y11" s="8146"/>
      <c r="Z11" s="8146"/>
      <c r="AA11" s="8146"/>
      <c r="AB11" s="8146"/>
      <c r="AC11" s="8155"/>
      <c r="AD11" s="290"/>
      <c r="AE11" s="290"/>
      <c r="AF11" s="290"/>
      <c r="AG11" s="290"/>
      <c r="AH11" s="290"/>
      <c r="AI11" s="290"/>
      <c r="AJ11" s="290"/>
      <c r="AK11" s="290"/>
      <c r="AL11" s="290"/>
      <c r="AM11" s="290"/>
      <c r="AN11" s="290"/>
      <c r="AO11" s="290"/>
      <c r="AP11" s="290"/>
      <c r="AQ11" s="290"/>
      <c r="AR11" s="290"/>
      <c r="AS11" s="290"/>
      <c r="AT11" s="290"/>
    </row>
    <row r="12" spans="1:120" ht="16.350000000000001" customHeight="1" x14ac:dyDescent="0.2">
      <c r="A12" s="8153" t="s">
        <v>697</v>
      </c>
      <c r="B12" s="468" t="s">
        <v>2583</v>
      </c>
      <c r="C12" s="7334">
        <f>SUM(F12:O12)</f>
        <v>0</v>
      </c>
      <c r="D12" s="1711"/>
      <c r="E12" s="1766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9"/>
      <c r="Q12" s="79"/>
      <c r="R12" s="79"/>
      <c r="S12" s="79"/>
      <c r="T12" s="506"/>
      <c r="U12" s="2474"/>
      <c r="V12" s="2462"/>
      <c r="W12" s="2479"/>
      <c r="X12" s="523"/>
      <c r="Y12" s="2475"/>
      <c r="Z12" s="2475"/>
      <c r="AA12" s="2475"/>
      <c r="AB12" s="2475"/>
      <c r="AC12" s="1920"/>
      <c r="AD12" s="1493"/>
      <c r="AE12" s="802"/>
      <c r="AF12" s="802"/>
      <c r="AG12" s="802"/>
      <c r="AH12" s="802"/>
      <c r="AI12" s="802"/>
      <c r="AJ12" s="802"/>
      <c r="AK12" s="802"/>
      <c r="AL12" s="802"/>
      <c r="AM12" s="802"/>
      <c r="AN12" s="802"/>
      <c r="AO12" s="290"/>
      <c r="AP12" s="290"/>
      <c r="AQ12" s="290"/>
      <c r="AR12" s="290"/>
      <c r="AS12" s="290"/>
      <c r="AT12" s="290"/>
      <c r="BZ12" s="1460"/>
      <c r="CA12" s="1551"/>
      <c r="CB12" s="1551"/>
      <c r="DA12" s="3296">
        <v>0</v>
      </c>
      <c r="DE12" s="3296">
        <v>0</v>
      </c>
      <c r="DF12" s="3296">
        <v>0</v>
      </c>
      <c r="DG12" s="3296">
        <v>0</v>
      </c>
      <c r="DH12" s="3296">
        <v>0</v>
      </c>
      <c r="DI12" s="3296">
        <v>0</v>
      </c>
      <c r="DJ12" s="3296">
        <v>0</v>
      </c>
      <c r="DK12" s="3296">
        <v>0</v>
      </c>
      <c r="DL12" s="3296">
        <v>0</v>
      </c>
      <c r="DM12" s="3296">
        <v>0</v>
      </c>
      <c r="DN12" s="3296">
        <v>0</v>
      </c>
      <c r="DO12" s="3296">
        <v>0</v>
      </c>
      <c r="DP12" s="3296">
        <v>0</v>
      </c>
    </row>
    <row r="13" spans="1:120" ht="16.350000000000001" customHeight="1" x14ac:dyDescent="0.2">
      <c r="A13" s="8187"/>
      <c r="B13" s="81" t="s">
        <v>2584</v>
      </c>
      <c r="C13" s="7335">
        <f>SUM(F13:O13)</f>
        <v>0</v>
      </c>
      <c r="D13" s="1713"/>
      <c r="E13" s="1767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1720"/>
      <c r="Q13" s="1720"/>
      <c r="R13" s="1720"/>
      <c r="S13" s="1720"/>
      <c r="T13" s="1780"/>
      <c r="U13" s="2471"/>
      <c r="V13" s="2104"/>
      <c r="W13" s="2465"/>
      <c r="X13" s="499"/>
      <c r="Y13" s="2081"/>
      <c r="Z13" s="2081"/>
      <c r="AA13" s="2081"/>
      <c r="AB13" s="2081"/>
      <c r="AC13" s="2472"/>
      <c r="AD13" s="1493"/>
      <c r="AE13" s="802"/>
      <c r="AF13" s="802"/>
      <c r="AG13" s="802"/>
      <c r="AH13" s="802"/>
      <c r="AI13" s="802"/>
      <c r="AJ13" s="802"/>
      <c r="AK13" s="802"/>
      <c r="AL13" s="802"/>
      <c r="AM13" s="802"/>
      <c r="AN13" s="802"/>
      <c r="AO13" s="290"/>
      <c r="AP13" s="290"/>
      <c r="AQ13" s="290"/>
      <c r="AR13" s="290"/>
      <c r="AS13" s="290"/>
      <c r="AT13" s="290"/>
      <c r="BZ13" s="1460"/>
      <c r="CB13" s="1551"/>
      <c r="DA13" s="3296">
        <v>0</v>
      </c>
      <c r="DE13" s="3296">
        <v>0</v>
      </c>
      <c r="DF13" s="3296">
        <v>0</v>
      </c>
      <c r="DG13" s="3296">
        <v>0</v>
      </c>
      <c r="DH13" s="3296">
        <v>0</v>
      </c>
      <c r="DI13" s="3296">
        <v>0</v>
      </c>
      <c r="DJ13" s="3296">
        <v>0</v>
      </c>
      <c r="DK13" s="3296">
        <v>0</v>
      </c>
      <c r="DL13" s="3296">
        <v>0</v>
      </c>
      <c r="DM13" s="3296">
        <v>0</v>
      </c>
      <c r="DN13" s="3296">
        <v>0</v>
      </c>
      <c r="DO13" s="3296">
        <v>0</v>
      </c>
      <c r="DP13" s="3296">
        <v>0</v>
      </c>
    </row>
    <row r="14" spans="1:120" ht="16.350000000000001" customHeight="1" x14ac:dyDescent="0.2">
      <c r="A14" s="8153" t="s">
        <v>696</v>
      </c>
      <c r="B14" s="468" t="s">
        <v>2583</v>
      </c>
      <c r="C14" s="88">
        <f t="shared" ref="C14:C23" si="0">SUM(F14:O14)</f>
        <v>0</v>
      </c>
      <c r="D14" s="1708"/>
      <c r="E14" s="1768"/>
      <c r="F14" s="78"/>
      <c r="G14" s="78"/>
      <c r="H14" s="78"/>
      <c r="I14" s="78"/>
      <c r="J14" s="78"/>
      <c r="K14" s="78"/>
      <c r="L14" s="78"/>
      <c r="M14" s="78"/>
      <c r="N14" s="89"/>
      <c r="O14" s="89"/>
      <c r="P14" s="1819"/>
      <c r="Q14" s="1819"/>
      <c r="R14" s="1819"/>
      <c r="S14" s="1819"/>
      <c r="T14" s="1715"/>
      <c r="U14" s="2469"/>
      <c r="V14" s="2466"/>
      <c r="W14" s="2475"/>
      <c r="X14" s="516"/>
      <c r="Y14" s="1848"/>
      <c r="Z14" s="1145"/>
      <c r="AA14" s="1145"/>
      <c r="AB14" s="1145"/>
      <c r="AC14" s="202"/>
      <c r="AD14" s="1493"/>
      <c r="AE14" s="802"/>
      <c r="AF14" s="802"/>
      <c r="AG14" s="802"/>
      <c r="AH14" s="802"/>
      <c r="AI14" s="802"/>
      <c r="AJ14" s="802"/>
      <c r="AK14" s="802"/>
      <c r="AL14" s="802"/>
      <c r="AM14" s="802"/>
      <c r="AN14" s="802"/>
      <c r="AO14" s="290"/>
      <c r="AP14" s="290"/>
      <c r="AQ14" s="290"/>
      <c r="AR14" s="290"/>
      <c r="AS14" s="290"/>
      <c r="AT14" s="290"/>
      <c r="BZ14" s="1460"/>
      <c r="CB14" s="1551"/>
      <c r="CD14" s="1551"/>
      <c r="DA14" s="3296">
        <v>0</v>
      </c>
      <c r="DB14" s="3296">
        <v>0</v>
      </c>
      <c r="DE14" s="3296">
        <v>0</v>
      </c>
      <c r="DF14" s="3296">
        <v>0</v>
      </c>
      <c r="DG14" s="3296">
        <v>0</v>
      </c>
      <c r="DH14" s="3296">
        <v>0</v>
      </c>
      <c r="DI14" s="3296">
        <v>0</v>
      </c>
      <c r="DJ14" s="3296">
        <v>0</v>
      </c>
      <c r="DK14" s="3296">
        <v>0</v>
      </c>
      <c r="DL14" s="3296">
        <v>0</v>
      </c>
      <c r="DM14" s="3296">
        <v>0</v>
      </c>
      <c r="DN14" s="3296">
        <v>0</v>
      </c>
      <c r="DO14" s="3296">
        <v>0</v>
      </c>
      <c r="DP14" s="3296">
        <v>0</v>
      </c>
    </row>
    <row r="15" spans="1:120" ht="16.350000000000001" customHeight="1" x14ac:dyDescent="0.2">
      <c r="A15" s="8125"/>
      <c r="B15" s="92" t="s">
        <v>2584</v>
      </c>
      <c r="C15" s="522">
        <f t="shared" si="0"/>
        <v>0</v>
      </c>
      <c r="D15" s="1726"/>
      <c r="E15" s="1769"/>
      <c r="F15" s="94"/>
      <c r="G15" s="94"/>
      <c r="H15" s="94"/>
      <c r="I15" s="94"/>
      <c r="J15" s="94"/>
      <c r="K15" s="94"/>
      <c r="L15" s="94"/>
      <c r="M15" s="94"/>
      <c r="N15" s="487"/>
      <c r="O15" s="487"/>
      <c r="P15" s="1720"/>
      <c r="Q15" s="1720"/>
      <c r="R15" s="1720"/>
      <c r="S15" s="1720"/>
      <c r="T15" s="1652"/>
      <c r="U15" s="1705"/>
      <c r="V15" s="2104"/>
      <c r="W15" s="2081"/>
      <c r="X15" s="499"/>
      <c r="Y15" s="3298"/>
      <c r="Z15" s="2081"/>
      <c r="AA15" s="2081"/>
      <c r="AB15" s="2081"/>
      <c r="AC15" s="2472"/>
      <c r="AD15" s="1493"/>
      <c r="AE15" s="802"/>
      <c r="AF15" s="802"/>
      <c r="AG15" s="802"/>
      <c r="AH15" s="802"/>
      <c r="AI15" s="802"/>
      <c r="AJ15" s="802"/>
      <c r="AK15" s="802"/>
      <c r="AL15" s="802"/>
      <c r="AM15" s="802"/>
      <c r="AN15" s="802"/>
      <c r="AO15" s="290"/>
      <c r="AP15" s="1602"/>
      <c r="AQ15" s="290"/>
      <c r="AR15" s="290"/>
      <c r="AS15" s="290"/>
      <c r="AT15" s="290"/>
      <c r="BZ15" s="1460"/>
      <c r="CB15" s="1551"/>
      <c r="CD15" s="1551"/>
      <c r="DA15" s="3296">
        <v>0</v>
      </c>
      <c r="DB15" s="3296">
        <v>0</v>
      </c>
      <c r="DE15" s="3296">
        <v>0</v>
      </c>
      <c r="DF15" s="3296">
        <v>0</v>
      </c>
      <c r="DG15" s="3296">
        <v>0</v>
      </c>
      <c r="DH15" s="3296">
        <v>0</v>
      </c>
      <c r="DI15" s="3296">
        <v>0</v>
      </c>
      <c r="DJ15" s="3296">
        <v>0</v>
      </c>
      <c r="DK15" s="3296">
        <v>0</v>
      </c>
      <c r="DL15" s="3296">
        <v>0</v>
      </c>
      <c r="DM15" s="3296">
        <v>0</v>
      </c>
      <c r="DN15" s="3296">
        <v>0</v>
      </c>
      <c r="DO15" s="3296">
        <v>0</v>
      </c>
      <c r="DP15" s="3296">
        <v>0</v>
      </c>
    </row>
    <row r="16" spans="1:120" ht="16.350000000000001" customHeight="1" x14ac:dyDescent="0.2">
      <c r="A16" s="8153" t="s">
        <v>2201</v>
      </c>
      <c r="B16" s="468" t="s">
        <v>2583</v>
      </c>
      <c r="C16" s="472">
        <f t="shared" si="0"/>
        <v>0</v>
      </c>
      <c r="D16" s="1711"/>
      <c r="E16" s="1766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1819"/>
      <c r="Q16" s="1819"/>
      <c r="R16" s="1819"/>
      <c r="S16" s="1819"/>
      <c r="T16" s="1820"/>
      <c r="U16" s="2477"/>
      <c r="V16" s="2466"/>
      <c r="W16" s="2480"/>
      <c r="X16" s="516"/>
      <c r="Y16" s="1848"/>
      <c r="Z16" s="1145"/>
      <c r="AA16" s="1145"/>
      <c r="AB16" s="1145"/>
      <c r="AC16" s="202"/>
      <c r="AD16" s="1493"/>
      <c r="AE16" s="802"/>
      <c r="AF16" s="802"/>
      <c r="AG16" s="802"/>
      <c r="AH16" s="802"/>
      <c r="AI16" s="802"/>
      <c r="AJ16" s="802"/>
      <c r="AK16" s="802"/>
      <c r="AL16" s="802"/>
      <c r="AM16" s="802"/>
      <c r="AN16" s="802"/>
      <c r="AO16" s="290"/>
      <c r="AP16" s="290"/>
      <c r="AQ16" s="290"/>
      <c r="AR16" s="290"/>
      <c r="AS16" s="290"/>
      <c r="AT16" s="290"/>
      <c r="BZ16" s="1460"/>
      <c r="CB16" s="1551"/>
      <c r="DA16" s="3296">
        <v>0</v>
      </c>
      <c r="DE16" s="3296">
        <v>0</v>
      </c>
      <c r="DF16" s="3296">
        <v>0</v>
      </c>
      <c r="DG16" s="3296">
        <v>0</v>
      </c>
      <c r="DH16" s="3296">
        <v>0</v>
      </c>
      <c r="DI16" s="3296">
        <v>0</v>
      </c>
      <c r="DJ16" s="3296">
        <v>0</v>
      </c>
      <c r="DK16" s="3296">
        <v>0</v>
      </c>
      <c r="DL16" s="3296">
        <v>0</v>
      </c>
      <c r="DM16" s="3296">
        <v>0</v>
      </c>
      <c r="DN16" s="3296">
        <v>0</v>
      </c>
      <c r="DO16" s="3296">
        <v>0</v>
      </c>
      <c r="DP16" s="3296">
        <v>0</v>
      </c>
    </row>
    <row r="17" spans="1:120" ht="16.350000000000001" customHeight="1" x14ac:dyDescent="0.2">
      <c r="A17" s="8154"/>
      <c r="B17" s="81" t="s">
        <v>2584</v>
      </c>
      <c r="C17" s="473">
        <f t="shared" si="0"/>
        <v>0</v>
      </c>
      <c r="D17" s="1713"/>
      <c r="E17" s="1767"/>
      <c r="F17" s="487"/>
      <c r="G17" s="487"/>
      <c r="H17" s="487"/>
      <c r="I17" s="487"/>
      <c r="J17" s="487"/>
      <c r="K17" s="487"/>
      <c r="L17" s="487"/>
      <c r="M17" s="487"/>
      <c r="N17" s="83"/>
      <c r="O17" s="83"/>
      <c r="P17" s="1720"/>
      <c r="Q17" s="1720"/>
      <c r="R17" s="1720"/>
      <c r="S17" s="1720"/>
      <c r="T17" s="1780"/>
      <c r="U17" s="2470"/>
      <c r="V17" s="2104"/>
      <c r="W17" s="2465"/>
      <c r="X17" s="499"/>
      <c r="Y17" s="3298"/>
      <c r="Z17" s="2081"/>
      <c r="AA17" s="2081"/>
      <c r="AB17" s="2081"/>
      <c r="AC17" s="2472"/>
      <c r="AD17" s="1493"/>
      <c r="AE17" s="802"/>
      <c r="AF17" s="802"/>
      <c r="AG17" s="802"/>
      <c r="AH17" s="802"/>
      <c r="AI17" s="802"/>
      <c r="AJ17" s="802"/>
      <c r="AK17" s="802"/>
      <c r="AL17" s="802"/>
      <c r="AM17" s="802"/>
      <c r="AN17" s="802"/>
      <c r="AO17" s="290"/>
      <c r="AP17" s="290"/>
      <c r="AQ17" s="290"/>
      <c r="AR17" s="290"/>
      <c r="AS17" s="290"/>
      <c r="AT17" s="290"/>
      <c r="BZ17" s="1460"/>
      <c r="CB17" s="1551"/>
      <c r="DA17" s="3296">
        <v>0</v>
      </c>
      <c r="DE17" s="3296">
        <v>0</v>
      </c>
      <c r="DF17" s="3296">
        <v>0</v>
      </c>
      <c r="DG17" s="3296">
        <v>0</v>
      </c>
      <c r="DH17" s="3296">
        <v>0</v>
      </c>
      <c r="DI17" s="3296">
        <v>0</v>
      </c>
      <c r="DJ17" s="3296">
        <v>0</v>
      </c>
      <c r="DK17" s="3296">
        <v>0</v>
      </c>
      <c r="DL17" s="3296">
        <v>0</v>
      </c>
      <c r="DM17" s="3296">
        <v>0</v>
      </c>
      <c r="DN17" s="3296">
        <v>0</v>
      </c>
      <c r="DO17" s="3296">
        <v>0</v>
      </c>
      <c r="DP17" s="3296">
        <v>0</v>
      </c>
    </row>
    <row r="18" spans="1:120" ht="16.350000000000001" customHeight="1" x14ac:dyDescent="0.2">
      <c r="A18" s="8153" t="s">
        <v>2202</v>
      </c>
      <c r="B18" s="468" t="s">
        <v>2583</v>
      </c>
      <c r="C18" s="472">
        <f t="shared" si="0"/>
        <v>0</v>
      </c>
      <c r="D18" s="1711"/>
      <c r="E18" s="1766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1714"/>
      <c r="Q18" s="1714"/>
      <c r="R18" s="1714"/>
      <c r="S18" s="1714"/>
      <c r="T18" s="1820"/>
      <c r="U18" s="1705"/>
      <c r="V18" s="711"/>
      <c r="W18" s="1706"/>
      <c r="X18" s="565"/>
      <c r="Y18" s="1848"/>
      <c r="Z18" s="1145"/>
      <c r="AA18" s="1145"/>
      <c r="AB18" s="1145"/>
      <c r="AC18" s="202"/>
      <c r="AD18" s="1493"/>
      <c r="AE18" s="802"/>
      <c r="AF18" s="802"/>
      <c r="AG18" s="802"/>
      <c r="AH18" s="802"/>
      <c r="AI18" s="802"/>
      <c r="AJ18" s="802"/>
      <c r="AK18" s="802"/>
      <c r="AL18" s="802"/>
      <c r="AM18" s="802"/>
      <c r="AN18" s="802"/>
      <c r="AO18" s="290"/>
      <c r="AP18" s="290"/>
      <c r="AQ18" s="290"/>
      <c r="AR18" s="290"/>
      <c r="AS18" s="290"/>
      <c r="AT18" s="290"/>
      <c r="BZ18" s="1460"/>
      <c r="CB18" s="1551"/>
      <c r="DA18" s="3296">
        <v>0</v>
      </c>
      <c r="DE18" s="3296">
        <v>0</v>
      </c>
      <c r="DF18" s="3296">
        <v>0</v>
      </c>
      <c r="DG18" s="3296">
        <v>0</v>
      </c>
      <c r="DH18" s="3296">
        <v>0</v>
      </c>
      <c r="DI18" s="3296">
        <v>0</v>
      </c>
      <c r="DJ18" s="3296">
        <v>0</v>
      </c>
      <c r="DK18" s="3296">
        <v>0</v>
      </c>
      <c r="DL18" s="3296">
        <v>0</v>
      </c>
      <c r="DM18" s="3296">
        <v>0</v>
      </c>
      <c r="DN18" s="3296">
        <v>0</v>
      </c>
      <c r="DO18" s="3296">
        <v>0</v>
      </c>
      <c r="DP18" s="3296">
        <v>0</v>
      </c>
    </row>
    <row r="19" spans="1:120" ht="16.350000000000001" customHeight="1" x14ac:dyDescent="0.2">
      <c r="A19" s="8154"/>
      <c r="B19" s="81" t="s">
        <v>2584</v>
      </c>
      <c r="C19" s="473">
        <f t="shared" si="0"/>
        <v>0</v>
      </c>
      <c r="D19" s="1713"/>
      <c r="E19" s="1767"/>
      <c r="F19" s="487"/>
      <c r="G19" s="487"/>
      <c r="H19" s="487"/>
      <c r="I19" s="487"/>
      <c r="J19" s="487"/>
      <c r="K19" s="487"/>
      <c r="L19" s="487"/>
      <c r="M19" s="487"/>
      <c r="N19" s="83"/>
      <c r="O19" s="83"/>
      <c r="P19" s="1720"/>
      <c r="Q19" s="1720"/>
      <c r="R19" s="1720"/>
      <c r="S19" s="1720"/>
      <c r="T19" s="1780"/>
      <c r="U19" s="2470"/>
      <c r="V19" s="2478"/>
      <c r="W19" s="2467"/>
      <c r="X19" s="1772"/>
      <c r="Y19" s="3298"/>
      <c r="Z19" s="2081"/>
      <c r="AA19" s="2081"/>
      <c r="AB19" s="2081"/>
      <c r="AC19" s="2472"/>
      <c r="AD19" s="1493"/>
      <c r="AE19" s="802"/>
      <c r="AF19" s="802"/>
      <c r="AG19" s="802"/>
      <c r="AH19" s="802"/>
      <c r="AI19" s="802"/>
      <c r="AJ19" s="802"/>
      <c r="AK19" s="802"/>
      <c r="AL19" s="802"/>
      <c r="AM19" s="802"/>
      <c r="AN19" s="802"/>
      <c r="AO19" s="290"/>
      <c r="AP19" s="290"/>
      <c r="AQ19" s="290"/>
      <c r="AR19" s="290"/>
      <c r="AS19" s="290"/>
      <c r="AT19" s="290"/>
      <c r="BZ19" s="1460"/>
      <c r="CB19" s="1551"/>
      <c r="DA19" s="3296">
        <v>0</v>
      </c>
      <c r="DE19" s="3296">
        <v>0</v>
      </c>
      <c r="DF19" s="3296">
        <v>0</v>
      </c>
      <c r="DG19" s="3296">
        <v>0</v>
      </c>
      <c r="DH19" s="3296">
        <v>0</v>
      </c>
      <c r="DI19" s="3296">
        <v>0</v>
      </c>
      <c r="DJ19" s="3296">
        <v>0</v>
      </c>
      <c r="DK19" s="3296">
        <v>0</v>
      </c>
      <c r="DL19" s="3296">
        <v>0</v>
      </c>
      <c r="DM19" s="3296">
        <v>0</v>
      </c>
      <c r="DN19" s="3296">
        <v>0</v>
      </c>
      <c r="DO19" s="3296">
        <v>0</v>
      </c>
      <c r="DP19" s="3296">
        <v>0</v>
      </c>
    </row>
    <row r="20" spans="1:120" ht="16.350000000000001" customHeight="1" x14ac:dyDescent="0.2">
      <c r="A20" s="8125" t="s">
        <v>695</v>
      </c>
      <c r="B20" s="468" t="s">
        <v>2583</v>
      </c>
      <c r="C20" s="1707">
        <f t="shared" si="0"/>
        <v>0</v>
      </c>
      <c r="D20" s="1708"/>
      <c r="E20" s="1768"/>
      <c r="F20" s="1703"/>
      <c r="G20" s="1703"/>
      <c r="H20" s="1703"/>
      <c r="I20" s="1703"/>
      <c r="J20" s="1703"/>
      <c r="K20" s="1703"/>
      <c r="L20" s="1703"/>
      <c r="M20" s="1703"/>
      <c r="N20" s="1703"/>
      <c r="O20" s="1703"/>
      <c r="P20" s="1714"/>
      <c r="Q20" s="1714"/>
      <c r="R20" s="1714"/>
      <c r="S20" s="1714"/>
      <c r="T20" s="1715"/>
      <c r="U20" s="2469"/>
      <c r="V20" s="2466"/>
      <c r="W20" s="91"/>
      <c r="X20" s="91"/>
      <c r="Y20" s="1848"/>
      <c r="Z20" s="1145"/>
      <c r="AA20" s="1145"/>
      <c r="AB20" s="1145"/>
      <c r="AC20" s="202"/>
      <c r="AD20" s="1493"/>
      <c r="AE20" s="802"/>
      <c r="AF20" s="802"/>
      <c r="AG20" s="802"/>
      <c r="AH20" s="802"/>
      <c r="AI20" s="802"/>
      <c r="AJ20" s="802"/>
      <c r="AK20" s="802"/>
      <c r="AL20" s="802"/>
      <c r="AM20" s="802"/>
      <c r="AN20" s="802"/>
      <c r="AO20" s="290"/>
      <c r="AP20" s="290"/>
      <c r="AQ20" s="290"/>
      <c r="AR20" s="290"/>
      <c r="AS20" s="290"/>
      <c r="AT20" s="290"/>
      <c r="BZ20" s="1460"/>
      <c r="CB20" s="1551"/>
      <c r="CD20" s="1451" t="str">
        <f>IF(AND(C20&lt;&gt;0,'A05'!C81=""),"* No olvide registrar ingresos a control de salud de los respectivos RN, en REM A05-sección E. ","")</f>
        <v/>
      </c>
      <c r="CE20" s="1551"/>
      <c r="DA20" s="3296">
        <v>0</v>
      </c>
      <c r="DB20" s="3296">
        <v>0</v>
      </c>
      <c r="DC20" s="3296">
        <v>0</v>
      </c>
      <c r="DE20" s="3296">
        <v>0</v>
      </c>
      <c r="DF20" s="3296">
        <v>0</v>
      </c>
      <c r="DG20" s="3296">
        <v>0</v>
      </c>
      <c r="DH20" s="3296">
        <v>0</v>
      </c>
      <c r="DI20" s="3296">
        <v>0</v>
      </c>
      <c r="DJ20" s="3296">
        <v>0</v>
      </c>
      <c r="DK20" s="3296">
        <v>0</v>
      </c>
      <c r="DL20" s="3296">
        <v>0</v>
      </c>
      <c r="DM20" s="3296">
        <v>0</v>
      </c>
      <c r="DN20" s="3296">
        <v>0</v>
      </c>
      <c r="DO20" s="3296">
        <v>0</v>
      </c>
      <c r="DP20" s="3296">
        <v>0</v>
      </c>
    </row>
    <row r="21" spans="1:120" ht="16.350000000000001" customHeight="1" x14ac:dyDescent="0.2">
      <c r="A21" s="8125"/>
      <c r="B21" s="81" t="s">
        <v>2584</v>
      </c>
      <c r="C21" s="522">
        <f t="shared" si="0"/>
        <v>0</v>
      </c>
      <c r="D21" s="1726"/>
      <c r="E21" s="1769"/>
      <c r="F21" s="94"/>
      <c r="G21" s="94"/>
      <c r="H21" s="94"/>
      <c r="I21" s="94"/>
      <c r="J21" s="94"/>
      <c r="K21" s="94"/>
      <c r="L21" s="94"/>
      <c r="M21" s="94"/>
      <c r="N21" s="83"/>
      <c r="O21" s="487"/>
      <c r="P21" s="1720"/>
      <c r="Q21" s="1720"/>
      <c r="R21" s="1720"/>
      <c r="S21" s="1720"/>
      <c r="T21" s="1652"/>
      <c r="U21" s="1705"/>
      <c r="V21" s="2104"/>
      <c r="W21" s="97"/>
      <c r="X21" s="97"/>
      <c r="Y21" s="3298"/>
      <c r="Z21" s="2081"/>
      <c r="AA21" s="2081"/>
      <c r="AB21" s="2081"/>
      <c r="AC21" s="2472"/>
      <c r="AD21" s="1493"/>
      <c r="AE21" s="802"/>
      <c r="AF21" s="802"/>
      <c r="AG21" s="802"/>
      <c r="AH21" s="802"/>
      <c r="AI21" s="802"/>
      <c r="AJ21" s="802"/>
      <c r="AK21" s="802"/>
      <c r="AL21" s="802"/>
      <c r="AM21" s="802"/>
      <c r="AN21" s="802"/>
      <c r="AO21" s="290"/>
      <c r="AP21" s="290"/>
      <c r="AQ21" s="290"/>
      <c r="AR21" s="290"/>
      <c r="AS21" s="290"/>
      <c r="AT21" s="290"/>
      <c r="BZ21" s="1460"/>
      <c r="CB21" s="1551"/>
      <c r="CD21" s="1451" t="str">
        <f>IF(AND(C21&lt;&gt;0,'A05'!C81=""),"* No olvide registrar ingresos a control de salud de los respectivos RN, en REM A05-sección E. ","")</f>
        <v/>
      </c>
      <c r="DA21" s="3296">
        <v>0</v>
      </c>
      <c r="DB21" s="3296">
        <v>0</v>
      </c>
      <c r="DC21" s="3296">
        <v>0</v>
      </c>
      <c r="DE21" s="3296">
        <v>0</v>
      </c>
      <c r="DF21" s="3296">
        <v>0</v>
      </c>
      <c r="DG21" s="3296">
        <v>0</v>
      </c>
      <c r="DH21" s="3296">
        <v>0</v>
      </c>
      <c r="DI21" s="3296">
        <v>0</v>
      </c>
      <c r="DJ21" s="3296">
        <v>0</v>
      </c>
      <c r="DK21" s="3296">
        <v>0</v>
      </c>
      <c r="DL21" s="3296">
        <v>0</v>
      </c>
      <c r="DM21" s="3296">
        <v>0</v>
      </c>
      <c r="DN21" s="3296">
        <v>0</v>
      </c>
      <c r="DO21" s="3296">
        <v>0</v>
      </c>
      <c r="DP21" s="3296">
        <v>0</v>
      </c>
    </row>
    <row r="22" spans="1:120" ht="16.350000000000001" customHeight="1" x14ac:dyDescent="0.2">
      <c r="A22" s="8153" t="s">
        <v>694</v>
      </c>
      <c r="B22" s="468" t="s">
        <v>2583</v>
      </c>
      <c r="C22" s="1710">
        <f t="shared" si="0"/>
        <v>0</v>
      </c>
      <c r="D22" s="1711"/>
      <c r="E22" s="1766"/>
      <c r="F22" s="1712"/>
      <c r="G22" s="1712"/>
      <c r="H22" s="1712"/>
      <c r="I22" s="1712"/>
      <c r="J22" s="1712"/>
      <c r="K22" s="1712"/>
      <c r="L22" s="1712"/>
      <c r="M22" s="1712"/>
      <c r="N22" s="1712"/>
      <c r="O22" s="1712"/>
      <c r="P22" s="1819"/>
      <c r="Q22" s="1819"/>
      <c r="R22" s="1819"/>
      <c r="S22" s="1819"/>
      <c r="T22" s="1820"/>
      <c r="U22" s="2477"/>
      <c r="V22" s="2466"/>
      <c r="W22" s="521"/>
      <c r="X22" s="521"/>
      <c r="Y22" s="1848"/>
      <c r="Z22" s="1145"/>
      <c r="AA22" s="1145"/>
      <c r="AB22" s="1145"/>
      <c r="AC22" s="202"/>
      <c r="AD22" s="1493"/>
      <c r="AE22" s="802"/>
      <c r="AF22" s="802"/>
      <c r="AG22" s="802"/>
      <c r="AH22" s="802"/>
      <c r="AI22" s="802"/>
      <c r="AJ22" s="802"/>
      <c r="AK22" s="802"/>
      <c r="AL22" s="802"/>
      <c r="AM22" s="802"/>
      <c r="AN22" s="802"/>
      <c r="AO22" s="290"/>
      <c r="AP22" s="290"/>
      <c r="AQ22" s="290"/>
      <c r="AR22" s="290"/>
      <c r="AS22" s="290"/>
      <c r="AT22" s="290"/>
      <c r="BZ22" s="1460"/>
      <c r="CB22" s="1551"/>
      <c r="CD22" s="1451" t="str">
        <f>IF(AND(C22&lt;&gt;0,'A05'!C81=""),"* No olvide registrar ingresos a control de salud de los respectivos RN, en REM A05-sección E. ","")</f>
        <v/>
      </c>
      <c r="CE22" s="1551"/>
      <c r="DA22" s="3296">
        <v>0</v>
      </c>
      <c r="DB22" s="3296">
        <v>0</v>
      </c>
      <c r="DC22" s="3296">
        <v>0</v>
      </c>
      <c r="DE22" s="3296">
        <v>0</v>
      </c>
      <c r="DF22" s="3296">
        <v>0</v>
      </c>
      <c r="DG22" s="3296">
        <v>0</v>
      </c>
      <c r="DH22" s="3296">
        <v>0</v>
      </c>
      <c r="DI22" s="3296">
        <v>0</v>
      </c>
      <c r="DJ22" s="3296">
        <v>0</v>
      </c>
      <c r="DK22" s="3296">
        <v>0</v>
      </c>
      <c r="DL22" s="3296">
        <v>0</v>
      </c>
      <c r="DM22" s="3296">
        <v>0</v>
      </c>
      <c r="DN22" s="3296">
        <v>0</v>
      </c>
      <c r="DO22" s="3296">
        <v>0</v>
      </c>
      <c r="DP22" s="3296">
        <v>0</v>
      </c>
    </row>
    <row r="23" spans="1:120" ht="16.350000000000001" customHeight="1" x14ac:dyDescent="0.2">
      <c r="A23" s="8154"/>
      <c r="B23" s="81" t="s">
        <v>2584</v>
      </c>
      <c r="C23" s="1709">
        <f t="shared" si="0"/>
        <v>0</v>
      </c>
      <c r="D23" s="1713"/>
      <c r="E23" s="1767"/>
      <c r="F23" s="753"/>
      <c r="G23" s="753"/>
      <c r="H23" s="753"/>
      <c r="I23" s="753"/>
      <c r="J23" s="753"/>
      <c r="K23" s="753"/>
      <c r="L23" s="753"/>
      <c r="M23" s="753"/>
      <c r="N23" s="753"/>
      <c r="O23" s="753"/>
      <c r="P23" s="1720"/>
      <c r="Q23" s="1720"/>
      <c r="R23" s="1720"/>
      <c r="S23" s="1720"/>
      <c r="T23" s="1780"/>
      <c r="U23" s="2470"/>
      <c r="V23" s="2104"/>
      <c r="W23" s="86"/>
      <c r="X23" s="86"/>
      <c r="Y23" s="3298"/>
      <c r="Z23" s="2081"/>
      <c r="AA23" s="2081"/>
      <c r="AB23" s="2081"/>
      <c r="AC23" s="2472"/>
      <c r="AD23" s="1493"/>
      <c r="AE23" s="802"/>
      <c r="AF23" s="802"/>
      <c r="AG23" s="802"/>
      <c r="AH23" s="802"/>
      <c r="AI23" s="802"/>
      <c r="AJ23" s="802"/>
      <c r="AK23" s="802"/>
      <c r="AL23" s="802"/>
      <c r="AM23" s="802"/>
      <c r="AN23" s="802"/>
      <c r="AO23" s="290"/>
      <c r="AP23" s="290"/>
      <c r="AQ23" s="290"/>
      <c r="AR23" s="290"/>
      <c r="AS23" s="290"/>
      <c r="AT23" s="290"/>
      <c r="BZ23" s="1460"/>
      <c r="CB23" s="1551"/>
      <c r="CD23" s="1451" t="str">
        <f>IF(AND(C23&lt;&gt;0,'A05'!C81=""),"* No olvide registrar ingresos a control de salud de los respectivos RN, en REM A05-sección E. ","")</f>
        <v/>
      </c>
      <c r="DA23" s="3296">
        <v>0</v>
      </c>
      <c r="DB23" s="3296">
        <v>0</v>
      </c>
      <c r="DC23" s="3296">
        <v>0</v>
      </c>
      <c r="DE23" s="3296">
        <v>0</v>
      </c>
      <c r="DF23" s="3296">
        <v>0</v>
      </c>
      <c r="DG23" s="3296">
        <v>0</v>
      </c>
      <c r="DH23" s="3296">
        <v>0</v>
      </c>
      <c r="DI23" s="3296">
        <v>0</v>
      </c>
      <c r="DJ23" s="3296">
        <v>0</v>
      </c>
      <c r="DK23" s="3296">
        <v>0</v>
      </c>
      <c r="DL23" s="3296">
        <v>0</v>
      </c>
      <c r="DM23" s="3296">
        <v>0</v>
      </c>
      <c r="DN23" s="3296">
        <v>0</v>
      </c>
      <c r="DO23" s="3296">
        <v>0</v>
      </c>
      <c r="DP23" s="3296">
        <v>0</v>
      </c>
    </row>
    <row r="24" spans="1:120" ht="16.350000000000001" customHeight="1" x14ac:dyDescent="0.2">
      <c r="A24" s="8196" t="s">
        <v>3556</v>
      </c>
      <c r="B24" s="3183" t="s">
        <v>19</v>
      </c>
      <c r="C24" s="3347">
        <f>SUM(D24)</f>
        <v>0</v>
      </c>
      <c r="D24" s="3339"/>
      <c r="E24" s="3400"/>
      <c r="F24" s="3401"/>
      <c r="G24" s="3401"/>
      <c r="H24" s="3401"/>
      <c r="I24" s="3401"/>
      <c r="J24" s="3401"/>
      <c r="K24" s="3401"/>
      <c r="L24" s="3401"/>
      <c r="M24" s="3401"/>
      <c r="N24" s="3401"/>
      <c r="O24" s="3401"/>
      <c r="P24" s="1819"/>
      <c r="Q24" s="1819"/>
      <c r="R24" s="1819"/>
      <c r="S24" s="1819"/>
      <c r="T24" s="1820"/>
      <c r="U24" s="2474"/>
      <c r="V24" s="2466"/>
      <c r="W24" s="1145"/>
      <c r="X24" s="1145"/>
      <c r="Y24" s="1145"/>
      <c r="Z24" s="1145"/>
      <c r="AA24" s="1145"/>
      <c r="AB24" s="1145"/>
      <c r="AC24" s="202"/>
      <c r="AD24" s="1493"/>
      <c r="AE24" s="802"/>
      <c r="AF24" s="802"/>
      <c r="AG24" s="802"/>
      <c r="AH24" s="802"/>
      <c r="AI24" s="802"/>
      <c r="AJ24" s="802"/>
      <c r="AK24" s="802"/>
      <c r="AL24" s="802"/>
      <c r="AM24" s="802"/>
      <c r="AN24" s="802"/>
      <c r="AO24" s="290"/>
      <c r="AP24" s="290"/>
      <c r="AQ24" s="290"/>
      <c r="AR24" s="290"/>
      <c r="AS24" s="290"/>
      <c r="AT24" s="290"/>
      <c r="BZ24" s="1460"/>
      <c r="CB24" s="1551"/>
      <c r="DA24" s="3296">
        <v>0</v>
      </c>
      <c r="DE24" s="3296">
        <v>0</v>
      </c>
      <c r="DF24" s="3296">
        <v>0</v>
      </c>
      <c r="DG24" s="3296">
        <v>0</v>
      </c>
      <c r="DH24" s="3296">
        <v>0</v>
      </c>
      <c r="DI24" s="3296">
        <v>0</v>
      </c>
      <c r="DJ24" s="3296">
        <v>0</v>
      </c>
      <c r="DK24" s="3296">
        <v>0</v>
      </c>
      <c r="DL24" s="3296">
        <v>0</v>
      </c>
      <c r="DM24" s="3296">
        <v>0</v>
      </c>
      <c r="DN24" s="3296">
        <v>0</v>
      </c>
      <c r="DO24" s="3296">
        <v>0</v>
      </c>
      <c r="DP24" s="3296">
        <v>0</v>
      </c>
    </row>
    <row r="25" spans="1:120" ht="16.350000000000001" customHeight="1" x14ac:dyDescent="0.2">
      <c r="A25" s="8196"/>
      <c r="B25" s="3402" t="s">
        <v>20</v>
      </c>
      <c r="C25" s="3347">
        <f>SUM(D25)</f>
        <v>0</v>
      </c>
      <c r="D25" s="3142"/>
      <c r="E25" s="3291"/>
      <c r="F25" s="3403"/>
      <c r="G25" s="3403"/>
      <c r="H25" s="3403"/>
      <c r="I25" s="3403"/>
      <c r="J25" s="3403"/>
      <c r="K25" s="3403"/>
      <c r="L25" s="3403"/>
      <c r="M25" s="3403"/>
      <c r="N25" s="3403"/>
      <c r="O25" s="3403"/>
      <c r="P25" s="1720"/>
      <c r="Q25" s="1720"/>
      <c r="R25" s="1720"/>
      <c r="S25" s="1720"/>
      <c r="T25" s="1780"/>
      <c r="U25" s="2471"/>
      <c r="V25" s="2104"/>
      <c r="W25" s="2081"/>
      <c r="X25" s="2081"/>
      <c r="Y25" s="2081"/>
      <c r="Z25" s="2081"/>
      <c r="AA25" s="2081"/>
      <c r="AB25" s="2081"/>
      <c r="AC25" s="2472"/>
      <c r="AD25" s="1493"/>
      <c r="AE25" s="802"/>
      <c r="AF25" s="802"/>
      <c r="AG25" s="802"/>
      <c r="AH25" s="802"/>
      <c r="AI25" s="802"/>
      <c r="AJ25" s="802"/>
      <c r="AK25" s="802"/>
      <c r="AL25" s="802"/>
      <c r="AM25" s="802"/>
      <c r="AN25" s="802"/>
      <c r="AO25" s="290"/>
      <c r="AP25" s="290"/>
      <c r="AQ25" s="290"/>
      <c r="AR25" s="290"/>
      <c r="AS25" s="290"/>
      <c r="AT25" s="290"/>
      <c r="BZ25" s="1460"/>
      <c r="CB25" s="1551"/>
      <c r="DA25" s="3296">
        <v>0</v>
      </c>
      <c r="DE25" s="3296">
        <v>0</v>
      </c>
      <c r="DF25" s="3296">
        <v>0</v>
      </c>
      <c r="DG25" s="3296">
        <v>0</v>
      </c>
      <c r="DH25" s="3296">
        <v>0</v>
      </c>
      <c r="DI25" s="3296">
        <v>0</v>
      </c>
      <c r="DJ25" s="3296">
        <v>0</v>
      </c>
      <c r="DK25" s="3296">
        <v>0</v>
      </c>
      <c r="DL25" s="3296">
        <v>0</v>
      </c>
      <c r="DM25" s="3296">
        <v>0</v>
      </c>
      <c r="DN25" s="3296">
        <v>0</v>
      </c>
      <c r="DO25" s="3296">
        <v>0</v>
      </c>
      <c r="DP25" s="3296">
        <v>0</v>
      </c>
    </row>
    <row r="26" spans="1:120" ht="16.350000000000001" customHeight="1" x14ac:dyDescent="0.2">
      <c r="A26" s="8197" t="s">
        <v>3557</v>
      </c>
      <c r="B26" s="3404" t="s">
        <v>19</v>
      </c>
      <c r="C26" s="3405">
        <f>SUM(D26)</f>
        <v>0</v>
      </c>
      <c r="D26" s="3225"/>
      <c r="E26" s="3406"/>
      <c r="F26" s="3407"/>
      <c r="G26" s="3407"/>
      <c r="H26" s="3407"/>
      <c r="I26" s="3407"/>
      <c r="J26" s="3407"/>
      <c r="K26" s="3407"/>
      <c r="L26" s="3407"/>
      <c r="M26" s="3407"/>
      <c r="N26" s="3407"/>
      <c r="O26" s="3407"/>
      <c r="P26" s="1819"/>
      <c r="Q26" s="1819"/>
      <c r="R26" s="1819"/>
      <c r="S26" s="1819"/>
      <c r="T26" s="1820"/>
      <c r="U26" s="2474"/>
      <c r="V26" s="2466"/>
      <c r="W26" s="1145"/>
      <c r="X26" s="1145"/>
      <c r="Y26" s="1145"/>
      <c r="Z26" s="1145"/>
      <c r="AA26" s="1145"/>
      <c r="AB26" s="1145"/>
      <c r="AC26" s="202"/>
      <c r="AD26" s="1493"/>
      <c r="AE26" s="802"/>
      <c r="AF26" s="802"/>
      <c r="AG26" s="802"/>
      <c r="AH26" s="802"/>
      <c r="AI26" s="802"/>
      <c r="AJ26" s="802"/>
      <c r="AK26" s="802"/>
      <c r="AL26" s="802"/>
      <c r="AM26" s="802"/>
      <c r="AN26" s="802"/>
      <c r="AO26" s="290"/>
      <c r="AP26" s="290"/>
      <c r="AQ26" s="290"/>
      <c r="AR26" s="290"/>
      <c r="AS26" s="290"/>
      <c r="AT26" s="290"/>
      <c r="BZ26" s="1460"/>
      <c r="CB26" s="1551"/>
      <c r="DA26" s="3296">
        <v>0</v>
      </c>
      <c r="DE26" s="3296">
        <v>0</v>
      </c>
      <c r="DF26" s="3296">
        <v>0</v>
      </c>
      <c r="DG26" s="3296">
        <v>0</v>
      </c>
      <c r="DH26" s="3296">
        <v>0</v>
      </c>
      <c r="DI26" s="3296">
        <v>0</v>
      </c>
      <c r="DJ26" s="3296">
        <v>0</v>
      </c>
      <c r="DK26" s="3296">
        <v>0</v>
      </c>
      <c r="DL26" s="3296">
        <v>0</v>
      </c>
      <c r="DM26" s="3296">
        <v>0</v>
      </c>
      <c r="DN26" s="3296">
        <v>0</v>
      </c>
      <c r="DO26" s="3296">
        <v>0</v>
      </c>
      <c r="DP26" s="3296">
        <v>0</v>
      </c>
    </row>
    <row r="27" spans="1:120" ht="16.350000000000001" customHeight="1" x14ac:dyDescent="0.2">
      <c r="A27" s="8198"/>
      <c r="B27" s="3325" t="s">
        <v>20</v>
      </c>
      <c r="C27" s="3409">
        <f>SUM(D27)</f>
        <v>0</v>
      </c>
      <c r="D27" s="3399"/>
      <c r="E27" s="3291"/>
      <c r="F27" s="3403"/>
      <c r="G27" s="3403"/>
      <c r="H27" s="3403"/>
      <c r="I27" s="3403"/>
      <c r="J27" s="3403"/>
      <c r="K27" s="3403"/>
      <c r="L27" s="3403"/>
      <c r="M27" s="3403"/>
      <c r="N27" s="3403"/>
      <c r="O27" s="3403"/>
      <c r="P27" s="1720"/>
      <c r="Q27" s="1720"/>
      <c r="R27" s="1720"/>
      <c r="S27" s="1720"/>
      <c r="T27" s="1780"/>
      <c r="U27" s="2471"/>
      <c r="V27" s="2104"/>
      <c r="W27" s="2081"/>
      <c r="X27" s="2081"/>
      <c r="Y27" s="2081"/>
      <c r="Z27" s="2081"/>
      <c r="AA27" s="2081"/>
      <c r="AB27" s="2081"/>
      <c r="AC27" s="2472"/>
      <c r="AD27" s="1493"/>
      <c r="AE27" s="802"/>
      <c r="AF27" s="802"/>
      <c r="AG27" s="802"/>
      <c r="AH27" s="802"/>
      <c r="AI27" s="802"/>
      <c r="AJ27" s="802"/>
      <c r="AK27" s="802"/>
      <c r="AL27" s="802"/>
      <c r="AM27" s="802"/>
      <c r="AN27" s="802"/>
      <c r="AO27" s="290"/>
      <c r="AP27" s="290"/>
      <c r="AQ27" s="290"/>
      <c r="AR27" s="290"/>
      <c r="AS27" s="290"/>
      <c r="AT27" s="290"/>
      <c r="BZ27" s="1460"/>
      <c r="CB27" s="1551"/>
      <c r="DA27" s="3296">
        <v>0</v>
      </c>
      <c r="DE27" s="3296">
        <v>0</v>
      </c>
      <c r="DF27" s="3296">
        <v>0</v>
      </c>
      <c r="DG27" s="3296">
        <v>0</v>
      </c>
      <c r="DH27" s="3296">
        <v>0</v>
      </c>
      <c r="DI27" s="3296">
        <v>0</v>
      </c>
      <c r="DJ27" s="3296">
        <v>0</v>
      </c>
      <c r="DK27" s="3296">
        <v>0</v>
      </c>
      <c r="DL27" s="3296">
        <v>0</v>
      </c>
      <c r="DM27" s="3296">
        <v>0</v>
      </c>
      <c r="DN27" s="3296">
        <v>0</v>
      </c>
      <c r="DO27" s="3296">
        <v>0</v>
      </c>
      <c r="DP27" s="3296">
        <v>0</v>
      </c>
    </row>
    <row r="28" spans="1:120" ht="16.350000000000001" customHeight="1" x14ac:dyDescent="0.2">
      <c r="A28" s="8189" t="s">
        <v>693</v>
      </c>
      <c r="B28" s="468" t="s">
        <v>2583</v>
      </c>
      <c r="C28" s="3132">
        <f>SUM(F28:T28)</f>
        <v>0</v>
      </c>
      <c r="D28" s="1711"/>
      <c r="E28" s="1766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2469"/>
      <c r="V28" s="2466"/>
      <c r="W28" s="2480"/>
      <c r="X28" s="1773"/>
      <c r="Y28" s="1145"/>
      <c r="Z28" s="1145"/>
      <c r="AA28" s="1145"/>
      <c r="AB28" s="1145"/>
      <c r="AC28" s="1145"/>
      <c r="AD28" s="1493"/>
      <c r="AE28" s="802"/>
      <c r="AF28" s="802"/>
      <c r="AG28" s="802"/>
      <c r="AH28" s="802"/>
      <c r="AI28" s="802"/>
      <c r="AJ28" s="802"/>
      <c r="AK28" s="802"/>
      <c r="AL28" s="802"/>
      <c r="AM28" s="802"/>
      <c r="AN28" s="802"/>
      <c r="AO28" s="290"/>
      <c r="AP28" s="290"/>
      <c r="AQ28" s="290"/>
      <c r="AR28" s="290"/>
      <c r="AS28" s="290"/>
      <c r="AT28" s="290"/>
      <c r="BZ28" s="1460"/>
      <c r="CB28" s="1551"/>
      <c r="DA28" s="3296">
        <v>0</v>
      </c>
      <c r="DE28" s="3296">
        <v>0</v>
      </c>
      <c r="DF28" s="3296">
        <v>0</v>
      </c>
      <c r="DG28" s="3296">
        <v>0</v>
      </c>
      <c r="DH28" s="3296">
        <v>0</v>
      </c>
      <c r="DI28" s="3296">
        <v>0</v>
      </c>
      <c r="DJ28" s="3296">
        <v>0</v>
      </c>
      <c r="DK28" s="3296">
        <v>0</v>
      </c>
      <c r="DL28" s="3296">
        <v>0</v>
      </c>
      <c r="DM28" s="3296">
        <v>0</v>
      </c>
      <c r="DN28" s="3296">
        <v>0</v>
      </c>
      <c r="DO28" s="3296">
        <v>0</v>
      </c>
      <c r="DP28" s="3296">
        <v>0</v>
      </c>
    </row>
    <row r="29" spans="1:120" ht="16.350000000000001" customHeight="1" x14ac:dyDescent="0.2">
      <c r="A29" s="8189"/>
      <c r="B29" s="81" t="s">
        <v>2584</v>
      </c>
      <c r="C29" s="92">
        <f>SUM(F29:T29)</f>
        <v>0</v>
      </c>
      <c r="D29" s="1713"/>
      <c r="E29" s="1767"/>
      <c r="F29" s="94"/>
      <c r="G29" s="94"/>
      <c r="H29" s="94"/>
      <c r="I29" s="94"/>
      <c r="J29" s="94"/>
      <c r="K29" s="94"/>
      <c r="L29" s="94"/>
      <c r="M29" s="94"/>
      <c r="N29" s="83"/>
      <c r="O29" s="487"/>
      <c r="P29" s="487"/>
      <c r="Q29" s="94"/>
      <c r="R29" s="94"/>
      <c r="S29" s="94"/>
      <c r="T29" s="94"/>
      <c r="U29" s="1705"/>
      <c r="V29" s="2104"/>
      <c r="W29" s="2465"/>
      <c r="X29" s="499"/>
      <c r="Y29" s="2081"/>
      <c r="Z29" s="2081"/>
      <c r="AA29" s="2081"/>
      <c r="AB29" s="2081"/>
      <c r="AC29" s="2081"/>
      <c r="AD29" s="1493"/>
      <c r="AE29" s="802"/>
      <c r="AF29" s="802"/>
      <c r="AG29" s="802"/>
      <c r="AH29" s="802"/>
      <c r="AI29" s="802"/>
      <c r="AJ29" s="802"/>
      <c r="AK29" s="802"/>
      <c r="AL29" s="802"/>
      <c r="AM29" s="802"/>
      <c r="AN29" s="802"/>
      <c r="AO29" s="290"/>
      <c r="AP29" s="290"/>
      <c r="AQ29" s="290"/>
      <c r="AR29" s="290"/>
      <c r="AS29" s="290"/>
      <c r="AT29" s="290"/>
      <c r="BZ29" s="1460"/>
      <c r="CB29" s="1551"/>
      <c r="DA29" s="3296">
        <v>0</v>
      </c>
      <c r="DE29" s="3296">
        <v>0</v>
      </c>
      <c r="DF29" s="3296">
        <v>0</v>
      </c>
      <c r="DG29" s="3296">
        <v>0</v>
      </c>
      <c r="DH29" s="3296">
        <v>0</v>
      </c>
      <c r="DI29" s="3296">
        <v>0</v>
      </c>
      <c r="DJ29" s="3296">
        <v>0</v>
      </c>
      <c r="DK29" s="3296">
        <v>0</v>
      </c>
      <c r="DL29" s="3296">
        <v>0</v>
      </c>
      <c r="DM29" s="3296">
        <v>0</v>
      </c>
      <c r="DN29" s="3296">
        <v>0</v>
      </c>
      <c r="DO29" s="3296">
        <v>0</v>
      </c>
      <c r="DP29" s="3296">
        <v>0</v>
      </c>
    </row>
    <row r="30" spans="1:120" ht="16.350000000000001" customHeight="1" x14ac:dyDescent="0.2">
      <c r="A30" s="8153" t="s">
        <v>692</v>
      </c>
      <c r="B30" s="468" t="s">
        <v>2583</v>
      </c>
      <c r="C30" s="469">
        <f>SUM(M30:P30)</f>
        <v>0</v>
      </c>
      <c r="D30" s="1711"/>
      <c r="E30" s="1766"/>
      <c r="F30" s="79"/>
      <c r="G30" s="79"/>
      <c r="H30" s="79"/>
      <c r="I30" s="79"/>
      <c r="J30" s="79"/>
      <c r="K30" s="79"/>
      <c r="L30" s="79"/>
      <c r="M30" s="89"/>
      <c r="N30" s="89"/>
      <c r="O30" s="89"/>
      <c r="P30" s="89"/>
      <c r="Q30" s="79"/>
      <c r="R30" s="79"/>
      <c r="S30" s="79"/>
      <c r="T30" s="506"/>
      <c r="U30" s="2477"/>
      <c r="V30" s="2466"/>
      <c r="W30" s="2480"/>
      <c r="X30" s="516"/>
      <c r="Y30" s="1848"/>
      <c r="Z30" s="1848"/>
      <c r="AA30" s="1848"/>
      <c r="AB30" s="1145"/>
      <c r="AC30" s="202"/>
      <c r="AD30" s="1493"/>
      <c r="AE30" s="802"/>
      <c r="AF30" s="802"/>
      <c r="AG30" s="802"/>
      <c r="AH30" s="802"/>
      <c r="AI30" s="802"/>
      <c r="AJ30" s="802"/>
      <c r="AK30" s="802"/>
      <c r="AL30" s="802"/>
      <c r="AM30" s="802"/>
      <c r="AN30" s="802"/>
      <c r="AO30" s="290"/>
      <c r="AP30" s="290"/>
      <c r="AQ30" s="290"/>
      <c r="AR30" s="290"/>
      <c r="AS30" s="290"/>
      <c r="AT30" s="290"/>
      <c r="BZ30" s="1460"/>
      <c r="CB30" s="1551"/>
      <c r="DA30" s="3296">
        <v>0</v>
      </c>
      <c r="DE30" s="3296">
        <v>0</v>
      </c>
      <c r="DF30" s="3296">
        <v>0</v>
      </c>
      <c r="DG30" s="3296">
        <v>0</v>
      </c>
      <c r="DH30" s="3296">
        <v>0</v>
      </c>
      <c r="DI30" s="3296">
        <v>0</v>
      </c>
      <c r="DJ30" s="3296">
        <v>0</v>
      </c>
      <c r="DK30" s="3296">
        <v>0</v>
      </c>
      <c r="DL30" s="3296">
        <v>0</v>
      </c>
      <c r="DM30" s="3296">
        <v>0</v>
      </c>
      <c r="DN30" s="3296">
        <v>0</v>
      </c>
      <c r="DO30" s="3296">
        <v>0</v>
      </c>
      <c r="DP30" s="3296">
        <v>0</v>
      </c>
    </row>
    <row r="31" spans="1:120" ht="16.350000000000001" customHeight="1" x14ac:dyDescent="0.2">
      <c r="A31" s="8154"/>
      <c r="B31" s="81" t="s">
        <v>2584</v>
      </c>
      <c r="C31" s="517">
        <f>SUM(M31:P31)</f>
        <v>0</v>
      </c>
      <c r="D31" s="1713"/>
      <c r="E31" s="1767"/>
      <c r="F31" s="508"/>
      <c r="G31" s="508"/>
      <c r="H31" s="508"/>
      <c r="I31" s="508"/>
      <c r="J31" s="508"/>
      <c r="K31" s="508"/>
      <c r="L31" s="508"/>
      <c r="M31" s="83"/>
      <c r="N31" s="83"/>
      <c r="O31" s="487"/>
      <c r="P31" s="487"/>
      <c r="Q31" s="508"/>
      <c r="R31" s="508"/>
      <c r="S31" s="508"/>
      <c r="T31" s="309"/>
      <c r="U31" s="2473"/>
      <c r="V31" s="2104"/>
      <c r="W31" s="2465"/>
      <c r="X31" s="499"/>
      <c r="Y31" s="3298"/>
      <c r="Z31" s="3298"/>
      <c r="AA31" s="3298"/>
      <c r="AB31" s="2081"/>
      <c r="AC31" s="2472"/>
      <c r="AD31" s="1493"/>
      <c r="AE31" s="802"/>
      <c r="AF31" s="802"/>
      <c r="AG31" s="802"/>
      <c r="AH31" s="802"/>
      <c r="AI31" s="802"/>
      <c r="AJ31" s="802"/>
      <c r="AK31" s="802"/>
      <c r="AL31" s="802"/>
      <c r="AM31" s="802"/>
      <c r="AN31" s="802"/>
      <c r="AO31" s="290"/>
      <c r="AP31" s="290"/>
      <c r="AQ31" s="290"/>
      <c r="AR31" s="290"/>
      <c r="AS31" s="290"/>
      <c r="AT31" s="290"/>
      <c r="BZ31" s="1460"/>
      <c r="CB31" s="1551"/>
      <c r="DA31" s="3296">
        <v>0</v>
      </c>
      <c r="DE31" s="3296">
        <v>0</v>
      </c>
      <c r="DF31" s="3296">
        <v>0</v>
      </c>
      <c r="DG31" s="3296">
        <v>0</v>
      </c>
      <c r="DH31" s="3296">
        <v>0</v>
      </c>
      <c r="DI31" s="3296">
        <v>0</v>
      </c>
      <c r="DJ31" s="3296">
        <v>0</v>
      </c>
      <c r="DK31" s="3296">
        <v>0</v>
      </c>
      <c r="DL31" s="3296">
        <v>0</v>
      </c>
      <c r="DM31" s="3296">
        <v>0</v>
      </c>
      <c r="DN31" s="3296">
        <v>0</v>
      </c>
      <c r="DO31" s="3296">
        <v>0</v>
      </c>
      <c r="DP31" s="3296">
        <v>0</v>
      </c>
    </row>
    <row r="32" spans="1:120" ht="16.350000000000001" customHeight="1" x14ac:dyDescent="0.2">
      <c r="A32" s="8125" t="s">
        <v>691</v>
      </c>
      <c r="B32" s="468" t="s">
        <v>2583</v>
      </c>
      <c r="C32" s="468">
        <f>SUM(F32:T32)</f>
        <v>0</v>
      </c>
      <c r="D32" s="1711"/>
      <c r="E32" s="1766"/>
      <c r="F32" s="78"/>
      <c r="G32" s="78"/>
      <c r="H32" s="78"/>
      <c r="I32" s="78"/>
      <c r="J32" s="78"/>
      <c r="K32" s="78"/>
      <c r="L32" s="78"/>
      <c r="M32" s="89"/>
      <c r="N32" s="89"/>
      <c r="O32" s="89"/>
      <c r="P32" s="89"/>
      <c r="Q32" s="78"/>
      <c r="R32" s="78"/>
      <c r="S32" s="78"/>
      <c r="T32" s="99"/>
      <c r="U32" s="2468"/>
      <c r="V32" s="2466"/>
      <c r="W32" s="2480"/>
      <c r="X32" s="516"/>
      <c r="Y32" s="1145"/>
      <c r="Z32" s="1145"/>
      <c r="AA32" s="1145"/>
      <c r="AB32" s="1145"/>
      <c r="AC32" s="202"/>
      <c r="AD32" s="1493"/>
      <c r="AE32" s="802"/>
      <c r="AF32" s="802"/>
      <c r="AG32" s="802"/>
      <c r="AH32" s="802"/>
      <c r="AI32" s="802"/>
      <c r="AJ32" s="802"/>
      <c r="AK32" s="802"/>
      <c r="AL32" s="802"/>
      <c r="AM32" s="802"/>
      <c r="AN32" s="802"/>
      <c r="AO32" s="290"/>
      <c r="AP32" s="290"/>
      <c r="AQ32" s="290"/>
      <c r="AR32" s="290"/>
      <c r="AS32" s="290"/>
      <c r="AT32" s="290"/>
      <c r="BZ32" s="1460"/>
      <c r="CB32" s="1551"/>
      <c r="DA32" s="3296">
        <v>0</v>
      </c>
      <c r="DE32" s="3296">
        <v>0</v>
      </c>
      <c r="DF32" s="3296">
        <v>0</v>
      </c>
      <c r="DG32" s="3296">
        <v>0</v>
      </c>
      <c r="DH32" s="3296">
        <v>0</v>
      </c>
      <c r="DI32" s="3296">
        <v>0</v>
      </c>
      <c r="DJ32" s="3296">
        <v>0</v>
      </c>
      <c r="DK32" s="3296">
        <v>0</v>
      </c>
      <c r="DL32" s="3296">
        <v>0</v>
      </c>
      <c r="DM32" s="3296">
        <v>0</v>
      </c>
      <c r="DN32" s="3296">
        <v>0</v>
      </c>
      <c r="DO32" s="3296">
        <v>0</v>
      </c>
      <c r="DP32" s="3296">
        <v>0</v>
      </c>
    </row>
    <row r="33" spans="1:130" ht="16.350000000000001" customHeight="1" x14ac:dyDescent="0.2">
      <c r="A33" s="8154"/>
      <c r="B33" s="81" t="s">
        <v>2584</v>
      </c>
      <c r="C33" s="81">
        <f>SUM(F33:T33)</f>
        <v>0</v>
      </c>
      <c r="D33" s="1713"/>
      <c r="E33" s="1767"/>
      <c r="F33" s="83"/>
      <c r="G33" s="83"/>
      <c r="H33" s="83"/>
      <c r="I33" s="83"/>
      <c r="J33" s="83"/>
      <c r="K33" s="83"/>
      <c r="L33" s="83"/>
      <c r="M33" s="83"/>
      <c r="N33" s="487"/>
      <c r="O33" s="487"/>
      <c r="P33" s="487"/>
      <c r="Q33" s="83"/>
      <c r="R33" s="83"/>
      <c r="S33" s="83"/>
      <c r="T33" s="101"/>
      <c r="U33" s="2471"/>
      <c r="V33" s="2104"/>
      <c r="W33" s="2465"/>
      <c r="X33" s="499"/>
      <c r="Y33" s="2081"/>
      <c r="Z33" s="2081"/>
      <c r="AA33" s="2081"/>
      <c r="AB33" s="2081"/>
      <c r="AC33" s="2472"/>
      <c r="AD33" s="1493"/>
      <c r="AE33" s="802"/>
      <c r="AF33" s="802"/>
      <c r="AG33" s="802"/>
      <c r="AH33" s="802"/>
      <c r="AI33" s="802"/>
      <c r="AJ33" s="802"/>
      <c r="AK33" s="802"/>
      <c r="AL33" s="802"/>
      <c r="AM33" s="802"/>
      <c r="AN33" s="802"/>
      <c r="AO33" s="290"/>
      <c r="AP33" s="290"/>
      <c r="AQ33" s="290"/>
      <c r="AR33" s="290"/>
      <c r="AS33" s="290"/>
      <c r="AT33" s="290"/>
      <c r="BZ33" s="1460"/>
      <c r="CB33" s="1551"/>
      <c r="DA33" s="3296">
        <v>0</v>
      </c>
      <c r="DE33" s="3296">
        <v>0</v>
      </c>
      <c r="DF33" s="3296">
        <v>0</v>
      </c>
      <c r="DG33" s="3296">
        <v>0</v>
      </c>
      <c r="DH33" s="3296">
        <v>0</v>
      </c>
      <c r="DI33" s="3296">
        <v>0</v>
      </c>
      <c r="DJ33" s="3296">
        <v>0</v>
      </c>
      <c r="DK33" s="3296">
        <v>0</v>
      </c>
      <c r="DL33" s="3296">
        <v>0</v>
      </c>
      <c r="DM33" s="3296">
        <v>0</v>
      </c>
      <c r="DN33" s="3296">
        <v>0</v>
      </c>
      <c r="DO33" s="3296">
        <v>0</v>
      </c>
      <c r="DP33" s="3296">
        <v>0</v>
      </c>
    </row>
    <row r="34" spans="1:130" s="512" customFormat="1" ht="31.35" customHeight="1" x14ac:dyDescent="0.2">
      <c r="A34" s="72" t="s">
        <v>690</v>
      </c>
      <c r="B34" s="501"/>
      <c r="C34" s="501"/>
      <c r="D34" s="501"/>
      <c r="E34" s="501"/>
      <c r="F34" s="501"/>
      <c r="G34" s="501"/>
      <c r="H34" s="501"/>
      <c r="I34" s="501"/>
      <c r="J34" s="501"/>
      <c r="K34" s="501"/>
      <c r="L34" s="501"/>
      <c r="M34" s="501"/>
      <c r="N34" s="501"/>
      <c r="O34" s="501"/>
      <c r="P34" s="501"/>
      <c r="Q34" s="501"/>
      <c r="R34" s="501"/>
      <c r="S34" s="501"/>
      <c r="T34" s="501"/>
      <c r="U34" s="501"/>
      <c r="V34" s="501"/>
      <c r="W34" s="501"/>
      <c r="X34" s="501"/>
      <c r="Y34" s="501"/>
      <c r="Z34" s="501"/>
      <c r="AA34" s="501"/>
      <c r="CA34" s="515"/>
      <c r="CB34" s="515"/>
      <c r="CC34" s="515"/>
      <c r="CD34" s="515"/>
      <c r="CE34" s="515"/>
      <c r="CF34" s="515"/>
      <c r="CG34" s="515"/>
      <c r="CH34" s="515"/>
      <c r="CI34" s="515"/>
      <c r="CJ34" s="515"/>
      <c r="CK34" s="515"/>
      <c r="CL34" s="515"/>
      <c r="CM34" s="515"/>
      <c r="CN34" s="515"/>
      <c r="CO34" s="515"/>
      <c r="CP34" s="515"/>
      <c r="CQ34" s="515"/>
      <c r="CR34" s="515"/>
      <c r="CS34" s="515"/>
      <c r="CT34" s="515"/>
      <c r="CU34" s="515"/>
      <c r="CV34" s="515"/>
      <c r="CW34" s="515"/>
      <c r="CX34" s="515"/>
      <c r="CY34" s="515"/>
      <c r="CZ34" s="515"/>
      <c r="DA34" s="7363"/>
      <c r="DB34" s="7363"/>
      <c r="DC34" s="7363"/>
      <c r="DD34" s="7363"/>
      <c r="DE34" s="7363"/>
      <c r="DF34" s="7363"/>
      <c r="DG34" s="7363"/>
      <c r="DH34" s="7363"/>
      <c r="DI34" s="7363"/>
      <c r="DJ34" s="7363"/>
      <c r="DK34" s="7363"/>
      <c r="DL34" s="7363"/>
      <c r="DM34" s="7363"/>
      <c r="DN34" s="7363"/>
      <c r="DO34" s="7363"/>
      <c r="DP34" s="7363"/>
      <c r="DQ34" s="7363"/>
      <c r="DR34" s="7363"/>
      <c r="DS34" s="7363"/>
      <c r="DT34" s="7363"/>
      <c r="DU34" s="7363"/>
      <c r="DV34" s="7363"/>
      <c r="DW34" s="7363"/>
      <c r="DX34" s="7363"/>
      <c r="DY34" s="7363"/>
      <c r="DZ34" s="7363"/>
    </row>
    <row r="35" spans="1:130" s="103" customFormat="1" ht="30" customHeight="1" x14ac:dyDescent="0.2">
      <c r="A35" s="8186" t="s">
        <v>650</v>
      </c>
      <c r="B35" s="8186" t="s">
        <v>0</v>
      </c>
      <c r="C35" s="8203" t="s">
        <v>24</v>
      </c>
      <c r="D35" s="8204"/>
      <c r="E35" s="8205"/>
      <c r="F35" s="8132" t="s">
        <v>25</v>
      </c>
      <c r="G35" s="8133"/>
      <c r="H35" s="8133"/>
      <c r="I35" s="8133"/>
      <c r="J35" s="8133"/>
      <c r="K35" s="8133"/>
      <c r="L35" s="8133"/>
      <c r="M35" s="8133"/>
      <c r="N35" s="8133"/>
      <c r="O35" s="8133"/>
      <c r="P35" s="8133"/>
      <c r="Q35" s="8133"/>
      <c r="R35" s="8133"/>
      <c r="S35" s="8133"/>
      <c r="T35" s="8133"/>
      <c r="U35" s="8133"/>
      <c r="V35" s="8133"/>
      <c r="W35" s="8133"/>
      <c r="X35" s="8133"/>
      <c r="Y35" s="8133"/>
      <c r="Z35" s="8133"/>
      <c r="AA35" s="8133"/>
      <c r="AB35" s="8133"/>
      <c r="AC35" s="8133"/>
      <c r="AD35" s="8133"/>
      <c r="AE35" s="8133"/>
      <c r="AF35" s="8133"/>
      <c r="AG35" s="8133"/>
      <c r="AH35" s="8134"/>
      <c r="AI35" s="8142" t="s">
        <v>2786</v>
      </c>
      <c r="AJ35" s="8143"/>
      <c r="AK35" s="8135" t="s">
        <v>2948</v>
      </c>
      <c r="AL35" s="8135" t="s">
        <v>2607</v>
      </c>
      <c r="AM35" s="8144" t="s">
        <v>360</v>
      </c>
      <c r="AN35" s="8144" t="s">
        <v>359</v>
      </c>
      <c r="CA35" s="507"/>
      <c r="CB35" s="507"/>
      <c r="CC35" s="507"/>
      <c r="CD35" s="507"/>
      <c r="CE35" s="507"/>
      <c r="CF35" s="507"/>
      <c r="CG35" s="507"/>
      <c r="CH35" s="507"/>
      <c r="CI35" s="507"/>
      <c r="CJ35" s="507"/>
      <c r="CK35" s="507"/>
      <c r="CL35" s="507"/>
      <c r="CM35" s="507"/>
      <c r="CN35" s="507"/>
      <c r="CO35" s="507"/>
      <c r="CP35" s="507"/>
      <c r="CQ35" s="507"/>
      <c r="CR35" s="507"/>
      <c r="CS35" s="507"/>
      <c r="CT35" s="507"/>
      <c r="CU35" s="507"/>
      <c r="CV35" s="507"/>
      <c r="CW35" s="507"/>
      <c r="CX35" s="507"/>
      <c r="CY35" s="507"/>
      <c r="CZ35" s="507"/>
      <c r="DA35" s="7364"/>
      <c r="DB35" s="7364"/>
      <c r="DC35" s="7364"/>
      <c r="DD35" s="7364"/>
      <c r="DE35" s="7364"/>
      <c r="DF35" s="7364"/>
      <c r="DG35" s="7364"/>
      <c r="DH35" s="7364"/>
      <c r="DI35" s="7364"/>
      <c r="DJ35" s="7364"/>
      <c r="DK35" s="7364"/>
      <c r="DL35" s="7364"/>
      <c r="DM35" s="7364"/>
      <c r="DN35" s="7364"/>
      <c r="DO35" s="7364"/>
      <c r="DP35" s="7364"/>
      <c r="DQ35" s="7364"/>
      <c r="DR35" s="7364"/>
      <c r="DS35" s="7364"/>
      <c r="DT35" s="7364"/>
      <c r="DU35" s="7364"/>
      <c r="DV35" s="7364"/>
      <c r="DW35" s="7364"/>
      <c r="DX35" s="7364"/>
      <c r="DY35" s="7364"/>
      <c r="DZ35" s="7364"/>
    </row>
    <row r="36" spans="1:130" s="103" customFormat="1" ht="42.6" customHeight="1" x14ac:dyDescent="0.2">
      <c r="A36" s="8187"/>
      <c r="B36" s="8187"/>
      <c r="C36" s="2118" t="s">
        <v>42</v>
      </c>
      <c r="D36" s="464" t="s">
        <v>17</v>
      </c>
      <c r="E36" s="2117" t="s">
        <v>18</v>
      </c>
      <c r="F36" s="2183" t="s">
        <v>689</v>
      </c>
      <c r="G36" s="1831" t="s">
        <v>688</v>
      </c>
      <c r="H36" s="1831" t="s">
        <v>687</v>
      </c>
      <c r="I36" s="1831" t="s">
        <v>686</v>
      </c>
      <c r="J36" s="1832" t="s">
        <v>685</v>
      </c>
      <c r="K36" s="1831" t="s">
        <v>684</v>
      </c>
      <c r="L36" s="1831" t="s">
        <v>683</v>
      </c>
      <c r="M36" s="1831" t="s">
        <v>682</v>
      </c>
      <c r="N36" s="1831" t="s">
        <v>681</v>
      </c>
      <c r="O36" s="1831" t="s">
        <v>680</v>
      </c>
      <c r="P36" s="1831" t="s">
        <v>679</v>
      </c>
      <c r="Q36" s="1831" t="s">
        <v>678</v>
      </c>
      <c r="R36" s="1831" t="s">
        <v>677</v>
      </c>
      <c r="S36" s="1831" t="s">
        <v>676</v>
      </c>
      <c r="T36" s="1833" t="s">
        <v>675</v>
      </c>
      <c r="U36" s="1833" t="s">
        <v>71</v>
      </c>
      <c r="V36" s="1833" t="s">
        <v>4</v>
      </c>
      <c r="W36" s="1833" t="s">
        <v>5</v>
      </c>
      <c r="X36" s="1833" t="s">
        <v>6</v>
      </c>
      <c r="Y36" s="1833" t="s">
        <v>7</v>
      </c>
      <c r="Z36" s="1833" t="s">
        <v>8</v>
      </c>
      <c r="AA36" s="1833" t="s">
        <v>9</v>
      </c>
      <c r="AB36" s="1833" t="s">
        <v>10</v>
      </c>
      <c r="AC36" s="1833" t="s">
        <v>11</v>
      </c>
      <c r="AD36" s="1833" t="s">
        <v>12</v>
      </c>
      <c r="AE36" s="1833" t="s">
        <v>13</v>
      </c>
      <c r="AF36" s="1833" t="s">
        <v>14</v>
      </c>
      <c r="AG36" s="1833" t="s">
        <v>15</v>
      </c>
      <c r="AH36" s="1834" t="s">
        <v>16</v>
      </c>
      <c r="AI36" s="514" t="s">
        <v>674</v>
      </c>
      <c r="AJ36" s="513" t="s">
        <v>673</v>
      </c>
      <c r="AK36" s="8136"/>
      <c r="AL36" s="8136"/>
      <c r="AM36" s="8136"/>
      <c r="AN36" s="8136"/>
      <c r="AO36" s="512"/>
      <c r="AP36" s="512"/>
      <c r="CA36" s="507"/>
      <c r="CB36" s="507"/>
      <c r="CC36" s="507"/>
      <c r="CD36" s="507"/>
      <c r="CE36" s="507"/>
      <c r="CF36" s="507"/>
      <c r="CG36" s="507"/>
      <c r="CH36" s="507"/>
      <c r="CI36" s="507"/>
      <c r="CJ36" s="507"/>
      <c r="CK36" s="507"/>
      <c r="CL36" s="507"/>
      <c r="CM36" s="507"/>
      <c r="CN36" s="507"/>
      <c r="CO36" s="507"/>
      <c r="CP36" s="507"/>
      <c r="CQ36" s="507"/>
      <c r="CR36" s="507"/>
      <c r="CS36" s="507"/>
      <c r="CT36" s="507"/>
      <c r="CU36" s="507"/>
      <c r="CV36" s="507"/>
      <c r="CW36" s="507"/>
      <c r="CX36" s="507"/>
      <c r="CY36" s="507"/>
      <c r="CZ36" s="507"/>
      <c r="DA36" s="7364"/>
      <c r="DB36" s="7364"/>
      <c r="DC36" s="7364"/>
      <c r="DD36" s="7364"/>
      <c r="DE36" s="7364"/>
      <c r="DF36" s="7364"/>
      <c r="DG36" s="7364"/>
      <c r="DH36" s="7364"/>
      <c r="DI36" s="7364"/>
      <c r="DJ36" s="7364"/>
      <c r="DK36" s="7364"/>
      <c r="DL36" s="7364"/>
      <c r="DM36" s="7364"/>
      <c r="DN36" s="7364"/>
      <c r="DO36" s="7364"/>
      <c r="DP36" s="7364"/>
      <c r="DQ36" s="7364"/>
      <c r="DR36" s="7364"/>
      <c r="DS36" s="7364"/>
      <c r="DT36" s="7364"/>
      <c r="DU36" s="7364"/>
      <c r="DV36" s="7364"/>
      <c r="DW36" s="7364"/>
      <c r="DX36" s="7364"/>
      <c r="DY36" s="7364"/>
      <c r="DZ36" s="7364"/>
    </row>
    <row r="37" spans="1:130" s="103" customFormat="1" ht="14.45" customHeight="1" x14ac:dyDescent="0.2">
      <c r="A37" s="8153" t="s">
        <v>672</v>
      </c>
      <c r="B37" s="468" t="s">
        <v>2583</v>
      </c>
      <c r="C37" s="468">
        <f>SUM(F37:AH37)</f>
        <v>0</v>
      </c>
      <c r="D37" s="511"/>
      <c r="E37" s="510"/>
      <c r="F37" s="1822"/>
      <c r="G37" s="1835"/>
      <c r="H37" s="1835"/>
      <c r="I37" s="1835"/>
      <c r="J37" s="1836"/>
      <c r="K37" s="1836"/>
      <c r="L37" s="1835"/>
      <c r="M37" s="1835"/>
      <c r="N37" s="1837"/>
      <c r="O37" s="1837"/>
      <c r="P37" s="1821"/>
      <c r="Q37" s="1835"/>
      <c r="R37" s="1835"/>
      <c r="S37" s="1835"/>
      <c r="T37" s="1836"/>
      <c r="U37" s="1836"/>
      <c r="V37" s="1835"/>
      <c r="W37" s="1835"/>
      <c r="X37" s="1836"/>
      <c r="Y37" s="1836"/>
      <c r="Z37" s="1821"/>
      <c r="AA37" s="1835"/>
      <c r="AB37" s="1835"/>
      <c r="AC37" s="1835"/>
      <c r="AD37" s="1836"/>
      <c r="AE37" s="1836"/>
      <c r="AF37" s="1835"/>
      <c r="AG37" s="1835"/>
      <c r="AH37" s="1838"/>
      <c r="AI37" s="1770"/>
      <c r="AJ37" s="1730"/>
      <c r="AK37" s="1730"/>
      <c r="AL37" s="1730"/>
      <c r="AM37" s="2485"/>
      <c r="AN37" s="2485"/>
      <c r="AO37" s="1493"/>
      <c r="AP37" s="802"/>
      <c r="AQ37" s="802"/>
      <c r="AR37" s="802"/>
      <c r="AS37" s="802"/>
      <c r="AT37" s="802"/>
      <c r="AU37" s="802"/>
      <c r="AV37" s="802"/>
      <c r="AW37" s="802"/>
      <c r="AX37" s="802"/>
      <c r="AY37" s="802"/>
      <c r="CA37" s="507"/>
      <c r="CB37" s="507"/>
      <c r="CC37" s="507"/>
      <c r="CD37" s="507"/>
      <c r="CE37" s="507"/>
      <c r="CF37" s="507"/>
      <c r="CG37" s="507"/>
      <c r="CH37" s="507"/>
      <c r="CI37" s="507"/>
      <c r="CJ37" s="507"/>
      <c r="CK37" s="507"/>
      <c r="CL37" s="507"/>
      <c r="CM37" s="507"/>
      <c r="CN37" s="507"/>
      <c r="CO37" s="507"/>
      <c r="CP37" s="507"/>
      <c r="CQ37" s="507"/>
      <c r="CR37" s="507"/>
      <c r="CS37" s="507"/>
      <c r="CT37" s="507"/>
      <c r="CU37" s="507"/>
      <c r="CV37" s="507"/>
      <c r="CW37" s="507"/>
      <c r="CX37" s="507"/>
      <c r="CY37" s="507"/>
      <c r="CZ37" s="507"/>
      <c r="DA37" s="7364">
        <v>0</v>
      </c>
      <c r="DB37" s="7364">
        <v>0</v>
      </c>
      <c r="DC37" s="7364">
        <v>0</v>
      </c>
      <c r="DD37" s="7364"/>
      <c r="DE37" s="7364"/>
      <c r="DF37" s="7364"/>
      <c r="DG37" s="7364"/>
      <c r="DH37" s="7364"/>
      <c r="DI37" s="7364"/>
      <c r="DJ37" s="7364"/>
      <c r="DK37" s="7364"/>
      <c r="DL37" s="7364"/>
      <c r="DM37" s="7364"/>
      <c r="DN37" s="7364"/>
      <c r="DO37" s="7364"/>
      <c r="DP37" s="7364"/>
      <c r="DQ37" s="7364"/>
      <c r="DR37" s="7364"/>
      <c r="DS37" s="7364"/>
      <c r="DT37" s="7364"/>
      <c r="DU37" s="7364"/>
      <c r="DV37" s="7364"/>
      <c r="DW37" s="7364"/>
      <c r="DX37" s="7364"/>
      <c r="DY37" s="7364"/>
      <c r="DZ37" s="7364"/>
    </row>
    <row r="38" spans="1:130" s="103" customFormat="1" ht="14.45" customHeight="1" x14ac:dyDescent="0.2">
      <c r="A38" s="8125"/>
      <c r="B38" s="109" t="s">
        <v>2585</v>
      </c>
      <c r="C38" s="109">
        <f>SUM(F38:AH38)</f>
        <v>0</v>
      </c>
      <c r="D38" s="511"/>
      <c r="E38" s="510"/>
      <c r="F38" s="1694"/>
      <c r="G38" s="1776"/>
      <c r="H38" s="1776"/>
      <c r="I38" s="1695"/>
      <c r="J38" s="1776"/>
      <c r="K38" s="1776"/>
      <c r="L38" s="1695"/>
      <c r="M38" s="1776"/>
      <c r="N38" s="1776"/>
      <c r="O38" s="1695"/>
      <c r="P38" s="1776"/>
      <c r="Q38" s="1776"/>
      <c r="R38" s="1695"/>
      <c r="S38" s="1776"/>
      <c r="T38" s="1776"/>
      <c r="U38" s="1695"/>
      <c r="V38" s="1776"/>
      <c r="W38" s="1776"/>
      <c r="X38" s="1695"/>
      <c r="Y38" s="1776"/>
      <c r="Z38" s="1776"/>
      <c r="AA38" s="1695"/>
      <c r="AB38" s="1776"/>
      <c r="AC38" s="1776"/>
      <c r="AD38" s="1695"/>
      <c r="AE38" s="1776"/>
      <c r="AF38" s="1776"/>
      <c r="AG38" s="1695"/>
      <c r="AH38" s="1839"/>
      <c r="AI38" s="1694"/>
      <c r="AJ38" s="1777"/>
      <c r="AK38" s="1777"/>
      <c r="AL38" s="1777"/>
      <c r="AM38" s="2486"/>
      <c r="AN38" s="2486"/>
      <c r="AO38" s="1493"/>
      <c r="AP38" s="802"/>
      <c r="AQ38" s="802"/>
      <c r="AR38" s="802"/>
      <c r="AS38" s="802"/>
      <c r="AT38" s="802"/>
      <c r="AU38" s="802"/>
      <c r="AV38" s="802"/>
      <c r="AW38" s="802"/>
      <c r="AX38" s="802"/>
      <c r="AY38" s="802"/>
      <c r="CA38" s="507"/>
      <c r="CB38" s="507"/>
      <c r="CC38" s="507"/>
      <c r="CD38" s="507"/>
      <c r="CE38" s="507"/>
      <c r="CF38" s="507"/>
      <c r="CG38" s="507"/>
      <c r="CH38" s="507"/>
      <c r="CI38" s="507"/>
      <c r="CJ38" s="507"/>
      <c r="CK38" s="507"/>
      <c r="CL38" s="507"/>
      <c r="CM38" s="507"/>
      <c r="CN38" s="507"/>
      <c r="CO38" s="507"/>
      <c r="CP38" s="507"/>
      <c r="CQ38" s="507"/>
      <c r="CR38" s="507"/>
      <c r="CS38" s="507"/>
      <c r="CT38" s="507"/>
      <c r="CU38" s="507"/>
      <c r="CV38" s="507"/>
      <c r="CW38" s="507"/>
      <c r="CX38" s="507"/>
      <c r="CY38" s="507"/>
      <c r="CZ38" s="507"/>
      <c r="DA38" s="7364">
        <v>0</v>
      </c>
      <c r="DB38" s="7364">
        <v>0</v>
      </c>
      <c r="DC38" s="7364">
        <v>0</v>
      </c>
      <c r="DD38" s="7364"/>
      <c r="DE38" s="7364"/>
      <c r="DF38" s="7364"/>
      <c r="DG38" s="7364"/>
      <c r="DH38" s="7364"/>
      <c r="DI38" s="7364"/>
      <c r="DJ38" s="7364"/>
      <c r="DK38" s="7364"/>
      <c r="DL38" s="7364"/>
      <c r="DM38" s="7364"/>
      <c r="DN38" s="7364"/>
      <c r="DO38" s="7364"/>
      <c r="DP38" s="7364"/>
      <c r="DQ38" s="7364"/>
      <c r="DR38" s="7364"/>
      <c r="DS38" s="7364"/>
      <c r="DT38" s="7364"/>
      <c r="DU38" s="7364"/>
      <c r="DV38" s="7364"/>
      <c r="DW38" s="7364"/>
      <c r="DX38" s="7364"/>
      <c r="DY38" s="7364"/>
      <c r="DZ38" s="7364"/>
    </row>
    <row r="39" spans="1:130" s="103" customFormat="1" ht="14.45" customHeight="1" x14ac:dyDescent="0.2">
      <c r="A39" s="8125"/>
      <c r="B39" s="92" t="s">
        <v>2584</v>
      </c>
      <c r="C39" s="92">
        <f>SUM(F39+T39+U39+V39+W39+X39+Y39+Z39+AA39+AB39+AC39+AD39+AE39+AF39+AG39+AH39)</f>
        <v>0</v>
      </c>
      <c r="D39" s="511"/>
      <c r="E39" s="510"/>
      <c r="F39" s="1694"/>
      <c r="G39" s="1719"/>
      <c r="H39" s="1719"/>
      <c r="I39" s="1719"/>
      <c r="J39" s="1719"/>
      <c r="K39" s="1719"/>
      <c r="L39" s="1719"/>
      <c r="M39" s="1719"/>
      <c r="N39" s="1719"/>
      <c r="O39" s="1719"/>
      <c r="P39" s="1719"/>
      <c r="Q39" s="1719"/>
      <c r="R39" s="1719"/>
      <c r="S39" s="1719"/>
      <c r="T39" s="1695"/>
      <c r="U39" s="1695"/>
      <c r="V39" s="1695"/>
      <c r="W39" s="1695"/>
      <c r="X39" s="1695"/>
      <c r="Y39" s="1695"/>
      <c r="Z39" s="1695"/>
      <c r="AA39" s="1695"/>
      <c r="AB39" s="1695"/>
      <c r="AC39" s="1695"/>
      <c r="AD39" s="1695"/>
      <c r="AE39" s="1695"/>
      <c r="AF39" s="1695"/>
      <c r="AG39" s="1695"/>
      <c r="AH39" s="1671"/>
      <c r="AI39" s="1694"/>
      <c r="AJ39" s="1732"/>
      <c r="AK39" s="1777"/>
      <c r="AL39" s="1777"/>
      <c r="AM39" s="2486"/>
      <c r="AN39" s="2486"/>
      <c r="AO39" s="1493"/>
      <c r="AP39" s="802"/>
      <c r="AQ39" s="802"/>
      <c r="AR39" s="802"/>
      <c r="AS39" s="802"/>
      <c r="AT39" s="802"/>
      <c r="AU39" s="802"/>
      <c r="AV39" s="802"/>
      <c r="AW39" s="802"/>
      <c r="AX39" s="802"/>
      <c r="AY39" s="802"/>
      <c r="CA39" s="507"/>
      <c r="CB39" s="507"/>
      <c r="CC39" s="507"/>
      <c r="CD39" s="507"/>
      <c r="CE39" s="507"/>
      <c r="CF39" s="507"/>
      <c r="CG39" s="507"/>
      <c r="CH39" s="507"/>
      <c r="CI39" s="507"/>
      <c r="CJ39" s="507"/>
      <c r="CK39" s="507"/>
      <c r="CL39" s="507"/>
      <c r="CM39" s="507"/>
      <c r="CN39" s="507"/>
      <c r="CO39" s="507"/>
      <c r="CP39" s="507"/>
      <c r="CQ39" s="507"/>
      <c r="CR39" s="507"/>
      <c r="CS39" s="507"/>
      <c r="CT39" s="507"/>
      <c r="CU39" s="507"/>
      <c r="CV39" s="507"/>
      <c r="CW39" s="507"/>
      <c r="CX39" s="507"/>
      <c r="CY39" s="507"/>
      <c r="CZ39" s="507"/>
      <c r="DA39" s="7364">
        <v>0</v>
      </c>
      <c r="DB39" s="7364"/>
      <c r="DC39" s="7364">
        <v>0</v>
      </c>
      <c r="DD39" s="7364"/>
      <c r="DE39" s="7364"/>
      <c r="DF39" s="7364"/>
      <c r="DG39" s="7364"/>
      <c r="DH39" s="7364"/>
      <c r="DI39" s="7364"/>
      <c r="DJ39" s="7364"/>
      <c r="DK39" s="7364"/>
      <c r="DL39" s="7364"/>
      <c r="DM39" s="7364"/>
      <c r="DN39" s="7364"/>
      <c r="DO39" s="7364"/>
      <c r="DP39" s="7364"/>
      <c r="DQ39" s="7364"/>
      <c r="DR39" s="7364"/>
      <c r="DS39" s="7364"/>
      <c r="DT39" s="7364"/>
      <c r="DU39" s="7364"/>
      <c r="DV39" s="7364"/>
      <c r="DW39" s="7364"/>
      <c r="DX39" s="7364"/>
      <c r="DY39" s="7364"/>
      <c r="DZ39" s="7364"/>
    </row>
    <row r="40" spans="1:130" s="103" customFormat="1" ht="14.45" customHeight="1" x14ac:dyDescent="0.2">
      <c r="A40" s="8154"/>
      <c r="B40" s="2522" t="s">
        <v>3408</v>
      </c>
      <c r="C40" s="81">
        <f>SUM(N40:S40)</f>
        <v>0</v>
      </c>
      <c r="D40" s="3916"/>
      <c r="E40" s="3917"/>
      <c r="F40" s="1771"/>
      <c r="G40" s="1774"/>
      <c r="H40" s="1774"/>
      <c r="I40" s="1774"/>
      <c r="J40" s="1774"/>
      <c r="K40" s="799"/>
      <c r="L40" s="799"/>
      <c r="M40" s="799"/>
      <c r="N40" s="7338"/>
      <c r="O40" s="3064"/>
      <c r="P40" s="7338"/>
      <c r="Q40" s="7338"/>
      <c r="R40" s="3064"/>
      <c r="S40" s="7338"/>
      <c r="T40" s="799"/>
      <c r="U40" s="799"/>
      <c r="V40" s="799"/>
      <c r="W40" s="799"/>
      <c r="X40" s="799"/>
      <c r="Y40" s="799"/>
      <c r="Z40" s="799"/>
      <c r="AA40" s="799"/>
      <c r="AB40" s="799"/>
      <c r="AC40" s="799"/>
      <c r="AD40" s="799"/>
      <c r="AE40" s="799"/>
      <c r="AF40" s="799"/>
      <c r="AG40" s="1775"/>
      <c r="AH40" s="1741"/>
      <c r="AI40" s="7337"/>
      <c r="AJ40" s="7336"/>
      <c r="AK40" s="7336"/>
      <c r="AL40" s="7336"/>
      <c r="AM40" s="7336"/>
      <c r="AN40" s="7336"/>
      <c r="AO40" s="1493"/>
      <c r="AP40" s="802"/>
      <c r="AQ40" s="802"/>
      <c r="AR40" s="802"/>
      <c r="AS40" s="802"/>
      <c r="AT40" s="802"/>
      <c r="AU40" s="802"/>
      <c r="AV40" s="802"/>
      <c r="AW40" s="802"/>
      <c r="AX40" s="802"/>
      <c r="AY40" s="802"/>
      <c r="CA40" s="507"/>
      <c r="CB40" s="507"/>
      <c r="CC40" s="507"/>
      <c r="CD40" s="507"/>
      <c r="CE40" s="507"/>
      <c r="CF40" s="507"/>
      <c r="CG40" s="507"/>
      <c r="CH40" s="507"/>
      <c r="CI40" s="507"/>
      <c r="CJ40" s="507"/>
      <c r="CK40" s="507"/>
      <c r="CL40" s="507"/>
      <c r="CM40" s="507"/>
      <c r="CN40" s="507"/>
      <c r="CO40" s="507"/>
      <c r="CP40" s="507"/>
      <c r="CQ40" s="507"/>
      <c r="CR40" s="507"/>
      <c r="CS40" s="507"/>
      <c r="CT40" s="507"/>
      <c r="CU40" s="507"/>
      <c r="CV40" s="507"/>
      <c r="CW40" s="507"/>
      <c r="CX40" s="507"/>
      <c r="CY40" s="507"/>
      <c r="CZ40" s="507"/>
      <c r="DA40" s="7364"/>
      <c r="DB40" s="7364">
        <v>0</v>
      </c>
      <c r="DC40" s="7364">
        <v>0</v>
      </c>
      <c r="DD40" s="7364"/>
      <c r="DE40" s="7364"/>
      <c r="DF40" s="7364"/>
      <c r="DG40" s="7364"/>
      <c r="DH40" s="7364"/>
      <c r="DI40" s="7364"/>
      <c r="DJ40" s="7364"/>
      <c r="DK40" s="7364"/>
      <c r="DL40" s="7364"/>
      <c r="DM40" s="7364"/>
      <c r="DN40" s="7364"/>
      <c r="DO40" s="7364"/>
      <c r="DP40" s="7364"/>
      <c r="DQ40" s="7364"/>
      <c r="DR40" s="7364"/>
      <c r="DS40" s="7364"/>
      <c r="DT40" s="7364"/>
      <c r="DU40" s="7364"/>
      <c r="DV40" s="7364"/>
      <c r="DW40" s="7364"/>
      <c r="DX40" s="7364"/>
      <c r="DY40" s="7364"/>
      <c r="DZ40" s="7364"/>
    </row>
    <row r="41" spans="1:130" s="290" customFormat="1" ht="31.35" customHeight="1" x14ac:dyDescent="0.2">
      <c r="A41" s="2202" t="s">
        <v>671</v>
      </c>
      <c r="B41" s="365"/>
      <c r="C41" s="365"/>
      <c r="D41" s="365"/>
      <c r="E41" s="199"/>
      <c r="F41" s="1576"/>
      <c r="G41" s="1533"/>
      <c r="H41" s="1453"/>
      <c r="I41" s="1603"/>
      <c r="J41" s="1603"/>
      <c r="K41" s="1603"/>
      <c r="L41" s="1603"/>
      <c r="M41" s="1533"/>
      <c r="N41" s="199"/>
      <c r="O41" s="1603"/>
      <c r="P41" s="1603"/>
      <c r="Q41" s="1603"/>
      <c r="R41" s="1603"/>
      <c r="S41" s="1603"/>
      <c r="T41" s="1533"/>
      <c r="U41" s="1533"/>
      <c r="V41" s="199"/>
      <c r="W41" s="1603"/>
      <c r="X41" s="1533"/>
      <c r="Y41" s="1533"/>
      <c r="Z41" s="1533"/>
      <c r="AA41" s="199"/>
      <c r="AB41" s="486"/>
      <c r="AC41" s="1533"/>
      <c r="AD41" s="1533"/>
      <c r="AE41" s="199"/>
      <c r="AF41" s="1533"/>
      <c r="AG41" s="199"/>
      <c r="AH41" s="1603"/>
      <c r="AI41" s="1603"/>
      <c r="AJ41" s="1603"/>
      <c r="AK41" s="1603"/>
      <c r="AL41" s="1603"/>
      <c r="AM41" s="1604"/>
      <c r="AN41" s="2435"/>
      <c r="AO41" s="103"/>
      <c r="AP41" s="103"/>
      <c r="AQ41" s="103"/>
      <c r="AR41" s="103"/>
      <c r="AS41" s="103"/>
      <c r="CA41" s="1451"/>
      <c r="CB41" s="1451"/>
      <c r="CC41" s="1451"/>
      <c r="CD41" s="1451"/>
      <c r="CE41" s="1451"/>
      <c r="CF41" s="1451"/>
      <c r="CG41" s="1451"/>
      <c r="CH41" s="1451"/>
      <c r="CI41" s="1451"/>
      <c r="CJ41" s="1451"/>
      <c r="CK41" s="1451"/>
      <c r="CL41" s="1451"/>
      <c r="CM41" s="1451"/>
      <c r="CN41" s="1451"/>
      <c r="CO41" s="1451"/>
      <c r="CP41" s="1451"/>
      <c r="CQ41" s="1451"/>
      <c r="CR41" s="1451"/>
      <c r="CS41" s="1451"/>
      <c r="CT41" s="1451"/>
      <c r="CU41" s="1451"/>
      <c r="CV41" s="1451"/>
      <c r="CW41" s="1451"/>
      <c r="CX41" s="1451"/>
      <c r="CY41" s="1451"/>
      <c r="CZ41" s="1451"/>
      <c r="DA41" s="3296"/>
      <c r="DB41" s="3296"/>
      <c r="DC41" s="3296"/>
      <c r="DD41" s="3296"/>
      <c r="DE41" s="3296"/>
      <c r="DF41" s="3296"/>
      <c r="DG41" s="3296"/>
      <c r="DH41" s="3296"/>
      <c r="DI41" s="3296"/>
      <c r="DJ41" s="3296"/>
      <c r="DK41" s="3296"/>
      <c r="DL41" s="3296"/>
      <c r="DM41" s="3296"/>
      <c r="DN41" s="3296"/>
      <c r="DO41" s="3296"/>
      <c r="DP41" s="3296"/>
      <c r="DQ41" s="3296"/>
      <c r="DR41" s="3296"/>
      <c r="DS41" s="3296"/>
      <c r="DT41" s="3296"/>
      <c r="DU41" s="3296"/>
      <c r="DV41" s="3296"/>
      <c r="DW41" s="3296"/>
      <c r="DX41" s="3296"/>
      <c r="DY41" s="3296"/>
      <c r="DZ41" s="3296"/>
    </row>
    <row r="42" spans="1:130" s="290" customFormat="1" ht="14.45" customHeight="1" x14ac:dyDescent="0.2">
      <c r="A42" s="8186" t="s">
        <v>650</v>
      </c>
      <c r="B42" s="8186" t="s">
        <v>0</v>
      </c>
      <c r="C42" s="8182" t="s">
        <v>24</v>
      </c>
      <c r="D42" s="8167"/>
      <c r="E42" s="8183"/>
      <c r="F42" s="8147" t="s">
        <v>25</v>
      </c>
      <c r="G42" s="8148"/>
      <c r="H42" s="8148"/>
      <c r="I42" s="8148"/>
      <c r="J42" s="8148"/>
      <c r="K42" s="8148"/>
      <c r="L42" s="8148"/>
      <c r="M42" s="8148"/>
      <c r="N42" s="8148"/>
      <c r="O42" s="8148"/>
      <c r="P42" s="8148"/>
      <c r="Q42" s="8148"/>
      <c r="R42" s="8148"/>
      <c r="S42" s="8148"/>
      <c r="T42" s="8148"/>
      <c r="U42" s="8148"/>
      <c r="V42" s="8148"/>
      <c r="W42" s="8148"/>
      <c r="X42" s="8148"/>
      <c r="Y42" s="8148"/>
      <c r="Z42" s="8148"/>
      <c r="AA42" s="8148"/>
      <c r="AB42" s="8148"/>
      <c r="AC42" s="8148"/>
      <c r="AD42" s="8148"/>
      <c r="AE42" s="8148"/>
      <c r="AF42" s="8148"/>
      <c r="AG42" s="8148"/>
      <c r="AH42" s="8148"/>
      <c r="AI42" s="8148"/>
      <c r="AJ42" s="8148"/>
      <c r="AK42" s="8148"/>
      <c r="AL42" s="8148"/>
      <c r="AM42" s="8149"/>
      <c r="AN42" s="8129" t="s">
        <v>360</v>
      </c>
      <c r="AO42" s="8124" t="s">
        <v>359</v>
      </c>
      <c r="AP42" s="103"/>
      <c r="BZ42" s="1460"/>
      <c r="CA42" s="1451"/>
      <c r="CB42" s="1451"/>
      <c r="CC42" s="1451"/>
      <c r="CD42" s="1451"/>
      <c r="CE42" s="1451"/>
      <c r="CF42" s="1451"/>
      <c r="CG42" s="1451"/>
      <c r="CH42" s="1451"/>
      <c r="CI42" s="1451"/>
      <c r="CJ42" s="1451"/>
      <c r="CK42" s="1451"/>
      <c r="CL42" s="1451"/>
      <c r="CM42" s="1451"/>
      <c r="CN42" s="1451"/>
      <c r="CO42" s="1451"/>
      <c r="CP42" s="1451"/>
      <c r="CQ42" s="1451"/>
      <c r="CR42" s="1451"/>
      <c r="CS42" s="1451"/>
      <c r="CT42" s="1451"/>
      <c r="CU42" s="1451"/>
      <c r="CV42" s="1451"/>
      <c r="CW42" s="1451"/>
      <c r="CX42" s="1451"/>
      <c r="CY42" s="1451"/>
      <c r="CZ42" s="1451"/>
      <c r="DA42" s="3296"/>
      <c r="DB42" s="3296"/>
      <c r="DC42" s="3296"/>
      <c r="DD42" s="3296"/>
      <c r="DE42" s="3296"/>
      <c r="DF42" s="3296"/>
      <c r="DG42" s="3296"/>
      <c r="DH42" s="3296"/>
      <c r="DI42" s="3296"/>
      <c r="DJ42" s="3296"/>
      <c r="DK42" s="3296"/>
      <c r="DL42" s="3296"/>
      <c r="DM42" s="3296"/>
      <c r="DN42" s="3296"/>
      <c r="DO42" s="3296"/>
      <c r="DP42" s="3296"/>
      <c r="DQ42" s="3296"/>
      <c r="DR42" s="3296"/>
      <c r="DS42" s="3296"/>
      <c r="DT42" s="3296"/>
      <c r="DU42" s="3296"/>
      <c r="DV42" s="3296"/>
      <c r="DW42" s="3296"/>
      <c r="DX42" s="3296"/>
      <c r="DY42" s="3296"/>
      <c r="DZ42" s="3296"/>
    </row>
    <row r="43" spans="1:130" s="290" customFormat="1" ht="16.350000000000001" customHeight="1" x14ac:dyDescent="0.2">
      <c r="A43" s="8189"/>
      <c r="B43" s="8189"/>
      <c r="C43" s="8191"/>
      <c r="D43" s="8130"/>
      <c r="E43" s="8192"/>
      <c r="F43" s="8140" t="s">
        <v>3443</v>
      </c>
      <c r="G43" s="8141"/>
      <c r="H43" s="8140" t="s">
        <v>3444</v>
      </c>
      <c r="I43" s="8141"/>
      <c r="J43" s="8140" t="s">
        <v>3445</v>
      </c>
      <c r="K43" s="8141"/>
      <c r="L43" s="8140" t="s">
        <v>33</v>
      </c>
      <c r="M43" s="8141"/>
      <c r="N43" s="8137" t="s">
        <v>81</v>
      </c>
      <c r="O43" s="8139"/>
      <c r="P43" s="8137" t="s">
        <v>82</v>
      </c>
      <c r="Q43" s="8139"/>
      <c r="R43" s="8137" t="s">
        <v>83</v>
      </c>
      <c r="S43" s="8139"/>
      <c r="T43" s="8137" t="s">
        <v>398</v>
      </c>
      <c r="U43" s="8139"/>
      <c r="V43" s="8137" t="s">
        <v>124</v>
      </c>
      <c r="W43" s="8139"/>
      <c r="X43" s="8137" t="s">
        <v>125</v>
      </c>
      <c r="Y43" s="8139"/>
      <c r="Z43" s="8137" t="s">
        <v>126</v>
      </c>
      <c r="AA43" s="8139"/>
      <c r="AB43" s="8137" t="s">
        <v>127</v>
      </c>
      <c r="AC43" s="8139"/>
      <c r="AD43" s="8137" t="s">
        <v>128</v>
      </c>
      <c r="AE43" s="8139"/>
      <c r="AF43" s="8137" t="s">
        <v>129</v>
      </c>
      <c r="AG43" s="8139"/>
      <c r="AH43" s="8137" t="s">
        <v>130</v>
      </c>
      <c r="AI43" s="8139"/>
      <c r="AJ43" s="8137" t="s">
        <v>131</v>
      </c>
      <c r="AK43" s="8139"/>
      <c r="AL43" s="8137" t="s">
        <v>1403</v>
      </c>
      <c r="AM43" s="8138"/>
      <c r="AN43" s="8130"/>
      <c r="AO43" s="8125"/>
      <c r="AP43" s="103"/>
      <c r="AQ43" s="103"/>
      <c r="BZ43" s="1460"/>
      <c r="CA43" s="1451"/>
      <c r="CB43" s="1451"/>
      <c r="CC43" s="1451"/>
      <c r="CD43" s="1451"/>
      <c r="CE43" s="1451"/>
      <c r="CF43" s="1451"/>
      <c r="CG43" s="1451"/>
      <c r="CH43" s="1451"/>
      <c r="CI43" s="1451"/>
      <c r="CJ43" s="1451"/>
      <c r="CK43" s="1451"/>
      <c r="CL43" s="1451"/>
      <c r="CM43" s="1451"/>
      <c r="CN43" s="1451"/>
      <c r="CO43" s="1451"/>
      <c r="CP43" s="1451"/>
      <c r="CQ43" s="1451"/>
      <c r="CR43" s="1451"/>
      <c r="CS43" s="1451"/>
      <c r="CT43" s="1451"/>
      <c r="CU43" s="1451"/>
      <c r="CV43" s="1451"/>
      <c r="CW43" s="1451"/>
      <c r="CX43" s="1451"/>
      <c r="CY43" s="1451"/>
      <c r="CZ43" s="1451"/>
      <c r="DA43" s="3296"/>
      <c r="DB43" s="3296"/>
      <c r="DC43" s="3296"/>
      <c r="DD43" s="3296"/>
      <c r="DE43" s="3296"/>
      <c r="DF43" s="3296"/>
      <c r="DG43" s="3296"/>
      <c r="DH43" s="3296"/>
      <c r="DI43" s="3296"/>
      <c r="DJ43" s="3296"/>
      <c r="DK43" s="3296"/>
      <c r="DL43" s="3296"/>
      <c r="DM43" s="3296"/>
      <c r="DN43" s="3296"/>
      <c r="DO43" s="3296"/>
      <c r="DP43" s="3296"/>
      <c r="DQ43" s="3296"/>
      <c r="DR43" s="3296"/>
      <c r="DS43" s="3296"/>
      <c r="DT43" s="3296"/>
      <c r="DU43" s="3296"/>
      <c r="DV43" s="3296"/>
      <c r="DW43" s="3296"/>
      <c r="DX43" s="3296"/>
      <c r="DY43" s="3296"/>
      <c r="DZ43" s="3296"/>
    </row>
    <row r="44" spans="1:130" s="290" customFormat="1" ht="16.350000000000001" customHeight="1" x14ac:dyDescent="0.2">
      <c r="A44" s="8187"/>
      <c r="B44" s="8187"/>
      <c r="C44" s="8066" t="s">
        <v>42</v>
      </c>
      <c r="D44" s="8074" t="s">
        <v>17</v>
      </c>
      <c r="E44" s="8082" t="s">
        <v>18</v>
      </c>
      <c r="F44" s="2544" t="s">
        <v>17</v>
      </c>
      <c r="G44" s="2529" t="s">
        <v>18</v>
      </c>
      <c r="H44" s="2544" t="s">
        <v>17</v>
      </c>
      <c r="I44" s="2529" t="s">
        <v>18</v>
      </c>
      <c r="J44" s="2544" t="s">
        <v>17</v>
      </c>
      <c r="K44" s="2529" t="s">
        <v>18</v>
      </c>
      <c r="L44" s="2544" t="s">
        <v>17</v>
      </c>
      <c r="M44" s="2529" t="s">
        <v>18</v>
      </c>
      <c r="N44" s="2544" t="s">
        <v>17</v>
      </c>
      <c r="O44" s="2529" t="s">
        <v>18</v>
      </c>
      <c r="P44" s="2544" t="s">
        <v>17</v>
      </c>
      <c r="Q44" s="2529" t="s">
        <v>18</v>
      </c>
      <c r="R44" s="2544" t="s">
        <v>17</v>
      </c>
      <c r="S44" s="2529" t="s">
        <v>18</v>
      </c>
      <c r="T44" s="2544" t="s">
        <v>17</v>
      </c>
      <c r="U44" s="2529" t="s">
        <v>18</v>
      </c>
      <c r="V44" s="2544" t="s">
        <v>17</v>
      </c>
      <c r="W44" s="2529" t="s">
        <v>18</v>
      </c>
      <c r="X44" s="2544" t="s">
        <v>17</v>
      </c>
      <c r="Y44" s="2529" t="s">
        <v>18</v>
      </c>
      <c r="Z44" s="2544" t="s">
        <v>17</v>
      </c>
      <c r="AA44" s="2529" t="s">
        <v>18</v>
      </c>
      <c r="AB44" s="2544" t="s">
        <v>17</v>
      </c>
      <c r="AC44" s="2529" t="s">
        <v>18</v>
      </c>
      <c r="AD44" s="2544" t="s">
        <v>17</v>
      </c>
      <c r="AE44" s="2529" t="s">
        <v>18</v>
      </c>
      <c r="AF44" s="2544" t="s">
        <v>17</v>
      </c>
      <c r="AG44" s="2529" t="s">
        <v>18</v>
      </c>
      <c r="AH44" s="2544" t="s">
        <v>17</v>
      </c>
      <c r="AI44" s="2529" t="s">
        <v>18</v>
      </c>
      <c r="AJ44" s="2544" t="s">
        <v>17</v>
      </c>
      <c r="AK44" s="2529" t="s">
        <v>18</v>
      </c>
      <c r="AL44" s="2544" t="s">
        <v>17</v>
      </c>
      <c r="AM44" s="2542" t="s">
        <v>18</v>
      </c>
      <c r="AN44" s="8131"/>
      <c r="AO44" s="8126"/>
      <c r="AP44" s="103"/>
      <c r="BZ44" s="1460"/>
      <c r="CA44" s="1451"/>
      <c r="CB44" s="1451"/>
      <c r="CC44" s="1451"/>
      <c r="CD44" s="1451"/>
      <c r="CE44" s="1451"/>
      <c r="CF44" s="1451"/>
      <c r="CG44" s="1451"/>
      <c r="CH44" s="1451"/>
      <c r="CI44" s="1451"/>
      <c r="CJ44" s="1451"/>
      <c r="CK44" s="1451"/>
      <c r="CL44" s="1451"/>
      <c r="CM44" s="1451"/>
      <c r="CN44" s="1451"/>
      <c r="CO44" s="1451"/>
      <c r="CP44" s="1451"/>
      <c r="CQ44" s="1451"/>
      <c r="CR44" s="1451"/>
      <c r="CS44" s="1451"/>
      <c r="CT44" s="1451"/>
      <c r="CU44" s="1451"/>
      <c r="CV44" s="1451"/>
      <c r="CW44" s="1451"/>
      <c r="CX44" s="1451"/>
      <c r="CY44" s="1451"/>
      <c r="CZ44" s="1451"/>
      <c r="DA44" s="3296"/>
      <c r="DB44" s="3296"/>
      <c r="DC44" s="3296"/>
      <c r="DD44" s="3296"/>
      <c r="DE44" s="3296"/>
      <c r="DF44" s="3296"/>
      <c r="DG44" s="3296"/>
      <c r="DH44" s="3296"/>
      <c r="DI44" s="3296"/>
      <c r="DJ44" s="3296"/>
      <c r="DK44" s="3296"/>
      <c r="DL44" s="3296"/>
      <c r="DM44" s="3296"/>
      <c r="DN44" s="3296"/>
      <c r="DO44" s="3296"/>
      <c r="DP44" s="3296"/>
      <c r="DQ44" s="3296"/>
      <c r="DR44" s="3296"/>
      <c r="DS44" s="3296"/>
      <c r="DT44" s="3296"/>
      <c r="DU44" s="3296"/>
      <c r="DV44" s="3296"/>
      <c r="DW44" s="3296"/>
      <c r="DX44" s="3296"/>
      <c r="DY44" s="3296"/>
      <c r="DZ44" s="3296"/>
    </row>
    <row r="45" spans="1:130" ht="16.350000000000001" customHeight="1" x14ac:dyDescent="0.2">
      <c r="A45" s="8153" t="s">
        <v>670</v>
      </c>
      <c r="B45" s="468" t="s">
        <v>2583</v>
      </c>
      <c r="C45" s="8067">
        <f>SUM(D45:E45)</f>
        <v>0</v>
      </c>
      <c r="D45" s="8075">
        <f t="shared" ref="D45:E48" si="1">SUM(J45+L45+N45+P45+R45+T45+V45+X45+Z45+AB45+AD45+AF45+AH45+AJ45+AL45)</f>
        <v>0</v>
      </c>
      <c r="E45" s="8083">
        <f t="shared" si="1"/>
        <v>0</v>
      </c>
      <c r="F45" s="2481"/>
      <c r="G45" s="2484"/>
      <c r="H45" s="2481"/>
      <c r="I45" s="2484"/>
      <c r="J45" s="2481"/>
      <c r="K45" s="2484"/>
      <c r="L45" s="2483"/>
      <c r="M45" s="2490"/>
      <c r="N45" s="2483"/>
      <c r="O45" s="2490"/>
      <c r="P45" s="2483"/>
      <c r="Q45" s="2490"/>
      <c r="R45" s="2483"/>
      <c r="S45" s="2490"/>
      <c r="T45" s="2483"/>
      <c r="U45" s="2490"/>
      <c r="V45" s="2483"/>
      <c r="W45" s="2490"/>
      <c r="X45" s="2483"/>
      <c r="Y45" s="2490"/>
      <c r="Z45" s="2483"/>
      <c r="AA45" s="2490"/>
      <c r="AB45" s="2483"/>
      <c r="AC45" s="2490"/>
      <c r="AD45" s="2483"/>
      <c r="AE45" s="2490"/>
      <c r="AF45" s="2483"/>
      <c r="AG45" s="2490"/>
      <c r="AH45" s="2483"/>
      <c r="AI45" s="2490"/>
      <c r="AJ45" s="2483"/>
      <c r="AK45" s="2490"/>
      <c r="AL45" s="2483"/>
      <c r="AM45" s="2464"/>
      <c r="AN45" s="2534"/>
      <c r="AO45" s="2514"/>
      <c r="AP45" s="1493"/>
      <c r="AQ45" s="802"/>
      <c r="AR45" s="802"/>
      <c r="AS45" s="802"/>
      <c r="AT45" s="802"/>
      <c r="AU45" s="802"/>
      <c r="AV45" s="802"/>
      <c r="AW45" s="802"/>
      <c r="AX45" s="802"/>
      <c r="AY45" s="802"/>
      <c r="AZ45" s="802"/>
      <c r="BZ45" s="1460"/>
      <c r="DB45" s="3296">
        <v>0</v>
      </c>
      <c r="DD45" s="3296">
        <v>0</v>
      </c>
    </row>
    <row r="46" spans="1:130" ht="16.350000000000001" customHeight="1" x14ac:dyDescent="0.2">
      <c r="A46" s="8125"/>
      <c r="B46" s="2139" t="s">
        <v>2585</v>
      </c>
      <c r="C46" s="8068">
        <f t="shared" ref="C46:C67" si="2">SUM(D46:E46)</f>
        <v>0</v>
      </c>
      <c r="D46" s="8076">
        <f t="shared" si="1"/>
        <v>0</v>
      </c>
      <c r="E46" s="8084">
        <f t="shared" si="1"/>
        <v>0</v>
      </c>
      <c r="F46" s="2461"/>
      <c r="G46" s="2491"/>
      <c r="H46" s="2487"/>
      <c r="I46" s="2491"/>
      <c r="J46" s="2487"/>
      <c r="K46" s="2491"/>
      <c r="L46" s="2548"/>
      <c r="M46" s="2551"/>
      <c r="N46" s="2548"/>
      <c r="O46" s="2551"/>
      <c r="P46" s="2548"/>
      <c r="Q46" s="2551"/>
      <c r="R46" s="2548"/>
      <c r="S46" s="2551"/>
      <c r="T46" s="2548"/>
      <c r="U46" s="2551"/>
      <c r="V46" s="2548"/>
      <c r="W46" s="2551"/>
      <c r="X46" s="2548"/>
      <c r="Y46" s="2551"/>
      <c r="Z46" s="2548"/>
      <c r="AA46" s="2551"/>
      <c r="AB46" s="2548"/>
      <c r="AC46" s="2551"/>
      <c r="AD46" s="2548"/>
      <c r="AE46" s="2551"/>
      <c r="AF46" s="2548"/>
      <c r="AG46" s="2551"/>
      <c r="AH46" s="2548"/>
      <c r="AI46" s="2551"/>
      <c r="AJ46" s="2548"/>
      <c r="AK46" s="2551"/>
      <c r="AL46" s="2548"/>
      <c r="AM46" s="2557"/>
      <c r="AN46" s="2555"/>
      <c r="AO46" s="2555"/>
      <c r="AP46" s="1493"/>
      <c r="AQ46" s="802"/>
      <c r="AR46" s="802"/>
      <c r="AS46" s="802"/>
      <c r="AT46" s="802"/>
      <c r="AU46" s="802"/>
      <c r="AV46" s="802"/>
      <c r="AW46" s="802"/>
      <c r="AX46" s="802"/>
      <c r="AY46" s="802"/>
      <c r="AZ46" s="802"/>
      <c r="BZ46" s="1460"/>
      <c r="CA46" s="1551"/>
      <c r="DB46" s="3296">
        <v>0</v>
      </c>
      <c r="DD46" s="3296">
        <v>0</v>
      </c>
    </row>
    <row r="47" spans="1:130" ht="16.350000000000001" customHeight="1" x14ac:dyDescent="0.2">
      <c r="A47" s="8125"/>
      <c r="B47" s="109" t="s">
        <v>26</v>
      </c>
      <c r="C47" s="8068">
        <f t="shared" si="2"/>
        <v>0</v>
      </c>
      <c r="D47" s="8076">
        <f t="shared" si="1"/>
        <v>0</v>
      </c>
      <c r="E47" s="8084">
        <f t="shared" si="1"/>
        <v>0</v>
      </c>
      <c r="F47" s="2511"/>
      <c r="G47" s="2509"/>
      <c r="H47" s="2513"/>
      <c r="I47" s="2509"/>
      <c r="J47" s="2513"/>
      <c r="K47" s="2509"/>
      <c r="L47" s="2548"/>
      <c r="M47" s="2551"/>
      <c r="N47" s="2548"/>
      <c r="O47" s="2551"/>
      <c r="P47" s="2548"/>
      <c r="Q47" s="2551"/>
      <c r="R47" s="2548"/>
      <c r="S47" s="2551"/>
      <c r="T47" s="2548"/>
      <c r="U47" s="2551"/>
      <c r="V47" s="2548"/>
      <c r="W47" s="2551"/>
      <c r="X47" s="2548"/>
      <c r="Y47" s="2551"/>
      <c r="Z47" s="2548"/>
      <c r="AA47" s="2551"/>
      <c r="AB47" s="2548"/>
      <c r="AC47" s="2551"/>
      <c r="AD47" s="2548"/>
      <c r="AE47" s="2551"/>
      <c r="AF47" s="2548"/>
      <c r="AG47" s="2551"/>
      <c r="AH47" s="2548"/>
      <c r="AI47" s="2551"/>
      <c r="AJ47" s="2548"/>
      <c r="AK47" s="2551"/>
      <c r="AL47" s="2548"/>
      <c r="AM47" s="2557"/>
      <c r="AN47" s="2555"/>
      <c r="AO47" s="2555"/>
      <c r="AP47" s="1493"/>
      <c r="AQ47" s="802"/>
      <c r="AR47" s="802"/>
      <c r="AS47" s="802"/>
      <c r="AT47" s="802"/>
      <c r="AU47" s="802"/>
      <c r="AV47" s="802"/>
      <c r="AW47" s="802"/>
      <c r="AX47" s="802"/>
      <c r="AY47" s="802"/>
      <c r="AZ47" s="802"/>
      <c r="BZ47" s="1460"/>
      <c r="CA47" s="1551"/>
      <c r="DB47" s="3296">
        <v>0</v>
      </c>
      <c r="DD47" s="3296">
        <v>0</v>
      </c>
    </row>
    <row r="48" spans="1:130" ht="16.350000000000001" customHeight="1" x14ac:dyDescent="0.2">
      <c r="A48" s="8154"/>
      <c r="B48" s="2522" t="s">
        <v>3408</v>
      </c>
      <c r="C48" s="8069">
        <f t="shared" si="2"/>
        <v>0</v>
      </c>
      <c r="D48" s="8077">
        <f t="shared" si="1"/>
        <v>0</v>
      </c>
      <c r="E48" s="8085">
        <f t="shared" si="1"/>
        <v>0</v>
      </c>
      <c r="F48" s="2511"/>
      <c r="G48" s="1236"/>
      <c r="H48" s="2511"/>
      <c r="I48" s="1236"/>
      <c r="J48" s="2511"/>
      <c r="K48" s="1236"/>
      <c r="L48" s="2521"/>
      <c r="M48" s="2552"/>
      <c r="N48" s="2521"/>
      <c r="O48" s="2552"/>
      <c r="P48" s="2521"/>
      <c r="Q48" s="2552"/>
      <c r="R48" s="2521"/>
      <c r="S48" s="2552"/>
      <c r="T48" s="2521"/>
      <c r="U48" s="2552"/>
      <c r="V48" s="2521"/>
      <c r="W48" s="2552"/>
      <c r="X48" s="2521"/>
      <c r="Y48" s="2552"/>
      <c r="Z48" s="2521"/>
      <c r="AA48" s="2552"/>
      <c r="AB48" s="2521"/>
      <c r="AC48" s="2552"/>
      <c r="AD48" s="2521"/>
      <c r="AE48" s="2552"/>
      <c r="AF48" s="2521"/>
      <c r="AG48" s="2552"/>
      <c r="AH48" s="2521"/>
      <c r="AI48" s="2552"/>
      <c r="AJ48" s="2521"/>
      <c r="AK48" s="2552"/>
      <c r="AL48" s="2521"/>
      <c r="AM48" s="2558"/>
      <c r="AN48" s="2535"/>
      <c r="AO48" s="2535"/>
      <c r="AP48" s="1493"/>
      <c r="AQ48" s="802"/>
      <c r="AR48" s="802"/>
      <c r="AS48" s="802"/>
      <c r="AT48" s="802"/>
      <c r="AU48" s="802"/>
      <c r="AV48" s="802"/>
      <c r="AW48" s="802"/>
      <c r="AX48" s="802"/>
      <c r="AY48" s="802"/>
      <c r="AZ48" s="802"/>
      <c r="BZ48" s="1460"/>
      <c r="CA48" s="1551"/>
      <c r="DB48" s="3296">
        <v>0</v>
      </c>
      <c r="DD48" s="3296">
        <v>0</v>
      </c>
    </row>
    <row r="49" spans="1:108" ht="15.75" customHeight="1" x14ac:dyDescent="0.2">
      <c r="A49" s="8125" t="s">
        <v>669</v>
      </c>
      <c r="B49" s="468" t="s">
        <v>2583</v>
      </c>
      <c r="C49" s="8067">
        <f t="shared" si="2"/>
        <v>0</v>
      </c>
      <c r="D49" s="8075">
        <f>SUM(AF49+AH49+AJ49+AL49)</f>
        <v>0</v>
      </c>
      <c r="E49" s="8083">
        <f t="shared" ref="D49:E54" si="3">SUM(AG49+AI49+AK49+AM49)</f>
        <v>0</v>
      </c>
      <c r="F49" s="2481"/>
      <c r="G49" s="2545"/>
      <c r="H49" s="2481"/>
      <c r="I49" s="2545"/>
      <c r="J49" s="2481"/>
      <c r="K49" s="2484"/>
      <c r="L49" s="2481"/>
      <c r="M49" s="2484"/>
      <c r="N49" s="2481"/>
      <c r="O49" s="2484"/>
      <c r="P49" s="2481"/>
      <c r="Q49" s="2484"/>
      <c r="R49" s="2481"/>
      <c r="S49" s="2484"/>
      <c r="T49" s="2481"/>
      <c r="U49" s="2484"/>
      <c r="V49" s="2481"/>
      <c r="W49" s="2484"/>
      <c r="X49" s="2481"/>
      <c r="Y49" s="2484"/>
      <c r="Z49" s="2481"/>
      <c r="AA49" s="2484"/>
      <c r="AB49" s="2481"/>
      <c r="AC49" s="2484"/>
      <c r="AD49" s="2481"/>
      <c r="AE49" s="2484"/>
      <c r="AF49" s="2483"/>
      <c r="AG49" s="2490"/>
      <c r="AH49" s="2483"/>
      <c r="AI49" s="2490"/>
      <c r="AJ49" s="2483"/>
      <c r="AK49" s="2490"/>
      <c r="AL49" s="2483"/>
      <c r="AM49" s="2464"/>
      <c r="AN49" s="2534"/>
      <c r="AO49" s="2514"/>
      <c r="AP49" s="1493"/>
      <c r="AQ49" s="802"/>
      <c r="AR49" s="802"/>
      <c r="AS49" s="802"/>
      <c r="AT49" s="802"/>
      <c r="AU49" s="802"/>
      <c r="AV49" s="802"/>
      <c r="AW49" s="802"/>
      <c r="AX49" s="802"/>
      <c r="AY49" s="802"/>
      <c r="AZ49" s="802"/>
      <c r="BZ49" s="1460"/>
      <c r="CA49" s="1551"/>
      <c r="DB49" s="3296">
        <v>0</v>
      </c>
      <c r="DD49" s="3296">
        <v>0</v>
      </c>
    </row>
    <row r="50" spans="1:108" ht="15.75" customHeight="1" x14ac:dyDescent="0.2">
      <c r="A50" s="8190"/>
      <c r="B50" s="2977" t="s">
        <v>2585</v>
      </c>
      <c r="C50" s="8070">
        <f t="shared" si="2"/>
        <v>0</v>
      </c>
      <c r="D50" s="8078">
        <f>SUM(AF50+AH50+AJ50+AL50)</f>
        <v>0</v>
      </c>
      <c r="E50" s="8086">
        <f>SUM(AG50+AI50+AK50+AM50)</f>
        <v>0</v>
      </c>
      <c r="F50" s="1705"/>
      <c r="G50" s="1706"/>
      <c r="H50" s="1705"/>
      <c r="I50" s="1706"/>
      <c r="J50" s="1705"/>
      <c r="K50" s="2974"/>
      <c r="L50" s="1705"/>
      <c r="M50" s="2974"/>
      <c r="N50" s="1705"/>
      <c r="O50" s="2974"/>
      <c r="P50" s="1705"/>
      <c r="Q50" s="2974"/>
      <c r="R50" s="1705"/>
      <c r="S50" s="2974"/>
      <c r="T50" s="1705"/>
      <c r="U50" s="2974"/>
      <c r="V50" s="1705"/>
      <c r="W50" s="2974"/>
      <c r="X50" s="1705"/>
      <c r="Y50" s="2974"/>
      <c r="Z50" s="1705"/>
      <c r="AA50" s="2974"/>
      <c r="AB50" s="1705"/>
      <c r="AC50" s="2974"/>
      <c r="AD50" s="1705"/>
      <c r="AE50" s="2974"/>
      <c r="AF50" s="824"/>
      <c r="AG50" s="2496"/>
      <c r="AH50" s="824"/>
      <c r="AI50" s="2496"/>
      <c r="AJ50" s="824"/>
      <c r="AK50" s="2496"/>
      <c r="AL50" s="824"/>
      <c r="AM50" s="2895"/>
      <c r="AN50" s="1145"/>
      <c r="AO50" s="1145"/>
      <c r="AP50" s="1493"/>
      <c r="AQ50" s="802"/>
      <c r="AR50" s="802"/>
      <c r="AS50" s="802"/>
      <c r="AT50" s="802"/>
      <c r="AU50" s="802"/>
      <c r="AV50" s="802"/>
      <c r="AW50" s="802"/>
      <c r="AX50" s="802"/>
      <c r="AY50" s="802"/>
      <c r="AZ50" s="802"/>
      <c r="BZ50" s="1460"/>
      <c r="CA50" s="1551"/>
      <c r="DB50" s="3296">
        <v>0</v>
      </c>
      <c r="DD50" s="3296">
        <v>0</v>
      </c>
    </row>
    <row r="51" spans="1:108" ht="24.6" customHeight="1" x14ac:dyDescent="0.2">
      <c r="A51" s="8154"/>
      <c r="B51" s="603" t="s">
        <v>2608</v>
      </c>
      <c r="C51" s="8069">
        <f t="shared" si="2"/>
        <v>0</v>
      </c>
      <c r="D51" s="8077">
        <f t="shared" si="3"/>
        <v>0</v>
      </c>
      <c r="E51" s="8085">
        <f t="shared" si="3"/>
        <v>0</v>
      </c>
      <c r="F51" s="2523"/>
      <c r="G51" s="2537"/>
      <c r="H51" s="2523"/>
      <c r="I51" s="2537"/>
      <c r="J51" s="2523"/>
      <c r="K51" s="2488"/>
      <c r="L51" s="2523"/>
      <c r="M51" s="2488"/>
      <c r="N51" s="2523"/>
      <c r="O51" s="2488"/>
      <c r="P51" s="2523"/>
      <c r="Q51" s="2488"/>
      <c r="R51" s="2523"/>
      <c r="S51" s="2488"/>
      <c r="T51" s="2523"/>
      <c r="U51" s="2488"/>
      <c r="V51" s="2523"/>
      <c r="W51" s="2488"/>
      <c r="X51" s="2523"/>
      <c r="Y51" s="2488"/>
      <c r="Z51" s="2523"/>
      <c r="AA51" s="2488"/>
      <c r="AB51" s="2523"/>
      <c r="AC51" s="2488"/>
      <c r="AD51" s="2523"/>
      <c r="AE51" s="2488"/>
      <c r="AF51" s="2521"/>
      <c r="AG51" s="2552"/>
      <c r="AH51" s="2521"/>
      <c r="AI51" s="2552"/>
      <c r="AJ51" s="2521"/>
      <c r="AK51" s="2552"/>
      <c r="AL51" s="2521"/>
      <c r="AM51" s="2558"/>
      <c r="AN51" s="2535"/>
      <c r="AO51" s="2535"/>
      <c r="AP51" s="1493"/>
      <c r="AQ51" s="802"/>
      <c r="AR51" s="802"/>
      <c r="AS51" s="802"/>
      <c r="AT51" s="802"/>
      <c r="AU51" s="802"/>
      <c r="AV51" s="802"/>
      <c r="AW51" s="802"/>
      <c r="AX51" s="802"/>
      <c r="AY51" s="802"/>
      <c r="AZ51" s="802"/>
      <c r="BZ51" s="1460"/>
      <c r="CA51" s="1551"/>
      <c r="DB51" s="3296">
        <v>0</v>
      </c>
      <c r="DD51" s="3296">
        <v>0</v>
      </c>
    </row>
    <row r="52" spans="1:108" ht="16.350000000000001" customHeight="1" x14ac:dyDescent="0.2">
      <c r="A52" s="8153" t="s">
        <v>668</v>
      </c>
      <c r="B52" s="468" t="s">
        <v>2583</v>
      </c>
      <c r="C52" s="8067">
        <f t="shared" si="2"/>
        <v>0</v>
      </c>
      <c r="D52" s="8075">
        <f t="shared" si="3"/>
        <v>0</v>
      </c>
      <c r="E52" s="8083">
        <f t="shared" si="3"/>
        <v>0</v>
      </c>
      <c r="F52" s="2481"/>
      <c r="G52" s="2545"/>
      <c r="H52" s="2481"/>
      <c r="I52" s="2545"/>
      <c r="J52" s="2481"/>
      <c r="K52" s="2484"/>
      <c r="L52" s="2481"/>
      <c r="M52" s="2484"/>
      <c r="N52" s="2481"/>
      <c r="O52" s="2484"/>
      <c r="P52" s="2481"/>
      <c r="Q52" s="2484"/>
      <c r="R52" s="2481"/>
      <c r="S52" s="2484"/>
      <c r="T52" s="2481"/>
      <c r="U52" s="2484"/>
      <c r="V52" s="2481"/>
      <c r="W52" s="2484"/>
      <c r="X52" s="2481"/>
      <c r="Y52" s="2484"/>
      <c r="Z52" s="2481"/>
      <c r="AA52" s="2484"/>
      <c r="AB52" s="2481"/>
      <c r="AC52" s="2484"/>
      <c r="AD52" s="2481"/>
      <c r="AE52" s="2484"/>
      <c r="AF52" s="2483"/>
      <c r="AG52" s="2490"/>
      <c r="AH52" s="2483"/>
      <c r="AI52" s="2490"/>
      <c r="AJ52" s="2483"/>
      <c r="AK52" s="2490"/>
      <c r="AL52" s="2483"/>
      <c r="AM52" s="2464"/>
      <c r="AN52" s="2534"/>
      <c r="AO52" s="2514"/>
      <c r="AP52" s="1493"/>
      <c r="AQ52" s="802"/>
      <c r="AR52" s="802"/>
      <c r="AS52" s="802"/>
      <c r="AT52" s="802"/>
      <c r="AU52" s="802"/>
      <c r="AV52" s="802"/>
      <c r="AW52" s="802"/>
      <c r="AX52" s="802"/>
      <c r="AY52" s="802"/>
      <c r="AZ52" s="802"/>
      <c r="BZ52" s="1460"/>
      <c r="CA52" s="1551"/>
      <c r="DB52" s="3296">
        <v>0</v>
      </c>
      <c r="DD52" s="3296">
        <v>0</v>
      </c>
    </row>
    <row r="53" spans="1:108" ht="16.350000000000001" customHeight="1" x14ac:dyDescent="0.2">
      <c r="A53" s="8190"/>
      <c r="B53" s="2977" t="s">
        <v>2585</v>
      </c>
      <c r="C53" s="8070">
        <f t="shared" si="2"/>
        <v>0</v>
      </c>
      <c r="D53" s="8078">
        <f>SUM(AF53+AH53+AJ53+AL53)</f>
        <v>0</v>
      </c>
      <c r="E53" s="8086">
        <f>SUM(AG53+AI53+AK53+AM53)</f>
        <v>0</v>
      </c>
      <c r="F53" s="1705"/>
      <c r="G53" s="1706"/>
      <c r="H53" s="1705"/>
      <c r="I53" s="1706"/>
      <c r="J53" s="1705"/>
      <c r="K53" s="2974"/>
      <c r="L53" s="1705"/>
      <c r="M53" s="2974"/>
      <c r="N53" s="1705"/>
      <c r="O53" s="2974"/>
      <c r="P53" s="1705"/>
      <c r="Q53" s="2974"/>
      <c r="R53" s="1705"/>
      <c r="S53" s="2974"/>
      <c r="T53" s="1705"/>
      <c r="U53" s="2974"/>
      <c r="V53" s="1705"/>
      <c r="W53" s="2974"/>
      <c r="X53" s="1705"/>
      <c r="Y53" s="2974"/>
      <c r="Z53" s="1705"/>
      <c r="AA53" s="2974"/>
      <c r="AB53" s="1705"/>
      <c r="AC53" s="2974"/>
      <c r="AD53" s="1705"/>
      <c r="AE53" s="2974"/>
      <c r="AF53" s="824"/>
      <c r="AG53" s="2496"/>
      <c r="AH53" s="824"/>
      <c r="AI53" s="2496"/>
      <c r="AJ53" s="824"/>
      <c r="AK53" s="2496"/>
      <c r="AL53" s="824"/>
      <c r="AM53" s="2895"/>
      <c r="AN53" s="1145"/>
      <c r="AO53" s="1145"/>
      <c r="AP53" s="1493"/>
      <c r="AQ53" s="802"/>
      <c r="AR53" s="802"/>
      <c r="AS53" s="802"/>
      <c r="AT53" s="802"/>
      <c r="AU53" s="802"/>
      <c r="AV53" s="802"/>
      <c r="AW53" s="802"/>
      <c r="AX53" s="802"/>
      <c r="AY53" s="802"/>
      <c r="AZ53" s="802"/>
      <c r="BZ53" s="1460"/>
      <c r="CA53" s="1551"/>
      <c r="DB53" s="3296">
        <v>0</v>
      </c>
      <c r="DD53" s="3296">
        <v>0</v>
      </c>
    </row>
    <row r="54" spans="1:108" ht="24.75" customHeight="1" x14ac:dyDescent="0.2">
      <c r="A54" s="8154"/>
      <c r="B54" s="603" t="s">
        <v>2608</v>
      </c>
      <c r="C54" s="8069">
        <f t="shared" si="2"/>
        <v>0</v>
      </c>
      <c r="D54" s="8077">
        <f t="shared" si="3"/>
        <v>0</v>
      </c>
      <c r="E54" s="8085">
        <f t="shared" si="3"/>
        <v>0</v>
      </c>
      <c r="F54" s="2523"/>
      <c r="G54" s="2537"/>
      <c r="H54" s="2523"/>
      <c r="I54" s="2537"/>
      <c r="J54" s="2523"/>
      <c r="K54" s="2488"/>
      <c r="L54" s="2523"/>
      <c r="M54" s="2488"/>
      <c r="N54" s="2523"/>
      <c r="O54" s="2488"/>
      <c r="P54" s="2523"/>
      <c r="Q54" s="2488"/>
      <c r="R54" s="2523"/>
      <c r="S54" s="2488"/>
      <c r="T54" s="2523"/>
      <c r="U54" s="2488"/>
      <c r="V54" s="2523"/>
      <c r="W54" s="2488"/>
      <c r="X54" s="2523"/>
      <c r="Y54" s="2488"/>
      <c r="Z54" s="2523"/>
      <c r="AA54" s="2488"/>
      <c r="AB54" s="2523"/>
      <c r="AC54" s="2488"/>
      <c r="AD54" s="2523"/>
      <c r="AE54" s="2488"/>
      <c r="AF54" s="2521"/>
      <c r="AG54" s="2552"/>
      <c r="AH54" s="2521"/>
      <c r="AI54" s="2552"/>
      <c r="AJ54" s="2521"/>
      <c r="AK54" s="2552"/>
      <c r="AL54" s="2521"/>
      <c r="AM54" s="2558"/>
      <c r="AN54" s="2535"/>
      <c r="AO54" s="2535"/>
      <c r="AP54" s="1493"/>
      <c r="AQ54" s="802"/>
      <c r="AR54" s="802"/>
      <c r="AS54" s="802"/>
      <c r="AT54" s="802"/>
      <c r="AU54" s="802"/>
      <c r="AV54" s="802"/>
      <c r="AW54" s="802"/>
      <c r="AX54" s="802"/>
      <c r="AY54" s="802"/>
      <c r="AZ54" s="802"/>
      <c r="BZ54" s="1460"/>
      <c r="CA54" s="1551"/>
      <c r="DB54" s="3296">
        <v>0</v>
      </c>
      <c r="DD54" s="3296">
        <v>0</v>
      </c>
    </row>
    <row r="55" spans="1:108" ht="16.350000000000001" customHeight="1" x14ac:dyDescent="0.2">
      <c r="A55" s="8153" t="s">
        <v>667</v>
      </c>
      <c r="B55" s="468" t="s">
        <v>2583</v>
      </c>
      <c r="C55" s="8067">
        <f t="shared" si="2"/>
        <v>0</v>
      </c>
      <c r="D55" s="8075">
        <f>SUM(F55+H55+J55+L55+N55+P55+R55+T55+V55+X55+Z55+AB55+AD55+AF55+AH55+AJ55+AL55)</f>
        <v>0</v>
      </c>
      <c r="E55" s="8083">
        <f t="shared" ref="D55:E62" si="4">SUM(G55+I55+K55+M55+O55+Q55+S55+U55+W55+Y55+AA55+AC55+AE55+AG55+AI55+AK55+AM55)</f>
        <v>0</v>
      </c>
      <c r="F55" s="2483"/>
      <c r="G55" s="2490"/>
      <c r="H55" s="2483"/>
      <c r="I55" s="2490"/>
      <c r="J55" s="2483"/>
      <c r="K55" s="2490"/>
      <c r="L55" s="2483"/>
      <c r="M55" s="2490"/>
      <c r="N55" s="2483"/>
      <c r="O55" s="2490"/>
      <c r="P55" s="2483"/>
      <c r="Q55" s="2490"/>
      <c r="R55" s="2483"/>
      <c r="S55" s="2490"/>
      <c r="T55" s="2483"/>
      <c r="U55" s="2490"/>
      <c r="V55" s="2483"/>
      <c r="W55" s="2490"/>
      <c r="X55" s="2483"/>
      <c r="Y55" s="2490"/>
      <c r="Z55" s="2483"/>
      <c r="AA55" s="2490"/>
      <c r="AB55" s="2483"/>
      <c r="AC55" s="2490"/>
      <c r="AD55" s="2483"/>
      <c r="AE55" s="2490"/>
      <c r="AF55" s="2483"/>
      <c r="AG55" s="2490"/>
      <c r="AH55" s="2483"/>
      <c r="AI55" s="2490"/>
      <c r="AJ55" s="2483"/>
      <c r="AK55" s="2490"/>
      <c r="AL55" s="2483"/>
      <c r="AM55" s="2464"/>
      <c r="AN55" s="2534"/>
      <c r="AO55" s="2514"/>
      <c r="AP55" s="1493"/>
      <c r="AQ55" s="802"/>
      <c r="AR55" s="802"/>
      <c r="AS55" s="802"/>
      <c r="AT55" s="802"/>
      <c r="AU55" s="802"/>
      <c r="AV55" s="802"/>
      <c r="AW55" s="802"/>
      <c r="AX55" s="802"/>
      <c r="AY55" s="802"/>
      <c r="AZ55" s="802"/>
      <c r="BZ55" s="3297"/>
      <c r="CA55" s="1551"/>
      <c r="DB55" s="3296">
        <v>0</v>
      </c>
      <c r="DD55" s="3296">
        <v>0</v>
      </c>
    </row>
    <row r="56" spans="1:108" ht="16.350000000000001" customHeight="1" x14ac:dyDescent="0.2">
      <c r="A56" s="8125"/>
      <c r="B56" s="109" t="s">
        <v>2585</v>
      </c>
      <c r="C56" s="8068">
        <f t="shared" si="2"/>
        <v>0</v>
      </c>
      <c r="D56" s="8076">
        <f>SUM(F56+H56+J56+L56+N56+P56+R56+T56+V56+X56+Z56+AB56+AD56+AF56+AH56+AJ56+AL56)</f>
        <v>0</v>
      </c>
      <c r="E56" s="8084">
        <f t="shared" si="4"/>
        <v>0</v>
      </c>
      <c r="F56" s="2548"/>
      <c r="G56" s="2551"/>
      <c r="H56" s="2548"/>
      <c r="I56" s="2551"/>
      <c r="J56" s="2548"/>
      <c r="K56" s="2551"/>
      <c r="L56" s="2548"/>
      <c r="M56" s="2551"/>
      <c r="N56" s="2548"/>
      <c r="O56" s="2551"/>
      <c r="P56" s="2548"/>
      <c r="Q56" s="2551"/>
      <c r="R56" s="2548"/>
      <c r="S56" s="2551"/>
      <c r="T56" s="2548"/>
      <c r="U56" s="2551"/>
      <c r="V56" s="2548"/>
      <c r="W56" s="2551"/>
      <c r="X56" s="2548"/>
      <c r="Y56" s="2551"/>
      <c r="Z56" s="2548"/>
      <c r="AA56" s="2551"/>
      <c r="AB56" s="2548"/>
      <c r="AC56" s="2551"/>
      <c r="AD56" s="2548"/>
      <c r="AE56" s="2551"/>
      <c r="AF56" s="2548"/>
      <c r="AG56" s="2551"/>
      <c r="AH56" s="2548"/>
      <c r="AI56" s="2551"/>
      <c r="AJ56" s="2548"/>
      <c r="AK56" s="2551"/>
      <c r="AL56" s="2548"/>
      <c r="AM56" s="2557"/>
      <c r="AN56" s="2555"/>
      <c r="AO56" s="2555"/>
      <c r="AP56" s="1493"/>
      <c r="AQ56" s="802"/>
      <c r="AR56" s="802"/>
      <c r="AS56" s="802"/>
      <c r="AT56" s="802"/>
      <c r="AU56" s="802"/>
      <c r="AV56" s="802"/>
      <c r="AW56" s="802"/>
      <c r="AX56" s="802"/>
      <c r="AY56" s="802"/>
      <c r="AZ56" s="802"/>
      <c r="BZ56" s="3297"/>
      <c r="DB56" s="3296">
        <v>0</v>
      </c>
      <c r="DD56" s="3296">
        <v>0</v>
      </c>
    </row>
    <row r="57" spans="1:108" ht="16.350000000000001" customHeight="1" x14ac:dyDescent="0.2">
      <c r="A57" s="8154"/>
      <c r="B57" s="81" t="s">
        <v>2584</v>
      </c>
      <c r="C57" s="8069">
        <f t="shared" si="2"/>
        <v>0</v>
      </c>
      <c r="D57" s="8077">
        <f>SUM(F57+H57+J57+L57+N57+P57+R57+T57+V57+X57+Z57+AB57+AD57+AF57+AH57+AJ57+AL57)</f>
        <v>0</v>
      </c>
      <c r="E57" s="8085">
        <f t="shared" si="4"/>
        <v>0</v>
      </c>
      <c r="F57" s="2521"/>
      <c r="G57" s="2552"/>
      <c r="H57" s="2521"/>
      <c r="I57" s="2552"/>
      <c r="J57" s="2521"/>
      <c r="K57" s="2552"/>
      <c r="L57" s="2521"/>
      <c r="M57" s="2552"/>
      <c r="N57" s="2521"/>
      <c r="O57" s="2552"/>
      <c r="P57" s="2521"/>
      <c r="Q57" s="2552"/>
      <c r="R57" s="2521"/>
      <c r="S57" s="2552"/>
      <c r="T57" s="2521"/>
      <c r="U57" s="2552"/>
      <c r="V57" s="2521"/>
      <c r="W57" s="2552"/>
      <c r="X57" s="2521"/>
      <c r="Y57" s="2552"/>
      <c r="Z57" s="2521"/>
      <c r="AA57" s="2552"/>
      <c r="AB57" s="2521"/>
      <c r="AC57" s="2552"/>
      <c r="AD57" s="2521"/>
      <c r="AE57" s="2552"/>
      <c r="AF57" s="2521"/>
      <c r="AG57" s="2552"/>
      <c r="AH57" s="2521"/>
      <c r="AI57" s="2552"/>
      <c r="AJ57" s="2521"/>
      <c r="AK57" s="2552"/>
      <c r="AL57" s="2521"/>
      <c r="AM57" s="2558"/>
      <c r="AN57" s="2535"/>
      <c r="AO57" s="2535"/>
      <c r="AP57" s="1493"/>
      <c r="AQ57" s="802"/>
      <c r="AR57" s="802"/>
      <c r="AS57" s="802"/>
      <c r="AT57" s="802"/>
      <c r="AU57" s="802"/>
      <c r="AV57" s="802"/>
      <c r="AW57" s="802"/>
      <c r="AX57" s="802"/>
      <c r="AY57" s="802"/>
      <c r="AZ57" s="802"/>
      <c r="BZ57" s="1460"/>
      <c r="DB57" s="3296">
        <v>0</v>
      </c>
      <c r="DD57" s="3296">
        <v>0</v>
      </c>
    </row>
    <row r="58" spans="1:108" ht="16.350000000000001" customHeight="1" x14ac:dyDescent="0.2">
      <c r="A58" s="8124" t="s">
        <v>666</v>
      </c>
      <c r="B58" s="468" t="s">
        <v>2583</v>
      </c>
      <c r="C58" s="8067">
        <f t="shared" si="2"/>
        <v>0</v>
      </c>
      <c r="D58" s="8075">
        <f>SUM(F58+H58+J58+L58+N58+P58+R58+T58+V58+X58+Z58+AB58+AD58+AF58+AH58+AJ58+AL58)</f>
        <v>0</v>
      </c>
      <c r="E58" s="8083">
        <f t="shared" si="4"/>
        <v>0</v>
      </c>
      <c r="F58" s="2483"/>
      <c r="G58" s="2490"/>
      <c r="H58" s="2483"/>
      <c r="I58" s="2490"/>
      <c r="J58" s="2483"/>
      <c r="K58" s="2490"/>
      <c r="L58" s="2483"/>
      <c r="M58" s="2490"/>
      <c r="N58" s="2483"/>
      <c r="O58" s="2490"/>
      <c r="P58" s="2483"/>
      <c r="Q58" s="2490"/>
      <c r="R58" s="2483"/>
      <c r="S58" s="2490"/>
      <c r="T58" s="2483"/>
      <c r="U58" s="2490"/>
      <c r="V58" s="2483"/>
      <c r="W58" s="2490"/>
      <c r="X58" s="2483"/>
      <c r="Y58" s="2490"/>
      <c r="Z58" s="2483"/>
      <c r="AA58" s="2490"/>
      <c r="AB58" s="2483"/>
      <c r="AC58" s="2490"/>
      <c r="AD58" s="2483"/>
      <c r="AE58" s="2490"/>
      <c r="AF58" s="2483"/>
      <c r="AG58" s="2490"/>
      <c r="AH58" s="2483"/>
      <c r="AI58" s="2490"/>
      <c r="AJ58" s="2483"/>
      <c r="AK58" s="2490"/>
      <c r="AL58" s="2483"/>
      <c r="AM58" s="2464"/>
      <c r="AN58" s="2534"/>
      <c r="AO58" s="2514"/>
      <c r="AP58" s="1493"/>
      <c r="AQ58" s="802"/>
      <c r="AR58" s="802"/>
      <c r="AS58" s="802"/>
      <c r="AT58" s="802"/>
      <c r="AU58" s="802"/>
      <c r="AV58" s="802"/>
      <c r="AW58" s="802"/>
      <c r="AX58" s="802"/>
      <c r="AY58" s="802"/>
      <c r="AZ58" s="802"/>
      <c r="BZ58" s="1460"/>
      <c r="DB58" s="3296">
        <v>0</v>
      </c>
      <c r="DD58" s="3296">
        <v>0</v>
      </c>
    </row>
    <row r="59" spans="1:108" ht="16.350000000000001" customHeight="1" x14ac:dyDescent="0.2">
      <c r="A59" s="8178"/>
      <c r="B59" s="109" t="s">
        <v>2585</v>
      </c>
      <c r="C59" s="8068">
        <f t="shared" si="2"/>
        <v>0</v>
      </c>
      <c r="D59" s="8076">
        <f t="shared" si="4"/>
        <v>0</v>
      </c>
      <c r="E59" s="8084">
        <f t="shared" si="4"/>
        <v>0</v>
      </c>
      <c r="F59" s="2548"/>
      <c r="G59" s="2551"/>
      <c r="H59" s="2548"/>
      <c r="I59" s="2551"/>
      <c r="J59" s="2548"/>
      <c r="K59" s="2551"/>
      <c r="L59" s="2548"/>
      <c r="M59" s="2551"/>
      <c r="N59" s="2548"/>
      <c r="O59" s="2551"/>
      <c r="P59" s="2548"/>
      <c r="Q59" s="2551"/>
      <c r="R59" s="2548"/>
      <c r="S59" s="2551"/>
      <c r="T59" s="2548"/>
      <c r="U59" s="2551"/>
      <c r="V59" s="2548"/>
      <c r="W59" s="2551"/>
      <c r="X59" s="2548"/>
      <c r="Y59" s="2551"/>
      <c r="Z59" s="2548"/>
      <c r="AA59" s="2551"/>
      <c r="AB59" s="2548"/>
      <c r="AC59" s="2551"/>
      <c r="AD59" s="2548"/>
      <c r="AE59" s="2551"/>
      <c r="AF59" s="2548"/>
      <c r="AG59" s="2551"/>
      <c r="AH59" s="2548"/>
      <c r="AI59" s="2551"/>
      <c r="AJ59" s="2548"/>
      <c r="AK59" s="2551"/>
      <c r="AL59" s="2548"/>
      <c r="AM59" s="2557"/>
      <c r="AN59" s="2555"/>
      <c r="AO59" s="2555"/>
      <c r="AP59" s="1493"/>
      <c r="AQ59" s="802"/>
      <c r="AR59" s="802"/>
      <c r="AS59" s="802"/>
      <c r="AT59" s="802"/>
      <c r="AU59" s="802"/>
      <c r="AV59" s="802"/>
      <c r="AW59" s="802"/>
      <c r="AX59" s="802"/>
      <c r="AY59" s="802"/>
      <c r="AZ59" s="802"/>
      <c r="BZ59" s="1460"/>
    </row>
    <row r="60" spans="1:108" ht="16.350000000000001" customHeight="1" x14ac:dyDescent="0.2">
      <c r="A60" s="8178"/>
      <c r="B60" s="92" t="s">
        <v>2584</v>
      </c>
      <c r="C60" s="8068">
        <f t="shared" si="2"/>
        <v>0</v>
      </c>
      <c r="D60" s="8076">
        <f t="shared" si="4"/>
        <v>0</v>
      </c>
      <c r="E60" s="8084">
        <f t="shared" si="4"/>
        <v>0</v>
      </c>
      <c r="F60" s="2548"/>
      <c r="G60" s="2551"/>
      <c r="H60" s="2548"/>
      <c r="I60" s="2551"/>
      <c r="J60" s="2548"/>
      <c r="K60" s="2551"/>
      <c r="L60" s="2548"/>
      <c r="M60" s="2551"/>
      <c r="N60" s="2548"/>
      <c r="O60" s="2551"/>
      <c r="P60" s="2548"/>
      <c r="Q60" s="2551"/>
      <c r="R60" s="2548"/>
      <c r="S60" s="2551"/>
      <c r="T60" s="2548"/>
      <c r="U60" s="2551"/>
      <c r="V60" s="2548"/>
      <c r="W60" s="2551"/>
      <c r="X60" s="2548"/>
      <c r="Y60" s="2551"/>
      <c r="Z60" s="2548"/>
      <c r="AA60" s="2551"/>
      <c r="AB60" s="2548"/>
      <c r="AC60" s="2551"/>
      <c r="AD60" s="2548"/>
      <c r="AE60" s="2551"/>
      <c r="AF60" s="2548"/>
      <c r="AG60" s="2551"/>
      <c r="AH60" s="2548"/>
      <c r="AI60" s="2551"/>
      <c r="AJ60" s="2548"/>
      <c r="AK60" s="2551"/>
      <c r="AL60" s="2548"/>
      <c r="AM60" s="2557"/>
      <c r="AN60" s="2555"/>
      <c r="AO60" s="2555"/>
      <c r="AP60" s="1493"/>
      <c r="AQ60" s="802"/>
      <c r="AR60" s="802"/>
      <c r="AS60" s="802"/>
      <c r="AT60" s="802"/>
      <c r="AU60" s="802"/>
      <c r="AV60" s="802"/>
      <c r="AW60" s="802"/>
      <c r="AX60" s="802"/>
      <c r="AY60" s="802"/>
      <c r="AZ60" s="802"/>
      <c r="BZ60" s="1460"/>
    </row>
    <row r="61" spans="1:108" ht="16.350000000000001" customHeight="1" x14ac:dyDescent="0.2">
      <c r="A61" s="8178"/>
      <c r="B61" s="109" t="s">
        <v>26</v>
      </c>
      <c r="C61" s="8068">
        <f t="shared" si="2"/>
        <v>0</v>
      </c>
      <c r="D61" s="8076">
        <f t="shared" si="4"/>
        <v>0</v>
      </c>
      <c r="E61" s="8084">
        <f t="shared" si="4"/>
        <v>0</v>
      </c>
      <c r="F61" s="2548"/>
      <c r="G61" s="2551"/>
      <c r="H61" s="2548"/>
      <c r="I61" s="2551"/>
      <c r="J61" s="2548"/>
      <c r="K61" s="2551"/>
      <c r="L61" s="2548"/>
      <c r="M61" s="2551"/>
      <c r="N61" s="2548"/>
      <c r="O61" s="2551"/>
      <c r="P61" s="2548"/>
      <c r="Q61" s="2551"/>
      <c r="R61" s="2548"/>
      <c r="S61" s="2551"/>
      <c r="T61" s="2548"/>
      <c r="U61" s="2551"/>
      <c r="V61" s="2548"/>
      <c r="W61" s="2551"/>
      <c r="X61" s="2548"/>
      <c r="Y61" s="2551"/>
      <c r="Z61" s="2548"/>
      <c r="AA61" s="2551"/>
      <c r="AB61" s="2548"/>
      <c r="AC61" s="2551"/>
      <c r="AD61" s="2548"/>
      <c r="AE61" s="2551"/>
      <c r="AF61" s="2548"/>
      <c r="AG61" s="2551"/>
      <c r="AH61" s="2548"/>
      <c r="AI61" s="2551"/>
      <c r="AJ61" s="2548"/>
      <c r="AK61" s="2551"/>
      <c r="AL61" s="2548"/>
      <c r="AM61" s="2557"/>
      <c r="AN61" s="2555"/>
      <c r="AO61" s="2555"/>
      <c r="AP61" s="1493"/>
      <c r="AQ61" s="802"/>
      <c r="AR61" s="802"/>
      <c r="AS61" s="802"/>
      <c r="AT61" s="802"/>
      <c r="AU61" s="802"/>
      <c r="AV61" s="802"/>
      <c r="AW61" s="802"/>
      <c r="AX61" s="802"/>
      <c r="AY61" s="802"/>
      <c r="AZ61" s="802"/>
      <c r="BZ61" s="1460"/>
    </row>
    <row r="62" spans="1:108" ht="16.350000000000001" customHeight="1" x14ac:dyDescent="0.2">
      <c r="A62" s="8178"/>
      <c r="B62" s="2787" t="s">
        <v>2785</v>
      </c>
      <c r="C62" s="8071">
        <f t="shared" si="2"/>
        <v>0</v>
      </c>
      <c r="D62" s="8079">
        <f t="shared" si="4"/>
        <v>0</v>
      </c>
      <c r="E62" s="8087">
        <f t="shared" si="4"/>
        <v>0</v>
      </c>
      <c r="F62" s="2548"/>
      <c r="G62" s="2551"/>
      <c r="H62" s="2548"/>
      <c r="I62" s="2551"/>
      <c r="J62" s="2548"/>
      <c r="K62" s="2551"/>
      <c r="L62" s="2548"/>
      <c r="M62" s="2551"/>
      <c r="N62" s="2548"/>
      <c r="O62" s="2551"/>
      <c r="P62" s="2548"/>
      <c r="Q62" s="2551"/>
      <c r="R62" s="2548"/>
      <c r="S62" s="2551"/>
      <c r="T62" s="2548"/>
      <c r="U62" s="2551"/>
      <c r="V62" s="2548"/>
      <c r="W62" s="2551"/>
      <c r="X62" s="2548"/>
      <c r="Y62" s="2551"/>
      <c r="Z62" s="2548"/>
      <c r="AA62" s="2551"/>
      <c r="AB62" s="2548"/>
      <c r="AC62" s="2551"/>
      <c r="AD62" s="2548"/>
      <c r="AE62" s="2551"/>
      <c r="AF62" s="2548"/>
      <c r="AG62" s="2551"/>
      <c r="AH62" s="2548"/>
      <c r="AI62" s="2551"/>
      <c r="AJ62" s="2548"/>
      <c r="AK62" s="2551"/>
      <c r="AL62" s="2548"/>
      <c r="AM62" s="2557"/>
      <c r="AN62" s="2555"/>
      <c r="AO62" s="2555"/>
      <c r="AP62" s="1493"/>
      <c r="AQ62" s="802"/>
      <c r="AR62" s="802"/>
      <c r="AS62" s="802"/>
      <c r="AT62" s="802"/>
      <c r="AU62" s="802"/>
      <c r="AV62" s="802"/>
      <c r="AW62" s="802"/>
      <c r="AX62" s="802"/>
      <c r="AY62" s="802"/>
      <c r="AZ62" s="802"/>
      <c r="BZ62" s="1460"/>
    </row>
    <row r="63" spans="1:108" ht="22.9" customHeight="1" x14ac:dyDescent="0.2">
      <c r="A63" s="8179"/>
      <c r="B63" s="3909" t="s">
        <v>2608</v>
      </c>
      <c r="C63" s="8070">
        <f>SUM(D63:E63)</f>
        <v>0</v>
      </c>
      <c r="D63" s="8078">
        <f>SUM(F63+H63+J63+L63+N63+P63+R63+T63+V63+X63+Z63+AB63+AD63+AF63+AH63+AJ63+AL63)</f>
        <v>0</v>
      </c>
      <c r="E63" s="8088">
        <f>SUM(G63+I63+K63+M63+O63+Q63+S63+U63+W63+Y63+AA63+AC63+AE63+AG63+AI63+AK63+AM63)</f>
        <v>0</v>
      </c>
      <c r="F63" s="2521"/>
      <c r="G63" s="2552"/>
      <c r="H63" s="2521"/>
      <c r="I63" s="2552"/>
      <c r="J63" s="2521"/>
      <c r="K63" s="2552"/>
      <c r="L63" s="2521"/>
      <c r="M63" s="2552"/>
      <c r="N63" s="2521"/>
      <c r="O63" s="2535"/>
      <c r="P63" s="2521"/>
      <c r="Q63" s="2535"/>
      <c r="R63" s="2521"/>
      <c r="S63" s="2552"/>
      <c r="T63" s="2521"/>
      <c r="U63" s="2552"/>
      <c r="V63" s="2521"/>
      <c r="W63" s="2552"/>
      <c r="X63" s="2521"/>
      <c r="Y63" s="2552"/>
      <c r="Z63" s="2521"/>
      <c r="AA63" s="2552"/>
      <c r="AB63" s="2521"/>
      <c r="AC63" s="2552"/>
      <c r="AD63" s="2521"/>
      <c r="AE63" s="2552"/>
      <c r="AF63" s="2521"/>
      <c r="AG63" s="2552"/>
      <c r="AH63" s="2521"/>
      <c r="AI63" s="2552"/>
      <c r="AJ63" s="2521"/>
      <c r="AK63" s="2552"/>
      <c r="AL63" s="2524"/>
      <c r="AM63" s="2558"/>
      <c r="AN63" s="2535"/>
      <c r="AO63" s="2535"/>
      <c r="AP63" s="1493"/>
      <c r="AQ63" s="802"/>
      <c r="AR63" s="802"/>
      <c r="AS63" s="802"/>
      <c r="AT63" s="802"/>
      <c r="AU63" s="802"/>
      <c r="AV63" s="802"/>
      <c r="AW63" s="802"/>
      <c r="AX63" s="802"/>
      <c r="AY63" s="802"/>
      <c r="AZ63" s="802"/>
      <c r="BZ63" s="1460"/>
    </row>
    <row r="64" spans="1:108" ht="16.350000000000001" customHeight="1" x14ac:dyDescent="0.2">
      <c r="A64" s="8188" t="s">
        <v>665</v>
      </c>
      <c r="B64" s="3910" t="s">
        <v>2583</v>
      </c>
      <c r="C64" s="8072">
        <f t="shared" si="2"/>
        <v>0</v>
      </c>
      <c r="D64" s="8080">
        <f>SUM(F64+H64+J64+L64)</f>
        <v>0</v>
      </c>
      <c r="E64" s="8089">
        <f t="shared" ref="D64:E67" si="5">SUM(G64+I64+K64+M64)</f>
        <v>0</v>
      </c>
      <c r="F64" s="2647"/>
      <c r="G64" s="2634"/>
      <c r="H64" s="2647"/>
      <c r="I64" s="2634"/>
      <c r="J64" s="2647"/>
      <c r="K64" s="2634"/>
      <c r="L64" s="2647"/>
      <c r="M64" s="2634"/>
      <c r="N64" s="2690"/>
      <c r="O64" s="2691"/>
      <c r="P64" s="2690"/>
      <c r="Q64" s="2691"/>
      <c r="R64" s="2690"/>
      <c r="S64" s="2692"/>
      <c r="T64" s="2690"/>
      <c r="U64" s="2692"/>
      <c r="V64" s="2690"/>
      <c r="W64" s="2692"/>
      <c r="X64" s="2690"/>
      <c r="Y64" s="2692"/>
      <c r="Z64" s="2690"/>
      <c r="AA64" s="2692"/>
      <c r="AB64" s="2690"/>
      <c r="AC64" s="2692"/>
      <c r="AD64" s="2690"/>
      <c r="AE64" s="2692"/>
      <c r="AF64" s="2690"/>
      <c r="AG64" s="2692"/>
      <c r="AH64" s="2690"/>
      <c r="AI64" s="2692"/>
      <c r="AJ64" s="2690"/>
      <c r="AK64" s="2692"/>
      <c r="AL64" s="2693"/>
      <c r="AM64" s="2694"/>
      <c r="AN64" s="2646"/>
      <c r="AO64" s="2646"/>
      <c r="AP64" s="1493"/>
      <c r="AQ64" s="802"/>
      <c r="AR64" s="802"/>
      <c r="AS64" s="802"/>
      <c r="AT64" s="802"/>
      <c r="AU64" s="802"/>
      <c r="AV64" s="802"/>
      <c r="AW64" s="802"/>
      <c r="AX64" s="802"/>
      <c r="AY64" s="802"/>
      <c r="AZ64" s="802"/>
      <c r="BZ64" s="1460"/>
      <c r="DB64" s="3296">
        <v>0</v>
      </c>
      <c r="DD64" s="3296">
        <v>0</v>
      </c>
    </row>
    <row r="65" spans="1:78" ht="16.350000000000001" customHeight="1" x14ac:dyDescent="0.2">
      <c r="A65" s="8178"/>
      <c r="B65" s="2562" t="s">
        <v>2585</v>
      </c>
      <c r="C65" s="8068">
        <f t="shared" si="2"/>
        <v>0</v>
      </c>
      <c r="D65" s="8076">
        <f t="shared" si="5"/>
        <v>0</v>
      </c>
      <c r="E65" s="8090">
        <f>SUM(G65+I65+K65+M65)</f>
        <v>0</v>
      </c>
      <c r="F65" s="2548"/>
      <c r="G65" s="2551"/>
      <c r="H65" s="2548"/>
      <c r="I65" s="2551"/>
      <c r="J65" s="2548"/>
      <c r="K65" s="2551"/>
      <c r="L65" s="2548"/>
      <c r="M65" s="2551"/>
      <c r="N65" s="2461"/>
      <c r="O65" s="2482"/>
      <c r="P65" s="2461"/>
      <c r="Q65" s="2482"/>
      <c r="R65" s="2461"/>
      <c r="S65" s="2491"/>
      <c r="T65" s="2461"/>
      <c r="U65" s="2491"/>
      <c r="V65" s="2461"/>
      <c r="W65" s="2491"/>
      <c r="X65" s="2461"/>
      <c r="Y65" s="2491"/>
      <c r="Z65" s="2461"/>
      <c r="AA65" s="2491"/>
      <c r="AB65" s="2461"/>
      <c r="AC65" s="2491"/>
      <c r="AD65" s="2461"/>
      <c r="AE65" s="2491"/>
      <c r="AF65" s="2461"/>
      <c r="AG65" s="2491"/>
      <c r="AH65" s="2461"/>
      <c r="AI65" s="2491"/>
      <c r="AJ65" s="2461"/>
      <c r="AK65" s="2491"/>
      <c r="AL65" s="2489"/>
      <c r="AM65" s="2492"/>
      <c r="AN65" s="2555"/>
      <c r="AO65" s="2555"/>
      <c r="AP65" s="1493"/>
      <c r="AQ65" s="802"/>
      <c r="AR65" s="802"/>
      <c r="AS65" s="802"/>
      <c r="AT65" s="802"/>
      <c r="AU65" s="802"/>
      <c r="AV65" s="802"/>
      <c r="AW65" s="802"/>
      <c r="AX65" s="802"/>
      <c r="AY65" s="802"/>
      <c r="AZ65" s="802"/>
      <c r="BZ65" s="1460"/>
    </row>
    <row r="66" spans="1:78" ht="16.350000000000001" customHeight="1" x14ac:dyDescent="0.2">
      <c r="A66" s="8178"/>
      <c r="B66" s="2563" t="s">
        <v>2584</v>
      </c>
      <c r="C66" s="8068">
        <f t="shared" si="2"/>
        <v>0</v>
      </c>
      <c r="D66" s="8076">
        <f t="shared" si="5"/>
        <v>0</v>
      </c>
      <c r="E66" s="8090">
        <f t="shared" si="5"/>
        <v>0</v>
      </c>
      <c r="F66" s="2548"/>
      <c r="G66" s="2551"/>
      <c r="H66" s="2548"/>
      <c r="I66" s="2551"/>
      <c r="J66" s="2548"/>
      <c r="K66" s="2551"/>
      <c r="L66" s="2548"/>
      <c r="M66" s="2551"/>
      <c r="N66" s="2461"/>
      <c r="O66" s="2482"/>
      <c r="P66" s="2461"/>
      <c r="Q66" s="2482"/>
      <c r="R66" s="2461"/>
      <c r="S66" s="2491"/>
      <c r="T66" s="2461"/>
      <c r="U66" s="2491"/>
      <c r="V66" s="2461"/>
      <c r="W66" s="2491"/>
      <c r="X66" s="2461"/>
      <c r="Y66" s="2491"/>
      <c r="Z66" s="2461"/>
      <c r="AA66" s="2491"/>
      <c r="AB66" s="2461"/>
      <c r="AC66" s="2491"/>
      <c r="AD66" s="2461"/>
      <c r="AE66" s="2491"/>
      <c r="AF66" s="2461"/>
      <c r="AG66" s="2491"/>
      <c r="AH66" s="2461"/>
      <c r="AI66" s="2491"/>
      <c r="AJ66" s="2461"/>
      <c r="AK66" s="2491"/>
      <c r="AL66" s="2489"/>
      <c r="AM66" s="2492"/>
      <c r="AN66" s="2555"/>
      <c r="AO66" s="2555"/>
      <c r="AP66" s="1493"/>
      <c r="AQ66" s="802"/>
      <c r="AR66" s="802"/>
      <c r="AS66" s="802"/>
      <c r="AT66" s="802"/>
      <c r="AU66" s="802"/>
      <c r="AV66" s="802"/>
      <c r="AW66" s="802"/>
      <c r="AX66" s="802"/>
      <c r="AY66" s="802"/>
      <c r="AZ66" s="802"/>
      <c r="BZ66" s="1460"/>
    </row>
    <row r="67" spans="1:78" ht="16.350000000000001" customHeight="1" x14ac:dyDescent="0.2">
      <c r="A67" s="8179"/>
      <c r="B67" s="2522" t="s">
        <v>26</v>
      </c>
      <c r="C67" s="8073">
        <f t="shared" si="2"/>
        <v>0</v>
      </c>
      <c r="D67" s="8081">
        <f t="shared" si="5"/>
        <v>0</v>
      </c>
      <c r="E67" s="8091">
        <f t="shared" si="5"/>
        <v>0</v>
      </c>
      <c r="F67" s="2521"/>
      <c r="G67" s="2552"/>
      <c r="H67" s="2521"/>
      <c r="I67" s="2552"/>
      <c r="J67" s="2521"/>
      <c r="K67" s="2552"/>
      <c r="L67" s="2521"/>
      <c r="M67" s="2552"/>
      <c r="N67" s="2523"/>
      <c r="O67" s="2537"/>
      <c r="P67" s="2523"/>
      <c r="Q67" s="2537"/>
      <c r="R67" s="2523"/>
      <c r="S67" s="2488"/>
      <c r="T67" s="2523"/>
      <c r="U67" s="2488"/>
      <c r="V67" s="2523"/>
      <c r="W67" s="2488"/>
      <c r="X67" s="2523"/>
      <c r="Y67" s="2488"/>
      <c r="Z67" s="2523"/>
      <c r="AA67" s="2488"/>
      <c r="AB67" s="2523"/>
      <c r="AC67" s="2488"/>
      <c r="AD67" s="2523"/>
      <c r="AE67" s="2488"/>
      <c r="AF67" s="2523"/>
      <c r="AG67" s="2488"/>
      <c r="AH67" s="2523"/>
      <c r="AI67" s="2488"/>
      <c r="AJ67" s="2523"/>
      <c r="AK67" s="2488"/>
      <c r="AL67" s="2695"/>
      <c r="AM67" s="2696"/>
      <c r="AN67" s="2535"/>
      <c r="AO67" s="2535"/>
      <c r="AP67" s="1493"/>
      <c r="AQ67" s="802"/>
      <c r="AR67" s="802"/>
      <c r="AS67" s="802"/>
      <c r="AT67" s="802"/>
      <c r="AU67" s="802"/>
      <c r="AV67" s="802"/>
      <c r="AW67" s="802"/>
      <c r="AX67" s="802"/>
      <c r="AY67" s="802"/>
      <c r="AZ67" s="802"/>
      <c r="BZ67" s="1460"/>
    </row>
    <row r="68" spans="1:78" ht="31.35" customHeight="1" x14ac:dyDescent="0.2">
      <c r="A68" s="2202" t="s">
        <v>664</v>
      </c>
      <c r="B68" s="2202"/>
      <c r="C68" s="290"/>
      <c r="D68" s="133"/>
      <c r="E68" s="290"/>
      <c r="F68" s="290"/>
      <c r="G68" s="290"/>
      <c r="H68" s="103"/>
      <c r="I68" s="103"/>
      <c r="J68" s="103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103"/>
      <c r="AP68" s="103"/>
      <c r="AQ68" s="103"/>
      <c r="AR68" s="103"/>
      <c r="AS68" s="103"/>
      <c r="AT68" s="290"/>
      <c r="AU68" s="290"/>
      <c r="AV68" s="290"/>
      <c r="AW68" s="290"/>
      <c r="AX68" s="290"/>
      <c r="AY68" s="290"/>
      <c r="AZ68" s="290"/>
    </row>
    <row r="69" spans="1:78" ht="16.350000000000001" customHeight="1" x14ac:dyDescent="0.2">
      <c r="A69" s="8182" t="s">
        <v>663</v>
      </c>
      <c r="B69" s="8183"/>
      <c r="C69" s="8193" t="s">
        <v>662</v>
      </c>
      <c r="D69" s="8194"/>
      <c r="E69" s="8194"/>
      <c r="F69" s="8194"/>
      <c r="G69" s="8195"/>
      <c r="H69" s="8193" t="s">
        <v>661</v>
      </c>
      <c r="I69" s="8194"/>
      <c r="J69" s="8194"/>
      <c r="K69" s="8194"/>
      <c r="L69" s="8195"/>
      <c r="M69" s="8127" t="s">
        <v>2947</v>
      </c>
      <c r="N69" s="8124" t="s">
        <v>2607</v>
      </c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103"/>
      <c r="AR69" s="103"/>
      <c r="AS69" s="103"/>
      <c r="AT69" s="103"/>
      <c r="AU69" s="103"/>
      <c r="AV69" s="290"/>
      <c r="AW69" s="290"/>
      <c r="AX69" s="290"/>
      <c r="AY69" s="290"/>
      <c r="AZ69" s="290"/>
    </row>
    <row r="70" spans="1:78" ht="30.6" customHeight="1" x14ac:dyDescent="0.2">
      <c r="A70" s="8184"/>
      <c r="B70" s="8185"/>
      <c r="C70" s="2503" t="s">
        <v>42</v>
      </c>
      <c r="D70" s="2531" t="s">
        <v>17</v>
      </c>
      <c r="E70" s="2542" t="s">
        <v>18</v>
      </c>
      <c r="F70" s="2164" t="s">
        <v>360</v>
      </c>
      <c r="G70" s="2164" t="s">
        <v>359</v>
      </c>
      <c r="H70" s="4923" t="s">
        <v>42</v>
      </c>
      <c r="I70" s="2544" t="s">
        <v>17</v>
      </c>
      <c r="J70" s="2556" t="s">
        <v>18</v>
      </c>
      <c r="K70" s="7084" t="s">
        <v>360</v>
      </c>
      <c r="L70" s="7085" t="s">
        <v>359</v>
      </c>
      <c r="M70" s="8128"/>
      <c r="N70" s="8126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103"/>
      <c r="AR70" s="103"/>
      <c r="AS70" s="103"/>
      <c r="AT70" s="103"/>
      <c r="AU70" s="103"/>
      <c r="AV70" s="290"/>
      <c r="AW70" s="290"/>
      <c r="AX70" s="290"/>
      <c r="AY70" s="290"/>
      <c r="AZ70" s="290"/>
    </row>
    <row r="71" spans="1:78" ht="16.350000000000001" customHeight="1" x14ac:dyDescent="0.2">
      <c r="A71" s="8181" t="s">
        <v>660</v>
      </c>
      <c r="B71" s="8181"/>
      <c r="C71" s="2561">
        <f>SUM(D71:E71)</f>
        <v>0</v>
      </c>
      <c r="D71" s="2547"/>
      <c r="E71" s="2565"/>
      <c r="F71" s="2555"/>
      <c r="G71" s="2547"/>
      <c r="H71" s="2561">
        <f>SUM(I71:J71)</f>
        <v>0</v>
      </c>
      <c r="I71" s="2547"/>
      <c r="J71" s="2557"/>
      <c r="K71" s="2475"/>
      <c r="L71" s="7083"/>
      <c r="M71" s="2555"/>
      <c r="N71" s="2553"/>
      <c r="O71" s="548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103"/>
      <c r="AR71" s="103"/>
      <c r="AS71" s="103"/>
      <c r="AT71" s="103"/>
      <c r="AU71" s="103"/>
      <c r="AV71" s="290"/>
      <c r="AW71" s="290"/>
      <c r="AX71" s="290"/>
      <c r="AY71" s="290"/>
      <c r="AZ71" s="290"/>
    </row>
    <row r="72" spans="1:78" ht="16.350000000000001" customHeight="1" x14ac:dyDescent="0.2">
      <c r="A72" s="8180" t="s">
        <v>659</v>
      </c>
      <c r="B72" s="8180"/>
      <c r="C72" s="2562">
        <f>SUM(D72:E72)</f>
        <v>0</v>
      </c>
      <c r="D72" s="2547"/>
      <c r="E72" s="2565"/>
      <c r="F72" s="2555"/>
      <c r="G72" s="2547"/>
      <c r="H72" s="2562">
        <f>SUM(I72:J72)</f>
        <v>0</v>
      </c>
      <c r="I72" s="2547"/>
      <c r="J72" s="2557"/>
      <c r="K72" s="2555"/>
      <c r="L72" s="3069"/>
      <c r="M72" s="2555"/>
      <c r="N72" s="2553"/>
      <c r="O72" s="548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103"/>
      <c r="AR72" s="103"/>
      <c r="AS72" s="103"/>
      <c r="AT72" s="103"/>
      <c r="AU72" s="103"/>
      <c r="AV72" s="290"/>
      <c r="AW72" s="290"/>
      <c r="AX72" s="290"/>
      <c r="AY72" s="290"/>
      <c r="AZ72" s="290"/>
    </row>
    <row r="73" spans="1:78" ht="16.350000000000001" customHeight="1" x14ac:dyDescent="0.2">
      <c r="A73" s="8180" t="s">
        <v>658</v>
      </c>
      <c r="B73" s="8180"/>
      <c r="C73" s="2562">
        <f>SUM(D73:E73)</f>
        <v>0</v>
      </c>
      <c r="D73" s="2547"/>
      <c r="E73" s="2565"/>
      <c r="F73" s="2555"/>
      <c r="G73" s="2547"/>
      <c r="H73" s="2562">
        <f>SUM(I73:J73)</f>
        <v>0</v>
      </c>
      <c r="I73" s="2547"/>
      <c r="J73" s="2557"/>
      <c r="K73" s="2555"/>
      <c r="L73" s="3069"/>
      <c r="M73" s="2555"/>
      <c r="N73" s="2553"/>
      <c r="O73" s="548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103"/>
      <c r="AR73" s="103"/>
      <c r="AS73" s="103"/>
      <c r="AT73" s="103"/>
      <c r="AU73" s="103"/>
      <c r="AV73" s="290"/>
      <c r="AW73" s="290"/>
      <c r="AX73" s="290"/>
      <c r="AY73" s="290"/>
      <c r="AZ73" s="290"/>
    </row>
    <row r="74" spans="1:78" ht="16.350000000000001" customHeight="1" x14ac:dyDescent="0.2">
      <c r="A74" s="8158" t="s">
        <v>657</v>
      </c>
      <c r="B74" s="8158"/>
      <c r="C74" s="2563">
        <f>SUM(D74:E74)</f>
        <v>0</v>
      </c>
      <c r="D74" s="2547"/>
      <c r="E74" s="2565"/>
      <c r="F74" s="2555"/>
      <c r="G74" s="2547"/>
      <c r="H74" s="2522">
        <f>SUM(I74:J74)</f>
        <v>0</v>
      </c>
      <c r="I74" s="2547"/>
      <c r="J74" s="2557"/>
      <c r="K74" s="2555"/>
      <c r="L74" s="3069"/>
      <c r="M74" s="2555"/>
      <c r="N74" s="2553"/>
      <c r="O74" s="548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103"/>
      <c r="AR74" s="103"/>
      <c r="AS74" s="103"/>
      <c r="AT74" s="103"/>
      <c r="AU74" s="103"/>
      <c r="AV74" s="290"/>
      <c r="AW74" s="290"/>
      <c r="AX74" s="290"/>
      <c r="AY74" s="290"/>
      <c r="AZ74" s="290"/>
    </row>
    <row r="75" spans="1:78" ht="16.350000000000001" customHeight="1" x14ac:dyDescent="0.2">
      <c r="A75" s="8159" t="s">
        <v>24</v>
      </c>
      <c r="B75" s="8159"/>
      <c r="C75" s="2564">
        <f t="shared" ref="C75:L75" si="6">SUM(C71:C74)</f>
        <v>0</v>
      </c>
      <c r="D75" s="2532">
        <f t="shared" si="6"/>
        <v>0</v>
      </c>
      <c r="E75" s="2566">
        <f t="shared" si="6"/>
        <v>0</v>
      </c>
      <c r="F75" s="2560">
        <f t="shared" si="6"/>
        <v>0</v>
      </c>
      <c r="G75" s="2560">
        <f>SUM(G71:G74)</f>
        <v>0</v>
      </c>
      <c r="H75" s="2564">
        <f t="shared" si="6"/>
        <v>0</v>
      </c>
      <c r="I75" s="2532">
        <f t="shared" si="6"/>
        <v>0</v>
      </c>
      <c r="J75" s="2567">
        <f t="shared" si="6"/>
        <v>0</v>
      </c>
      <c r="K75" s="2560">
        <f t="shared" si="6"/>
        <v>0</v>
      </c>
      <c r="L75" s="3182">
        <f t="shared" si="6"/>
        <v>0</v>
      </c>
      <c r="M75" s="2560">
        <f>SUM(M71:M74)</f>
        <v>0</v>
      </c>
      <c r="N75" s="2564">
        <f>SUM(N71:N74)</f>
        <v>0</v>
      </c>
      <c r="O75" s="71"/>
      <c r="P75" s="71"/>
      <c r="Q75" s="71"/>
      <c r="R75" s="71"/>
      <c r="S75" s="71"/>
      <c r="T75" s="71"/>
      <c r="U75" s="71"/>
      <c r="V75" s="71"/>
      <c r="W75" s="140"/>
      <c r="X75" s="140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103"/>
      <c r="AR75" s="103"/>
      <c r="AS75" s="103"/>
      <c r="AT75" s="103"/>
      <c r="AU75" s="103"/>
      <c r="AV75" s="290"/>
      <c r="AW75" s="290"/>
      <c r="AX75" s="290"/>
      <c r="AY75" s="290"/>
      <c r="AZ75" s="290"/>
    </row>
    <row r="76" spans="1:78" ht="16.350000000000001" customHeight="1" x14ac:dyDescent="0.2">
      <c r="A76" s="3080" t="s">
        <v>3146</v>
      </c>
      <c r="B76" s="3184"/>
      <c r="C76" s="3185"/>
      <c r="D76" s="3185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71"/>
      <c r="P76" s="71"/>
      <c r="Q76" s="71"/>
      <c r="R76" s="71"/>
      <c r="S76" s="71"/>
      <c r="T76" s="71"/>
      <c r="U76" s="71"/>
      <c r="V76" s="71"/>
      <c r="W76" s="140"/>
      <c r="X76" s="140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103"/>
      <c r="AR76" s="103"/>
      <c r="AS76" s="103"/>
      <c r="AT76" s="103"/>
      <c r="AU76" s="103"/>
      <c r="AV76" s="290"/>
      <c r="AW76" s="290"/>
      <c r="AX76" s="290"/>
      <c r="AY76" s="290"/>
      <c r="AZ76" s="290"/>
    </row>
    <row r="77" spans="1:78" ht="24" customHeight="1" x14ac:dyDescent="0.2">
      <c r="A77" s="365" t="s">
        <v>3144</v>
      </c>
      <c r="B77" s="365"/>
      <c r="C77" s="365"/>
      <c r="D77" s="365"/>
      <c r="E77" s="501"/>
      <c r="F77" s="501"/>
      <c r="G77" s="501"/>
      <c r="H77" s="501"/>
      <c r="I77" s="501"/>
      <c r="J77" s="501"/>
      <c r="K77" s="501"/>
      <c r="L77" s="501"/>
      <c r="M77" s="501"/>
      <c r="N77" s="501"/>
      <c r="O77" s="501"/>
      <c r="P77" s="501"/>
      <c r="Q77" s="501"/>
      <c r="R77" s="501"/>
      <c r="S77" s="501"/>
      <c r="T77" s="501"/>
      <c r="U77" s="501"/>
      <c r="V77" s="501"/>
      <c r="W77" s="501"/>
      <c r="X77" s="501"/>
      <c r="Y77" s="501"/>
      <c r="Z77" s="501"/>
      <c r="AA77" s="501"/>
      <c r="AB77" s="501"/>
      <c r="AC77" s="501"/>
      <c r="AD77" s="501"/>
      <c r="AE77" s="501"/>
      <c r="AF77" s="501"/>
      <c r="AG77" s="501"/>
      <c r="AH77" s="501"/>
      <c r="AI77" s="501"/>
      <c r="AJ77" s="501"/>
      <c r="AK77" s="501"/>
      <c r="AL77" s="71"/>
      <c r="AM77" s="71"/>
      <c r="AN77" s="71"/>
      <c r="AO77" s="71"/>
      <c r="AP77" s="71"/>
      <c r="AQ77" s="71"/>
      <c r="AR77" s="71"/>
      <c r="AS77" s="71"/>
    </row>
    <row r="78" spans="1:78" ht="26.45" customHeight="1" x14ac:dyDescent="0.2">
      <c r="A78" s="8167" t="s">
        <v>656</v>
      </c>
      <c r="B78" s="8153" t="s">
        <v>24</v>
      </c>
      <c r="C78" s="8147" t="s">
        <v>22</v>
      </c>
      <c r="D78" s="8149"/>
      <c r="E78" s="8169" t="s">
        <v>360</v>
      </c>
      <c r="F78" s="8127" t="s">
        <v>359</v>
      </c>
      <c r="G78" s="8127" t="s">
        <v>2947</v>
      </c>
      <c r="H78" s="8127" t="s">
        <v>2607</v>
      </c>
      <c r="I78" s="71"/>
      <c r="J78" s="71"/>
      <c r="K78" s="71"/>
      <c r="L78" s="71"/>
      <c r="M78" s="71"/>
      <c r="N78" s="71"/>
      <c r="O78" s="71"/>
      <c r="P78" s="71"/>
      <c r="Q78" s="71"/>
      <c r="R78" s="140"/>
      <c r="S78" s="140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BZ78" s="1460"/>
    </row>
    <row r="79" spans="1:78" ht="34.9" customHeight="1" x14ac:dyDescent="0.2">
      <c r="A79" s="8168"/>
      <c r="B79" s="8154"/>
      <c r="C79" s="2544" t="s">
        <v>17</v>
      </c>
      <c r="D79" s="2556" t="s">
        <v>18</v>
      </c>
      <c r="E79" s="8170"/>
      <c r="F79" s="8128"/>
      <c r="G79" s="8128"/>
      <c r="H79" s="8128"/>
      <c r="I79" s="71"/>
      <c r="J79" s="71"/>
      <c r="K79" s="71"/>
      <c r="L79" s="71"/>
      <c r="M79" s="71"/>
      <c r="N79" s="71"/>
      <c r="O79" s="71"/>
      <c r="P79" s="71"/>
      <c r="Q79" s="71"/>
      <c r="R79" s="140"/>
      <c r="S79" s="140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BZ79" s="1460"/>
    </row>
    <row r="80" spans="1:78" ht="16.350000000000001" customHeight="1" x14ac:dyDescent="0.2">
      <c r="A80" s="468" t="s">
        <v>655</v>
      </c>
      <c r="B80" s="141">
        <f>SUM(C80:D80)</f>
        <v>0</v>
      </c>
      <c r="C80" s="2548"/>
      <c r="D80" s="2557"/>
      <c r="E80" s="2568"/>
      <c r="F80" s="2555"/>
      <c r="G80" s="2555"/>
      <c r="H80" s="2555"/>
      <c r="I80" s="548"/>
      <c r="J80" s="71"/>
      <c r="K80" s="71"/>
      <c r="L80" s="71"/>
      <c r="M80" s="71"/>
      <c r="N80" s="71"/>
      <c r="O80" s="71"/>
      <c r="P80" s="71"/>
      <c r="Q80" s="71"/>
      <c r="R80" s="140"/>
      <c r="S80" s="140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BZ80" s="1460"/>
    </row>
    <row r="81" spans="1:78" ht="16.350000000000001" customHeight="1" x14ac:dyDescent="0.2">
      <c r="A81" s="109" t="s">
        <v>654</v>
      </c>
      <c r="B81" s="141">
        <f>SUM(C81:D81)</f>
        <v>0</v>
      </c>
      <c r="C81" s="2548"/>
      <c r="D81" s="2557"/>
      <c r="E81" s="2568"/>
      <c r="F81" s="2555"/>
      <c r="G81" s="2555"/>
      <c r="H81" s="2555"/>
      <c r="I81" s="548"/>
      <c r="J81" s="71"/>
      <c r="K81" s="71"/>
      <c r="L81" s="71"/>
      <c r="M81" s="71"/>
      <c r="N81" s="71"/>
      <c r="O81" s="71"/>
      <c r="P81" s="71"/>
      <c r="Q81" s="71"/>
      <c r="R81" s="140"/>
      <c r="S81" s="140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BZ81" s="1460"/>
    </row>
    <row r="82" spans="1:78" ht="16.350000000000001" customHeight="1" x14ac:dyDescent="0.2">
      <c r="A82" s="109" t="s">
        <v>653</v>
      </c>
      <c r="B82" s="141">
        <f>SUM(C82:D82)</f>
        <v>0</v>
      </c>
      <c r="C82" s="2548"/>
      <c r="D82" s="2557"/>
      <c r="E82" s="2568"/>
      <c r="F82" s="2555"/>
      <c r="G82" s="2555"/>
      <c r="H82" s="2555"/>
      <c r="I82" s="548"/>
      <c r="J82" s="71"/>
      <c r="K82" s="71"/>
      <c r="L82" s="71"/>
      <c r="M82" s="71"/>
      <c r="N82" s="71"/>
      <c r="O82" s="71"/>
      <c r="P82" s="71"/>
      <c r="Q82" s="71"/>
      <c r="R82" s="140"/>
      <c r="S82" s="140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BZ82" s="1460"/>
    </row>
    <row r="83" spans="1:78" ht="16.350000000000001" customHeight="1" x14ac:dyDescent="0.2">
      <c r="A83" s="109" t="s">
        <v>652</v>
      </c>
      <c r="B83" s="141">
        <f>SUM(C83:D83)</f>
        <v>0</v>
      </c>
      <c r="C83" s="2548"/>
      <c r="D83" s="2557"/>
      <c r="E83" s="2568"/>
      <c r="F83" s="2555"/>
      <c r="G83" s="2555"/>
      <c r="H83" s="2555"/>
      <c r="I83" s="548"/>
      <c r="J83" s="71"/>
      <c r="K83" s="71"/>
      <c r="L83" s="71"/>
      <c r="M83" s="71"/>
      <c r="N83" s="71"/>
      <c r="O83" s="71"/>
      <c r="P83" s="71"/>
      <c r="Q83" s="71"/>
      <c r="R83" s="140"/>
      <c r="S83" s="140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BZ83" s="1460"/>
    </row>
    <row r="84" spans="1:78" ht="16.350000000000001" customHeight="1" x14ac:dyDescent="0.2">
      <c r="A84" s="81" t="s">
        <v>651</v>
      </c>
      <c r="B84" s="142">
        <f>SUM(C84:D84)</f>
        <v>0</v>
      </c>
      <c r="C84" s="2521"/>
      <c r="D84" s="2558"/>
      <c r="E84" s="2546"/>
      <c r="F84" s="2535"/>
      <c r="G84" s="2535"/>
      <c r="H84" s="2535"/>
      <c r="I84" s="548"/>
      <c r="J84" s="71"/>
      <c r="K84" s="71"/>
      <c r="L84" s="71"/>
      <c r="M84" s="71"/>
      <c r="N84" s="71"/>
      <c r="O84" s="71"/>
      <c r="P84" s="71"/>
      <c r="Q84" s="71"/>
      <c r="R84" s="140"/>
      <c r="S84" s="140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BZ84" s="1460"/>
    </row>
    <row r="85" spans="1:78" ht="23.45" customHeight="1" x14ac:dyDescent="0.2">
      <c r="A85" s="3426" t="s">
        <v>3143</v>
      </c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140"/>
      <c r="U85" s="140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</row>
    <row r="86" spans="1:78" ht="23.45" customHeight="1" x14ac:dyDescent="0.2">
      <c r="A86" s="8167" t="s">
        <v>656</v>
      </c>
      <c r="B86" s="8174" t="s">
        <v>3145</v>
      </c>
      <c r="C86" s="8176" t="s">
        <v>39</v>
      </c>
      <c r="D86" s="8147" t="s">
        <v>22</v>
      </c>
      <c r="E86" s="8149"/>
      <c r="F86" s="8169" t="s">
        <v>360</v>
      </c>
      <c r="G86" s="8127" t="s">
        <v>359</v>
      </c>
      <c r="H86" s="8127" t="s">
        <v>2947</v>
      </c>
      <c r="I86" s="8127" t="s">
        <v>2607</v>
      </c>
      <c r="J86" s="71"/>
      <c r="K86" s="71"/>
      <c r="L86" s="71"/>
      <c r="M86" s="71"/>
      <c r="N86" s="71"/>
      <c r="O86" s="71"/>
      <c r="P86" s="71"/>
      <c r="Q86" s="71"/>
      <c r="R86" s="71"/>
      <c r="S86" s="140"/>
      <c r="T86" s="140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</row>
    <row r="87" spans="1:78" ht="29.25" customHeight="1" x14ac:dyDescent="0.2">
      <c r="A87" s="8168"/>
      <c r="B87" s="8175"/>
      <c r="C87" s="8177"/>
      <c r="D87" s="2544" t="s">
        <v>17</v>
      </c>
      <c r="E87" s="2556" t="s">
        <v>18</v>
      </c>
      <c r="F87" s="8170"/>
      <c r="G87" s="8128"/>
      <c r="H87" s="8128"/>
      <c r="I87" s="8128"/>
      <c r="J87" s="71"/>
      <c r="K87" s="71"/>
      <c r="L87" s="71"/>
      <c r="M87" s="71"/>
      <c r="N87" s="71"/>
      <c r="O87" s="71"/>
      <c r="P87" s="71"/>
      <c r="Q87" s="71"/>
      <c r="R87" s="71"/>
      <c r="S87" s="140"/>
      <c r="T87" s="140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</row>
    <row r="88" spans="1:78" ht="16.350000000000001" customHeight="1" x14ac:dyDescent="0.2">
      <c r="A88" s="3183" t="s">
        <v>655</v>
      </c>
      <c r="B88" s="3119"/>
      <c r="C88" s="3186">
        <f>SUM(D88:E88)</f>
        <v>0</v>
      </c>
      <c r="D88" s="3058"/>
      <c r="E88" s="2507"/>
      <c r="F88" s="2505"/>
      <c r="G88" s="2877"/>
      <c r="H88" s="2877"/>
      <c r="I88" s="2877"/>
      <c r="J88" s="548"/>
      <c r="K88" s="71"/>
      <c r="L88" s="71"/>
      <c r="M88" s="71"/>
      <c r="N88" s="71"/>
      <c r="O88" s="71"/>
      <c r="P88" s="71"/>
      <c r="Q88" s="71"/>
      <c r="R88" s="71"/>
      <c r="S88" s="140"/>
      <c r="T88" s="140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</row>
    <row r="89" spans="1:78" ht="16.350000000000001" customHeight="1" x14ac:dyDescent="0.2">
      <c r="A89" s="109" t="s">
        <v>654</v>
      </c>
      <c r="B89" s="3069"/>
      <c r="C89" s="3187">
        <f>SUM(D89:E89)</f>
        <v>0</v>
      </c>
      <c r="D89" s="2548"/>
      <c r="E89" s="2557"/>
      <c r="F89" s="2568"/>
      <c r="G89" s="2555"/>
      <c r="H89" s="2555"/>
      <c r="I89" s="2555"/>
      <c r="J89" s="548"/>
      <c r="K89" s="71"/>
      <c r="L89" s="71"/>
      <c r="M89" s="71"/>
      <c r="N89" s="71"/>
      <c r="O89" s="71"/>
      <c r="P89" s="71"/>
      <c r="Q89" s="71"/>
      <c r="R89" s="71"/>
      <c r="S89" s="140"/>
      <c r="T89" s="140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</row>
    <row r="90" spans="1:78" ht="16.350000000000001" customHeight="1" x14ac:dyDescent="0.2">
      <c r="A90" s="109" t="s">
        <v>653</v>
      </c>
      <c r="B90" s="3069"/>
      <c r="C90" s="3187">
        <f>SUM(D90:E90)</f>
        <v>0</v>
      </c>
      <c r="D90" s="2548"/>
      <c r="E90" s="2557"/>
      <c r="F90" s="2568"/>
      <c r="G90" s="2555"/>
      <c r="H90" s="2555"/>
      <c r="I90" s="2555"/>
      <c r="J90" s="548"/>
      <c r="K90" s="71"/>
      <c r="L90" s="71"/>
      <c r="M90" s="71"/>
      <c r="N90" s="71"/>
      <c r="O90" s="71"/>
      <c r="P90" s="71"/>
      <c r="Q90" s="71"/>
      <c r="R90" s="71"/>
      <c r="S90" s="140"/>
      <c r="T90" s="140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</row>
    <row r="91" spans="1:78" ht="16.350000000000001" customHeight="1" x14ac:dyDescent="0.2">
      <c r="A91" s="109" t="s">
        <v>652</v>
      </c>
      <c r="B91" s="3069"/>
      <c r="C91" s="3187">
        <f>SUM(D91:E91)</f>
        <v>0</v>
      </c>
      <c r="D91" s="2548"/>
      <c r="E91" s="2557"/>
      <c r="F91" s="2568"/>
      <c r="G91" s="2555"/>
      <c r="H91" s="2555"/>
      <c r="I91" s="2555"/>
      <c r="J91" s="548"/>
      <c r="K91" s="71"/>
      <c r="L91" s="71"/>
      <c r="M91" s="71"/>
      <c r="N91" s="71"/>
      <c r="O91" s="71"/>
      <c r="P91" s="71"/>
      <c r="Q91" s="71"/>
      <c r="R91" s="71"/>
      <c r="S91" s="140"/>
      <c r="T91" s="140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</row>
    <row r="92" spans="1:78" ht="16.350000000000001" customHeight="1" x14ac:dyDescent="0.2">
      <c r="A92" s="81" t="s">
        <v>651</v>
      </c>
      <c r="B92" s="2878"/>
      <c r="C92" s="3188">
        <f>SUM(D92:E92)</f>
        <v>0</v>
      </c>
      <c r="D92" s="2521"/>
      <c r="E92" s="2558"/>
      <c r="F92" s="2546"/>
      <c r="G92" s="2535"/>
      <c r="H92" s="2535"/>
      <c r="I92" s="2535"/>
      <c r="J92" s="548"/>
      <c r="K92" s="71"/>
      <c r="L92" s="71"/>
      <c r="M92" s="71"/>
      <c r="N92" s="71"/>
      <c r="O92" s="71"/>
      <c r="P92" s="71"/>
      <c r="Q92" s="71"/>
      <c r="R92" s="71"/>
      <c r="S92" s="140"/>
      <c r="T92" s="140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</row>
    <row r="93" spans="1:78" ht="24.75" customHeight="1" x14ac:dyDescent="0.2">
      <c r="A93" s="365" t="s">
        <v>2065</v>
      </c>
      <c r="B93" s="2441"/>
      <c r="C93" s="2441"/>
      <c r="D93" s="2442"/>
      <c r="E93" s="2441"/>
      <c r="F93" s="2441"/>
      <c r="G93" s="2441"/>
      <c r="H93" s="2441"/>
      <c r="I93" s="2441"/>
      <c r="J93" s="2441"/>
      <c r="K93" s="2441"/>
      <c r="L93" s="2441"/>
      <c r="M93" s="2441"/>
      <c r="N93" s="2441"/>
      <c r="O93" s="2441"/>
      <c r="P93" s="2441"/>
      <c r="Q93" s="2441"/>
      <c r="R93" s="2441"/>
      <c r="S93" s="2441"/>
      <c r="T93" s="2441"/>
      <c r="U93" s="2441"/>
      <c r="V93" s="2441"/>
      <c r="W93" s="2441"/>
      <c r="X93" s="2443"/>
      <c r="Y93" s="2443"/>
      <c r="Z93" s="2441"/>
      <c r="AA93" s="2441"/>
      <c r="AB93" s="2441"/>
      <c r="AC93" s="2441"/>
      <c r="AD93" s="2441"/>
      <c r="AE93" s="2441"/>
      <c r="AF93" s="2441"/>
      <c r="AG93" s="71"/>
      <c r="AH93" s="71"/>
      <c r="AI93" s="71"/>
      <c r="AJ93" s="71"/>
    </row>
    <row r="94" spans="1:78" ht="15" customHeight="1" x14ac:dyDescent="0.2">
      <c r="A94" s="8160" t="s">
        <v>650</v>
      </c>
      <c r="B94" s="8163" t="s">
        <v>24</v>
      </c>
      <c r="C94" s="8164"/>
      <c r="D94" s="8165"/>
      <c r="E94" s="8171" t="s">
        <v>25</v>
      </c>
      <c r="F94" s="8172"/>
      <c r="G94" s="8172"/>
      <c r="H94" s="8172"/>
      <c r="I94" s="8172"/>
      <c r="J94" s="8172"/>
      <c r="K94" s="8172"/>
      <c r="L94" s="8172"/>
      <c r="M94" s="8172"/>
      <c r="N94" s="8172"/>
      <c r="O94" s="8172"/>
      <c r="P94" s="8172"/>
      <c r="Q94" s="8172"/>
      <c r="R94" s="8172"/>
      <c r="S94" s="8172"/>
      <c r="T94" s="8172"/>
      <c r="U94" s="8172"/>
      <c r="V94" s="8172"/>
      <c r="W94" s="8172"/>
      <c r="X94" s="8172"/>
      <c r="Y94" s="8172"/>
      <c r="Z94" s="8172"/>
      <c r="AA94" s="8172"/>
      <c r="AB94" s="8172"/>
      <c r="AC94" s="8172"/>
      <c r="AD94" s="8172"/>
      <c r="AE94" s="8172"/>
      <c r="AF94" s="8173"/>
      <c r="AG94" s="8150" t="s">
        <v>359</v>
      </c>
      <c r="AH94" s="8150" t="s">
        <v>360</v>
      </c>
      <c r="BY94" s="1460"/>
      <c r="BZ94" s="1460"/>
    </row>
    <row r="95" spans="1:78" x14ac:dyDescent="0.2">
      <c r="A95" s="8161"/>
      <c r="B95" s="8166"/>
      <c r="C95" s="8130"/>
      <c r="D95" s="8151"/>
      <c r="E95" s="8140" t="s">
        <v>80</v>
      </c>
      <c r="F95" s="8141"/>
      <c r="G95" s="8145" t="s">
        <v>81</v>
      </c>
      <c r="H95" s="8139"/>
      <c r="I95" s="8145" t="s">
        <v>82</v>
      </c>
      <c r="J95" s="8139"/>
      <c r="K95" s="8137" t="s">
        <v>83</v>
      </c>
      <c r="L95" s="8139"/>
      <c r="M95" s="8145" t="s">
        <v>398</v>
      </c>
      <c r="N95" s="8139"/>
      <c r="O95" s="8145" t="s">
        <v>124</v>
      </c>
      <c r="P95" s="8139"/>
      <c r="Q95" s="8145" t="s">
        <v>125</v>
      </c>
      <c r="R95" s="8139"/>
      <c r="S95" s="8145" t="s">
        <v>126</v>
      </c>
      <c r="T95" s="8139"/>
      <c r="U95" s="8145" t="s">
        <v>127</v>
      </c>
      <c r="V95" s="8139"/>
      <c r="W95" s="8145" t="s">
        <v>128</v>
      </c>
      <c r="X95" s="8139"/>
      <c r="Y95" s="8137" t="s">
        <v>129</v>
      </c>
      <c r="Z95" s="8139"/>
      <c r="AA95" s="8137" t="s">
        <v>130</v>
      </c>
      <c r="AB95" s="8139"/>
      <c r="AC95" s="8137" t="s">
        <v>131</v>
      </c>
      <c r="AD95" s="8139"/>
      <c r="AE95" s="8137" t="s">
        <v>1403</v>
      </c>
      <c r="AF95" s="8138"/>
      <c r="AG95" s="8151"/>
      <c r="AH95" s="8151"/>
      <c r="BY95" s="1460"/>
      <c r="BZ95" s="1460"/>
    </row>
    <row r="96" spans="1:78" x14ac:dyDescent="0.2">
      <c r="A96" s="8162"/>
      <c r="B96" s="1306" t="s">
        <v>42</v>
      </c>
      <c r="C96" s="3425" t="s">
        <v>17</v>
      </c>
      <c r="D96" s="1350" t="s">
        <v>18</v>
      </c>
      <c r="E96" s="1717" t="s">
        <v>17</v>
      </c>
      <c r="F96" s="2114" t="s">
        <v>18</v>
      </c>
      <c r="G96" s="3357" t="s">
        <v>17</v>
      </c>
      <c r="H96" s="2114" t="s">
        <v>18</v>
      </c>
      <c r="I96" s="3357" t="s">
        <v>17</v>
      </c>
      <c r="J96" s="2114" t="s">
        <v>18</v>
      </c>
      <c r="K96" s="1717" t="s">
        <v>17</v>
      </c>
      <c r="L96" s="2114" t="s">
        <v>18</v>
      </c>
      <c r="M96" s="3357" t="s">
        <v>17</v>
      </c>
      <c r="N96" s="2114" t="s">
        <v>18</v>
      </c>
      <c r="O96" s="3357" t="s">
        <v>17</v>
      </c>
      <c r="P96" s="2114" t="s">
        <v>18</v>
      </c>
      <c r="Q96" s="3357" t="s">
        <v>17</v>
      </c>
      <c r="R96" s="2114" t="s">
        <v>18</v>
      </c>
      <c r="S96" s="3357" t="s">
        <v>17</v>
      </c>
      <c r="T96" s="2114" t="s">
        <v>18</v>
      </c>
      <c r="U96" s="3357" t="s">
        <v>17</v>
      </c>
      <c r="V96" s="2114" t="s">
        <v>18</v>
      </c>
      <c r="W96" s="3357" t="s">
        <v>17</v>
      </c>
      <c r="X96" s="2114" t="s">
        <v>18</v>
      </c>
      <c r="Y96" s="1717" t="s">
        <v>17</v>
      </c>
      <c r="Z96" s="2114" t="s">
        <v>18</v>
      </c>
      <c r="AA96" s="1717" t="s">
        <v>17</v>
      </c>
      <c r="AB96" s="2114" t="s">
        <v>18</v>
      </c>
      <c r="AC96" s="1717" t="s">
        <v>17</v>
      </c>
      <c r="AD96" s="2114" t="s">
        <v>18</v>
      </c>
      <c r="AE96" s="1717" t="s">
        <v>17</v>
      </c>
      <c r="AF96" s="3354" t="s">
        <v>18</v>
      </c>
      <c r="AG96" s="8152"/>
      <c r="AH96" s="8152"/>
      <c r="BY96" s="1460"/>
      <c r="BZ96" s="1460"/>
    </row>
    <row r="97" spans="1:130" ht="14.25" customHeight="1" x14ac:dyDescent="0.2">
      <c r="A97" s="3314" t="s">
        <v>2059</v>
      </c>
      <c r="B97" s="3410">
        <f t="shared" ref="B97:B102" si="7">SUM(C97:D97)</f>
        <v>0</v>
      </c>
      <c r="C97" s="3411">
        <f t="shared" ref="C97:C102" si="8">SUM(E97+G97+I97+K97+M97+O97+Q97+S97+U97+W97+Y97+AA97+AC97+AE97)</f>
        <v>0</v>
      </c>
      <c r="D97" s="3412">
        <f t="shared" ref="D97:D102" si="9">SUM(+F97+H97+J97+L97+N97+P97+R97+T97+V97+X97+Z97+AB97+AD97+AF97)</f>
        <v>0</v>
      </c>
      <c r="E97" s="2885"/>
      <c r="F97" s="2887"/>
      <c r="G97" s="3136"/>
      <c r="H97" s="2887"/>
      <c r="I97" s="3413"/>
      <c r="J97" s="3414"/>
      <c r="K97" s="3415"/>
      <c r="L97" s="3414"/>
      <c r="M97" s="3413"/>
      <c r="N97" s="3414"/>
      <c r="O97" s="3413"/>
      <c r="P97" s="3414"/>
      <c r="Q97" s="3413"/>
      <c r="R97" s="3414"/>
      <c r="S97" s="3413"/>
      <c r="T97" s="3414"/>
      <c r="U97" s="3413"/>
      <c r="V97" s="3414"/>
      <c r="W97" s="3413"/>
      <c r="X97" s="3416"/>
      <c r="Y97" s="3416"/>
      <c r="Z97" s="3416"/>
      <c r="AA97" s="3416"/>
      <c r="AB97" s="3416"/>
      <c r="AC97" s="3416"/>
      <c r="AD97" s="3416"/>
      <c r="AE97" s="3416"/>
      <c r="AF97" s="3417"/>
      <c r="AG97" s="1333"/>
      <c r="AH97" s="1333"/>
      <c r="AI97" s="1466"/>
      <c r="BY97" s="1460"/>
      <c r="BZ97" s="1460"/>
      <c r="DA97" s="3296">
        <v>0</v>
      </c>
      <c r="DB97" s="3296">
        <v>0</v>
      </c>
    </row>
    <row r="98" spans="1:130" ht="14.25" customHeight="1" x14ac:dyDescent="0.2">
      <c r="A98" s="3314" t="s">
        <v>2060</v>
      </c>
      <c r="B98" s="3410">
        <f t="shared" si="7"/>
        <v>0</v>
      </c>
      <c r="C98" s="3411">
        <f t="shared" si="8"/>
        <v>0</v>
      </c>
      <c r="D98" s="3412">
        <f t="shared" si="9"/>
        <v>0</v>
      </c>
      <c r="E98" s="2885"/>
      <c r="F98" s="2887"/>
      <c r="G98" s="3136"/>
      <c r="H98" s="2887"/>
      <c r="I98" s="3413"/>
      <c r="J98" s="3414"/>
      <c r="K98" s="3415"/>
      <c r="L98" s="3414"/>
      <c r="M98" s="3413"/>
      <c r="N98" s="3414"/>
      <c r="O98" s="3413"/>
      <c r="P98" s="3414"/>
      <c r="Q98" s="3413"/>
      <c r="R98" s="3414"/>
      <c r="S98" s="3413"/>
      <c r="T98" s="3414"/>
      <c r="U98" s="3413"/>
      <c r="V98" s="3414"/>
      <c r="W98" s="3413"/>
      <c r="X98" s="3416"/>
      <c r="Y98" s="3416"/>
      <c r="Z98" s="3416"/>
      <c r="AA98" s="3416"/>
      <c r="AB98" s="3416"/>
      <c r="AC98" s="3416"/>
      <c r="AD98" s="3416"/>
      <c r="AE98" s="3416"/>
      <c r="AF98" s="3417"/>
      <c r="AG98" s="1308"/>
      <c r="AH98" s="1308"/>
      <c r="AI98" s="1466"/>
      <c r="BY98" s="1460"/>
      <c r="BZ98" s="1460"/>
      <c r="DA98" s="3296">
        <v>0</v>
      </c>
      <c r="DB98" s="3296">
        <v>0</v>
      </c>
    </row>
    <row r="99" spans="1:130" ht="14.25" customHeight="1" x14ac:dyDescent="0.2">
      <c r="A99" s="3418" t="s">
        <v>2061</v>
      </c>
      <c r="B99" s="7080">
        <f t="shared" si="7"/>
        <v>0</v>
      </c>
      <c r="C99" s="7081">
        <f t="shared" si="8"/>
        <v>0</v>
      </c>
      <c r="D99" s="3913">
        <f t="shared" si="9"/>
        <v>0</v>
      </c>
      <c r="E99" s="3142"/>
      <c r="F99" s="3124"/>
      <c r="G99" s="3419"/>
      <c r="H99" s="3124"/>
      <c r="I99" s="3420"/>
      <c r="J99" s="3421"/>
      <c r="K99" s="3422"/>
      <c r="L99" s="3421"/>
      <c r="M99" s="3420"/>
      <c r="N99" s="3421"/>
      <c r="O99" s="3420"/>
      <c r="P99" s="3421"/>
      <c r="Q99" s="3420"/>
      <c r="R99" s="3421"/>
      <c r="S99" s="3420"/>
      <c r="T99" s="3421"/>
      <c r="U99" s="3420"/>
      <c r="V99" s="3421"/>
      <c r="W99" s="3420"/>
      <c r="X99" s="3423"/>
      <c r="Y99" s="3423"/>
      <c r="Z99" s="3423"/>
      <c r="AA99" s="3423"/>
      <c r="AB99" s="3423"/>
      <c r="AC99" s="3423"/>
      <c r="AD99" s="3423"/>
      <c r="AE99" s="3423"/>
      <c r="AF99" s="3424"/>
      <c r="AG99" s="2081"/>
      <c r="AH99" s="2081"/>
      <c r="AI99" s="1466"/>
      <c r="BY99" s="1460"/>
      <c r="BZ99" s="1460"/>
      <c r="DA99" s="3296">
        <v>0</v>
      </c>
      <c r="DB99" s="3296">
        <v>0</v>
      </c>
    </row>
    <row r="100" spans="1:130" ht="14.25" customHeight="1" x14ac:dyDescent="0.2">
      <c r="A100" s="3314" t="s">
        <v>2105</v>
      </c>
      <c r="B100" s="7082">
        <f t="shared" si="7"/>
        <v>0</v>
      </c>
      <c r="C100" s="3914">
        <f t="shared" si="8"/>
        <v>0</v>
      </c>
      <c r="D100" s="3915">
        <f t="shared" si="9"/>
        <v>0</v>
      </c>
      <c r="E100" s="2885"/>
      <c r="F100" s="2887"/>
      <c r="G100" s="3136"/>
      <c r="H100" s="2887"/>
      <c r="I100" s="3413"/>
      <c r="J100" s="3414"/>
      <c r="K100" s="3415"/>
      <c r="L100" s="3414"/>
      <c r="M100" s="3413"/>
      <c r="N100" s="3414"/>
      <c r="O100" s="3413"/>
      <c r="P100" s="3414"/>
      <c r="Q100" s="3413"/>
      <c r="R100" s="3414"/>
      <c r="S100" s="3413"/>
      <c r="T100" s="3414"/>
      <c r="U100" s="3413"/>
      <c r="V100" s="3414"/>
      <c r="W100" s="3413"/>
      <c r="X100" s="3416"/>
      <c r="Y100" s="3416"/>
      <c r="Z100" s="3416"/>
      <c r="AA100" s="3416"/>
      <c r="AB100" s="3416"/>
      <c r="AC100" s="3416"/>
      <c r="AD100" s="3416"/>
      <c r="AE100" s="3416"/>
      <c r="AF100" s="3417"/>
      <c r="AG100" s="3121"/>
      <c r="AH100" s="3121"/>
      <c r="AI100" s="1466"/>
      <c r="AZ100" s="290"/>
      <c r="CZ100" s="3296"/>
      <c r="DA100" s="3296">
        <v>0</v>
      </c>
      <c r="DB100" s="3296">
        <v>0</v>
      </c>
      <c r="DZ100" s="1452"/>
    </row>
    <row r="101" spans="1:130" ht="14.25" customHeight="1" x14ac:dyDescent="0.2">
      <c r="A101" s="3314" t="s">
        <v>3751</v>
      </c>
      <c r="B101" s="3410">
        <f t="shared" si="7"/>
        <v>0</v>
      </c>
      <c r="C101" s="3411">
        <f t="shared" si="8"/>
        <v>0</v>
      </c>
      <c r="D101" s="3412">
        <f t="shared" si="9"/>
        <v>0</v>
      </c>
      <c r="E101" s="2885"/>
      <c r="F101" s="2887"/>
      <c r="G101" s="3136"/>
      <c r="H101" s="2887"/>
      <c r="I101" s="3413"/>
      <c r="J101" s="3414"/>
      <c r="K101" s="3415"/>
      <c r="L101" s="3414"/>
      <c r="M101" s="3413"/>
      <c r="N101" s="3414"/>
      <c r="O101" s="3413"/>
      <c r="P101" s="3414"/>
      <c r="Q101" s="3413"/>
      <c r="R101" s="3414"/>
      <c r="S101" s="3413"/>
      <c r="T101" s="3414"/>
      <c r="U101" s="3413"/>
      <c r="V101" s="3414"/>
      <c r="W101" s="3413"/>
      <c r="X101" s="3416"/>
      <c r="Y101" s="3416"/>
      <c r="Z101" s="3416"/>
      <c r="AA101" s="3416"/>
      <c r="AB101" s="3416"/>
      <c r="AC101" s="3416"/>
      <c r="AD101" s="3416"/>
      <c r="AE101" s="3416"/>
      <c r="AF101" s="3417"/>
      <c r="AG101" s="3121"/>
      <c r="AH101" s="3121"/>
      <c r="AI101" s="1466"/>
      <c r="AZ101" s="290"/>
      <c r="CZ101" s="3296"/>
      <c r="DA101" s="3296">
        <v>0</v>
      </c>
      <c r="DB101" s="3296">
        <v>0</v>
      </c>
      <c r="DZ101" s="1452"/>
    </row>
    <row r="102" spans="1:130" ht="14.25" customHeight="1" x14ac:dyDescent="0.2">
      <c r="A102" s="3418" t="s">
        <v>2062</v>
      </c>
      <c r="B102" s="7080">
        <f t="shared" si="7"/>
        <v>0</v>
      </c>
      <c r="C102" s="7081">
        <f t="shared" si="8"/>
        <v>0</v>
      </c>
      <c r="D102" s="3913">
        <f t="shared" si="9"/>
        <v>0</v>
      </c>
      <c r="E102" s="3142"/>
      <c r="F102" s="3124"/>
      <c r="G102" s="3419"/>
      <c r="H102" s="3124"/>
      <c r="I102" s="3420"/>
      <c r="J102" s="3421"/>
      <c r="K102" s="3422"/>
      <c r="L102" s="3421"/>
      <c r="M102" s="3420"/>
      <c r="N102" s="3421"/>
      <c r="O102" s="3420"/>
      <c r="P102" s="3421"/>
      <c r="Q102" s="3420"/>
      <c r="R102" s="3421"/>
      <c r="S102" s="3420"/>
      <c r="T102" s="3421"/>
      <c r="U102" s="3420"/>
      <c r="V102" s="3421"/>
      <c r="W102" s="3420"/>
      <c r="X102" s="3423"/>
      <c r="Y102" s="3423"/>
      <c r="Z102" s="3423"/>
      <c r="AA102" s="3423"/>
      <c r="AB102" s="3423"/>
      <c r="AC102" s="3423"/>
      <c r="AD102" s="3423"/>
      <c r="AE102" s="3423"/>
      <c r="AF102" s="3424"/>
      <c r="AG102" s="3408"/>
      <c r="AH102" s="3408"/>
      <c r="AI102" s="1466"/>
      <c r="AZ102" s="290"/>
      <c r="CZ102" s="3296"/>
      <c r="DA102" s="3296">
        <v>0</v>
      </c>
      <c r="DB102" s="3296">
        <v>0</v>
      </c>
      <c r="DZ102" s="1452"/>
    </row>
    <row r="191" ht="14.25" customHeight="1" x14ac:dyDescent="0.2"/>
    <row r="192" ht="17.25" customHeight="1" x14ac:dyDescent="0.2"/>
    <row r="193" spans="1:130" s="1440" customFormat="1" ht="19.5" hidden="1" customHeight="1" x14ac:dyDescent="0.2">
      <c r="A193" s="1440">
        <f>SUM(C12:C33,U32:V33,X20:X23,W14:W15,C37:C40,D37:E40,C45:E67,C71:C75,H71:H75,B80:B84,C88:C92,B97:B102)</f>
        <v>0</v>
      </c>
      <c r="B193" s="1440">
        <f>SUM(DA1:DZ99)</f>
        <v>0</v>
      </c>
      <c r="BA193" s="290"/>
      <c r="BB193" s="290"/>
      <c r="BC193" s="290"/>
      <c r="BD193" s="290"/>
      <c r="BE193" s="290"/>
      <c r="BF193" s="290"/>
      <c r="BG193" s="290"/>
      <c r="BH193" s="290"/>
      <c r="BI193" s="290"/>
      <c r="BJ193" s="290"/>
      <c r="BK193" s="290"/>
      <c r="BL193" s="290"/>
      <c r="BM193" s="290"/>
      <c r="BN193" s="290"/>
      <c r="BO193" s="290"/>
      <c r="BP193" s="290"/>
      <c r="BQ193" s="290"/>
      <c r="BR193" s="290"/>
      <c r="BS193" s="290"/>
      <c r="BT193" s="290"/>
      <c r="BU193" s="290"/>
      <c r="BV193" s="290"/>
      <c r="BW193" s="290"/>
      <c r="BX193" s="290"/>
      <c r="BY193" s="290"/>
      <c r="BZ193" s="290"/>
      <c r="CA193" s="1451"/>
      <c r="CB193" s="1451"/>
      <c r="CC193" s="1451"/>
      <c r="CD193" s="1451"/>
      <c r="CE193" s="1451"/>
      <c r="CF193" s="1451"/>
      <c r="CG193" s="1451"/>
      <c r="CH193" s="1451"/>
      <c r="CI193" s="1451"/>
      <c r="CJ193" s="1451"/>
      <c r="CK193" s="1451"/>
      <c r="CL193" s="1451"/>
      <c r="CM193" s="1451"/>
      <c r="CN193" s="1451"/>
      <c r="CO193" s="1451"/>
      <c r="CP193" s="1451"/>
      <c r="CQ193" s="1451"/>
      <c r="CR193" s="1451"/>
      <c r="CS193" s="1451"/>
      <c r="CT193" s="1451"/>
      <c r="CU193" s="1451"/>
      <c r="CV193" s="1451"/>
      <c r="CW193" s="1451"/>
      <c r="CX193" s="1451"/>
      <c r="CY193" s="1451"/>
      <c r="CZ193" s="1451"/>
      <c r="DA193" s="3296"/>
      <c r="DB193" s="3296"/>
      <c r="DC193" s="3296"/>
      <c r="DD193" s="3296"/>
      <c r="DE193" s="3296"/>
      <c r="DF193" s="3296"/>
      <c r="DG193" s="3296"/>
      <c r="DH193" s="3296"/>
      <c r="DI193" s="3296"/>
      <c r="DJ193" s="3296"/>
      <c r="DK193" s="3296"/>
      <c r="DL193" s="3296"/>
      <c r="DM193" s="3296"/>
      <c r="DN193" s="3296"/>
      <c r="DO193" s="3296"/>
      <c r="DP193" s="3296"/>
      <c r="DQ193" s="3296"/>
      <c r="DR193" s="3296"/>
      <c r="DS193" s="3296"/>
      <c r="DT193" s="3296"/>
      <c r="DU193" s="3296"/>
      <c r="DV193" s="3296"/>
      <c r="DW193" s="3296"/>
      <c r="DX193" s="3296"/>
      <c r="DY193" s="3296"/>
      <c r="DZ193" s="3296"/>
    </row>
    <row r="194" spans="1:130" ht="19.5" customHeight="1" x14ac:dyDescent="0.2"/>
  </sheetData>
  <sheetProtection algorithmName="SHA-512" hashValue="n8fF1zRswlBnlNtPxddweCLfSFrpiCcGytd9iXbYvt4PqCtkLCIgAzie1lHMcYSOBKCK0Ge1EYpD3gcdSfcseg==" saltValue="oJwvSKgFj32IP1DtLvJDhw==" spinCount="100000" sheet="1" objects="1" scenarios="1"/>
  <mergeCells count="108">
    <mergeCell ref="A6:P6"/>
    <mergeCell ref="A7:L7"/>
    <mergeCell ref="A37:A40"/>
    <mergeCell ref="N43:O43"/>
    <mergeCell ref="P43:Q43"/>
    <mergeCell ref="D10:T10"/>
    <mergeCell ref="F43:G43"/>
    <mergeCell ref="A18:A19"/>
    <mergeCell ref="A22:A23"/>
    <mergeCell ref="A28:A29"/>
    <mergeCell ref="A32:A33"/>
    <mergeCell ref="A35:A36"/>
    <mergeCell ref="A30:A31"/>
    <mergeCell ref="C35:E35"/>
    <mergeCell ref="B35:B36"/>
    <mergeCell ref="A20:A21"/>
    <mergeCell ref="A12:A13"/>
    <mergeCell ref="A14:A15"/>
    <mergeCell ref="A16:A17"/>
    <mergeCell ref="C10:C11"/>
    <mergeCell ref="A10:A11"/>
    <mergeCell ref="A58:A63"/>
    <mergeCell ref="A55:A57"/>
    <mergeCell ref="A73:B73"/>
    <mergeCell ref="A71:B71"/>
    <mergeCell ref="A69:B70"/>
    <mergeCell ref="M69:M70"/>
    <mergeCell ref="N69:N70"/>
    <mergeCell ref="B10:B11"/>
    <mergeCell ref="A72:B72"/>
    <mergeCell ref="A64:A67"/>
    <mergeCell ref="A42:A44"/>
    <mergeCell ref="B42:B44"/>
    <mergeCell ref="A45:A48"/>
    <mergeCell ref="A49:A51"/>
    <mergeCell ref="A52:A54"/>
    <mergeCell ref="C42:E43"/>
    <mergeCell ref="C69:G69"/>
    <mergeCell ref="H69:L69"/>
    <mergeCell ref="A24:A25"/>
    <mergeCell ref="A26:A27"/>
    <mergeCell ref="A74:B74"/>
    <mergeCell ref="I95:J95"/>
    <mergeCell ref="A75:B75"/>
    <mergeCell ref="A94:A96"/>
    <mergeCell ref="B94:D95"/>
    <mergeCell ref="A78:A79"/>
    <mergeCell ref="B78:B79"/>
    <mergeCell ref="E78:E79"/>
    <mergeCell ref="F78:F79"/>
    <mergeCell ref="C78:D78"/>
    <mergeCell ref="I86:I87"/>
    <mergeCell ref="E94:AF94"/>
    <mergeCell ref="A86:A87"/>
    <mergeCell ref="B86:B87"/>
    <mergeCell ref="C86:C87"/>
    <mergeCell ref="D86:E86"/>
    <mergeCell ref="F86:F87"/>
    <mergeCell ref="G86:G87"/>
    <mergeCell ref="H86:H87"/>
    <mergeCell ref="E95:F95"/>
    <mergeCell ref="G95:H95"/>
    <mergeCell ref="K95:L95"/>
    <mergeCell ref="M95:N95"/>
    <mergeCell ref="O95:P95"/>
    <mergeCell ref="Q95:R95"/>
    <mergeCell ref="Z43:AA43"/>
    <mergeCell ref="AB43:AC43"/>
    <mergeCell ref="R43:S43"/>
    <mergeCell ref="T43:U43"/>
    <mergeCell ref="AA10:AA11"/>
    <mergeCell ref="F42:AM42"/>
    <mergeCell ref="AH94:AH96"/>
    <mergeCell ref="X10:X11"/>
    <mergeCell ref="AC95:AD95"/>
    <mergeCell ref="AE95:AF95"/>
    <mergeCell ref="S95:T95"/>
    <mergeCell ref="U95:V95"/>
    <mergeCell ref="W95:X95"/>
    <mergeCell ref="Y95:Z95"/>
    <mergeCell ref="AA95:AB95"/>
    <mergeCell ref="AG94:AG96"/>
    <mergeCell ref="AB10:AB11"/>
    <mergeCell ref="AC10:AC11"/>
    <mergeCell ref="W10:W11"/>
    <mergeCell ref="U10:V10"/>
    <mergeCell ref="Y10:Y11"/>
    <mergeCell ref="Z10:Z11"/>
    <mergeCell ref="AO42:AO44"/>
    <mergeCell ref="G78:G79"/>
    <mergeCell ref="AN42:AN44"/>
    <mergeCell ref="F35:AH35"/>
    <mergeCell ref="AL35:AL36"/>
    <mergeCell ref="AL43:AM43"/>
    <mergeCell ref="AH43:AI43"/>
    <mergeCell ref="AJ43:AK43"/>
    <mergeCell ref="L43:M43"/>
    <mergeCell ref="H43:I43"/>
    <mergeCell ref="J43:K43"/>
    <mergeCell ref="AI35:AJ35"/>
    <mergeCell ref="AM35:AM36"/>
    <mergeCell ref="AN35:AN36"/>
    <mergeCell ref="AK35:AK36"/>
    <mergeCell ref="H78:H79"/>
    <mergeCell ref="V43:W43"/>
    <mergeCell ref="X43:Y43"/>
    <mergeCell ref="AF43:AG43"/>
    <mergeCell ref="AD43:AE43"/>
  </mergeCells>
  <dataValidations count="1">
    <dataValidation type="whole" operator="greaterThanOrEqual" allowBlank="1" showInputMessage="1" showErrorMessage="1" errorTitle="Error" error="Favor ingresar sólo números." sqref="B88:B92 I71:N74 F45:AM67 D71:G74 E85:J85 D37:AL40 D88:I92 C80:H84 D12:X23 E97:AH102 D24:AC27 D28:X33" xr:uid="{00000000-0002-0000-0100-000000000000}">
      <formula1>0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DZ196"/>
  <sheetViews>
    <sheetView zoomScaleNormal="100" workbookViewId="0">
      <selection activeCell="A6" sqref="A6:AD6"/>
    </sheetView>
  </sheetViews>
  <sheetFormatPr baseColWidth="10" defaultColWidth="11.42578125" defaultRowHeight="14.25" x14ac:dyDescent="0.2"/>
  <cols>
    <col min="1" max="1" width="44.140625" style="165" customWidth="1"/>
    <col min="2" max="2" width="13.42578125" style="165" customWidth="1"/>
    <col min="3" max="76" width="11.42578125" style="165"/>
    <col min="77" max="77" width="11.42578125" style="165" customWidth="1"/>
    <col min="78" max="78" width="12" style="165" customWidth="1"/>
    <col min="79" max="90" width="12" style="1451" hidden="1" customWidth="1"/>
    <col min="91" max="104" width="11.42578125" style="1451" hidden="1" customWidth="1"/>
    <col min="105" max="130" width="11.42578125" style="3296" hidden="1" customWidth="1"/>
    <col min="131" max="16384" width="11.42578125" style="165"/>
  </cols>
  <sheetData>
    <row r="1" spans="1:53" ht="16.149999999999999" customHeight="1" x14ac:dyDescent="0.2">
      <c r="A1" s="150" t="s">
        <v>206</v>
      </c>
    </row>
    <row r="2" spans="1:53" ht="16.149999999999999" customHeight="1" x14ac:dyDescent="0.2">
      <c r="A2" s="150" t="str">
        <f>CONCATENATE("COMUNA: ",NOMBRE!B2," - ","( ",NOMBRE!C2,NOMBRE!D2,NOMBRE!E2,NOMBRE!F2,NOMBRE!G2," )")</f>
        <v>COMUNA:  - (  )</v>
      </c>
    </row>
    <row r="3" spans="1:53" ht="16.149999999999999" customHeight="1" x14ac:dyDescent="0.2">
      <c r="A3" s="150" t="str">
        <f>CONCATENATE("ESTABLECIMIENTO/ESTRATEGIA: ",NOMBRE!B3," - ","( ",NOMBRE!C3,NOMBRE!D3,NOMBRE!E3,NOMBRE!F3,NOMBRE!G3,NOMBRE!H3," )")</f>
        <v>ESTABLECIMIENTO/ESTRATEGIA:  - (  )</v>
      </c>
    </row>
    <row r="4" spans="1:53" ht="16.149999999999999" customHeight="1" x14ac:dyDescent="0.2">
      <c r="A4" s="150" t="str">
        <f>CONCATENATE("MES: ",NOMBRE!B6," - ","( ",NOMBRE!C6,NOMBRE!D6," )")</f>
        <v>MES:  - (  )</v>
      </c>
    </row>
    <row r="5" spans="1:53" ht="16.149999999999999" customHeight="1" x14ac:dyDescent="0.2">
      <c r="A5" s="150" t="str">
        <f>CONCATENATE("AÑO: ",NOMBRE!B7)</f>
        <v>AÑO: 2023</v>
      </c>
    </row>
    <row r="6" spans="1:53" ht="19.5" x14ac:dyDescent="0.25">
      <c r="A6" s="8199" t="s">
        <v>1767</v>
      </c>
      <c r="B6" s="8199"/>
      <c r="C6" s="8199"/>
      <c r="D6" s="8199"/>
      <c r="E6" s="8199"/>
      <c r="F6" s="8199"/>
      <c r="G6" s="8199"/>
      <c r="H6" s="8199"/>
      <c r="I6" s="8199"/>
      <c r="J6" s="8199"/>
      <c r="K6" s="8199"/>
      <c r="L6" s="8199"/>
      <c r="M6" s="8199"/>
      <c r="N6" s="8199"/>
      <c r="O6" s="8199"/>
      <c r="P6" s="8199"/>
      <c r="Q6" s="8199"/>
      <c r="R6" s="8199"/>
      <c r="S6" s="8199"/>
      <c r="T6" s="8199"/>
      <c r="U6" s="8199"/>
      <c r="V6" s="8199"/>
      <c r="W6" s="8199"/>
      <c r="X6" s="8199"/>
      <c r="Y6" s="8199"/>
      <c r="Z6" s="8199"/>
      <c r="AA6" s="8199"/>
      <c r="AB6" s="8199"/>
      <c r="AC6" s="8199"/>
      <c r="AD6" s="8199"/>
      <c r="AE6" s="1100"/>
      <c r="AF6" s="140"/>
    </row>
    <row r="7" spans="1:53" ht="19.5" x14ac:dyDescent="0.25">
      <c r="A7" s="1091"/>
      <c r="B7" s="1091"/>
      <c r="C7" s="1091"/>
      <c r="D7" s="1091"/>
      <c r="E7" s="1091"/>
      <c r="F7" s="1091"/>
      <c r="G7" s="1091"/>
      <c r="H7" s="1091"/>
      <c r="I7" s="1091"/>
      <c r="J7" s="1091"/>
      <c r="K7" s="1091"/>
      <c r="L7" s="1091"/>
      <c r="M7" s="1091"/>
      <c r="N7" s="1091"/>
      <c r="O7" s="1091"/>
      <c r="P7" s="1091"/>
      <c r="Q7" s="1091"/>
      <c r="R7" s="1091"/>
      <c r="S7" s="1091"/>
      <c r="T7" s="1091"/>
      <c r="U7" s="1091"/>
      <c r="V7" s="1091"/>
      <c r="W7" s="1091"/>
      <c r="X7" s="1091"/>
      <c r="Y7" s="1091"/>
      <c r="Z7" s="1091"/>
      <c r="AA7" s="1091"/>
      <c r="AB7" s="1091"/>
      <c r="AC7" s="1091"/>
      <c r="AD7" s="1091"/>
      <c r="AE7" s="1100"/>
      <c r="AF7" s="140"/>
    </row>
    <row r="8" spans="1:53" ht="31.15" customHeight="1" x14ac:dyDescent="0.2">
      <c r="A8" s="72" t="s">
        <v>1768</v>
      </c>
      <c r="B8" s="524"/>
      <c r="C8" s="524"/>
      <c r="D8" s="524"/>
      <c r="E8" s="524"/>
      <c r="F8" s="524"/>
      <c r="G8" s="524"/>
      <c r="H8" s="524"/>
      <c r="I8" s="524"/>
      <c r="J8" s="524"/>
      <c r="K8" s="524"/>
      <c r="L8" s="524"/>
      <c r="M8" s="524"/>
      <c r="N8" s="524"/>
      <c r="O8" s="524"/>
      <c r="P8" s="524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  <c r="AB8" s="501"/>
      <c r="AC8" s="501"/>
      <c r="AD8" s="501"/>
      <c r="AE8" s="501"/>
      <c r="AF8" s="140"/>
    </row>
    <row r="9" spans="1:53" ht="16.149999999999999" customHeight="1" x14ac:dyDescent="0.2">
      <c r="A9" s="8208" t="s">
        <v>0</v>
      </c>
      <c r="B9" s="8210" t="s">
        <v>24</v>
      </c>
      <c r="C9" s="8211"/>
      <c r="D9" s="8212"/>
      <c r="E9" s="8169" t="s">
        <v>360</v>
      </c>
      <c r="F9" s="8127" t="s">
        <v>359</v>
      </c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</row>
    <row r="10" spans="1:53" ht="16.149999999999999" customHeight="1" x14ac:dyDescent="0.2">
      <c r="A10" s="8209"/>
      <c r="B10" s="2629" t="s">
        <v>42</v>
      </c>
      <c r="C10" s="2630" t="s">
        <v>17</v>
      </c>
      <c r="D10" s="3363" t="s">
        <v>18</v>
      </c>
      <c r="E10" s="8221"/>
      <c r="F10" s="8128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</row>
    <row r="11" spans="1:53" ht="16.149999999999999" customHeight="1" x14ac:dyDescent="0.2">
      <c r="A11" s="1352" t="s">
        <v>39</v>
      </c>
      <c r="B11" s="2631">
        <f>SUM(B12:B17)</f>
        <v>0</v>
      </c>
      <c r="C11" s="2632">
        <f>SUM(C12:C17)</f>
        <v>0</v>
      </c>
      <c r="D11" s="2633">
        <f>SUM(D12:D17)</f>
        <v>0</v>
      </c>
      <c r="E11" s="2697">
        <f>SUM(E12:E17)</f>
        <v>0</v>
      </c>
      <c r="F11" s="2560">
        <f>SUM(F12:F17)</f>
        <v>0</v>
      </c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71"/>
      <c r="Y11" s="71"/>
      <c r="Z11" s="71"/>
      <c r="AA11" s="71"/>
      <c r="AB11" s="71"/>
      <c r="AC11" s="71"/>
      <c r="AD11" s="140"/>
    </row>
    <row r="12" spans="1:53" ht="16.149999999999999" customHeight="1" x14ac:dyDescent="0.2">
      <c r="A12" s="1106" t="s">
        <v>2583</v>
      </c>
      <c r="B12" s="2562">
        <f t="shared" ref="B12:B17" si="0">SUM(C12:D12)</f>
        <v>0</v>
      </c>
      <c r="C12" s="2518"/>
      <c r="D12" s="2466"/>
      <c r="E12" s="2505"/>
      <c r="F12" s="143"/>
      <c r="G12" s="7345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</row>
    <row r="13" spans="1:53" ht="16.149999999999999" customHeight="1" x14ac:dyDescent="0.2">
      <c r="A13" s="1108" t="s">
        <v>2585</v>
      </c>
      <c r="B13" s="2562">
        <f t="shared" si="0"/>
        <v>0</v>
      </c>
      <c r="C13" s="2548"/>
      <c r="D13" s="2565"/>
      <c r="E13" s="2568"/>
      <c r="F13" s="1110"/>
      <c r="G13" s="7345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G13" s="290"/>
      <c r="AH13" s="290"/>
      <c r="AI13" s="290"/>
      <c r="AJ13" s="290"/>
      <c r="AK13" s="290"/>
      <c r="AL13" s="290"/>
      <c r="AM13" s="290"/>
      <c r="AN13" s="290"/>
      <c r="AO13" s="290"/>
      <c r="AP13" s="290"/>
      <c r="AQ13" s="290"/>
      <c r="AR13" s="290"/>
      <c r="AS13" s="290"/>
      <c r="AT13" s="290"/>
      <c r="AU13" s="290"/>
      <c r="AV13" s="290"/>
      <c r="AW13" s="290"/>
      <c r="AX13" s="290"/>
      <c r="AY13" s="290"/>
      <c r="AZ13" s="290"/>
      <c r="BA13" s="290"/>
    </row>
    <row r="14" spans="1:53" ht="16.149999999999999" customHeight="1" x14ac:dyDescent="0.2">
      <c r="A14" s="1108" t="s">
        <v>2584</v>
      </c>
      <c r="B14" s="2562">
        <f t="shared" si="0"/>
        <v>0</v>
      </c>
      <c r="C14" s="2518"/>
      <c r="D14" s="2466"/>
      <c r="E14" s="2505"/>
      <c r="F14" s="143"/>
      <c r="G14" s="7345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G14" s="290"/>
      <c r="AH14" s="290"/>
      <c r="AI14" s="290"/>
      <c r="AJ14" s="290"/>
      <c r="AK14" s="290"/>
      <c r="AL14" s="290"/>
      <c r="AM14" s="290"/>
      <c r="AN14" s="290"/>
      <c r="AO14" s="290"/>
      <c r="AP14" s="290"/>
      <c r="AQ14" s="290"/>
      <c r="AR14" s="290"/>
      <c r="AS14" s="290"/>
      <c r="AT14" s="290"/>
      <c r="AU14" s="290"/>
      <c r="AV14" s="290"/>
      <c r="AW14" s="290"/>
      <c r="AX14" s="290"/>
      <c r="AY14" s="290"/>
      <c r="AZ14" s="290"/>
      <c r="BA14" s="290"/>
    </row>
    <row r="15" spans="1:53" ht="16.149999999999999" customHeight="1" x14ac:dyDescent="0.2">
      <c r="A15" s="1108" t="s">
        <v>1769</v>
      </c>
      <c r="B15" s="2562">
        <f t="shared" si="0"/>
        <v>0</v>
      </c>
      <c r="C15" s="2548"/>
      <c r="D15" s="2565"/>
      <c r="E15" s="2568"/>
      <c r="F15" s="1110"/>
      <c r="G15" s="7345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G15" s="290"/>
      <c r="AH15" s="290"/>
      <c r="AI15" s="290"/>
      <c r="AJ15" s="290"/>
      <c r="AK15" s="290"/>
      <c r="AL15" s="290"/>
      <c r="AM15" s="290"/>
      <c r="AN15" s="290"/>
      <c r="AO15" s="290"/>
      <c r="AP15" s="290"/>
      <c r="AQ15" s="290"/>
      <c r="AR15" s="290"/>
      <c r="AS15" s="290"/>
      <c r="AT15" s="290"/>
      <c r="AU15" s="290"/>
      <c r="AV15" s="290"/>
      <c r="AW15" s="290"/>
      <c r="AX15" s="290"/>
      <c r="AY15" s="290"/>
      <c r="AZ15" s="290"/>
      <c r="BA15" s="290"/>
    </row>
    <row r="16" spans="1:53" ht="16.149999999999999" customHeight="1" x14ac:dyDescent="0.2">
      <c r="A16" s="4039" t="s">
        <v>3718</v>
      </c>
      <c r="B16" s="2562">
        <f t="shared" si="0"/>
        <v>0</v>
      </c>
      <c r="C16" s="2518"/>
      <c r="D16" s="2466"/>
      <c r="E16" s="2505"/>
      <c r="F16" s="143"/>
      <c r="G16" s="7345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G16" s="290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290"/>
      <c r="AS16" s="290"/>
      <c r="AT16" s="290"/>
      <c r="AU16" s="290"/>
      <c r="AV16" s="290"/>
      <c r="AW16" s="290"/>
      <c r="AX16" s="290"/>
      <c r="AY16" s="290"/>
      <c r="AZ16" s="290"/>
      <c r="BA16" s="290"/>
    </row>
    <row r="17" spans="1:105" ht="16.149999999999999" customHeight="1" x14ac:dyDescent="0.2">
      <c r="A17" s="4040" t="s">
        <v>2785</v>
      </c>
      <c r="B17" s="2522">
        <f t="shared" si="0"/>
        <v>0</v>
      </c>
      <c r="C17" s="2521"/>
      <c r="D17" s="2540"/>
      <c r="E17" s="2546"/>
      <c r="F17" s="127"/>
      <c r="G17" s="7345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G17" s="290"/>
      <c r="AH17" s="290"/>
      <c r="AI17" s="290"/>
      <c r="AJ17" s="290"/>
      <c r="AK17" s="290"/>
      <c r="AL17" s="290"/>
      <c r="AM17" s="290"/>
      <c r="AN17" s="290"/>
      <c r="AO17" s="290"/>
      <c r="AP17" s="290"/>
      <c r="AQ17" s="290"/>
      <c r="AR17" s="290"/>
      <c r="AS17" s="290"/>
      <c r="AT17" s="290"/>
      <c r="AU17" s="290"/>
      <c r="AV17" s="290"/>
      <c r="AW17" s="290"/>
      <c r="AX17" s="290"/>
      <c r="AY17" s="290"/>
      <c r="AZ17" s="290"/>
      <c r="BA17" s="290"/>
    </row>
    <row r="18" spans="1:105" ht="31.15" customHeight="1" x14ac:dyDescent="0.2">
      <c r="A18" s="72" t="s">
        <v>1770</v>
      </c>
      <c r="B18" s="524"/>
      <c r="C18" s="524"/>
      <c r="D18" s="524"/>
      <c r="E18" s="524"/>
      <c r="F18" s="524"/>
      <c r="G18" s="524"/>
      <c r="H18" s="524"/>
      <c r="I18" s="524"/>
      <c r="J18" s="524"/>
      <c r="K18" s="524"/>
      <c r="L18" s="524"/>
      <c r="M18" s="524"/>
      <c r="N18" s="524"/>
      <c r="O18" s="524"/>
      <c r="P18" s="524"/>
      <c r="Q18" s="501"/>
      <c r="R18" s="501"/>
      <c r="S18" s="501"/>
      <c r="T18" s="501"/>
      <c r="U18" s="501"/>
      <c r="V18" s="501"/>
      <c r="W18" s="501"/>
      <c r="X18" s="501"/>
      <c r="Y18" s="501"/>
      <c r="Z18" s="501"/>
      <c r="AA18" s="501"/>
      <c r="AB18" s="501"/>
      <c r="AC18" s="501"/>
      <c r="AD18" s="501"/>
      <c r="AE18" s="501"/>
      <c r="AF18" s="140"/>
      <c r="AG18" s="290"/>
      <c r="AH18" s="290"/>
      <c r="AI18" s="290"/>
      <c r="AJ18" s="290"/>
      <c r="AK18" s="290"/>
      <c r="AL18" s="290"/>
      <c r="AM18" s="290"/>
      <c r="AN18" s="290"/>
      <c r="AO18" s="290"/>
      <c r="AP18" s="290"/>
      <c r="AQ18" s="290"/>
      <c r="AR18" s="290"/>
      <c r="AS18" s="290"/>
      <c r="AT18" s="290"/>
      <c r="AU18" s="290"/>
      <c r="AV18" s="290"/>
      <c r="AW18" s="290"/>
      <c r="AX18" s="290"/>
      <c r="AY18" s="290"/>
      <c r="AZ18" s="290"/>
      <c r="BA18" s="290"/>
    </row>
    <row r="19" spans="1:105" ht="16.149999999999999" customHeight="1" x14ac:dyDescent="0.2">
      <c r="A19" s="8213" t="s">
        <v>1452</v>
      </c>
      <c r="B19" s="8215" t="s">
        <v>24</v>
      </c>
      <c r="C19" s="8216"/>
      <c r="D19" s="8217"/>
      <c r="E19" s="8218" t="s">
        <v>33</v>
      </c>
      <c r="F19" s="8219"/>
      <c r="G19" s="8218" t="s">
        <v>40</v>
      </c>
      <c r="H19" s="8220"/>
      <c r="I19" s="8218" t="s">
        <v>115</v>
      </c>
      <c r="J19" s="8220"/>
      <c r="K19" s="8218" t="s">
        <v>116</v>
      </c>
      <c r="L19" s="8220"/>
      <c r="M19" s="8218" t="s">
        <v>117</v>
      </c>
      <c r="N19" s="8220"/>
      <c r="O19" s="8218" t="s">
        <v>118</v>
      </c>
      <c r="P19" s="8220"/>
      <c r="Q19" s="8218" t="s">
        <v>119</v>
      </c>
      <c r="R19" s="8220"/>
      <c r="S19" s="8218" t="s">
        <v>120</v>
      </c>
      <c r="T19" s="8220"/>
      <c r="U19" s="8218" t="s">
        <v>1412</v>
      </c>
      <c r="V19" s="8220"/>
      <c r="W19" s="8218" t="s">
        <v>1404</v>
      </c>
      <c r="X19" s="8220"/>
      <c r="Y19" s="8218" t="s">
        <v>1395</v>
      </c>
      <c r="Z19" s="8220"/>
      <c r="AA19" s="8218" t="s">
        <v>1394</v>
      </c>
      <c r="AB19" s="8220"/>
      <c r="AC19" s="8218" t="s">
        <v>1393</v>
      </c>
      <c r="AD19" s="8220"/>
      <c r="AE19" s="8147" t="s">
        <v>1403</v>
      </c>
      <c r="AF19" s="8149"/>
      <c r="AG19" s="8127" t="s">
        <v>360</v>
      </c>
      <c r="AH19" s="8127" t="s">
        <v>359</v>
      </c>
      <c r="AI19" s="290"/>
      <c r="AJ19" s="290"/>
      <c r="AK19" s="290"/>
      <c r="AL19" s="290"/>
      <c r="AM19" s="290"/>
      <c r="AN19" s="290"/>
      <c r="AO19" s="290"/>
      <c r="AP19" s="290"/>
      <c r="AQ19" s="290"/>
      <c r="AR19" s="290"/>
      <c r="AS19" s="290"/>
      <c r="AT19" s="290"/>
      <c r="AU19" s="290"/>
      <c r="AV19" s="290"/>
      <c r="AW19" s="290"/>
      <c r="AX19" s="290"/>
      <c r="AY19" s="290"/>
      <c r="AZ19" s="290"/>
      <c r="BA19" s="290"/>
    </row>
    <row r="20" spans="1:105" ht="16.149999999999999" customHeight="1" x14ac:dyDescent="0.2">
      <c r="A20" s="8214"/>
      <c r="B20" s="1101" t="s">
        <v>42</v>
      </c>
      <c r="C20" s="1102" t="s">
        <v>17</v>
      </c>
      <c r="D20" s="1345" t="s">
        <v>18</v>
      </c>
      <c r="E20" s="1102" t="s">
        <v>17</v>
      </c>
      <c r="F20" s="726" t="s">
        <v>18</v>
      </c>
      <c r="G20" s="1102" t="s">
        <v>17</v>
      </c>
      <c r="H20" s="726" t="s">
        <v>18</v>
      </c>
      <c r="I20" s="1102" t="s">
        <v>17</v>
      </c>
      <c r="J20" s="726" t="s">
        <v>18</v>
      </c>
      <c r="K20" s="1102" t="s">
        <v>17</v>
      </c>
      <c r="L20" s="726" t="s">
        <v>18</v>
      </c>
      <c r="M20" s="1102" t="s">
        <v>17</v>
      </c>
      <c r="N20" s="726" t="s">
        <v>18</v>
      </c>
      <c r="O20" s="1102" t="s">
        <v>17</v>
      </c>
      <c r="P20" s="726" t="s">
        <v>18</v>
      </c>
      <c r="Q20" s="1102" t="s">
        <v>17</v>
      </c>
      <c r="R20" s="726" t="s">
        <v>18</v>
      </c>
      <c r="S20" s="1102" t="s">
        <v>17</v>
      </c>
      <c r="T20" s="726" t="s">
        <v>18</v>
      </c>
      <c r="U20" s="1102" t="s">
        <v>17</v>
      </c>
      <c r="V20" s="726" t="s">
        <v>18</v>
      </c>
      <c r="W20" s="1102" t="s">
        <v>17</v>
      </c>
      <c r="X20" s="726" t="s">
        <v>18</v>
      </c>
      <c r="Y20" s="1102" t="s">
        <v>17</v>
      </c>
      <c r="Z20" s="726" t="s">
        <v>18</v>
      </c>
      <c r="AA20" s="1102" t="s">
        <v>17</v>
      </c>
      <c r="AB20" s="726" t="s">
        <v>18</v>
      </c>
      <c r="AC20" s="1102" t="s">
        <v>17</v>
      </c>
      <c r="AD20" s="726" t="s">
        <v>18</v>
      </c>
      <c r="AE20" s="2539" t="s">
        <v>17</v>
      </c>
      <c r="AF20" s="2569" t="s">
        <v>18</v>
      </c>
      <c r="AG20" s="8128"/>
      <c r="AH20" s="8128"/>
      <c r="AI20" s="290"/>
      <c r="AJ20" s="290"/>
      <c r="AK20" s="290"/>
      <c r="AL20" s="290"/>
      <c r="AM20" s="290"/>
      <c r="AN20" s="290"/>
      <c r="AO20" s="290"/>
      <c r="AP20" s="290"/>
      <c r="AQ20" s="290"/>
      <c r="AR20" s="290"/>
      <c r="AS20" s="290"/>
      <c r="AT20" s="290"/>
      <c r="AU20" s="290"/>
      <c r="AV20" s="290"/>
      <c r="AW20" s="290"/>
      <c r="AX20" s="290"/>
      <c r="AY20" s="290"/>
      <c r="AZ20" s="290"/>
      <c r="BA20" s="290"/>
    </row>
    <row r="21" spans="1:105" ht="16.149999999999999" customHeight="1" x14ac:dyDescent="0.2">
      <c r="A21" s="1352" t="s">
        <v>24</v>
      </c>
      <c r="B21" s="1103">
        <f>SUM(B22:B25)</f>
        <v>0</v>
      </c>
      <c r="C21" s="1104">
        <f>SUM(C22:C25)</f>
        <v>0</v>
      </c>
      <c r="D21" s="1105">
        <f>SUM(D22:D25)</f>
        <v>0</v>
      </c>
      <c r="E21" s="1104">
        <f t="shared" ref="E21:AF21" si="1">SUM(E22:E25)</f>
        <v>0</v>
      </c>
      <c r="F21" s="1111">
        <f t="shared" si="1"/>
        <v>0</v>
      </c>
      <c r="G21" s="1104">
        <f t="shared" si="1"/>
        <v>0</v>
      </c>
      <c r="H21" s="1111">
        <f t="shared" si="1"/>
        <v>0</v>
      </c>
      <c r="I21" s="1104">
        <f t="shared" si="1"/>
        <v>0</v>
      </c>
      <c r="J21" s="1111">
        <f t="shared" si="1"/>
        <v>0</v>
      </c>
      <c r="K21" s="1104">
        <f t="shared" si="1"/>
        <v>0</v>
      </c>
      <c r="L21" s="1111">
        <f t="shared" si="1"/>
        <v>0</v>
      </c>
      <c r="M21" s="1104">
        <f t="shared" si="1"/>
        <v>0</v>
      </c>
      <c r="N21" s="1111">
        <f t="shared" si="1"/>
        <v>0</v>
      </c>
      <c r="O21" s="1104">
        <f t="shared" si="1"/>
        <v>0</v>
      </c>
      <c r="P21" s="1111">
        <f t="shared" si="1"/>
        <v>0</v>
      </c>
      <c r="Q21" s="1104">
        <f t="shared" si="1"/>
        <v>0</v>
      </c>
      <c r="R21" s="1111">
        <f t="shared" si="1"/>
        <v>0</v>
      </c>
      <c r="S21" s="1104">
        <f t="shared" si="1"/>
        <v>0</v>
      </c>
      <c r="T21" s="1111">
        <f t="shared" si="1"/>
        <v>0</v>
      </c>
      <c r="U21" s="1104">
        <f t="shared" si="1"/>
        <v>0</v>
      </c>
      <c r="V21" s="1111">
        <f t="shared" si="1"/>
        <v>0</v>
      </c>
      <c r="W21" s="1104">
        <f t="shared" si="1"/>
        <v>0</v>
      </c>
      <c r="X21" s="1111">
        <f t="shared" si="1"/>
        <v>0</v>
      </c>
      <c r="Y21" s="1104">
        <f t="shared" si="1"/>
        <v>0</v>
      </c>
      <c r="Z21" s="1111">
        <f t="shared" si="1"/>
        <v>0</v>
      </c>
      <c r="AA21" s="1104">
        <f t="shared" si="1"/>
        <v>0</v>
      </c>
      <c r="AB21" s="1111">
        <f t="shared" si="1"/>
        <v>0</v>
      </c>
      <c r="AC21" s="1104">
        <f t="shared" si="1"/>
        <v>0</v>
      </c>
      <c r="AD21" s="1111">
        <f t="shared" si="1"/>
        <v>0</v>
      </c>
      <c r="AE21" s="2554">
        <f t="shared" si="1"/>
        <v>0</v>
      </c>
      <c r="AF21" s="2567">
        <f t="shared" si="1"/>
        <v>0</v>
      </c>
      <c r="AG21" s="2560">
        <f>SUM(AG22:AG25)</f>
        <v>0</v>
      </c>
      <c r="AH21" s="2560">
        <f>SUM(AH22:AH25)</f>
        <v>0</v>
      </c>
      <c r="AI21" s="1493"/>
      <c r="AJ21" s="802"/>
      <c r="AK21" s="802"/>
      <c r="AL21" s="802"/>
      <c r="AM21" s="802"/>
      <c r="AN21" s="802"/>
      <c r="AO21" s="802"/>
      <c r="AP21" s="802"/>
      <c r="AQ21" s="802"/>
      <c r="AR21" s="802"/>
      <c r="AS21" s="802"/>
      <c r="AT21" s="290"/>
      <c r="AU21" s="290"/>
      <c r="AV21" s="290"/>
      <c r="AW21" s="290"/>
      <c r="AX21" s="290"/>
      <c r="AY21" s="290"/>
      <c r="AZ21" s="290"/>
      <c r="BA21" s="290"/>
      <c r="DA21" s="3296">
        <v>0</v>
      </c>
    </row>
    <row r="22" spans="1:105" ht="16.149999999999999" customHeight="1" x14ac:dyDescent="0.2">
      <c r="A22" s="1106" t="s">
        <v>1451</v>
      </c>
      <c r="B22" s="1107">
        <f>SUM(C22:D22)</f>
        <v>0</v>
      </c>
      <c r="C22" s="1356">
        <f>SUM(E22+G22+I22+K22+M22+O22+Q22+S22+U22+W22+Y22+AA22+AC22+AE22)</f>
        <v>0</v>
      </c>
      <c r="D22" s="1112">
        <f>SUM(F22+H22+J22+L22+N22+P22+R22+T22+V22+X22+Z22+AB22+AD22+AF22)</f>
        <v>0</v>
      </c>
      <c r="E22" s="906"/>
      <c r="F22" s="130"/>
      <c r="G22" s="906"/>
      <c r="H22" s="130"/>
      <c r="I22" s="906"/>
      <c r="J22" s="130"/>
      <c r="K22" s="906"/>
      <c r="L22" s="130"/>
      <c r="M22" s="906"/>
      <c r="N22" s="130"/>
      <c r="O22" s="906"/>
      <c r="P22" s="130"/>
      <c r="Q22" s="906"/>
      <c r="R22" s="130"/>
      <c r="S22" s="906"/>
      <c r="T22" s="130"/>
      <c r="U22" s="906"/>
      <c r="V22" s="130"/>
      <c r="W22" s="906"/>
      <c r="X22" s="130"/>
      <c r="Y22" s="906"/>
      <c r="Z22" s="130"/>
      <c r="AA22" s="906"/>
      <c r="AB22" s="130"/>
      <c r="AC22" s="906"/>
      <c r="AD22" s="130"/>
      <c r="AE22" s="2504"/>
      <c r="AF22" s="2507"/>
      <c r="AG22" s="2475"/>
      <c r="AH22" s="2475"/>
      <c r="AI22" s="1460"/>
      <c r="AJ22" s="290"/>
      <c r="AK22" s="290"/>
      <c r="AL22" s="290"/>
      <c r="AM22" s="290"/>
      <c r="AN22" s="290"/>
      <c r="AO22" s="290"/>
      <c r="AP22" s="290"/>
      <c r="AQ22" s="290"/>
      <c r="AR22" s="290"/>
      <c r="AS22" s="290"/>
      <c r="AT22" s="290"/>
      <c r="AU22" s="290"/>
      <c r="AV22" s="290"/>
      <c r="AW22" s="290"/>
      <c r="AX22" s="290"/>
      <c r="AY22" s="290"/>
      <c r="AZ22" s="290"/>
      <c r="BA22" s="290"/>
    </row>
    <row r="23" spans="1:105" ht="16.149999999999999" customHeight="1" x14ac:dyDescent="0.2">
      <c r="A23" s="1108" t="s">
        <v>1450</v>
      </c>
      <c r="B23" s="1107">
        <f>SUM(C23:D23)</f>
        <v>0</v>
      </c>
      <c r="C23" s="1356">
        <f t="shared" ref="C23:D25" si="2">SUM(E23+G23+I23+K23+M23+O23+Q23+S23+U23+W23+Y23+AA23+AC23+AE23)</f>
        <v>0</v>
      </c>
      <c r="D23" s="1112">
        <f t="shared" si="2"/>
        <v>0</v>
      </c>
      <c r="E23" s="1109"/>
      <c r="F23" s="1113"/>
      <c r="G23" s="1109"/>
      <c r="H23" s="1113"/>
      <c r="I23" s="1109"/>
      <c r="J23" s="1113"/>
      <c r="K23" s="1109"/>
      <c r="L23" s="1113"/>
      <c r="M23" s="1109"/>
      <c r="N23" s="1113"/>
      <c r="O23" s="1109"/>
      <c r="P23" s="1113"/>
      <c r="Q23" s="1109"/>
      <c r="R23" s="1113"/>
      <c r="S23" s="1109"/>
      <c r="T23" s="1113"/>
      <c r="U23" s="1109"/>
      <c r="V23" s="1113"/>
      <c r="W23" s="1109"/>
      <c r="X23" s="1113"/>
      <c r="Y23" s="1109"/>
      <c r="Z23" s="1113"/>
      <c r="AA23" s="1109"/>
      <c r="AB23" s="1113"/>
      <c r="AC23" s="1109"/>
      <c r="AD23" s="1113"/>
      <c r="AE23" s="2548"/>
      <c r="AF23" s="2557"/>
      <c r="AG23" s="2555"/>
      <c r="AH23" s="2555"/>
      <c r="AI23" s="1460"/>
      <c r="AJ23" s="290"/>
      <c r="AK23" s="290"/>
      <c r="AL23" s="290"/>
      <c r="AM23" s="290"/>
      <c r="AN23" s="290"/>
      <c r="AO23" s="290"/>
      <c r="AP23" s="290"/>
      <c r="AQ23" s="290"/>
      <c r="AR23" s="290"/>
      <c r="AS23" s="290"/>
      <c r="AT23" s="290"/>
      <c r="AU23" s="290"/>
      <c r="AV23" s="290"/>
      <c r="AW23" s="290"/>
      <c r="AX23" s="290"/>
      <c r="AY23" s="290"/>
      <c r="AZ23" s="290"/>
      <c r="BA23" s="290"/>
    </row>
    <row r="24" spans="1:105" ht="16.149999999999999" customHeight="1" x14ac:dyDescent="0.2">
      <c r="A24" s="1108" t="s">
        <v>1449</v>
      </c>
      <c r="B24" s="1107">
        <f>SUM(C24:D24)</f>
        <v>0</v>
      </c>
      <c r="C24" s="1356">
        <f t="shared" si="2"/>
        <v>0</v>
      </c>
      <c r="D24" s="1112">
        <f t="shared" si="2"/>
        <v>0</v>
      </c>
      <c r="E24" s="906"/>
      <c r="F24" s="130"/>
      <c r="G24" s="906"/>
      <c r="H24" s="130"/>
      <c r="I24" s="906"/>
      <c r="J24" s="130"/>
      <c r="K24" s="906"/>
      <c r="L24" s="130"/>
      <c r="M24" s="906"/>
      <c r="N24" s="130"/>
      <c r="O24" s="906"/>
      <c r="P24" s="130"/>
      <c r="Q24" s="906"/>
      <c r="R24" s="130"/>
      <c r="S24" s="906"/>
      <c r="T24" s="130"/>
      <c r="U24" s="906"/>
      <c r="V24" s="130"/>
      <c r="W24" s="906"/>
      <c r="X24" s="130"/>
      <c r="Y24" s="906"/>
      <c r="Z24" s="130"/>
      <c r="AA24" s="906"/>
      <c r="AB24" s="130"/>
      <c r="AC24" s="906"/>
      <c r="AD24" s="130"/>
      <c r="AE24" s="2504"/>
      <c r="AF24" s="2507"/>
      <c r="AG24" s="2475"/>
      <c r="AH24" s="2475"/>
      <c r="AI24" s="1460"/>
      <c r="AJ24" s="290"/>
      <c r="AK24" s="290"/>
      <c r="AL24" s="290"/>
      <c r="AM24" s="290"/>
      <c r="AN24" s="290"/>
      <c r="AO24" s="290"/>
      <c r="AP24" s="290"/>
      <c r="AQ24" s="290"/>
      <c r="AR24" s="290"/>
      <c r="AS24" s="290"/>
      <c r="AT24" s="290"/>
      <c r="AU24" s="290"/>
      <c r="AV24" s="290"/>
      <c r="AW24" s="290"/>
      <c r="AX24" s="290"/>
      <c r="AY24" s="290"/>
      <c r="AZ24" s="290"/>
      <c r="BA24" s="290"/>
    </row>
    <row r="25" spans="1:105" ht="16.149999999999999" customHeight="1" x14ac:dyDescent="0.2">
      <c r="A25" s="146" t="s">
        <v>1448</v>
      </c>
      <c r="B25" s="81">
        <f>SUM(C25:D25)</f>
        <v>0</v>
      </c>
      <c r="C25" s="1357">
        <f t="shared" si="2"/>
        <v>0</v>
      </c>
      <c r="D25" s="147">
        <f t="shared" si="2"/>
        <v>0</v>
      </c>
      <c r="E25" s="125"/>
      <c r="F25" s="101"/>
      <c r="G25" s="125"/>
      <c r="H25" s="101"/>
      <c r="I25" s="125"/>
      <c r="J25" s="101"/>
      <c r="K25" s="125"/>
      <c r="L25" s="101"/>
      <c r="M25" s="125"/>
      <c r="N25" s="101"/>
      <c r="O25" s="125"/>
      <c r="P25" s="101"/>
      <c r="Q25" s="125"/>
      <c r="R25" s="101"/>
      <c r="S25" s="125"/>
      <c r="T25" s="101"/>
      <c r="U25" s="125"/>
      <c r="V25" s="101"/>
      <c r="W25" s="125"/>
      <c r="X25" s="101"/>
      <c r="Y25" s="125"/>
      <c r="Z25" s="101"/>
      <c r="AA25" s="125"/>
      <c r="AB25" s="101"/>
      <c r="AC25" s="125"/>
      <c r="AD25" s="101"/>
      <c r="AE25" s="2521"/>
      <c r="AF25" s="2558"/>
      <c r="AG25" s="2535"/>
      <c r="AH25" s="2535"/>
      <c r="AI25" s="1460"/>
      <c r="AJ25" s="290"/>
      <c r="AK25" s="290"/>
      <c r="AL25" s="290"/>
      <c r="AM25" s="290"/>
      <c r="AN25" s="290"/>
      <c r="AO25" s="290"/>
      <c r="AP25" s="290"/>
      <c r="AQ25" s="290"/>
      <c r="AR25" s="290"/>
      <c r="AS25" s="290"/>
      <c r="AT25" s="290"/>
      <c r="AU25" s="290"/>
      <c r="AV25" s="290"/>
      <c r="AW25" s="290"/>
      <c r="AX25" s="290"/>
      <c r="AY25" s="290"/>
      <c r="AZ25" s="290"/>
      <c r="BA25" s="290"/>
    </row>
    <row r="26" spans="1:105" ht="31.15" customHeight="1" x14ac:dyDescent="0.2">
      <c r="A26" s="72" t="s">
        <v>1771</v>
      </c>
      <c r="B26" s="501"/>
      <c r="C26" s="501"/>
      <c r="D26" s="501"/>
      <c r="E26" s="501"/>
      <c r="F26" s="501"/>
      <c r="G26" s="501"/>
      <c r="H26" s="501"/>
      <c r="I26" s="501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1"/>
      <c r="AA26" s="501"/>
      <c r="AB26" s="501"/>
      <c r="AC26" s="501"/>
      <c r="AD26" s="501"/>
      <c r="AE26" s="501"/>
      <c r="AF26" s="501"/>
      <c r="AG26" s="288"/>
      <c r="AH26" s="290"/>
      <c r="AI26" s="290"/>
      <c r="AJ26" s="290"/>
      <c r="AK26" s="290"/>
      <c r="AL26" s="290"/>
      <c r="AM26" s="290"/>
      <c r="AN26" s="290"/>
      <c r="AO26" s="290"/>
      <c r="AP26" s="290"/>
      <c r="AQ26" s="290"/>
      <c r="AR26" s="290"/>
      <c r="AS26" s="290"/>
      <c r="AT26" s="290"/>
      <c r="AU26" s="290"/>
      <c r="AV26" s="290"/>
      <c r="AW26" s="290"/>
      <c r="AX26" s="290"/>
      <c r="AY26" s="290"/>
      <c r="AZ26" s="290"/>
      <c r="BA26" s="290"/>
    </row>
    <row r="27" spans="1:105" ht="16.149999999999999" customHeight="1" x14ac:dyDescent="0.2">
      <c r="A27" s="8208" t="s">
        <v>1772</v>
      </c>
      <c r="B27" s="8215" t="s">
        <v>24</v>
      </c>
      <c r="C27" s="8216"/>
      <c r="D27" s="8217"/>
      <c r="E27" s="8218" t="s">
        <v>33</v>
      </c>
      <c r="F27" s="8219"/>
      <c r="G27" s="8218" t="s">
        <v>40</v>
      </c>
      <c r="H27" s="8220"/>
      <c r="I27" s="8218" t="s">
        <v>115</v>
      </c>
      <c r="J27" s="8220"/>
      <c r="K27" s="8218" t="s">
        <v>116</v>
      </c>
      <c r="L27" s="8220"/>
      <c r="M27" s="8218" t="s">
        <v>117</v>
      </c>
      <c r="N27" s="8220"/>
      <c r="O27" s="8218" t="s">
        <v>118</v>
      </c>
      <c r="P27" s="8220"/>
      <c r="Q27" s="8218" t="s">
        <v>119</v>
      </c>
      <c r="R27" s="8220"/>
      <c r="S27" s="8218" t="s">
        <v>120</v>
      </c>
      <c r="T27" s="8220"/>
      <c r="U27" s="8218" t="s">
        <v>1412</v>
      </c>
      <c r="V27" s="8220"/>
      <c r="W27" s="8218" t="s">
        <v>1404</v>
      </c>
      <c r="X27" s="8220"/>
      <c r="Y27" s="8218" t="s">
        <v>1395</v>
      </c>
      <c r="Z27" s="8220"/>
      <c r="AA27" s="8218" t="s">
        <v>1394</v>
      </c>
      <c r="AB27" s="8220"/>
      <c r="AC27" s="8218" t="s">
        <v>1393</v>
      </c>
      <c r="AD27" s="8220"/>
      <c r="AE27" s="8147" t="s">
        <v>1403</v>
      </c>
      <c r="AF27" s="8149"/>
      <c r="AG27" s="8127" t="s">
        <v>360</v>
      </c>
      <c r="AH27" s="8206" t="s">
        <v>359</v>
      </c>
      <c r="AI27" s="290"/>
      <c r="AJ27" s="290"/>
      <c r="AK27" s="290"/>
      <c r="AL27" s="290"/>
      <c r="AM27" s="290"/>
      <c r="AN27" s="290"/>
      <c r="AO27" s="290"/>
      <c r="AP27" s="290"/>
      <c r="AQ27" s="290"/>
      <c r="AR27" s="290"/>
      <c r="AS27" s="290"/>
      <c r="AT27" s="290"/>
      <c r="AU27" s="290"/>
      <c r="AV27" s="290"/>
      <c r="AW27" s="290"/>
      <c r="AX27" s="290"/>
      <c r="AY27" s="290"/>
      <c r="AZ27" s="290"/>
      <c r="BA27" s="290"/>
    </row>
    <row r="28" spans="1:105" ht="16.149999999999999" customHeight="1" x14ac:dyDescent="0.2">
      <c r="A28" s="8209"/>
      <c r="B28" s="1101" t="s">
        <v>42</v>
      </c>
      <c r="C28" s="1102" t="s">
        <v>17</v>
      </c>
      <c r="D28" s="1345" t="s">
        <v>18</v>
      </c>
      <c r="E28" s="1102" t="s">
        <v>17</v>
      </c>
      <c r="F28" s="726" t="s">
        <v>18</v>
      </c>
      <c r="G28" s="1102" t="s">
        <v>17</v>
      </c>
      <c r="H28" s="726" t="s">
        <v>18</v>
      </c>
      <c r="I28" s="1102" t="s">
        <v>17</v>
      </c>
      <c r="J28" s="726" t="s">
        <v>18</v>
      </c>
      <c r="K28" s="1102" t="s">
        <v>17</v>
      </c>
      <c r="L28" s="726" t="s">
        <v>18</v>
      </c>
      <c r="M28" s="1102" t="s">
        <v>17</v>
      </c>
      <c r="N28" s="726" t="s">
        <v>18</v>
      </c>
      <c r="O28" s="1102" t="s">
        <v>17</v>
      </c>
      <c r="P28" s="726" t="s">
        <v>18</v>
      </c>
      <c r="Q28" s="1102" t="s">
        <v>17</v>
      </c>
      <c r="R28" s="726" t="s">
        <v>18</v>
      </c>
      <c r="S28" s="1102" t="s">
        <v>17</v>
      </c>
      <c r="T28" s="726" t="s">
        <v>18</v>
      </c>
      <c r="U28" s="1102" t="s">
        <v>17</v>
      </c>
      <c r="V28" s="726" t="s">
        <v>18</v>
      </c>
      <c r="W28" s="1102" t="s">
        <v>17</v>
      </c>
      <c r="X28" s="726" t="s">
        <v>18</v>
      </c>
      <c r="Y28" s="1102" t="s">
        <v>17</v>
      </c>
      <c r="Z28" s="726" t="s">
        <v>18</v>
      </c>
      <c r="AA28" s="1102" t="s">
        <v>17</v>
      </c>
      <c r="AB28" s="726" t="s">
        <v>18</v>
      </c>
      <c r="AC28" s="1102" t="s">
        <v>17</v>
      </c>
      <c r="AD28" s="726" t="s">
        <v>18</v>
      </c>
      <c r="AE28" s="2539" t="s">
        <v>17</v>
      </c>
      <c r="AF28" s="2569" t="s">
        <v>18</v>
      </c>
      <c r="AG28" s="8128"/>
      <c r="AH28" s="8207"/>
      <c r="AI28" s="290"/>
      <c r="AJ28" s="290"/>
      <c r="AK28" s="290"/>
      <c r="AL28" s="290"/>
      <c r="AM28" s="290"/>
      <c r="AN28" s="290"/>
      <c r="AO28" s="290"/>
      <c r="AP28" s="290"/>
      <c r="AQ28" s="290"/>
      <c r="AR28" s="290"/>
      <c r="AS28" s="290"/>
      <c r="AT28" s="290"/>
      <c r="AU28" s="290"/>
      <c r="AV28" s="290"/>
      <c r="AW28" s="290"/>
      <c r="AX28" s="290"/>
      <c r="AY28" s="290"/>
      <c r="AZ28" s="290"/>
      <c r="BA28" s="290"/>
    </row>
    <row r="29" spans="1:105" ht="14.25" customHeight="1" x14ac:dyDescent="0.2">
      <c r="A29" s="704" t="s">
        <v>822</v>
      </c>
      <c r="B29" s="7339">
        <f>SUM(C29:D29)</f>
        <v>0</v>
      </c>
      <c r="C29" s="7340">
        <f>SUM(E29+G29+I29+K29+M29+O29+Q29+S29+U29+W29+Y29+AA29+AC29+AE29)</f>
        <v>0</v>
      </c>
      <c r="D29" s="7341">
        <f>SUM(F29+H29+J29+L29+N29+P29+R29+T29+V29+X29+Z29+AB29+AD29+AF29)</f>
        <v>0</v>
      </c>
      <c r="E29" s="691"/>
      <c r="F29" s="698"/>
      <c r="G29" s="691"/>
      <c r="H29" s="698"/>
      <c r="I29" s="691"/>
      <c r="J29" s="698"/>
      <c r="K29" s="691"/>
      <c r="L29" s="698"/>
      <c r="M29" s="691"/>
      <c r="N29" s="698"/>
      <c r="O29" s="691"/>
      <c r="P29" s="698"/>
      <c r="Q29" s="691"/>
      <c r="R29" s="698"/>
      <c r="S29" s="691"/>
      <c r="T29" s="698"/>
      <c r="U29" s="691"/>
      <c r="V29" s="698"/>
      <c r="W29" s="691"/>
      <c r="X29" s="698"/>
      <c r="Y29" s="691"/>
      <c r="Z29" s="698"/>
      <c r="AA29" s="691"/>
      <c r="AB29" s="698"/>
      <c r="AC29" s="691"/>
      <c r="AD29" s="698"/>
      <c r="AE29" s="2483"/>
      <c r="AF29" s="2464"/>
      <c r="AG29" s="2534"/>
      <c r="AH29" s="2534"/>
      <c r="AI29" s="7345"/>
      <c r="AJ29" s="802"/>
      <c r="AK29" s="802"/>
      <c r="AL29" s="802"/>
      <c r="AM29" s="802"/>
      <c r="AN29" s="802"/>
      <c r="AO29" s="802"/>
      <c r="AP29" s="802"/>
      <c r="AQ29" s="802"/>
      <c r="AR29" s="802"/>
      <c r="AS29" s="802"/>
      <c r="AT29" s="290"/>
      <c r="AU29" s="290"/>
      <c r="AV29" s="290"/>
      <c r="AW29" s="290"/>
      <c r="AX29" s="290"/>
      <c r="AY29" s="290"/>
      <c r="AZ29" s="290"/>
      <c r="BA29" s="290"/>
    </row>
    <row r="30" spans="1:105" ht="14.25" customHeight="1" x14ac:dyDescent="0.2">
      <c r="A30" s="3340" t="s">
        <v>3558</v>
      </c>
      <c r="B30" s="3325">
        <f>SUM(C30:D30)</f>
        <v>0</v>
      </c>
      <c r="C30" s="3252">
        <f>SUM(E30+G30+I30+K30+M30+O30+Q30+S30+U30+W30+Y30+AA30+AC30+AE30)</f>
        <v>0</v>
      </c>
      <c r="D30" s="7333">
        <f>SUM(F30+H30+J30+L30+N30+P30+R30+T30+V30+X30+Z30+AB30+AD30+AF30)</f>
        <v>0</v>
      </c>
      <c r="E30" s="1114"/>
      <c r="F30" s="1115"/>
      <c r="G30" s="1114"/>
      <c r="H30" s="1115"/>
      <c r="I30" s="1114"/>
      <c r="J30" s="1115"/>
      <c r="K30" s="1114"/>
      <c r="L30" s="1115"/>
      <c r="M30" s="1114"/>
      <c r="N30" s="1115"/>
      <c r="O30" s="1114"/>
      <c r="P30" s="1115"/>
      <c r="Q30" s="1114"/>
      <c r="R30" s="1115"/>
      <c r="S30" s="1114"/>
      <c r="T30" s="1115"/>
      <c r="U30" s="1114"/>
      <c r="V30" s="1115"/>
      <c r="W30" s="1114"/>
      <c r="X30" s="1115"/>
      <c r="Y30" s="1114"/>
      <c r="Z30" s="1115"/>
      <c r="AA30" s="1114"/>
      <c r="AB30" s="1115"/>
      <c r="AC30" s="1114"/>
      <c r="AD30" s="1115"/>
      <c r="AE30" s="2520"/>
      <c r="AF30" s="1692"/>
      <c r="AG30" s="2515"/>
      <c r="AH30" s="3329"/>
      <c r="AI30" s="7345"/>
      <c r="AJ30" s="802"/>
      <c r="AK30" s="802"/>
      <c r="AL30" s="802"/>
      <c r="AM30" s="802"/>
      <c r="AN30" s="802"/>
      <c r="AO30" s="802"/>
      <c r="AP30" s="802"/>
      <c r="AQ30" s="802"/>
      <c r="AR30" s="802"/>
      <c r="AS30" s="802"/>
      <c r="AT30" s="290"/>
      <c r="AU30" s="290"/>
      <c r="AV30" s="290"/>
      <c r="AW30" s="290"/>
      <c r="AX30" s="290"/>
      <c r="AY30" s="290"/>
      <c r="AZ30" s="290"/>
      <c r="BA30" s="290"/>
    </row>
    <row r="31" spans="1:105" ht="31.15" customHeight="1" x14ac:dyDescent="0.2">
      <c r="A31" s="72" t="s">
        <v>1773</v>
      </c>
      <c r="B31" s="524"/>
      <c r="C31" s="524"/>
      <c r="D31" s="524"/>
      <c r="E31" s="524"/>
      <c r="F31" s="524"/>
      <c r="G31" s="524"/>
      <c r="H31" s="524"/>
      <c r="I31" s="524"/>
      <c r="J31" s="524"/>
      <c r="K31" s="524"/>
      <c r="L31" s="524"/>
      <c r="M31" s="524"/>
      <c r="N31" s="524"/>
      <c r="O31" s="150"/>
      <c r="P31" s="524"/>
      <c r="Q31" s="501"/>
      <c r="R31" s="501"/>
      <c r="S31" s="501"/>
      <c r="T31" s="501"/>
      <c r="U31" s="501"/>
      <c r="V31" s="501"/>
      <c r="W31" s="501"/>
      <c r="X31" s="501"/>
      <c r="Y31" s="501"/>
      <c r="Z31" s="501"/>
      <c r="AA31" s="501"/>
      <c r="AB31" s="501"/>
      <c r="AC31" s="501"/>
      <c r="AD31" s="501"/>
      <c r="AE31" s="501"/>
      <c r="AF31" s="140"/>
      <c r="AG31" s="288"/>
      <c r="AH31" s="290"/>
      <c r="AI31" s="290"/>
      <c r="AJ31" s="290"/>
      <c r="AK31" s="290"/>
      <c r="AL31" s="290"/>
      <c r="AM31" s="290"/>
      <c r="AN31" s="290"/>
      <c r="AO31" s="290"/>
      <c r="AP31" s="290"/>
      <c r="AQ31" s="290"/>
      <c r="AR31" s="290"/>
      <c r="AS31" s="290"/>
      <c r="AT31" s="290"/>
      <c r="AU31" s="290"/>
      <c r="AV31" s="290"/>
      <c r="AW31" s="290"/>
      <c r="AX31" s="290"/>
      <c r="AY31" s="290"/>
      <c r="AZ31" s="290"/>
      <c r="BA31" s="290"/>
    </row>
    <row r="32" spans="1:105" ht="16.149999999999999" customHeight="1" x14ac:dyDescent="0.2">
      <c r="A32" s="8208" t="s">
        <v>1772</v>
      </c>
      <c r="B32" s="8215" t="s">
        <v>24</v>
      </c>
      <c r="C32" s="8216"/>
      <c r="D32" s="8217"/>
      <c r="E32" s="8218" t="s">
        <v>33</v>
      </c>
      <c r="F32" s="8219"/>
      <c r="G32" s="8218" t="s">
        <v>40</v>
      </c>
      <c r="H32" s="8220"/>
      <c r="I32" s="8218" t="s">
        <v>115</v>
      </c>
      <c r="J32" s="8220"/>
      <c r="K32" s="8218" t="s">
        <v>116</v>
      </c>
      <c r="L32" s="8220"/>
      <c r="M32" s="8218" t="s">
        <v>117</v>
      </c>
      <c r="N32" s="8220"/>
      <c r="O32" s="8218" t="s">
        <v>118</v>
      </c>
      <c r="P32" s="8220"/>
      <c r="Q32" s="8218" t="s">
        <v>119</v>
      </c>
      <c r="R32" s="8220"/>
      <c r="S32" s="8218" t="s">
        <v>120</v>
      </c>
      <c r="T32" s="8220"/>
      <c r="U32" s="8218" t="s">
        <v>1412</v>
      </c>
      <c r="V32" s="8220"/>
      <c r="W32" s="8218" t="s">
        <v>1404</v>
      </c>
      <c r="X32" s="8220"/>
      <c r="Y32" s="8218" t="s">
        <v>1395</v>
      </c>
      <c r="Z32" s="8220"/>
      <c r="AA32" s="8218" t="s">
        <v>1394</v>
      </c>
      <c r="AB32" s="8220"/>
      <c r="AC32" s="8218" t="s">
        <v>1393</v>
      </c>
      <c r="AD32" s="8220"/>
      <c r="AE32" s="8147" t="s">
        <v>1403</v>
      </c>
      <c r="AF32" s="8149"/>
      <c r="AG32" s="8127" t="s">
        <v>360</v>
      </c>
      <c r="AH32" s="8127" t="s">
        <v>359</v>
      </c>
      <c r="AI32" s="290"/>
      <c r="AJ32" s="290"/>
      <c r="AK32" s="290"/>
      <c r="AL32" s="290"/>
      <c r="AM32" s="290"/>
      <c r="AN32" s="290"/>
      <c r="AO32" s="290"/>
      <c r="AP32" s="290"/>
      <c r="AQ32" s="290"/>
      <c r="AR32" s="290"/>
      <c r="AS32" s="290"/>
      <c r="AT32" s="290"/>
      <c r="AU32" s="290"/>
      <c r="AV32" s="290"/>
      <c r="AW32" s="290"/>
      <c r="AX32" s="290"/>
      <c r="AY32" s="290"/>
      <c r="AZ32" s="290"/>
      <c r="BA32" s="290"/>
    </row>
    <row r="33" spans="1:53" ht="16.149999999999999" customHeight="1" x14ac:dyDescent="0.2">
      <c r="A33" s="8209"/>
      <c r="B33" s="1101" t="s">
        <v>42</v>
      </c>
      <c r="C33" s="1102" t="s">
        <v>17</v>
      </c>
      <c r="D33" s="1345" t="s">
        <v>18</v>
      </c>
      <c r="E33" s="1102" t="s">
        <v>17</v>
      </c>
      <c r="F33" s="726" t="s">
        <v>18</v>
      </c>
      <c r="G33" s="1102" t="s">
        <v>17</v>
      </c>
      <c r="H33" s="726" t="s">
        <v>18</v>
      </c>
      <c r="I33" s="1102" t="s">
        <v>17</v>
      </c>
      <c r="J33" s="726" t="s">
        <v>18</v>
      </c>
      <c r="K33" s="1102" t="s">
        <v>17</v>
      </c>
      <c r="L33" s="726" t="s">
        <v>18</v>
      </c>
      <c r="M33" s="1102" t="s">
        <v>17</v>
      </c>
      <c r="N33" s="726" t="s">
        <v>18</v>
      </c>
      <c r="O33" s="1102" t="s">
        <v>17</v>
      </c>
      <c r="P33" s="726" t="s">
        <v>18</v>
      </c>
      <c r="Q33" s="1102" t="s">
        <v>17</v>
      </c>
      <c r="R33" s="726" t="s">
        <v>18</v>
      </c>
      <c r="S33" s="1102" t="s">
        <v>17</v>
      </c>
      <c r="T33" s="726" t="s">
        <v>18</v>
      </c>
      <c r="U33" s="1102" t="s">
        <v>17</v>
      </c>
      <c r="V33" s="726" t="s">
        <v>18</v>
      </c>
      <c r="W33" s="1102" t="s">
        <v>17</v>
      </c>
      <c r="X33" s="726" t="s">
        <v>18</v>
      </c>
      <c r="Y33" s="1102" t="s">
        <v>17</v>
      </c>
      <c r="Z33" s="726" t="s">
        <v>18</v>
      </c>
      <c r="AA33" s="1102" t="s">
        <v>17</v>
      </c>
      <c r="AB33" s="726" t="s">
        <v>18</v>
      </c>
      <c r="AC33" s="1102" t="s">
        <v>17</v>
      </c>
      <c r="AD33" s="726" t="s">
        <v>18</v>
      </c>
      <c r="AE33" s="2539" t="s">
        <v>17</v>
      </c>
      <c r="AF33" s="2569" t="s">
        <v>18</v>
      </c>
      <c r="AG33" s="8128"/>
      <c r="AH33" s="8128"/>
      <c r="AI33" s="290"/>
      <c r="AJ33" s="290"/>
      <c r="AK33" s="290"/>
      <c r="AL33" s="290"/>
      <c r="AM33" s="290"/>
      <c r="AN33" s="290"/>
      <c r="AO33" s="290"/>
      <c r="AP33" s="290"/>
      <c r="AQ33" s="290"/>
      <c r="AR33" s="290"/>
      <c r="AS33" s="290"/>
      <c r="AT33" s="290"/>
      <c r="AU33" s="290"/>
      <c r="AV33" s="290"/>
      <c r="AW33" s="290"/>
      <c r="AX33" s="290"/>
      <c r="AY33" s="290"/>
      <c r="AZ33" s="290"/>
      <c r="BA33" s="290"/>
    </row>
    <row r="34" spans="1:53" ht="16.149999999999999" customHeight="1" x14ac:dyDescent="0.2">
      <c r="A34" s="1098" t="s">
        <v>1774</v>
      </c>
      <c r="B34" s="1107">
        <f>SUM(C34:D34)</f>
        <v>0</v>
      </c>
      <c r="C34" s="1356">
        <f>SUM(E34+G34+I34+K34+M34+O34+Q34+S34+U34+W34+Y34+AA34+AC34+AE34)</f>
        <v>0</v>
      </c>
      <c r="D34" s="1112">
        <f>SUM(F34+H34+J34+L34+N34+P34+R34+T34+V34+X34+Z34+AB34+AD34+AF34)</f>
        <v>0</v>
      </c>
      <c r="E34" s="906"/>
      <c r="F34" s="130"/>
      <c r="G34" s="906"/>
      <c r="H34" s="130"/>
      <c r="I34" s="906"/>
      <c r="J34" s="130"/>
      <c r="K34" s="906"/>
      <c r="L34" s="130"/>
      <c r="M34" s="906"/>
      <c r="N34" s="130"/>
      <c r="O34" s="906"/>
      <c r="P34" s="130"/>
      <c r="Q34" s="906"/>
      <c r="R34" s="130"/>
      <c r="S34" s="906"/>
      <c r="T34" s="130"/>
      <c r="U34" s="906"/>
      <c r="V34" s="130"/>
      <c r="W34" s="906"/>
      <c r="X34" s="130"/>
      <c r="Y34" s="906"/>
      <c r="Z34" s="130"/>
      <c r="AA34" s="906"/>
      <c r="AB34" s="130"/>
      <c r="AC34" s="906"/>
      <c r="AD34" s="130"/>
      <c r="AE34" s="2504"/>
      <c r="AF34" s="2507"/>
      <c r="AG34" s="2534"/>
      <c r="AH34" s="2534"/>
      <c r="AI34" s="1460"/>
      <c r="AJ34" s="290"/>
      <c r="AK34" s="290"/>
      <c r="AL34" s="290"/>
      <c r="AM34" s="290"/>
      <c r="AN34" s="290"/>
      <c r="AO34" s="290"/>
      <c r="AP34" s="290"/>
      <c r="AQ34" s="290"/>
      <c r="AR34" s="290"/>
      <c r="AS34" s="290"/>
      <c r="AT34" s="290"/>
      <c r="AU34" s="290"/>
      <c r="AV34" s="290"/>
      <c r="AW34" s="290"/>
      <c r="AX34" s="290"/>
      <c r="AY34" s="290"/>
      <c r="AZ34" s="290"/>
      <c r="BA34" s="290"/>
    </row>
    <row r="35" spans="1:53" ht="16.149999999999999" customHeight="1" x14ac:dyDescent="0.2">
      <c r="A35" s="1116" t="s">
        <v>1775</v>
      </c>
      <c r="B35" s="81">
        <f>SUM(C35:D35)</f>
        <v>0</v>
      </c>
      <c r="C35" s="1357">
        <f>SUM(E35+G35+I35+K35+M35+O35+Q35+S35+U35+W35+Y35+AA35+AC35+AE35)</f>
        <v>0</v>
      </c>
      <c r="D35" s="147">
        <f>SUM(F35+H35+J35+L35+N35+P35+R35+T35+V35+X35+Z35+AB35+AD35+AF35)</f>
        <v>0</v>
      </c>
      <c r="E35" s="125"/>
      <c r="F35" s="101"/>
      <c r="G35" s="125"/>
      <c r="H35" s="101"/>
      <c r="I35" s="125"/>
      <c r="J35" s="101"/>
      <c r="K35" s="125"/>
      <c r="L35" s="101"/>
      <c r="M35" s="125"/>
      <c r="N35" s="101"/>
      <c r="O35" s="125"/>
      <c r="P35" s="101"/>
      <c r="Q35" s="125"/>
      <c r="R35" s="101"/>
      <c r="S35" s="125"/>
      <c r="T35" s="101"/>
      <c r="U35" s="125"/>
      <c r="V35" s="101"/>
      <c r="W35" s="125"/>
      <c r="X35" s="101"/>
      <c r="Y35" s="125"/>
      <c r="Z35" s="101"/>
      <c r="AA35" s="125"/>
      <c r="AB35" s="101"/>
      <c r="AC35" s="125"/>
      <c r="AD35" s="101"/>
      <c r="AE35" s="2521"/>
      <c r="AF35" s="2558"/>
      <c r="AG35" s="2515"/>
      <c r="AH35" s="2515"/>
      <c r="AI35" s="1460"/>
      <c r="AJ35" s="290"/>
      <c r="AK35" s="290"/>
      <c r="AL35" s="290"/>
      <c r="AM35" s="290"/>
      <c r="AN35" s="290"/>
      <c r="AO35" s="290"/>
      <c r="AP35" s="290"/>
      <c r="AQ35" s="290"/>
      <c r="AR35" s="290"/>
      <c r="AS35" s="290"/>
      <c r="AT35" s="290"/>
      <c r="AU35" s="290"/>
      <c r="AV35" s="290"/>
      <c r="AW35" s="290"/>
      <c r="AX35" s="290"/>
      <c r="AY35" s="290"/>
      <c r="AZ35" s="290"/>
      <c r="BA35" s="290"/>
    </row>
    <row r="36" spans="1:53" x14ac:dyDescent="0.2">
      <c r="AG36" s="290"/>
      <c r="AH36" s="290"/>
      <c r="AI36" s="290"/>
      <c r="AJ36" s="290"/>
      <c r="AK36" s="290"/>
      <c r="AL36" s="290"/>
      <c r="AM36" s="290"/>
      <c r="AN36" s="290"/>
      <c r="AO36" s="290"/>
      <c r="AP36" s="290"/>
      <c r="AQ36" s="290"/>
      <c r="AR36" s="290"/>
      <c r="AS36" s="290"/>
      <c r="AT36" s="290"/>
      <c r="AU36" s="290"/>
      <c r="AV36" s="290"/>
      <c r="AW36" s="290"/>
      <c r="AX36" s="290"/>
      <c r="AY36" s="290"/>
      <c r="AZ36" s="290"/>
      <c r="BA36" s="290"/>
    </row>
    <row r="37" spans="1:53" x14ac:dyDescent="0.2"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0"/>
      <c r="AY37" s="290"/>
      <c r="AZ37" s="290"/>
      <c r="BA37" s="290"/>
    </row>
    <row r="38" spans="1:53" x14ac:dyDescent="0.2">
      <c r="AG38" s="290"/>
      <c r="AH38" s="290"/>
      <c r="AI38" s="290"/>
      <c r="AJ38" s="290"/>
      <c r="AK38" s="290"/>
      <c r="AL38" s="290"/>
      <c r="AM38" s="290"/>
      <c r="AN38" s="290"/>
      <c r="AO38" s="290"/>
      <c r="AP38" s="290"/>
      <c r="AQ38" s="290"/>
      <c r="AR38" s="290"/>
      <c r="AS38" s="290"/>
      <c r="AT38" s="290"/>
      <c r="AU38" s="290"/>
      <c r="AV38" s="290"/>
      <c r="AW38" s="290"/>
      <c r="AX38" s="290"/>
      <c r="AY38" s="290"/>
      <c r="AZ38" s="290"/>
      <c r="BA38" s="290"/>
    </row>
    <row r="39" spans="1:53" x14ac:dyDescent="0.2">
      <c r="AG39" s="290"/>
      <c r="AH39" s="290"/>
      <c r="AI39" s="290"/>
      <c r="AJ39" s="290"/>
      <c r="AK39" s="290"/>
      <c r="AL39" s="290"/>
      <c r="AM39" s="290"/>
      <c r="AN39" s="290"/>
      <c r="AO39" s="290"/>
      <c r="AP39" s="290"/>
      <c r="AQ39" s="290"/>
      <c r="AR39" s="290"/>
      <c r="AS39" s="290"/>
      <c r="AT39" s="290"/>
      <c r="AU39" s="290"/>
      <c r="AV39" s="290"/>
      <c r="AW39" s="290"/>
      <c r="AX39" s="290"/>
      <c r="AY39" s="290"/>
      <c r="AZ39" s="290"/>
      <c r="BA39" s="290"/>
    </row>
    <row r="40" spans="1:53" x14ac:dyDescent="0.2"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290"/>
    </row>
    <row r="41" spans="1:53" x14ac:dyDescent="0.2"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0"/>
      <c r="AY41" s="290"/>
      <c r="AZ41" s="290"/>
      <c r="BA41" s="290"/>
    </row>
    <row r="42" spans="1:53" x14ac:dyDescent="0.2">
      <c r="AG42" s="290"/>
      <c r="AH42" s="290"/>
      <c r="AI42" s="290"/>
      <c r="AJ42" s="290"/>
      <c r="AK42" s="290"/>
      <c r="AL42" s="290"/>
      <c r="AM42" s="290"/>
      <c r="AN42" s="290"/>
      <c r="AO42" s="290"/>
      <c r="AP42" s="290"/>
      <c r="AQ42" s="290"/>
      <c r="AR42" s="290"/>
      <c r="AS42" s="290"/>
      <c r="AT42" s="290"/>
      <c r="AU42" s="290"/>
      <c r="AV42" s="290"/>
      <c r="AW42" s="290"/>
      <c r="AX42" s="290"/>
      <c r="AY42" s="290"/>
      <c r="AZ42" s="290"/>
      <c r="BA42" s="290"/>
    </row>
    <row r="43" spans="1:53" x14ac:dyDescent="0.2">
      <c r="AG43" s="290"/>
      <c r="AH43" s="290"/>
      <c r="AI43" s="290"/>
      <c r="AJ43" s="290"/>
      <c r="AK43" s="290"/>
      <c r="AL43" s="290"/>
      <c r="AM43" s="290"/>
      <c r="AN43" s="290"/>
      <c r="AO43" s="290"/>
      <c r="AP43" s="290"/>
      <c r="AQ43" s="290"/>
      <c r="AR43" s="290"/>
      <c r="AS43" s="290"/>
      <c r="AT43" s="290"/>
      <c r="AU43" s="290"/>
      <c r="AV43" s="290"/>
      <c r="AW43" s="290"/>
      <c r="AX43" s="290"/>
      <c r="AY43" s="290"/>
      <c r="AZ43" s="290"/>
      <c r="BA43" s="290"/>
    </row>
    <row r="44" spans="1:53" x14ac:dyDescent="0.2">
      <c r="AG44" s="290"/>
      <c r="AH44" s="290"/>
      <c r="AI44" s="290"/>
      <c r="AJ44" s="290"/>
      <c r="AK44" s="290"/>
      <c r="AL44" s="290"/>
      <c r="AM44" s="290"/>
      <c r="AN44" s="290"/>
      <c r="AO44" s="290"/>
      <c r="AP44" s="290"/>
      <c r="AQ44" s="290"/>
      <c r="AR44" s="290"/>
      <c r="AS44" s="290"/>
      <c r="AT44" s="290"/>
      <c r="AU44" s="290"/>
      <c r="AV44" s="290"/>
      <c r="AW44" s="290"/>
      <c r="AX44" s="290"/>
      <c r="AY44" s="290"/>
      <c r="AZ44" s="290"/>
      <c r="BA44" s="290"/>
    </row>
    <row r="45" spans="1:53" x14ac:dyDescent="0.2">
      <c r="AG45" s="290"/>
      <c r="AH45" s="290"/>
      <c r="AI45" s="290"/>
      <c r="AJ45" s="290"/>
      <c r="AK45" s="290"/>
      <c r="AL45" s="290"/>
      <c r="AM45" s="290"/>
      <c r="AN45" s="290"/>
      <c r="AO45" s="290"/>
      <c r="AP45" s="290"/>
      <c r="AQ45" s="290"/>
      <c r="AR45" s="290"/>
      <c r="AS45" s="290"/>
      <c r="AT45" s="290"/>
      <c r="AU45" s="290"/>
      <c r="AV45" s="290"/>
      <c r="AW45" s="290"/>
      <c r="AX45" s="290"/>
      <c r="AY45" s="290"/>
      <c r="AZ45" s="290"/>
      <c r="BA45" s="290"/>
    </row>
    <row r="46" spans="1:53" x14ac:dyDescent="0.2">
      <c r="AG46" s="290"/>
      <c r="AH46" s="290"/>
      <c r="AI46" s="290"/>
      <c r="AJ46" s="290"/>
      <c r="AK46" s="290"/>
      <c r="AL46" s="290"/>
      <c r="AM46" s="290"/>
      <c r="AN46" s="290"/>
      <c r="AO46" s="290"/>
      <c r="AP46" s="290"/>
      <c r="AQ46" s="290"/>
      <c r="AR46" s="290"/>
      <c r="AS46" s="290"/>
      <c r="AT46" s="290"/>
      <c r="AU46" s="290"/>
      <c r="AV46" s="290"/>
      <c r="AW46" s="290"/>
      <c r="AX46" s="290"/>
      <c r="AY46" s="290"/>
      <c r="AZ46" s="290"/>
      <c r="BA46" s="290"/>
    </row>
    <row r="47" spans="1:53" x14ac:dyDescent="0.2">
      <c r="AG47" s="290"/>
      <c r="AH47" s="290"/>
      <c r="AI47" s="290"/>
      <c r="AJ47" s="290"/>
      <c r="AK47" s="290"/>
      <c r="AL47" s="290"/>
      <c r="AM47" s="290"/>
      <c r="AN47" s="290"/>
      <c r="AO47" s="290"/>
      <c r="AP47" s="290"/>
      <c r="AQ47" s="290"/>
      <c r="AR47" s="290"/>
      <c r="AS47" s="290"/>
      <c r="AT47" s="290"/>
      <c r="AU47" s="290"/>
      <c r="AV47" s="290"/>
      <c r="AW47" s="290"/>
      <c r="AX47" s="290"/>
      <c r="AY47" s="290"/>
      <c r="AZ47" s="290"/>
      <c r="BA47" s="290"/>
    </row>
    <row r="48" spans="1:53" x14ac:dyDescent="0.2">
      <c r="AG48" s="290"/>
      <c r="AH48" s="290"/>
      <c r="AI48" s="290"/>
      <c r="AJ48" s="290"/>
      <c r="AK48" s="290"/>
      <c r="AL48" s="290"/>
      <c r="AM48" s="290"/>
      <c r="AN48" s="290"/>
      <c r="AO48" s="290"/>
      <c r="AP48" s="290"/>
      <c r="AQ48" s="290"/>
      <c r="AR48" s="290"/>
      <c r="AS48" s="290"/>
      <c r="AT48" s="290"/>
      <c r="AU48" s="290"/>
      <c r="AV48" s="290"/>
      <c r="AW48" s="290"/>
      <c r="AX48" s="290"/>
      <c r="AY48" s="290"/>
      <c r="AZ48" s="290"/>
      <c r="BA48" s="290"/>
    </row>
    <row r="49" spans="33:53" x14ac:dyDescent="0.2">
      <c r="AG49" s="290"/>
      <c r="AH49" s="290"/>
      <c r="AI49" s="290"/>
      <c r="AJ49" s="290"/>
      <c r="AK49" s="290"/>
      <c r="AL49" s="290"/>
      <c r="AM49" s="290"/>
      <c r="AN49" s="290"/>
      <c r="AO49" s="290"/>
      <c r="AP49" s="290"/>
      <c r="AQ49" s="290"/>
      <c r="AR49" s="290"/>
      <c r="AS49" s="290"/>
      <c r="AT49" s="290"/>
      <c r="AU49" s="290"/>
      <c r="AV49" s="290"/>
      <c r="AW49" s="290"/>
      <c r="AX49" s="290"/>
      <c r="AY49" s="290"/>
      <c r="AZ49" s="290"/>
      <c r="BA49" s="290"/>
    </row>
    <row r="50" spans="33:53" x14ac:dyDescent="0.2">
      <c r="AG50" s="290"/>
      <c r="AH50" s="290"/>
      <c r="AI50" s="290"/>
      <c r="AJ50" s="290"/>
      <c r="AK50" s="290"/>
      <c r="AL50" s="290"/>
      <c r="AM50" s="290"/>
      <c r="AN50" s="290"/>
      <c r="AO50" s="290"/>
      <c r="AP50" s="290"/>
      <c r="AQ50" s="290"/>
      <c r="AR50" s="290"/>
      <c r="AS50" s="290"/>
      <c r="AT50" s="290"/>
      <c r="AU50" s="290"/>
      <c r="AV50" s="290"/>
      <c r="AW50" s="290"/>
      <c r="AX50" s="290"/>
      <c r="AY50" s="290"/>
      <c r="AZ50" s="290"/>
      <c r="BA50" s="290"/>
    </row>
    <row r="51" spans="33:53" x14ac:dyDescent="0.2">
      <c r="AG51" s="290"/>
      <c r="AH51" s="290"/>
      <c r="AI51" s="290"/>
      <c r="AJ51" s="290"/>
      <c r="AK51" s="290"/>
      <c r="AL51" s="290"/>
      <c r="AM51" s="290"/>
      <c r="AN51" s="290"/>
      <c r="AO51" s="290"/>
      <c r="AP51" s="290"/>
      <c r="AQ51" s="290"/>
      <c r="AR51" s="290"/>
      <c r="AS51" s="290"/>
      <c r="AT51" s="290"/>
      <c r="AU51" s="290"/>
      <c r="AV51" s="290"/>
      <c r="AW51" s="290"/>
      <c r="AX51" s="290"/>
      <c r="AY51" s="290"/>
      <c r="AZ51" s="290"/>
      <c r="BA51" s="290"/>
    </row>
    <row r="52" spans="33:53" x14ac:dyDescent="0.2">
      <c r="AG52" s="290"/>
      <c r="AH52" s="290"/>
      <c r="AI52" s="290"/>
      <c r="AJ52" s="290"/>
      <c r="AK52" s="290"/>
      <c r="AL52" s="290"/>
      <c r="AM52" s="290"/>
      <c r="AN52" s="290"/>
      <c r="AO52" s="290"/>
      <c r="AP52" s="290"/>
      <c r="AQ52" s="290"/>
      <c r="AR52" s="290"/>
      <c r="AS52" s="290"/>
      <c r="AT52" s="290"/>
      <c r="AU52" s="290"/>
      <c r="AV52" s="290"/>
      <c r="AW52" s="290"/>
      <c r="AX52" s="290"/>
      <c r="AY52" s="290"/>
      <c r="AZ52" s="290"/>
      <c r="BA52" s="290"/>
    </row>
    <row r="194" spans="1:130" ht="15.75" customHeight="1" x14ac:dyDescent="0.2"/>
    <row r="195" spans="1:130" s="1440" customFormat="1" ht="16.5" hidden="1" customHeight="1" x14ac:dyDescent="0.2">
      <c r="A195" s="1440">
        <f>SUM(B12:B17,B21:B25,B29:B30,B34:B35)</f>
        <v>0</v>
      </c>
      <c r="B195" s="1440">
        <f>SUM(DA7:DZ52)</f>
        <v>0</v>
      </c>
      <c r="CA195" s="1451"/>
      <c r="CB195" s="1451"/>
      <c r="CC195" s="1451"/>
      <c r="CD195" s="1451"/>
      <c r="CE195" s="1451"/>
      <c r="CF195" s="1451"/>
      <c r="CG195" s="1451"/>
      <c r="CH195" s="1451"/>
      <c r="CI195" s="1451"/>
      <c r="CJ195" s="1451"/>
      <c r="CK195" s="1451"/>
      <c r="CL195" s="1451"/>
      <c r="CM195" s="1451"/>
      <c r="CN195" s="1451"/>
      <c r="CO195" s="1451"/>
      <c r="CP195" s="1451"/>
      <c r="CQ195" s="1451"/>
      <c r="CR195" s="1451"/>
      <c r="CS195" s="1451"/>
      <c r="CT195" s="1451"/>
      <c r="CU195" s="1451"/>
      <c r="CV195" s="1451"/>
      <c r="CW195" s="1451"/>
      <c r="CX195" s="1451"/>
      <c r="CY195" s="1451"/>
      <c r="CZ195" s="1451"/>
      <c r="DA195" s="3296"/>
      <c r="DB195" s="3296"/>
      <c r="DC195" s="3296"/>
      <c r="DD195" s="3296"/>
      <c r="DE195" s="3296"/>
      <c r="DF195" s="3296"/>
      <c r="DG195" s="3296"/>
      <c r="DH195" s="3296"/>
      <c r="DI195" s="3296"/>
      <c r="DJ195" s="3296"/>
      <c r="DK195" s="3296"/>
      <c r="DL195" s="3296"/>
      <c r="DM195" s="3296"/>
      <c r="DN195" s="3296"/>
      <c r="DO195" s="3296"/>
      <c r="DP195" s="3296"/>
      <c r="DQ195" s="3296"/>
      <c r="DR195" s="3296"/>
      <c r="DS195" s="3296"/>
      <c r="DT195" s="3296"/>
      <c r="DU195" s="3296"/>
      <c r="DV195" s="3296"/>
      <c r="DW195" s="3296"/>
      <c r="DX195" s="3296"/>
      <c r="DY195" s="3296"/>
      <c r="DZ195" s="3296"/>
    </row>
    <row r="196" spans="1:130" ht="16.5" customHeight="1" x14ac:dyDescent="0.2"/>
  </sheetData>
  <sheetProtection algorithmName="SHA-512" hashValue="9eCX1nq0rD0eGEfy5Fg9B78uHw18F498jVHRESTuAuvJgN8UFjdJCNR1IRohtoBiSMGUtxUZzUT4ltq3odehKw==" saltValue="O3f+Orp00T8kkA2z1mCq2A==" spinCount="100000" sheet="1" objects="1" scenarios="1"/>
  <mergeCells count="59">
    <mergeCell ref="K32:L32"/>
    <mergeCell ref="M32:N32"/>
    <mergeCell ref="O27:P27"/>
    <mergeCell ref="AE32:AF32"/>
    <mergeCell ref="O32:P32"/>
    <mergeCell ref="Q32:R32"/>
    <mergeCell ref="S32:T32"/>
    <mergeCell ref="U32:V32"/>
    <mergeCell ref="W32:X32"/>
    <mergeCell ref="Y32:Z32"/>
    <mergeCell ref="U27:V27"/>
    <mergeCell ref="W27:X27"/>
    <mergeCell ref="Y27:Z27"/>
    <mergeCell ref="AA32:AB32"/>
    <mergeCell ref="AC32:AD32"/>
    <mergeCell ref="K27:L27"/>
    <mergeCell ref="A32:A33"/>
    <mergeCell ref="B32:D32"/>
    <mergeCell ref="E32:F32"/>
    <mergeCell ref="G32:H32"/>
    <mergeCell ref="I32:J32"/>
    <mergeCell ref="Y19:Z19"/>
    <mergeCell ref="AA27:AB27"/>
    <mergeCell ref="AC27:AD27"/>
    <mergeCell ref="Q27:R27"/>
    <mergeCell ref="S27:T27"/>
    <mergeCell ref="M27:N27"/>
    <mergeCell ref="O19:P19"/>
    <mergeCell ref="Q19:R19"/>
    <mergeCell ref="S19:T19"/>
    <mergeCell ref="A27:A28"/>
    <mergeCell ref="B27:D27"/>
    <mergeCell ref="E27:F27"/>
    <mergeCell ref="G27:H27"/>
    <mergeCell ref="I27:J27"/>
    <mergeCell ref="A6:AD6"/>
    <mergeCell ref="A9:A10"/>
    <mergeCell ref="B9:D9"/>
    <mergeCell ref="A19:A20"/>
    <mergeCell ref="B19:D19"/>
    <mergeCell ref="E19:F19"/>
    <mergeCell ref="G19:H19"/>
    <mergeCell ref="I19:J19"/>
    <mergeCell ref="K19:L19"/>
    <mergeCell ref="M19:N19"/>
    <mergeCell ref="AA19:AB19"/>
    <mergeCell ref="AC19:AD19"/>
    <mergeCell ref="E9:E10"/>
    <mergeCell ref="F9:F10"/>
    <mergeCell ref="U19:V19"/>
    <mergeCell ref="W19:X19"/>
    <mergeCell ref="AE27:AF27"/>
    <mergeCell ref="AH27:AH28"/>
    <mergeCell ref="AG32:AG33"/>
    <mergeCell ref="AH32:AH33"/>
    <mergeCell ref="AG19:AG20"/>
    <mergeCell ref="AH19:AH20"/>
    <mergeCell ref="AG27:AG28"/>
    <mergeCell ref="AE19:AF19"/>
  </mergeCells>
  <dataValidations count="2">
    <dataValidation type="whole" operator="notBetween" allowBlank="1" showInputMessage="1" showErrorMessage="1" error="Valor no Permitido" sqref="A30" xr:uid="{50783A29-AFB3-40FA-A664-CAA552F57B08}">
      <formula1>0</formula1>
      <formula2>1E+28</formula2>
    </dataValidation>
    <dataValidation type="whole" operator="greaterThanOrEqual" allowBlank="1" showInputMessage="1" showErrorMessage="1" sqref="C12:F17 E22:AH25 E29:AH30 E34:AH35" xr:uid="{4980D50C-132A-445D-AE4F-EAB114827275}">
      <formula1>0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EB346"/>
  <sheetViews>
    <sheetView showGridLines="0" zoomScaleNormal="100" workbookViewId="0">
      <selection activeCell="A6" sqref="A6:Y6"/>
    </sheetView>
  </sheetViews>
  <sheetFormatPr baseColWidth="10" defaultColWidth="11.42578125" defaultRowHeight="15" x14ac:dyDescent="0.25"/>
  <cols>
    <col min="1" max="1" width="31.42578125" style="823" customWidth="1"/>
    <col min="2" max="2" width="40" style="823" customWidth="1"/>
    <col min="3" max="3" width="11.85546875" style="823" customWidth="1"/>
    <col min="4" max="6" width="10.85546875" style="823"/>
    <col min="7" max="7" width="12.28515625" style="823" customWidth="1"/>
    <col min="8" max="8" width="13.28515625" style="823" customWidth="1"/>
    <col min="9" max="12" width="11.42578125" style="823"/>
    <col min="13" max="13" width="11.42578125" style="823" customWidth="1"/>
    <col min="14" max="22" width="11.42578125" style="823"/>
    <col min="23" max="23" width="13.140625" style="823" customWidth="1"/>
    <col min="24" max="25" width="11.42578125" style="823"/>
    <col min="26" max="52" width="11.42578125" style="1187"/>
    <col min="53" max="71" width="11.42578125" style="1580" customWidth="1"/>
    <col min="72" max="78" width="16" style="1187" customWidth="1"/>
    <col min="79" max="102" width="16" style="1464" hidden="1" customWidth="1"/>
    <col min="103" max="104" width="11.42578125" style="1464" hidden="1" customWidth="1"/>
    <col min="105" max="124" width="11.42578125" style="3306" hidden="1" customWidth="1"/>
    <col min="125" max="125" width="15" style="3306" hidden="1" customWidth="1"/>
    <col min="126" max="126" width="10.28515625" style="3306" hidden="1" customWidth="1"/>
    <col min="127" max="127" width="13.28515625" style="3306" hidden="1" customWidth="1"/>
    <col min="128" max="128" width="14.85546875" style="3306" hidden="1" customWidth="1"/>
    <col min="129" max="129" width="9.5703125" style="3306" hidden="1" customWidth="1"/>
    <col min="130" max="130" width="8.7109375" style="3306" hidden="1" customWidth="1"/>
    <col min="131" max="131" width="11.42578125" style="823" customWidth="1"/>
    <col min="132" max="16384" width="11.42578125" style="823"/>
  </cols>
  <sheetData>
    <row r="1" spans="1:130" s="140" customFormat="1" ht="16.350000000000001" customHeight="1" x14ac:dyDescent="0.15">
      <c r="A1" s="150" t="s">
        <v>206</v>
      </c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  <c r="AN1" s="288"/>
      <c r="AO1" s="288"/>
      <c r="AP1" s="288"/>
      <c r="AQ1" s="288"/>
      <c r="AR1" s="288"/>
      <c r="AS1" s="288"/>
      <c r="AT1" s="288"/>
      <c r="AU1" s="288"/>
      <c r="AV1" s="288"/>
      <c r="AW1" s="288"/>
      <c r="AX1" s="288"/>
      <c r="AY1" s="288"/>
      <c r="AZ1" s="288"/>
      <c r="BA1" s="567"/>
      <c r="BB1" s="567"/>
      <c r="BC1" s="567"/>
      <c r="BD1" s="567"/>
      <c r="BE1" s="567"/>
      <c r="BF1" s="567"/>
      <c r="BG1" s="567"/>
      <c r="BH1" s="567"/>
      <c r="BI1" s="567"/>
      <c r="BJ1" s="567"/>
      <c r="BK1" s="567"/>
      <c r="BL1" s="567"/>
      <c r="BM1" s="567"/>
      <c r="BN1" s="567"/>
      <c r="BO1" s="567"/>
      <c r="BP1" s="567"/>
      <c r="BQ1" s="567"/>
      <c r="BR1" s="567"/>
      <c r="BS1" s="567"/>
      <c r="BT1" s="288"/>
      <c r="BU1" s="288"/>
      <c r="BV1" s="288"/>
      <c r="BW1" s="288"/>
      <c r="BX1" s="288"/>
      <c r="BY1" s="288"/>
      <c r="BZ1" s="288"/>
      <c r="CA1" s="683"/>
      <c r="CB1" s="683"/>
      <c r="CC1" s="683"/>
      <c r="CD1" s="683"/>
      <c r="CE1" s="683"/>
      <c r="CF1" s="683"/>
      <c r="CG1" s="683"/>
      <c r="CH1" s="683"/>
      <c r="CI1" s="683"/>
      <c r="CJ1" s="683"/>
      <c r="CK1" s="683"/>
      <c r="CL1" s="683"/>
      <c r="CM1" s="683"/>
      <c r="CN1" s="683"/>
      <c r="CO1" s="683"/>
      <c r="CP1" s="683"/>
      <c r="CQ1" s="683"/>
      <c r="CR1" s="683"/>
      <c r="CS1" s="683"/>
      <c r="CT1" s="683"/>
      <c r="CU1" s="683"/>
      <c r="CV1" s="683"/>
      <c r="CW1" s="683"/>
      <c r="CX1" s="683"/>
      <c r="CY1" s="683"/>
      <c r="CZ1" s="683"/>
      <c r="DA1" s="3305"/>
      <c r="DB1" s="3305"/>
      <c r="DC1" s="3305"/>
      <c r="DD1" s="3305"/>
      <c r="DE1" s="3305"/>
      <c r="DF1" s="3305"/>
      <c r="DG1" s="3305"/>
      <c r="DH1" s="3305"/>
      <c r="DI1" s="3305"/>
      <c r="DJ1" s="3305"/>
      <c r="DK1" s="3305"/>
      <c r="DL1" s="3305"/>
      <c r="DM1" s="3305"/>
      <c r="DN1" s="3305"/>
      <c r="DO1" s="3305"/>
      <c r="DP1" s="3305"/>
      <c r="DQ1" s="3305"/>
      <c r="DR1" s="3305"/>
      <c r="DS1" s="3305"/>
      <c r="DT1" s="3305"/>
      <c r="DU1" s="3305"/>
      <c r="DV1" s="3305"/>
      <c r="DW1" s="3305"/>
      <c r="DX1" s="3305"/>
      <c r="DY1" s="3305"/>
      <c r="DZ1" s="3305"/>
    </row>
    <row r="2" spans="1:130" s="140" customFormat="1" ht="16.350000000000001" customHeight="1" x14ac:dyDescent="0.15">
      <c r="A2" s="150" t="str">
        <f>CONCATENATE("COMUNA: ",NOMBRE!B2," - ","( ",NOMBRE!C2,NOMBRE!D2,NOMBRE!E2,NOMBRE!F2,NOMBRE!G2," )")</f>
        <v>COMUNA:  - (  )</v>
      </c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567"/>
      <c r="BB2" s="567"/>
      <c r="BC2" s="567"/>
      <c r="BD2" s="567"/>
      <c r="BE2" s="567"/>
      <c r="BF2" s="567"/>
      <c r="BG2" s="567"/>
      <c r="BH2" s="567"/>
      <c r="BI2" s="567"/>
      <c r="BJ2" s="567"/>
      <c r="BK2" s="567"/>
      <c r="BL2" s="567"/>
      <c r="BM2" s="567"/>
      <c r="BN2" s="567"/>
      <c r="BO2" s="567"/>
      <c r="BP2" s="567"/>
      <c r="BQ2" s="567"/>
      <c r="BR2" s="567"/>
      <c r="BS2" s="567"/>
      <c r="BT2" s="288"/>
      <c r="BU2" s="288"/>
      <c r="BV2" s="288"/>
      <c r="BW2" s="288"/>
      <c r="BX2" s="288"/>
      <c r="BY2" s="288"/>
      <c r="BZ2" s="288"/>
      <c r="CA2" s="683"/>
      <c r="CB2" s="683"/>
      <c r="CC2" s="683"/>
      <c r="CD2" s="683"/>
      <c r="CE2" s="683"/>
      <c r="CF2" s="683"/>
      <c r="CG2" s="683"/>
      <c r="CH2" s="683"/>
      <c r="CI2" s="683"/>
      <c r="CJ2" s="683"/>
      <c r="CK2" s="683"/>
      <c r="CL2" s="683"/>
      <c r="CM2" s="683"/>
      <c r="CN2" s="683"/>
      <c r="CO2" s="683"/>
      <c r="CP2" s="683"/>
      <c r="CQ2" s="683"/>
      <c r="CR2" s="683"/>
      <c r="CS2" s="683"/>
      <c r="CT2" s="683"/>
      <c r="CU2" s="683"/>
      <c r="CV2" s="683"/>
      <c r="CW2" s="683"/>
      <c r="CX2" s="683"/>
      <c r="CY2" s="683"/>
      <c r="CZ2" s="683"/>
      <c r="DA2" s="3305"/>
      <c r="DB2" s="3305"/>
      <c r="DC2" s="3305"/>
      <c r="DD2" s="3305"/>
      <c r="DE2" s="3305"/>
      <c r="DF2" s="3305"/>
      <c r="DG2" s="3305"/>
      <c r="DH2" s="3305"/>
      <c r="DI2" s="3305"/>
      <c r="DJ2" s="3305"/>
      <c r="DK2" s="3305"/>
      <c r="DL2" s="3305"/>
      <c r="DM2" s="3305"/>
      <c r="DN2" s="3305"/>
      <c r="DO2" s="3305"/>
      <c r="DP2" s="3305"/>
      <c r="DQ2" s="3305"/>
      <c r="DR2" s="3305"/>
      <c r="DS2" s="3305"/>
      <c r="DT2" s="3305"/>
      <c r="DU2" s="3305"/>
      <c r="DV2" s="3305"/>
      <c r="DW2" s="3305"/>
      <c r="DX2" s="3305"/>
      <c r="DY2" s="3305"/>
      <c r="DZ2" s="3305"/>
    </row>
    <row r="3" spans="1:130" s="140" customFormat="1" ht="16.350000000000001" customHeight="1" x14ac:dyDescent="0.15">
      <c r="A3" s="150" t="str">
        <f>CONCATENATE("ESTABLECIMIENTO/ESTRATEGIA: ",NOMBRE!B3," - ","( ",NOMBRE!C3,NOMBRE!D3,NOMBRE!E3,NOMBRE!F3,NOMBRE!G3,NOMBRE!H3," )")</f>
        <v>ESTABLECIMIENTO/ESTRATEGIA:  - (  )</v>
      </c>
      <c r="Z3" s="288"/>
      <c r="AA3" s="288"/>
      <c r="AB3" s="288"/>
      <c r="AC3" s="288"/>
      <c r="AD3" s="288"/>
      <c r="AE3" s="288"/>
      <c r="AF3" s="288"/>
      <c r="AG3" s="288"/>
      <c r="AH3" s="288"/>
      <c r="AI3" s="288"/>
      <c r="AJ3" s="288"/>
      <c r="AK3" s="288"/>
      <c r="AL3" s="288"/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567"/>
      <c r="BB3" s="567"/>
      <c r="BC3" s="567"/>
      <c r="BD3" s="567"/>
      <c r="BE3" s="567"/>
      <c r="BF3" s="567"/>
      <c r="BG3" s="567"/>
      <c r="BH3" s="567"/>
      <c r="BI3" s="567"/>
      <c r="BJ3" s="567"/>
      <c r="BK3" s="567"/>
      <c r="BL3" s="567"/>
      <c r="BM3" s="567"/>
      <c r="BN3" s="567"/>
      <c r="BO3" s="567"/>
      <c r="BP3" s="567"/>
      <c r="BQ3" s="567"/>
      <c r="BR3" s="567"/>
      <c r="BS3" s="567"/>
      <c r="BT3" s="288"/>
      <c r="BU3" s="288"/>
      <c r="BV3" s="288"/>
      <c r="BW3" s="288"/>
      <c r="BX3" s="288"/>
      <c r="BY3" s="288"/>
      <c r="BZ3" s="288"/>
      <c r="CA3" s="683"/>
      <c r="CB3" s="683"/>
      <c r="CC3" s="683"/>
      <c r="CD3" s="683"/>
      <c r="CE3" s="683"/>
      <c r="CF3" s="683"/>
      <c r="CG3" s="683"/>
      <c r="CH3" s="683"/>
      <c r="CI3" s="683"/>
      <c r="CJ3" s="683"/>
      <c r="CK3" s="683"/>
      <c r="CL3" s="683"/>
      <c r="CM3" s="683"/>
      <c r="CN3" s="683"/>
      <c r="CO3" s="683"/>
      <c r="CP3" s="683"/>
      <c r="CQ3" s="683"/>
      <c r="CR3" s="683"/>
      <c r="CS3" s="683"/>
      <c r="CT3" s="683"/>
      <c r="CU3" s="683"/>
      <c r="CV3" s="683"/>
      <c r="CW3" s="683"/>
      <c r="CX3" s="683"/>
      <c r="CY3" s="683"/>
      <c r="CZ3" s="683"/>
      <c r="DA3" s="3305"/>
      <c r="DB3" s="3305"/>
      <c r="DC3" s="3305"/>
      <c r="DD3" s="3305"/>
      <c r="DE3" s="3305"/>
      <c r="DF3" s="3305"/>
      <c r="DG3" s="3305"/>
      <c r="DH3" s="3305"/>
      <c r="DI3" s="3305"/>
      <c r="DJ3" s="3305"/>
      <c r="DK3" s="3305"/>
      <c r="DL3" s="3305"/>
      <c r="DM3" s="3305"/>
      <c r="DN3" s="3305"/>
      <c r="DO3" s="3305"/>
      <c r="DP3" s="3305"/>
      <c r="DQ3" s="3305"/>
      <c r="DR3" s="3305"/>
      <c r="DS3" s="3305"/>
      <c r="DT3" s="3305"/>
      <c r="DU3" s="3305"/>
      <c r="DV3" s="3305"/>
      <c r="DW3" s="3305"/>
      <c r="DX3" s="3305"/>
      <c r="DY3" s="3305"/>
      <c r="DZ3" s="3305"/>
    </row>
    <row r="4" spans="1:130" s="140" customFormat="1" ht="16.350000000000001" customHeight="1" x14ac:dyDescent="0.15">
      <c r="A4" s="150" t="str">
        <f>CONCATENATE("MES: ",NOMBRE!B6," - ","( ",NOMBRE!C6,NOMBRE!D6," )")</f>
        <v>MES:  - (  )</v>
      </c>
      <c r="Z4" s="288"/>
      <c r="AA4" s="288"/>
      <c r="AB4" s="288"/>
      <c r="AC4" s="288"/>
      <c r="AD4" s="288"/>
      <c r="AE4" s="288"/>
      <c r="AF4" s="288"/>
      <c r="AG4" s="288"/>
      <c r="AH4" s="288"/>
      <c r="AI4" s="288"/>
      <c r="AJ4" s="288"/>
      <c r="AK4" s="288"/>
      <c r="AL4" s="288"/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567"/>
      <c r="BB4" s="567"/>
      <c r="BC4" s="567"/>
      <c r="BD4" s="567"/>
      <c r="BE4" s="567"/>
      <c r="BF4" s="567"/>
      <c r="BG4" s="567"/>
      <c r="BH4" s="567"/>
      <c r="BI4" s="567"/>
      <c r="BJ4" s="567"/>
      <c r="BK4" s="567"/>
      <c r="BL4" s="567"/>
      <c r="BM4" s="567"/>
      <c r="BN4" s="567"/>
      <c r="BO4" s="567"/>
      <c r="BP4" s="567"/>
      <c r="BQ4" s="567"/>
      <c r="BR4" s="567"/>
      <c r="BS4" s="567"/>
      <c r="BT4" s="288"/>
      <c r="BU4" s="288"/>
      <c r="BV4" s="288"/>
      <c r="BW4" s="288"/>
      <c r="BX4" s="288"/>
      <c r="BY4" s="288"/>
      <c r="BZ4" s="288"/>
      <c r="CA4" s="683"/>
      <c r="CB4" s="683"/>
      <c r="CC4" s="683"/>
      <c r="CD4" s="683"/>
      <c r="CE4" s="683"/>
      <c r="CF4" s="683"/>
      <c r="CG4" s="683"/>
      <c r="CH4" s="683"/>
      <c r="CI4" s="683"/>
      <c r="CJ4" s="683"/>
      <c r="CK4" s="683"/>
      <c r="CL4" s="683"/>
      <c r="CM4" s="683"/>
      <c r="CN4" s="683"/>
      <c r="CO4" s="683"/>
      <c r="CP4" s="683"/>
      <c r="CQ4" s="683"/>
      <c r="CR4" s="683"/>
      <c r="CS4" s="683"/>
      <c r="CT4" s="683"/>
      <c r="CU4" s="683"/>
      <c r="CV4" s="683"/>
      <c r="CW4" s="683"/>
      <c r="CX4" s="683"/>
      <c r="CY4" s="683"/>
      <c r="CZ4" s="683"/>
      <c r="DA4" s="3305"/>
      <c r="DB4" s="3305"/>
      <c r="DC4" s="3305"/>
      <c r="DD4" s="3305"/>
      <c r="DE4" s="3305"/>
      <c r="DF4" s="3305"/>
      <c r="DG4" s="3305"/>
      <c r="DH4" s="3305"/>
      <c r="DI4" s="3305"/>
      <c r="DJ4" s="3305"/>
      <c r="DK4" s="3305"/>
      <c r="DL4" s="3305"/>
      <c r="DM4" s="3305"/>
      <c r="DN4" s="3305"/>
      <c r="DO4" s="3305"/>
      <c r="DP4" s="3305"/>
      <c r="DQ4" s="3305"/>
      <c r="DR4" s="3305"/>
      <c r="DS4" s="3305"/>
      <c r="DT4" s="3305"/>
      <c r="DU4" s="3305"/>
      <c r="DV4" s="3305"/>
      <c r="DW4" s="3305"/>
      <c r="DX4" s="3305"/>
      <c r="DY4" s="3305"/>
      <c r="DZ4" s="3305"/>
    </row>
    <row r="5" spans="1:130" s="140" customFormat="1" ht="16.350000000000001" customHeight="1" x14ac:dyDescent="0.15">
      <c r="A5" s="150" t="str">
        <f>CONCATENATE("AÑO: ",NOMBRE!B7)</f>
        <v>AÑO: 2023</v>
      </c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567"/>
      <c r="BB5" s="567"/>
      <c r="BC5" s="567"/>
      <c r="BD5" s="567"/>
      <c r="BE5" s="567"/>
      <c r="BF5" s="567"/>
      <c r="BG5" s="567"/>
      <c r="BH5" s="567"/>
      <c r="BI5" s="567"/>
      <c r="BJ5" s="567"/>
      <c r="BK5" s="567"/>
      <c r="BL5" s="567"/>
      <c r="BM5" s="567"/>
      <c r="BN5" s="567"/>
      <c r="BO5" s="567"/>
      <c r="BP5" s="567"/>
      <c r="BQ5" s="567"/>
      <c r="BR5" s="567"/>
      <c r="BS5" s="567"/>
      <c r="BT5" s="288"/>
      <c r="BU5" s="288"/>
      <c r="BV5" s="288"/>
      <c r="BW5" s="288"/>
      <c r="BX5" s="288"/>
      <c r="BY5" s="288"/>
      <c r="BZ5" s="288"/>
      <c r="CA5" s="683"/>
      <c r="CB5" s="683"/>
      <c r="CC5" s="683"/>
      <c r="CD5" s="683"/>
      <c r="CE5" s="683"/>
      <c r="CF5" s="683"/>
      <c r="CG5" s="683"/>
      <c r="CH5" s="683"/>
      <c r="CI5" s="683"/>
      <c r="CJ5" s="683"/>
      <c r="CK5" s="683"/>
      <c r="CL5" s="683"/>
      <c r="CM5" s="683"/>
      <c r="CN5" s="683"/>
      <c r="CO5" s="683"/>
      <c r="CP5" s="683"/>
      <c r="CQ5" s="683"/>
      <c r="CR5" s="683"/>
      <c r="CS5" s="683"/>
      <c r="CT5" s="683"/>
      <c r="CU5" s="683"/>
      <c r="CV5" s="683"/>
      <c r="CW5" s="683"/>
      <c r="CX5" s="683"/>
      <c r="CY5" s="683"/>
      <c r="CZ5" s="683"/>
      <c r="DA5" s="3305"/>
      <c r="DB5" s="3305"/>
      <c r="DC5" s="3305"/>
      <c r="DD5" s="3305"/>
      <c r="DE5" s="3305"/>
      <c r="DF5" s="3305"/>
      <c r="DG5" s="3305"/>
      <c r="DH5" s="3305"/>
      <c r="DI5" s="3305"/>
      <c r="DJ5" s="3305"/>
      <c r="DK5" s="3305"/>
      <c r="DL5" s="3305"/>
      <c r="DM5" s="3305"/>
      <c r="DN5" s="3305"/>
      <c r="DO5" s="3305"/>
      <c r="DP5" s="3305"/>
      <c r="DQ5" s="3305"/>
      <c r="DR5" s="3305"/>
      <c r="DS5" s="3305"/>
      <c r="DT5" s="3305"/>
      <c r="DU5" s="3305"/>
      <c r="DV5" s="3305"/>
      <c r="DW5" s="3305"/>
      <c r="DX5" s="3305"/>
      <c r="DY5" s="3305"/>
      <c r="DZ5" s="3305"/>
    </row>
    <row r="6" spans="1:130" ht="15.75" customHeight="1" x14ac:dyDescent="0.25">
      <c r="A6" s="8199" t="s">
        <v>1503</v>
      </c>
      <c r="B6" s="8199"/>
      <c r="C6" s="8199"/>
      <c r="D6" s="8199"/>
      <c r="E6" s="8199"/>
      <c r="F6" s="8199"/>
      <c r="G6" s="8199"/>
      <c r="H6" s="8199"/>
      <c r="I6" s="8199"/>
      <c r="J6" s="8199"/>
      <c r="K6" s="8199"/>
      <c r="L6" s="8199"/>
      <c r="M6" s="8199"/>
      <c r="N6" s="8199"/>
      <c r="O6" s="8199"/>
      <c r="P6" s="8199"/>
      <c r="Q6" s="8199"/>
      <c r="R6" s="8199"/>
      <c r="S6" s="8199"/>
      <c r="T6" s="8199"/>
      <c r="U6" s="8199"/>
      <c r="V6" s="8199"/>
      <c r="W6" s="8199"/>
      <c r="X6" s="8199"/>
      <c r="Y6" s="8434"/>
      <c r="Z6" s="796"/>
      <c r="AA6" s="796"/>
    </row>
    <row r="7" spans="1:130" ht="31.35" customHeight="1" x14ac:dyDescent="0.25">
      <c r="A7" s="524" t="s">
        <v>1502</v>
      </c>
      <c r="B7" s="2197"/>
      <c r="C7" s="2197"/>
      <c r="D7" s="2197"/>
      <c r="E7" s="2197"/>
      <c r="F7" s="2197"/>
      <c r="G7" s="2197"/>
      <c r="H7" s="2197"/>
      <c r="I7" s="2197"/>
      <c r="J7" s="2197"/>
      <c r="K7" s="2197"/>
      <c r="L7" s="2197"/>
      <c r="M7" s="2197"/>
      <c r="N7" s="2197"/>
      <c r="O7" s="2197"/>
      <c r="P7" s="939"/>
      <c r="Q7" s="938"/>
      <c r="R7" s="796"/>
      <c r="S7" s="796"/>
      <c r="T7" s="796"/>
      <c r="U7" s="796"/>
      <c r="V7" s="796"/>
      <c r="W7" s="796"/>
      <c r="X7" s="796"/>
      <c r="Y7" s="796"/>
      <c r="Z7" s="796"/>
      <c r="AA7" s="796"/>
      <c r="BA7" s="1187"/>
      <c r="BB7" s="1187"/>
      <c r="BC7" s="1187"/>
      <c r="BD7" s="1187"/>
      <c r="BE7" s="1187"/>
      <c r="BF7" s="1187"/>
      <c r="BG7" s="1187"/>
      <c r="BH7" s="1187"/>
      <c r="BI7" s="1187"/>
      <c r="BJ7" s="1187"/>
      <c r="BK7" s="1187"/>
      <c r="BL7" s="1187"/>
      <c r="BM7" s="1187"/>
      <c r="BN7" s="1187"/>
      <c r="BO7" s="1187"/>
      <c r="BP7" s="1187"/>
      <c r="BQ7" s="1187"/>
      <c r="BR7" s="1187"/>
      <c r="BS7" s="1187"/>
    </row>
    <row r="8" spans="1:130" ht="31.35" customHeight="1" x14ac:dyDescent="0.25">
      <c r="A8" s="937" t="s">
        <v>1501</v>
      </c>
      <c r="B8" s="936"/>
      <c r="C8" s="936"/>
      <c r="D8" s="936"/>
      <c r="E8" s="936"/>
      <c r="F8" s="72"/>
      <c r="G8" s="1581"/>
      <c r="H8" s="2570"/>
      <c r="I8" s="2571"/>
      <c r="J8" s="1581"/>
      <c r="K8" s="2572"/>
      <c r="L8" s="1581"/>
      <c r="M8" s="2570"/>
      <c r="N8" s="2571"/>
      <c r="O8" s="2571"/>
      <c r="P8" s="1582"/>
      <c r="Q8" s="1581"/>
      <c r="R8" s="2570"/>
      <c r="S8" s="2570"/>
      <c r="T8" s="2570"/>
      <c r="U8" s="2570"/>
      <c r="V8" s="2570"/>
      <c r="W8" s="2570"/>
      <c r="X8" s="2570"/>
      <c r="Y8" s="2571"/>
      <c r="Z8" s="1583"/>
      <c r="BA8" s="1187"/>
      <c r="BB8" s="1187"/>
      <c r="BC8" s="1187"/>
      <c r="BD8" s="1187"/>
      <c r="BE8" s="1187"/>
      <c r="BF8" s="1187"/>
      <c r="BG8" s="1187"/>
      <c r="BH8" s="1187"/>
      <c r="BI8" s="1187"/>
      <c r="BJ8" s="1187"/>
      <c r="BK8" s="1187"/>
      <c r="BL8" s="1187"/>
      <c r="BM8" s="1187"/>
      <c r="BN8" s="1187"/>
      <c r="BO8" s="1187"/>
      <c r="BP8" s="1187"/>
      <c r="BQ8" s="1187"/>
      <c r="BR8" s="1187"/>
      <c r="BS8" s="1187"/>
    </row>
    <row r="9" spans="1:130" ht="16.350000000000001" customHeight="1" x14ac:dyDescent="0.25">
      <c r="A9" s="8464" t="s">
        <v>1500</v>
      </c>
      <c r="B9" s="8464"/>
      <c r="C9" s="8439" t="s">
        <v>805</v>
      </c>
      <c r="D9" s="8440"/>
      <c r="E9" s="8441"/>
      <c r="F9" s="8468" t="s">
        <v>21</v>
      </c>
      <c r="G9" s="8148"/>
      <c r="H9" s="8148"/>
      <c r="I9" s="8148"/>
      <c r="J9" s="8148"/>
      <c r="K9" s="8148"/>
      <c r="L9" s="8148"/>
      <c r="M9" s="8148"/>
      <c r="N9" s="8148"/>
      <c r="O9" s="8148"/>
      <c r="P9" s="8148"/>
      <c r="Q9" s="8148"/>
      <c r="R9" s="8148"/>
      <c r="S9" s="8148"/>
      <c r="T9" s="8148"/>
      <c r="U9" s="8148"/>
      <c r="V9" s="8148"/>
      <c r="W9" s="8148"/>
      <c r="X9" s="8148"/>
      <c r="Y9" s="8326"/>
      <c r="AY9" s="1580"/>
      <c r="AZ9" s="1580"/>
    </row>
    <row r="10" spans="1:130" ht="16.350000000000001" customHeight="1" x14ac:dyDescent="0.25">
      <c r="A10" s="8464"/>
      <c r="B10" s="8464"/>
      <c r="C10" s="8442"/>
      <c r="D10" s="8467"/>
      <c r="E10" s="8152"/>
      <c r="F10" s="8325" t="s">
        <v>689</v>
      </c>
      <c r="G10" s="8326"/>
      <c r="H10" s="8325" t="s">
        <v>688</v>
      </c>
      <c r="I10" s="8326"/>
      <c r="J10" s="8325" t="s">
        <v>687</v>
      </c>
      <c r="K10" s="8326"/>
      <c r="L10" s="8325" t="s">
        <v>686</v>
      </c>
      <c r="M10" s="8326"/>
      <c r="N10" s="8325" t="s">
        <v>685</v>
      </c>
      <c r="O10" s="8326"/>
      <c r="P10" s="8325" t="s">
        <v>684</v>
      </c>
      <c r="Q10" s="8326"/>
      <c r="R10" s="8325" t="s">
        <v>683</v>
      </c>
      <c r="S10" s="8326"/>
      <c r="T10" s="8325" t="s">
        <v>842</v>
      </c>
      <c r="U10" s="8326"/>
      <c r="V10" s="8325" t="s">
        <v>841</v>
      </c>
      <c r="W10" s="8326"/>
      <c r="X10" s="8325" t="s">
        <v>1499</v>
      </c>
      <c r="Y10" s="8326"/>
      <c r="AY10" s="1580"/>
      <c r="AZ10" s="1580"/>
    </row>
    <row r="11" spans="1:130" ht="16.350000000000001" customHeight="1" x14ac:dyDescent="0.25">
      <c r="A11" s="8464"/>
      <c r="B11" s="8464"/>
      <c r="C11" s="715" t="s">
        <v>42</v>
      </c>
      <c r="D11" s="880" t="s">
        <v>17</v>
      </c>
      <c r="E11" s="2135" t="s">
        <v>18</v>
      </c>
      <c r="F11" s="2652" t="s">
        <v>17</v>
      </c>
      <c r="G11" s="2541" t="s">
        <v>18</v>
      </c>
      <c r="H11" s="2652" t="s">
        <v>17</v>
      </c>
      <c r="I11" s="2541" t="s">
        <v>18</v>
      </c>
      <c r="J11" s="2652" t="s">
        <v>17</v>
      </c>
      <c r="K11" s="2541" t="s">
        <v>18</v>
      </c>
      <c r="L11" s="2652" t="s">
        <v>17</v>
      </c>
      <c r="M11" s="2541" t="s">
        <v>18</v>
      </c>
      <c r="N11" s="2652" t="s">
        <v>17</v>
      </c>
      <c r="O11" s="2541" t="s">
        <v>18</v>
      </c>
      <c r="P11" s="2652" t="s">
        <v>17</v>
      </c>
      <c r="Q11" s="2541" t="s">
        <v>18</v>
      </c>
      <c r="R11" s="2652" t="s">
        <v>17</v>
      </c>
      <c r="S11" s="2541" t="s">
        <v>18</v>
      </c>
      <c r="T11" s="2652" t="s">
        <v>17</v>
      </c>
      <c r="U11" s="2541" t="s">
        <v>18</v>
      </c>
      <c r="V11" s="2652" t="s">
        <v>17</v>
      </c>
      <c r="W11" s="2541" t="s">
        <v>18</v>
      </c>
      <c r="X11" s="2652" t="s">
        <v>17</v>
      </c>
      <c r="Y11" s="2541" t="s">
        <v>18</v>
      </c>
      <c r="AY11" s="1580"/>
      <c r="AZ11" s="1580"/>
    </row>
    <row r="12" spans="1:130" ht="16.350000000000001" customHeight="1" x14ac:dyDescent="0.25">
      <c r="A12" s="8464" t="s">
        <v>1498</v>
      </c>
      <c r="B12" s="8464"/>
      <c r="C12" s="717">
        <f>SUM(D12+E12)</f>
        <v>0</v>
      </c>
      <c r="D12" s="934">
        <f t="shared" ref="D12:E14" si="0">SUM(F12+H12+J12+L12+N12+P12+R12+T12+V12+X12)</f>
        <v>0</v>
      </c>
      <c r="E12" s="716">
        <f t="shared" si="0"/>
        <v>0</v>
      </c>
      <c r="F12" s="2628"/>
      <c r="G12" s="2530"/>
      <c r="H12" s="2628"/>
      <c r="I12" s="2530"/>
      <c r="J12" s="2628"/>
      <c r="K12" s="2530"/>
      <c r="L12" s="2628"/>
      <c r="M12" s="2530"/>
      <c r="N12" s="2628"/>
      <c r="O12" s="2530"/>
      <c r="P12" s="2628"/>
      <c r="Q12" s="2530"/>
      <c r="R12" s="2628"/>
      <c r="S12" s="2530"/>
      <c r="T12" s="2628"/>
      <c r="U12" s="2530"/>
      <c r="V12" s="2628"/>
      <c r="W12" s="2530"/>
      <c r="X12" s="2628"/>
      <c r="Y12" s="2530"/>
      <c r="Z12" s="7345"/>
      <c r="AA12" s="1584"/>
      <c r="AB12" s="1584"/>
      <c r="AC12" s="1584"/>
      <c r="AD12" s="1584"/>
      <c r="AE12" s="1584"/>
      <c r="AF12" s="1584"/>
      <c r="AG12" s="1584"/>
      <c r="AH12" s="1584"/>
      <c r="AI12" s="1584"/>
      <c r="AY12" s="1580"/>
      <c r="AZ12" s="1580"/>
    </row>
    <row r="13" spans="1:130" ht="16.350000000000001" customHeight="1" x14ac:dyDescent="0.25">
      <c r="A13" s="8465" t="s">
        <v>1415</v>
      </c>
      <c r="B13" s="1790" t="s">
        <v>1451</v>
      </c>
      <c r="C13" s="1791">
        <f>SUM(D13+E13)</f>
        <v>0</v>
      </c>
      <c r="D13" s="1796">
        <f t="shared" si="0"/>
        <v>0</v>
      </c>
      <c r="E13" s="1792">
        <f t="shared" si="0"/>
        <v>0</v>
      </c>
      <c r="F13" s="2647"/>
      <c r="G13" s="2646"/>
      <c r="H13" s="2647"/>
      <c r="I13" s="2646"/>
      <c r="J13" s="2647"/>
      <c r="K13" s="2646"/>
      <c r="L13" s="2647"/>
      <c r="M13" s="2646"/>
      <c r="N13" s="2647"/>
      <c r="O13" s="2646"/>
      <c r="P13" s="2647"/>
      <c r="Q13" s="2646"/>
      <c r="R13" s="2647"/>
      <c r="S13" s="2646"/>
      <c r="T13" s="2647"/>
      <c r="U13" s="2646"/>
      <c r="V13" s="2647"/>
      <c r="W13" s="2646"/>
      <c r="X13" s="2647"/>
      <c r="Y13" s="2646"/>
      <c r="Z13" s="7345"/>
      <c r="AY13" s="1580"/>
      <c r="AZ13" s="1580"/>
      <c r="DD13" s="3306">
        <v>0</v>
      </c>
      <c r="DE13" s="3306">
        <v>0</v>
      </c>
      <c r="DF13" s="3306">
        <v>0</v>
      </c>
      <c r="DG13" s="3306">
        <v>0</v>
      </c>
      <c r="DH13" s="3306">
        <v>0</v>
      </c>
      <c r="DI13" s="3306">
        <v>0</v>
      </c>
      <c r="DJ13" s="3306">
        <v>0</v>
      </c>
      <c r="DK13" s="3306">
        <v>0</v>
      </c>
      <c r="DL13" s="3306">
        <v>0</v>
      </c>
      <c r="DM13" s="3306">
        <v>0</v>
      </c>
      <c r="DN13" s="3306">
        <v>0</v>
      </c>
      <c r="DO13" s="3306">
        <v>0</v>
      </c>
      <c r="DP13" s="3306">
        <v>0</v>
      </c>
      <c r="DQ13" s="3306">
        <v>0</v>
      </c>
      <c r="DR13" s="3306">
        <v>0</v>
      </c>
      <c r="DS13" s="3306">
        <v>0</v>
      </c>
      <c r="DT13" s="3306">
        <v>0</v>
      </c>
      <c r="DU13" s="3306">
        <v>0</v>
      </c>
      <c r="DV13" s="3306">
        <v>0</v>
      </c>
      <c r="DW13" s="3306">
        <v>0</v>
      </c>
      <c r="DX13" s="3306">
        <v>0</v>
      </c>
      <c r="DY13" s="3306">
        <v>0</v>
      </c>
    </row>
    <row r="14" spans="1:130" ht="16.350000000000001" customHeight="1" x14ac:dyDescent="0.25">
      <c r="A14" s="8466"/>
      <c r="B14" s="2182" t="s">
        <v>1497</v>
      </c>
      <c r="C14" s="1793">
        <f>SUM(D14+E14)</f>
        <v>0</v>
      </c>
      <c r="D14" s="1795">
        <f t="shared" si="0"/>
        <v>0</v>
      </c>
      <c r="E14" s="1794">
        <f t="shared" si="0"/>
        <v>0</v>
      </c>
      <c r="F14" s="2653"/>
      <c r="G14" s="2654"/>
      <c r="H14" s="2521"/>
      <c r="I14" s="2535"/>
      <c r="J14" s="2521"/>
      <c r="K14" s="2535"/>
      <c r="L14" s="2653"/>
      <c r="M14" s="2654"/>
      <c r="N14" s="2653"/>
      <c r="O14" s="2654"/>
      <c r="P14" s="2653"/>
      <c r="Q14" s="2654"/>
      <c r="R14" s="2653"/>
      <c r="S14" s="2654"/>
      <c r="T14" s="2653"/>
      <c r="U14" s="2655"/>
      <c r="V14" s="2653"/>
      <c r="W14" s="2655"/>
      <c r="X14" s="2653"/>
      <c r="Y14" s="2654"/>
      <c r="Z14" s="7345"/>
      <c r="AY14" s="1580"/>
      <c r="AZ14" s="1580"/>
    </row>
    <row r="15" spans="1:130" ht="31.35" customHeight="1" x14ac:dyDescent="0.25">
      <c r="A15" s="912" t="s">
        <v>1496</v>
      </c>
      <c r="B15" s="911"/>
      <c r="C15" s="911"/>
      <c r="D15" s="911"/>
      <c r="E15" s="911"/>
      <c r="F15" s="911"/>
      <c r="G15" s="911"/>
      <c r="H15" s="911"/>
      <c r="I15" s="911"/>
      <c r="J15" s="911"/>
      <c r="K15" s="911"/>
      <c r="L15" s="911"/>
      <c r="M15" s="911"/>
      <c r="N15" s="911"/>
      <c r="O15" s="911"/>
      <c r="P15" s="72"/>
      <c r="Q15" s="2149"/>
      <c r="R15" s="898"/>
      <c r="S15" s="898"/>
      <c r="T15" s="898"/>
      <c r="U15" s="898"/>
      <c r="V15" s="898"/>
      <c r="W15" s="796"/>
      <c r="X15" s="796"/>
      <c r="Y15" s="796"/>
      <c r="Z15" s="796"/>
      <c r="AA15" s="796"/>
      <c r="BA15" s="1187"/>
      <c r="BB15" s="1187"/>
      <c r="BC15" s="1187"/>
      <c r="BD15" s="1187"/>
      <c r="BE15" s="1187"/>
      <c r="BF15" s="1187"/>
      <c r="BG15" s="1187"/>
      <c r="BH15" s="1187"/>
      <c r="BI15" s="1187"/>
      <c r="BJ15" s="1187"/>
      <c r="BK15" s="1187"/>
      <c r="BL15" s="1187"/>
      <c r="BM15" s="1187"/>
      <c r="BN15" s="1187"/>
      <c r="BO15" s="1187"/>
      <c r="BP15" s="1187"/>
      <c r="BQ15" s="1187"/>
      <c r="BR15" s="1187"/>
      <c r="BS15" s="1187"/>
    </row>
    <row r="16" spans="1:130" ht="16.350000000000001" customHeight="1" x14ac:dyDescent="0.25">
      <c r="A16" s="8427" t="s">
        <v>41</v>
      </c>
      <c r="B16" s="8427" t="s">
        <v>1405</v>
      </c>
      <c r="C16" s="8439" t="s">
        <v>846</v>
      </c>
      <c r="D16" s="8440"/>
      <c r="E16" s="8441"/>
      <c r="F16" s="8475" t="s">
        <v>2</v>
      </c>
      <c r="G16" s="8476"/>
      <c r="H16" s="8476"/>
      <c r="I16" s="8476"/>
      <c r="J16" s="8476"/>
      <c r="K16" s="8476"/>
      <c r="L16" s="8476"/>
      <c r="M16" s="8476"/>
      <c r="N16" s="8476"/>
      <c r="O16" s="8476"/>
      <c r="P16" s="8476"/>
      <c r="Q16" s="8477"/>
      <c r="R16" s="8469" t="s">
        <v>360</v>
      </c>
      <c r="S16" s="8327" t="s">
        <v>359</v>
      </c>
      <c r="T16" s="796"/>
      <c r="U16" s="796"/>
      <c r="V16" s="796"/>
      <c r="W16" s="796"/>
      <c r="X16" s="796"/>
      <c r="Y16" s="796"/>
      <c r="Z16" s="796"/>
      <c r="AA16" s="796"/>
    </row>
    <row r="17" spans="1:114" ht="16.350000000000001" customHeight="1" x14ac:dyDescent="0.25">
      <c r="A17" s="8274"/>
      <c r="B17" s="8274"/>
      <c r="C17" s="8442"/>
      <c r="D17" s="8443"/>
      <c r="E17" s="8444"/>
      <c r="F17" s="8453" t="s">
        <v>843</v>
      </c>
      <c r="G17" s="8454"/>
      <c r="H17" s="8453" t="s">
        <v>1375</v>
      </c>
      <c r="I17" s="8454"/>
      <c r="J17" s="8453" t="s">
        <v>841</v>
      </c>
      <c r="K17" s="8454"/>
      <c r="L17" s="8453" t="s">
        <v>840</v>
      </c>
      <c r="M17" s="8454"/>
      <c r="N17" s="8453" t="s">
        <v>839</v>
      </c>
      <c r="O17" s="8454"/>
      <c r="P17" s="8453" t="s">
        <v>838</v>
      </c>
      <c r="Q17" s="8478"/>
      <c r="R17" s="8470"/>
      <c r="S17" s="8151"/>
      <c r="T17" s="796"/>
      <c r="U17" s="796"/>
      <c r="V17" s="796"/>
      <c r="W17" s="796"/>
      <c r="X17" s="796"/>
      <c r="Y17" s="796"/>
      <c r="Z17" s="796"/>
      <c r="AA17" s="796"/>
    </row>
    <row r="18" spans="1:114" ht="16.350000000000001" customHeight="1" x14ac:dyDescent="0.25">
      <c r="A18" s="8428"/>
      <c r="B18" s="8428"/>
      <c r="C18" s="881" t="s">
        <v>42</v>
      </c>
      <c r="D18" s="910" t="s">
        <v>17</v>
      </c>
      <c r="E18" s="2135" t="s">
        <v>18</v>
      </c>
      <c r="F18" s="1717" t="s">
        <v>17</v>
      </c>
      <c r="G18" s="2135" t="s">
        <v>18</v>
      </c>
      <c r="H18" s="1717" t="s">
        <v>17</v>
      </c>
      <c r="I18" s="2135" t="s">
        <v>18</v>
      </c>
      <c r="J18" s="1717" t="s">
        <v>17</v>
      </c>
      <c r="K18" s="2135" t="s">
        <v>18</v>
      </c>
      <c r="L18" s="1717" t="s">
        <v>17</v>
      </c>
      <c r="M18" s="2135" t="s">
        <v>18</v>
      </c>
      <c r="N18" s="1717" t="s">
        <v>17</v>
      </c>
      <c r="O18" s="2135" t="s">
        <v>18</v>
      </c>
      <c r="P18" s="1717" t="s">
        <v>17</v>
      </c>
      <c r="Q18" s="8092" t="s">
        <v>18</v>
      </c>
      <c r="R18" s="8471"/>
      <c r="S18" s="8328"/>
      <c r="T18" s="796"/>
      <c r="U18" s="796"/>
      <c r="V18" s="288"/>
      <c r="W18" s="288"/>
      <c r="X18" s="288"/>
      <c r="Y18" s="288"/>
      <c r="Z18" s="288"/>
      <c r="AA18" s="796"/>
    </row>
    <row r="19" spans="1:114" ht="16.350000000000001" customHeight="1" x14ac:dyDescent="0.25">
      <c r="A19" s="8453" t="s">
        <v>1495</v>
      </c>
      <c r="B19" s="8454"/>
      <c r="C19" s="926">
        <f>SUM(D19+E19)</f>
        <v>0</v>
      </c>
      <c r="D19" s="925">
        <f>SUM(F19+H19+J19+L19+N19+P19)</f>
        <v>0</v>
      </c>
      <c r="E19" s="718">
        <f>SUM(G19+I19+K19+M19+O19+Q19)</f>
        <v>0</v>
      </c>
      <c r="F19" s="706"/>
      <c r="G19" s="705"/>
      <c r="H19" s="706"/>
      <c r="I19" s="705"/>
      <c r="J19" s="706"/>
      <c r="K19" s="705"/>
      <c r="L19" s="706"/>
      <c r="M19" s="705"/>
      <c r="N19" s="706"/>
      <c r="O19" s="705"/>
      <c r="P19" s="706"/>
      <c r="Q19" s="8093"/>
      <c r="R19" s="8095"/>
      <c r="S19" s="8096"/>
      <c r="T19" s="7345"/>
      <c r="U19" s="1584"/>
      <c r="V19" s="1584"/>
      <c r="W19" s="1584"/>
      <c r="X19" s="1584"/>
      <c r="Y19" s="1584"/>
      <c r="Z19" s="1584"/>
      <c r="AA19" s="1584"/>
      <c r="AB19" s="1584"/>
      <c r="AC19" s="1584"/>
      <c r="CK19" s="1464">
        <v>0</v>
      </c>
      <c r="CL19" s="1464">
        <v>0</v>
      </c>
      <c r="CM19" s="1464">
        <v>0</v>
      </c>
      <c r="CN19" s="1464">
        <v>0</v>
      </c>
      <c r="DA19" s="3306">
        <v>0</v>
      </c>
      <c r="DB19" s="3306">
        <v>0</v>
      </c>
      <c r="DC19" s="3306">
        <v>0</v>
      </c>
      <c r="DD19" s="3306">
        <v>0</v>
      </c>
      <c r="DE19" s="3306">
        <v>0</v>
      </c>
      <c r="DF19" s="3306">
        <v>0</v>
      </c>
      <c r="DG19" s="3306">
        <v>0</v>
      </c>
      <c r="DH19" s="3306">
        <v>0</v>
      </c>
      <c r="DI19" s="3306">
        <v>0</v>
      </c>
      <c r="DJ19" s="3306">
        <v>0</v>
      </c>
    </row>
    <row r="20" spans="1:114" ht="16.350000000000001" customHeight="1" x14ac:dyDescent="0.25">
      <c r="A20" s="8427" t="s">
        <v>1494</v>
      </c>
      <c r="B20" s="1098" t="s">
        <v>1451</v>
      </c>
      <c r="C20" s="933">
        <f>SUM(D20+E20)</f>
        <v>0</v>
      </c>
      <c r="D20" s="686">
        <f t="shared" ref="D20:E35" si="1">SUM(F20+H20+J20+L20+N20+P20)</f>
        <v>0</v>
      </c>
      <c r="E20" s="546">
        <f t="shared" si="1"/>
        <v>0</v>
      </c>
      <c r="F20" s="906"/>
      <c r="G20" s="130"/>
      <c r="H20" s="906"/>
      <c r="I20" s="130"/>
      <c r="J20" s="906"/>
      <c r="K20" s="130"/>
      <c r="L20" s="906"/>
      <c r="M20" s="130"/>
      <c r="N20" s="913"/>
      <c r="O20" s="130"/>
      <c r="P20" s="913"/>
      <c r="Q20" s="8062"/>
      <c r="R20" s="8097"/>
      <c r="S20" s="2877"/>
      <c r="T20" s="7345"/>
      <c r="U20" s="796"/>
      <c r="V20" s="288"/>
      <c r="W20" s="288"/>
      <c r="X20" s="288"/>
      <c r="Y20" s="288"/>
      <c r="Z20" s="288"/>
      <c r="AA20" s="796"/>
    </row>
    <row r="21" spans="1:114" ht="16.350000000000001" customHeight="1" x14ac:dyDescent="0.25">
      <c r="A21" s="8274"/>
      <c r="B21" s="2141" t="s">
        <v>832</v>
      </c>
      <c r="C21" s="902">
        <f t="shared" ref="C21:C28" si="2">SUM(D21+E21)</f>
        <v>0</v>
      </c>
      <c r="D21" s="269">
        <f t="shared" si="1"/>
        <v>0</v>
      </c>
      <c r="E21" s="915">
        <f t="shared" si="1"/>
        <v>0</v>
      </c>
      <c r="F21" s="110"/>
      <c r="G21" s="122"/>
      <c r="H21" s="906"/>
      <c r="I21" s="130"/>
      <c r="J21" s="110"/>
      <c r="K21" s="122"/>
      <c r="L21" s="110"/>
      <c r="M21" s="122"/>
      <c r="N21" s="157"/>
      <c r="O21" s="122"/>
      <c r="P21" s="157"/>
      <c r="Q21" s="7235"/>
      <c r="R21" s="4958"/>
      <c r="S21" s="3121"/>
      <c r="T21" s="7345"/>
      <c r="U21" s="796"/>
      <c r="V21" s="288"/>
      <c r="W21" s="288"/>
      <c r="X21" s="288"/>
      <c r="Y21" s="288"/>
      <c r="Z21" s="288"/>
      <c r="AA21" s="796"/>
    </row>
    <row r="22" spans="1:114" ht="16.350000000000001" customHeight="1" x14ac:dyDescent="0.25">
      <c r="A22" s="8274"/>
      <c r="B22" s="2112" t="s">
        <v>649</v>
      </c>
      <c r="C22" s="251">
        <f t="shared" si="2"/>
        <v>0</v>
      </c>
      <c r="D22" s="617">
        <f t="shared" si="1"/>
        <v>0</v>
      </c>
      <c r="E22" s="158">
        <f t="shared" si="1"/>
        <v>0</v>
      </c>
      <c r="F22" s="110"/>
      <c r="G22" s="122"/>
      <c r="H22" s="906"/>
      <c r="I22" s="130"/>
      <c r="J22" s="110"/>
      <c r="K22" s="122"/>
      <c r="L22" s="110"/>
      <c r="M22" s="122"/>
      <c r="N22" s="157"/>
      <c r="O22" s="122"/>
      <c r="P22" s="157"/>
      <c r="Q22" s="7235"/>
      <c r="R22" s="4958"/>
      <c r="S22" s="3121"/>
      <c r="T22" s="7345"/>
      <c r="U22" s="796"/>
      <c r="V22" s="288"/>
      <c r="W22" s="288"/>
      <c r="X22" s="288"/>
      <c r="Y22" s="288"/>
      <c r="Z22" s="288"/>
      <c r="AA22" s="796"/>
    </row>
    <row r="23" spans="1:114" ht="16.350000000000001" customHeight="1" x14ac:dyDescent="0.25">
      <c r="A23" s="8428"/>
      <c r="B23" s="1349" t="s">
        <v>831</v>
      </c>
      <c r="C23" s="544">
        <f t="shared" si="2"/>
        <v>0</v>
      </c>
      <c r="D23" s="543">
        <f t="shared" si="1"/>
        <v>0</v>
      </c>
      <c r="E23" s="152">
        <f t="shared" si="1"/>
        <v>0</v>
      </c>
      <c r="F23" s="125"/>
      <c r="G23" s="101"/>
      <c r="H23" s="3248"/>
      <c r="I23" s="3127"/>
      <c r="J23" s="125"/>
      <c r="K23" s="101"/>
      <c r="L23" s="125"/>
      <c r="M23" s="101"/>
      <c r="N23" s="159"/>
      <c r="O23" s="101"/>
      <c r="P23" s="159"/>
      <c r="Q23" s="1898"/>
      <c r="R23" s="8098"/>
      <c r="S23" s="3249"/>
      <c r="T23" s="7345"/>
      <c r="U23" s="796"/>
      <c r="V23" s="796"/>
      <c r="W23" s="796"/>
      <c r="X23" s="288"/>
      <c r="Y23" s="288"/>
      <c r="Z23" s="288"/>
      <c r="AA23" s="288"/>
    </row>
    <row r="24" spans="1:114" ht="16.350000000000001" customHeight="1" x14ac:dyDescent="0.25">
      <c r="A24" s="8427" t="s">
        <v>1493</v>
      </c>
      <c r="B24" s="1098" t="s">
        <v>1492</v>
      </c>
      <c r="C24" s="933">
        <f t="shared" si="2"/>
        <v>0</v>
      </c>
      <c r="D24" s="686">
        <f t="shared" si="1"/>
        <v>0</v>
      </c>
      <c r="E24" s="546">
        <f t="shared" si="1"/>
        <v>0</v>
      </c>
      <c r="F24" s="691"/>
      <c r="G24" s="698"/>
      <c r="H24" s="906"/>
      <c r="I24" s="130"/>
      <c r="J24" s="691"/>
      <c r="K24" s="698"/>
      <c r="L24" s="691"/>
      <c r="M24" s="698"/>
      <c r="N24" s="697"/>
      <c r="O24" s="698"/>
      <c r="P24" s="697"/>
      <c r="Q24" s="7270"/>
      <c r="R24" s="7946"/>
      <c r="S24" s="7214"/>
      <c r="T24" s="7345"/>
      <c r="U24" s="796"/>
      <c r="V24" s="796"/>
      <c r="W24" s="796"/>
      <c r="X24" s="288"/>
      <c r="Y24" s="288"/>
      <c r="Z24" s="288"/>
      <c r="AA24" s="288"/>
    </row>
    <row r="25" spans="1:114" ht="16.350000000000001" customHeight="1" x14ac:dyDescent="0.25">
      <c r="A25" s="8274"/>
      <c r="B25" s="1586" t="s">
        <v>1491</v>
      </c>
      <c r="C25" s="902">
        <f t="shared" si="2"/>
        <v>0</v>
      </c>
      <c r="D25" s="269">
        <f t="shared" si="1"/>
        <v>0</v>
      </c>
      <c r="E25" s="915">
        <f t="shared" si="1"/>
        <v>0</v>
      </c>
      <c r="F25" s="906"/>
      <c r="G25" s="130"/>
      <c r="H25" s="906"/>
      <c r="I25" s="130"/>
      <c r="J25" s="906"/>
      <c r="K25" s="130"/>
      <c r="L25" s="906"/>
      <c r="M25" s="130"/>
      <c r="N25" s="913"/>
      <c r="O25" s="130"/>
      <c r="P25" s="913"/>
      <c r="Q25" s="8062"/>
      <c r="R25" s="8097"/>
      <c r="S25" s="2877"/>
      <c r="T25" s="7345"/>
      <c r="U25" s="796"/>
      <c r="V25" s="796"/>
      <c r="W25" s="796"/>
      <c r="X25" s="288"/>
      <c r="Y25" s="288"/>
      <c r="Z25" s="288"/>
      <c r="AA25" s="288"/>
    </row>
    <row r="26" spans="1:114" ht="16.350000000000001" customHeight="1" x14ac:dyDescent="0.25">
      <c r="A26" s="8274"/>
      <c r="B26" s="1586" t="s">
        <v>1490</v>
      </c>
      <c r="C26" s="902">
        <f t="shared" si="2"/>
        <v>0</v>
      </c>
      <c r="D26" s="269">
        <f t="shared" si="1"/>
        <v>0</v>
      </c>
      <c r="E26" s="915">
        <f t="shared" si="1"/>
        <v>0</v>
      </c>
      <c r="F26" s="906"/>
      <c r="G26" s="130"/>
      <c r="H26" s="906"/>
      <c r="I26" s="130"/>
      <c r="J26" s="906"/>
      <c r="K26" s="130"/>
      <c r="L26" s="906"/>
      <c r="M26" s="130"/>
      <c r="N26" s="913"/>
      <c r="O26" s="130"/>
      <c r="P26" s="913"/>
      <c r="Q26" s="8062"/>
      <c r="R26" s="8097"/>
      <c r="S26" s="2877"/>
      <c r="T26" s="7345"/>
      <c r="U26" s="1187"/>
      <c r="V26" s="796"/>
      <c r="W26" s="796"/>
      <c r="X26" s="288"/>
      <c r="Y26" s="288"/>
      <c r="Z26" s="288"/>
      <c r="AA26" s="288"/>
    </row>
    <row r="27" spans="1:114" ht="27" customHeight="1" x14ac:dyDescent="0.25">
      <c r="A27" s="8274"/>
      <c r="B27" s="1587" t="s">
        <v>1489</v>
      </c>
      <c r="C27" s="930">
        <f t="shared" si="2"/>
        <v>0</v>
      </c>
      <c r="D27" s="932">
        <f t="shared" si="1"/>
        <v>0</v>
      </c>
      <c r="E27" s="931">
        <f t="shared" si="1"/>
        <v>0</v>
      </c>
      <c r="F27" s="906"/>
      <c r="G27" s="130"/>
      <c r="H27" s="906"/>
      <c r="I27" s="130"/>
      <c r="J27" s="906"/>
      <c r="K27" s="130"/>
      <c r="L27" s="906"/>
      <c r="M27" s="130"/>
      <c r="N27" s="913"/>
      <c r="O27" s="130"/>
      <c r="P27" s="913"/>
      <c r="Q27" s="8062"/>
      <c r="R27" s="8097"/>
      <c r="S27" s="2877"/>
      <c r="T27" s="7345"/>
      <c r="U27" s="1187"/>
      <c r="V27" s="796"/>
      <c r="W27" s="796"/>
      <c r="X27" s="288"/>
      <c r="Y27" s="288"/>
      <c r="Z27" s="288"/>
      <c r="AA27" s="288"/>
    </row>
    <row r="28" spans="1:114" ht="24" customHeight="1" x14ac:dyDescent="0.25">
      <c r="A28" s="8274"/>
      <c r="B28" s="1587" t="s">
        <v>1488</v>
      </c>
      <c r="C28" s="930">
        <f t="shared" si="2"/>
        <v>0</v>
      </c>
      <c r="D28" s="932">
        <f t="shared" si="1"/>
        <v>0</v>
      </c>
      <c r="E28" s="931">
        <f t="shared" si="1"/>
        <v>0</v>
      </c>
      <c r="F28" s="906"/>
      <c r="G28" s="130"/>
      <c r="H28" s="906"/>
      <c r="I28" s="130"/>
      <c r="J28" s="906"/>
      <c r="K28" s="130"/>
      <c r="L28" s="906"/>
      <c r="M28" s="130"/>
      <c r="N28" s="913"/>
      <c r="O28" s="130"/>
      <c r="P28" s="913"/>
      <c r="Q28" s="8062"/>
      <c r="R28" s="8097"/>
      <c r="S28" s="2877"/>
      <c r="T28" s="7345"/>
      <c r="U28" s="1187"/>
      <c r="V28" s="796"/>
      <c r="W28" s="796"/>
      <c r="X28" s="288"/>
      <c r="Y28" s="288"/>
      <c r="Z28" s="288"/>
      <c r="AA28" s="288"/>
    </row>
    <row r="29" spans="1:114" ht="16.350000000000001" customHeight="1" x14ac:dyDescent="0.25">
      <c r="A29" s="8274"/>
      <c r="B29" s="1587" t="s">
        <v>1487</v>
      </c>
      <c r="C29" s="930">
        <f>SUM(D29:E29)</f>
        <v>0</v>
      </c>
      <c r="D29" s="932">
        <f t="shared" si="1"/>
        <v>0</v>
      </c>
      <c r="E29" s="931">
        <f t="shared" si="1"/>
        <v>0</v>
      </c>
      <c r="F29" s="906"/>
      <c r="G29" s="130"/>
      <c r="H29" s="906"/>
      <c r="I29" s="130"/>
      <c r="J29" s="906"/>
      <c r="K29" s="130"/>
      <c r="L29" s="906"/>
      <c r="M29" s="130"/>
      <c r="N29" s="913"/>
      <c r="O29" s="130"/>
      <c r="P29" s="913"/>
      <c r="Q29" s="8062"/>
      <c r="R29" s="8097"/>
      <c r="S29" s="2877"/>
      <c r="T29" s="7345"/>
      <c r="U29" s="1187"/>
      <c r="V29" s="796"/>
      <c r="W29" s="796"/>
      <c r="X29" s="288"/>
      <c r="Y29" s="288"/>
      <c r="Z29" s="288"/>
      <c r="AA29" s="288"/>
    </row>
    <row r="30" spans="1:114" ht="30.75" customHeight="1" x14ac:dyDescent="0.25">
      <c r="A30" s="8274"/>
      <c r="B30" s="1587" t="s">
        <v>2099</v>
      </c>
      <c r="C30" s="930">
        <f>SUM(D30:E30)</f>
        <v>0</v>
      </c>
      <c r="D30" s="269">
        <f t="shared" si="1"/>
        <v>0</v>
      </c>
      <c r="E30" s="915">
        <f t="shared" si="1"/>
        <v>0</v>
      </c>
      <c r="F30" s="906"/>
      <c r="G30" s="130"/>
      <c r="H30" s="906"/>
      <c r="I30" s="130"/>
      <c r="J30" s="906"/>
      <c r="K30" s="130"/>
      <c r="L30" s="906"/>
      <c r="M30" s="130"/>
      <c r="N30" s="913"/>
      <c r="O30" s="130"/>
      <c r="P30" s="913"/>
      <c r="Q30" s="8062"/>
      <c r="R30" s="8097"/>
      <c r="S30" s="2877"/>
      <c r="T30" s="7345"/>
      <c r="U30" s="1187"/>
      <c r="V30" s="796"/>
      <c r="W30" s="796"/>
      <c r="X30" s="288"/>
      <c r="Y30" s="288"/>
      <c r="Z30" s="288"/>
      <c r="AA30" s="288"/>
    </row>
    <row r="31" spans="1:114" ht="16.350000000000001" customHeight="1" x14ac:dyDescent="0.25">
      <c r="A31" s="8274"/>
      <c r="B31" s="1587" t="s">
        <v>2100</v>
      </c>
      <c r="C31" s="902">
        <f t="shared" ref="C31:C40" si="3">SUM(D31+E31)</f>
        <v>0</v>
      </c>
      <c r="D31" s="269">
        <f t="shared" si="1"/>
        <v>0</v>
      </c>
      <c r="E31" s="915">
        <f t="shared" si="1"/>
        <v>0</v>
      </c>
      <c r="F31" s="110"/>
      <c r="G31" s="122"/>
      <c r="H31" s="110"/>
      <c r="I31" s="122"/>
      <c r="J31" s="110"/>
      <c r="K31" s="122"/>
      <c r="L31" s="110"/>
      <c r="M31" s="122"/>
      <c r="N31" s="157"/>
      <c r="O31" s="122"/>
      <c r="P31" s="157"/>
      <c r="Q31" s="7235"/>
      <c r="R31" s="4958"/>
      <c r="S31" s="3121"/>
      <c r="T31" s="7345"/>
      <c r="U31" s="1187"/>
      <c r="V31" s="796"/>
      <c r="W31" s="796"/>
      <c r="X31" s="288"/>
      <c r="Y31" s="288"/>
      <c r="Z31" s="288"/>
      <c r="AA31" s="288"/>
    </row>
    <row r="32" spans="1:114" ht="16.350000000000001" customHeight="1" x14ac:dyDescent="0.25">
      <c r="A32" s="8274"/>
      <c r="B32" s="4" t="s">
        <v>2197</v>
      </c>
      <c r="C32" s="1682">
        <f>SUM(D32+E32)</f>
        <v>0</v>
      </c>
      <c r="D32" s="1683">
        <f t="shared" si="1"/>
        <v>0</v>
      </c>
      <c r="E32" s="1684">
        <f t="shared" si="1"/>
        <v>0</v>
      </c>
      <c r="F32" s="1660"/>
      <c r="G32" s="1658"/>
      <c r="H32" s="1660"/>
      <c r="I32" s="1658"/>
      <c r="J32" s="1660"/>
      <c r="K32" s="1658"/>
      <c r="L32" s="1660"/>
      <c r="M32" s="1658"/>
      <c r="N32" s="1681"/>
      <c r="O32" s="1658"/>
      <c r="P32" s="1681"/>
      <c r="Q32" s="3319"/>
      <c r="R32" s="3728"/>
      <c r="S32" s="2575"/>
      <c r="T32" s="7345"/>
      <c r="U32" s="1187"/>
      <c r="V32" s="796"/>
      <c r="W32" s="796"/>
      <c r="X32" s="288"/>
      <c r="Y32" s="288"/>
      <c r="Z32" s="288"/>
      <c r="AA32" s="288"/>
    </row>
    <row r="33" spans="1:105" ht="16.350000000000001" customHeight="1" x14ac:dyDescent="0.25">
      <c r="A33" s="8274"/>
      <c r="B33" s="2140" t="s">
        <v>2101</v>
      </c>
      <c r="C33" s="1682">
        <f>SUM(D33+E33)</f>
        <v>0</v>
      </c>
      <c r="D33" s="1683">
        <f t="shared" si="1"/>
        <v>0</v>
      </c>
      <c r="E33" s="1684">
        <f t="shared" si="1"/>
        <v>0</v>
      </c>
      <c r="F33" s="1660"/>
      <c r="G33" s="1658"/>
      <c r="H33" s="1660"/>
      <c r="I33" s="1658"/>
      <c r="J33" s="1660"/>
      <c r="K33" s="1658"/>
      <c r="L33" s="1660"/>
      <c r="M33" s="1658"/>
      <c r="N33" s="1681"/>
      <c r="O33" s="1658"/>
      <c r="P33" s="1681"/>
      <c r="Q33" s="3319"/>
      <c r="R33" s="3728"/>
      <c r="S33" s="2575"/>
      <c r="T33" s="7345"/>
      <c r="U33" s="1187"/>
      <c r="V33" s="796"/>
      <c r="W33" s="796"/>
      <c r="X33" s="288"/>
      <c r="Y33" s="288"/>
      <c r="Z33" s="288"/>
      <c r="AA33" s="288"/>
    </row>
    <row r="34" spans="1:105" ht="16.350000000000001" customHeight="1" x14ac:dyDescent="0.25">
      <c r="A34" s="8274"/>
      <c r="B34" s="2215" t="s">
        <v>2198</v>
      </c>
      <c r="C34" s="904">
        <f>SUM(D34+E34)</f>
        <v>0</v>
      </c>
      <c r="D34" s="907">
        <f t="shared" si="1"/>
        <v>0</v>
      </c>
      <c r="E34" s="1228">
        <f t="shared" si="1"/>
        <v>0</v>
      </c>
      <c r="F34" s="1660"/>
      <c r="G34" s="1658"/>
      <c r="H34" s="1660"/>
      <c r="I34" s="1658"/>
      <c r="J34" s="1660"/>
      <c r="K34" s="1658"/>
      <c r="L34" s="1660"/>
      <c r="M34" s="1658"/>
      <c r="N34" s="1681"/>
      <c r="O34" s="1658"/>
      <c r="P34" s="1681"/>
      <c r="Q34" s="3319"/>
      <c r="R34" s="3728"/>
      <c r="S34" s="2575"/>
      <c r="T34" s="7345"/>
      <c r="U34" s="1187"/>
      <c r="V34" s="796"/>
      <c r="W34" s="796"/>
      <c r="X34" s="288"/>
      <c r="Y34" s="288"/>
      <c r="Z34" s="288"/>
      <c r="AA34" s="288"/>
    </row>
    <row r="35" spans="1:105" ht="16.350000000000001" customHeight="1" thickBot="1" x14ac:dyDescent="0.3">
      <c r="A35" s="8274"/>
      <c r="B35" s="4" t="s">
        <v>2199</v>
      </c>
      <c r="C35" s="639">
        <f>SUM(D35+E35)</f>
        <v>0</v>
      </c>
      <c r="D35" s="679">
        <f t="shared" si="1"/>
        <v>0</v>
      </c>
      <c r="E35" s="160">
        <f t="shared" si="1"/>
        <v>0</v>
      </c>
      <c r="F35" s="137"/>
      <c r="G35" s="138"/>
      <c r="H35" s="137"/>
      <c r="I35" s="138"/>
      <c r="J35" s="137"/>
      <c r="K35" s="138"/>
      <c r="L35" s="137"/>
      <c r="M35" s="138"/>
      <c r="N35" s="161"/>
      <c r="O35" s="138"/>
      <c r="P35" s="161"/>
      <c r="Q35" s="3319"/>
      <c r="R35" s="3728"/>
      <c r="S35" s="2575"/>
      <c r="T35" s="7345"/>
      <c r="U35" s="1187"/>
      <c r="V35" s="796"/>
      <c r="W35" s="796"/>
      <c r="X35" s="288"/>
      <c r="Y35" s="288"/>
      <c r="Z35" s="288"/>
      <c r="AA35" s="288"/>
    </row>
    <row r="36" spans="1:105" ht="16.350000000000001" customHeight="1" thickTop="1" x14ac:dyDescent="0.25">
      <c r="A36" s="8394" t="s">
        <v>1486</v>
      </c>
      <c r="B36" s="842" t="s">
        <v>649</v>
      </c>
      <c r="C36" s="929">
        <f t="shared" si="3"/>
        <v>0</v>
      </c>
      <c r="D36" s="928">
        <f t="shared" ref="D36:E40" si="4">SUM(F36+H36+J36+L36+N36+P36)</f>
        <v>0</v>
      </c>
      <c r="E36" s="927">
        <f t="shared" si="4"/>
        <v>0</v>
      </c>
      <c r="F36" s="530"/>
      <c r="G36" s="568"/>
      <c r="H36" s="530"/>
      <c r="I36" s="568"/>
      <c r="J36" s="530"/>
      <c r="K36" s="568"/>
      <c r="L36" s="530"/>
      <c r="M36" s="568"/>
      <c r="N36" s="530"/>
      <c r="O36" s="568"/>
      <c r="P36" s="569"/>
      <c r="Q36" s="8094"/>
      <c r="R36" s="8099"/>
      <c r="S36" s="528"/>
      <c r="T36" s="7345"/>
      <c r="U36" s="796"/>
      <c r="V36" s="796"/>
      <c r="W36" s="796"/>
      <c r="X36" s="288"/>
      <c r="Y36" s="288"/>
      <c r="Z36" s="288"/>
      <c r="AA36" s="288"/>
    </row>
    <row r="37" spans="1:105" ht="16.350000000000001" customHeight="1" x14ac:dyDescent="0.25">
      <c r="A37" s="8166"/>
      <c r="B37" s="2119" t="s">
        <v>831</v>
      </c>
      <c r="C37" s="639">
        <f t="shared" si="3"/>
        <v>0</v>
      </c>
      <c r="D37" s="679">
        <f t="shared" si="4"/>
        <v>0</v>
      </c>
      <c r="E37" s="160">
        <f t="shared" si="4"/>
        <v>0</v>
      </c>
      <c r="F37" s="137"/>
      <c r="G37" s="138"/>
      <c r="H37" s="137"/>
      <c r="I37" s="138"/>
      <c r="J37" s="137"/>
      <c r="K37" s="138"/>
      <c r="L37" s="137"/>
      <c r="M37" s="138"/>
      <c r="N37" s="137"/>
      <c r="O37" s="138"/>
      <c r="P37" s="161"/>
      <c r="Q37" s="3319"/>
      <c r="R37" s="3728"/>
      <c r="S37" s="2575"/>
      <c r="T37" s="7345"/>
      <c r="U37" s="796"/>
      <c r="V37" s="796"/>
      <c r="W37" s="796"/>
      <c r="X37" s="288"/>
      <c r="Y37" s="288"/>
      <c r="Z37" s="288"/>
      <c r="AA37" s="288"/>
    </row>
    <row r="38" spans="1:105" ht="16.350000000000001" customHeight="1" x14ac:dyDescent="0.25">
      <c r="A38" s="8427" t="s">
        <v>1485</v>
      </c>
      <c r="B38" s="1588" t="s">
        <v>832</v>
      </c>
      <c r="C38" s="926">
        <f t="shared" si="3"/>
        <v>0</v>
      </c>
      <c r="D38" s="925">
        <f t="shared" si="4"/>
        <v>0</v>
      </c>
      <c r="E38" s="546">
        <f t="shared" si="4"/>
        <v>0</v>
      </c>
      <c r="F38" s="691"/>
      <c r="G38" s="698"/>
      <c r="H38" s="691"/>
      <c r="I38" s="698"/>
      <c r="J38" s="691"/>
      <c r="K38" s="698"/>
      <c r="L38" s="691"/>
      <c r="M38" s="698"/>
      <c r="N38" s="691"/>
      <c r="O38" s="698"/>
      <c r="P38" s="697"/>
      <c r="Q38" s="7270"/>
      <c r="R38" s="7946"/>
      <c r="S38" s="7214"/>
      <c r="T38" s="7345"/>
      <c r="U38" s="796"/>
      <c r="V38" s="796"/>
      <c r="W38" s="796"/>
      <c r="X38" s="288"/>
      <c r="Y38" s="288"/>
      <c r="Z38" s="288"/>
      <c r="AA38" s="288"/>
    </row>
    <row r="39" spans="1:105" ht="16.350000000000001" customHeight="1" x14ac:dyDescent="0.25">
      <c r="A39" s="8274"/>
      <c r="B39" s="2112" t="s">
        <v>649</v>
      </c>
      <c r="C39" s="251">
        <f t="shared" si="3"/>
        <v>0</v>
      </c>
      <c r="D39" s="617">
        <f t="shared" si="4"/>
        <v>0</v>
      </c>
      <c r="E39" s="158">
        <f t="shared" si="4"/>
        <v>0</v>
      </c>
      <c r="F39" s="110"/>
      <c r="G39" s="122"/>
      <c r="H39" s="110"/>
      <c r="I39" s="122"/>
      <c r="J39" s="110"/>
      <c r="K39" s="122"/>
      <c r="L39" s="110"/>
      <c r="M39" s="122"/>
      <c r="N39" s="110"/>
      <c r="O39" s="122"/>
      <c r="P39" s="157"/>
      <c r="Q39" s="7235"/>
      <c r="R39" s="4958"/>
      <c r="S39" s="3121"/>
      <c r="T39" s="7345"/>
      <c r="U39" s="796"/>
      <c r="V39" s="796"/>
      <c r="W39" s="796"/>
      <c r="X39" s="288"/>
      <c r="Y39" s="288"/>
      <c r="Z39" s="288"/>
      <c r="AA39" s="288"/>
    </row>
    <row r="40" spans="1:105" ht="16.350000000000001" customHeight="1" x14ac:dyDescent="0.25">
      <c r="A40" s="8428"/>
      <c r="B40" s="1349" t="s">
        <v>831</v>
      </c>
      <c r="C40" s="544">
        <f t="shared" si="3"/>
        <v>0</v>
      </c>
      <c r="D40" s="543">
        <f t="shared" si="4"/>
        <v>0</v>
      </c>
      <c r="E40" s="152">
        <f t="shared" si="4"/>
        <v>0</v>
      </c>
      <c r="F40" s="125"/>
      <c r="G40" s="101"/>
      <c r="H40" s="125"/>
      <c r="I40" s="101"/>
      <c r="J40" s="125"/>
      <c r="K40" s="101"/>
      <c r="L40" s="125"/>
      <c r="M40" s="101"/>
      <c r="N40" s="125"/>
      <c r="O40" s="101"/>
      <c r="P40" s="159"/>
      <c r="Q40" s="1898"/>
      <c r="R40" s="8098"/>
      <c r="S40" s="3249"/>
      <c r="T40" s="7345"/>
      <c r="U40" s="796"/>
      <c r="V40" s="796"/>
      <c r="W40" s="796"/>
      <c r="X40" s="796"/>
      <c r="Y40" s="796"/>
      <c r="Z40" s="796"/>
      <c r="AA40" s="796"/>
    </row>
    <row r="41" spans="1:105" ht="31.35" customHeight="1" x14ac:dyDescent="0.25">
      <c r="A41" s="924" t="s">
        <v>1484</v>
      </c>
      <c r="B41" s="924"/>
      <c r="C41" s="924"/>
      <c r="D41" s="924"/>
      <c r="E41" s="924"/>
      <c r="F41" s="924"/>
      <c r="G41" s="924"/>
      <c r="H41" s="924"/>
      <c r="I41" s="924"/>
      <c r="J41" s="924"/>
      <c r="K41" s="924"/>
      <c r="L41" s="924"/>
      <c r="M41" s="924"/>
      <c r="N41" s="924"/>
      <c r="O41" s="924"/>
      <c r="P41" s="924"/>
      <c r="Q41" s="3081"/>
      <c r="R41" s="796"/>
      <c r="S41" s="796"/>
      <c r="T41" s="796"/>
      <c r="U41" s="796"/>
      <c r="V41" s="796"/>
      <c r="W41" s="796"/>
      <c r="X41" s="796"/>
      <c r="Y41" s="796"/>
      <c r="Z41" s="796"/>
      <c r="AA41" s="796"/>
      <c r="BA41" s="1187"/>
      <c r="BB41" s="1187"/>
      <c r="BC41" s="1187"/>
      <c r="BD41" s="1187"/>
      <c r="BE41" s="1187"/>
      <c r="BF41" s="1187"/>
      <c r="BG41" s="1187"/>
      <c r="BH41" s="1187"/>
      <c r="BI41" s="1187"/>
      <c r="BJ41" s="1187"/>
      <c r="BK41" s="1187"/>
      <c r="BL41" s="1187"/>
      <c r="BM41" s="1187"/>
      <c r="BN41" s="1187"/>
      <c r="BO41" s="1187"/>
      <c r="BP41" s="1187"/>
      <c r="BQ41" s="1187"/>
      <c r="BR41" s="1187"/>
      <c r="BS41" s="1187"/>
    </row>
    <row r="42" spans="1:105" ht="16.350000000000001" customHeight="1" x14ac:dyDescent="0.25">
      <c r="A42" s="8273" t="s">
        <v>1483</v>
      </c>
      <c r="B42" s="8439" t="s">
        <v>846</v>
      </c>
      <c r="C42" s="8440"/>
      <c r="D42" s="8441"/>
      <c r="E42" s="8418" t="s">
        <v>2</v>
      </c>
      <c r="F42" s="8419"/>
      <c r="G42" s="8419"/>
      <c r="H42" s="8419"/>
      <c r="I42" s="8419"/>
      <c r="J42" s="8419"/>
      <c r="K42" s="8419"/>
      <c r="L42" s="8419"/>
      <c r="M42" s="8419"/>
      <c r="N42" s="8419"/>
      <c r="O42" s="8419"/>
      <c r="P42" s="8420"/>
      <c r="Q42" s="796"/>
      <c r="R42" s="796"/>
      <c r="S42" s="796"/>
      <c r="T42" s="796"/>
      <c r="U42" s="796"/>
      <c r="V42" s="796"/>
      <c r="W42" s="796"/>
      <c r="X42" s="796"/>
      <c r="Y42" s="1187"/>
      <c r="AX42" s="1580"/>
      <c r="AY42" s="1580"/>
      <c r="AZ42" s="1580"/>
    </row>
    <row r="43" spans="1:105" ht="16.350000000000001" customHeight="1" x14ac:dyDescent="0.25">
      <c r="A43" s="8460"/>
      <c r="B43" s="8442"/>
      <c r="C43" s="8443"/>
      <c r="D43" s="8444"/>
      <c r="E43" s="8323" t="s">
        <v>843</v>
      </c>
      <c r="F43" s="8324"/>
      <c r="G43" s="8323" t="s">
        <v>1375</v>
      </c>
      <c r="H43" s="8324"/>
      <c r="I43" s="8323" t="s">
        <v>841</v>
      </c>
      <c r="J43" s="8324"/>
      <c r="K43" s="8323" t="s">
        <v>840</v>
      </c>
      <c r="L43" s="8324"/>
      <c r="M43" s="8323" t="s">
        <v>839</v>
      </c>
      <c r="N43" s="8324"/>
      <c r="O43" s="8323" t="s">
        <v>838</v>
      </c>
      <c r="P43" s="8324"/>
      <c r="Q43" s="796"/>
      <c r="R43" s="796"/>
      <c r="S43" s="796"/>
      <c r="T43" s="796"/>
      <c r="U43" s="796"/>
      <c r="V43" s="796"/>
      <c r="W43" s="796"/>
      <c r="X43" s="796"/>
      <c r="Y43" s="1187"/>
      <c r="AX43" s="1580"/>
      <c r="AY43" s="1580"/>
      <c r="AZ43" s="1580"/>
    </row>
    <row r="44" spans="1:105" ht="16.350000000000001" customHeight="1" x14ac:dyDescent="0.25">
      <c r="A44" s="8461"/>
      <c r="B44" s="881" t="s">
        <v>42</v>
      </c>
      <c r="C44" s="910" t="s">
        <v>17</v>
      </c>
      <c r="D44" s="2143" t="s">
        <v>18</v>
      </c>
      <c r="E44" s="2656" t="s">
        <v>17</v>
      </c>
      <c r="F44" s="2164" t="s">
        <v>18</v>
      </c>
      <c r="G44" s="2656" t="s">
        <v>17</v>
      </c>
      <c r="H44" s="2164" t="s">
        <v>18</v>
      </c>
      <c r="I44" s="2656" t="s">
        <v>17</v>
      </c>
      <c r="J44" s="2164" t="s">
        <v>18</v>
      </c>
      <c r="K44" s="2656" t="s">
        <v>17</v>
      </c>
      <c r="L44" s="2164" t="s">
        <v>18</v>
      </c>
      <c r="M44" s="2656" t="s">
        <v>17</v>
      </c>
      <c r="N44" s="2164" t="s">
        <v>18</v>
      </c>
      <c r="O44" s="2656" t="s">
        <v>17</v>
      </c>
      <c r="P44" s="2164" t="s">
        <v>18</v>
      </c>
      <c r="Q44" s="796"/>
      <c r="R44" s="796"/>
      <c r="S44" s="796"/>
      <c r="T44" s="796"/>
      <c r="U44" s="796"/>
      <c r="V44" s="796"/>
      <c r="W44" s="796"/>
      <c r="X44" s="796"/>
      <c r="Y44" s="1187"/>
      <c r="AX44" s="1580"/>
      <c r="AY44" s="1580"/>
      <c r="AZ44" s="1580"/>
    </row>
    <row r="45" spans="1:105" ht="16.350000000000001" customHeight="1" x14ac:dyDescent="0.25">
      <c r="A45" s="2147" t="s">
        <v>832</v>
      </c>
      <c r="B45" s="923">
        <f>SUM(C45+D45)</f>
        <v>0</v>
      </c>
      <c r="C45" s="922">
        <f>SUM(E45+G45+I45+K45+M45+O45)</f>
        <v>0</v>
      </c>
      <c r="D45" s="542">
        <f>SUM(F45+H45+J45+L45+N45+P45)</f>
        <v>0</v>
      </c>
      <c r="E45" s="2647"/>
      <c r="F45" s="2646"/>
      <c r="G45" s="2647"/>
      <c r="H45" s="2646"/>
      <c r="I45" s="2647"/>
      <c r="J45" s="2102"/>
      <c r="K45" s="2647"/>
      <c r="L45" s="2102"/>
      <c r="M45" s="2573"/>
      <c r="N45" s="2102"/>
      <c r="O45" s="2573"/>
      <c r="P45" s="2102"/>
      <c r="Q45" s="7345" t="str">
        <f>CA45</f>
        <v/>
      </c>
      <c r="R45" s="1584"/>
      <c r="S45" s="1584"/>
      <c r="T45" s="1584"/>
      <c r="U45" s="1584"/>
      <c r="V45" s="1584"/>
      <c r="W45" s="1584"/>
      <c r="X45" s="1584"/>
      <c r="Y45" s="1584"/>
      <c r="Z45" s="1584"/>
      <c r="AX45" s="1580"/>
      <c r="AY45" s="1580"/>
      <c r="AZ45" s="1580"/>
      <c r="CA45" s="1464" t="str">
        <f>IF(B45&lt;'A05'!C90,"* Niños derivados deben ser mayores o iguales al ingreso de niños(as) Normal con Rezago a salas de estimulación REM A05 sección F. ","")</f>
        <v/>
      </c>
      <c r="DA45" s="3306">
        <f>IF(B45&lt;'A05'!C90,1,0)</f>
        <v>0</v>
      </c>
    </row>
    <row r="46" spans="1:105" ht="16.350000000000001" customHeight="1" x14ac:dyDescent="0.25">
      <c r="A46" s="2148" t="s">
        <v>649</v>
      </c>
      <c r="B46" s="921">
        <f>SUM(C46+D46)</f>
        <v>0</v>
      </c>
      <c r="C46" s="270">
        <f t="shared" ref="C46:D48" si="5">SUM(E46+G46+I46+K46+M46+O46)</f>
        <v>0</v>
      </c>
      <c r="D46" s="920">
        <f t="shared" si="5"/>
        <v>0</v>
      </c>
      <c r="E46" s="2548"/>
      <c r="F46" s="2475"/>
      <c r="G46" s="2518"/>
      <c r="H46" s="2475"/>
      <c r="I46" s="2518"/>
      <c r="J46" s="2506"/>
      <c r="K46" s="2518"/>
      <c r="L46" s="2506"/>
      <c r="M46" s="2495"/>
      <c r="N46" s="2506"/>
      <c r="O46" s="2495"/>
      <c r="P46" s="2506"/>
      <c r="Q46" s="7345"/>
      <c r="R46" s="1584"/>
      <c r="S46" s="1584"/>
      <c r="T46" s="1584"/>
      <c r="U46" s="1584"/>
      <c r="V46" s="1584"/>
      <c r="W46" s="1584"/>
      <c r="X46" s="1584"/>
      <c r="Y46" s="1584"/>
      <c r="Z46" s="1584"/>
      <c r="AX46" s="1580"/>
      <c r="AY46" s="1580"/>
      <c r="AZ46" s="1580"/>
      <c r="CA46" s="1464" t="str">
        <f>IF(B46&lt;'A05'!C91,"* Niños derivados deben ser mayores o iguales al ingreso de niños(as) Normal con Rezago a salas de estimulación REM A05 sección F. ","")</f>
        <v/>
      </c>
      <c r="DA46" s="3306">
        <f>IF(B46&lt;'A05'!C91,1,0)</f>
        <v>0</v>
      </c>
    </row>
    <row r="47" spans="1:105" ht="16.350000000000001" customHeight="1" x14ac:dyDescent="0.25">
      <c r="A47" s="3016" t="s">
        <v>831</v>
      </c>
      <c r="B47" s="861">
        <f>SUM(C47+D47)</f>
        <v>0</v>
      </c>
      <c r="C47" s="919">
        <f t="shared" si="5"/>
        <v>0</v>
      </c>
      <c r="D47" s="147">
        <f t="shared" si="5"/>
        <v>0</v>
      </c>
      <c r="E47" s="2574"/>
      <c r="F47" s="2575"/>
      <c r="G47" s="2521"/>
      <c r="H47" s="2535"/>
      <c r="I47" s="2521"/>
      <c r="J47" s="2552"/>
      <c r="K47" s="2521"/>
      <c r="L47" s="2552"/>
      <c r="M47" s="2524"/>
      <c r="N47" s="2552"/>
      <c r="O47" s="2524"/>
      <c r="P47" s="2552"/>
      <c r="Q47" s="7345"/>
      <c r="R47" s="1584"/>
      <c r="S47" s="1584"/>
      <c r="T47" s="1584"/>
      <c r="U47" s="1584"/>
      <c r="V47" s="1584"/>
      <c r="W47" s="1584"/>
      <c r="X47" s="1584"/>
      <c r="Y47" s="1584"/>
      <c r="Z47" s="1584"/>
      <c r="AX47" s="1580"/>
      <c r="AY47" s="1580"/>
      <c r="AZ47" s="1580"/>
      <c r="CA47" s="1464" t="str">
        <f>IF(B47&lt;'A05'!C92,"* Niños derivados deben ser mayores o iguales al ingreso de niños(as) Normal con Rezago a salas de estimulación REM A05 sección F. ","")</f>
        <v/>
      </c>
      <c r="DA47" s="3306">
        <f>IF(B47&lt;'A05'!C92,1,0)</f>
        <v>0</v>
      </c>
    </row>
    <row r="48" spans="1:105" ht="16.350000000000001" customHeight="1" x14ac:dyDescent="0.25">
      <c r="A48" s="3035" t="s">
        <v>830</v>
      </c>
      <c r="B48" s="918">
        <f>SUM(C48:D48)</f>
        <v>0</v>
      </c>
      <c r="C48" s="917">
        <f t="shared" si="5"/>
        <v>0</v>
      </c>
      <c r="D48" s="713">
        <f t="shared" si="5"/>
        <v>0</v>
      </c>
      <c r="E48" s="2657"/>
      <c r="F48" s="2658"/>
      <c r="G48" s="2657"/>
      <c r="H48" s="2658"/>
      <c r="I48" s="2657"/>
      <c r="J48" s="2659"/>
      <c r="K48" s="2657"/>
      <c r="L48" s="2659"/>
      <c r="M48" s="2660"/>
      <c r="N48" s="2659"/>
      <c r="O48" s="2660"/>
      <c r="P48" s="2659"/>
      <c r="Q48" s="7345"/>
      <c r="R48" s="1584"/>
      <c r="S48" s="1584"/>
      <c r="T48" s="1584"/>
      <c r="U48" s="1584"/>
      <c r="V48" s="1584"/>
      <c r="W48" s="1584"/>
      <c r="X48" s="1584"/>
      <c r="Y48" s="1584"/>
      <c r="Z48" s="1584"/>
      <c r="AX48" s="1580"/>
      <c r="AY48" s="1580"/>
      <c r="AZ48" s="1580"/>
      <c r="CA48" s="1464" t="str">
        <f>IF(B48&lt;'A05'!C93,"* Niños derivados deben ser mayores o iguales al ingreso de niños(as) Normal con Rezago a salas de estimulación REM A05 sección F. ","")</f>
        <v/>
      </c>
      <c r="DA48" s="3306">
        <f>IF(B48&lt;'A05'!C93,1,0)</f>
        <v>0</v>
      </c>
    </row>
    <row r="49" spans="1:108" ht="31.35" customHeight="1" x14ac:dyDescent="0.25">
      <c r="A49" s="912" t="s">
        <v>1482</v>
      </c>
      <c r="B49" s="911"/>
      <c r="C49" s="911"/>
      <c r="D49" s="911"/>
      <c r="E49" s="911"/>
      <c r="F49" s="911"/>
      <c r="G49" s="911"/>
      <c r="H49" s="911"/>
      <c r="I49" s="3080"/>
      <c r="J49" s="288"/>
      <c r="K49" s="288"/>
      <c r="L49" s="288"/>
      <c r="M49" s="288"/>
      <c r="N49" s="288"/>
      <c r="O49" s="288"/>
      <c r="P49" s="288"/>
      <c r="Q49" s="288"/>
      <c r="R49" s="288"/>
      <c r="S49" s="288"/>
      <c r="T49" s="288"/>
      <c r="U49" s="288"/>
      <c r="V49" s="288"/>
      <c r="W49" s="288"/>
      <c r="X49" s="288"/>
      <c r="Y49" s="288"/>
      <c r="Z49" s="288"/>
      <c r="AA49" s="288"/>
      <c r="BA49" s="1187"/>
      <c r="BB49" s="1187"/>
      <c r="BC49" s="1187"/>
      <c r="BD49" s="1187"/>
      <c r="BE49" s="1187"/>
      <c r="BF49" s="1187"/>
      <c r="BG49" s="1187"/>
      <c r="BH49" s="1187"/>
      <c r="BI49" s="1187"/>
      <c r="BJ49" s="1187"/>
      <c r="BK49" s="1187"/>
      <c r="BL49" s="1187"/>
      <c r="BM49" s="1187"/>
      <c r="BN49" s="1187"/>
      <c r="BO49" s="1187"/>
      <c r="BP49" s="1187"/>
      <c r="BQ49" s="1187"/>
      <c r="BR49" s="1187"/>
      <c r="BS49" s="1187"/>
    </row>
    <row r="50" spans="1:108" ht="16.350000000000001" customHeight="1" x14ac:dyDescent="0.25">
      <c r="A50" s="8268" t="s">
        <v>1415</v>
      </c>
      <c r="B50" s="8439" t="s">
        <v>805</v>
      </c>
      <c r="C50" s="8440"/>
      <c r="D50" s="8441"/>
      <c r="E50" s="8472" t="s">
        <v>2</v>
      </c>
      <c r="F50" s="8472"/>
      <c r="G50" s="8472"/>
      <c r="H50" s="8472"/>
      <c r="I50" s="288"/>
      <c r="J50" s="288"/>
      <c r="K50" s="288"/>
      <c r="L50" s="288"/>
      <c r="M50" s="288"/>
      <c r="N50" s="288"/>
      <c r="O50" s="288"/>
      <c r="P50" s="288"/>
      <c r="Q50" s="288"/>
      <c r="R50" s="288"/>
      <c r="S50" s="288"/>
      <c r="T50" s="288"/>
      <c r="U50" s="288"/>
      <c r="V50" s="288"/>
      <c r="W50" s="288"/>
      <c r="X50" s="288"/>
      <c r="Y50" s="1187"/>
      <c r="AX50" s="1580"/>
      <c r="AY50" s="1580"/>
      <c r="AZ50" s="1580"/>
    </row>
    <row r="51" spans="1:108" ht="16.350000000000001" customHeight="1" x14ac:dyDescent="0.25">
      <c r="A51" s="8462"/>
      <c r="B51" s="8442"/>
      <c r="C51" s="8443"/>
      <c r="D51" s="8444"/>
      <c r="E51" s="8323" t="s">
        <v>688</v>
      </c>
      <c r="F51" s="8324"/>
      <c r="G51" s="8323" t="s">
        <v>687</v>
      </c>
      <c r="H51" s="8324"/>
      <c r="I51" s="288"/>
      <c r="J51" s="288"/>
      <c r="K51" s="288"/>
      <c r="L51" s="288"/>
      <c r="M51" s="288"/>
      <c r="N51" s="288"/>
      <c r="O51" s="288"/>
      <c r="P51" s="288"/>
      <c r="Q51" s="288"/>
      <c r="R51" s="288"/>
      <c r="S51" s="288"/>
      <c r="T51" s="288"/>
      <c r="U51" s="288"/>
      <c r="V51" s="288"/>
      <c r="W51" s="288"/>
      <c r="X51" s="288"/>
      <c r="Y51" s="1187"/>
      <c r="AX51" s="1580"/>
      <c r="AY51" s="1580"/>
      <c r="AZ51" s="1580"/>
    </row>
    <row r="52" spans="1:108" ht="16.350000000000001" customHeight="1" x14ac:dyDescent="0.25">
      <c r="A52" s="8463"/>
      <c r="B52" s="881" t="s">
        <v>42</v>
      </c>
      <c r="C52" s="910" t="s">
        <v>17</v>
      </c>
      <c r="D52" s="2143" t="s">
        <v>18</v>
      </c>
      <c r="E52" s="2656" t="s">
        <v>17</v>
      </c>
      <c r="F52" s="2661" t="s">
        <v>18</v>
      </c>
      <c r="G52" s="2656" t="s">
        <v>17</v>
      </c>
      <c r="H52" s="2661" t="s">
        <v>18</v>
      </c>
      <c r="I52" s="288"/>
      <c r="J52" s="288"/>
      <c r="K52" s="288"/>
      <c r="L52" s="288"/>
      <c r="M52" s="288"/>
      <c r="N52" s="288"/>
      <c r="O52" s="288"/>
      <c r="P52" s="288"/>
      <c r="Q52" s="288"/>
      <c r="R52" s="288"/>
      <c r="S52" s="288"/>
      <c r="T52" s="288"/>
      <c r="U52" s="288"/>
      <c r="V52" s="288"/>
      <c r="W52" s="288"/>
      <c r="X52" s="288"/>
      <c r="Y52" s="1187"/>
      <c r="AX52" s="1580"/>
      <c r="AY52" s="1580"/>
      <c r="AZ52" s="1580"/>
    </row>
    <row r="53" spans="1:108" ht="25.5" customHeight="1" x14ac:dyDescent="0.25">
      <c r="A53" s="3035" t="s">
        <v>1481</v>
      </c>
      <c r="B53" s="909">
        <f>SUM(C53+D53)</f>
        <v>0</v>
      </c>
      <c r="C53" s="908">
        <f>SUM(E53+G53)</f>
        <v>0</v>
      </c>
      <c r="D53" s="718">
        <f>SUM(F53+H53)</f>
        <v>0</v>
      </c>
      <c r="E53" s="2662">
        <f>SUM(E54:E56)</f>
        <v>0</v>
      </c>
      <c r="F53" s="2663">
        <f>SUM(F54:F56)</f>
        <v>0</v>
      </c>
      <c r="G53" s="2664">
        <f>SUM(G54:G56)</f>
        <v>0</v>
      </c>
      <c r="H53" s="2665">
        <f>SUM(H54:H56)</f>
        <v>0</v>
      </c>
      <c r="I53" s="288"/>
      <c r="J53" s="288"/>
      <c r="K53" s="288"/>
      <c r="L53" s="288"/>
      <c r="M53" s="288"/>
      <c r="N53" s="288"/>
      <c r="O53" s="288"/>
      <c r="P53" s="288"/>
      <c r="Q53" s="288"/>
      <c r="R53" s="288"/>
      <c r="S53" s="288"/>
      <c r="T53" s="288"/>
      <c r="U53" s="288"/>
      <c r="V53" s="288"/>
      <c r="W53" s="288"/>
      <c r="X53" s="288"/>
      <c r="Y53" s="1187"/>
      <c r="AX53" s="1580"/>
      <c r="AY53" s="1580"/>
      <c r="AZ53" s="1580"/>
    </row>
    <row r="54" spans="1:108" ht="16.350000000000001" customHeight="1" x14ac:dyDescent="0.25">
      <c r="A54" s="3079" t="s">
        <v>1451</v>
      </c>
      <c r="B54" s="916">
        <f>SUM(C54+D54)</f>
        <v>0</v>
      </c>
      <c r="C54" s="271">
        <f t="shared" ref="C54:D56" si="6">SUM(E54+G54)</f>
        <v>0</v>
      </c>
      <c r="D54" s="915">
        <f t="shared" si="6"/>
        <v>0</v>
      </c>
      <c r="E54" s="2518"/>
      <c r="F54" s="2475"/>
      <c r="G54" s="2495"/>
      <c r="H54" s="2506"/>
      <c r="I54" s="288"/>
      <c r="J54" s="288"/>
      <c r="K54" s="288"/>
      <c r="L54" s="288"/>
      <c r="M54" s="288"/>
      <c r="N54" s="288"/>
      <c r="O54" s="288"/>
      <c r="P54" s="288"/>
      <c r="Q54" s="288"/>
      <c r="R54" s="288"/>
      <c r="S54" s="288"/>
      <c r="T54" s="288"/>
      <c r="U54" s="288"/>
      <c r="V54" s="288"/>
      <c r="W54" s="288"/>
      <c r="X54" s="288"/>
      <c r="Y54" s="1187"/>
      <c r="AX54" s="1580"/>
      <c r="AY54" s="1580"/>
      <c r="AZ54" s="1580"/>
    </row>
    <row r="55" spans="1:108" ht="16.350000000000001" customHeight="1" x14ac:dyDescent="0.25">
      <c r="A55" s="2148" t="s">
        <v>1480</v>
      </c>
      <c r="B55" s="251">
        <f>SUM(C55+D55)</f>
        <v>0</v>
      </c>
      <c r="C55" s="617">
        <f>SUM(E55+G55)</f>
        <v>0</v>
      </c>
      <c r="D55" s="158">
        <f>SUM(F55+H55)</f>
        <v>0</v>
      </c>
      <c r="E55" s="2548"/>
      <c r="F55" s="2555"/>
      <c r="G55" s="2593"/>
      <c r="H55" s="2551"/>
      <c r="I55" s="288"/>
      <c r="J55" s="288"/>
      <c r="K55" s="288"/>
      <c r="L55" s="288"/>
      <c r="M55" s="288"/>
      <c r="N55" s="288"/>
      <c r="O55" s="288"/>
      <c r="P55" s="288"/>
      <c r="Q55" s="288"/>
      <c r="R55" s="288"/>
      <c r="S55" s="288"/>
      <c r="T55" s="288"/>
      <c r="U55" s="288"/>
      <c r="V55" s="288"/>
      <c r="W55" s="288"/>
      <c r="X55" s="288"/>
      <c r="Y55" s="1187"/>
      <c r="AX55" s="1580"/>
      <c r="AY55" s="1580"/>
      <c r="AZ55" s="1580"/>
    </row>
    <row r="56" spans="1:108" ht="16.350000000000001" customHeight="1" x14ac:dyDescent="0.25">
      <c r="A56" s="3016" t="s">
        <v>1479</v>
      </c>
      <c r="B56" s="544">
        <f>SUM(C56+D56)</f>
        <v>0</v>
      </c>
      <c r="C56" s="543">
        <f t="shared" si="6"/>
        <v>0</v>
      </c>
      <c r="D56" s="152">
        <f t="shared" si="6"/>
        <v>0</v>
      </c>
      <c r="E56" s="2521"/>
      <c r="F56" s="2535"/>
      <c r="G56" s="2524"/>
      <c r="H56" s="2552"/>
      <c r="I56" s="288"/>
      <c r="J56" s="288"/>
      <c r="K56" s="288"/>
      <c r="L56" s="288"/>
      <c r="M56" s="288"/>
      <c r="N56" s="288"/>
      <c r="O56" s="288"/>
      <c r="P56" s="288"/>
      <c r="Q56" s="288"/>
      <c r="R56" s="288"/>
      <c r="S56" s="288"/>
      <c r="T56" s="288"/>
      <c r="U56" s="288"/>
      <c r="V56" s="288"/>
      <c r="W56" s="288"/>
      <c r="X56" s="288"/>
      <c r="Y56" s="1187"/>
      <c r="AX56" s="1580"/>
      <c r="AY56" s="1580"/>
      <c r="AZ56" s="1580"/>
    </row>
    <row r="57" spans="1:108" ht="31.35" customHeight="1" x14ac:dyDescent="0.25">
      <c r="A57" s="912" t="s">
        <v>2625</v>
      </c>
      <c r="B57" s="911"/>
      <c r="C57" s="911"/>
      <c r="D57" s="911"/>
      <c r="E57" s="911"/>
      <c r="F57" s="911"/>
      <c r="G57" s="911"/>
      <c r="H57" s="911"/>
      <c r="I57" s="911"/>
      <c r="J57" s="72"/>
      <c r="K57" s="72"/>
      <c r="L57" s="165"/>
      <c r="M57" s="288"/>
      <c r="N57" s="288"/>
      <c r="O57" s="288"/>
      <c r="P57" s="288"/>
      <c r="Q57" s="288"/>
      <c r="R57" s="288"/>
      <c r="S57" s="288"/>
      <c r="T57" s="288"/>
      <c r="U57" s="288"/>
      <c r="V57" s="288"/>
      <c r="W57" s="288"/>
      <c r="X57" s="288"/>
      <c r="Y57" s="288"/>
      <c r="Z57" s="288"/>
      <c r="AA57" s="288"/>
      <c r="BA57" s="1187"/>
      <c r="BB57" s="1187"/>
      <c r="BC57" s="1187"/>
      <c r="BD57" s="1187"/>
      <c r="BE57" s="1187"/>
      <c r="BF57" s="1187"/>
      <c r="BG57" s="1187"/>
      <c r="BH57" s="1187"/>
      <c r="BI57" s="1187"/>
      <c r="BJ57" s="1187"/>
      <c r="BK57" s="1187"/>
      <c r="BL57" s="1187"/>
      <c r="BM57" s="1187"/>
      <c r="BN57" s="1187"/>
      <c r="BO57" s="1187"/>
      <c r="BP57" s="1187"/>
      <c r="BQ57" s="1187"/>
      <c r="BR57" s="1187"/>
      <c r="BS57" s="1187"/>
    </row>
    <row r="58" spans="1:108" ht="16.350000000000001" customHeight="1" x14ac:dyDescent="0.25">
      <c r="A58" s="8481" t="s">
        <v>1276</v>
      </c>
      <c r="B58" s="8127"/>
      <c r="C58" s="8446" t="s">
        <v>24</v>
      </c>
      <c r="D58" s="8429" t="s">
        <v>1478</v>
      </c>
      <c r="E58" s="8430"/>
      <c r="F58" s="8430"/>
      <c r="G58" s="8430"/>
      <c r="H58" s="8430"/>
      <c r="I58" s="8431"/>
      <c r="J58" s="8479" t="s">
        <v>360</v>
      </c>
      <c r="K58" s="8480" t="s">
        <v>359</v>
      </c>
      <c r="L58" s="288"/>
      <c r="M58" s="288"/>
      <c r="N58" s="288"/>
      <c r="O58" s="288"/>
      <c r="P58" s="288"/>
      <c r="Q58" s="288"/>
      <c r="R58" s="288"/>
      <c r="S58" s="288"/>
      <c r="T58" s="288"/>
      <c r="U58" s="288"/>
      <c r="V58" s="1187"/>
      <c r="W58" s="1187"/>
      <c r="X58" s="1187"/>
      <c r="Y58" s="1187"/>
      <c r="AU58" s="1580"/>
      <c r="AV58" s="1580"/>
      <c r="AW58" s="1580"/>
      <c r="AX58" s="1580"/>
      <c r="AY58" s="1580"/>
      <c r="AZ58" s="1580"/>
    </row>
    <row r="59" spans="1:108" ht="16.350000000000001" customHeight="1" x14ac:dyDescent="0.25">
      <c r="A59" s="8482"/>
      <c r="B59" s="8128"/>
      <c r="C59" s="8447"/>
      <c r="D59" s="2721" t="s">
        <v>2649</v>
      </c>
      <c r="E59" s="2721" t="s">
        <v>1477</v>
      </c>
      <c r="F59" s="3366" t="s">
        <v>1476</v>
      </c>
      <c r="G59" s="3367" t="s">
        <v>1475</v>
      </c>
      <c r="H59" s="3365" t="s">
        <v>1474</v>
      </c>
      <c r="I59" s="2718" t="s">
        <v>1473</v>
      </c>
      <c r="J59" s="8402"/>
      <c r="K59" s="8151"/>
      <c r="L59" s="288"/>
      <c r="M59" s="288"/>
      <c r="N59" s="288"/>
      <c r="O59" s="288"/>
      <c r="P59" s="288"/>
      <c r="Q59" s="288"/>
      <c r="R59" s="288"/>
      <c r="S59" s="288"/>
      <c r="T59" s="288"/>
      <c r="U59" s="288"/>
      <c r="V59" s="1187"/>
      <c r="W59" s="1187"/>
      <c r="X59" s="1187"/>
      <c r="Y59" s="1187"/>
      <c r="AU59" s="1580"/>
      <c r="AV59" s="1580"/>
      <c r="AW59" s="1580"/>
      <c r="AX59" s="1580"/>
      <c r="AY59" s="1580"/>
      <c r="AZ59" s="1580"/>
      <c r="CA59" s="1464">
        <v>0</v>
      </c>
      <c r="CB59" s="1464">
        <v>0</v>
      </c>
      <c r="CC59" s="1464">
        <v>0</v>
      </c>
      <c r="CD59" s="1464">
        <v>0</v>
      </c>
      <c r="CE59" s="1464">
        <v>0</v>
      </c>
    </row>
    <row r="60" spans="1:108" ht="16.350000000000001" customHeight="1" x14ac:dyDescent="0.25">
      <c r="A60" s="8486" t="s">
        <v>1275</v>
      </c>
      <c r="B60" s="8487"/>
      <c r="C60" s="2828">
        <f>SUM(D60:G60)</f>
        <v>0</v>
      </c>
      <c r="D60" s="2829"/>
      <c r="E60" s="2829"/>
      <c r="F60" s="2830"/>
      <c r="G60" s="2831"/>
      <c r="H60" s="7521"/>
      <c r="I60" s="7522"/>
      <c r="J60" s="1742"/>
      <c r="K60" s="1628"/>
      <c r="L60" s="567"/>
      <c r="M60" s="1584"/>
      <c r="N60" s="1584"/>
      <c r="O60" s="1584"/>
      <c r="P60" s="1584"/>
      <c r="Q60" s="1584"/>
      <c r="R60" s="1584"/>
      <c r="S60" s="1584"/>
      <c r="T60" s="1584"/>
      <c r="U60" s="1584"/>
      <c r="V60" s="1589"/>
      <c r="W60" s="1187"/>
      <c r="X60" s="1187"/>
      <c r="Y60" s="1187"/>
      <c r="AU60" s="1580"/>
      <c r="AV60" s="1580"/>
      <c r="AW60" s="1580"/>
      <c r="AX60" s="1580"/>
      <c r="AY60" s="1580"/>
      <c r="AZ60" s="1580"/>
      <c r="CE60" s="1464">
        <v>0</v>
      </c>
      <c r="CF60" s="1464">
        <v>0</v>
      </c>
      <c r="CG60" s="1464">
        <v>0</v>
      </c>
      <c r="DA60" s="3306">
        <v>0</v>
      </c>
      <c r="DB60" s="3306">
        <v>0</v>
      </c>
      <c r="DC60" s="3306">
        <v>0</v>
      </c>
      <c r="DD60" s="3306">
        <v>0</v>
      </c>
    </row>
    <row r="61" spans="1:108" ht="16.350000000000001" customHeight="1" x14ac:dyDescent="0.25">
      <c r="A61" s="8488" t="s">
        <v>1472</v>
      </c>
      <c r="B61" s="8484"/>
      <c r="C61" s="902">
        <f>SUM(D61:G61)</f>
        <v>0</v>
      </c>
      <c r="D61" s="2493"/>
      <c r="E61" s="2493"/>
      <c r="F61" s="914"/>
      <c r="G61" s="2494"/>
      <c r="H61" s="7523"/>
      <c r="I61" s="7524"/>
      <c r="J61" s="1698"/>
      <c r="K61" s="1113"/>
      <c r="L61" s="567"/>
      <c r="M61" s="288"/>
      <c r="N61" s="288"/>
      <c r="O61" s="288"/>
      <c r="P61" s="288"/>
      <c r="Q61" s="288"/>
      <c r="R61" s="288"/>
      <c r="S61" s="288"/>
      <c r="T61" s="288"/>
      <c r="U61" s="903"/>
      <c r="V61" s="1589"/>
      <c r="W61" s="1187"/>
      <c r="X61" s="1187"/>
      <c r="Y61" s="1187"/>
      <c r="AU61" s="1580"/>
      <c r="AV61" s="1580"/>
      <c r="AW61" s="1580"/>
      <c r="AX61" s="1580"/>
      <c r="AY61" s="1580"/>
      <c r="AZ61" s="1580"/>
      <c r="DA61" s="3306">
        <v>0</v>
      </c>
      <c r="DB61" s="3306">
        <v>0</v>
      </c>
      <c r="DC61" s="3306">
        <v>0</v>
      </c>
      <c r="DD61" s="3306">
        <v>0</v>
      </c>
    </row>
    <row r="62" spans="1:108" ht="16.350000000000001" customHeight="1" x14ac:dyDescent="0.25">
      <c r="A62" s="8483" t="s">
        <v>1471</v>
      </c>
      <c r="B62" s="8484"/>
      <c r="C62" s="1704">
        <f>SUM(D62:G62)</f>
        <v>0</v>
      </c>
      <c r="D62" s="2553"/>
      <c r="E62" s="2553"/>
      <c r="F62" s="2555"/>
      <c r="G62" s="2547"/>
      <c r="H62" s="7527"/>
      <c r="I62" s="7528"/>
      <c r="J62" s="1698"/>
      <c r="K62" s="1113"/>
      <c r="L62" s="567"/>
      <c r="M62" s="288"/>
      <c r="N62" s="288"/>
      <c r="O62" s="288"/>
      <c r="P62" s="288"/>
      <c r="Q62" s="288"/>
      <c r="R62" s="288"/>
      <c r="S62" s="288"/>
      <c r="T62" s="288"/>
      <c r="U62" s="903"/>
      <c r="V62" s="1589"/>
      <c r="W62" s="1187"/>
      <c r="X62" s="1187"/>
      <c r="Y62" s="1187"/>
      <c r="AU62" s="1580"/>
      <c r="AV62" s="1580"/>
      <c r="AW62" s="1580"/>
      <c r="AX62" s="1580"/>
      <c r="AY62" s="1580"/>
      <c r="AZ62" s="1580"/>
      <c r="DA62" s="3306">
        <v>0</v>
      </c>
      <c r="DB62" s="3306">
        <v>0</v>
      </c>
      <c r="DC62" s="3306">
        <v>0</v>
      </c>
      <c r="DD62" s="3306">
        <v>0</v>
      </c>
    </row>
    <row r="63" spans="1:108" ht="16.350000000000001" customHeight="1" x14ac:dyDescent="0.25">
      <c r="A63" s="8483" t="s">
        <v>2646</v>
      </c>
      <c r="B63" s="8484"/>
      <c r="C63" s="1704">
        <f>SUM(D63:I63)</f>
        <v>0</v>
      </c>
      <c r="D63" s="2722"/>
      <c r="E63" s="7525"/>
      <c r="F63" s="7526"/>
      <c r="G63" s="2719"/>
      <c r="H63" s="2548"/>
      <c r="I63" s="2602"/>
      <c r="J63" s="1698"/>
      <c r="K63" s="1113"/>
      <c r="L63" s="567"/>
      <c r="M63" s="897"/>
      <c r="N63" s="897"/>
      <c r="O63" s="796"/>
      <c r="P63" s="796"/>
      <c r="Q63" s="796"/>
      <c r="R63" s="796"/>
      <c r="S63" s="796"/>
      <c r="T63" s="796"/>
      <c r="U63" s="882"/>
      <c r="V63" s="1589"/>
      <c r="W63" s="1187"/>
      <c r="X63" s="1187"/>
      <c r="Y63" s="1187"/>
      <c r="AU63" s="1580"/>
      <c r="AV63" s="1580"/>
      <c r="AW63" s="1580"/>
      <c r="AX63" s="1580"/>
      <c r="AY63" s="1580"/>
      <c r="AZ63" s="1580"/>
      <c r="DA63" s="3306">
        <v>0</v>
      </c>
      <c r="DB63" s="3306">
        <v>0</v>
      </c>
      <c r="DC63" s="3306">
        <v>0</v>
      </c>
      <c r="DD63" s="3306">
        <v>0</v>
      </c>
    </row>
    <row r="64" spans="1:108" ht="22.5" customHeight="1" x14ac:dyDescent="0.25">
      <c r="A64" s="8483" t="s">
        <v>2647</v>
      </c>
      <c r="B64" s="8484"/>
      <c r="C64" s="902">
        <f>SUM(G64:I64)+D64</f>
        <v>0</v>
      </c>
      <c r="D64" s="2493"/>
      <c r="E64" s="5119"/>
      <c r="F64" s="5119"/>
      <c r="G64" s="2719"/>
      <c r="H64" s="2548"/>
      <c r="I64" s="2602"/>
      <c r="J64" s="1698"/>
      <c r="K64" s="1113"/>
      <c r="L64" s="567"/>
      <c r="M64" s="897"/>
      <c r="N64" s="897"/>
      <c r="O64" s="796"/>
      <c r="P64" s="796"/>
      <c r="Q64" s="796"/>
      <c r="R64" s="796"/>
      <c r="S64" s="796"/>
      <c r="T64" s="796"/>
      <c r="U64" s="1640"/>
      <c r="V64" s="1187"/>
      <c r="W64" s="1187"/>
      <c r="X64" s="1187"/>
      <c r="Y64" s="1187"/>
      <c r="AU64" s="1580"/>
      <c r="AV64" s="1580"/>
      <c r="AW64" s="1580"/>
      <c r="AX64" s="1580"/>
      <c r="AY64" s="1580"/>
      <c r="AZ64" s="1580"/>
      <c r="DA64" s="3306">
        <v>0</v>
      </c>
      <c r="DB64" s="3306">
        <v>0</v>
      </c>
      <c r="DC64" s="3306">
        <v>0</v>
      </c>
      <c r="DD64" s="3306">
        <v>0</v>
      </c>
    </row>
    <row r="65" spans="1:130" ht="16.350000000000001" customHeight="1" x14ac:dyDescent="0.25">
      <c r="A65" s="8489" t="s">
        <v>2648</v>
      </c>
      <c r="B65" s="8489"/>
      <c r="C65" s="902">
        <f>SUM(G65:I65)+D65</f>
        <v>0</v>
      </c>
      <c r="D65" s="2553"/>
      <c r="E65" s="7523"/>
      <c r="F65" s="7523"/>
      <c r="G65" s="2719"/>
      <c r="H65" s="2548"/>
      <c r="I65" s="2602"/>
      <c r="J65" s="1698"/>
      <c r="K65" s="1113"/>
      <c r="L65" s="567"/>
      <c r="M65" s="897"/>
      <c r="N65" s="897"/>
      <c r="O65" s="796"/>
      <c r="P65" s="796"/>
      <c r="Q65" s="796"/>
      <c r="R65" s="796"/>
      <c r="S65" s="796"/>
      <c r="T65" s="796"/>
      <c r="U65" s="1653"/>
      <c r="V65" s="1187"/>
      <c r="W65" s="1187"/>
      <c r="X65" s="1187"/>
      <c r="Y65" s="1187"/>
      <c r="AU65" s="1580"/>
      <c r="AV65" s="1580"/>
      <c r="AW65" s="1580"/>
      <c r="AX65" s="1580"/>
      <c r="AY65" s="1580"/>
      <c r="AZ65" s="1580"/>
      <c r="DA65" s="3306">
        <v>0</v>
      </c>
      <c r="DB65" s="3306">
        <v>0</v>
      </c>
      <c r="DC65" s="3306">
        <v>0</v>
      </c>
      <c r="DD65" s="3306">
        <v>0</v>
      </c>
    </row>
    <row r="66" spans="1:130" ht="16.350000000000001" customHeight="1" x14ac:dyDescent="0.25">
      <c r="A66" s="8432" t="s">
        <v>2650</v>
      </c>
      <c r="B66" s="8433"/>
      <c r="C66" s="7676">
        <f>SUM(D66:I66)</f>
        <v>0</v>
      </c>
      <c r="D66" s="4913"/>
      <c r="E66" s="7520"/>
      <c r="F66" s="7520"/>
      <c r="G66" s="2590"/>
      <c r="H66" s="2520"/>
      <c r="I66" s="2625"/>
      <c r="J66" s="1699"/>
      <c r="K66" s="1655"/>
      <c r="L66" s="567"/>
      <c r="M66" s="897"/>
      <c r="N66" s="897"/>
      <c r="O66" s="796"/>
      <c r="P66" s="796"/>
      <c r="Q66" s="796"/>
      <c r="R66" s="796"/>
      <c r="S66" s="796"/>
      <c r="T66" s="796"/>
      <c r="U66" s="890"/>
      <c r="V66" s="1187"/>
      <c r="W66" s="1187"/>
      <c r="X66" s="1187"/>
      <c r="Y66" s="1187"/>
      <c r="AU66" s="1580"/>
      <c r="AV66" s="1580"/>
      <c r="AW66" s="1580"/>
      <c r="AX66" s="1580"/>
      <c r="AY66" s="1580"/>
      <c r="AZ66" s="1580"/>
      <c r="DA66" s="3306">
        <v>0</v>
      </c>
      <c r="DB66" s="3306">
        <v>0</v>
      </c>
      <c r="DC66" s="3306">
        <v>0</v>
      </c>
      <c r="DD66" s="3306">
        <v>0</v>
      </c>
      <c r="DE66" s="3306">
        <v>0</v>
      </c>
      <c r="DF66" s="3306">
        <v>0</v>
      </c>
      <c r="DG66" s="3306">
        <v>0</v>
      </c>
    </row>
    <row r="67" spans="1:130" ht="30" customHeight="1" x14ac:dyDescent="0.25">
      <c r="A67" s="912" t="s">
        <v>2925</v>
      </c>
      <c r="B67" s="911"/>
      <c r="C67" s="911"/>
      <c r="D67" s="911"/>
      <c r="E67" s="911"/>
      <c r="F67" s="911"/>
      <c r="G67" s="911"/>
      <c r="H67" s="911"/>
      <c r="I67" s="911"/>
      <c r="J67" s="72"/>
      <c r="K67" s="72"/>
      <c r="L67" s="567"/>
      <c r="M67" s="897"/>
      <c r="N67" s="897"/>
      <c r="O67" s="796"/>
      <c r="P67" s="796"/>
      <c r="Q67" s="796"/>
      <c r="R67" s="796"/>
      <c r="S67" s="796"/>
      <c r="T67" s="796"/>
      <c r="U67" s="3061"/>
      <c r="V67" s="1187"/>
      <c r="W67" s="1187"/>
      <c r="X67" s="1187"/>
      <c r="Y67" s="1187"/>
      <c r="AU67" s="1580"/>
      <c r="AV67" s="1580"/>
      <c r="AW67" s="1580"/>
      <c r="AX67" s="1580"/>
      <c r="AY67" s="1580"/>
      <c r="AZ67" s="1580"/>
    </row>
    <row r="68" spans="1:130" ht="16.350000000000001" customHeight="1" x14ac:dyDescent="0.25">
      <c r="A68" s="8176" t="s">
        <v>1405</v>
      </c>
      <c r="B68" s="8252" t="s">
        <v>805</v>
      </c>
      <c r="C68" s="8129"/>
      <c r="D68" s="8176"/>
      <c r="E68" s="8497" t="s">
        <v>2</v>
      </c>
      <c r="F68" s="8497"/>
      <c r="G68" s="8497"/>
      <c r="H68" s="8498"/>
      <c r="I68" s="8272" t="s">
        <v>2923</v>
      </c>
      <c r="J68" s="8491"/>
      <c r="K68" s="8304" t="s">
        <v>2924</v>
      </c>
      <c r="L68" s="8491"/>
      <c r="M68" s="897"/>
      <c r="N68" s="796"/>
      <c r="O68" s="796"/>
      <c r="P68" s="796"/>
      <c r="Q68" s="796"/>
      <c r="R68" s="796"/>
      <c r="S68" s="796"/>
      <c r="T68" s="3061"/>
      <c r="U68" s="1187"/>
      <c r="V68" s="1187"/>
      <c r="W68" s="1187"/>
      <c r="X68" s="1187"/>
      <c r="Y68" s="1187"/>
      <c r="AT68" s="1580"/>
      <c r="AU68" s="1580"/>
      <c r="AV68" s="1580"/>
      <c r="AW68" s="1580"/>
      <c r="AX68" s="1580"/>
      <c r="AY68" s="1580"/>
      <c r="AZ68" s="1580"/>
    </row>
    <row r="69" spans="1:130" ht="16.350000000000001" customHeight="1" x14ac:dyDescent="0.25">
      <c r="A69" s="8151"/>
      <c r="B69" s="8496"/>
      <c r="C69" s="8168"/>
      <c r="D69" s="8177"/>
      <c r="E69" s="8304" t="s">
        <v>2923</v>
      </c>
      <c r="F69" s="8491"/>
      <c r="G69" s="8272" t="s">
        <v>2924</v>
      </c>
      <c r="H69" s="8305"/>
      <c r="I69" s="8499" t="s">
        <v>360</v>
      </c>
      <c r="J69" s="8494" t="s">
        <v>359</v>
      </c>
      <c r="K69" s="8492" t="s">
        <v>360</v>
      </c>
      <c r="L69" s="8494" t="s">
        <v>359</v>
      </c>
      <c r="M69" s="897"/>
      <c r="N69" s="796"/>
      <c r="O69" s="796"/>
      <c r="P69" s="796"/>
      <c r="Q69" s="796"/>
      <c r="R69" s="796"/>
      <c r="S69" s="796"/>
      <c r="T69" s="3061"/>
      <c r="U69" s="1187"/>
      <c r="V69" s="1187"/>
      <c r="W69" s="1187"/>
      <c r="X69" s="1187"/>
      <c r="Y69" s="1187"/>
      <c r="AT69" s="1580"/>
      <c r="AU69" s="1580"/>
      <c r="AV69" s="1580"/>
      <c r="AW69" s="1580"/>
      <c r="AX69" s="1580"/>
      <c r="AY69" s="1580"/>
      <c r="AZ69" s="1580"/>
    </row>
    <row r="70" spans="1:130" ht="16.350000000000001" customHeight="1" x14ac:dyDescent="0.25">
      <c r="A70" s="8177"/>
      <c r="B70" s="3358" t="s">
        <v>42</v>
      </c>
      <c r="C70" s="3066" t="s">
        <v>17</v>
      </c>
      <c r="D70" s="3356" t="s">
        <v>18</v>
      </c>
      <c r="E70" s="3076" t="s">
        <v>17</v>
      </c>
      <c r="F70" s="3131" t="s">
        <v>18</v>
      </c>
      <c r="G70" s="3076" t="s">
        <v>17</v>
      </c>
      <c r="H70" s="3118" t="s">
        <v>18</v>
      </c>
      <c r="I70" s="8500"/>
      <c r="J70" s="8495"/>
      <c r="K70" s="8493"/>
      <c r="L70" s="8495"/>
      <c r="M70" s="897"/>
      <c r="N70" s="796"/>
      <c r="O70" s="796"/>
      <c r="P70" s="796"/>
      <c r="Q70" s="796"/>
      <c r="R70" s="796"/>
      <c r="S70" s="796"/>
      <c r="T70" s="3061"/>
      <c r="U70" s="1187"/>
      <c r="V70" s="1187"/>
      <c r="W70" s="1187"/>
      <c r="X70" s="1187"/>
      <c r="Y70" s="1187"/>
      <c r="AT70" s="1580"/>
      <c r="AU70" s="1580"/>
      <c r="AV70" s="1580"/>
      <c r="AW70" s="1580"/>
      <c r="AX70" s="1580"/>
      <c r="AY70" s="1580"/>
      <c r="AZ70" s="1580"/>
    </row>
    <row r="71" spans="1:130" ht="16.350000000000001" customHeight="1" x14ac:dyDescent="0.25">
      <c r="A71" s="3326" t="s">
        <v>1451</v>
      </c>
      <c r="B71" s="7446">
        <f>SUM(C71:D71)</f>
        <v>0</v>
      </c>
      <c r="C71" s="7447">
        <f t="shared" ref="C71:D73" si="7">+E71+G71</f>
        <v>0</v>
      </c>
      <c r="D71" s="7448">
        <f t="shared" si="7"/>
        <v>0</v>
      </c>
      <c r="E71" s="3116"/>
      <c r="F71" s="2877"/>
      <c r="G71" s="3058"/>
      <c r="H71" s="2466"/>
      <c r="I71" s="3112"/>
      <c r="J71" s="3059"/>
      <c r="K71" s="3112"/>
      <c r="L71" s="3059"/>
      <c r="M71" s="7677"/>
      <c r="N71" s="796"/>
      <c r="O71" s="796"/>
      <c r="P71" s="796"/>
      <c r="Q71" s="796"/>
      <c r="R71" s="796"/>
      <c r="S71" s="796"/>
      <c r="T71" s="3061"/>
      <c r="U71" s="1187"/>
      <c r="V71" s="1187"/>
      <c r="W71" s="1187"/>
      <c r="X71" s="1187"/>
      <c r="Y71" s="1187"/>
      <c r="AT71" s="1580"/>
      <c r="AU71" s="1580"/>
      <c r="AV71" s="1580"/>
      <c r="AW71" s="1580"/>
      <c r="AX71" s="1580"/>
      <c r="AY71" s="1580"/>
      <c r="AZ71" s="1580"/>
      <c r="DA71" s="3306">
        <v>0</v>
      </c>
      <c r="DB71" s="3306">
        <v>0</v>
      </c>
      <c r="DC71" s="3306">
        <v>0</v>
      </c>
      <c r="DD71" s="3306">
        <v>0</v>
      </c>
      <c r="DE71" s="3306">
        <v>0</v>
      </c>
      <c r="DF71" s="3306">
        <v>0</v>
      </c>
      <c r="DG71" s="3306">
        <v>0</v>
      </c>
      <c r="DH71" s="3306">
        <v>0</v>
      </c>
    </row>
    <row r="72" spans="1:130" ht="16.350000000000001" customHeight="1" x14ac:dyDescent="0.25">
      <c r="A72" s="3489" t="s">
        <v>1480</v>
      </c>
      <c r="B72" s="7449">
        <f>SUM(C72:D72)</f>
        <v>0</v>
      </c>
      <c r="C72" s="7450">
        <f t="shared" si="7"/>
        <v>0</v>
      </c>
      <c r="D72" s="7451">
        <f t="shared" si="7"/>
        <v>0</v>
      </c>
      <c r="E72" s="2885"/>
      <c r="F72" s="2889"/>
      <c r="G72" s="2885"/>
      <c r="H72" s="2972"/>
      <c r="I72" s="2915"/>
      <c r="J72" s="1113"/>
      <c r="K72" s="1698"/>
      <c r="L72" s="1113"/>
      <c r="M72" s="7677"/>
      <c r="N72" s="796"/>
      <c r="O72" s="796"/>
      <c r="P72" s="796"/>
      <c r="Q72" s="796"/>
      <c r="R72" s="796"/>
      <c r="S72" s="796"/>
      <c r="T72" s="3061"/>
      <c r="U72" s="1187"/>
      <c r="V72" s="1187"/>
      <c r="W72" s="1187"/>
      <c r="X72" s="1187"/>
      <c r="Y72" s="1187"/>
      <c r="AT72" s="1580"/>
      <c r="AU72" s="1580"/>
      <c r="AV72" s="1580"/>
      <c r="AW72" s="1580"/>
      <c r="AX72" s="1580"/>
      <c r="AY72" s="1580"/>
      <c r="AZ72" s="1580"/>
      <c r="DA72" s="3306">
        <v>0</v>
      </c>
      <c r="DB72" s="3306">
        <v>0</v>
      </c>
      <c r="DC72" s="3306">
        <v>0</v>
      </c>
      <c r="DD72" s="3306">
        <v>0</v>
      </c>
      <c r="DE72" s="3306">
        <v>0</v>
      </c>
      <c r="DF72" s="3306">
        <v>0</v>
      </c>
      <c r="DG72" s="3306">
        <v>0</v>
      </c>
      <c r="DH72" s="3306">
        <v>0</v>
      </c>
    </row>
    <row r="73" spans="1:130" ht="16.350000000000001" customHeight="1" x14ac:dyDescent="0.25">
      <c r="A73" s="3490" t="s">
        <v>2922</v>
      </c>
      <c r="B73" s="7452">
        <f>SUM(C73:D73)</f>
        <v>0</v>
      </c>
      <c r="C73" s="7453">
        <f t="shared" si="7"/>
        <v>0</v>
      </c>
      <c r="D73" s="7454">
        <f t="shared" si="7"/>
        <v>0</v>
      </c>
      <c r="E73" s="2888"/>
      <c r="F73" s="2535"/>
      <c r="G73" s="2888"/>
      <c r="H73" s="2540"/>
      <c r="I73" s="2533"/>
      <c r="J73" s="3127"/>
      <c r="K73" s="3126"/>
      <c r="L73" s="3127"/>
      <c r="M73" s="7677"/>
      <c r="N73" s="796"/>
      <c r="O73" s="796"/>
      <c r="P73" s="796"/>
      <c r="Q73" s="796"/>
      <c r="R73" s="796"/>
      <c r="S73" s="796"/>
      <c r="T73" s="3061"/>
      <c r="U73" s="1187"/>
      <c r="V73" s="1187"/>
      <c r="W73" s="1187"/>
      <c r="X73" s="1187"/>
      <c r="Y73" s="1187"/>
      <c r="AT73" s="1580"/>
      <c r="AU73" s="1580"/>
      <c r="AV73" s="1580"/>
      <c r="AW73" s="1580"/>
      <c r="AX73" s="1580"/>
      <c r="AY73" s="1580"/>
      <c r="AZ73" s="1580"/>
      <c r="DA73" s="3306">
        <v>0</v>
      </c>
      <c r="DB73" s="3306">
        <v>0</v>
      </c>
      <c r="DC73" s="3306">
        <v>0</v>
      </c>
      <c r="DD73" s="3306">
        <v>0</v>
      </c>
      <c r="DE73" s="3306">
        <v>0</v>
      </c>
      <c r="DF73" s="3306">
        <v>0</v>
      </c>
      <c r="DG73" s="3306">
        <v>0</v>
      </c>
      <c r="DH73" s="3306">
        <v>0</v>
      </c>
    </row>
    <row r="74" spans="1:130" s="1187" customFormat="1" ht="31.35" customHeight="1" x14ac:dyDescent="0.25">
      <c r="A74" s="292" t="s">
        <v>1470</v>
      </c>
      <c r="B74" s="288"/>
      <c r="C74" s="288"/>
      <c r="D74" s="288"/>
      <c r="E74" s="288"/>
      <c r="F74" s="288"/>
      <c r="G74" s="288"/>
      <c r="H74" s="796"/>
      <c r="I74" s="796"/>
      <c r="J74" s="796"/>
      <c r="K74" s="796"/>
      <c r="L74" s="796"/>
      <c r="M74" s="796"/>
      <c r="N74" s="796"/>
      <c r="O74" s="796"/>
      <c r="P74" s="796"/>
      <c r="Q74" s="796"/>
      <c r="R74" s="796"/>
      <c r="S74" s="796"/>
      <c r="T74" s="796"/>
      <c r="U74" s="899"/>
      <c r="V74" s="899"/>
      <c r="W74" s="899"/>
      <c r="X74" s="899"/>
      <c r="Y74" s="899"/>
      <c r="Z74" s="882"/>
      <c r="AA74" s="882"/>
      <c r="CA74" s="1464"/>
      <c r="CB74" s="1464"/>
      <c r="CC74" s="1464"/>
      <c r="CD74" s="1464"/>
      <c r="CE74" s="1464"/>
      <c r="CF74" s="1464"/>
      <c r="CG74" s="1464"/>
      <c r="CH74" s="1464"/>
      <c r="CI74" s="1464"/>
      <c r="CJ74" s="1464"/>
      <c r="CK74" s="1464"/>
      <c r="CL74" s="1464"/>
      <c r="CM74" s="1464"/>
      <c r="CN74" s="1464"/>
      <c r="CO74" s="1464"/>
      <c r="CP74" s="1464"/>
      <c r="CQ74" s="1464"/>
      <c r="CR74" s="1464"/>
      <c r="CS74" s="1464"/>
      <c r="CT74" s="1464"/>
      <c r="CU74" s="1464"/>
      <c r="CV74" s="1464"/>
      <c r="CW74" s="1464"/>
      <c r="CX74" s="1464"/>
      <c r="CY74" s="1464"/>
      <c r="CZ74" s="1464"/>
      <c r="DA74" s="3306"/>
      <c r="DB74" s="3306"/>
      <c r="DC74" s="3306"/>
      <c r="DD74" s="3306"/>
      <c r="DE74" s="3306"/>
      <c r="DF74" s="3306"/>
      <c r="DG74" s="3306"/>
      <c r="DH74" s="3306"/>
      <c r="DI74" s="3306"/>
      <c r="DJ74" s="3306"/>
      <c r="DK74" s="3306"/>
      <c r="DL74" s="3306"/>
      <c r="DM74" s="3306"/>
      <c r="DN74" s="3306"/>
      <c r="DO74" s="3306"/>
      <c r="DP74" s="3306"/>
      <c r="DQ74" s="3306"/>
      <c r="DR74" s="3306"/>
      <c r="DS74" s="3306"/>
      <c r="DT74" s="3306"/>
      <c r="DU74" s="3306"/>
      <c r="DV74" s="3306"/>
      <c r="DW74" s="3306"/>
      <c r="DX74" s="3306"/>
      <c r="DY74" s="3306"/>
      <c r="DZ74" s="3306"/>
    </row>
    <row r="75" spans="1:130" s="1187" customFormat="1" ht="31.35" customHeight="1" x14ac:dyDescent="0.25">
      <c r="A75" s="292" t="s">
        <v>1469</v>
      </c>
      <c r="B75" s="292"/>
      <c r="C75" s="292"/>
      <c r="D75" s="292"/>
      <c r="E75" s="292"/>
      <c r="F75" s="292"/>
      <c r="G75" s="292"/>
      <c r="H75" s="292"/>
      <c r="I75" s="292"/>
      <c r="J75" s="512"/>
      <c r="K75" s="898"/>
      <c r="L75" s="898"/>
      <c r="M75" s="898"/>
      <c r="N75" s="897"/>
      <c r="O75" s="897"/>
      <c r="P75" s="897"/>
      <c r="Q75" s="897"/>
      <c r="R75" s="897"/>
      <c r="S75" s="897"/>
      <c r="T75" s="897"/>
      <c r="U75" s="882"/>
      <c r="V75" s="882"/>
      <c r="W75" s="882"/>
      <c r="X75" s="882"/>
      <c r="Y75" s="882"/>
      <c r="Z75" s="882"/>
      <c r="AA75" s="882"/>
      <c r="CA75" s="1464"/>
      <c r="CB75" s="1464"/>
      <c r="CC75" s="1464"/>
      <c r="CD75" s="1464"/>
      <c r="CE75" s="1464"/>
      <c r="CF75" s="1464"/>
      <c r="CG75" s="1464"/>
      <c r="CH75" s="1464"/>
      <c r="CI75" s="1464"/>
      <c r="CJ75" s="1464"/>
      <c r="CK75" s="1464"/>
      <c r="CL75" s="1464"/>
      <c r="CM75" s="1464"/>
      <c r="CN75" s="1464"/>
      <c r="CO75" s="1464"/>
      <c r="CP75" s="1464"/>
      <c r="CQ75" s="1464"/>
      <c r="CR75" s="1464"/>
      <c r="CS75" s="1464"/>
      <c r="CT75" s="1464"/>
      <c r="CU75" s="1464"/>
      <c r="CV75" s="1464"/>
      <c r="CW75" s="1464"/>
      <c r="CX75" s="1464"/>
      <c r="CY75" s="1464"/>
      <c r="CZ75" s="1464"/>
      <c r="DA75" s="3306"/>
      <c r="DB75" s="3306"/>
      <c r="DC75" s="3306"/>
      <c r="DD75" s="3306"/>
      <c r="DE75" s="3306"/>
      <c r="DF75" s="3306"/>
      <c r="DG75" s="3306"/>
      <c r="DH75" s="3306"/>
      <c r="DI75" s="3306"/>
      <c r="DJ75" s="3306"/>
      <c r="DK75" s="3306"/>
      <c r="DL75" s="3306"/>
      <c r="DM75" s="3306"/>
      <c r="DN75" s="3306"/>
      <c r="DO75" s="3306"/>
      <c r="DP75" s="3306"/>
      <c r="DQ75" s="3306"/>
      <c r="DR75" s="3306"/>
      <c r="DS75" s="3306"/>
      <c r="DT75" s="3306"/>
      <c r="DU75" s="3306"/>
      <c r="DV75" s="3306"/>
      <c r="DW75" s="3306"/>
      <c r="DX75" s="3306"/>
      <c r="DY75" s="3306"/>
      <c r="DZ75" s="3306"/>
    </row>
    <row r="76" spans="1:130" ht="16.350000000000001" customHeight="1" x14ac:dyDescent="0.25">
      <c r="A76" s="8273" t="s">
        <v>1468</v>
      </c>
      <c r="B76" s="8427" t="s">
        <v>24</v>
      </c>
      <c r="C76" s="896"/>
      <c r="D76" s="288"/>
      <c r="E76" s="288"/>
      <c r="F76" s="288"/>
      <c r="G76" s="288"/>
      <c r="H76" s="288"/>
      <c r="I76" s="288"/>
      <c r="J76" s="169"/>
      <c r="K76" s="169"/>
      <c r="L76" s="169"/>
      <c r="M76" s="796"/>
      <c r="N76" s="796"/>
      <c r="O76" s="796"/>
      <c r="P76" s="796"/>
      <c r="Q76" s="882"/>
      <c r="R76" s="882"/>
      <c r="S76" s="882"/>
      <c r="T76" s="882"/>
      <c r="U76" s="882"/>
      <c r="V76" s="882"/>
      <c r="W76" s="882"/>
      <c r="X76" s="882"/>
      <c r="Y76" s="882"/>
      <c r="Z76" s="882"/>
      <c r="AZ76" s="1580"/>
    </row>
    <row r="77" spans="1:130" ht="16.350000000000001" customHeight="1" x14ac:dyDescent="0.25">
      <c r="A77" s="8461"/>
      <c r="B77" s="8428"/>
      <c r="C77" s="288"/>
      <c r="D77" s="288"/>
      <c r="E77" s="288"/>
      <c r="F77" s="288"/>
      <c r="G77" s="288"/>
      <c r="H77" s="288"/>
      <c r="I77" s="288"/>
      <c r="J77" s="169"/>
      <c r="K77" s="169"/>
      <c r="L77" s="169"/>
      <c r="M77" s="796"/>
      <c r="N77" s="796"/>
      <c r="O77" s="796"/>
      <c r="P77" s="796"/>
      <c r="Q77" s="882"/>
      <c r="R77" s="882"/>
      <c r="S77" s="882"/>
      <c r="T77" s="882"/>
      <c r="U77" s="882"/>
      <c r="V77" s="882"/>
      <c r="W77" s="882"/>
      <c r="X77" s="882"/>
      <c r="Y77" s="882"/>
      <c r="Z77" s="882"/>
      <c r="AZ77" s="1580"/>
    </row>
    <row r="78" spans="1:130" ht="16.350000000000001" customHeight="1" x14ac:dyDescent="0.25">
      <c r="A78" s="895" t="s">
        <v>24</v>
      </c>
      <c r="B78" s="895">
        <f>SUM(B79:B82)</f>
        <v>0</v>
      </c>
      <c r="C78" s="150"/>
      <c r="D78" s="288"/>
      <c r="E78" s="288"/>
      <c r="F78" s="288"/>
      <c r="G78" s="288"/>
      <c r="H78" s="288"/>
      <c r="I78" s="288"/>
      <c r="J78" s="169"/>
      <c r="K78" s="169"/>
      <c r="L78" s="169"/>
      <c r="M78" s="796"/>
      <c r="N78" s="796"/>
      <c r="O78" s="796"/>
      <c r="P78" s="796"/>
      <c r="Q78" s="882"/>
      <c r="R78" s="882"/>
      <c r="S78" s="875"/>
      <c r="T78" s="875"/>
      <c r="U78" s="875"/>
      <c r="V78" s="875"/>
      <c r="W78" s="875"/>
      <c r="X78" s="875"/>
      <c r="Y78" s="882"/>
      <c r="Z78" s="882"/>
      <c r="AZ78" s="1580"/>
    </row>
    <row r="79" spans="1:130" ht="16.350000000000001" customHeight="1" x14ac:dyDescent="0.25">
      <c r="A79" s="87" t="s">
        <v>1467</v>
      </c>
      <c r="B79" s="91"/>
      <c r="C79" s="150"/>
      <c r="D79" s="288"/>
      <c r="E79" s="288"/>
      <c r="F79" s="288"/>
      <c r="G79" s="288"/>
      <c r="H79" s="288"/>
      <c r="I79" s="288"/>
      <c r="J79" s="169"/>
      <c r="K79" s="169"/>
      <c r="L79" s="169"/>
      <c r="M79" s="796"/>
      <c r="N79" s="796"/>
      <c r="O79" s="796"/>
      <c r="P79" s="796"/>
      <c r="Q79" s="882"/>
      <c r="R79" s="882"/>
      <c r="S79" s="875"/>
      <c r="T79" s="875"/>
      <c r="U79" s="875"/>
      <c r="V79" s="875"/>
      <c r="W79" s="875"/>
      <c r="X79" s="875"/>
      <c r="Y79" s="882"/>
      <c r="Z79" s="882"/>
      <c r="AZ79" s="1580"/>
    </row>
    <row r="80" spans="1:130" ht="16.350000000000001" customHeight="1" x14ac:dyDescent="0.25">
      <c r="A80" s="109" t="s">
        <v>1449</v>
      </c>
      <c r="B80" s="123"/>
      <c r="C80" s="150"/>
      <c r="D80" s="288"/>
      <c r="E80" s="288"/>
      <c r="F80" s="288"/>
      <c r="G80" s="288"/>
      <c r="H80" s="288"/>
      <c r="I80" s="288"/>
      <c r="J80" s="169"/>
      <c r="K80" s="169"/>
      <c r="L80" s="169"/>
      <c r="M80" s="796"/>
      <c r="N80" s="796"/>
      <c r="O80" s="796"/>
      <c r="P80" s="796"/>
      <c r="Q80" s="882"/>
      <c r="R80" s="882"/>
      <c r="S80" s="875"/>
      <c r="T80" s="875"/>
      <c r="U80" s="875"/>
      <c r="V80" s="875"/>
      <c r="W80" s="875"/>
      <c r="X80" s="875"/>
      <c r="Y80" s="882"/>
      <c r="Z80" s="882"/>
      <c r="AZ80" s="1580"/>
    </row>
    <row r="81" spans="1:106" ht="16.350000000000001" customHeight="1" x14ac:dyDescent="0.25">
      <c r="A81" s="109" t="s">
        <v>1451</v>
      </c>
      <c r="B81" s="123"/>
      <c r="C81" s="150"/>
      <c r="D81" s="288"/>
      <c r="E81" s="288"/>
      <c r="F81" s="288"/>
      <c r="G81" s="288"/>
      <c r="H81" s="288"/>
      <c r="I81" s="288"/>
      <c r="J81" s="169"/>
      <c r="K81" s="169"/>
      <c r="L81" s="169"/>
      <c r="M81" s="796"/>
      <c r="N81" s="796"/>
      <c r="O81" s="796"/>
      <c r="P81" s="796"/>
      <c r="Q81" s="882"/>
      <c r="R81" s="882"/>
      <c r="S81" s="875"/>
      <c r="T81" s="875"/>
      <c r="U81" s="875"/>
      <c r="V81" s="875"/>
      <c r="W81" s="875"/>
      <c r="X81" s="875"/>
      <c r="Y81" s="882"/>
      <c r="Z81" s="882"/>
      <c r="AZ81" s="1580"/>
    </row>
    <row r="82" spans="1:106" ht="16.350000000000001" customHeight="1" x14ac:dyDescent="0.25">
      <c r="A82" s="81" t="s">
        <v>1450</v>
      </c>
      <c r="B82" s="86"/>
      <c r="C82" s="150"/>
      <c r="D82" s="288"/>
      <c r="E82" s="288"/>
      <c r="F82" s="288"/>
      <c r="G82" s="288"/>
      <c r="H82" s="288"/>
      <c r="I82" s="288"/>
      <c r="J82" s="169"/>
      <c r="K82" s="169"/>
      <c r="L82" s="169"/>
      <c r="M82" s="796"/>
      <c r="N82" s="796"/>
      <c r="O82" s="796"/>
      <c r="P82" s="796"/>
      <c r="Q82" s="882"/>
      <c r="R82" s="882"/>
      <c r="S82" s="875"/>
      <c r="T82" s="875"/>
      <c r="U82" s="875"/>
      <c r="V82" s="875"/>
      <c r="W82" s="875"/>
      <c r="X82" s="875"/>
      <c r="Y82" s="882"/>
      <c r="Z82" s="882"/>
      <c r="AZ82" s="1580"/>
    </row>
    <row r="83" spans="1:106" ht="31.35" customHeight="1" x14ac:dyDescent="0.25">
      <c r="A83" s="72" t="s">
        <v>1466</v>
      </c>
      <c r="B83" s="72"/>
      <c r="C83" s="72"/>
      <c r="D83" s="72"/>
      <c r="E83" s="72"/>
      <c r="F83" s="292"/>
      <c r="G83" s="292"/>
      <c r="H83" s="292"/>
      <c r="I83" s="292"/>
      <c r="J83" s="288"/>
      <c r="K83" s="885"/>
      <c r="L83" s="885"/>
      <c r="M83" s="885"/>
      <c r="N83" s="796"/>
      <c r="O83" s="796"/>
      <c r="P83" s="796"/>
      <c r="Q83" s="796"/>
      <c r="R83" s="882"/>
      <c r="S83" s="882"/>
      <c r="T83" s="882"/>
      <c r="U83" s="875"/>
      <c r="V83" s="875"/>
      <c r="W83" s="875"/>
      <c r="X83" s="875"/>
      <c r="Y83" s="875"/>
      <c r="Z83" s="882"/>
      <c r="AA83" s="882"/>
      <c r="BA83" s="1187"/>
      <c r="BB83" s="1187"/>
      <c r="BC83" s="1187"/>
      <c r="BD83" s="1187"/>
      <c r="BE83" s="1187"/>
      <c r="BF83" s="1187"/>
      <c r="BG83" s="1187"/>
      <c r="BH83" s="1187"/>
      <c r="BI83" s="1187"/>
      <c r="BJ83" s="1187"/>
      <c r="BK83" s="1187"/>
      <c r="BL83" s="1187"/>
      <c r="BM83" s="1187"/>
      <c r="BN83" s="1187"/>
      <c r="BO83" s="1187"/>
      <c r="BP83" s="1187"/>
      <c r="BQ83" s="1187"/>
      <c r="BR83" s="1187"/>
      <c r="BS83" s="1187"/>
    </row>
    <row r="84" spans="1:106" ht="58.5" customHeight="1" x14ac:dyDescent="0.25">
      <c r="A84" s="3033" t="s">
        <v>47</v>
      </c>
      <c r="B84" s="2144" t="s">
        <v>2928</v>
      </c>
      <c r="C84" s="2144" t="s">
        <v>1372</v>
      </c>
      <c r="D84" s="2144" t="s">
        <v>2927</v>
      </c>
      <c r="E84" s="2144" t="s">
        <v>2926</v>
      </c>
      <c r="F84" s="288"/>
      <c r="G84" s="288"/>
      <c r="H84" s="288"/>
      <c r="I84" s="288"/>
      <c r="J84" s="885"/>
      <c r="K84" s="885"/>
      <c r="L84" s="885"/>
      <c r="M84" s="796"/>
      <c r="N84" s="796"/>
      <c r="O84" s="796"/>
      <c r="P84" s="796"/>
      <c r="Q84" s="882"/>
      <c r="R84" s="882"/>
      <c r="S84" s="882"/>
      <c r="T84" s="875"/>
      <c r="U84" s="875"/>
      <c r="V84" s="875"/>
      <c r="W84" s="875"/>
      <c r="X84" s="875"/>
      <c r="Y84" s="882"/>
      <c r="Z84" s="882"/>
      <c r="AZ84" s="1580"/>
      <c r="CF84" s="1464">
        <v>0</v>
      </c>
    </row>
    <row r="85" spans="1:106" ht="21.75" customHeight="1" x14ac:dyDescent="0.25">
      <c r="A85" s="3036" t="s">
        <v>1465</v>
      </c>
      <c r="B85" s="1686"/>
      <c r="C85" s="1686"/>
      <c r="D85" s="1686"/>
      <c r="E85" s="1686"/>
      <c r="F85" s="288" t="str">
        <f>BZ85&amp;CA85&amp;CB85</f>
        <v/>
      </c>
      <c r="G85" s="288"/>
      <c r="H85" s="288"/>
      <c r="I85" s="288"/>
      <c r="J85" s="885"/>
      <c r="K85" s="885"/>
      <c r="L85" s="885"/>
      <c r="M85" s="796"/>
      <c r="N85" s="796"/>
      <c r="O85" s="796"/>
      <c r="P85" s="796"/>
      <c r="Q85" s="1641"/>
      <c r="R85" s="1641"/>
      <c r="S85" s="1641"/>
      <c r="T85" s="1642"/>
      <c r="U85" s="1642"/>
      <c r="V85" s="1642"/>
      <c r="W85" s="1642"/>
      <c r="X85" s="1642"/>
      <c r="Y85" s="1641"/>
      <c r="Z85" s="1641"/>
      <c r="AZ85" s="1580"/>
      <c r="BT85" s="1187" t="str">
        <f t="shared" ref="BT85:BV86" si="8">IF(BZ85=1,"* Las Aplicaciones de EPSA con resultado de Riesgo NO DEBE ser MAYOR que el Total de las aplicaciones. ","")</f>
        <v/>
      </c>
      <c r="BU85" s="1187" t="str">
        <f t="shared" si="8"/>
        <v/>
      </c>
      <c r="BV85" s="1187" t="str">
        <f t="shared" si="8"/>
        <v/>
      </c>
      <c r="BW85" s="1187" t="str">
        <f t="shared" ref="BW85:BY86" si="9">IF(CC85=1,"* Las Aplicaciones de EPSA con resultado de Riesgo NO DEBE ser MAYOR que el Total de las aplicaciones. ","")</f>
        <v/>
      </c>
      <c r="BX85" s="1187" t="str">
        <f t="shared" si="9"/>
        <v/>
      </c>
      <c r="BY85" s="1187" t="str">
        <f t="shared" si="9"/>
        <v/>
      </c>
      <c r="BZ85" s="1187" t="str">
        <f>IF(CF85=1,"* Las Aplicaciones de EPSA con resultado de Riesgo NO DEBE ser MAYOR que el Total de las aplicaciones. ","")</f>
        <v/>
      </c>
      <c r="CA85" s="1464" t="str">
        <f>IF(CG85=1,"* Las Aplicaciones de EPSA con resultado de Riesgo NO DEBE ser MENOR que las Derivaciones a equipo de cabecera. ","")</f>
        <v/>
      </c>
      <c r="CB85" s="1464" t="str">
        <f>IF(CH85=1,"* Las Aplicaciones de EPSA asociadas a Violencia Intrafamiliar NO DEBEN ser MAYOR al Total de las aplicaciones. ","")</f>
        <v/>
      </c>
      <c r="CF85" s="1464">
        <f>IF(B85&lt;C85,1,0)</f>
        <v>0</v>
      </c>
      <c r="CG85" s="1464">
        <f>IF(C85&lt;D85,1,0)</f>
        <v>0</v>
      </c>
      <c r="CH85" s="1464">
        <f>IF(E85&gt;B85,1,0)</f>
        <v>0</v>
      </c>
    </row>
    <row r="86" spans="1:106" ht="22.5" customHeight="1" x14ac:dyDescent="0.25">
      <c r="A86" s="3034" t="s">
        <v>2150</v>
      </c>
      <c r="B86" s="1685"/>
      <c r="C86" s="1685"/>
      <c r="D86" s="1685"/>
      <c r="E86" s="1685"/>
      <c r="F86" s="288" t="str">
        <f>BZ86&amp;CA86&amp;CB86</f>
        <v/>
      </c>
      <c r="G86" s="1584"/>
      <c r="H86" s="1584"/>
      <c r="I86" s="1584"/>
      <c r="J86" s="1584"/>
      <c r="K86" s="1584"/>
      <c r="L86" s="1584"/>
      <c r="M86" s="1584"/>
      <c r="N86" s="1584"/>
      <c r="O86" s="1584"/>
      <c r="P86" s="1584"/>
      <c r="Q86" s="882"/>
      <c r="R86" s="882"/>
      <c r="S86" s="882"/>
      <c r="T86" s="882"/>
      <c r="U86" s="882"/>
      <c r="V86" s="882"/>
      <c r="W86" s="882"/>
      <c r="X86" s="882"/>
      <c r="Y86" s="882"/>
      <c r="Z86" s="882"/>
      <c r="AZ86" s="1580"/>
      <c r="BT86" s="1187" t="str">
        <f t="shared" si="8"/>
        <v/>
      </c>
      <c r="BU86" s="1187" t="str">
        <f t="shared" si="8"/>
        <v/>
      </c>
      <c r="BV86" s="1187" t="str">
        <f t="shared" si="8"/>
        <v/>
      </c>
      <c r="BW86" s="1187" t="str">
        <f t="shared" si="9"/>
        <v/>
      </c>
      <c r="BX86" s="1187" t="str">
        <f t="shared" si="9"/>
        <v/>
      </c>
      <c r="BY86" s="1187" t="str">
        <f t="shared" si="9"/>
        <v/>
      </c>
      <c r="BZ86" s="1187" t="str">
        <f>IF(CF86=1,"* Las Aplicaciones de EPSA con resultado de Riesgo NO DEBE ser MAYOR que el Total de las aplicaciones. ","")</f>
        <v/>
      </c>
      <c r="CA86" s="1464" t="str">
        <f>IF(CG86=1,"* Las Aplicaciones de EPSA con resultado de Riesgo NO DEBE ser MENOR que las Derivaciones a equipo de cabecera. ","")</f>
        <v/>
      </c>
      <c r="CB86" s="1464" t="str">
        <f>IF(CH86=1,"* Las Aplicaciones de EPSA asociadas a Violencia Intrafamiliar NO DEBEN ser MAYOR al Total de las aplicaciones. ","")</f>
        <v/>
      </c>
      <c r="CF86" s="1464">
        <f>IF(B86&lt;C86,1,0)</f>
        <v>0</v>
      </c>
      <c r="CG86" s="1464">
        <f>IF(C86&lt;D86,1,0)</f>
        <v>0</v>
      </c>
      <c r="CH86" s="1464">
        <f>IF(E86&gt;B86,1,0)</f>
        <v>0</v>
      </c>
    </row>
    <row r="87" spans="1:106" ht="31.35" customHeight="1" x14ac:dyDescent="0.25">
      <c r="A87" s="72" t="s">
        <v>1464</v>
      </c>
      <c r="B87" s="72"/>
      <c r="C87" s="72"/>
      <c r="D87" s="72"/>
      <c r="E87" s="72"/>
      <c r="F87" s="292"/>
      <c r="G87" s="292"/>
      <c r="H87" s="292"/>
      <c r="I87" s="891"/>
      <c r="J87" s="883"/>
      <c r="K87" s="891"/>
      <c r="L87" s="882"/>
      <c r="M87" s="882"/>
      <c r="N87" s="882"/>
      <c r="O87" s="882"/>
      <c r="P87" s="876"/>
      <c r="Q87" s="883"/>
      <c r="R87" s="882"/>
      <c r="S87" s="882"/>
      <c r="T87" s="882"/>
      <c r="U87" s="882"/>
      <c r="V87" s="882"/>
      <c r="W87" s="882"/>
      <c r="X87" s="882"/>
      <c r="Y87" s="882"/>
      <c r="Z87" s="882"/>
      <c r="AA87" s="882"/>
      <c r="BA87" s="1187"/>
      <c r="BB87" s="1187"/>
      <c r="BC87" s="1187"/>
      <c r="BD87" s="1187"/>
      <c r="BE87" s="1187"/>
      <c r="BF87" s="1187"/>
      <c r="BG87" s="1187"/>
      <c r="BH87" s="1187"/>
      <c r="BI87" s="1187"/>
      <c r="BJ87" s="1187"/>
      <c r="BK87" s="1187"/>
      <c r="BL87" s="1187"/>
      <c r="BM87" s="1187"/>
      <c r="BN87" s="1187"/>
      <c r="BO87" s="1187"/>
      <c r="BP87" s="1187"/>
      <c r="BQ87" s="1187"/>
      <c r="BR87" s="1187"/>
      <c r="BS87" s="1187"/>
      <c r="CG87" s="1464">
        <v>0</v>
      </c>
    </row>
    <row r="88" spans="1:106" ht="66.75" customHeight="1" x14ac:dyDescent="0.25">
      <c r="A88" s="8439" t="s">
        <v>31</v>
      </c>
      <c r="B88" s="8441"/>
      <c r="C88" s="2142" t="s">
        <v>1463</v>
      </c>
      <c r="D88" s="893" t="s">
        <v>1462</v>
      </c>
      <c r="E88" s="893" t="s">
        <v>1461</v>
      </c>
      <c r="F88" s="893" t="s">
        <v>1460</v>
      </c>
      <c r="G88" s="800"/>
      <c r="H88" s="800"/>
      <c r="I88" s="892"/>
      <c r="J88" s="892"/>
      <c r="K88" s="891"/>
      <c r="L88" s="882"/>
      <c r="M88" s="882"/>
      <c r="N88" s="882"/>
      <c r="O88" s="882"/>
      <c r="P88" s="882"/>
      <c r="Q88" s="882"/>
      <c r="R88" s="890"/>
      <c r="S88" s="796"/>
      <c r="T88" s="796"/>
      <c r="U88" s="796"/>
      <c r="V88" s="796"/>
      <c r="W88" s="796"/>
      <c r="X88" s="796"/>
      <c r="Y88" s="796"/>
      <c r="Z88" s="796"/>
      <c r="AA88" s="796"/>
      <c r="CG88" s="1464">
        <v>0</v>
      </c>
    </row>
    <row r="89" spans="1:106" ht="25.35" customHeight="1" x14ac:dyDescent="0.25">
      <c r="A89" s="8441" t="s">
        <v>1459</v>
      </c>
      <c r="B89" s="2147" t="s">
        <v>1458</v>
      </c>
      <c r="C89" s="690"/>
      <c r="D89" s="889"/>
      <c r="E89" s="690"/>
      <c r="F89" s="690"/>
      <c r="G89" s="1492"/>
      <c r="H89" s="1584"/>
      <c r="I89" s="1584"/>
      <c r="J89" s="1584"/>
      <c r="K89" s="1584"/>
      <c r="L89" s="1584"/>
      <c r="M89" s="1584"/>
      <c r="N89" s="1584"/>
      <c r="O89" s="1584"/>
      <c r="P89" s="1584"/>
      <c r="Q89" s="1584"/>
      <c r="R89" s="888"/>
      <c r="S89" s="796"/>
      <c r="T89" s="796"/>
      <c r="U89" s="796"/>
      <c r="V89" s="796"/>
      <c r="W89" s="796"/>
      <c r="X89" s="796"/>
      <c r="Y89" s="796"/>
      <c r="Z89" s="796"/>
      <c r="AA89" s="796"/>
      <c r="CG89" s="1464">
        <v>0</v>
      </c>
      <c r="DB89" s="3306">
        <v>0</v>
      </c>
    </row>
    <row r="90" spans="1:106" ht="39.75" customHeight="1" thickBot="1" x14ac:dyDescent="0.3">
      <c r="A90" s="8192"/>
      <c r="B90" s="887" t="s">
        <v>1457</v>
      </c>
      <c r="C90" s="97"/>
      <c r="D90" s="762"/>
      <c r="E90" s="97"/>
      <c r="F90" s="2011"/>
      <c r="G90" s="1492"/>
      <c r="H90" s="1584"/>
      <c r="I90" s="1584"/>
      <c r="J90" s="1584"/>
      <c r="K90" s="1584"/>
      <c r="L90" s="1584"/>
      <c r="M90" s="1584"/>
      <c r="N90" s="1584"/>
      <c r="O90" s="1584"/>
      <c r="P90" s="1584"/>
      <c r="Q90" s="1584"/>
      <c r="R90" s="882"/>
      <c r="S90" s="796"/>
      <c r="T90" s="796"/>
      <c r="U90" s="796"/>
      <c r="V90" s="796"/>
      <c r="W90" s="796"/>
      <c r="X90" s="796"/>
      <c r="Y90" s="796"/>
      <c r="Z90" s="796"/>
      <c r="AA90" s="796"/>
      <c r="CG90" s="1464">
        <v>0</v>
      </c>
      <c r="DB90" s="3306">
        <v>0</v>
      </c>
    </row>
    <row r="91" spans="1:106" ht="21.75" customHeight="1" thickTop="1" x14ac:dyDescent="0.25">
      <c r="A91" s="8485" t="s">
        <v>1456</v>
      </c>
      <c r="B91" s="886" t="s">
        <v>1455</v>
      </c>
      <c r="C91" s="529"/>
      <c r="D91" s="529"/>
      <c r="E91" s="808"/>
      <c r="F91" s="1920"/>
      <c r="G91" s="1492"/>
      <c r="H91" s="1584"/>
      <c r="I91" s="1584"/>
      <c r="J91" s="1584"/>
      <c r="K91" s="1584"/>
      <c r="L91" s="1584"/>
      <c r="M91" s="1584"/>
      <c r="N91" s="1584"/>
      <c r="O91" s="1584"/>
      <c r="P91" s="1584"/>
      <c r="Q91" s="1584"/>
      <c r="R91" s="882"/>
      <c r="S91" s="796"/>
      <c r="T91" s="796"/>
      <c r="U91" s="796"/>
      <c r="V91" s="796"/>
      <c r="W91" s="796"/>
      <c r="X91" s="796"/>
      <c r="Y91" s="796"/>
      <c r="Z91" s="796"/>
      <c r="AA91" s="796"/>
      <c r="CG91" s="1464">
        <v>0</v>
      </c>
      <c r="DA91" s="3306">
        <v>0</v>
      </c>
    </row>
    <row r="92" spans="1:106" ht="18" customHeight="1" x14ac:dyDescent="0.25">
      <c r="A92" s="8391"/>
      <c r="B92" s="318" t="s">
        <v>1454</v>
      </c>
      <c r="C92" s="86"/>
      <c r="D92" s="86"/>
      <c r="E92" s="128"/>
      <c r="F92" s="86"/>
      <c r="G92" s="1492"/>
      <c r="H92" s="1584"/>
      <c r="I92" s="1584"/>
      <c r="J92" s="1584"/>
      <c r="K92" s="1584"/>
      <c r="L92" s="1584"/>
      <c r="M92" s="1584"/>
      <c r="N92" s="1584"/>
      <c r="O92" s="1584"/>
      <c r="P92" s="1584"/>
      <c r="Q92" s="1584"/>
      <c r="R92" s="882"/>
      <c r="S92" s="796"/>
      <c r="T92" s="796"/>
      <c r="U92" s="796"/>
      <c r="V92" s="796"/>
      <c r="W92" s="796"/>
      <c r="X92" s="796"/>
      <c r="Y92" s="796"/>
      <c r="Z92" s="796"/>
      <c r="AA92" s="796"/>
      <c r="CG92" s="1464">
        <v>0</v>
      </c>
      <c r="DA92" s="3306">
        <v>0</v>
      </c>
    </row>
    <row r="93" spans="1:106" ht="31.35" customHeight="1" x14ac:dyDescent="0.25">
      <c r="A93" s="72" t="s">
        <v>1453</v>
      </c>
      <c r="B93" s="2181"/>
      <c r="C93" s="153"/>
      <c r="D93" s="153"/>
      <c r="E93" s="153"/>
      <c r="F93" s="796"/>
      <c r="G93" s="288"/>
      <c r="H93" s="885"/>
      <c r="I93" s="796"/>
      <c r="J93" s="884"/>
      <c r="K93" s="883"/>
      <c r="L93" s="874"/>
      <c r="M93" s="874"/>
      <c r="N93" s="882"/>
      <c r="O93" s="882"/>
      <c r="P93" s="882"/>
      <c r="Q93" s="882"/>
      <c r="R93" s="882"/>
      <c r="S93" s="796"/>
      <c r="T93" s="796"/>
      <c r="U93" s="796"/>
      <c r="V93" s="796"/>
      <c r="W93" s="796"/>
      <c r="X93" s="796"/>
      <c r="Y93" s="796"/>
      <c r="Z93" s="796"/>
      <c r="AA93" s="796"/>
      <c r="BA93" s="1187"/>
      <c r="BB93" s="1187"/>
      <c r="BC93" s="1187"/>
      <c r="BD93" s="1187"/>
      <c r="BE93" s="1187"/>
      <c r="BF93" s="1187"/>
      <c r="BG93" s="1187"/>
      <c r="BH93" s="1187"/>
      <c r="BI93" s="1187"/>
      <c r="BJ93" s="1187"/>
      <c r="BK93" s="1187"/>
      <c r="BL93" s="1187"/>
      <c r="BM93" s="1187"/>
      <c r="BN93" s="1187"/>
      <c r="BO93" s="1187"/>
      <c r="BP93" s="1187"/>
      <c r="BQ93" s="1187"/>
      <c r="BR93" s="1187"/>
      <c r="BS93" s="1187"/>
    </row>
    <row r="94" spans="1:106" ht="16.350000000000001" customHeight="1" x14ac:dyDescent="0.25">
      <c r="A94" s="8440" t="s">
        <v>1452</v>
      </c>
      <c r="B94" s="8441"/>
      <c r="C94" s="8453" t="s">
        <v>24</v>
      </c>
      <c r="D94" s="8490"/>
      <c r="E94" s="8454"/>
      <c r="F94" s="8453" t="s">
        <v>3520</v>
      </c>
      <c r="G94" s="8454"/>
      <c r="H94" s="8323" t="s">
        <v>3521</v>
      </c>
      <c r="I94" s="8324"/>
      <c r="J94" s="2666"/>
      <c r="K94" s="875"/>
      <c r="L94" s="874"/>
      <c r="M94" s="874"/>
      <c r="N94" s="875"/>
      <c r="O94" s="875"/>
      <c r="P94" s="882"/>
      <c r="Q94" s="796"/>
      <c r="R94" s="796"/>
      <c r="S94" s="796"/>
      <c r="T94" s="796"/>
      <c r="U94" s="796"/>
      <c r="V94" s="796"/>
      <c r="W94" s="796"/>
      <c r="X94" s="796"/>
      <c r="Y94" s="796"/>
      <c r="AY94" s="1580"/>
      <c r="AZ94" s="1580"/>
    </row>
    <row r="95" spans="1:106" ht="16.350000000000001" customHeight="1" x14ac:dyDescent="0.25">
      <c r="A95" s="8168"/>
      <c r="B95" s="8284"/>
      <c r="C95" s="881" t="s">
        <v>42</v>
      </c>
      <c r="D95" s="880" t="s">
        <v>17</v>
      </c>
      <c r="E95" s="2135" t="s">
        <v>18</v>
      </c>
      <c r="F95" s="715" t="s">
        <v>17</v>
      </c>
      <c r="G95" s="2135" t="s">
        <v>18</v>
      </c>
      <c r="H95" s="2656" t="s">
        <v>17</v>
      </c>
      <c r="I95" s="2668" t="s">
        <v>18</v>
      </c>
      <c r="J95" s="2666"/>
      <c r="K95" s="875"/>
      <c r="L95" s="875"/>
      <c r="M95" s="874"/>
      <c r="N95" s="874"/>
      <c r="O95" s="875"/>
      <c r="P95" s="875"/>
      <c r="Q95" s="796"/>
      <c r="R95" s="796"/>
      <c r="S95" s="796"/>
      <c r="T95" s="796"/>
      <c r="U95" s="796"/>
      <c r="V95" s="796"/>
      <c r="W95" s="796"/>
      <c r="X95" s="796"/>
      <c r="Y95" s="796"/>
      <c r="AY95" s="1580"/>
      <c r="AZ95" s="1580"/>
    </row>
    <row r="96" spans="1:106" ht="16.350000000000001" customHeight="1" x14ac:dyDescent="0.25">
      <c r="A96" s="8453" t="s">
        <v>24</v>
      </c>
      <c r="B96" s="8454"/>
      <c r="C96" s="879">
        <f>SUM(C97:C101)</f>
        <v>0</v>
      </c>
      <c r="D96" s="878">
        <f t="shared" ref="D96:I96" si="10">SUM(D97:D101)</f>
        <v>0</v>
      </c>
      <c r="E96" s="713">
        <f t="shared" si="10"/>
        <v>0</v>
      </c>
      <c r="F96" s="877">
        <f>SUM(F97:F101)</f>
        <v>0</v>
      </c>
      <c r="G96" s="712">
        <f t="shared" si="10"/>
        <v>0</v>
      </c>
      <c r="H96" s="2664">
        <f t="shared" si="10"/>
        <v>0</v>
      </c>
      <c r="I96" s="2665">
        <f t="shared" si="10"/>
        <v>0</v>
      </c>
      <c r="J96" s="2667"/>
      <c r="K96" s="875"/>
      <c r="L96" s="875"/>
      <c r="M96" s="874"/>
      <c r="N96" s="874"/>
      <c r="O96" s="873"/>
      <c r="P96" s="873"/>
      <c r="Q96" s="796"/>
      <c r="R96" s="796"/>
      <c r="S96" s="796"/>
      <c r="T96" s="796"/>
      <c r="U96" s="796"/>
      <c r="V96" s="796"/>
      <c r="W96" s="796"/>
      <c r="X96" s="796"/>
      <c r="Y96" s="796"/>
      <c r="AY96" s="1580"/>
      <c r="AZ96" s="1580"/>
    </row>
    <row r="97" spans="1:130" ht="16.350000000000001" customHeight="1" x14ac:dyDescent="0.25">
      <c r="A97" s="8451" t="s">
        <v>1451</v>
      </c>
      <c r="B97" s="8452"/>
      <c r="C97" s="826">
        <f>SUM(D97+E97)</f>
        <v>0</v>
      </c>
      <c r="D97" s="872">
        <f>SUM(F97+H97)</f>
        <v>0</v>
      </c>
      <c r="E97" s="825">
        <f t="shared" ref="D97:E101" si="11">SUM(G97+I97)</f>
        <v>0</v>
      </c>
      <c r="F97" s="721"/>
      <c r="G97" s="815"/>
      <c r="H97" s="2647"/>
      <c r="I97" s="2102"/>
      <c r="J97" s="3303"/>
      <c r="K97" s="870"/>
      <c r="L97" s="870"/>
      <c r="M97" s="869"/>
      <c r="N97" s="869"/>
      <c r="O97" s="868"/>
      <c r="P97" s="868"/>
      <c r="Q97" s="796"/>
      <c r="R97" s="796"/>
      <c r="S97" s="796"/>
      <c r="T97" s="796"/>
      <c r="U97" s="796"/>
      <c r="V97" s="796"/>
      <c r="W97" s="796"/>
      <c r="X97" s="796"/>
      <c r="Y97" s="796"/>
      <c r="AY97" s="1580"/>
      <c r="AZ97" s="1580"/>
    </row>
    <row r="98" spans="1:130" ht="16.350000000000001" customHeight="1" x14ac:dyDescent="0.25">
      <c r="A98" s="8404" t="s">
        <v>1450</v>
      </c>
      <c r="B98" s="8288"/>
      <c r="C98" s="2211">
        <f>SUM(D98+E98)</f>
        <v>0</v>
      </c>
      <c r="D98" s="812">
        <f t="shared" si="11"/>
        <v>0</v>
      </c>
      <c r="E98" s="163">
        <f t="shared" si="11"/>
        <v>0</v>
      </c>
      <c r="F98" s="129"/>
      <c r="G98" s="143"/>
      <c r="H98" s="2518"/>
      <c r="I98" s="2506"/>
      <c r="J98" s="3303"/>
      <c r="K98" s="870"/>
      <c r="L98" s="870"/>
      <c r="M98" s="869"/>
      <c r="N98" s="869"/>
      <c r="O98" s="868"/>
      <c r="P98" s="868"/>
      <c r="Q98" s="796"/>
      <c r="R98" s="796"/>
      <c r="S98" s="796"/>
      <c r="T98" s="796"/>
      <c r="U98" s="796"/>
      <c r="V98" s="796"/>
      <c r="W98" s="796"/>
      <c r="X98" s="796"/>
      <c r="Y98" s="796"/>
      <c r="AY98" s="1580"/>
      <c r="AZ98" s="1580"/>
    </row>
    <row r="99" spans="1:130" ht="16.350000000000001" customHeight="1" x14ac:dyDescent="0.25">
      <c r="A99" s="8404" t="s">
        <v>1449</v>
      </c>
      <c r="B99" s="8288"/>
      <c r="C99" s="2211">
        <f>SUM(D99+E99)</f>
        <v>0</v>
      </c>
      <c r="D99" s="812">
        <f t="shared" si="11"/>
        <v>0</v>
      </c>
      <c r="E99" s="163">
        <f t="shared" si="11"/>
        <v>0</v>
      </c>
      <c r="F99" s="110"/>
      <c r="G99" s="144"/>
      <c r="H99" s="2548"/>
      <c r="I99" s="2551"/>
      <c r="J99" s="3303"/>
      <c r="K99" s="870"/>
      <c r="L99" s="870"/>
      <c r="M99" s="869"/>
      <c r="N99" s="869"/>
      <c r="O99" s="868"/>
      <c r="P99" s="868"/>
      <c r="Q99" s="796"/>
      <c r="R99" s="796"/>
      <c r="S99" s="796"/>
      <c r="T99" s="796"/>
      <c r="U99" s="796"/>
      <c r="V99" s="796"/>
      <c r="W99" s="796"/>
      <c r="X99" s="796"/>
      <c r="Y99" s="796"/>
      <c r="AY99" s="1580"/>
      <c r="AZ99" s="1580"/>
    </row>
    <row r="100" spans="1:130" ht="16.350000000000001" customHeight="1" x14ac:dyDescent="0.25">
      <c r="A100" s="8416" t="s">
        <v>1448</v>
      </c>
      <c r="B100" s="8417"/>
      <c r="C100" s="577">
        <f>SUM(D100+E100)</f>
        <v>0</v>
      </c>
      <c r="D100" s="871">
        <f t="shared" si="11"/>
        <v>0</v>
      </c>
      <c r="E100" s="172">
        <f t="shared" si="11"/>
        <v>0</v>
      </c>
      <c r="F100" s="137"/>
      <c r="G100" s="164"/>
      <c r="H100" s="2574"/>
      <c r="I100" s="2596"/>
      <c r="J100" s="3303"/>
      <c r="K100" s="870"/>
      <c r="L100" s="870"/>
      <c r="M100" s="869"/>
      <c r="N100" s="869"/>
      <c r="O100" s="868"/>
      <c r="P100" s="868"/>
      <c r="Q100" s="796"/>
      <c r="R100" s="796"/>
      <c r="S100" s="796"/>
      <c r="T100" s="796"/>
      <c r="U100" s="796"/>
      <c r="V100" s="796"/>
      <c r="W100" s="796"/>
      <c r="X100" s="796"/>
      <c r="Y100" s="796"/>
      <c r="AY100" s="1580"/>
      <c r="AZ100" s="1580"/>
    </row>
    <row r="101" spans="1:130" ht="16.350000000000001" customHeight="1" x14ac:dyDescent="0.25">
      <c r="A101" s="8405" t="s">
        <v>1447</v>
      </c>
      <c r="B101" s="8406"/>
      <c r="C101" s="1357">
        <f>SUM(D101+E101)</f>
        <v>0</v>
      </c>
      <c r="D101" s="822">
        <f t="shared" si="11"/>
        <v>0</v>
      </c>
      <c r="E101" s="147">
        <f t="shared" si="11"/>
        <v>0</v>
      </c>
      <c r="F101" s="125"/>
      <c r="G101" s="127"/>
      <c r="H101" s="2521"/>
      <c r="I101" s="2552"/>
      <c r="J101" s="3303"/>
      <c r="K101" s="870"/>
      <c r="L101" s="870"/>
      <c r="M101" s="869"/>
      <c r="N101" s="869"/>
      <c r="O101" s="868"/>
      <c r="P101" s="868"/>
      <c r="Q101" s="796"/>
      <c r="R101" s="796"/>
      <c r="S101" s="796"/>
      <c r="T101" s="796"/>
      <c r="U101" s="796"/>
      <c r="V101" s="796"/>
      <c r="W101" s="796"/>
      <c r="X101" s="796"/>
      <c r="Y101" s="796"/>
      <c r="AY101" s="1580"/>
      <c r="AZ101" s="1580"/>
    </row>
    <row r="102" spans="1:130" s="1593" customFormat="1" ht="31.35" customHeight="1" x14ac:dyDescent="0.25">
      <c r="A102" s="8329" t="s">
        <v>1446</v>
      </c>
      <c r="B102" s="8329"/>
      <c r="C102" s="8329"/>
      <c r="D102" s="8329"/>
      <c r="E102" s="8329"/>
      <c r="F102" s="8329"/>
      <c r="G102" s="8329"/>
      <c r="H102" s="8329"/>
      <c r="I102" s="8329"/>
      <c r="J102" s="8329"/>
      <c r="K102" s="8329"/>
      <c r="L102" s="8329"/>
      <c r="M102" s="8329"/>
      <c r="N102" s="8329"/>
      <c r="O102" s="8329"/>
      <c r="P102" s="8329"/>
      <c r="Q102" s="1590"/>
      <c r="R102" s="796"/>
      <c r="S102" s="796"/>
      <c r="T102" s="796"/>
      <c r="U102" s="796"/>
      <c r="V102" s="796"/>
      <c r="W102" s="796"/>
      <c r="X102" s="796"/>
      <c r="Y102" s="796"/>
      <c r="Z102" s="796"/>
      <c r="AA102" s="796"/>
      <c r="AB102" s="1591"/>
      <c r="AC102" s="1591"/>
      <c r="AD102" s="1591"/>
      <c r="AE102" s="1591"/>
      <c r="AF102" s="1591"/>
      <c r="AG102" s="1591"/>
      <c r="AH102" s="1591"/>
      <c r="AI102" s="1591"/>
      <c r="AJ102" s="1591"/>
      <c r="AK102" s="1591"/>
      <c r="AL102" s="1591"/>
      <c r="AM102" s="1591"/>
      <c r="AN102" s="1591"/>
      <c r="AO102" s="1591"/>
      <c r="AP102" s="1591"/>
      <c r="AQ102" s="1591"/>
      <c r="AR102" s="1591"/>
      <c r="AS102" s="1591"/>
      <c r="AT102" s="1591"/>
      <c r="AU102" s="1591"/>
      <c r="AV102" s="1591"/>
      <c r="AW102" s="1591"/>
      <c r="AX102" s="1591"/>
      <c r="AY102" s="1591"/>
      <c r="AZ102" s="1591"/>
      <c r="BA102" s="1591"/>
      <c r="BB102" s="1591"/>
      <c r="BC102" s="1591"/>
      <c r="BD102" s="1591"/>
      <c r="BE102" s="1591"/>
      <c r="BF102" s="1591"/>
      <c r="BG102" s="1591"/>
      <c r="BH102" s="1591"/>
      <c r="BI102" s="1591"/>
      <c r="BJ102" s="1591"/>
      <c r="BK102" s="1591"/>
      <c r="BL102" s="1591"/>
      <c r="BM102" s="1591"/>
      <c r="BN102" s="1591"/>
      <c r="BO102" s="1591"/>
      <c r="BP102" s="1591"/>
      <c r="BQ102" s="1591"/>
      <c r="BR102" s="1591"/>
      <c r="BS102" s="1591"/>
      <c r="BT102" s="1591"/>
      <c r="BU102" s="1591"/>
      <c r="BV102" s="1591"/>
      <c r="BW102" s="1591"/>
      <c r="BX102" s="1591"/>
      <c r="BY102" s="1591"/>
      <c r="BZ102" s="1591"/>
      <c r="CA102" s="1592"/>
      <c r="CB102" s="1592"/>
      <c r="CC102" s="1592"/>
      <c r="CD102" s="1592"/>
      <c r="CE102" s="1592"/>
      <c r="CF102" s="1592"/>
      <c r="CG102" s="1592"/>
      <c r="CH102" s="1592"/>
      <c r="CI102" s="1592"/>
      <c r="CJ102" s="1592"/>
      <c r="CK102" s="1592"/>
      <c r="CL102" s="1592"/>
      <c r="CM102" s="1592"/>
      <c r="CN102" s="1592"/>
      <c r="CO102" s="1592"/>
      <c r="CP102" s="1592"/>
      <c r="CQ102" s="1592"/>
      <c r="CR102" s="1592"/>
      <c r="CS102" s="1592"/>
      <c r="CT102" s="1592"/>
      <c r="CU102" s="1592"/>
      <c r="CV102" s="1592"/>
      <c r="CW102" s="1592"/>
      <c r="CX102" s="1592"/>
      <c r="CY102" s="1592"/>
      <c r="CZ102" s="1592"/>
      <c r="DA102" s="7365"/>
      <c r="DB102" s="7365"/>
      <c r="DC102" s="7365"/>
      <c r="DD102" s="7365"/>
      <c r="DE102" s="7365"/>
      <c r="DF102" s="7365"/>
      <c r="DG102" s="7365"/>
      <c r="DH102" s="7365"/>
      <c r="DI102" s="7365"/>
      <c r="DJ102" s="7365"/>
      <c r="DK102" s="7365"/>
      <c r="DL102" s="7365"/>
      <c r="DM102" s="7365"/>
      <c r="DN102" s="7365"/>
      <c r="DO102" s="7365"/>
      <c r="DP102" s="7365"/>
      <c r="DQ102" s="7365"/>
      <c r="DR102" s="7365"/>
      <c r="DS102" s="7365"/>
      <c r="DT102" s="7365"/>
      <c r="DU102" s="7365"/>
      <c r="DV102" s="7365"/>
      <c r="DW102" s="7365"/>
      <c r="DX102" s="7365"/>
      <c r="DY102" s="7365"/>
      <c r="DZ102" s="7365"/>
    </row>
    <row r="103" spans="1:130" s="1593" customFormat="1" ht="31.35" customHeight="1" x14ac:dyDescent="0.25">
      <c r="A103" s="8455" t="s">
        <v>1445</v>
      </c>
      <c r="B103" s="8455"/>
      <c r="C103" s="8455"/>
      <c r="D103" s="8455"/>
      <c r="E103" s="8455"/>
      <c r="F103" s="8456"/>
      <c r="G103" s="8456"/>
      <c r="H103" s="8456"/>
      <c r="I103" s="8456"/>
      <c r="J103" s="8456"/>
      <c r="K103" s="8456"/>
      <c r="L103" s="8456"/>
      <c r="M103" s="8456"/>
      <c r="N103" s="8456"/>
      <c r="O103" s="8456"/>
      <c r="P103" s="8456"/>
      <c r="Q103" s="8456"/>
      <c r="R103" s="796"/>
      <c r="S103" s="796"/>
      <c r="T103" s="796"/>
      <c r="U103" s="796"/>
      <c r="V103" s="796"/>
      <c r="W103" s="796"/>
      <c r="X103" s="796"/>
      <c r="Y103" s="796"/>
      <c r="Z103" s="796"/>
      <c r="AA103" s="796"/>
      <c r="AB103" s="1591"/>
      <c r="AC103" s="1591"/>
      <c r="AD103" s="1591"/>
      <c r="AE103" s="1591"/>
      <c r="AF103" s="1591"/>
      <c r="AG103" s="1591"/>
      <c r="AH103" s="1591"/>
      <c r="AI103" s="1591"/>
      <c r="AJ103" s="1591"/>
      <c r="AK103" s="1591"/>
      <c r="AL103" s="1591"/>
      <c r="AM103" s="1591"/>
      <c r="AN103" s="1591"/>
      <c r="AO103" s="1591"/>
      <c r="AP103" s="1591"/>
      <c r="AQ103" s="1591"/>
      <c r="AR103" s="1591"/>
      <c r="AS103" s="1591"/>
      <c r="AT103" s="1591"/>
      <c r="AU103" s="1591"/>
      <c r="AV103" s="1591"/>
      <c r="AW103" s="1591"/>
      <c r="AX103" s="1591"/>
      <c r="AY103" s="1591"/>
      <c r="AZ103" s="1591"/>
      <c r="BA103" s="1591"/>
      <c r="BB103" s="1591"/>
      <c r="BC103" s="1591"/>
      <c r="BD103" s="1591"/>
      <c r="BE103" s="1591"/>
      <c r="BF103" s="1591"/>
      <c r="BG103" s="1591"/>
      <c r="BH103" s="1591"/>
      <c r="BI103" s="1591"/>
      <c r="BJ103" s="1591"/>
      <c r="BK103" s="1591"/>
      <c r="BL103" s="1591"/>
      <c r="BM103" s="1591"/>
      <c r="BN103" s="1591"/>
      <c r="BO103" s="1591"/>
      <c r="BP103" s="1591"/>
      <c r="BQ103" s="1591"/>
      <c r="BR103" s="1591"/>
      <c r="BS103" s="1591"/>
      <c r="BT103" s="1591"/>
      <c r="BU103" s="1591"/>
      <c r="BV103" s="1591"/>
      <c r="BW103" s="1591"/>
      <c r="BX103" s="1591"/>
      <c r="BY103" s="1591"/>
      <c r="BZ103" s="1591"/>
      <c r="CA103" s="1592"/>
      <c r="CB103" s="1592"/>
      <c r="CC103" s="1592"/>
      <c r="CD103" s="1592"/>
      <c r="CE103" s="1592"/>
      <c r="CF103" s="1592"/>
      <c r="CG103" s="1592"/>
      <c r="CH103" s="1592"/>
      <c r="CI103" s="1592"/>
      <c r="CJ103" s="1592"/>
      <c r="CK103" s="1592"/>
      <c r="CL103" s="1592"/>
      <c r="CM103" s="1592"/>
      <c r="CN103" s="1592"/>
      <c r="CO103" s="1592"/>
      <c r="CP103" s="1592"/>
      <c r="CQ103" s="1592"/>
      <c r="CR103" s="1592"/>
      <c r="CS103" s="1592"/>
      <c r="CT103" s="1592"/>
      <c r="CU103" s="1592"/>
      <c r="CV103" s="1592"/>
      <c r="CW103" s="1592"/>
      <c r="CX103" s="1592"/>
      <c r="CY103" s="1592"/>
      <c r="CZ103" s="1592"/>
      <c r="DA103" s="7365"/>
      <c r="DB103" s="7365"/>
      <c r="DC103" s="7365"/>
      <c r="DD103" s="7365"/>
      <c r="DE103" s="7365"/>
      <c r="DF103" s="7365"/>
      <c r="DG103" s="7365"/>
      <c r="DH103" s="7365"/>
      <c r="DI103" s="7365"/>
      <c r="DJ103" s="7365"/>
      <c r="DK103" s="7365"/>
      <c r="DL103" s="7365"/>
      <c r="DM103" s="7365"/>
      <c r="DN103" s="7365"/>
      <c r="DO103" s="7365"/>
      <c r="DP103" s="7365"/>
      <c r="DQ103" s="7365"/>
      <c r="DR103" s="7365"/>
      <c r="DS103" s="7365"/>
      <c r="DT103" s="7365"/>
      <c r="DU103" s="7365"/>
      <c r="DV103" s="7365"/>
      <c r="DW103" s="7365"/>
      <c r="DX103" s="7365"/>
      <c r="DY103" s="7365"/>
      <c r="DZ103" s="7365"/>
    </row>
    <row r="104" spans="1:130" s="1581" customFormat="1" ht="31.35" customHeight="1" x14ac:dyDescent="0.25">
      <c r="A104" s="8457" t="s">
        <v>30</v>
      </c>
      <c r="B104" s="8436"/>
      <c r="C104" s="8282" t="s">
        <v>1259</v>
      </c>
      <c r="D104" s="8167"/>
      <c r="E104" s="8183"/>
      <c r="F104" s="8418" t="s">
        <v>2</v>
      </c>
      <c r="G104" s="8419"/>
      <c r="H104" s="8419"/>
      <c r="I104" s="8419"/>
      <c r="J104" s="8419"/>
      <c r="K104" s="8419"/>
      <c r="L104" s="8419"/>
      <c r="M104" s="8419"/>
      <c r="N104" s="8419"/>
      <c r="O104" s="8419"/>
      <c r="P104" s="8419"/>
      <c r="Q104" s="8419"/>
      <c r="R104" s="8419"/>
      <c r="S104" s="8419"/>
      <c r="T104" s="8419"/>
      <c r="U104" s="8420"/>
      <c r="V104" s="2181"/>
      <c r="W104" s="2181"/>
      <c r="X104" s="2181"/>
      <c r="Y104" s="2181"/>
      <c r="BT104" s="1187"/>
      <c r="BU104" s="1187"/>
      <c r="BV104" s="1187"/>
      <c r="BW104" s="1187"/>
      <c r="BX104" s="1187"/>
      <c r="BY104" s="1187"/>
      <c r="BZ104" s="1187"/>
      <c r="CA104" s="1464"/>
      <c r="CB104" s="1464"/>
      <c r="CC104" s="1464"/>
      <c r="CD104" s="1464"/>
      <c r="CE104" s="1464"/>
      <c r="CF104" s="1464"/>
      <c r="CG104" s="1464"/>
      <c r="CH104" s="1464"/>
      <c r="CI104" s="1464"/>
      <c r="CJ104" s="1464"/>
      <c r="CK104" s="1464"/>
      <c r="CL104" s="1464"/>
      <c r="CM104" s="1464"/>
      <c r="CN104" s="1464"/>
      <c r="CO104" s="1464"/>
      <c r="CP104" s="1464"/>
      <c r="CQ104" s="1464"/>
      <c r="CR104" s="1464"/>
      <c r="CS104" s="1464"/>
      <c r="CT104" s="1464"/>
      <c r="CU104" s="1464"/>
      <c r="CV104" s="1464"/>
      <c r="CW104" s="1464"/>
      <c r="CX104" s="1464"/>
      <c r="CY104" s="1464"/>
      <c r="CZ104" s="1464"/>
      <c r="DA104" s="3306"/>
      <c r="DB104" s="3306"/>
      <c r="DC104" s="3306"/>
      <c r="DD104" s="3306"/>
      <c r="DE104" s="3306"/>
      <c r="DF104" s="3306"/>
      <c r="DG104" s="3306"/>
      <c r="DH104" s="3306"/>
      <c r="DI104" s="3306"/>
      <c r="DJ104" s="3306"/>
      <c r="DK104" s="3306"/>
      <c r="DL104" s="3306"/>
      <c r="DM104" s="3306"/>
      <c r="DN104" s="3306"/>
      <c r="DO104" s="3306"/>
      <c r="DP104" s="3306"/>
      <c r="DQ104" s="3306"/>
      <c r="DR104" s="3306"/>
      <c r="DS104" s="3306"/>
      <c r="DT104" s="3306"/>
      <c r="DU104" s="3306"/>
      <c r="DV104" s="3306"/>
      <c r="DW104" s="3306"/>
      <c r="DX104" s="3306"/>
      <c r="DY104" s="3306"/>
      <c r="DZ104" s="3306"/>
    </row>
    <row r="105" spans="1:130" s="1581" customFormat="1" ht="16.350000000000001" customHeight="1" x14ac:dyDescent="0.25">
      <c r="A105" s="8458"/>
      <c r="B105" s="8437"/>
      <c r="C105" s="8283"/>
      <c r="D105" s="8168"/>
      <c r="E105" s="8284"/>
      <c r="F105" s="8323" t="s">
        <v>48</v>
      </c>
      <c r="G105" s="8448"/>
      <c r="H105" s="8323" t="s">
        <v>49</v>
      </c>
      <c r="I105" s="8324"/>
      <c r="J105" s="8323" t="s">
        <v>50</v>
      </c>
      <c r="K105" s="8324"/>
      <c r="L105" s="8323" t="s">
        <v>51</v>
      </c>
      <c r="M105" s="8324"/>
      <c r="N105" s="8323" t="s">
        <v>52</v>
      </c>
      <c r="O105" s="8324"/>
      <c r="P105" s="8323" t="s">
        <v>2193</v>
      </c>
      <c r="Q105" s="8324"/>
      <c r="R105" s="8323" t="s">
        <v>2194</v>
      </c>
      <c r="S105" s="8324"/>
      <c r="T105" s="8323" t="s">
        <v>1403</v>
      </c>
      <c r="U105" s="8324"/>
      <c r="V105" s="2181"/>
      <c r="W105" s="2181"/>
      <c r="X105" s="2181"/>
      <c r="Y105" s="2181"/>
      <c r="AY105" s="1594"/>
      <c r="AZ105" s="1594"/>
      <c r="BA105" s="1594"/>
      <c r="BB105" s="1594"/>
      <c r="BC105" s="1594"/>
      <c r="BD105" s="1594"/>
      <c r="BE105" s="1594"/>
      <c r="BF105" s="1594"/>
      <c r="BG105" s="1594"/>
      <c r="BH105" s="1594"/>
      <c r="BI105" s="1594"/>
      <c r="BJ105" s="1594"/>
      <c r="BK105" s="1594"/>
      <c r="BL105" s="1594"/>
      <c r="BM105" s="1594"/>
      <c r="BN105" s="1594"/>
      <c r="BO105" s="1594"/>
      <c r="BP105" s="1594"/>
      <c r="BQ105" s="1594"/>
      <c r="BR105" s="1594"/>
      <c r="BS105" s="1594"/>
      <c r="BT105" s="1187"/>
      <c r="BU105" s="1187"/>
      <c r="BV105" s="1187"/>
      <c r="BW105" s="1187"/>
      <c r="BX105" s="1187"/>
      <c r="BY105" s="1187"/>
      <c r="BZ105" s="1187"/>
      <c r="CA105" s="1464"/>
      <c r="CB105" s="1464"/>
      <c r="CC105" s="1464"/>
      <c r="CD105" s="1464"/>
      <c r="CE105" s="1464"/>
      <c r="CF105" s="1464"/>
      <c r="CG105" s="1464"/>
      <c r="CH105" s="1464"/>
      <c r="CI105" s="1464"/>
      <c r="CJ105" s="1464"/>
      <c r="CK105" s="1464"/>
      <c r="CL105" s="1464"/>
      <c r="CM105" s="1464"/>
      <c r="CN105" s="1464"/>
      <c r="CO105" s="1464"/>
      <c r="CP105" s="1464"/>
      <c r="CQ105" s="1464"/>
      <c r="CR105" s="1464"/>
      <c r="CS105" s="1464"/>
      <c r="CT105" s="1464"/>
      <c r="CU105" s="1464"/>
      <c r="CV105" s="1464"/>
      <c r="CW105" s="1464"/>
      <c r="CX105" s="1464"/>
      <c r="CY105" s="1464"/>
      <c r="CZ105" s="1464"/>
      <c r="DA105" s="3306"/>
      <c r="DB105" s="3306"/>
      <c r="DC105" s="3306"/>
      <c r="DD105" s="3306"/>
      <c r="DE105" s="3306"/>
      <c r="DF105" s="3306"/>
      <c r="DG105" s="3306"/>
      <c r="DH105" s="3306"/>
      <c r="DI105" s="3306"/>
      <c r="DJ105" s="3306"/>
      <c r="DK105" s="3306"/>
      <c r="DL105" s="3306"/>
      <c r="DM105" s="3306"/>
      <c r="DN105" s="3306"/>
      <c r="DO105" s="3306"/>
      <c r="DP105" s="3306"/>
      <c r="DQ105" s="3306"/>
      <c r="DR105" s="3306"/>
      <c r="DS105" s="3306"/>
      <c r="DT105" s="3306"/>
      <c r="DU105" s="3306"/>
      <c r="DV105" s="3306"/>
      <c r="DW105" s="3306"/>
      <c r="DX105" s="3306"/>
      <c r="DY105" s="3306"/>
      <c r="DZ105" s="3306"/>
    </row>
    <row r="106" spans="1:130" s="1581" customFormat="1" ht="16.350000000000001" customHeight="1" x14ac:dyDescent="0.25">
      <c r="A106" s="8459"/>
      <c r="B106" s="8438"/>
      <c r="C106" s="827" t="s">
        <v>42</v>
      </c>
      <c r="D106" s="850" t="s">
        <v>17</v>
      </c>
      <c r="E106" s="2127" t="s">
        <v>18</v>
      </c>
      <c r="F106" s="2656" t="s">
        <v>17</v>
      </c>
      <c r="G106" s="2172" t="s">
        <v>18</v>
      </c>
      <c r="H106" s="2656" t="s">
        <v>17</v>
      </c>
      <c r="I106" s="2164" t="s">
        <v>18</v>
      </c>
      <c r="J106" s="2656" t="s">
        <v>17</v>
      </c>
      <c r="K106" s="2164" t="s">
        <v>18</v>
      </c>
      <c r="L106" s="2656" t="s">
        <v>17</v>
      </c>
      <c r="M106" s="2164" t="s">
        <v>18</v>
      </c>
      <c r="N106" s="2656" t="s">
        <v>17</v>
      </c>
      <c r="O106" s="2164" t="s">
        <v>18</v>
      </c>
      <c r="P106" s="2656" t="s">
        <v>17</v>
      </c>
      <c r="Q106" s="2164" t="s">
        <v>18</v>
      </c>
      <c r="R106" s="2656" t="s">
        <v>17</v>
      </c>
      <c r="S106" s="2164" t="s">
        <v>18</v>
      </c>
      <c r="T106" s="2656" t="s">
        <v>17</v>
      </c>
      <c r="U106" s="2164" t="s">
        <v>18</v>
      </c>
      <c r="V106" s="2181"/>
      <c r="W106" s="2181"/>
      <c r="X106" s="2181"/>
      <c r="Y106" s="2181"/>
      <c r="AY106" s="1594"/>
      <c r="AZ106" s="1594"/>
      <c r="BA106" s="1594"/>
      <c r="BB106" s="1594"/>
      <c r="BC106" s="1594"/>
      <c r="BD106" s="1594"/>
      <c r="BE106" s="1594"/>
      <c r="BF106" s="1594"/>
      <c r="BG106" s="1594"/>
      <c r="BH106" s="1594"/>
      <c r="BI106" s="1594"/>
      <c r="BJ106" s="1594"/>
      <c r="BK106" s="1594"/>
      <c r="BL106" s="1594"/>
      <c r="BM106" s="1594"/>
      <c r="BN106" s="1594"/>
      <c r="BO106" s="1594"/>
      <c r="BP106" s="1594"/>
      <c r="BQ106" s="1594"/>
      <c r="BR106" s="1594"/>
      <c r="BS106" s="1594"/>
      <c r="BT106" s="1187"/>
      <c r="BU106" s="1187"/>
      <c r="BV106" s="1187"/>
      <c r="BW106" s="1187"/>
      <c r="BX106" s="1187"/>
      <c r="BY106" s="1187"/>
      <c r="BZ106" s="1187"/>
      <c r="CA106" s="1464"/>
      <c r="CB106" s="1464"/>
      <c r="CC106" s="1464"/>
      <c r="CD106" s="1464"/>
      <c r="CE106" s="1464"/>
      <c r="CF106" s="1464"/>
      <c r="CG106" s="1464"/>
      <c r="CH106" s="1464"/>
      <c r="CI106" s="1464"/>
      <c r="CJ106" s="1464"/>
      <c r="CK106" s="1464"/>
      <c r="CL106" s="1464"/>
      <c r="CM106" s="1464"/>
      <c r="CN106" s="1464"/>
      <c r="CO106" s="1464"/>
      <c r="CP106" s="1464"/>
      <c r="CQ106" s="1464"/>
      <c r="CR106" s="1464"/>
      <c r="CS106" s="1464"/>
      <c r="CT106" s="1464"/>
      <c r="CU106" s="1464"/>
      <c r="CV106" s="1464"/>
      <c r="CW106" s="1464"/>
      <c r="CX106" s="1464"/>
      <c r="CY106" s="1464"/>
      <c r="CZ106" s="1464"/>
      <c r="DA106" s="3306"/>
      <c r="DB106" s="3306"/>
      <c r="DC106" s="3306"/>
      <c r="DD106" s="3306"/>
      <c r="DE106" s="3306"/>
      <c r="DF106" s="3306"/>
      <c r="DG106" s="3306"/>
      <c r="DH106" s="3306"/>
      <c r="DI106" s="3306"/>
      <c r="DJ106" s="3306"/>
      <c r="DK106" s="3306"/>
      <c r="DL106" s="3306"/>
      <c r="DM106" s="3306"/>
      <c r="DN106" s="3306"/>
      <c r="DO106" s="3306"/>
      <c r="DP106" s="3306"/>
      <c r="DQ106" s="3306"/>
      <c r="DR106" s="3306"/>
      <c r="DS106" s="3306"/>
      <c r="DT106" s="3306"/>
      <c r="DU106" s="3306"/>
      <c r="DV106" s="3306"/>
      <c r="DW106" s="3306"/>
      <c r="DX106" s="3306"/>
      <c r="DY106" s="3306"/>
      <c r="DZ106" s="3306"/>
    </row>
    <row r="107" spans="1:130" s="1581" customFormat="1" ht="16.350000000000001" customHeight="1" x14ac:dyDescent="0.25">
      <c r="A107" s="8426" t="s">
        <v>1444</v>
      </c>
      <c r="B107" s="8426"/>
      <c r="C107" s="867">
        <f>SUM(D107+E107)</f>
        <v>0</v>
      </c>
      <c r="D107" s="695">
        <f>+H107+J107+L107+N107+P107+R107+T107</f>
        <v>0</v>
      </c>
      <c r="E107" s="862">
        <f>+I107+K107+M107+O107+Q107+S107+U107</f>
        <v>0</v>
      </c>
      <c r="F107" s="2669"/>
      <c r="G107" s="2603"/>
      <c r="H107" s="2647"/>
      <c r="I107" s="2102"/>
      <c r="J107" s="2647"/>
      <c r="K107" s="2102"/>
      <c r="L107" s="2647"/>
      <c r="M107" s="2102"/>
      <c r="N107" s="2647"/>
      <c r="O107" s="2102"/>
      <c r="P107" s="2573"/>
      <c r="Q107" s="2102"/>
      <c r="R107" s="2573"/>
      <c r="S107" s="2102"/>
      <c r="T107" s="2573"/>
      <c r="U107" s="2102"/>
      <c r="V107" s="3302"/>
      <c r="W107" s="2181"/>
      <c r="X107" s="2181"/>
      <c r="Y107" s="2181"/>
      <c r="AY107" s="1594"/>
      <c r="AZ107" s="1594"/>
      <c r="BA107" s="1594"/>
      <c r="BB107" s="1594"/>
      <c r="BC107" s="1594"/>
      <c r="BD107" s="1594"/>
      <c r="BE107" s="1594"/>
      <c r="BF107" s="1594"/>
      <c r="BG107" s="1594"/>
      <c r="BH107" s="1594"/>
      <c r="BI107" s="1594"/>
      <c r="BJ107" s="1594"/>
      <c r="BK107" s="1594"/>
      <c r="BL107" s="1594"/>
      <c r="BM107" s="1594"/>
      <c r="BN107" s="1594"/>
      <c r="BO107" s="1594"/>
      <c r="BP107" s="1594"/>
      <c r="BQ107" s="1594"/>
      <c r="BR107" s="1594"/>
      <c r="BS107" s="1594"/>
      <c r="BT107" s="1187"/>
      <c r="BU107" s="1187"/>
      <c r="BV107" s="1187"/>
      <c r="BW107" s="1187"/>
      <c r="BX107" s="1187"/>
      <c r="BY107" s="1187"/>
      <c r="BZ107" s="1187"/>
      <c r="CA107" s="1464"/>
      <c r="CB107" s="1464"/>
      <c r="CC107" s="1464"/>
      <c r="CD107" s="1464"/>
      <c r="CE107" s="1464"/>
      <c r="CF107" s="1464"/>
      <c r="CG107" s="1464"/>
      <c r="CH107" s="1464"/>
      <c r="CI107" s="1464"/>
      <c r="CJ107" s="1464"/>
      <c r="CK107" s="1464"/>
      <c r="CL107" s="1464"/>
      <c r="CM107" s="1464"/>
      <c r="CN107" s="1464"/>
      <c r="CO107" s="1464"/>
      <c r="CP107" s="1464"/>
      <c r="CQ107" s="1464"/>
      <c r="CR107" s="1464"/>
      <c r="CS107" s="1464"/>
      <c r="CT107" s="1464"/>
      <c r="CU107" s="1464"/>
      <c r="CV107" s="1464"/>
      <c r="CW107" s="1464"/>
      <c r="CX107" s="1464"/>
      <c r="CY107" s="1464"/>
      <c r="CZ107" s="1464"/>
      <c r="DA107" s="3306"/>
      <c r="DB107" s="3306"/>
      <c r="DC107" s="3306"/>
      <c r="DD107" s="3306"/>
      <c r="DE107" s="3306"/>
      <c r="DF107" s="3306"/>
      <c r="DG107" s="3306"/>
      <c r="DH107" s="3306"/>
      <c r="DI107" s="3306"/>
      <c r="DJ107" s="3306"/>
      <c r="DK107" s="3306"/>
      <c r="DL107" s="3306"/>
      <c r="DM107" s="3306"/>
      <c r="DN107" s="3306"/>
      <c r="DO107" s="3306"/>
      <c r="DP107" s="3306"/>
      <c r="DQ107" s="3306"/>
      <c r="DR107" s="3306"/>
      <c r="DS107" s="3306"/>
      <c r="DT107" s="3306"/>
      <c r="DU107" s="3306"/>
      <c r="DV107" s="3306"/>
      <c r="DW107" s="3306"/>
      <c r="DX107" s="3306"/>
      <c r="DY107" s="3306"/>
      <c r="DZ107" s="3306"/>
    </row>
    <row r="108" spans="1:130" s="1581" customFormat="1" ht="16.350000000000001" customHeight="1" x14ac:dyDescent="0.25">
      <c r="A108" s="8435" t="s">
        <v>1443</v>
      </c>
      <c r="B108" s="8435"/>
      <c r="C108" s="275">
        <f t="shared" ref="C108:C115" si="12">SUM(D108+E108)</f>
        <v>0</v>
      </c>
      <c r="D108" s="276">
        <f t="shared" ref="D108:E110" si="13">SUM(J108+L108+N108+P108+R108+T108)</f>
        <v>0</v>
      </c>
      <c r="E108" s="158">
        <f t="shared" si="13"/>
        <v>0</v>
      </c>
      <c r="F108" s="2604"/>
      <c r="G108" s="2605"/>
      <c r="H108" s="2604"/>
      <c r="I108" s="2606"/>
      <c r="J108" s="2548"/>
      <c r="K108" s="2551"/>
      <c r="L108" s="2548"/>
      <c r="M108" s="2551"/>
      <c r="N108" s="2548"/>
      <c r="O108" s="2551"/>
      <c r="P108" s="2593"/>
      <c r="Q108" s="2551"/>
      <c r="R108" s="2593"/>
      <c r="S108" s="2551"/>
      <c r="T108" s="2593"/>
      <c r="U108" s="2551"/>
      <c r="V108" s="3302"/>
      <c r="W108" s="2181"/>
      <c r="X108" s="2181"/>
      <c r="Y108" s="2181"/>
      <c r="AY108" s="1594"/>
      <c r="AZ108" s="1594"/>
      <c r="BA108" s="1594"/>
      <c r="BB108" s="1594"/>
      <c r="BC108" s="1594"/>
      <c r="BD108" s="1594"/>
      <c r="BE108" s="1594"/>
      <c r="BF108" s="1594"/>
      <c r="BG108" s="1594"/>
      <c r="BH108" s="1594"/>
      <c r="BI108" s="1594"/>
      <c r="BJ108" s="1594"/>
      <c r="BK108" s="1594"/>
      <c r="BL108" s="1594"/>
      <c r="BM108" s="1594"/>
      <c r="BN108" s="1594"/>
      <c r="BO108" s="1594"/>
      <c r="BP108" s="1594"/>
      <c r="BQ108" s="1594"/>
      <c r="BR108" s="1594"/>
      <c r="BS108" s="1594"/>
      <c r="BT108" s="1187"/>
      <c r="BU108" s="1187"/>
      <c r="BV108" s="1187"/>
      <c r="BW108" s="1187"/>
      <c r="BX108" s="1187"/>
      <c r="BY108" s="1187"/>
      <c r="BZ108" s="1187"/>
      <c r="CA108" s="1464"/>
      <c r="CB108" s="1464"/>
      <c r="CC108" s="1464"/>
      <c r="CD108" s="1464"/>
      <c r="CE108" s="1464"/>
      <c r="CF108" s="1464"/>
      <c r="CG108" s="1464"/>
      <c r="CH108" s="1464"/>
      <c r="CI108" s="1464"/>
      <c r="CJ108" s="1464"/>
      <c r="CK108" s="1464"/>
      <c r="CL108" s="1464"/>
      <c r="CM108" s="1464"/>
      <c r="CN108" s="1464"/>
      <c r="CO108" s="1464"/>
      <c r="CP108" s="1464"/>
      <c r="CQ108" s="1464"/>
      <c r="CR108" s="1464"/>
      <c r="CS108" s="1464"/>
      <c r="CT108" s="1464"/>
      <c r="CU108" s="1464"/>
      <c r="CV108" s="1464"/>
      <c r="CW108" s="1464"/>
      <c r="CX108" s="1464"/>
      <c r="CY108" s="1464"/>
      <c r="CZ108" s="1464"/>
      <c r="DA108" s="3306"/>
      <c r="DB108" s="3306"/>
      <c r="DC108" s="3306"/>
      <c r="DD108" s="3306"/>
      <c r="DE108" s="3306"/>
      <c r="DF108" s="3306"/>
      <c r="DG108" s="3306"/>
      <c r="DH108" s="3306"/>
      <c r="DI108" s="3306"/>
      <c r="DJ108" s="3306"/>
      <c r="DK108" s="3306"/>
      <c r="DL108" s="3306"/>
      <c r="DM108" s="3306"/>
      <c r="DN108" s="3306"/>
      <c r="DO108" s="3306"/>
      <c r="DP108" s="3306"/>
      <c r="DQ108" s="3306"/>
      <c r="DR108" s="3306"/>
      <c r="DS108" s="3306"/>
      <c r="DT108" s="3306"/>
      <c r="DU108" s="3306"/>
      <c r="DV108" s="3306"/>
      <c r="DW108" s="3306"/>
      <c r="DX108" s="3306"/>
      <c r="DY108" s="3306"/>
      <c r="DZ108" s="3306"/>
    </row>
    <row r="109" spans="1:130" s="1581" customFormat="1" ht="16.350000000000001" customHeight="1" x14ac:dyDescent="0.25">
      <c r="A109" s="8435" t="s">
        <v>1442</v>
      </c>
      <c r="B109" s="8435"/>
      <c r="C109" s="275">
        <f t="shared" si="12"/>
        <v>0</v>
      </c>
      <c r="D109" s="276">
        <f t="shared" si="13"/>
        <v>0</v>
      </c>
      <c r="E109" s="158">
        <f t="shared" si="13"/>
        <v>0</v>
      </c>
      <c r="F109" s="2607"/>
      <c r="G109" s="761"/>
      <c r="H109" s="2607"/>
      <c r="I109" s="2608"/>
      <c r="J109" s="2574"/>
      <c r="K109" s="2596"/>
      <c r="L109" s="2574"/>
      <c r="M109" s="2596"/>
      <c r="N109" s="2574"/>
      <c r="O109" s="2596"/>
      <c r="P109" s="2597"/>
      <c r="Q109" s="2596"/>
      <c r="R109" s="2597"/>
      <c r="S109" s="2596"/>
      <c r="T109" s="2597"/>
      <c r="U109" s="2596"/>
      <c r="V109" s="3302"/>
      <c r="W109" s="2181"/>
      <c r="X109" s="2181"/>
      <c r="Y109" s="2181"/>
      <c r="AY109" s="1594"/>
      <c r="AZ109" s="1594"/>
      <c r="BA109" s="1594"/>
      <c r="BB109" s="1594"/>
      <c r="BC109" s="1594"/>
      <c r="BD109" s="1594"/>
      <c r="BE109" s="1594"/>
      <c r="BF109" s="1594"/>
      <c r="BG109" s="1594"/>
      <c r="BH109" s="1594"/>
      <c r="BI109" s="1594"/>
      <c r="BJ109" s="1594"/>
      <c r="BK109" s="1594"/>
      <c r="BL109" s="1594"/>
      <c r="BM109" s="1594"/>
      <c r="BN109" s="1594"/>
      <c r="BO109" s="1594"/>
      <c r="BP109" s="1594"/>
      <c r="BQ109" s="1594"/>
      <c r="BR109" s="1594"/>
      <c r="BS109" s="1594"/>
      <c r="BT109" s="1187"/>
      <c r="BU109" s="1187"/>
      <c r="BV109" s="1187"/>
      <c r="BW109" s="1187"/>
      <c r="BX109" s="1187"/>
      <c r="BY109" s="1187"/>
      <c r="BZ109" s="1187"/>
      <c r="CA109" s="1464"/>
      <c r="CB109" s="1464"/>
      <c r="CC109" s="1464"/>
      <c r="CD109" s="1464"/>
      <c r="CE109" s="1464"/>
      <c r="CF109" s="1464"/>
      <c r="CG109" s="1464"/>
      <c r="CH109" s="1464"/>
      <c r="CI109" s="1464"/>
      <c r="CJ109" s="1464"/>
      <c r="CK109" s="1464"/>
      <c r="CL109" s="1464"/>
      <c r="CM109" s="1464"/>
      <c r="CN109" s="1464"/>
      <c r="CO109" s="1464"/>
      <c r="CP109" s="1464"/>
      <c r="CQ109" s="1464"/>
      <c r="CR109" s="1464"/>
      <c r="CS109" s="1464"/>
      <c r="CT109" s="1464"/>
      <c r="CU109" s="1464"/>
      <c r="CV109" s="1464"/>
      <c r="CW109" s="1464"/>
      <c r="CX109" s="1464"/>
      <c r="CY109" s="1464"/>
      <c r="CZ109" s="1464"/>
      <c r="DA109" s="3306"/>
      <c r="DB109" s="3306"/>
      <c r="DC109" s="3306"/>
      <c r="DD109" s="3306"/>
      <c r="DE109" s="3306"/>
      <c r="DF109" s="3306"/>
      <c r="DG109" s="3306"/>
      <c r="DH109" s="3306"/>
      <c r="DI109" s="3306"/>
      <c r="DJ109" s="3306"/>
      <c r="DK109" s="3306"/>
      <c r="DL109" s="3306"/>
      <c r="DM109" s="3306"/>
      <c r="DN109" s="3306"/>
      <c r="DO109" s="3306"/>
      <c r="DP109" s="3306"/>
      <c r="DQ109" s="3306"/>
      <c r="DR109" s="3306"/>
      <c r="DS109" s="3306"/>
      <c r="DT109" s="3306"/>
      <c r="DU109" s="3306"/>
      <c r="DV109" s="3306"/>
      <c r="DW109" s="3306"/>
      <c r="DX109" s="3306"/>
      <c r="DY109" s="3306"/>
      <c r="DZ109" s="3306"/>
    </row>
    <row r="110" spans="1:130" s="1581" customFormat="1" ht="16.350000000000001" customHeight="1" x14ac:dyDescent="0.25">
      <c r="A110" s="8407" t="s">
        <v>1441</v>
      </c>
      <c r="B110" s="8408"/>
      <c r="C110" s="275">
        <f t="shared" si="12"/>
        <v>0</v>
      </c>
      <c r="D110" s="276">
        <f t="shared" si="13"/>
        <v>0</v>
      </c>
      <c r="E110" s="158">
        <f t="shared" si="13"/>
        <v>0</v>
      </c>
      <c r="F110" s="2607"/>
      <c r="G110" s="761"/>
      <c r="H110" s="2607"/>
      <c r="I110" s="2608"/>
      <c r="J110" s="2574"/>
      <c r="K110" s="2596"/>
      <c r="L110" s="2574"/>
      <c r="M110" s="2596"/>
      <c r="N110" s="2574"/>
      <c r="O110" s="2596"/>
      <c r="P110" s="2597"/>
      <c r="Q110" s="2596"/>
      <c r="R110" s="2597"/>
      <c r="S110" s="2596"/>
      <c r="T110" s="2597"/>
      <c r="U110" s="2596"/>
      <c r="V110" s="3302"/>
      <c r="W110" s="2181"/>
      <c r="X110" s="2181"/>
      <c r="Y110" s="2181"/>
      <c r="AY110" s="1594"/>
      <c r="AZ110" s="1594"/>
      <c r="BA110" s="1594"/>
      <c r="BB110" s="1594"/>
      <c r="BC110" s="1594"/>
      <c r="BD110" s="1594"/>
      <c r="BE110" s="1594"/>
      <c r="BF110" s="1594"/>
      <c r="BG110" s="1594"/>
      <c r="BH110" s="1594"/>
      <c r="BI110" s="1594"/>
      <c r="BJ110" s="1594"/>
      <c r="BK110" s="1594"/>
      <c r="BL110" s="1594"/>
      <c r="BM110" s="1594"/>
      <c r="BN110" s="1594"/>
      <c r="BO110" s="1594"/>
      <c r="BP110" s="1594"/>
      <c r="BQ110" s="1594"/>
      <c r="BR110" s="1594"/>
      <c r="BS110" s="1594"/>
      <c r="BT110" s="1187"/>
      <c r="BU110" s="1187"/>
      <c r="BV110" s="1187"/>
      <c r="BW110" s="1187"/>
      <c r="BX110" s="1187"/>
      <c r="BY110" s="1187"/>
      <c r="BZ110" s="1187"/>
      <c r="CA110" s="1464"/>
      <c r="CB110" s="1464"/>
      <c r="CC110" s="1464"/>
      <c r="CD110" s="1464"/>
      <c r="CE110" s="1464"/>
      <c r="CF110" s="1464"/>
      <c r="CG110" s="1464"/>
      <c r="CH110" s="1464"/>
      <c r="CI110" s="1464"/>
      <c r="CJ110" s="1464"/>
      <c r="CK110" s="1464"/>
      <c r="CL110" s="1464"/>
      <c r="CM110" s="1464"/>
      <c r="CN110" s="1464"/>
      <c r="CO110" s="1464"/>
      <c r="CP110" s="1464"/>
      <c r="CQ110" s="1464"/>
      <c r="CR110" s="1464"/>
      <c r="CS110" s="1464"/>
      <c r="CT110" s="1464"/>
      <c r="CU110" s="1464"/>
      <c r="CV110" s="1464"/>
      <c r="CW110" s="1464"/>
      <c r="CX110" s="1464"/>
      <c r="CY110" s="1464"/>
      <c r="CZ110" s="1464"/>
      <c r="DA110" s="3306"/>
      <c r="DB110" s="3306"/>
      <c r="DC110" s="3306"/>
      <c r="DD110" s="3306"/>
      <c r="DE110" s="3306"/>
      <c r="DF110" s="3306"/>
      <c r="DG110" s="3306"/>
      <c r="DH110" s="3306"/>
      <c r="DI110" s="3306"/>
      <c r="DJ110" s="3306"/>
      <c r="DK110" s="3306"/>
      <c r="DL110" s="3306"/>
      <c r="DM110" s="3306"/>
      <c r="DN110" s="3306"/>
      <c r="DO110" s="3306"/>
      <c r="DP110" s="3306"/>
      <c r="DQ110" s="3306"/>
      <c r="DR110" s="3306"/>
      <c r="DS110" s="3306"/>
      <c r="DT110" s="3306"/>
      <c r="DU110" s="3306"/>
      <c r="DV110" s="3306"/>
      <c r="DW110" s="3306"/>
      <c r="DX110" s="3306"/>
      <c r="DY110" s="3306"/>
      <c r="DZ110" s="3306"/>
    </row>
    <row r="111" spans="1:130" s="1581" customFormat="1" ht="20.25" customHeight="1" x14ac:dyDescent="0.25">
      <c r="A111" s="8407" t="s">
        <v>1440</v>
      </c>
      <c r="B111" s="8408"/>
      <c r="C111" s="275">
        <f t="shared" si="12"/>
        <v>0</v>
      </c>
      <c r="D111" s="276">
        <f>+F111+H111</f>
        <v>0</v>
      </c>
      <c r="E111" s="158">
        <f>+G111+I111</f>
        <v>0</v>
      </c>
      <c r="F111" s="2574"/>
      <c r="G111" s="550"/>
      <c r="H111" s="2574"/>
      <c r="I111" s="2575"/>
      <c r="J111" s="2604"/>
      <c r="K111" s="2606"/>
      <c r="L111" s="2604"/>
      <c r="M111" s="2606"/>
      <c r="N111" s="2604"/>
      <c r="O111" s="2606"/>
      <c r="P111" s="2609"/>
      <c r="Q111" s="2606"/>
      <c r="R111" s="2609"/>
      <c r="S111" s="2606"/>
      <c r="T111" s="2609"/>
      <c r="U111" s="2606"/>
      <c r="V111" s="3302"/>
      <c r="W111" s="2181"/>
      <c r="X111" s="2181"/>
      <c r="Y111" s="2181"/>
      <c r="AY111" s="1594"/>
      <c r="AZ111" s="1594"/>
      <c r="BA111" s="1594"/>
      <c r="BB111" s="1594"/>
      <c r="BC111" s="1594"/>
      <c r="BD111" s="1594"/>
      <c r="BE111" s="1594"/>
      <c r="BF111" s="1594"/>
      <c r="BG111" s="1594"/>
      <c r="BH111" s="1594"/>
      <c r="BI111" s="1594"/>
      <c r="BJ111" s="1594"/>
      <c r="BK111" s="1594"/>
      <c r="BL111" s="1594"/>
      <c r="BM111" s="1594"/>
      <c r="BN111" s="1594"/>
      <c r="BO111" s="1594"/>
      <c r="BP111" s="1594"/>
      <c r="BQ111" s="1594"/>
      <c r="BR111" s="1594"/>
      <c r="BS111" s="1594"/>
      <c r="BT111" s="1187"/>
      <c r="BU111" s="1187"/>
      <c r="BV111" s="1187"/>
      <c r="BW111" s="1187"/>
      <c r="BX111" s="1187"/>
      <c r="BY111" s="1187"/>
      <c r="BZ111" s="1187"/>
      <c r="CA111" s="1464"/>
      <c r="CB111" s="1464"/>
      <c r="CC111" s="1464"/>
      <c r="CD111" s="1464"/>
      <c r="CE111" s="1464"/>
      <c r="CF111" s="1464"/>
      <c r="CG111" s="1464"/>
      <c r="CH111" s="1464"/>
      <c r="CI111" s="1464"/>
      <c r="CJ111" s="1464"/>
      <c r="CK111" s="1464"/>
      <c r="CL111" s="1464"/>
      <c r="CM111" s="1464"/>
      <c r="CN111" s="1464"/>
      <c r="CO111" s="1464"/>
      <c r="CP111" s="1464"/>
      <c r="CQ111" s="1464"/>
      <c r="CR111" s="1464"/>
      <c r="CS111" s="1464"/>
      <c r="CT111" s="1464"/>
      <c r="CU111" s="1464"/>
      <c r="CV111" s="1464"/>
      <c r="CW111" s="1464"/>
      <c r="CX111" s="1464"/>
      <c r="CY111" s="1464"/>
      <c r="CZ111" s="1464"/>
      <c r="DA111" s="3306"/>
      <c r="DB111" s="3306"/>
      <c r="DC111" s="3306"/>
      <c r="DD111" s="3306"/>
      <c r="DE111" s="3306"/>
      <c r="DF111" s="3306"/>
      <c r="DG111" s="3306"/>
      <c r="DH111" s="3306"/>
      <c r="DI111" s="3306"/>
      <c r="DJ111" s="3306"/>
      <c r="DK111" s="3306"/>
      <c r="DL111" s="3306"/>
      <c r="DM111" s="3306"/>
      <c r="DN111" s="3306"/>
      <c r="DO111" s="3306"/>
      <c r="DP111" s="3306"/>
      <c r="DQ111" s="3306"/>
      <c r="DR111" s="3306"/>
      <c r="DS111" s="3306"/>
      <c r="DT111" s="3306"/>
      <c r="DU111" s="3306"/>
      <c r="DV111" s="3306"/>
      <c r="DW111" s="3306"/>
      <c r="DX111" s="3306"/>
      <c r="DY111" s="3306"/>
      <c r="DZ111" s="3306"/>
    </row>
    <row r="112" spans="1:130" s="1581" customFormat="1" ht="16.350000000000001" customHeight="1" x14ac:dyDescent="0.25">
      <c r="A112" s="8407" t="s">
        <v>1439</v>
      </c>
      <c r="B112" s="8408"/>
      <c r="C112" s="866">
        <f t="shared" si="12"/>
        <v>0</v>
      </c>
      <c r="D112" s="276">
        <f>+F112+H112</f>
        <v>0</v>
      </c>
      <c r="E112" s="158">
        <f>+G112+I112</f>
        <v>0</v>
      </c>
      <c r="F112" s="2574"/>
      <c r="G112" s="550"/>
      <c r="H112" s="2574"/>
      <c r="I112" s="2575"/>
      <c r="J112" s="865"/>
      <c r="K112" s="1848"/>
      <c r="L112" s="865"/>
      <c r="M112" s="1848"/>
      <c r="N112" s="865"/>
      <c r="O112" s="1848"/>
      <c r="P112" s="2610"/>
      <c r="Q112" s="1848"/>
      <c r="R112" s="2610"/>
      <c r="S112" s="1848"/>
      <c r="T112" s="2610"/>
      <c r="U112" s="1848"/>
      <c r="V112" s="3302"/>
      <c r="W112" s="2181"/>
      <c r="X112" s="2181"/>
      <c r="Y112" s="2181"/>
      <c r="AY112" s="1594"/>
      <c r="AZ112" s="1594"/>
      <c r="BA112" s="1594"/>
      <c r="BB112" s="1594"/>
      <c r="BC112" s="1594"/>
      <c r="BD112" s="1594"/>
      <c r="BE112" s="1594"/>
      <c r="BF112" s="1594"/>
      <c r="BG112" s="1594"/>
      <c r="BH112" s="1594"/>
      <c r="BI112" s="1594"/>
      <c r="BJ112" s="1594"/>
      <c r="BK112" s="1594"/>
      <c r="BL112" s="1594"/>
      <c r="BM112" s="1594"/>
      <c r="BN112" s="1594"/>
      <c r="BO112" s="1594"/>
      <c r="BP112" s="1594"/>
      <c r="BQ112" s="1594"/>
      <c r="BR112" s="1594"/>
      <c r="BS112" s="1594"/>
      <c r="BT112" s="1187"/>
      <c r="BU112" s="1187"/>
      <c r="BV112" s="1187"/>
      <c r="BW112" s="1187"/>
      <c r="BX112" s="1187"/>
      <c r="BY112" s="1187"/>
      <c r="BZ112" s="1187"/>
      <c r="CA112" s="1464"/>
      <c r="CB112" s="1464"/>
      <c r="CC112" s="1464"/>
      <c r="CD112" s="1464"/>
      <c r="CE112" s="1464"/>
      <c r="CF112" s="1464"/>
      <c r="CG112" s="1464"/>
      <c r="CH112" s="1464"/>
      <c r="CI112" s="1464"/>
      <c r="CJ112" s="1464"/>
      <c r="CK112" s="1464"/>
      <c r="CL112" s="1464"/>
      <c r="CM112" s="1464"/>
      <c r="CN112" s="1464"/>
      <c r="CO112" s="1464"/>
      <c r="CP112" s="1464"/>
      <c r="CQ112" s="1464"/>
      <c r="CR112" s="1464"/>
      <c r="CS112" s="1464"/>
      <c r="CT112" s="1464"/>
      <c r="CU112" s="1464"/>
      <c r="CV112" s="1464"/>
      <c r="CW112" s="1464"/>
      <c r="CX112" s="1464"/>
      <c r="CY112" s="1464"/>
      <c r="CZ112" s="1464"/>
      <c r="DA112" s="3306"/>
      <c r="DB112" s="3306"/>
      <c r="DC112" s="3306"/>
      <c r="DD112" s="3306"/>
      <c r="DE112" s="3306"/>
      <c r="DF112" s="3306"/>
      <c r="DG112" s="3306"/>
      <c r="DH112" s="3306"/>
      <c r="DI112" s="3306"/>
      <c r="DJ112" s="3306"/>
      <c r="DK112" s="3306"/>
      <c r="DL112" s="3306"/>
      <c r="DM112" s="3306"/>
      <c r="DN112" s="3306"/>
      <c r="DO112" s="3306"/>
      <c r="DP112" s="3306"/>
      <c r="DQ112" s="3306"/>
      <c r="DR112" s="3306"/>
      <c r="DS112" s="3306"/>
      <c r="DT112" s="3306"/>
      <c r="DU112" s="3306"/>
      <c r="DV112" s="3306"/>
      <c r="DW112" s="3306"/>
      <c r="DX112" s="3306"/>
      <c r="DY112" s="3306"/>
      <c r="DZ112" s="3306"/>
    </row>
    <row r="113" spans="1:130" s="1581" customFormat="1" ht="16.350000000000001" customHeight="1" x14ac:dyDescent="0.25">
      <c r="A113" s="8390" t="s">
        <v>1438</v>
      </c>
      <c r="B113" s="864" t="s">
        <v>1379</v>
      </c>
      <c r="C113" s="863">
        <f t="shared" si="12"/>
        <v>0</v>
      </c>
      <c r="D113" s="547">
        <f t="shared" ref="D113:E115" si="14">SUM(F113+H113+J113+L113+N113+P113+R113+T113)</f>
        <v>0</v>
      </c>
      <c r="E113" s="862">
        <f t="shared" si="14"/>
        <v>0</v>
      </c>
      <c r="F113" s="2647"/>
      <c r="G113" s="2592"/>
      <c r="H113" s="2647"/>
      <c r="I113" s="2646"/>
      <c r="J113" s="2647"/>
      <c r="K113" s="2102"/>
      <c r="L113" s="2647"/>
      <c r="M113" s="2102"/>
      <c r="N113" s="2647"/>
      <c r="O113" s="2646"/>
      <c r="P113" s="2647"/>
      <c r="Q113" s="2646"/>
      <c r="R113" s="2647"/>
      <c r="S113" s="2646"/>
      <c r="T113" s="2647"/>
      <c r="U113" s="2646"/>
      <c r="V113" s="3302"/>
      <c r="W113" s="2181"/>
      <c r="X113" s="2181"/>
      <c r="Y113" s="2181"/>
      <c r="AY113" s="1594"/>
      <c r="AZ113" s="1594"/>
      <c r="BA113" s="1594"/>
      <c r="BB113" s="1594"/>
      <c r="BC113" s="1594"/>
      <c r="BD113" s="1594"/>
      <c r="BE113" s="1594"/>
      <c r="BF113" s="1594"/>
      <c r="BG113" s="1594"/>
      <c r="BH113" s="1594"/>
      <c r="BI113" s="1594"/>
      <c r="BJ113" s="1594"/>
      <c r="BK113" s="1594"/>
      <c r="BL113" s="1594"/>
      <c r="BM113" s="1594"/>
      <c r="BN113" s="1594"/>
      <c r="BO113" s="1594"/>
      <c r="BP113" s="1594"/>
      <c r="BQ113" s="1594"/>
      <c r="BR113" s="1594"/>
      <c r="BS113" s="1594"/>
      <c r="BT113" s="1187"/>
      <c r="BU113" s="1187"/>
      <c r="BV113" s="1187"/>
      <c r="BW113" s="1187"/>
      <c r="BX113" s="1187"/>
      <c r="BY113" s="1187"/>
      <c r="BZ113" s="1187"/>
      <c r="CA113" s="1464"/>
      <c r="CB113" s="1464"/>
      <c r="CC113" s="1464"/>
      <c r="CD113" s="1464"/>
      <c r="CE113" s="1464"/>
      <c r="CF113" s="1464"/>
      <c r="CG113" s="1464"/>
      <c r="CH113" s="1464"/>
      <c r="CI113" s="1464"/>
      <c r="CJ113" s="1464"/>
      <c r="CK113" s="1464"/>
      <c r="CL113" s="1464"/>
      <c r="CM113" s="1464"/>
      <c r="CN113" s="1464"/>
      <c r="CO113" s="1464"/>
      <c r="CP113" s="1464"/>
      <c r="CQ113" s="1464"/>
      <c r="CR113" s="1464"/>
      <c r="CS113" s="1464"/>
      <c r="CT113" s="1464"/>
      <c r="CU113" s="1464"/>
      <c r="CV113" s="1464"/>
      <c r="CW113" s="1464"/>
      <c r="CX113" s="1464"/>
      <c r="CY113" s="1464"/>
      <c r="CZ113" s="1464"/>
      <c r="DA113" s="3306"/>
      <c r="DB113" s="3306"/>
      <c r="DC113" s="3306"/>
      <c r="DD113" s="3306"/>
      <c r="DE113" s="3306"/>
      <c r="DF113" s="3306"/>
      <c r="DG113" s="3306"/>
      <c r="DH113" s="3306"/>
      <c r="DI113" s="3306"/>
      <c r="DJ113" s="3306"/>
      <c r="DK113" s="3306"/>
      <c r="DL113" s="3306"/>
      <c r="DM113" s="3306"/>
      <c r="DN113" s="3306"/>
      <c r="DO113" s="3306"/>
      <c r="DP113" s="3306"/>
      <c r="DQ113" s="3306"/>
      <c r="DR113" s="3306"/>
      <c r="DS113" s="3306"/>
      <c r="DT113" s="3306"/>
      <c r="DU113" s="3306"/>
      <c r="DV113" s="3306"/>
      <c r="DW113" s="3306"/>
      <c r="DX113" s="3306"/>
      <c r="DY113" s="3306"/>
      <c r="DZ113" s="3306"/>
    </row>
    <row r="114" spans="1:130" s="1581" customFormat="1" ht="20.25" customHeight="1" x14ac:dyDescent="0.25">
      <c r="A114" s="8125"/>
      <c r="B114" s="477" t="s">
        <v>1437</v>
      </c>
      <c r="C114" s="639">
        <f t="shared" si="12"/>
        <v>0</v>
      </c>
      <c r="D114" s="679">
        <f t="shared" si="14"/>
        <v>0</v>
      </c>
      <c r="E114" s="666">
        <f t="shared" si="14"/>
        <v>0</v>
      </c>
      <c r="F114" s="2574"/>
      <c r="G114" s="550"/>
      <c r="H114" s="2574"/>
      <c r="I114" s="2575"/>
      <c r="J114" s="2574"/>
      <c r="K114" s="2596"/>
      <c r="L114" s="2574"/>
      <c r="M114" s="2596"/>
      <c r="N114" s="2574"/>
      <c r="O114" s="2575"/>
      <c r="P114" s="2574"/>
      <c r="Q114" s="2575"/>
      <c r="R114" s="2574"/>
      <c r="S114" s="2575"/>
      <c r="T114" s="2574"/>
      <c r="U114" s="2575"/>
      <c r="V114" s="3302"/>
      <c r="W114" s="2181"/>
      <c r="X114" s="2181"/>
      <c r="Y114" s="2181"/>
      <c r="AY114" s="1594"/>
      <c r="AZ114" s="1594"/>
      <c r="BA114" s="1594"/>
      <c r="BB114" s="1594"/>
      <c r="BC114" s="1594"/>
      <c r="BD114" s="1594"/>
      <c r="BE114" s="1594"/>
      <c r="BF114" s="1594"/>
      <c r="BG114" s="1594"/>
      <c r="BH114" s="1594"/>
      <c r="BI114" s="1594"/>
      <c r="BJ114" s="1594"/>
      <c r="BK114" s="1594"/>
      <c r="BL114" s="1594"/>
      <c r="BM114" s="1594"/>
      <c r="BN114" s="1594"/>
      <c r="BO114" s="1594"/>
      <c r="BP114" s="1594"/>
      <c r="BQ114" s="1594"/>
      <c r="BR114" s="1594"/>
      <c r="BS114" s="1594"/>
      <c r="BT114" s="1187"/>
      <c r="BU114" s="1187"/>
      <c r="BV114" s="1187"/>
      <c r="BW114" s="1187"/>
      <c r="BX114" s="1187"/>
      <c r="BY114" s="1187"/>
      <c r="BZ114" s="1187"/>
      <c r="CA114" s="1464"/>
      <c r="CB114" s="1464"/>
      <c r="CC114" s="1464"/>
      <c r="CD114" s="1464"/>
      <c r="CE114" s="1464"/>
      <c r="CF114" s="1464"/>
      <c r="CG114" s="1464"/>
      <c r="CH114" s="1464"/>
      <c r="CI114" s="1464"/>
      <c r="CJ114" s="1464"/>
      <c r="CK114" s="1464"/>
      <c r="CL114" s="1464"/>
      <c r="CM114" s="1464"/>
      <c r="CN114" s="1464"/>
      <c r="CO114" s="1464"/>
      <c r="CP114" s="1464"/>
      <c r="CQ114" s="1464"/>
      <c r="CR114" s="1464"/>
      <c r="CS114" s="1464"/>
      <c r="CT114" s="1464"/>
      <c r="CU114" s="1464"/>
      <c r="CV114" s="1464"/>
      <c r="CW114" s="1464"/>
      <c r="CX114" s="1464"/>
      <c r="CY114" s="1464"/>
      <c r="CZ114" s="1464"/>
      <c r="DA114" s="3306"/>
      <c r="DB114" s="3306"/>
      <c r="DC114" s="3306"/>
      <c r="DD114" s="3306"/>
      <c r="DE114" s="3306"/>
      <c r="DF114" s="3306"/>
      <c r="DG114" s="3306"/>
      <c r="DH114" s="3306"/>
      <c r="DI114" s="3306"/>
      <c r="DJ114" s="3306"/>
      <c r="DK114" s="3306"/>
      <c r="DL114" s="3306"/>
      <c r="DM114" s="3306"/>
      <c r="DN114" s="3306"/>
      <c r="DO114" s="3306"/>
      <c r="DP114" s="3306"/>
      <c r="DQ114" s="3306"/>
      <c r="DR114" s="3306"/>
      <c r="DS114" s="3306"/>
      <c r="DT114" s="3306"/>
      <c r="DU114" s="3306"/>
      <c r="DV114" s="3306"/>
      <c r="DW114" s="3306"/>
      <c r="DX114" s="3306"/>
      <c r="DY114" s="3306"/>
      <c r="DZ114" s="3306"/>
    </row>
    <row r="115" spans="1:130" s="1581" customFormat="1" ht="30.75" customHeight="1" x14ac:dyDescent="0.25">
      <c r="A115" s="8391"/>
      <c r="B115" s="861" t="s">
        <v>1436</v>
      </c>
      <c r="C115" s="544">
        <f t="shared" si="12"/>
        <v>0</v>
      </c>
      <c r="D115" s="543">
        <f t="shared" si="14"/>
        <v>0</v>
      </c>
      <c r="E115" s="631">
        <f t="shared" si="14"/>
        <v>0</v>
      </c>
      <c r="F115" s="2521"/>
      <c r="G115" s="2536"/>
      <c r="H115" s="2521"/>
      <c r="I115" s="2535"/>
      <c r="J115" s="2521"/>
      <c r="K115" s="2552"/>
      <c r="L115" s="2521"/>
      <c r="M115" s="2552"/>
      <c r="N115" s="2521"/>
      <c r="O115" s="2535"/>
      <c r="P115" s="2521"/>
      <c r="Q115" s="2535"/>
      <c r="R115" s="2521"/>
      <c r="S115" s="2535"/>
      <c r="T115" s="2521"/>
      <c r="U115" s="2535"/>
      <c r="V115" s="3302"/>
      <c r="W115" s="2181"/>
      <c r="X115" s="2181"/>
      <c r="Y115" s="2181"/>
      <c r="AY115" s="1594"/>
      <c r="AZ115" s="1594"/>
      <c r="BA115" s="1594"/>
      <c r="BB115" s="1594"/>
      <c r="BC115" s="1594"/>
      <c r="BD115" s="1594"/>
      <c r="BE115" s="1594"/>
      <c r="BF115" s="1594"/>
      <c r="BG115" s="1594"/>
      <c r="BH115" s="1594"/>
      <c r="BI115" s="1594"/>
      <c r="BJ115" s="1594"/>
      <c r="BK115" s="1594"/>
      <c r="BL115" s="1594"/>
      <c r="BM115" s="1594"/>
      <c r="BN115" s="1594"/>
      <c r="BO115" s="1594"/>
      <c r="BP115" s="1594"/>
      <c r="BQ115" s="1594"/>
      <c r="BR115" s="1594"/>
      <c r="BS115" s="1594"/>
      <c r="BT115" s="1187"/>
      <c r="BU115" s="1187"/>
      <c r="BV115" s="1187"/>
      <c r="BW115" s="1187"/>
      <c r="BX115" s="1187"/>
      <c r="BY115" s="1187"/>
      <c r="BZ115" s="1187"/>
      <c r="CA115" s="1464"/>
      <c r="CB115" s="1464"/>
      <c r="CC115" s="1464"/>
      <c r="CD115" s="1464"/>
      <c r="CE115" s="1464"/>
      <c r="CF115" s="1464"/>
      <c r="CG115" s="1464"/>
      <c r="CH115" s="1464"/>
      <c r="CI115" s="1464"/>
      <c r="CJ115" s="1464"/>
      <c r="CK115" s="1464"/>
      <c r="CL115" s="1464"/>
      <c r="CM115" s="1464"/>
      <c r="CN115" s="1464"/>
      <c r="CO115" s="1464"/>
      <c r="CP115" s="1464"/>
      <c r="CQ115" s="1464"/>
      <c r="CR115" s="1464"/>
      <c r="CS115" s="1464"/>
      <c r="CT115" s="1464"/>
      <c r="CU115" s="1464"/>
      <c r="CV115" s="1464"/>
      <c r="CW115" s="1464"/>
      <c r="CX115" s="1464"/>
      <c r="CY115" s="1464"/>
      <c r="CZ115" s="1464"/>
      <c r="DA115" s="3306"/>
      <c r="DB115" s="3306"/>
      <c r="DC115" s="3306"/>
      <c r="DD115" s="3306"/>
      <c r="DE115" s="3306"/>
      <c r="DF115" s="3306"/>
      <c r="DG115" s="3306"/>
      <c r="DH115" s="3306"/>
      <c r="DI115" s="3306"/>
      <c r="DJ115" s="3306"/>
      <c r="DK115" s="3306"/>
      <c r="DL115" s="3306"/>
      <c r="DM115" s="3306"/>
      <c r="DN115" s="3306"/>
      <c r="DO115" s="3306"/>
      <c r="DP115" s="3306"/>
      <c r="DQ115" s="3306"/>
      <c r="DR115" s="3306"/>
      <c r="DS115" s="3306"/>
      <c r="DT115" s="3306"/>
      <c r="DU115" s="3306"/>
      <c r="DV115" s="3306"/>
      <c r="DW115" s="3306"/>
      <c r="DX115" s="3306"/>
      <c r="DY115" s="3306"/>
      <c r="DZ115" s="3306"/>
    </row>
    <row r="116" spans="1:130" ht="31.35" customHeight="1" x14ac:dyDescent="0.25">
      <c r="A116" s="860" t="s">
        <v>1435</v>
      </c>
      <c r="B116" s="860"/>
      <c r="C116" s="860"/>
      <c r="D116" s="860"/>
      <c r="E116" s="860"/>
      <c r="F116" s="855"/>
      <c r="G116" s="855"/>
      <c r="H116" s="855"/>
      <c r="I116" s="859"/>
      <c r="J116" s="858"/>
      <c r="K116" s="858"/>
      <c r="L116" s="857"/>
      <c r="M116" s="856"/>
      <c r="N116" s="852"/>
      <c r="O116" s="855"/>
      <c r="P116" s="852"/>
      <c r="Q116" s="854"/>
      <c r="R116" s="853"/>
      <c r="S116" s="853"/>
      <c r="T116" s="852"/>
      <c r="U116" s="852"/>
      <c r="V116" s="852"/>
      <c r="W116" s="689"/>
      <c r="X116" s="852"/>
      <c r="Y116" s="689"/>
      <c r="Z116" s="851"/>
      <c r="AA116" s="688"/>
      <c r="BA116" s="1187"/>
      <c r="BB116" s="1187"/>
      <c r="BC116" s="1187"/>
      <c r="BD116" s="1187"/>
      <c r="BE116" s="1187"/>
      <c r="BF116" s="1187"/>
      <c r="BG116" s="1187"/>
      <c r="BH116" s="1187"/>
      <c r="BI116" s="1187"/>
      <c r="BJ116" s="1187"/>
      <c r="BK116" s="1187"/>
      <c r="BL116" s="1187"/>
      <c r="BM116" s="1187"/>
      <c r="BN116" s="1187"/>
      <c r="BO116" s="1187"/>
      <c r="BP116" s="1187"/>
      <c r="BQ116" s="1187"/>
      <c r="BR116" s="1187"/>
      <c r="BS116" s="1187"/>
    </row>
    <row r="117" spans="1:130" ht="16.350000000000001" customHeight="1" x14ac:dyDescent="0.25">
      <c r="A117" s="8125" t="s">
        <v>41</v>
      </c>
      <c r="B117" s="8125" t="s">
        <v>1405</v>
      </c>
      <c r="C117" s="8191" t="s">
        <v>846</v>
      </c>
      <c r="D117" s="8130"/>
      <c r="E117" s="8192"/>
      <c r="F117" s="8418" t="s">
        <v>2</v>
      </c>
      <c r="G117" s="8419"/>
      <c r="H117" s="8419"/>
      <c r="I117" s="8419"/>
      <c r="J117" s="8419"/>
      <c r="K117" s="8419"/>
      <c r="L117" s="8419"/>
      <c r="M117" s="8419"/>
      <c r="N117" s="8419"/>
      <c r="O117" s="8419"/>
      <c r="P117" s="8419"/>
      <c r="Q117" s="8419"/>
      <c r="R117" s="8419"/>
      <c r="S117" s="8419"/>
      <c r="T117" s="8445"/>
      <c r="U117" s="8445"/>
      <c r="V117" s="8419"/>
      <c r="W117" s="8419"/>
      <c r="X117" s="8419"/>
      <c r="Y117" s="8419"/>
      <c r="Z117" s="8419"/>
      <c r="AA117" s="8420"/>
      <c r="AY117" s="1580"/>
      <c r="AZ117" s="1580"/>
    </row>
    <row r="118" spans="1:130" ht="16.350000000000001" customHeight="1" x14ac:dyDescent="0.25">
      <c r="A118" s="8125"/>
      <c r="B118" s="8125"/>
      <c r="C118" s="8283"/>
      <c r="D118" s="8168"/>
      <c r="E118" s="8284"/>
      <c r="F118" s="8323" t="s">
        <v>1434</v>
      </c>
      <c r="G118" s="8324"/>
      <c r="H118" s="8323" t="s">
        <v>1374</v>
      </c>
      <c r="I118" s="8324"/>
      <c r="J118" s="8323" t="s">
        <v>1433</v>
      </c>
      <c r="K118" s="8324"/>
      <c r="L118" s="8448" t="s">
        <v>54</v>
      </c>
      <c r="M118" s="8324"/>
      <c r="N118" s="8323" t="s">
        <v>32</v>
      </c>
      <c r="O118" s="8324"/>
      <c r="P118" s="8323" t="s">
        <v>33</v>
      </c>
      <c r="Q118" s="8324"/>
      <c r="R118" s="8323" t="s">
        <v>40</v>
      </c>
      <c r="S118" s="8324"/>
      <c r="T118" s="8323" t="s">
        <v>1432</v>
      </c>
      <c r="U118" s="8324"/>
      <c r="V118" s="8323" t="s">
        <v>1395</v>
      </c>
      <c r="W118" s="8324"/>
      <c r="X118" s="8323" t="s">
        <v>1431</v>
      </c>
      <c r="Y118" s="8324"/>
      <c r="Z118" s="8449" t="s">
        <v>1403</v>
      </c>
      <c r="AA118" s="8450"/>
      <c r="AY118" s="1580"/>
      <c r="AZ118" s="1580"/>
    </row>
    <row r="119" spans="1:130" ht="16.350000000000001" customHeight="1" x14ac:dyDescent="0.25">
      <c r="A119" s="8391"/>
      <c r="B119" s="8391"/>
      <c r="C119" s="848" t="s">
        <v>42</v>
      </c>
      <c r="D119" s="850" t="s">
        <v>17</v>
      </c>
      <c r="E119" s="849" t="s">
        <v>18</v>
      </c>
      <c r="F119" s="2656" t="s">
        <v>17</v>
      </c>
      <c r="G119" s="2670" t="s">
        <v>18</v>
      </c>
      <c r="H119" s="2656" t="s">
        <v>17</v>
      </c>
      <c r="I119" s="2670" t="s">
        <v>18</v>
      </c>
      <c r="J119" s="2656" t="s">
        <v>17</v>
      </c>
      <c r="K119" s="2670" t="s">
        <v>18</v>
      </c>
      <c r="L119" s="2671" t="s">
        <v>17</v>
      </c>
      <c r="M119" s="2670" t="s">
        <v>18</v>
      </c>
      <c r="N119" s="2656" t="s">
        <v>17</v>
      </c>
      <c r="O119" s="2670" t="s">
        <v>18</v>
      </c>
      <c r="P119" s="2656" t="s">
        <v>17</v>
      </c>
      <c r="Q119" s="2670" t="s">
        <v>18</v>
      </c>
      <c r="R119" s="2656" t="s">
        <v>17</v>
      </c>
      <c r="S119" s="2672" t="s">
        <v>18</v>
      </c>
      <c r="T119" s="2656" t="s">
        <v>17</v>
      </c>
      <c r="U119" s="2670" t="s">
        <v>18</v>
      </c>
      <c r="V119" s="2656" t="s">
        <v>17</v>
      </c>
      <c r="W119" s="2670" t="s">
        <v>18</v>
      </c>
      <c r="X119" s="2656" t="s">
        <v>17</v>
      </c>
      <c r="Y119" s="2670" t="s">
        <v>18</v>
      </c>
      <c r="Z119" s="2673" t="s">
        <v>17</v>
      </c>
      <c r="AA119" s="2674" t="s">
        <v>18</v>
      </c>
      <c r="AY119" s="1580"/>
      <c r="AZ119" s="1580"/>
    </row>
    <row r="120" spans="1:130" ht="16.350000000000001" customHeight="1" x14ac:dyDescent="0.25">
      <c r="A120" s="8386" t="s">
        <v>1430</v>
      </c>
      <c r="B120" s="1351" t="s">
        <v>1422</v>
      </c>
      <c r="C120" s="826">
        <f t="shared" ref="C120:C149" si="15">SUM(D120+E120)</f>
        <v>0</v>
      </c>
      <c r="D120" s="1354">
        <f>SUM(F120+H120+J120+L120+N120+P120+R120+T120+V120+X120+Z120)</f>
        <v>0</v>
      </c>
      <c r="E120" s="1355">
        <f>SUM(G120+I120+K120+M120+O120+Q120+S120+U120+W120+Y120+AA120)</f>
        <v>0</v>
      </c>
      <c r="F120" s="2647"/>
      <c r="G120" s="2646"/>
      <c r="H120" s="2647"/>
      <c r="I120" s="2102"/>
      <c r="J120" s="2647"/>
      <c r="K120" s="2102"/>
      <c r="L120" s="2591"/>
      <c r="M120" s="2102"/>
      <c r="N120" s="2647"/>
      <c r="O120" s="2102"/>
      <c r="P120" s="2647"/>
      <c r="Q120" s="2102"/>
      <c r="R120" s="2647"/>
      <c r="S120" s="2102"/>
      <c r="T120" s="2647"/>
      <c r="U120" s="2102"/>
      <c r="V120" s="2573"/>
      <c r="W120" s="2102"/>
      <c r="X120" s="2573"/>
      <c r="Y120" s="2102"/>
      <c r="Z120" s="2592"/>
      <c r="AA120" s="2675"/>
      <c r="AB120" s="1580"/>
      <c r="AY120" s="1580"/>
      <c r="AZ120" s="1580"/>
    </row>
    <row r="121" spans="1:130" ht="16.350000000000001" customHeight="1" x14ac:dyDescent="0.25">
      <c r="A121" s="8387"/>
      <c r="B121" s="557" t="s">
        <v>1421</v>
      </c>
      <c r="C121" s="2211">
        <f t="shared" si="15"/>
        <v>0</v>
      </c>
      <c r="D121" s="2212">
        <f t="shared" ref="D121:D149" si="16">SUM(F121+H121+J121+L121+N121+P121+R121+T121+V121+X121+Z121)</f>
        <v>0</v>
      </c>
      <c r="E121" s="839">
        <f t="shared" ref="E121:E149" si="17">SUM(G121+I121+K121+M121+O121+Q121+S121+U121+W121+Y121+AA121)</f>
        <v>0</v>
      </c>
      <c r="F121" s="2548"/>
      <c r="G121" s="2555"/>
      <c r="H121" s="2548"/>
      <c r="I121" s="2551"/>
      <c r="J121" s="2548"/>
      <c r="K121" s="2551"/>
      <c r="L121" s="2559"/>
      <c r="M121" s="2551"/>
      <c r="N121" s="2548"/>
      <c r="O121" s="2551"/>
      <c r="P121" s="2548"/>
      <c r="Q121" s="2551"/>
      <c r="R121" s="2548"/>
      <c r="S121" s="2551"/>
      <c r="T121" s="2548"/>
      <c r="U121" s="2551"/>
      <c r="V121" s="2593"/>
      <c r="W121" s="2551"/>
      <c r="X121" s="2593"/>
      <c r="Y121" s="2551"/>
      <c r="Z121" s="2594"/>
      <c r="AA121" s="2587"/>
      <c r="AB121" s="1580"/>
      <c r="AY121" s="1580"/>
      <c r="AZ121" s="1580"/>
    </row>
    <row r="122" spans="1:130" ht="16.350000000000001" customHeight="1" x14ac:dyDescent="0.25">
      <c r="A122" s="8387"/>
      <c r="B122" s="2112" t="s">
        <v>1420</v>
      </c>
      <c r="C122" s="2211">
        <f t="shared" si="15"/>
        <v>0</v>
      </c>
      <c r="D122" s="2212">
        <f t="shared" si="16"/>
        <v>0</v>
      </c>
      <c r="E122" s="839">
        <f t="shared" si="17"/>
        <v>0</v>
      </c>
      <c r="F122" s="2548"/>
      <c r="G122" s="2555"/>
      <c r="H122" s="2548"/>
      <c r="I122" s="2551"/>
      <c r="J122" s="2548"/>
      <c r="K122" s="2551"/>
      <c r="L122" s="2559"/>
      <c r="M122" s="2551"/>
      <c r="N122" s="2548"/>
      <c r="O122" s="2551"/>
      <c r="P122" s="2548"/>
      <c r="Q122" s="2551"/>
      <c r="R122" s="2548"/>
      <c r="S122" s="2551"/>
      <c r="T122" s="2548"/>
      <c r="U122" s="2551"/>
      <c r="V122" s="2593"/>
      <c r="W122" s="2551"/>
      <c r="X122" s="2593"/>
      <c r="Y122" s="2551"/>
      <c r="Z122" s="2594"/>
      <c r="AA122" s="2587"/>
      <c r="AB122" s="1580"/>
      <c r="AY122" s="1580"/>
      <c r="AZ122" s="1580"/>
    </row>
    <row r="123" spans="1:130" ht="16.350000000000001" customHeight="1" x14ac:dyDescent="0.25">
      <c r="A123" s="8388"/>
      <c r="B123" s="2112" t="s">
        <v>1419</v>
      </c>
      <c r="C123" s="323">
        <f t="shared" si="15"/>
        <v>0</v>
      </c>
      <c r="D123" s="324">
        <f t="shared" si="16"/>
        <v>0</v>
      </c>
      <c r="E123" s="847">
        <f t="shared" si="17"/>
        <v>0</v>
      </c>
      <c r="F123" s="2548"/>
      <c r="G123" s="2555"/>
      <c r="H123" s="2548"/>
      <c r="I123" s="2551"/>
      <c r="J123" s="2548"/>
      <c r="K123" s="2551"/>
      <c r="L123" s="2559"/>
      <c r="M123" s="2551"/>
      <c r="N123" s="2548"/>
      <c r="O123" s="2551"/>
      <c r="P123" s="2548"/>
      <c r="Q123" s="2551"/>
      <c r="R123" s="2548"/>
      <c r="S123" s="2551"/>
      <c r="T123" s="2548"/>
      <c r="U123" s="2551"/>
      <c r="V123" s="2593"/>
      <c r="W123" s="2551"/>
      <c r="X123" s="2593"/>
      <c r="Y123" s="2551"/>
      <c r="Z123" s="2594"/>
      <c r="AA123" s="2587"/>
      <c r="AB123" s="1580"/>
      <c r="AY123" s="1580"/>
      <c r="AZ123" s="1580"/>
    </row>
    <row r="124" spans="1:130" ht="16.350000000000001" customHeight="1" x14ac:dyDescent="0.25">
      <c r="A124" s="8389"/>
      <c r="B124" s="1349" t="s">
        <v>1418</v>
      </c>
      <c r="C124" s="1357">
        <f t="shared" si="15"/>
        <v>0</v>
      </c>
      <c r="D124" s="1358">
        <f t="shared" si="16"/>
        <v>0</v>
      </c>
      <c r="E124" s="1359">
        <f t="shared" si="17"/>
        <v>0</v>
      </c>
      <c r="F124" s="2521"/>
      <c r="G124" s="2535"/>
      <c r="H124" s="2521"/>
      <c r="I124" s="2552"/>
      <c r="J124" s="2521"/>
      <c r="K124" s="2552"/>
      <c r="L124" s="2536"/>
      <c r="M124" s="2552"/>
      <c r="N124" s="2521"/>
      <c r="O124" s="2552"/>
      <c r="P124" s="2521"/>
      <c r="Q124" s="2552"/>
      <c r="R124" s="2521"/>
      <c r="S124" s="2552"/>
      <c r="T124" s="2521"/>
      <c r="U124" s="2552"/>
      <c r="V124" s="2524"/>
      <c r="W124" s="2552"/>
      <c r="X124" s="2524"/>
      <c r="Y124" s="2552"/>
      <c r="Z124" s="2595"/>
      <c r="AA124" s="2589"/>
      <c r="AB124" s="1580"/>
      <c r="AY124" s="1580"/>
      <c r="AZ124" s="1580"/>
    </row>
    <row r="125" spans="1:130" ht="16.350000000000001" customHeight="1" x14ac:dyDescent="0.25">
      <c r="A125" s="8386" t="s">
        <v>1429</v>
      </c>
      <c r="B125" s="1351" t="s">
        <v>1422</v>
      </c>
      <c r="C125" s="826">
        <f t="shared" si="15"/>
        <v>0</v>
      </c>
      <c r="D125" s="1354">
        <f t="shared" si="16"/>
        <v>0</v>
      </c>
      <c r="E125" s="1355">
        <f t="shared" si="17"/>
        <v>0</v>
      </c>
      <c r="F125" s="2647"/>
      <c r="G125" s="2646"/>
      <c r="H125" s="2647"/>
      <c r="I125" s="2102"/>
      <c r="J125" s="2647"/>
      <c r="K125" s="2102"/>
      <c r="L125" s="2591"/>
      <c r="M125" s="2102"/>
      <c r="N125" s="2647"/>
      <c r="O125" s="2102"/>
      <c r="P125" s="2647"/>
      <c r="Q125" s="2102"/>
      <c r="R125" s="2647"/>
      <c r="S125" s="2102"/>
      <c r="T125" s="2647"/>
      <c r="U125" s="2102"/>
      <c r="V125" s="2573"/>
      <c r="W125" s="2102"/>
      <c r="X125" s="2573"/>
      <c r="Y125" s="2102"/>
      <c r="Z125" s="2592"/>
      <c r="AA125" s="2675"/>
      <c r="AB125" s="1580"/>
      <c r="AY125" s="1580"/>
      <c r="AZ125" s="1580"/>
    </row>
    <row r="126" spans="1:130" ht="16.350000000000001" customHeight="1" x14ac:dyDescent="0.25">
      <c r="A126" s="8387"/>
      <c r="B126" s="557" t="s">
        <v>1421</v>
      </c>
      <c r="C126" s="2211">
        <f t="shared" si="15"/>
        <v>0</v>
      </c>
      <c r="D126" s="2212">
        <f t="shared" si="16"/>
        <v>0</v>
      </c>
      <c r="E126" s="839">
        <f t="shared" si="17"/>
        <v>0</v>
      </c>
      <c r="F126" s="2548"/>
      <c r="G126" s="2555"/>
      <c r="H126" s="2548"/>
      <c r="I126" s="2551"/>
      <c r="J126" s="2548"/>
      <c r="K126" s="2551"/>
      <c r="L126" s="2559"/>
      <c r="M126" s="2551"/>
      <c r="N126" s="2548"/>
      <c r="O126" s="2551"/>
      <c r="P126" s="2548"/>
      <c r="Q126" s="2551"/>
      <c r="R126" s="2548"/>
      <c r="S126" s="2551"/>
      <c r="T126" s="2548"/>
      <c r="U126" s="2551"/>
      <c r="V126" s="2593"/>
      <c r="W126" s="2551"/>
      <c r="X126" s="2593"/>
      <c r="Y126" s="2551"/>
      <c r="Z126" s="2594"/>
      <c r="AA126" s="2587"/>
      <c r="AB126" s="1580"/>
      <c r="AY126" s="1580"/>
      <c r="AZ126" s="1580"/>
    </row>
    <row r="127" spans="1:130" ht="16.350000000000001" customHeight="1" x14ac:dyDescent="0.25">
      <c r="A127" s="8387"/>
      <c r="B127" s="2112" t="s">
        <v>1420</v>
      </c>
      <c r="C127" s="2211">
        <f t="shared" si="15"/>
        <v>0</v>
      </c>
      <c r="D127" s="2212">
        <f t="shared" si="16"/>
        <v>0</v>
      </c>
      <c r="E127" s="839">
        <f t="shared" si="17"/>
        <v>0</v>
      </c>
      <c r="F127" s="2548"/>
      <c r="G127" s="2555"/>
      <c r="H127" s="2548"/>
      <c r="I127" s="2551"/>
      <c r="J127" s="2548"/>
      <c r="K127" s="2551"/>
      <c r="L127" s="2559"/>
      <c r="M127" s="2551"/>
      <c r="N127" s="2548"/>
      <c r="O127" s="2551"/>
      <c r="P127" s="2548"/>
      <c r="Q127" s="2551"/>
      <c r="R127" s="2548"/>
      <c r="S127" s="2551"/>
      <c r="T127" s="2548"/>
      <c r="U127" s="2551"/>
      <c r="V127" s="2593"/>
      <c r="W127" s="2551"/>
      <c r="X127" s="2593"/>
      <c r="Y127" s="2551"/>
      <c r="Z127" s="2594"/>
      <c r="AA127" s="2587"/>
      <c r="AB127" s="1580"/>
      <c r="AY127" s="1580"/>
      <c r="AZ127" s="1580"/>
    </row>
    <row r="128" spans="1:130" ht="16.350000000000001" customHeight="1" x14ac:dyDescent="0.25">
      <c r="A128" s="8388"/>
      <c r="B128" s="2112" t="s">
        <v>1419</v>
      </c>
      <c r="C128" s="323">
        <f t="shared" si="15"/>
        <v>0</v>
      </c>
      <c r="D128" s="324">
        <f t="shared" si="16"/>
        <v>0</v>
      </c>
      <c r="E128" s="847">
        <f t="shared" si="17"/>
        <v>0</v>
      </c>
      <c r="F128" s="2548"/>
      <c r="G128" s="2555"/>
      <c r="H128" s="2548"/>
      <c r="I128" s="2551"/>
      <c r="J128" s="2548"/>
      <c r="K128" s="2551"/>
      <c r="L128" s="2559"/>
      <c r="M128" s="2551"/>
      <c r="N128" s="2548"/>
      <c r="O128" s="2551"/>
      <c r="P128" s="2548"/>
      <c r="Q128" s="2551"/>
      <c r="R128" s="2548"/>
      <c r="S128" s="2551"/>
      <c r="T128" s="2548"/>
      <c r="U128" s="2551"/>
      <c r="V128" s="2593"/>
      <c r="W128" s="2551"/>
      <c r="X128" s="2593"/>
      <c r="Y128" s="2551"/>
      <c r="Z128" s="2594"/>
      <c r="AA128" s="2587"/>
      <c r="AB128" s="1580"/>
      <c r="AY128" s="1580"/>
      <c r="AZ128" s="1580"/>
    </row>
    <row r="129" spans="1:52" ht="16.350000000000001" customHeight="1" x14ac:dyDescent="0.25">
      <c r="A129" s="8389"/>
      <c r="B129" s="1349" t="s">
        <v>1418</v>
      </c>
      <c r="C129" s="1357">
        <f t="shared" si="15"/>
        <v>0</v>
      </c>
      <c r="D129" s="1358">
        <f t="shared" si="16"/>
        <v>0</v>
      </c>
      <c r="E129" s="1359">
        <f t="shared" si="17"/>
        <v>0</v>
      </c>
      <c r="F129" s="2521"/>
      <c r="G129" s="2535"/>
      <c r="H129" s="2521"/>
      <c r="I129" s="2552"/>
      <c r="J129" s="2521"/>
      <c r="K129" s="2552"/>
      <c r="L129" s="2536"/>
      <c r="M129" s="2552"/>
      <c r="N129" s="2521"/>
      <c r="O129" s="2552"/>
      <c r="P129" s="2521"/>
      <c r="Q129" s="2552"/>
      <c r="R129" s="2521"/>
      <c r="S129" s="2552"/>
      <c r="T129" s="2521"/>
      <c r="U129" s="2552"/>
      <c r="V129" s="2524"/>
      <c r="W129" s="2552"/>
      <c r="X129" s="2524"/>
      <c r="Y129" s="2552"/>
      <c r="Z129" s="2595"/>
      <c r="AA129" s="2589"/>
      <c r="AB129" s="1580"/>
      <c r="AY129" s="1580"/>
      <c r="AZ129" s="1580"/>
    </row>
    <row r="130" spans="1:52" ht="16.350000000000001" customHeight="1" x14ac:dyDescent="0.25">
      <c r="A130" s="8390" t="s">
        <v>1428</v>
      </c>
      <c r="B130" s="1351" t="s">
        <v>1422</v>
      </c>
      <c r="C130" s="826">
        <f t="shared" si="15"/>
        <v>0</v>
      </c>
      <c r="D130" s="1354">
        <f t="shared" si="16"/>
        <v>0</v>
      </c>
      <c r="E130" s="1355">
        <f t="shared" si="17"/>
        <v>0</v>
      </c>
      <c r="F130" s="2647"/>
      <c r="G130" s="2646"/>
      <c r="H130" s="2647"/>
      <c r="I130" s="2102"/>
      <c r="J130" s="2647"/>
      <c r="K130" s="2102"/>
      <c r="L130" s="2591"/>
      <c r="M130" s="2102"/>
      <c r="N130" s="2647"/>
      <c r="O130" s="2102"/>
      <c r="P130" s="2647"/>
      <c r="Q130" s="2102"/>
      <c r="R130" s="2647"/>
      <c r="S130" s="2102"/>
      <c r="T130" s="2647"/>
      <c r="U130" s="2102"/>
      <c r="V130" s="2573"/>
      <c r="W130" s="2102"/>
      <c r="X130" s="2573"/>
      <c r="Y130" s="2102"/>
      <c r="Z130" s="2592"/>
      <c r="AA130" s="2675"/>
      <c r="AB130" s="1580"/>
      <c r="AY130" s="1580"/>
      <c r="AZ130" s="1580"/>
    </row>
    <row r="131" spans="1:52" ht="16.350000000000001" customHeight="1" x14ac:dyDescent="0.25">
      <c r="A131" s="8125"/>
      <c r="B131" s="557" t="s">
        <v>1421</v>
      </c>
      <c r="C131" s="2211">
        <f t="shared" si="15"/>
        <v>0</v>
      </c>
      <c r="D131" s="2212">
        <f t="shared" si="16"/>
        <v>0</v>
      </c>
      <c r="E131" s="839">
        <f t="shared" si="17"/>
        <v>0</v>
      </c>
      <c r="F131" s="2548"/>
      <c r="G131" s="2555"/>
      <c r="H131" s="2548"/>
      <c r="I131" s="2551"/>
      <c r="J131" s="2548"/>
      <c r="K131" s="2551"/>
      <c r="L131" s="2559"/>
      <c r="M131" s="2551"/>
      <c r="N131" s="2548"/>
      <c r="O131" s="2551"/>
      <c r="P131" s="2548"/>
      <c r="Q131" s="2551"/>
      <c r="R131" s="2548"/>
      <c r="S131" s="2551"/>
      <c r="T131" s="2548"/>
      <c r="U131" s="2551"/>
      <c r="V131" s="2593"/>
      <c r="W131" s="2551"/>
      <c r="X131" s="2593"/>
      <c r="Y131" s="2551"/>
      <c r="Z131" s="2594"/>
      <c r="AA131" s="2587"/>
      <c r="AB131" s="1580"/>
      <c r="AY131" s="1580"/>
      <c r="AZ131" s="1580"/>
    </row>
    <row r="132" spans="1:52" ht="16.350000000000001" customHeight="1" x14ac:dyDescent="0.25">
      <c r="A132" s="8125"/>
      <c r="B132" s="2112" t="s">
        <v>1420</v>
      </c>
      <c r="C132" s="2211">
        <f t="shared" si="15"/>
        <v>0</v>
      </c>
      <c r="D132" s="2212">
        <f t="shared" si="16"/>
        <v>0</v>
      </c>
      <c r="E132" s="839">
        <f t="shared" si="17"/>
        <v>0</v>
      </c>
      <c r="F132" s="2548"/>
      <c r="G132" s="2555"/>
      <c r="H132" s="2548"/>
      <c r="I132" s="2551"/>
      <c r="J132" s="2548"/>
      <c r="K132" s="2551"/>
      <c r="L132" s="2559"/>
      <c r="M132" s="2551"/>
      <c r="N132" s="2548"/>
      <c r="O132" s="2551"/>
      <c r="P132" s="2548"/>
      <c r="Q132" s="2551"/>
      <c r="R132" s="2548"/>
      <c r="S132" s="2551"/>
      <c r="T132" s="2548"/>
      <c r="U132" s="2551"/>
      <c r="V132" s="2593"/>
      <c r="W132" s="2551"/>
      <c r="X132" s="2593"/>
      <c r="Y132" s="2551"/>
      <c r="Z132" s="2594"/>
      <c r="AA132" s="2587"/>
      <c r="AB132" s="1580"/>
      <c r="AY132" s="1580"/>
      <c r="AZ132" s="1580"/>
    </row>
    <row r="133" spans="1:52" ht="16.350000000000001" customHeight="1" x14ac:dyDescent="0.25">
      <c r="A133" s="8125"/>
      <c r="B133" s="2112" t="s">
        <v>1419</v>
      </c>
      <c r="C133" s="323">
        <f t="shared" si="15"/>
        <v>0</v>
      </c>
      <c r="D133" s="324">
        <f t="shared" si="16"/>
        <v>0</v>
      </c>
      <c r="E133" s="847">
        <f t="shared" si="17"/>
        <v>0</v>
      </c>
      <c r="F133" s="2548"/>
      <c r="G133" s="2555"/>
      <c r="H133" s="2548"/>
      <c r="I133" s="2551"/>
      <c r="J133" s="2548"/>
      <c r="K133" s="2551"/>
      <c r="L133" s="2559"/>
      <c r="M133" s="2551"/>
      <c r="N133" s="2548"/>
      <c r="O133" s="2551"/>
      <c r="P133" s="2548"/>
      <c r="Q133" s="2551"/>
      <c r="R133" s="2548"/>
      <c r="S133" s="2551"/>
      <c r="T133" s="2548"/>
      <c r="U133" s="2551"/>
      <c r="V133" s="2593"/>
      <c r="W133" s="2551"/>
      <c r="X133" s="2593"/>
      <c r="Y133" s="2551"/>
      <c r="Z133" s="2594"/>
      <c r="AA133" s="2587"/>
      <c r="AB133" s="1580"/>
      <c r="AY133" s="1580"/>
      <c r="AZ133" s="1580"/>
    </row>
    <row r="134" spans="1:52" ht="16.350000000000001" customHeight="1" x14ac:dyDescent="0.25">
      <c r="A134" s="8391"/>
      <c r="B134" s="1349" t="s">
        <v>1418</v>
      </c>
      <c r="C134" s="1357">
        <f t="shared" si="15"/>
        <v>0</v>
      </c>
      <c r="D134" s="1358">
        <f t="shared" si="16"/>
        <v>0</v>
      </c>
      <c r="E134" s="1359">
        <f t="shared" si="17"/>
        <v>0</v>
      </c>
      <c r="F134" s="2521"/>
      <c r="G134" s="2535"/>
      <c r="H134" s="2521"/>
      <c r="I134" s="2552"/>
      <c r="J134" s="2521"/>
      <c r="K134" s="2552"/>
      <c r="L134" s="2536"/>
      <c r="M134" s="2552"/>
      <c r="N134" s="2521"/>
      <c r="O134" s="2552"/>
      <c r="P134" s="2521"/>
      <c r="Q134" s="2552"/>
      <c r="R134" s="2521"/>
      <c r="S134" s="2552"/>
      <c r="T134" s="2521"/>
      <c r="U134" s="2552"/>
      <c r="V134" s="2524"/>
      <c r="W134" s="2552"/>
      <c r="X134" s="2524"/>
      <c r="Y134" s="2552"/>
      <c r="Z134" s="2595"/>
      <c r="AA134" s="2589"/>
      <c r="AB134" s="1580"/>
      <c r="AY134" s="1580"/>
      <c r="AZ134" s="1580"/>
    </row>
    <row r="135" spans="1:52" ht="16.350000000000001" customHeight="1" x14ac:dyDescent="0.25">
      <c r="A135" s="8386" t="s">
        <v>1427</v>
      </c>
      <c r="B135" s="1351" t="s">
        <v>1422</v>
      </c>
      <c r="C135" s="826">
        <f t="shared" si="15"/>
        <v>0</v>
      </c>
      <c r="D135" s="1354">
        <f t="shared" si="16"/>
        <v>0</v>
      </c>
      <c r="E135" s="1355">
        <f t="shared" si="17"/>
        <v>0</v>
      </c>
      <c r="F135" s="2647"/>
      <c r="G135" s="2646"/>
      <c r="H135" s="2647"/>
      <c r="I135" s="2102"/>
      <c r="J135" s="2647"/>
      <c r="K135" s="2102"/>
      <c r="L135" s="2591"/>
      <c r="M135" s="2102"/>
      <c r="N135" s="2647"/>
      <c r="O135" s="2102"/>
      <c r="P135" s="2647"/>
      <c r="Q135" s="2102"/>
      <c r="R135" s="2647"/>
      <c r="S135" s="2102"/>
      <c r="T135" s="2647"/>
      <c r="U135" s="2102"/>
      <c r="V135" s="2573"/>
      <c r="W135" s="2102"/>
      <c r="X135" s="2573"/>
      <c r="Y135" s="2102"/>
      <c r="Z135" s="2592"/>
      <c r="AA135" s="2675"/>
      <c r="AB135" s="1580"/>
      <c r="AY135" s="1580"/>
      <c r="AZ135" s="1580"/>
    </row>
    <row r="136" spans="1:52" ht="16.350000000000001" customHeight="1" x14ac:dyDescent="0.25">
      <c r="A136" s="8387"/>
      <c r="B136" s="557" t="s">
        <v>1421</v>
      </c>
      <c r="C136" s="2211">
        <f t="shared" si="15"/>
        <v>0</v>
      </c>
      <c r="D136" s="2212">
        <f t="shared" si="16"/>
        <v>0</v>
      </c>
      <c r="E136" s="839">
        <f t="shared" si="17"/>
        <v>0</v>
      </c>
      <c r="F136" s="2548"/>
      <c r="G136" s="2555"/>
      <c r="H136" s="2548"/>
      <c r="I136" s="2551"/>
      <c r="J136" s="2548"/>
      <c r="K136" s="2551"/>
      <c r="L136" s="2559"/>
      <c r="M136" s="2551"/>
      <c r="N136" s="2548"/>
      <c r="O136" s="2551"/>
      <c r="P136" s="2548"/>
      <c r="Q136" s="2551"/>
      <c r="R136" s="2548"/>
      <c r="S136" s="2551"/>
      <c r="T136" s="2548"/>
      <c r="U136" s="2551"/>
      <c r="V136" s="2593"/>
      <c r="W136" s="2551"/>
      <c r="X136" s="2593"/>
      <c r="Y136" s="2551"/>
      <c r="Z136" s="2594"/>
      <c r="AA136" s="2587"/>
      <c r="AB136" s="1580"/>
      <c r="AY136" s="1580"/>
      <c r="AZ136" s="1580"/>
    </row>
    <row r="137" spans="1:52" ht="16.350000000000001" customHeight="1" x14ac:dyDescent="0.25">
      <c r="A137" s="8387"/>
      <c r="B137" s="2112" t="s">
        <v>1420</v>
      </c>
      <c r="C137" s="2211">
        <f t="shared" si="15"/>
        <v>0</v>
      </c>
      <c r="D137" s="2212">
        <f t="shared" si="16"/>
        <v>0</v>
      </c>
      <c r="E137" s="839">
        <f t="shared" si="17"/>
        <v>0</v>
      </c>
      <c r="F137" s="2548"/>
      <c r="G137" s="2555"/>
      <c r="H137" s="2548"/>
      <c r="I137" s="2551"/>
      <c r="J137" s="2548"/>
      <c r="K137" s="2551"/>
      <c r="L137" s="2559"/>
      <c r="M137" s="2551"/>
      <c r="N137" s="2548"/>
      <c r="O137" s="2551"/>
      <c r="P137" s="2548"/>
      <c r="Q137" s="2551"/>
      <c r="R137" s="2548"/>
      <c r="S137" s="2551"/>
      <c r="T137" s="2548"/>
      <c r="U137" s="2551"/>
      <c r="V137" s="2593"/>
      <c r="W137" s="2551"/>
      <c r="X137" s="2593"/>
      <c r="Y137" s="2551"/>
      <c r="Z137" s="2594"/>
      <c r="AA137" s="2587"/>
      <c r="AB137" s="1580"/>
      <c r="AY137" s="1580"/>
      <c r="AZ137" s="1580"/>
    </row>
    <row r="138" spans="1:52" ht="16.350000000000001" customHeight="1" x14ac:dyDescent="0.25">
      <c r="A138" s="8388"/>
      <c r="B138" s="2112" t="s">
        <v>1419</v>
      </c>
      <c r="C138" s="323">
        <f t="shared" si="15"/>
        <v>0</v>
      </c>
      <c r="D138" s="324">
        <f t="shared" si="16"/>
        <v>0</v>
      </c>
      <c r="E138" s="847">
        <f t="shared" si="17"/>
        <v>0</v>
      </c>
      <c r="F138" s="2548"/>
      <c r="G138" s="2555"/>
      <c r="H138" s="2548"/>
      <c r="I138" s="2551"/>
      <c r="J138" s="2548"/>
      <c r="K138" s="2551"/>
      <c r="L138" s="2559"/>
      <c r="M138" s="2551"/>
      <c r="N138" s="2548"/>
      <c r="O138" s="2551"/>
      <c r="P138" s="2548"/>
      <c r="Q138" s="2551"/>
      <c r="R138" s="2548"/>
      <c r="S138" s="2551"/>
      <c r="T138" s="2548"/>
      <c r="U138" s="2551"/>
      <c r="V138" s="2593"/>
      <c r="W138" s="2551"/>
      <c r="X138" s="2593"/>
      <c r="Y138" s="2551"/>
      <c r="Z138" s="2594"/>
      <c r="AA138" s="2587"/>
      <c r="AB138" s="1580"/>
      <c r="AY138" s="1580"/>
      <c r="AZ138" s="1580"/>
    </row>
    <row r="139" spans="1:52" ht="16.350000000000001" customHeight="1" x14ac:dyDescent="0.25">
      <c r="A139" s="8389"/>
      <c r="B139" s="1349" t="s">
        <v>1418</v>
      </c>
      <c r="C139" s="1357">
        <f t="shared" si="15"/>
        <v>0</v>
      </c>
      <c r="D139" s="1358">
        <f t="shared" si="16"/>
        <v>0</v>
      </c>
      <c r="E139" s="1359">
        <f t="shared" si="17"/>
        <v>0</v>
      </c>
      <c r="F139" s="2521"/>
      <c r="G139" s="2535"/>
      <c r="H139" s="2521"/>
      <c r="I139" s="2552"/>
      <c r="J139" s="2521"/>
      <c r="K139" s="2552"/>
      <c r="L139" s="2536"/>
      <c r="M139" s="2552"/>
      <c r="N139" s="2521"/>
      <c r="O139" s="2552"/>
      <c r="P139" s="2521"/>
      <c r="Q139" s="2552"/>
      <c r="R139" s="2521"/>
      <c r="S139" s="2552"/>
      <c r="T139" s="2521"/>
      <c r="U139" s="2552"/>
      <c r="V139" s="2524"/>
      <c r="W139" s="2552"/>
      <c r="X139" s="2524"/>
      <c r="Y139" s="2552"/>
      <c r="Z139" s="2595"/>
      <c r="AA139" s="2589"/>
      <c r="AB139" s="1580"/>
      <c r="AY139" s="1580"/>
      <c r="AZ139" s="1580"/>
    </row>
    <row r="140" spans="1:52" ht="16.350000000000001" customHeight="1" x14ac:dyDescent="0.25">
      <c r="A140" s="8386" t="s">
        <v>1426</v>
      </c>
      <c r="B140" s="1351" t="s">
        <v>1422</v>
      </c>
      <c r="C140" s="826">
        <f t="shared" si="15"/>
        <v>0</v>
      </c>
      <c r="D140" s="1354">
        <f t="shared" si="16"/>
        <v>0</v>
      </c>
      <c r="E140" s="1355">
        <f t="shared" si="17"/>
        <v>0</v>
      </c>
      <c r="F140" s="2647"/>
      <c r="G140" s="2646"/>
      <c r="H140" s="2647"/>
      <c r="I140" s="2102"/>
      <c r="J140" s="2647"/>
      <c r="K140" s="2102"/>
      <c r="L140" s="2591"/>
      <c r="M140" s="2102"/>
      <c r="N140" s="2647"/>
      <c r="O140" s="2102"/>
      <c r="P140" s="2647"/>
      <c r="Q140" s="2102"/>
      <c r="R140" s="2647"/>
      <c r="S140" s="2102"/>
      <c r="T140" s="2647"/>
      <c r="U140" s="2102"/>
      <c r="V140" s="2573"/>
      <c r="W140" s="2102"/>
      <c r="X140" s="2573"/>
      <c r="Y140" s="2102"/>
      <c r="Z140" s="2592"/>
      <c r="AA140" s="2675"/>
      <c r="AB140" s="1580"/>
      <c r="AY140" s="1580"/>
      <c r="AZ140" s="1580"/>
    </row>
    <row r="141" spans="1:52" ht="16.350000000000001" customHeight="1" x14ac:dyDescent="0.25">
      <c r="A141" s="8387"/>
      <c r="B141" s="557" t="s">
        <v>1421</v>
      </c>
      <c r="C141" s="2211">
        <f t="shared" si="15"/>
        <v>0</v>
      </c>
      <c r="D141" s="2212">
        <f t="shared" si="16"/>
        <v>0</v>
      </c>
      <c r="E141" s="839">
        <f t="shared" si="17"/>
        <v>0</v>
      </c>
      <c r="F141" s="2548"/>
      <c r="G141" s="2555"/>
      <c r="H141" s="2548"/>
      <c r="I141" s="2551"/>
      <c r="J141" s="2548"/>
      <c r="K141" s="2551"/>
      <c r="L141" s="2559"/>
      <c r="M141" s="2551"/>
      <c r="N141" s="2548"/>
      <c r="O141" s="2551"/>
      <c r="P141" s="2548"/>
      <c r="Q141" s="2551"/>
      <c r="R141" s="2548"/>
      <c r="S141" s="2551"/>
      <c r="T141" s="2548"/>
      <c r="U141" s="2551"/>
      <c r="V141" s="2593"/>
      <c r="W141" s="2551"/>
      <c r="X141" s="2593"/>
      <c r="Y141" s="2551"/>
      <c r="Z141" s="2594"/>
      <c r="AA141" s="2587"/>
      <c r="AB141" s="1580"/>
      <c r="AY141" s="1580"/>
      <c r="AZ141" s="1580"/>
    </row>
    <row r="142" spans="1:52" ht="16.350000000000001" customHeight="1" x14ac:dyDescent="0.25">
      <c r="A142" s="8387"/>
      <c r="B142" s="2112" t="s">
        <v>1420</v>
      </c>
      <c r="C142" s="2211">
        <f t="shared" si="15"/>
        <v>0</v>
      </c>
      <c r="D142" s="2212">
        <f t="shared" si="16"/>
        <v>0</v>
      </c>
      <c r="E142" s="839">
        <f t="shared" si="17"/>
        <v>0</v>
      </c>
      <c r="F142" s="2548"/>
      <c r="G142" s="2555"/>
      <c r="H142" s="2548"/>
      <c r="I142" s="2551"/>
      <c r="J142" s="2548"/>
      <c r="K142" s="2551"/>
      <c r="L142" s="2559"/>
      <c r="M142" s="2551"/>
      <c r="N142" s="2548"/>
      <c r="O142" s="2551"/>
      <c r="P142" s="2548"/>
      <c r="Q142" s="2551"/>
      <c r="R142" s="2548"/>
      <c r="S142" s="2551"/>
      <c r="T142" s="2548"/>
      <c r="U142" s="2551"/>
      <c r="V142" s="2593"/>
      <c r="W142" s="2551"/>
      <c r="X142" s="2593"/>
      <c r="Y142" s="2551"/>
      <c r="Z142" s="2594"/>
      <c r="AA142" s="2587"/>
      <c r="AB142" s="1580"/>
      <c r="AY142" s="1580"/>
      <c r="AZ142" s="1580"/>
    </row>
    <row r="143" spans="1:52" ht="16.350000000000001" customHeight="1" x14ac:dyDescent="0.25">
      <c r="A143" s="8388"/>
      <c r="B143" s="2112" t="s">
        <v>1419</v>
      </c>
      <c r="C143" s="323">
        <f t="shared" si="15"/>
        <v>0</v>
      </c>
      <c r="D143" s="324">
        <f t="shared" si="16"/>
        <v>0</v>
      </c>
      <c r="E143" s="847">
        <f t="shared" si="17"/>
        <v>0</v>
      </c>
      <c r="F143" s="2548"/>
      <c r="G143" s="2555"/>
      <c r="H143" s="2548"/>
      <c r="I143" s="2551"/>
      <c r="J143" s="2548"/>
      <c r="K143" s="2551"/>
      <c r="L143" s="2559"/>
      <c r="M143" s="2551"/>
      <c r="N143" s="2548"/>
      <c r="O143" s="2551"/>
      <c r="P143" s="2548"/>
      <c r="Q143" s="2551"/>
      <c r="R143" s="2548"/>
      <c r="S143" s="2551"/>
      <c r="T143" s="2548"/>
      <c r="U143" s="2551"/>
      <c r="V143" s="2593"/>
      <c r="W143" s="2551"/>
      <c r="X143" s="2593"/>
      <c r="Y143" s="2551"/>
      <c r="Z143" s="2594"/>
      <c r="AA143" s="2587"/>
      <c r="AB143" s="1580"/>
      <c r="AY143" s="1580"/>
      <c r="AZ143" s="1580"/>
    </row>
    <row r="144" spans="1:52" ht="16.350000000000001" customHeight="1" x14ac:dyDescent="0.25">
      <c r="A144" s="8389"/>
      <c r="B144" s="1349" t="s">
        <v>1418</v>
      </c>
      <c r="C144" s="1357">
        <f t="shared" si="15"/>
        <v>0</v>
      </c>
      <c r="D144" s="1358">
        <f t="shared" si="16"/>
        <v>0</v>
      </c>
      <c r="E144" s="1359">
        <f t="shared" si="17"/>
        <v>0</v>
      </c>
      <c r="F144" s="2521"/>
      <c r="G144" s="2535"/>
      <c r="H144" s="2521"/>
      <c r="I144" s="2552"/>
      <c r="J144" s="2521"/>
      <c r="K144" s="2552"/>
      <c r="L144" s="2536"/>
      <c r="M144" s="2552"/>
      <c r="N144" s="2521"/>
      <c r="O144" s="2552"/>
      <c r="P144" s="2521"/>
      <c r="Q144" s="2552"/>
      <c r="R144" s="2521"/>
      <c r="S144" s="2552"/>
      <c r="T144" s="2521"/>
      <c r="U144" s="2552"/>
      <c r="V144" s="2524"/>
      <c r="W144" s="2552"/>
      <c r="X144" s="2524"/>
      <c r="Y144" s="2552"/>
      <c r="Z144" s="2595"/>
      <c r="AA144" s="2589"/>
      <c r="AB144" s="1580"/>
      <c r="AY144" s="1580"/>
      <c r="AZ144" s="1580"/>
    </row>
    <row r="145" spans="1:52" ht="16.350000000000001" customHeight="1" x14ac:dyDescent="0.25">
      <c r="A145" s="8390" t="s">
        <v>1425</v>
      </c>
      <c r="B145" s="1351" t="s">
        <v>1422</v>
      </c>
      <c r="C145" s="826">
        <f t="shared" si="15"/>
        <v>0</v>
      </c>
      <c r="D145" s="1354">
        <f t="shared" si="16"/>
        <v>0</v>
      </c>
      <c r="E145" s="1355">
        <f t="shared" si="17"/>
        <v>0</v>
      </c>
      <c r="F145" s="2647"/>
      <c r="G145" s="2646"/>
      <c r="H145" s="2647"/>
      <c r="I145" s="2102"/>
      <c r="J145" s="2647"/>
      <c r="K145" s="2102"/>
      <c r="L145" s="2591"/>
      <c r="M145" s="2102"/>
      <c r="N145" s="2647"/>
      <c r="O145" s="2102"/>
      <c r="P145" s="2647"/>
      <c r="Q145" s="2102"/>
      <c r="R145" s="2647"/>
      <c r="S145" s="2102"/>
      <c r="T145" s="2647"/>
      <c r="U145" s="2102"/>
      <c r="V145" s="2573"/>
      <c r="W145" s="2102"/>
      <c r="X145" s="2573"/>
      <c r="Y145" s="2102"/>
      <c r="Z145" s="2592"/>
      <c r="AA145" s="2675"/>
      <c r="AB145" s="1580"/>
      <c r="AY145" s="1580"/>
      <c r="AZ145" s="1580"/>
    </row>
    <row r="146" spans="1:52" ht="16.350000000000001" customHeight="1" x14ac:dyDescent="0.25">
      <c r="A146" s="8125"/>
      <c r="B146" s="557" t="s">
        <v>1421</v>
      </c>
      <c r="C146" s="2211">
        <f t="shared" si="15"/>
        <v>0</v>
      </c>
      <c r="D146" s="2212">
        <f t="shared" si="16"/>
        <v>0</v>
      </c>
      <c r="E146" s="839">
        <f t="shared" si="17"/>
        <v>0</v>
      </c>
      <c r="F146" s="2548"/>
      <c r="G146" s="2555"/>
      <c r="H146" s="2548"/>
      <c r="I146" s="2551"/>
      <c r="J146" s="2548"/>
      <c r="K146" s="2551"/>
      <c r="L146" s="2559"/>
      <c r="M146" s="2551"/>
      <c r="N146" s="2548"/>
      <c r="O146" s="2551"/>
      <c r="P146" s="2548"/>
      <c r="Q146" s="2551"/>
      <c r="R146" s="2548"/>
      <c r="S146" s="2551"/>
      <c r="T146" s="2548"/>
      <c r="U146" s="2551"/>
      <c r="V146" s="2593"/>
      <c r="W146" s="2551"/>
      <c r="X146" s="2593"/>
      <c r="Y146" s="2551"/>
      <c r="Z146" s="2594"/>
      <c r="AA146" s="2587"/>
      <c r="AB146" s="1580"/>
      <c r="AY146" s="1580"/>
      <c r="AZ146" s="1580"/>
    </row>
    <row r="147" spans="1:52" ht="16.350000000000001" customHeight="1" x14ac:dyDescent="0.25">
      <c r="A147" s="8125"/>
      <c r="B147" s="2112" t="s">
        <v>1420</v>
      </c>
      <c r="C147" s="2211">
        <f t="shared" si="15"/>
        <v>0</v>
      </c>
      <c r="D147" s="2212">
        <f t="shared" si="16"/>
        <v>0</v>
      </c>
      <c r="E147" s="839">
        <f t="shared" si="17"/>
        <v>0</v>
      </c>
      <c r="F147" s="2548"/>
      <c r="G147" s="2555"/>
      <c r="H147" s="2548"/>
      <c r="I147" s="2551"/>
      <c r="J147" s="2548"/>
      <c r="K147" s="2551"/>
      <c r="L147" s="2559"/>
      <c r="M147" s="2551"/>
      <c r="N147" s="2548"/>
      <c r="O147" s="2551"/>
      <c r="P147" s="2548"/>
      <c r="Q147" s="2551"/>
      <c r="R147" s="2548"/>
      <c r="S147" s="2551"/>
      <c r="T147" s="2548"/>
      <c r="U147" s="2551"/>
      <c r="V147" s="2593"/>
      <c r="W147" s="2551"/>
      <c r="X147" s="2593"/>
      <c r="Y147" s="2551"/>
      <c r="Z147" s="2594"/>
      <c r="AA147" s="2587"/>
      <c r="AB147" s="1580"/>
      <c r="AY147" s="1580"/>
      <c r="AZ147" s="1580"/>
    </row>
    <row r="148" spans="1:52" ht="16.350000000000001" customHeight="1" x14ac:dyDescent="0.25">
      <c r="A148" s="8125"/>
      <c r="B148" s="2112" t="s">
        <v>1419</v>
      </c>
      <c r="C148" s="323">
        <f t="shared" si="15"/>
        <v>0</v>
      </c>
      <c r="D148" s="324">
        <f t="shared" si="16"/>
        <v>0</v>
      </c>
      <c r="E148" s="847">
        <f t="shared" si="17"/>
        <v>0</v>
      </c>
      <c r="F148" s="2548"/>
      <c r="G148" s="2555"/>
      <c r="H148" s="2548"/>
      <c r="I148" s="2551"/>
      <c r="J148" s="2548"/>
      <c r="K148" s="2551"/>
      <c r="L148" s="2559"/>
      <c r="M148" s="2551"/>
      <c r="N148" s="2548"/>
      <c r="O148" s="2551"/>
      <c r="P148" s="2548"/>
      <c r="Q148" s="2551"/>
      <c r="R148" s="2548"/>
      <c r="S148" s="2551"/>
      <c r="T148" s="2548"/>
      <c r="U148" s="2551"/>
      <c r="V148" s="2593"/>
      <c r="W148" s="2551"/>
      <c r="X148" s="2593"/>
      <c r="Y148" s="2551"/>
      <c r="Z148" s="2594"/>
      <c r="AA148" s="2587"/>
      <c r="AB148" s="1580"/>
      <c r="AY148" s="1580"/>
      <c r="AZ148" s="1580"/>
    </row>
    <row r="149" spans="1:52" ht="16.350000000000001" customHeight="1" x14ac:dyDescent="0.25">
      <c r="A149" s="8125"/>
      <c r="B149" s="2119" t="s">
        <v>1418</v>
      </c>
      <c r="C149" s="577">
        <f t="shared" si="15"/>
        <v>0</v>
      </c>
      <c r="D149" s="576">
        <f t="shared" si="16"/>
        <v>0</v>
      </c>
      <c r="E149" s="846">
        <f t="shared" si="17"/>
        <v>0</v>
      </c>
      <c r="F149" s="2574"/>
      <c r="G149" s="2575"/>
      <c r="H149" s="2574"/>
      <c r="I149" s="2596"/>
      <c r="J149" s="2574"/>
      <c r="K149" s="2596"/>
      <c r="L149" s="550"/>
      <c r="M149" s="2596"/>
      <c r="N149" s="2574"/>
      <c r="O149" s="2596"/>
      <c r="P149" s="2574"/>
      <c r="Q149" s="2596"/>
      <c r="R149" s="2574"/>
      <c r="S149" s="2596"/>
      <c r="T149" s="2574"/>
      <c r="U149" s="2596"/>
      <c r="V149" s="2597"/>
      <c r="W149" s="2596"/>
      <c r="X149" s="2597"/>
      <c r="Y149" s="2596"/>
      <c r="Z149" s="2502"/>
      <c r="AA149" s="2676"/>
      <c r="AB149" s="1580"/>
      <c r="AY149" s="1580"/>
      <c r="AZ149" s="1580"/>
    </row>
    <row r="150" spans="1:52" ht="16.350000000000001" customHeight="1" thickBot="1" x14ac:dyDescent="0.3">
      <c r="A150" s="8392" t="s">
        <v>1417</v>
      </c>
      <c r="B150" s="8393"/>
      <c r="C150" s="845">
        <f>SUM(C120:C149)</f>
        <v>0</v>
      </c>
      <c r="D150" s="844">
        <f>SUM(D120:D149)</f>
        <v>0</v>
      </c>
      <c r="E150" s="843">
        <f>SUM(E120:E149)</f>
        <v>0</v>
      </c>
      <c r="F150" s="2598">
        <f>SUM(F120:F149)</f>
        <v>0</v>
      </c>
      <c r="G150" s="2677">
        <f t="shared" ref="G150:AA150" si="18">SUM(G120:G149)</f>
        <v>0</v>
      </c>
      <c r="H150" s="2598">
        <f t="shared" si="18"/>
        <v>0</v>
      </c>
      <c r="I150" s="2677">
        <f t="shared" si="18"/>
        <v>0</v>
      </c>
      <c r="J150" s="2598">
        <f t="shared" si="18"/>
        <v>0</v>
      </c>
      <c r="K150" s="2677">
        <f t="shared" si="18"/>
        <v>0</v>
      </c>
      <c r="L150" s="2598">
        <f t="shared" si="18"/>
        <v>0</v>
      </c>
      <c r="M150" s="2677">
        <f t="shared" si="18"/>
        <v>0</v>
      </c>
      <c r="N150" s="2598">
        <f t="shared" si="18"/>
        <v>0</v>
      </c>
      <c r="O150" s="2677">
        <f t="shared" si="18"/>
        <v>0</v>
      </c>
      <c r="P150" s="2598">
        <f t="shared" si="18"/>
        <v>0</v>
      </c>
      <c r="Q150" s="2677">
        <f t="shared" si="18"/>
        <v>0</v>
      </c>
      <c r="R150" s="2598">
        <f t="shared" si="18"/>
        <v>0</v>
      </c>
      <c r="S150" s="2677">
        <f t="shared" si="18"/>
        <v>0</v>
      </c>
      <c r="T150" s="2598">
        <f t="shared" si="18"/>
        <v>0</v>
      </c>
      <c r="U150" s="2677">
        <f t="shared" si="18"/>
        <v>0</v>
      </c>
      <c r="V150" s="2598">
        <f t="shared" si="18"/>
        <v>0</v>
      </c>
      <c r="W150" s="2677">
        <f t="shared" si="18"/>
        <v>0</v>
      </c>
      <c r="X150" s="2598">
        <f t="shared" si="18"/>
        <v>0</v>
      </c>
      <c r="Y150" s="2677">
        <f t="shared" si="18"/>
        <v>0</v>
      </c>
      <c r="Z150" s="2599">
        <f t="shared" si="18"/>
        <v>0</v>
      </c>
      <c r="AA150" s="2678">
        <f t="shared" si="18"/>
        <v>0</v>
      </c>
      <c r="AB150" s="1580"/>
      <c r="AY150" s="1580"/>
      <c r="AZ150" s="1580"/>
    </row>
    <row r="151" spans="1:52" ht="16.350000000000001" customHeight="1" thickTop="1" x14ac:dyDescent="0.25">
      <c r="A151" s="8394" t="s">
        <v>1424</v>
      </c>
      <c r="B151" s="842" t="s">
        <v>1422</v>
      </c>
      <c r="C151" s="533">
        <f>SUM(D151+E151)</f>
        <v>0</v>
      </c>
      <c r="D151" s="532">
        <f>SUM(F151+H151+J151+L151+N151+P151+R151+T151+V151+X151+Z151)</f>
        <v>0</v>
      </c>
      <c r="E151" s="841">
        <f t="shared" ref="E151:E160" si="19">SUM(G151+I151+K151+M151+O151+Q151+S151+U151+W151+Y151+AA151)</f>
        <v>0</v>
      </c>
      <c r="F151" s="530"/>
      <c r="G151" s="528"/>
      <c r="H151" s="530"/>
      <c r="I151" s="568"/>
      <c r="J151" s="530"/>
      <c r="K151" s="568"/>
      <c r="L151" s="531"/>
      <c r="M151" s="568"/>
      <c r="N151" s="530"/>
      <c r="O151" s="568"/>
      <c r="P151" s="530"/>
      <c r="Q151" s="568"/>
      <c r="R151" s="530"/>
      <c r="S151" s="568"/>
      <c r="T151" s="530"/>
      <c r="U151" s="568"/>
      <c r="V151" s="569"/>
      <c r="W151" s="568"/>
      <c r="X151" s="569"/>
      <c r="Y151" s="568"/>
      <c r="Z151" s="2501"/>
      <c r="AA151" s="2679"/>
      <c r="AB151" s="1580"/>
      <c r="AY151" s="1580"/>
      <c r="AZ151" s="1580"/>
    </row>
    <row r="152" spans="1:52" ht="16.350000000000001" customHeight="1" x14ac:dyDescent="0.25">
      <c r="A152" s="8191"/>
      <c r="B152" s="557" t="s">
        <v>1421</v>
      </c>
      <c r="C152" s="2211">
        <f t="shared" ref="C152:C160" si="20">SUM(D152+E152)</f>
        <v>0</v>
      </c>
      <c r="D152" s="2212">
        <f t="shared" ref="D152:D160" si="21">SUM(F152+H152+J152+L152+N152+P152+R152+T152+V152+X152+Z152)</f>
        <v>0</v>
      </c>
      <c r="E152" s="839">
        <f t="shared" si="19"/>
        <v>0</v>
      </c>
      <c r="F152" s="2518"/>
      <c r="G152" s="2475"/>
      <c r="H152" s="2518"/>
      <c r="I152" s="2506"/>
      <c r="J152" s="2518"/>
      <c r="K152" s="2506"/>
      <c r="L152" s="234"/>
      <c r="M152" s="2506"/>
      <c r="N152" s="2518"/>
      <c r="O152" s="2506"/>
      <c r="P152" s="2518"/>
      <c r="Q152" s="2506"/>
      <c r="R152" s="2518"/>
      <c r="S152" s="2506"/>
      <c r="T152" s="2518"/>
      <c r="U152" s="2506"/>
      <c r="V152" s="2495"/>
      <c r="W152" s="2506"/>
      <c r="X152" s="2495"/>
      <c r="Y152" s="2506"/>
      <c r="Z152" s="2500"/>
      <c r="AA152" s="2680"/>
      <c r="AB152" s="1580"/>
      <c r="AY152" s="1580"/>
      <c r="AZ152" s="1580"/>
    </row>
    <row r="153" spans="1:52" ht="16.350000000000001" customHeight="1" x14ac:dyDescent="0.25">
      <c r="A153" s="8191"/>
      <c r="B153" s="2112" t="s">
        <v>1420</v>
      </c>
      <c r="C153" s="2211">
        <f t="shared" si="20"/>
        <v>0</v>
      </c>
      <c r="D153" s="2212">
        <f t="shared" si="21"/>
        <v>0</v>
      </c>
      <c r="E153" s="839">
        <f t="shared" si="19"/>
        <v>0</v>
      </c>
      <c r="F153" s="2518"/>
      <c r="G153" s="2475"/>
      <c r="H153" s="2518"/>
      <c r="I153" s="2506"/>
      <c r="J153" s="2518"/>
      <c r="K153" s="2506"/>
      <c r="L153" s="234"/>
      <c r="M153" s="2506"/>
      <c r="N153" s="2518"/>
      <c r="O153" s="2506"/>
      <c r="P153" s="2518"/>
      <c r="Q153" s="2506"/>
      <c r="R153" s="2518"/>
      <c r="S153" s="2506"/>
      <c r="T153" s="2518"/>
      <c r="U153" s="2506"/>
      <c r="V153" s="2495"/>
      <c r="W153" s="2506"/>
      <c r="X153" s="2495"/>
      <c r="Y153" s="2506"/>
      <c r="Z153" s="2500"/>
      <c r="AA153" s="2680"/>
      <c r="AB153" s="1580"/>
      <c r="AY153" s="1580"/>
      <c r="AZ153" s="1580"/>
    </row>
    <row r="154" spans="1:52" ht="16.350000000000001" customHeight="1" x14ac:dyDescent="0.25">
      <c r="A154" s="8191"/>
      <c r="B154" s="2112" t="s">
        <v>1419</v>
      </c>
      <c r="C154" s="2211">
        <f t="shared" si="20"/>
        <v>0</v>
      </c>
      <c r="D154" s="2212">
        <f t="shared" si="21"/>
        <v>0</v>
      </c>
      <c r="E154" s="839">
        <f t="shared" si="19"/>
        <v>0</v>
      </c>
      <c r="F154" s="2518"/>
      <c r="G154" s="2475"/>
      <c r="H154" s="2518"/>
      <c r="I154" s="2506"/>
      <c r="J154" s="2518"/>
      <c r="K154" s="2506"/>
      <c r="L154" s="234"/>
      <c r="M154" s="2506"/>
      <c r="N154" s="2518"/>
      <c r="O154" s="2506"/>
      <c r="P154" s="2518"/>
      <c r="Q154" s="2506"/>
      <c r="R154" s="2518"/>
      <c r="S154" s="2506"/>
      <c r="T154" s="2518"/>
      <c r="U154" s="2506"/>
      <c r="V154" s="2495"/>
      <c r="W154" s="2506"/>
      <c r="X154" s="2495"/>
      <c r="Y154" s="2506"/>
      <c r="Z154" s="2500"/>
      <c r="AA154" s="2680"/>
      <c r="AB154" s="1580"/>
      <c r="AY154" s="1580"/>
      <c r="AZ154" s="1580"/>
    </row>
    <row r="155" spans="1:52" ht="16.350000000000001" customHeight="1" x14ac:dyDescent="0.25">
      <c r="A155" s="8191"/>
      <c r="B155" s="2119" t="s">
        <v>1418</v>
      </c>
      <c r="C155" s="829">
        <f t="shared" si="20"/>
        <v>0</v>
      </c>
      <c r="D155" s="734">
        <f t="shared" si="21"/>
        <v>0</v>
      </c>
      <c r="E155" s="840">
        <f t="shared" si="19"/>
        <v>0</v>
      </c>
      <c r="F155" s="824"/>
      <c r="G155" s="1145"/>
      <c r="H155" s="824"/>
      <c r="I155" s="2496"/>
      <c r="J155" s="824"/>
      <c r="K155" s="2496"/>
      <c r="L155" s="209"/>
      <c r="M155" s="2496"/>
      <c r="N155" s="824"/>
      <c r="O155" s="2496"/>
      <c r="P155" s="824"/>
      <c r="Q155" s="2496"/>
      <c r="R155" s="824"/>
      <c r="S155" s="2496"/>
      <c r="T155" s="824"/>
      <c r="U155" s="2496"/>
      <c r="V155" s="2600"/>
      <c r="W155" s="2496"/>
      <c r="X155" s="2600"/>
      <c r="Y155" s="2496"/>
      <c r="Z155" s="2601"/>
      <c r="AA155" s="2681"/>
      <c r="AB155" s="1580"/>
      <c r="AY155" s="1580"/>
      <c r="AZ155" s="1580"/>
    </row>
    <row r="156" spans="1:52" ht="16.350000000000001" customHeight="1" x14ac:dyDescent="0.25">
      <c r="A156" s="8282" t="s">
        <v>1423</v>
      </c>
      <c r="B156" s="1351" t="s">
        <v>1422</v>
      </c>
      <c r="C156" s="826">
        <f t="shared" si="20"/>
        <v>0</v>
      </c>
      <c r="D156" s="1354">
        <f t="shared" si="21"/>
        <v>0</v>
      </c>
      <c r="E156" s="1355">
        <f t="shared" si="19"/>
        <v>0</v>
      </c>
      <c r="F156" s="2647"/>
      <c r="G156" s="2646"/>
      <c r="H156" s="2647"/>
      <c r="I156" s="2102"/>
      <c r="J156" s="2647"/>
      <c r="K156" s="2102"/>
      <c r="L156" s="2591"/>
      <c r="M156" s="2102"/>
      <c r="N156" s="2647"/>
      <c r="O156" s="2102"/>
      <c r="P156" s="2647"/>
      <c r="Q156" s="2102"/>
      <c r="R156" s="2647"/>
      <c r="S156" s="2102"/>
      <c r="T156" s="2647"/>
      <c r="U156" s="2102"/>
      <c r="V156" s="2573"/>
      <c r="W156" s="2102"/>
      <c r="X156" s="2573"/>
      <c r="Y156" s="2102"/>
      <c r="Z156" s="2592"/>
      <c r="AA156" s="2675"/>
      <c r="AB156" s="1580"/>
      <c r="AY156" s="1580"/>
      <c r="AZ156" s="1580"/>
    </row>
    <row r="157" spans="1:52" ht="16.350000000000001" customHeight="1" x14ac:dyDescent="0.25">
      <c r="A157" s="8191"/>
      <c r="B157" s="557" t="s">
        <v>1421</v>
      </c>
      <c r="C157" s="2211">
        <f t="shared" si="20"/>
        <v>0</v>
      </c>
      <c r="D157" s="2212">
        <f t="shared" si="21"/>
        <v>0</v>
      </c>
      <c r="E157" s="839">
        <f t="shared" si="19"/>
        <v>0</v>
      </c>
      <c r="F157" s="2518"/>
      <c r="G157" s="2475"/>
      <c r="H157" s="2518"/>
      <c r="I157" s="2506"/>
      <c r="J157" s="2518"/>
      <c r="K157" s="2506"/>
      <c r="L157" s="234"/>
      <c r="M157" s="2506"/>
      <c r="N157" s="2518"/>
      <c r="O157" s="2506"/>
      <c r="P157" s="2518"/>
      <c r="Q157" s="2506"/>
      <c r="R157" s="2518"/>
      <c r="S157" s="2506"/>
      <c r="T157" s="2518"/>
      <c r="U157" s="2506"/>
      <c r="V157" s="2495"/>
      <c r="W157" s="2506"/>
      <c r="X157" s="2495"/>
      <c r="Y157" s="2506"/>
      <c r="Z157" s="2500"/>
      <c r="AA157" s="2680"/>
      <c r="AB157" s="1580"/>
      <c r="AY157" s="1580"/>
      <c r="AZ157" s="1580"/>
    </row>
    <row r="158" spans="1:52" ht="16.350000000000001" customHeight="1" x14ac:dyDescent="0.25">
      <c r="A158" s="8191"/>
      <c r="B158" s="2112" t="s">
        <v>1420</v>
      </c>
      <c r="C158" s="2211">
        <f t="shared" si="20"/>
        <v>0</v>
      </c>
      <c r="D158" s="2212">
        <f t="shared" si="21"/>
        <v>0</v>
      </c>
      <c r="E158" s="839">
        <f t="shared" si="19"/>
        <v>0</v>
      </c>
      <c r="F158" s="2518"/>
      <c r="G158" s="2475"/>
      <c r="H158" s="2518"/>
      <c r="I158" s="2506"/>
      <c r="J158" s="2518"/>
      <c r="K158" s="2506"/>
      <c r="L158" s="234"/>
      <c r="M158" s="2506"/>
      <c r="N158" s="2518"/>
      <c r="O158" s="2506"/>
      <c r="P158" s="2518"/>
      <c r="Q158" s="2506"/>
      <c r="R158" s="2518"/>
      <c r="S158" s="2506"/>
      <c r="T158" s="2518"/>
      <c r="U158" s="2506"/>
      <c r="V158" s="2495"/>
      <c r="W158" s="2506"/>
      <c r="X158" s="2495"/>
      <c r="Y158" s="2506"/>
      <c r="Z158" s="2500"/>
      <c r="AA158" s="2680"/>
      <c r="AB158" s="1580"/>
      <c r="AY158" s="1580"/>
      <c r="AZ158" s="1580"/>
    </row>
    <row r="159" spans="1:52" ht="16.350000000000001" customHeight="1" x14ac:dyDescent="0.25">
      <c r="A159" s="8191"/>
      <c r="B159" s="2112" t="s">
        <v>1419</v>
      </c>
      <c r="C159" s="2211">
        <f t="shared" si="20"/>
        <v>0</v>
      </c>
      <c r="D159" s="2212">
        <f t="shared" si="21"/>
        <v>0</v>
      </c>
      <c r="E159" s="839">
        <f t="shared" si="19"/>
        <v>0</v>
      </c>
      <c r="F159" s="2518"/>
      <c r="G159" s="2475"/>
      <c r="H159" s="2518"/>
      <c r="I159" s="2506"/>
      <c r="J159" s="2518"/>
      <c r="K159" s="2506"/>
      <c r="L159" s="234"/>
      <c r="M159" s="2506"/>
      <c r="N159" s="2518"/>
      <c r="O159" s="2506"/>
      <c r="P159" s="2518"/>
      <c r="Q159" s="2506"/>
      <c r="R159" s="2518"/>
      <c r="S159" s="2506"/>
      <c r="T159" s="2518"/>
      <c r="U159" s="2506"/>
      <c r="V159" s="2495"/>
      <c r="W159" s="2506"/>
      <c r="X159" s="2495"/>
      <c r="Y159" s="2506"/>
      <c r="Z159" s="2500"/>
      <c r="AA159" s="2680"/>
      <c r="AB159" s="1580"/>
      <c r="AY159" s="1580"/>
      <c r="AZ159" s="1580"/>
    </row>
    <row r="160" spans="1:52" ht="16.350000000000001" customHeight="1" x14ac:dyDescent="0.25">
      <c r="A160" s="8283"/>
      <c r="B160" s="1349" t="s">
        <v>1418</v>
      </c>
      <c r="C160" s="833">
        <f t="shared" si="20"/>
        <v>0</v>
      </c>
      <c r="D160" s="832">
        <f t="shared" si="21"/>
        <v>0</v>
      </c>
      <c r="E160" s="837">
        <f t="shared" si="19"/>
        <v>0</v>
      </c>
      <c r="F160" s="2649"/>
      <c r="G160" s="2644"/>
      <c r="H160" s="2649"/>
      <c r="I160" s="2440"/>
      <c r="J160" s="2649"/>
      <c r="K160" s="2440"/>
      <c r="L160" s="2516"/>
      <c r="M160" s="2440"/>
      <c r="N160" s="2649"/>
      <c r="O160" s="2440"/>
      <c r="P160" s="2649"/>
      <c r="Q160" s="2440"/>
      <c r="R160" s="2649"/>
      <c r="S160" s="2440"/>
      <c r="T160" s="2649"/>
      <c r="U160" s="2440"/>
      <c r="V160" s="2682"/>
      <c r="W160" s="2440"/>
      <c r="X160" s="2682"/>
      <c r="Y160" s="2440"/>
      <c r="Z160" s="2528"/>
      <c r="AA160" s="2683"/>
      <c r="AB160" s="1580"/>
      <c r="AY160" s="1580"/>
      <c r="AZ160" s="1580"/>
    </row>
    <row r="161" spans="1:106" ht="16.350000000000001" customHeight="1" x14ac:dyDescent="0.25">
      <c r="A161" s="8421" t="s">
        <v>1417</v>
      </c>
      <c r="B161" s="8422"/>
      <c r="C161" s="834">
        <f>SUM(C151:C160)</f>
        <v>0</v>
      </c>
      <c r="D161" s="836">
        <f>SUM(D151:D160)</f>
        <v>0</v>
      </c>
      <c r="E161" s="835">
        <f>SUM(E151:E160)</f>
        <v>0</v>
      </c>
      <c r="F161" s="2684">
        <f>SUM(F151:F160)</f>
        <v>0</v>
      </c>
      <c r="G161" s="2677">
        <f t="shared" ref="G161:AA161" si="22">SUM(G151:G160)</f>
        <v>0</v>
      </c>
      <c r="H161" s="2684">
        <f t="shared" si="22"/>
        <v>0</v>
      </c>
      <c r="I161" s="2677">
        <f t="shared" si="22"/>
        <v>0</v>
      </c>
      <c r="J161" s="2684">
        <f t="shared" si="22"/>
        <v>0</v>
      </c>
      <c r="K161" s="2677">
        <f t="shared" si="22"/>
        <v>0</v>
      </c>
      <c r="L161" s="2684">
        <f t="shared" si="22"/>
        <v>0</v>
      </c>
      <c r="M161" s="2677">
        <f t="shared" si="22"/>
        <v>0</v>
      </c>
      <c r="N161" s="2684">
        <f t="shared" si="22"/>
        <v>0</v>
      </c>
      <c r="O161" s="2677">
        <f t="shared" si="22"/>
        <v>0</v>
      </c>
      <c r="P161" s="2684">
        <f t="shared" si="22"/>
        <v>0</v>
      </c>
      <c r="Q161" s="2677">
        <f t="shared" si="22"/>
        <v>0</v>
      </c>
      <c r="R161" s="2684">
        <f t="shared" si="22"/>
        <v>0</v>
      </c>
      <c r="S161" s="2677">
        <f t="shared" si="22"/>
        <v>0</v>
      </c>
      <c r="T161" s="2684">
        <f t="shared" si="22"/>
        <v>0</v>
      </c>
      <c r="U161" s="2677">
        <f t="shared" si="22"/>
        <v>0</v>
      </c>
      <c r="V161" s="2684">
        <f t="shared" si="22"/>
        <v>0</v>
      </c>
      <c r="W161" s="2677">
        <f t="shared" si="22"/>
        <v>0</v>
      </c>
      <c r="X161" s="2684">
        <f t="shared" si="22"/>
        <v>0</v>
      </c>
      <c r="Y161" s="2677">
        <f t="shared" si="22"/>
        <v>0</v>
      </c>
      <c r="Z161" s="2685">
        <f t="shared" si="22"/>
        <v>0</v>
      </c>
      <c r="AA161" s="2678">
        <f t="shared" si="22"/>
        <v>0</v>
      </c>
      <c r="AB161" s="1580"/>
      <c r="AY161" s="1580"/>
      <c r="AZ161" s="1580"/>
    </row>
    <row r="162" spans="1:106" ht="31.35" customHeight="1" x14ac:dyDescent="0.25">
      <c r="A162" s="365" t="s">
        <v>1416</v>
      </c>
      <c r="B162" s="479"/>
      <c r="C162" s="479"/>
      <c r="D162" s="479"/>
      <c r="E162" s="153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796"/>
      <c r="AA162" s="796"/>
      <c r="BA162" s="1187"/>
      <c r="BB162" s="1187"/>
      <c r="BC162" s="1187"/>
      <c r="BD162" s="1187"/>
      <c r="BE162" s="1187"/>
      <c r="BF162" s="1187"/>
      <c r="BG162" s="1187"/>
      <c r="BH162" s="1187"/>
      <c r="BI162" s="1187"/>
      <c r="BJ162" s="1187"/>
      <c r="BK162" s="1187"/>
      <c r="BL162" s="1187"/>
      <c r="BM162" s="1187"/>
      <c r="BN162" s="1187"/>
      <c r="BO162" s="1187"/>
      <c r="BP162" s="1187"/>
      <c r="BQ162" s="1187"/>
      <c r="BR162" s="1187"/>
      <c r="BS162" s="1187"/>
    </row>
    <row r="163" spans="1:106" ht="16.350000000000001" customHeight="1" x14ac:dyDescent="0.25">
      <c r="A163" s="8167" t="s">
        <v>1415</v>
      </c>
      <c r="B163" s="8183"/>
      <c r="C163" s="8282" t="s">
        <v>24</v>
      </c>
      <c r="D163" s="8167"/>
      <c r="E163" s="8183"/>
      <c r="F163" s="8289" t="s">
        <v>2</v>
      </c>
      <c r="G163" s="8290"/>
      <c r="H163" s="8290"/>
      <c r="I163" s="8290"/>
      <c r="J163" s="8290"/>
      <c r="K163" s="8290"/>
      <c r="L163" s="8290"/>
      <c r="M163" s="8290"/>
      <c r="N163" s="8290"/>
      <c r="O163" s="8290"/>
      <c r="P163" s="8290"/>
      <c r="Q163" s="8290"/>
      <c r="R163" s="8290"/>
      <c r="S163" s="8290"/>
      <c r="T163" s="8290"/>
      <c r="U163" s="8290"/>
      <c r="V163" s="8290"/>
      <c r="W163" s="8290"/>
      <c r="X163" s="8290"/>
      <c r="Y163" s="8290"/>
      <c r="Z163" s="8290"/>
      <c r="AA163" s="8290"/>
      <c r="AB163" s="8290"/>
      <c r="AC163" s="8290"/>
      <c r="AD163" s="8290"/>
      <c r="AE163" s="8290"/>
      <c r="AF163" s="8290"/>
      <c r="AG163" s="8290"/>
      <c r="AH163" s="8290"/>
      <c r="AI163" s="8290"/>
      <c r="AJ163" s="8290"/>
      <c r="AK163" s="8290"/>
      <c r="AL163" s="8290"/>
      <c r="AM163" s="8291"/>
      <c r="AY163" s="1580"/>
      <c r="AZ163" s="1580"/>
    </row>
    <row r="164" spans="1:106" ht="16.350000000000001" customHeight="1" x14ac:dyDescent="0.25">
      <c r="A164" s="8130"/>
      <c r="B164" s="8192"/>
      <c r="C164" s="8283"/>
      <c r="D164" s="8168"/>
      <c r="E164" s="8284"/>
      <c r="F164" s="8289" t="s">
        <v>1414</v>
      </c>
      <c r="G164" s="8291"/>
      <c r="H164" s="8289" t="s">
        <v>1413</v>
      </c>
      <c r="I164" s="8291"/>
      <c r="J164" s="8289" t="s">
        <v>32</v>
      </c>
      <c r="K164" s="8291"/>
      <c r="L164" s="8409" t="s">
        <v>33</v>
      </c>
      <c r="M164" s="8424"/>
      <c r="N164" s="8424" t="s">
        <v>40</v>
      </c>
      <c r="O164" s="8281"/>
      <c r="P164" s="8289" t="s">
        <v>115</v>
      </c>
      <c r="Q164" s="8291"/>
      <c r="R164" s="8290" t="s">
        <v>116</v>
      </c>
      <c r="S164" s="8291"/>
      <c r="T164" s="8290" t="s">
        <v>117</v>
      </c>
      <c r="U164" s="8291"/>
      <c r="V164" s="8289" t="s">
        <v>118</v>
      </c>
      <c r="W164" s="8291"/>
      <c r="X164" s="8290" t="s">
        <v>119</v>
      </c>
      <c r="Y164" s="8291"/>
      <c r="Z164" s="8321" t="s">
        <v>120</v>
      </c>
      <c r="AA164" s="8322"/>
      <c r="AB164" s="8321" t="s">
        <v>1412</v>
      </c>
      <c r="AC164" s="8322"/>
      <c r="AD164" s="8321" t="s">
        <v>1404</v>
      </c>
      <c r="AE164" s="8322"/>
      <c r="AF164" s="8321" t="s">
        <v>1395</v>
      </c>
      <c r="AG164" s="8322"/>
      <c r="AH164" s="8321" t="s">
        <v>1394</v>
      </c>
      <c r="AI164" s="8322"/>
      <c r="AJ164" s="8321" t="s">
        <v>1393</v>
      </c>
      <c r="AK164" s="8322"/>
      <c r="AL164" s="8425" t="s">
        <v>1403</v>
      </c>
      <c r="AM164" s="8322"/>
      <c r="AY164" s="1580"/>
      <c r="AZ164" s="1580"/>
    </row>
    <row r="165" spans="1:106" ht="16.350000000000001" customHeight="1" x14ac:dyDescent="0.25">
      <c r="A165" s="8168"/>
      <c r="B165" s="8284"/>
      <c r="C165" s="827" t="s">
        <v>42</v>
      </c>
      <c r="D165" s="588" t="s">
        <v>17</v>
      </c>
      <c r="E165" s="2134" t="s">
        <v>18</v>
      </c>
      <c r="F165" s="2652" t="s">
        <v>17</v>
      </c>
      <c r="G165" s="2154" t="s">
        <v>18</v>
      </c>
      <c r="H165" s="2652" t="s">
        <v>17</v>
      </c>
      <c r="I165" s="2154" t="s">
        <v>18</v>
      </c>
      <c r="J165" s="2652" t="s">
        <v>17</v>
      </c>
      <c r="K165" s="2154" t="s">
        <v>18</v>
      </c>
      <c r="L165" s="2698" t="s">
        <v>17</v>
      </c>
      <c r="M165" s="2651" t="s">
        <v>18</v>
      </c>
      <c r="N165" s="2699" t="s">
        <v>17</v>
      </c>
      <c r="O165" s="2700" t="s">
        <v>18</v>
      </c>
      <c r="P165" s="2699" t="s">
        <v>17</v>
      </c>
      <c r="Q165" s="2700" t="s">
        <v>18</v>
      </c>
      <c r="R165" s="2701" t="s">
        <v>17</v>
      </c>
      <c r="S165" s="2702" t="s">
        <v>18</v>
      </c>
      <c r="T165" s="2701" t="s">
        <v>17</v>
      </c>
      <c r="U165" s="2702" t="s">
        <v>18</v>
      </c>
      <c r="V165" s="2698" t="s">
        <v>17</v>
      </c>
      <c r="W165" s="2702" t="s">
        <v>18</v>
      </c>
      <c r="X165" s="2701" t="s">
        <v>17</v>
      </c>
      <c r="Y165" s="2702" t="s">
        <v>18</v>
      </c>
      <c r="Z165" s="2703" t="s">
        <v>17</v>
      </c>
      <c r="AA165" s="2704" t="s">
        <v>18</v>
      </c>
      <c r="AB165" s="2703" t="s">
        <v>17</v>
      </c>
      <c r="AC165" s="2704" t="s">
        <v>18</v>
      </c>
      <c r="AD165" s="2703" t="s">
        <v>17</v>
      </c>
      <c r="AE165" s="2704" t="s">
        <v>18</v>
      </c>
      <c r="AF165" s="2703" t="s">
        <v>17</v>
      </c>
      <c r="AG165" s="2704" t="s">
        <v>18</v>
      </c>
      <c r="AH165" s="2703" t="s">
        <v>17</v>
      </c>
      <c r="AI165" s="2704" t="s">
        <v>18</v>
      </c>
      <c r="AJ165" s="2703" t="s">
        <v>17</v>
      </c>
      <c r="AK165" s="2704" t="s">
        <v>18</v>
      </c>
      <c r="AL165" s="2705" t="s">
        <v>17</v>
      </c>
      <c r="AM165" s="2704" t="s">
        <v>18</v>
      </c>
      <c r="AY165" s="1580"/>
      <c r="AZ165" s="1580"/>
    </row>
    <row r="166" spans="1:106" ht="16.350000000000001" customHeight="1" x14ac:dyDescent="0.25">
      <c r="A166" s="8436" t="s">
        <v>1411</v>
      </c>
      <c r="B166" s="830" t="s">
        <v>1409</v>
      </c>
      <c r="C166" s="826">
        <f>SUM(D166+E166)</f>
        <v>0</v>
      </c>
      <c r="D166" s="1354">
        <f>SUM(F166+H166+J166+L166+N166+P166+R166+T166+V166+X166+Z166+AB166+AD166+AF166+AH166+AJ166+AL166)</f>
        <v>0</v>
      </c>
      <c r="E166" s="825">
        <f>SUM(G166+I166+K166+M166+O166+Q166+S166+U166+W166+Y166+AA166+AC166+AE166+AG166+AI166+AK166+AM166)</f>
        <v>0</v>
      </c>
      <c r="F166" s="2706"/>
      <c r="G166" s="2517"/>
      <c r="H166" s="2706"/>
      <c r="I166" s="2517"/>
      <c r="J166" s="2706"/>
      <c r="K166" s="2517"/>
      <c r="L166" s="2706"/>
      <c r="M166" s="2512"/>
      <c r="N166" s="2512"/>
      <c r="O166" s="2517"/>
      <c r="P166" s="2706"/>
      <c r="Q166" s="2517"/>
      <c r="R166" s="2707"/>
      <c r="S166" s="2517"/>
      <c r="T166" s="2707"/>
      <c r="U166" s="2517"/>
      <c r="V166" s="2706"/>
      <c r="W166" s="2517"/>
      <c r="X166" s="2707"/>
      <c r="Y166" s="2517"/>
      <c r="Z166" s="2708"/>
      <c r="AA166" s="2526"/>
      <c r="AB166" s="2708"/>
      <c r="AC166" s="2526"/>
      <c r="AD166" s="2708"/>
      <c r="AE166" s="2526"/>
      <c r="AF166" s="2708"/>
      <c r="AG166" s="2526"/>
      <c r="AH166" s="2708"/>
      <c r="AI166" s="2526"/>
      <c r="AJ166" s="2708"/>
      <c r="AK166" s="2526"/>
      <c r="AL166" s="2709"/>
      <c r="AM166" s="2526"/>
      <c r="AN166" s="1580"/>
      <c r="AY166" s="1580"/>
      <c r="AZ166" s="1580"/>
    </row>
    <row r="167" spans="1:106" ht="16.350000000000001" customHeight="1" x14ac:dyDescent="0.25">
      <c r="A167" s="8437"/>
      <c r="B167" s="135" t="s">
        <v>1408</v>
      </c>
      <c r="C167" s="2211">
        <f t="shared" ref="C167:C171" si="23">SUM(D167+E167)</f>
        <v>0</v>
      </c>
      <c r="D167" s="2212">
        <f t="shared" ref="D167:E170" si="24">SUM(F167+H167+J167+L167+N167+P167+R167+T167+V167+X167+Z167+AB167+AD167+AF167+AH167+AJ167+AL167)</f>
        <v>0</v>
      </c>
      <c r="E167" s="163">
        <f t="shared" si="24"/>
        <v>0</v>
      </c>
      <c r="F167" s="2548"/>
      <c r="G167" s="2551"/>
      <c r="H167" s="2548"/>
      <c r="I167" s="2551"/>
      <c r="J167" s="2548"/>
      <c r="K167" s="2551"/>
      <c r="L167" s="2548"/>
      <c r="M167" s="2549"/>
      <c r="N167" s="2549"/>
      <c r="O167" s="2551"/>
      <c r="P167" s="2548"/>
      <c r="Q167" s="2551"/>
      <c r="R167" s="2547"/>
      <c r="S167" s="2551"/>
      <c r="T167" s="2547"/>
      <c r="U167" s="2551"/>
      <c r="V167" s="2548"/>
      <c r="W167" s="2551"/>
      <c r="X167" s="2547"/>
      <c r="Y167" s="2551"/>
      <c r="Z167" s="2586"/>
      <c r="AA167" s="2587"/>
      <c r="AB167" s="2586"/>
      <c r="AC167" s="2587"/>
      <c r="AD167" s="2586"/>
      <c r="AE167" s="2587"/>
      <c r="AF167" s="2586"/>
      <c r="AG167" s="2587"/>
      <c r="AH167" s="2586"/>
      <c r="AI167" s="2587"/>
      <c r="AJ167" s="2586"/>
      <c r="AK167" s="2587"/>
      <c r="AL167" s="2588"/>
      <c r="AM167" s="2587"/>
      <c r="AN167" s="1580"/>
      <c r="AY167" s="1580"/>
      <c r="AZ167" s="1580"/>
    </row>
    <row r="168" spans="1:106" ht="16.350000000000001" customHeight="1" x14ac:dyDescent="0.25">
      <c r="A168" s="8438"/>
      <c r="B168" s="2190" t="s">
        <v>1407</v>
      </c>
      <c r="C168" s="833">
        <f t="shared" si="23"/>
        <v>0</v>
      </c>
      <c r="D168" s="832">
        <f t="shared" si="24"/>
        <v>0</v>
      </c>
      <c r="E168" s="831">
        <f t="shared" si="24"/>
        <v>0</v>
      </c>
      <c r="F168" s="2521"/>
      <c r="G168" s="2552"/>
      <c r="H168" s="2521"/>
      <c r="I168" s="2552"/>
      <c r="J168" s="2521"/>
      <c r="K168" s="2552"/>
      <c r="L168" s="2521"/>
      <c r="M168" s="2550"/>
      <c r="N168" s="2550"/>
      <c r="O168" s="2552"/>
      <c r="P168" s="2521"/>
      <c r="Q168" s="2552"/>
      <c r="R168" s="2533"/>
      <c r="S168" s="2552"/>
      <c r="T168" s="2533"/>
      <c r="U168" s="2552"/>
      <c r="V168" s="2521"/>
      <c r="W168" s="2552"/>
      <c r="X168" s="2533"/>
      <c r="Y168" s="2552"/>
      <c r="Z168" s="2527"/>
      <c r="AA168" s="2589"/>
      <c r="AB168" s="2527"/>
      <c r="AC168" s="2589"/>
      <c r="AD168" s="2527"/>
      <c r="AE168" s="2589"/>
      <c r="AF168" s="2527"/>
      <c r="AG168" s="2589"/>
      <c r="AH168" s="2527"/>
      <c r="AI168" s="2589"/>
      <c r="AJ168" s="2527"/>
      <c r="AK168" s="2589"/>
      <c r="AL168" s="2590"/>
      <c r="AM168" s="2589"/>
      <c r="AN168" s="1580"/>
      <c r="AY168" s="1580"/>
      <c r="AZ168" s="1580"/>
    </row>
    <row r="169" spans="1:106" ht="16.350000000000001" customHeight="1" x14ac:dyDescent="0.25">
      <c r="A169" s="8436" t="s">
        <v>1410</v>
      </c>
      <c r="B169" s="830" t="s">
        <v>1409</v>
      </c>
      <c r="C169" s="826">
        <f t="shared" si="23"/>
        <v>0</v>
      </c>
      <c r="D169" s="1354">
        <f t="shared" si="24"/>
        <v>0</v>
      </c>
      <c r="E169" s="825">
        <f t="shared" si="24"/>
        <v>0</v>
      </c>
      <c r="F169" s="2706"/>
      <c r="G169" s="2517"/>
      <c r="H169" s="2706"/>
      <c r="I169" s="2517"/>
      <c r="J169" s="2706"/>
      <c r="K169" s="2517"/>
      <c r="L169" s="2706"/>
      <c r="M169" s="2512"/>
      <c r="N169" s="2512"/>
      <c r="O169" s="2517"/>
      <c r="P169" s="2706"/>
      <c r="Q169" s="2517"/>
      <c r="R169" s="2707"/>
      <c r="S169" s="2517"/>
      <c r="T169" s="2707"/>
      <c r="U169" s="2517"/>
      <c r="V169" s="2706"/>
      <c r="W169" s="2517"/>
      <c r="X169" s="2707"/>
      <c r="Y169" s="2517"/>
      <c r="Z169" s="2708"/>
      <c r="AA169" s="2526"/>
      <c r="AB169" s="2708"/>
      <c r="AC169" s="2526"/>
      <c r="AD169" s="2708"/>
      <c r="AE169" s="2526"/>
      <c r="AF169" s="2708"/>
      <c r="AG169" s="2526"/>
      <c r="AH169" s="2708"/>
      <c r="AI169" s="2526"/>
      <c r="AJ169" s="2708"/>
      <c r="AK169" s="2526"/>
      <c r="AL169" s="2709"/>
      <c r="AM169" s="2526"/>
      <c r="AN169" s="1580"/>
      <c r="AY169" s="1580"/>
      <c r="AZ169" s="1580"/>
    </row>
    <row r="170" spans="1:106" ht="16.350000000000001" customHeight="1" x14ac:dyDescent="0.25">
      <c r="A170" s="8437"/>
      <c r="B170" s="135" t="s">
        <v>1408</v>
      </c>
      <c r="C170" s="2211">
        <f t="shared" si="23"/>
        <v>0</v>
      </c>
      <c r="D170" s="2212">
        <f t="shared" si="24"/>
        <v>0</v>
      </c>
      <c r="E170" s="163">
        <f t="shared" si="24"/>
        <v>0</v>
      </c>
      <c r="F170" s="2548"/>
      <c r="G170" s="2551"/>
      <c r="H170" s="2548"/>
      <c r="I170" s="2551"/>
      <c r="J170" s="2548"/>
      <c r="K170" s="2551"/>
      <c r="L170" s="2548"/>
      <c r="M170" s="2549"/>
      <c r="N170" s="2549"/>
      <c r="O170" s="2551"/>
      <c r="P170" s="2548"/>
      <c r="Q170" s="2551"/>
      <c r="R170" s="2547"/>
      <c r="S170" s="2551"/>
      <c r="T170" s="2547"/>
      <c r="U170" s="2551"/>
      <c r="V170" s="2548"/>
      <c r="W170" s="2551"/>
      <c r="X170" s="2547"/>
      <c r="Y170" s="2551"/>
      <c r="Z170" s="2586"/>
      <c r="AA170" s="2587"/>
      <c r="AB170" s="2586"/>
      <c r="AC170" s="2587"/>
      <c r="AD170" s="2586"/>
      <c r="AE170" s="2587"/>
      <c r="AF170" s="2586"/>
      <c r="AG170" s="2587"/>
      <c r="AH170" s="2586"/>
      <c r="AI170" s="2587"/>
      <c r="AJ170" s="2586"/>
      <c r="AK170" s="2587"/>
      <c r="AL170" s="2588"/>
      <c r="AM170" s="2587"/>
      <c r="AN170" s="1580"/>
      <c r="AY170" s="1580"/>
      <c r="AZ170" s="1580"/>
    </row>
    <row r="171" spans="1:106" ht="16.350000000000001" customHeight="1" x14ac:dyDescent="0.25">
      <c r="A171" s="8438"/>
      <c r="B171" s="2190" t="s">
        <v>1407</v>
      </c>
      <c r="C171" s="833">
        <f t="shared" si="23"/>
        <v>0</v>
      </c>
      <c r="D171" s="832">
        <f>SUM(F171+H171+J171+L171+N171+P171+R171+T171+V171+X171+Z171+AB171+AD171+AF171+AH171+AJ171+AL171)</f>
        <v>0</v>
      </c>
      <c r="E171" s="831">
        <f>SUM(G171+I171+K171+M171+O171+Q171+S171+U171+W171+Y171+AA171+AC171+AE171+AG171+AI171+AK171+AM171)</f>
        <v>0</v>
      </c>
      <c r="F171" s="2521"/>
      <c r="G171" s="2552"/>
      <c r="H171" s="2521"/>
      <c r="I171" s="2552"/>
      <c r="J171" s="2521"/>
      <c r="K171" s="2552"/>
      <c r="L171" s="2521"/>
      <c r="M171" s="2550"/>
      <c r="N171" s="2550"/>
      <c r="O171" s="2552"/>
      <c r="P171" s="2521"/>
      <c r="Q171" s="2552"/>
      <c r="R171" s="2533"/>
      <c r="S171" s="2552"/>
      <c r="T171" s="2533"/>
      <c r="U171" s="2552"/>
      <c r="V171" s="2521"/>
      <c r="W171" s="2552"/>
      <c r="X171" s="2533"/>
      <c r="Y171" s="2552"/>
      <c r="Z171" s="2527"/>
      <c r="AA171" s="2589"/>
      <c r="AB171" s="2527"/>
      <c r="AC171" s="2589"/>
      <c r="AD171" s="2527"/>
      <c r="AE171" s="2589"/>
      <c r="AF171" s="2527"/>
      <c r="AG171" s="2589"/>
      <c r="AH171" s="2527"/>
      <c r="AI171" s="2589"/>
      <c r="AJ171" s="2527"/>
      <c r="AK171" s="2589"/>
      <c r="AL171" s="2590"/>
      <c r="AM171" s="2589"/>
      <c r="AN171" s="1580"/>
      <c r="AY171" s="1580"/>
      <c r="AZ171" s="1580"/>
    </row>
    <row r="172" spans="1:106" ht="31.35" customHeight="1" x14ac:dyDescent="0.25">
      <c r="A172" s="365" t="s">
        <v>1406</v>
      </c>
      <c r="B172" s="365"/>
      <c r="C172" s="365"/>
      <c r="D172" s="365"/>
      <c r="E172" s="72"/>
      <c r="F172" s="72"/>
      <c r="G172" s="72"/>
      <c r="H172" s="72"/>
      <c r="I172" s="72"/>
      <c r="J172" s="72"/>
      <c r="K172" s="72"/>
      <c r="L172" s="72"/>
      <c r="M172" s="169"/>
      <c r="N172" s="796"/>
      <c r="O172" s="796"/>
      <c r="P172" s="796"/>
      <c r="Q172" s="796"/>
      <c r="R172" s="796"/>
      <c r="S172" s="796"/>
      <c r="T172" s="796"/>
      <c r="U172" s="796"/>
      <c r="V172" s="796"/>
      <c r="W172" s="796"/>
      <c r="X172" s="796"/>
      <c r="Y172" s="796"/>
      <c r="Z172" s="796"/>
      <c r="AA172" s="796"/>
      <c r="BA172" s="1187"/>
      <c r="BB172" s="1187"/>
      <c r="BC172" s="1187"/>
      <c r="BD172" s="1187"/>
      <c r="BE172" s="1187"/>
      <c r="BF172" s="1187"/>
      <c r="BG172" s="1187"/>
      <c r="BH172" s="1187"/>
      <c r="BI172" s="1187"/>
      <c r="BJ172" s="1187"/>
      <c r="BK172" s="1187"/>
      <c r="BL172" s="1187"/>
      <c r="BM172" s="1187"/>
      <c r="BN172" s="1187"/>
      <c r="BO172" s="1187"/>
      <c r="BP172" s="1187"/>
      <c r="BQ172" s="1187"/>
      <c r="BR172" s="1187"/>
      <c r="BS172" s="1187"/>
    </row>
    <row r="173" spans="1:106" ht="16.350000000000001" customHeight="1" x14ac:dyDescent="0.25">
      <c r="A173" s="8390" t="s">
        <v>41</v>
      </c>
      <c r="B173" s="8390" t="s">
        <v>1405</v>
      </c>
      <c r="C173" s="8282" t="s">
        <v>24</v>
      </c>
      <c r="D173" s="8167"/>
      <c r="E173" s="8183"/>
      <c r="F173" s="8289" t="s">
        <v>2</v>
      </c>
      <c r="G173" s="8290"/>
      <c r="H173" s="8290"/>
      <c r="I173" s="8290"/>
      <c r="J173" s="8290"/>
      <c r="K173" s="8290"/>
      <c r="L173" s="8290"/>
      <c r="M173" s="8290"/>
      <c r="N173" s="8290"/>
      <c r="O173" s="8291"/>
      <c r="P173" s="796"/>
      <c r="Q173" s="796"/>
      <c r="R173" s="796"/>
      <c r="S173" s="796"/>
      <c r="T173" s="796"/>
      <c r="U173" s="796"/>
      <c r="V173" s="796"/>
      <c r="W173" s="796"/>
      <c r="X173" s="796"/>
      <c r="Y173" s="796"/>
      <c r="AY173" s="1580"/>
      <c r="AZ173" s="1580"/>
    </row>
    <row r="174" spans="1:106" ht="16.350000000000001" customHeight="1" x14ac:dyDescent="0.25">
      <c r="A174" s="8125"/>
      <c r="B174" s="8125"/>
      <c r="C174" s="8283"/>
      <c r="D174" s="8168"/>
      <c r="E174" s="8284"/>
      <c r="F174" s="8289" t="s">
        <v>1404</v>
      </c>
      <c r="G174" s="8291"/>
      <c r="H174" s="8289" t="s">
        <v>1395</v>
      </c>
      <c r="I174" s="8291"/>
      <c r="J174" s="8289" t="s">
        <v>1394</v>
      </c>
      <c r="K174" s="8291"/>
      <c r="L174" s="8289" t="s">
        <v>1393</v>
      </c>
      <c r="M174" s="8291"/>
      <c r="N174" s="8289" t="s">
        <v>1403</v>
      </c>
      <c r="O174" s="8291"/>
      <c r="P174" s="288"/>
      <c r="Q174" s="796"/>
      <c r="R174" s="796"/>
      <c r="S174" s="796"/>
      <c r="T174" s="796"/>
      <c r="U174" s="796"/>
      <c r="V174" s="796"/>
      <c r="W174" s="796"/>
      <c r="X174" s="796"/>
      <c r="Y174" s="796"/>
      <c r="AY174" s="1580"/>
      <c r="AZ174" s="1580"/>
    </row>
    <row r="175" spans="1:106" ht="16.350000000000001" customHeight="1" x14ac:dyDescent="0.25">
      <c r="A175" s="8391"/>
      <c r="B175" s="8391"/>
      <c r="C175" s="827" t="s">
        <v>42</v>
      </c>
      <c r="D175" s="588" t="s">
        <v>17</v>
      </c>
      <c r="E175" s="2134" t="s">
        <v>18</v>
      </c>
      <c r="F175" s="2710" t="s">
        <v>17</v>
      </c>
      <c r="G175" s="2154" t="s">
        <v>18</v>
      </c>
      <c r="H175" s="2710" t="s">
        <v>17</v>
      </c>
      <c r="I175" s="2154" t="s">
        <v>18</v>
      </c>
      <c r="J175" s="2710" t="s">
        <v>17</v>
      </c>
      <c r="K175" s="2154" t="s">
        <v>18</v>
      </c>
      <c r="L175" s="2710" t="s">
        <v>17</v>
      </c>
      <c r="M175" s="2154" t="s">
        <v>18</v>
      </c>
      <c r="N175" s="2710" t="s">
        <v>17</v>
      </c>
      <c r="O175" s="2154" t="s">
        <v>18</v>
      </c>
      <c r="P175" s="796"/>
      <c r="Q175" s="796"/>
      <c r="R175" s="796"/>
      <c r="S175" s="796"/>
      <c r="T175" s="796"/>
      <c r="U175" s="796"/>
      <c r="V175" s="796"/>
      <c r="W175" s="796"/>
      <c r="X175" s="796"/>
      <c r="Y175" s="796"/>
      <c r="AY175" s="1580"/>
      <c r="AZ175" s="1580"/>
    </row>
    <row r="176" spans="1:106" ht="16.350000000000001" customHeight="1" x14ac:dyDescent="0.25">
      <c r="A176" s="8390" t="s">
        <v>1402</v>
      </c>
      <c r="B176" s="830" t="s">
        <v>1400</v>
      </c>
      <c r="C176" s="826">
        <f t="shared" ref="C176:C181" si="25">SUM(D176+E176)</f>
        <v>0</v>
      </c>
      <c r="D176" s="1354">
        <f>SUM(F176+H176+J176+L176+N176)</f>
        <v>0</v>
      </c>
      <c r="E176" s="825">
        <f t="shared" ref="D176:E181" si="26">SUM(G176+I176+K176+M176+O176)</f>
        <v>0</v>
      </c>
      <c r="F176" s="2706"/>
      <c r="G176" s="2519"/>
      <c r="H176" s="2706"/>
      <c r="I176" s="2517"/>
      <c r="J176" s="2707"/>
      <c r="K176" s="2519"/>
      <c r="L176" s="2706"/>
      <c r="M176" s="2517"/>
      <c r="N176" s="2706"/>
      <c r="O176" s="2517"/>
      <c r="P176" s="3300"/>
      <c r="Q176" s="1584"/>
      <c r="R176" s="1584"/>
      <c r="S176" s="1584"/>
      <c r="T176" s="1584"/>
      <c r="U176" s="1584"/>
      <c r="V176" s="1584"/>
      <c r="W176" s="1584"/>
      <c r="X176" s="1584"/>
      <c r="Y176" s="1584"/>
      <c r="AY176" s="1580"/>
      <c r="AZ176" s="1580"/>
      <c r="DA176" s="3306">
        <v>0</v>
      </c>
      <c r="DB176" s="3306">
        <v>0</v>
      </c>
    </row>
    <row r="177" spans="1:106" ht="16.350000000000001" customHeight="1" x14ac:dyDescent="0.25">
      <c r="A177" s="8125"/>
      <c r="B177" s="109" t="s">
        <v>1399</v>
      </c>
      <c r="C177" s="829">
        <f t="shared" si="25"/>
        <v>0</v>
      </c>
      <c r="D177" s="734">
        <f t="shared" si="26"/>
        <v>0</v>
      </c>
      <c r="E177" s="183">
        <f t="shared" si="26"/>
        <v>0</v>
      </c>
      <c r="F177" s="824"/>
      <c r="G177" s="2499"/>
      <c r="H177" s="824"/>
      <c r="I177" s="2496"/>
      <c r="J177" s="1828"/>
      <c r="K177" s="2499"/>
      <c r="L177" s="824"/>
      <c r="M177" s="2496"/>
      <c r="N177" s="824"/>
      <c r="O177" s="2496"/>
      <c r="P177" s="3300"/>
      <c r="Q177" s="1584"/>
      <c r="R177" s="1584"/>
      <c r="S177" s="1584"/>
      <c r="T177" s="1584"/>
      <c r="U177" s="1584"/>
      <c r="V177" s="1584"/>
      <c r="W177" s="1584"/>
      <c r="X177" s="1584"/>
      <c r="Y177" s="1584"/>
      <c r="AY177" s="1580"/>
      <c r="AZ177" s="1580"/>
      <c r="DA177" s="3306">
        <v>0</v>
      </c>
      <c r="DB177" s="3306">
        <v>0</v>
      </c>
    </row>
    <row r="178" spans="1:106" ht="16.350000000000001" customHeight="1" x14ac:dyDescent="0.25">
      <c r="A178" s="8391"/>
      <c r="B178" s="700" t="s">
        <v>1398</v>
      </c>
      <c r="C178" s="551">
        <f t="shared" si="25"/>
        <v>0</v>
      </c>
      <c r="D178" s="576">
        <f t="shared" si="26"/>
        <v>0</v>
      </c>
      <c r="E178" s="172">
        <f t="shared" si="26"/>
        <v>0</v>
      </c>
      <c r="F178" s="2574"/>
      <c r="G178" s="116"/>
      <c r="H178" s="2574"/>
      <c r="I178" s="2596"/>
      <c r="J178" s="113"/>
      <c r="K178" s="116"/>
      <c r="L178" s="2574"/>
      <c r="M178" s="2596"/>
      <c r="N178" s="2574"/>
      <c r="O178" s="2596"/>
      <c r="P178" s="3300"/>
      <c r="Q178" s="1584"/>
      <c r="R178" s="1584"/>
      <c r="S178" s="1584"/>
      <c r="T178" s="1584"/>
      <c r="U178" s="1584"/>
      <c r="V178" s="1584"/>
      <c r="W178" s="1584"/>
      <c r="X178" s="1584"/>
      <c r="Y178" s="1584"/>
      <c r="AY178" s="1580"/>
      <c r="AZ178" s="1580"/>
      <c r="DA178" s="3306">
        <v>0</v>
      </c>
      <c r="DB178" s="3306">
        <v>0</v>
      </c>
    </row>
    <row r="179" spans="1:106" ht="16.350000000000001" customHeight="1" x14ac:dyDescent="0.25">
      <c r="A179" s="8390" t="s">
        <v>1401</v>
      </c>
      <c r="B179" s="828" t="s">
        <v>1400</v>
      </c>
      <c r="C179" s="826">
        <f t="shared" si="25"/>
        <v>0</v>
      </c>
      <c r="D179" s="1354">
        <f t="shared" si="26"/>
        <v>0</v>
      </c>
      <c r="E179" s="825">
        <f t="shared" si="26"/>
        <v>0</v>
      </c>
      <c r="F179" s="2706"/>
      <c r="G179" s="2517"/>
      <c r="H179" s="2706"/>
      <c r="I179" s="2519"/>
      <c r="J179" s="2706"/>
      <c r="K179" s="2517"/>
      <c r="L179" s="2707"/>
      <c r="M179" s="2519"/>
      <c r="N179" s="2706"/>
      <c r="O179" s="2517"/>
      <c r="P179" s="3300"/>
      <c r="Q179" s="1584"/>
      <c r="R179" s="1584"/>
      <c r="S179" s="1584"/>
      <c r="T179" s="1584"/>
      <c r="U179" s="1584"/>
      <c r="V179" s="1584"/>
      <c r="W179" s="1584"/>
      <c r="X179" s="1584"/>
      <c r="Y179" s="1584"/>
      <c r="AY179" s="1580"/>
      <c r="AZ179" s="1580"/>
      <c r="DA179" s="3306">
        <v>0</v>
      </c>
      <c r="DB179" s="3306">
        <v>0</v>
      </c>
    </row>
    <row r="180" spans="1:106" ht="16.350000000000001" customHeight="1" x14ac:dyDescent="0.25">
      <c r="A180" s="8125"/>
      <c r="B180" s="109" t="s">
        <v>1399</v>
      </c>
      <c r="C180" s="323">
        <f t="shared" si="25"/>
        <v>0</v>
      </c>
      <c r="D180" s="324">
        <f t="shared" si="26"/>
        <v>0</v>
      </c>
      <c r="E180" s="145">
        <f t="shared" si="26"/>
        <v>0</v>
      </c>
      <c r="F180" s="824"/>
      <c r="G180" s="2496"/>
      <c r="H180" s="2548"/>
      <c r="I180" s="2584"/>
      <c r="J180" s="2548"/>
      <c r="K180" s="2551"/>
      <c r="L180" s="2547"/>
      <c r="M180" s="2584"/>
      <c r="N180" s="2548"/>
      <c r="O180" s="2551"/>
      <c r="P180" s="3300"/>
      <c r="Q180" s="1584"/>
      <c r="R180" s="1584"/>
      <c r="S180" s="1584"/>
      <c r="T180" s="1584"/>
      <c r="U180" s="1584"/>
      <c r="V180" s="1584"/>
      <c r="W180" s="1584"/>
      <c r="X180" s="1584"/>
      <c r="Y180" s="1584"/>
      <c r="AY180" s="1580"/>
      <c r="AZ180" s="1580"/>
      <c r="DA180" s="3306">
        <v>0</v>
      </c>
      <c r="DB180" s="3306">
        <v>0</v>
      </c>
    </row>
    <row r="181" spans="1:106" ht="16.350000000000001" customHeight="1" x14ac:dyDescent="0.25">
      <c r="A181" s="8391"/>
      <c r="B181" s="81" t="s">
        <v>1398</v>
      </c>
      <c r="C181" s="1357">
        <f t="shared" si="25"/>
        <v>0</v>
      </c>
      <c r="D181" s="1358">
        <f t="shared" si="26"/>
        <v>0</v>
      </c>
      <c r="E181" s="147">
        <f>SUM(G181+I181+K181+M181+O181)</f>
        <v>0</v>
      </c>
      <c r="F181" s="2521"/>
      <c r="G181" s="2552"/>
      <c r="H181" s="2521"/>
      <c r="I181" s="2711"/>
      <c r="J181" s="2521"/>
      <c r="K181" s="2552"/>
      <c r="L181" s="2533"/>
      <c r="M181" s="2711"/>
      <c r="N181" s="2521"/>
      <c r="O181" s="2552"/>
      <c r="P181" s="3301"/>
      <c r="Q181" s="796"/>
      <c r="R181" s="796"/>
      <c r="S181" s="796"/>
      <c r="T181" s="796"/>
      <c r="U181" s="796"/>
      <c r="V181" s="796"/>
      <c r="W181" s="796"/>
      <c r="X181" s="796"/>
      <c r="Y181" s="796"/>
      <c r="AY181" s="1580"/>
      <c r="AZ181" s="1580"/>
    </row>
    <row r="182" spans="1:106" ht="31.35" customHeight="1" x14ac:dyDescent="0.25">
      <c r="A182" s="8423" t="s">
        <v>1397</v>
      </c>
      <c r="B182" s="8423"/>
      <c r="C182" s="8423"/>
      <c r="D182" s="8423"/>
      <c r="E182" s="8423"/>
      <c r="F182" s="8423"/>
      <c r="G182" s="8423"/>
      <c r="H182" s="8423"/>
      <c r="I182" s="8423"/>
      <c r="J182" s="8423"/>
      <c r="K182" s="8423"/>
      <c r="L182" s="8423"/>
      <c r="M182" s="8423"/>
      <c r="N182" s="8423"/>
      <c r="O182" s="8423"/>
      <c r="P182" s="796"/>
      <c r="Q182" s="796"/>
      <c r="R182" s="796"/>
      <c r="S182" s="796"/>
      <c r="T182" s="796"/>
      <c r="U182" s="796"/>
      <c r="V182" s="796"/>
      <c r="W182" s="796"/>
      <c r="X182" s="796"/>
      <c r="Y182" s="796"/>
      <c r="Z182" s="796"/>
      <c r="AA182" s="796"/>
      <c r="BA182" s="1187"/>
      <c r="BB182" s="1187"/>
      <c r="BC182" s="1187"/>
      <c r="BD182" s="1187"/>
      <c r="BE182" s="1187"/>
      <c r="BF182" s="1187"/>
      <c r="BG182" s="1187"/>
      <c r="BH182" s="1187"/>
      <c r="BI182" s="1187"/>
      <c r="BJ182" s="1187"/>
      <c r="BK182" s="1187"/>
      <c r="BL182" s="1187"/>
      <c r="BM182" s="1187"/>
      <c r="BN182" s="1187"/>
      <c r="BO182" s="1187"/>
      <c r="BP182" s="1187"/>
      <c r="BQ182" s="1187"/>
      <c r="BR182" s="1187"/>
      <c r="BS182" s="1187"/>
    </row>
    <row r="183" spans="1:106" ht="16.350000000000001" customHeight="1" x14ac:dyDescent="0.25">
      <c r="A183" s="8282" t="s">
        <v>1396</v>
      </c>
      <c r="B183" s="8183"/>
      <c r="C183" s="8282" t="s">
        <v>24</v>
      </c>
      <c r="D183" s="8167"/>
      <c r="E183" s="8183"/>
      <c r="F183" s="8289" t="s">
        <v>2</v>
      </c>
      <c r="G183" s="8290"/>
      <c r="H183" s="8290"/>
      <c r="I183" s="8290"/>
      <c r="J183" s="8290"/>
      <c r="K183" s="8290"/>
      <c r="L183" s="8290"/>
      <c r="M183" s="8290"/>
      <c r="N183" s="8290"/>
      <c r="O183" s="8290"/>
      <c r="P183" s="8290"/>
      <c r="Q183" s="8291"/>
      <c r="R183" s="796"/>
      <c r="S183" s="796"/>
      <c r="T183" s="796"/>
      <c r="U183" s="796"/>
      <c r="V183" s="796"/>
      <c r="W183" s="796"/>
      <c r="X183" s="796"/>
      <c r="Y183" s="796"/>
      <c r="AY183" s="1580"/>
      <c r="AZ183" s="1580"/>
    </row>
    <row r="184" spans="1:106" ht="16.350000000000001" customHeight="1" x14ac:dyDescent="0.25">
      <c r="A184" s="8191"/>
      <c r="B184" s="8192"/>
      <c r="C184" s="8283"/>
      <c r="D184" s="8168"/>
      <c r="E184" s="8284"/>
      <c r="F184" s="8289" t="s">
        <v>1395</v>
      </c>
      <c r="G184" s="8291"/>
      <c r="H184" s="8289" t="s">
        <v>1394</v>
      </c>
      <c r="I184" s="8291"/>
      <c r="J184" s="8289" t="s">
        <v>1393</v>
      </c>
      <c r="K184" s="8291"/>
      <c r="L184" s="8289" t="s">
        <v>1392</v>
      </c>
      <c r="M184" s="8291"/>
      <c r="N184" s="8289" t="s">
        <v>1391</v>
      </c>
      <c r="O184" s="8291"/>
      <c r="P184" s="8289" t="s">
        <v>1390</v>
      </c>
      <c r="Q184" s="8291"/>
      <c r="R184" s="796"/>
      <c r="S184" s="796"/>
      <c r="T184" s="796"/>
      <c r="U184" s="796"/>
      <c r="V184" s="796"/>
      <c r="W184" s="796"/>
      <c r="X184" s="796"/>
      <c r="Y184" s="796"/>
      <c r="AY184" s="1580"/>
      <c r="AZ184" s="1580"/>
    </row>
    <row r="185" spans="1:106" ht="16.350000000000001" customHeight="1" x14ac:dyDescent="0.25">
      <c r="A185" s="8283"/>
      <c r="B185" s="8284"/>
      <c r="C185" s="827" t="s">
        <v>42</v>
      </c>
      <c r="D185" s="588" t="s">
        <v>17</v>
      </c>
      <c r="E185" s="2134" t="s">
        <v>18</v>
      </c>
      <c r="F185" s="2710" t="s">
        <v>17</v>
      </c>
      <c r="G185" s="2154" t="s">
        <v>18</v>
      </c>
      <c r="H185" s="2710" t="s">
        <v>17</v>
      </c>
      <c r="I185" s="2154" t="s">
        <v>18</v>
      </c>
      <c r="J185" s="2710" t="s">
        <v>17</v>
      </c>
      <c r="K185" s="2184" t="s">
        <v>18</v>
      </c>
      <c r="L185" s="2710" t="s">
        <v>17</v>
      </c>
      <c r="M185" s="2154" t="s">
        <v>18</v>
      </c>
      <c r="N185" s="2710" t="s">
        <v>17</v>
      </c>
      <c r="O185" s="2154" t="s">
        <v>18</v>
      </c>
      <c r="P185" s="2710" t="s">
        <v>17</v>
      </c>
      <c r="Q185" s="2184" t="s">
        <v>18</v>
      </c>
      <c r="R185" s="796"/>
      <c r="S185" s="796"/>
      <c r="T185" s="796"/>
      <c r="U185" s="796"/>
      <c r="V185" s="796"/>
      <c r="W185" s="796"/>
      <c r="X185" s="796"/>
      <c r="Y185" s="796"/>
      <c r="AY185" s="1580"/>
      <c r="AZ185" s="1580"/>
    </row>
    <row r="186" spans="1:106" ht="16.350000000000001" customHeight="1" x14ac:dyDescent="0.25">
      <c r="A186" s="8285" t="s">
        <v>1389</v>
      </c>
      <c r="B186" s="8286"/>
      <c r="C186" s="2402">
        <f>SUM(D186+E186)</f>
        <v>0</v>
      </c>
      <c r="D186" s="2403">
        <f>SUM(F186+H186+J186+L186+N186+P186)</f>
        <v>0</v>
      </c>
      <c r="E186" s="2037">
        <f t="shared" ref="D186:E188" si="27">SUM(G186+I186+K186+M186+O186+Q186)</f>
        <v>0</v>
      </c>
      <c r="F186" s="2706"/>
      <c r="G186" s="2519"/>
      <c r="H186" s="2706"/>
      <c r="I186" s="2517"/>
      <c r="J186" s="2707"/>
      <c r="K186" s="2517"/>
      <c r="L186" s="2707"/>
      <c r="M186" s="2519"/>
      <c r="N186" s="2706"/>
      <c r="O186" s="2517"/>
      <c r="P186" s="2707"/>
      <c r="Q186" s="2517"/>
      <c r="R186" s="3301"/>
      <c r="S186" s="796"/>
      <c r="T186" s="796"/>
      <c r="U186" s="796"/>
      <c r="V186" s="796"/>
      <c r="W186" s="796"/>
      <c r="X186" s="796"/>
      <c r="Y186" s="796"/>
      <c r="AY186" s="1580"/>
      <c r="AZ186" s="1580"/>
    </row>
    <row r="187" spans="1:106" ht="16.350000000000001" customHeight="1" x14ac:dyDescent="0.25">
      <c r="A187" s="8287" t="s">
        <v>1388</v>
      </c>
      <c r="B187" s="8288"/>
      <c r="C187" s="2404">
        <f>SUM(D187+E187)</f>
        <v>0</v>
      </c>
      <c r="D187" s="2405">
        <f t="shared" si="27"/>
        <v>0</v>
      </c>
      <c r="E187" s="1133">
        <f t="shared" si="27"/>
        <v>0</v>
      </c>
      <c r="F187" s="824"/>
      <c r="G187" s="2499"/>
      <c r="H187" s="824"/>
      <c r="I187" s="2496"/>
      <c r="J187" s="1828"/>
      <c r="K187" s="2496"/>
      <c r="L187" s="1828"/>
      <c r="M187" s="2499"/>
      <c r="N187" s="824"/>
      <c r="O187" s="2496"/>
      <c r="P187" s="1828"/>
      <c r="Q187" s="2496"/>
      <c r="R187" s="3301"/>
      <c r="S187" s="796"/>
      <c r="T187" s="796"/>
      <c r="U187" s="796"/>
      <c r="V187" s="796"/>
      <c r="W187" s="796"/>
      <c r="X187" s="796"/>
      <c r="Y187" s="796"/>
      <c r="AY187" s="1580"/>
      <c r="AZ187" s="1580"/>
    </row>
    <row r="188" spans="1:106" ht="16.350000000000001" customHeight="1" x14ac:dyDescent="0.25">
      <c r="A188" s="8292" t="s">
        <v>1387</v>
      </c>
      <c r="B188" s="8293"/>
      <c r="C188" s="2406">
        <f>SUM(D188+E188)</f>
        <v>0</v>
      </c>
      <c r="D188" s="2405">
        <f t="shared" si="27"/>
        <v>0</v>
      </c>
      <c r="E188" s="2039">
        <f t="shared" si="27"/>
        <v>0</v>
      </c>
      <c r="F188" s="2548"/>
      <c r="G188" s="2584"/>
      <c r="H188" s="2548"/>
      <c r="I188" s="2551"/>
      <c r="J188" s="2547"/>
      <c r="K188" s="2551"/>
      <c r="L188" s="2547"/>
      <c r="M188" s="2584"/>
      <c r="N188" s="2548"/>
      <c r="O188" s="2551"/>
      <c r="P188" s="2547"/>
      <c r="Q188" s="2551"/>
      <c r="R188" s="3301"/>
      <c r="S188" s="796"/>
      <c r="T188" s="796"/>
      <c r="U188" s="796"/>
      <c r="V188" s="796"/>
      <c r="W188" s="796"/>
      <c r="X188" s="796"/>
      <c r="Y188" s="796"/>
      <c r="AY188" s="1580"/>
      <c r="AZ188" s="1580"/>
    </row>
    <row r="189" spans="1:106" ht="16.350000000000001" customHeight="1" x14ac:dyDescent="0.25">
      <c r="A189" s="8340" t="s">
        <v>24</v>
      </c>
      <c r="B189" s="8341"/>
      <c r="C189" s="2407">
        <f t="shared" ref="C189:Q189" si="28">SUM(C186:C188)</f>
        <v>0</v>
      </c>
      <c r="D189" s="2408">
        <f t="shared" si="28"/>
        <v>0</v>
      </c>
      <c r="E189" s="2058">
        <f t="shared" si="28"/>
        <v>0</v>
      </c>
      <c r="F189" s="2712">
        <f t="shared" si="28"/>
        <v>0</v>
      </c>
      <c r="G189" s="2713">
        <f t="shared" si="28"/>
        <v>0</v>
      </c>
      <c r="H189" s="2712">
        <f t="shared" si="28"/>
        <v>0</v>
      </c>
      <c r="I189" s="2713">
        <f t="shared" si="28"/>
        <v>0</v>
      </c>
      <c r="J189" s="2712">
        <f t="shared" si="28"/>
        <v>0</v>
      </c>
      <c r="K189" s="2713">
        <f t="shared" si="28"/>
        <v>0</v>
      </c>
      <c r="L189" s="2712">
        <f t="shared" si="28"/>
        <v>0</v>
      </c>
      <c r="M189" s="2713">
        <f t="shared" si="28"/>
        <v>0</v>
      </c>
      <c r="N189" s="2712">
        <f t="shared" si="28"/>
        <v>0</v>
      </c>
      <c r="O189" s="2713">
        <f t="shared" si="28"/>
        <v>0</v>
      </c>
      <c r="P189" s="2712">
        <f t="shared" si="28"/>
        <v>0</v>
      </c>
      <c r="Q189" s="2714">
        <f t="shared" si="28"/>
        <v>0</v>
      </c>
      <c r="R189" s="796"/>
      <c r="S189" s="796"/>
      <c r="T189" s="796"/>
      <c r="U189" s="796"/>
      <c r="V189" s="796"/>
      <c r="W189" s="796"/>
      <c r="X189" s="796"/>
      <c r="Y189" s="796"/>
      <c r="AY189" s="1580"/>
      <c r="AZ189" s="1580"/>
    </row>
    <row r="190" spans="1:106" ht="16.350000000000001" customHeight="1" x14ac:dyDescent="0.25">
      <c r="A190" s="823" t="s">
        <v>2554</v>
      </c>
      <c r="M190" s="1595"/>
      <c r="N190" s="1595"/>
      <c r="O190" s="1595"/>
      <c r="P190" s="1595"/>
    </row>
    <row r="191" spans="1:106" ht="31.35" customHeight="1" x14ac:dyDescent="0.25">
      <c r="A191" s="133" t="s">
        <v>2701</v>
      </c>
      <c r="B191" s="1596"/>
      <c r="C191" s="1596"/>
      <c r="D191" s="1596"/>
      <c r="E191" s="1596"/>
      <c r="F191" s="796"/>
      <c r="G191" s="796"/>
      <c r="H191" s="796"/>
      <c r="I191" s="796"/>
      <c r="J191" s="796"/>
      <c r="K191" s="796"/>
      <c r="L191" s="796"/>
      <c r="M191" s="796"/>
      <c r="N191" s="796"/>
      <c r="O191" s="796"/>
      <c r="P191" s="796"/>
      <c r="Q191" s="796"/>
      <c r="BA191" s="1187"/>
      <c r="BB191" s="1187"/>
      <c r="BC191" s="1187"/>
      <c r="BD191" s="1187"/>
      <c r="BE191" s="1187"/>
      <c r="BF191" s="1187"/>
      <c r="BG191" s="1187"/>
      <c r="BH191" s="1187"/>
      <c r="BI191" s="1187"/>
      <c r="BJ191" s="1187"/>
      <c r="BK191" s="1187"/>
      <c r="BL191" s="1187"/>
      <c r="BM191" s="1187"/>
      <c r="BN191" s="1187"/>
      <c r="BO191" s="1187"/>
      <c r="BP191" s="1187"/>
      <c r="BQ191" s="1187"/>
      <c r="BR191" s="1187"/>
      <c r="BS191" s="1187"/>
    </row>
    <row r="192" spans="1:106" ht="16.350000000000001" customHeight="1" x14ac:dyDescent="0.25">
      <c r="A192" s="8282" t="s">
        <v>1386</v>
      </c>
      <c r="B192" s="8183"/>
      <c r="C192" s="8306" t="s">
        <v>1259</v>
      </c>
      <c r="D192" s="8307"/>
      <c r="E192" s="8308"/>
      <c r="F192" s="8312" t="s">
        <v>2</v>
      </c>
      <c r="G192" s="8313"/>
      <c r="H192" s="8313"/>
      <c r="I192" s="8313"/>
      <c r="J192" s="8313"/>
      <c r="K192" s="8313"/>
      <c r="L192" s="8313"/>
      <c r="M192" s="8313"/>
      <c r="N192" s="8313"/>
      <c r="O192" s="8313"/>
      <c r="P192" s="8313"/>
      <c r="Q192" s="8314"/>
      <c r="X192" s="1187"/>
      <c r="Y192" s="1187"/>
      <c r="AY192" s="1580"/>
      <c r="AZ192" s="1580"/>
    </row>
    <row r="193" spans="1:132" ht="16.350000000000001" customHeight="1" x14ac:dyDescent="0.25">
      <c r="A193" s="8191"/>
      <c r="B193" s="8192"/>
      <c r="C193" s="8309"/>
      <c r="D193" s="8310"/>
      <c r="E193" s="8311"/>
      <c r="F193" s="8409" t="s">
        <v>48</v>
      </c>
      <c r="G193" s="8281"/>
      <c r="H193" s="8280" t="s">
        <v>49</v>
      </c>
      <c r="I193" s="8281"/>
      <c r="J193" s="8280" t="s">
        <v>50</v>
      </c>
      <c r="K193" s="8281"/>
      <c r="L193" s="8280" t="s">
        <v>51</v>
      </c>
      <c r="M193" s="8281"/>
      <c r="N193" s="8280" t="s">
        <v>52</v>
      </c>
      <c r="O193" s="8281"/>
      <c r="P193" s="8402" t="s">
        <v>3522</v>
      </c>
      <c r="Q193" s="8403"/>
      <c r="X193" s="1187"/>
      <c r="Y193" s="1187"/>
      <c r="AY193" s="1580"/>
      <c r="AZ193" s="1580"/>
    </row>
    <row r="194" spans="1:132" ht="16.350000000000001" customHeight="1" x14ac:dyDescent="0.25">
      <c r="A194" s="8283"/>
      <c r="B194" s="8284"/>
      <c r="C194" s="2133" t="s">
        <v>42</v>
      </c>
      <c r="D194" s="2129" t="s">
        <v>17</v>
      </c>
      <c r="E194" s="2117" t="s">
        <v>18</v>
      </c>
      <c r="F194" s="2698" t="s">
        <v>17</v>
      </c>
      <c r="G194" s="2700" t="s">
        <v>18</v>
      </c>
      <c r="H194" s="2701" t="s">
        <v>17</v>
      </c>
      <c r="I194" s="2700" t="s">
        <v>18</v>
      </c>
      <c r="J194" s="2701" t="s">
        <v>17</v>
      </c>
      <c r="K194" s="2700" t="s">
        <v>18</v>
      </c>
      <c r="L194" s="2701" t="s">
        <v>17</v>
      </c>
      <c r="M194" s="2700" t="s">
        <v>18</v>
      </c>
      <c r="N194" s="2701" t="s">
        <v>17</v>
      </c>
      <c r="O194" s="2700" t="s">
        <v>18</v>
      </c>
      <c r="P194" s="2701" t="s">
        <v>17</v>
      </c>
      <c r="Q194" s="2700" t="s">
        <v>18</v>
      </c>
      <c r="X194" s="1187"/>
      <c r="Y194" s="1187"/>
      <c r="AY194" s="1580"/>
      <c r="AZ194" s="1580"/>
    </row>
    <row r="195" spans="1:132" ht="16.350000000000001" customHeight="1" x14ac:dyDescent="0.25">
      <c r="A195" s="8412" t="s">
        <v>3559</v>
      </c>
      <c r="B195" s="8413"/>
      <c r="C195" s="250">
        <f>SUM(D195+E195)</f>
        <v>0</v>
      </c>
      <c r="D195" s="269">
        <f t="shared" ref="D195:E199" si="29">SUM(F195+H195+J195+L195+N195+P195)</f>
        <v>0</v>
      </c>
      <c r="E195" s="656">
        <f t="shared" si="29"/>
        <v>0</v>
      </c>
      <c r="F195" s="2518"/>
      <c r="G195" s="2506"/>
      <c r="H195" s="2494"/>
      <c r="I195" s="2506"/>
      <c r="J195" s="2494"/>
      <c r="K195" s="2506"/>
      <c r="L195" s="2494"/>
      <c r="M195" s="2506"/>
      <c r="N195" s="2494"/>
      <c r="O195" s="2506"/>
      <c r="P195" s="2494"/>
      <c r="Q195" s="2506"/>
      <c r="R195" s="1118"/>
      <c r="X195" s="1187"/>
      <c r="Y195" s="1187"/>
      <c r="AY195" s="1580"/>
      <c r="AZ195" s="1580"/>
    </row>
    <row r="196" spans="1:132" ht="16.350000000000001" customHeight="1" x14ac:dyDescent="0.25">
      <c r="A196" s="8410" t="s">
        <v>3560</v>
      </c>
      <c r="B196" s="8411"/>
      <c r="C196" s="251">
        <f>SUM(D196+E196)</f>
        <v>0</v>
      </c>
      <c r="D196" s="617">
        <f t="shared" si="29"/>
        <v>0</v>
      </c>
      <c r="E196" s="719">
        <f t="shared" si="29"/>
        <v>0</v>
      </c>
      <c r="F196" s="2548"/>
      <c r="G196" s="2551"/>
      <c r="H196" s="2547"/>
      <c r="I196" s="2551"/>
      <c r="J196" s="2547"/>
      <c r="K196" s="2551"/>
      <c r="L196" s="2547"/>
      <c r="M196" s="2551"/>
      <c r="N196" s="2547"/>
      <c r="O196" s="2551"/>
      <c r="P196" s="2547"/>
      <c r="Q196" s="2551"/>
      <c r="R196" s="1118"/>
      <c r="X196" s="1187"/>
      <c r="Y196" s="1187"/>
      <c r="AY196" s="1580"/>
      <c r="AZ196" s="1580"/>
    </row>
    <row r="197" spans="1:132" ht="16.350000000000001" customHeight="1" x14ac:dyDescent="0.25">
      <c r="A197" s="8296" t="s">
        <v>3561</v>
      </c>
      <c r="B197" s="8297"/>
      <c r="C197" s="2849">
        <f>SUM(D197+E197)</f>
        <v>0</v>
      </c>
      <c r="D197" s="2850">
        <f t="shared" si="29"/>
        <v>0</v>
      </c>
      <c r="E197" s="2851">
        <f t="shared" si="29"/>
        <v>0</v>
      </c>
      <c r="F197" s="2574"/>
      <c r="G197" s="2596"/>
      <c r="H197" s="2852"/>
      <c r="I197" s="2596"/>
      <c r="J197" s="2852"/>
      <c r="K197" s="2596"/>
      <c r="L197" s="2852"/>
      <c r="M197" s="2596"/>
      <c r="N197" s="2852"/>
      <c r="O197" s="2596"/>
      <c r="P197" s="2852"/>
      <c r="Q197" s="2596"/>
      <c r="R197" s="1118"/>
      <c r="X197" s="1187"/>
      <c r="Y197" s="1187"/>
      <c r="AY197" s="1580"/>
      <c r="AZ197" s="1580"/>
    </row>
    <row r="198" spans="1:132" ht="16.350000000000001" customHeight="1" x14ac:dyDescent="0.25">
      <c r="A198" s="8294" t="s">
        <v>3562</v>
      </c>
      <c r="B198" s="8295"/>
      <c r="C198" s="2861">
        <f>SUM(D198+E198)</f>
        <v>0</v>
      </c>
      <c r="D198" s="2862">
        <f t="shared" si="29"/>
        <v>0</v>
      </c>
      <c r="E198" s="2863">
        <f t="shared" si="29"/>
        <v>0</v>
      </c>
      <c r="F198" s="2796"/>
      <c r="G198" s="2552"/>
      <c r="H198" s="2533"/>
      <c r="I198" s="2552"/>
      <c r="J198" s="2533"/>
      <c r="K198" s="2552"/>
      <c r="L198" s="2533"/>
      <c r="M198" s="2552"/>
      <c r="N198" s="2533"/>
      <c r="O198" s="2552"/>
      <c r="P198" s="2533"/>
      <c r="Q198" s="2552"/>
      <c r="R198" s="1118"/>
      <c r="X198" s="1187"/>
      <c r="Y198" s="1187"/>
      <c r="AY198" s="1580"/>
      <c r="AZ198" s="1580"/>
    </row>
    <row r="199" spans="1:132" ht="16.350000000000001" customHeight="1" x14ac:dyDescent="0.25">
      <c r="A199" s="8338" t="s">
        <v>1385</v>
      </c>
      <c r="B199" s="8339"/>
      <c r="C199" s="2858">
        <f>SUM(D199+E199)</f>
        <v>0</v>
      </c>
      <c r="D199" s="1998">
        <f t="shared" si="29"/>
        <v>0</v>
      </c>
      <c r="E199" s="2859">
        <f t="shared" si="29"/>
        <v>0</v>
      </c>
      <c r="F199" s="7678">
        <f>SUM(F195:F198)</f>
        <v>0</v>
      </c>
      <c r="G199" s="2782">
        <f t="shared" ref="G199:P199" si="30">SUM(G195:G198)</f>
        <v>0</v>
      </c>
      <c r="H199" s="2860">
        <f>SUM(H195:H198)</f>
        <v>0</v>
      </c>
      <c r="I199" s="2782">
        <f t="shared" si="30"/>
        <v>0</v>
      </c>
      <c r="J199" s="2860">
        <f t="shared" si="30"/>
        <v>0</v>
      </c>
      <c r="K199" s="2782">
        <f t="shared" si="30"/>
        <v>0</v>
      </c>
      <c r="L199" s="2860">
        <f t="shared" si="30"/>
        <v>0</v>
      </c>
      <c r="M199" s="2782">
        <f>SUM(M195:M198)</f>
        <v>0</v>
      </c>
      <c r="N199" s="2860">
        <f t="shared" si="30"/>
        <v>0</v>
      </c>
      <c r="O199" s="2782">
        <f t="shared" si="30"/>
        <v>0</v>
      </c>
      <c r="P199" s="2860">
        <f t="shared" si="30"/>
        <v>0</v>
      </c>
      <c r="Q199" s="2782">
        <f>SUM(Q195:Q198)</f>
        <v>0</v>
      </c>
      <c r="X199" s="1187"/>
      <c r="Y199" s="1187"/>
      <c r="AY199" s="1580"/>
      <c r="AZ199" s="1580"/>
    </row>
    <row r="200" spans="1:132" ht="31.35" customHeight="1" x14ac:dyDescent="0.25">
      <c r="A200" s="133" t="s">
        <v>1384</v>
      </c>
      <c r="B200" s="133"/>
      <c r="C200" s="133"/>
      <c r="D200" s="133"/>
      <c r="E200" s="133"/>
      <c r="F200" s="133"/>
      <c r="G200" s="133"/>
      <c r="H200" s="133"/>
      <c r="I200" s="796"/>
      <c r="J200" s="796"/>
      <c r="K200" s="796"/>
      <c r="L200" s="796"/>
      <c r="M200" s="796"/>
      <c r="N200" s="796"/>
      <c r="O200" s="796"/>
      <c r="P200" s="796"/>
      <c r="Q200" s="796"/>
      <c r="BA200" s="1187"/>
      <c r="BB200" s="1187"/>
      <c r="BC200" s="1187"/>
      <c r="BD200" s="1187"/>
      <c r="BE200" s="1187"/>
      <c r="BF200" s="1187"/>
      <c r="BG200" s="1187"/>
      <c r="BH200" s="1187"/>
      <c r="BI200" s="1187"/>
      <c r="BJ200" s="1187"/>
      <c r="BK200" s="1187"/>
      <c r="BL200" s="1187"/>
      <c r="BM200" s="1187"/>
      <c r="BN200" s="1187"/>
      <c r="BO200" s="1187"/>
      <c r="BP200" s="1187"/>
      <c r="BQ200" s="1187"/>
      <c r="BR200" s="1187"/>
      <c r="BS200" s="1187"/>
    </row>
    <row r="201" spans="1:132" ht="23.25" customHeight="1" x14ac:dyDescent="0.25">
      <c r="A201" s="8357" t="s">
        <v>1383</v>
      </c>
      <c r="B201" s="8358"/>
      <c r="C201" s="8368" t="s">
        <v>24</v>
      </c>
      <c r="D201" s="8369"/>
      <c r="E201" s="8370"/>
      <c r="F201" s="8414" t="s">
        <v>2</v>
      </c>
      <c r="G201" s="8414"/>
      <c r="H201" s="8414"/>
      <c r="I201" s="8414"/>
      <c r="J201" s="8414"/>
      <c r="K201" s="8414"/>
      <c r="L201" s="8414"/>
      <c r="M201" s="8414"/>
      <c r="N201" s="8414"/>
      <c r="O201" s="8414"/>
      <c r="P201" s="8414"/>
      <c r="Q201" s="8414"/>
      <c r="R201" s="8414"/>
      <c r="S201" s="8414"/>
      <c r="T201" s="8414"/>
      <c r="U201" s="8414"/>
      <c r="V201" s="8414"/>
      <c r="W201" s="8414"/>
      <c r="X201" s="8414"/>
      <c r="Y201" s="8414"/>
      <c r="Z201" s="8414"/>
      <c r="AA201" s="8414"/>
      <c r="AB201" s="8414"/>
      <c r="AC201" s="8415"/>
      <c r="AD201" s="8330" t="s">
        <v>2949</v>
      </c>
      <c r="AE201" s="8331"/>
      <c r="AF201" s="8342" t="s">
        <v>2660</v>
      </c>
      <c r="AG201" s="8343"/>
      <c r="AH201" s="8315" t="s">
        <v>360</v>
      </c>
      <c r="AI201" s="8318" t="s">
        <v>359</v>
      </c>
      <c r="BA201" s="1187"/>
      <c r="BB201" s="1187"/>
      <c r="EB201" s="1118"/>
    </row>
    <row r="202" spans="1:132" ht="21" customHeight="1" x14ac:dyDescent="0.25">
      <c r="A202" s="8359"/>
      <c r="B202" s="8278"/>
      <c r="C202" s="8371"/>
      <c r="D202" s="8372"/>
      <c r="E202" s="8373"/>
      <c r="F202" s="8374" t="s">
        <v>1382</v>
      </c>
      <c r="G202" s="8375"/>
      <c r="H202" s="8350" t="s">
        <v>1077</v>
      </c>
      <c r="I202" s="8351"/>
      <c r="J202" s="8350" t="s">
        <v>1076</v>
      </c>
      <c r="K202" s="8351"/>
      <c r="L202" s="8350" t="s">
        <v>1381</v>
      </c>
      <c r="M202" s="8351"/>
      <c r="N202" s="8350" t="s">
        <v>1075</v>
      </c>
      <c r="O202" s="8351"/>
      <c r="P202" s="8350" t="s">
        <v>1074</v>
      </c>
      <c r="Q202" s="8351"/>
      <c r="R202" s="8350" t="s">
        <v>1045</v>
      </c>
      <c r="S202" s="8351"/>
      <c r="T202" s="8334" t="s">
        <v>1044</v>
      </c>
      <c r="U202" s="8334"/>
      <c r="V202" s="8334" t="s">
        <v>2124</v>
      </c>
      <c r="W202" s="8334"/>
      <c r="X202" s="8334" t="s">
        <v>2125</v>
      </c>
      <c r="Y202" s="8334"/>
      <c r="Z202" s="8335" t="s">
        <v>48</v>
      </c>
      <c r="AA202" s="8336"/>
      <c r="AB202" s="8335" t="s">
        <v>49</v>
      </c>
      <c r="AC202" s="8337"/>
      <c r="AD202" s="8332"/>
      <c r="AE202" s="8333"/>
      <c r="AF202" s="8344"/>
      <c r="AG202" s="8345"/>
      <c r="AH202" s="8316"/>
      <c r="AI202" s="8319"/>
      <c r="BA202" s="1187"/>
      <c r="BB202" s="1187"/>
      <c r="EB202" s="1118"/>
    </row>
    <row r="203" spans="1:132" ht="16.350000000000001" customHeight="1" x14ac:dyDescent="0.25">
      <c r="A203" s="8350"/>
      <c r="B203" s="8351"/>
      <c r="C203" s="1753" t="s">
        <v>1369</v>
      </c>
      <c r="D203" s="1754" t="s">
        <v>17</v>
      </c>
      <c r="E203" s="2128" t="s">
        <v>18</v>
      </c>
      <c r="F203" s="1755" t="s">
        <v>17</v>
      </c>
      <c r="G203" s="1721" t="s">
        <v>18</v>
      </c>
      <c r="H203" s="1755" t="s">
        <v>17</v>
      </c>
      <c r="I203" s="1721" t="s">
        <v>18</v>
      </c>
      <c r="J203" s="1755" t="s">
        <v>17</v>
      </c>
      <c r="K203" s="1721" t="s">
        <v>18</v>
      </c>
      <c r="L203" s="1755" t="s">
        <v>17</v>
      </c>
      <c r="M203" s="1721" t="s">
        <v>18</v>
      </c>
      <c r="N203" s="1755" t="s">
        <v>17</v>
      </c>
      <c r="O203" s="1721" t="s">
        <v>18</v>
      </c>
      <c r="P203" s="1755" t="s">
        <v>17</v>
      </c>
      <c r="Q203" s="1721" t="s">
        <v>18</v>
      </c>
      <c r="R203" s="1755" t="s">
        <v>17</v>
      </c>
      <c r="S203" s="1721" t="s">
        <v>18</v>
      </c>
      <c r="T203" s="1755" t="s">
        <v>17</v>
      </c>
      <c r="U203" s="1721" t="s">
        <v>18</v>
      </c>
      <c r="V203" s="1755" t="s">
        <v>17</v>
      </c>
      <c r="W203" s="1721" t="s">
        <v>18</v>
      </c>
      <c r="X203" s="1755" t="s">
        <v>17</v>
      </c>
      <c r="Y203" s="1721" t="s">
        <v>18</v>
      </c>
      <c r="Z203" s="1755" t="s">
        <v>17</v>
      </c>
      <c r="AA203" s="1721" t="s">
        <v>18</v>
      </c>
      <c r="AB203" s="1755" t="s">
        <v>17</v>
      </c>
      <c r="AC203" s="1784" t="s">
        <v>18</v>
      </c>
      <c r="AD203" s="1782" t="s">
        <v>17</v>
      </c>
      <c r="AE203" s="1721" t="s">
        <v>18</v>
      </c>
      <c r="AF203" s="1782" t="s">
        <v>17</v>
      </c>
      <c r="AG203" s="1721" t="s">
        <v>18</v>
      </c>
      <c r="AH203" s="8317"/>
      <c r="AI203" s="8320" t="s">
        <v>18</v>
      </c>
      <c r="BA203" s="1187"/>
      <c r="BB203" s="1187"/>
      <c r="EB203" s="1118"/>
    </row>
    <row r="204" spans="1:132" ht="16.350000000000001" customHeight="1" x14ac:dyDescent="0.25">
      <c r="A204" s="8384" t="s">
        <v>1380</v>
      </c>
      <c r="B204" s="1756" t="s">
        <v>1379</v>
      </c>
      <c r="C204" s="2015">
        <f>SUM(D204+E204)</f>
        <v>0</v>
      </c>
      <c r="D204" s="2016">
        <f>SUM(F204+H204+J204+L204+N204+P204+R204+T204+V204+X204+Z204+AB204)</f>
        <v>0</v>
      </c>
      <c r="E204" s="2017">
        <f>SUM(G204+I204+K204+M204+O204+Q204+S204+U204+W204+Y204+AA204+AC204)</f>
        <v>0</v>
      </c>
      <c r="F204" s="1789"/>
      <c r="G204" s="1757"/>
      <c r="H204" s="1789"/>
      <c r="I204" s="1757"/>
      <c r="J204" s="1789"/>
      <c r="K204" s="1757"/>
      <c r="L204" s="1789"/>
      <c r="M204" s="1757"/>
      <c r="N204" s="1789"/>
      <c r="O204" s="1757"/>
      <c r="P204" s="1789"/>
      <c r="Q204" s="1722"/>
      <c r="R204" s="1789"/>
      <c r="S204" s="1722"/>
      <c r="T204" s="1789"/>
      <c r="U204" s="1757"/>
      <c r="V204" s="1789"/>
      <c r="W204" s="1757"/>
      <c r="X204" s="1789"/>
      <c r="Y204" s="1722"/>
      <c r="Z204" s="1789"/>
      <c r="AA204" s="1722"/>
      <c r="AB204" s="1789"/>
      <c r="AC204" s="2216"/>
      <c r="AD204" s="1757"/>
      <c r="AE204" s="1722"/>
      <c r="AF204" s="1757"/>
      <c r="AG204" s="1722"/>
      <c r="AH204" s="2579"/>
      <c r="AI204" s="2576"/>
      <c r="AJ204" s="1580"/>
      <c r="BA204" s="1187"/>
      <c r="BB204" s="1187"/>
      <c r="DA204" s="3306">
        <v>0</v>
      </c>
      <c r="DB204" s="3306">
        <v>0</v>
      </c>
      <c r="DC204" s="3306">
        <v>0</v>
      </c>
      <c r="DD204" s="3306">
        <v>0</v>
      </c>
      <c r="DE204" s="3306">
        <v>0</v>
      </c>
      <c r="DF204" s="3306">
        <v>0</v>
      </c>
      <c r="DG204" s="3306">
        <v>0</v>
      </c>
      <c r="DH204" s="3306">
        <v>0</v>
      </c>
      <c r="DI204" s="3306">
        <v>0</v>
      </c>
      <c r="DJ204" s="3306">
        <v>0</v>
      </c>
      <c r="DK204" s="3306">
        <v>0</v>
      </c>
      <c r="DL204" s="3306">
        <v>0</v>
      </c>
      <c r="EB204" s="1118"/>
    </row>
    <row r="205" spans="1:132" ht="16.350000000000001" customHeight="1" x14ac:dyDescent="0.25">
      <c r="A205" s="8385"/>
      <c r="B205" s="1758" t="s">
        <v>1378</v>
      </c>
      <c r="C205" s="2012">
        <f>SUM(D205+E205)</f>
        <v>0</v>
      </c>
      <c r="D205" s="2013">
        <f>SUM(F205+H205+J205+L205+N205+P205+R205+T205+V205+X205+Z205+AB205)</f>
        <v>0</v>
      </c>
      <c r="E205" s="2014">
        <f>SUM(G205+I205+K205+M205+O205+Q205+S205+U205+W205+Y205+AA205+AC205)</f>
        <v>0</v>
      </c>
      <c r="F205" s="1759"/>
      <c r="G205" s="1760"/>
      <c r="H205" s="1759"/>
      <c r="I205" s="1760"/>
      <c r="J205" s="1759"/>
      <c r="K205" s="1760"/>
      <c r="L205" s="1759"/>
      <c r="M205" s="1760"/>
      <c r="N205" s="1759"/>
      <c r="O205" s="1760"/>
      <c r="P205" s="1759"/>
      <c r="Q205" s="1761"/>
      <c r="R205" s="1759"/>
      <c r="S205" s="1761"/>
      <c r="T205" s="1759"/>
      <c r="U205" s="1760"/>
      <c r="V205" s="1759"/>
      <c r="W205" s="1760"/>
      <c r="X205" s="1759"/>
      <c r="Y205" s="1761"/>
      <c r="Z205" s="1759"/>
      <c r="AA205" s="1761"/>
      <c r="AB205" s="1759"/>
      <c r="AC205" s="2217"/>
      <c r="AD205" s="1787"/>
      <c r="AE205" s="1761"/>
      <c r="AF205" s="1787"/>
      <c r="AG205" s="1761"/>
      <c r="AH205" s="2582"/>
      <c r="AI205" s="2580"/>
      <c r="AJ205" s="1580"/>
      <c r="BA205" s="1187"/>
      <c r="BB205" s="1187"/>
      <c r="DA205" s="3306">
        <v>0</v>
      </c>
      <c r="DB205" s="3306">
        <v>0</v>
      </c>
      <c r="DC205" s="3306">
        <v>0</v>
      </c>
      <c r="DD205" s="3306">
        <v>0</v>
      </c>
      <c r="DE205" s="3306">
        <v>0</v>
      </c>
      <c r="DF205" s="3306">
        <v>0</v>
      </c>
      <c r="DG205" s="3306">
        <v>0</v>
      </c>
      <c r="DH205" s="3306">
        <v>0</v>
      </c>
      <c r="DI205" s="3306">
        <v>0</v>
      </c>
      <c r="DJ205" s="3306">
        <v>0</v>
      </c>
      <c r="DK205" s="3306">
        <v>0</v>
      </c>
      <c r="DL205" s="3306">
        <v>0</v>
      </c>
      <c r="EB205" s="1118"/>
    </row>
    <row r="206" spans="1:132" ht="16.350000000000001" customHeight="1" x14ac:dyDescent="0.25">
      <c r="A206" s="8400" t="s">
        <v>39</v>
      </c>
      <c r="B206" s="8401"/>
      <c r="C206" s="1762">
        <f>SUM(D206+E206)</f>
        <v>0</v>
      </c>
      <c r="D206" s="1763">
        <f>SUM(D204+D205)</f>
        <v>0</v>
      </c>
      <c r="E206" s="1764">
        <f>SUM(E204+E205)</f>
        <v>0</v>
      </c>
      <c r="F206" s="1762">
        <f>SUM(F204+F205)</f>
        <v>0</v>
      </c>
      <c r="G206" s="1765">
        <f t="shared" ref="G206:AC206" si="31">SUM(G204+G205)</f>
        <v>0</v>
      </c>
      <c r="H206" s="1762">
        <f t="shared" si="31"/>
        <v>0</v>
      </c>
      <c r="I206" s="1765">
        <f t="shared" si="31"/>
        <v>0</v>
      </c>
      <c r="J206" s="1762">
        <f t="shared" si="31"/>
        <v>0</v>
      </c>
      <c r="K206" s="1765">
        <f t="shared" si="31"/>
        <v>0</v>
      </c>
      <c r="L206" s="1762">
        <f t="shared" si="31"/>
        <v>0</v>
      </c>
      <c r="M206" s="1765">
        <f t="shared" si="31"/>
        <v>0</v>
      </c>
      <c r="N206" s="1762">
        <f t="shared" si="31"/>
        <v>0</v>
      </c>
      <c r="O206" s="1765">
        <f t="shared" si="31"/>
        <v>0</v>
      </c>
      <c r="P206" s="1762">
        <f t="shared" si="31"/>
        <v>0</v>
      </c>
      <c r="Q206" s="1765">
        <f t="shared" si="31"/>
        <v>0</v>
      </c>
      <c r="R206" s="1762">
        <f t="shared" si="31"/>
        <v>0</v>
      </c>
      <c r="S206" s="1765">
        <f t="shared" si="31"/>
        <v>0</v>
      </c>
      <c r="T206" s="1762">
        <f t="shared" si="31"/>
        <v>0</v>
      </c>
      <c r="U206" s="1765">
        <f t="shared" si="31"/>
        <v>0</v>
      </c>
      <c r="V206" s="1762">
        <f t="shared" si="31"/>
        <v>0</v>
      </c>
      <c r="W206" s="1765">
        <f t="shared" si="31"/>
        <v>0</v>
      </c>
      <c r="X206" s="1762">
        <f t="shared" si="31"/>
        <v>0</v>
      </c>
      <c r="Y206" s="1765">
        <f t="shared" si="31"/>
        <v>0</v>
      </c>
      <c r="Z206" s="1762">
        <f t="shared" si="31"/>
        <v>0</v>
      </c>
      <c r="AA206" s="1765">
        <f t="shared" si="31"/>
        <v>0</v>
      </c>
      <c r="AB206" s="1762">
        <f t="shared" si="31"/>
        <v>0</v>
      </c>
      <c r="AC206" s="2218">
        <f t="shared" si="31"/>
        <v>0</v>
      </c>
      <c r="AD206" s="1788">
        <f t="shared" ref="AD206:AI206" si="32">SUM(AD204+AD205)</f>
        <v>0</v>
      </c>
      <c r="AE206" s="1765">
        <f t="shared" si="32"/>
        <v>0</v>
      </c>
      <c r="AF206" s="1788">
        <f t="shared" si="32"/>
        <v>0</v>
      </c>
      <c r="AG206" s="1765">
        <f t="shared" si="32"/>
        <v>0</v>
      </c>
      <c r="AH206" s="2583">
        <f t="shared" si="32"/>
        <v>0</v>
      </c>
      <c r="AI206" s="2581">
        <f t="shared" si="32"/>
        <v>0</v>
      </c>
      <c r="BA206" s="1187"/>
      <c r="BB206" s="1187"/>
      <c r="EB206" s="1118"/>
    </row>
    <row r="207" spans="1:132" ht="24" customHeight="1" x14ac:dyDescent="0.25">
      <c r="A207" s="133" t="s">
        <v>1377</v>
      </c>
      <c r="B207" s="133"/>
      <c r="C207" s="133"/>
      <c r="D207" s="133"/>
      <c r="E207" s="133"/>
      <c r="F207" s="133"/>
      <c r="I207" s="108"/>
      <c r="J207" s="108"/>
      <c r="K207" s="108"/>
      <c r="L207" s="108"/>
      <c r="M207" s="108"/>
      <c r="N207" s="108"/>
      <c r="O207" s="108"/>
      <c r="P207" s="108"/>
      <c r="Q207" s="108"/>
    </row>
    <row r="208" spans="1:132" ht="15" customHeight="1" x14ac:dyDescent="0.25">
      <c r="A208" s="8376" t="s">
        <v>414</v>
      </c>
      <c r="B208" s="8301"/>
      <c r="C208" s="8378" t="s">
        <v>24</v>
      </c>
      <c r="D208" s="8379"/>
      <c r="E208" s="8380"/>
      <c r="F208" s="8501" t="s">
        <v>2</v>
      </c>
      <c r="G208" s="8502"/>
      <c r="H208" s="8502"/>
      <c r="I208" s="8502"/>
      <c r="J208" s="8502"/>
      <c r="K208" s="8502"/>
      <c r="L208" s="8502"/>
      <c r="M208" s="8502"/>
      <c r="N208" s="8502"/>
      <c r="O208" s="8503"/>
      <c r="P208" s="8504" t="s">
        <v>1376</v>
      </c>
      <c r="Q208" s="8301"/>
      <c r="R208" s="8506" t="s">
        <v>359</v>
      </c>
      <c r="S208" s="8301"/>
      <c r="T208" s="8397" t="s">
        <v>186</v>
      </c>
      <c r="U208" s="8398"/>
      <c r="V208" s="8398"/>
      <c r="W208" s="8399"/>
    </row>
    <row r="209" spans="1:130" ht="15.75" customHeight="1" x14ac:dyDescent="0.25">
      <c r="A209" s="8359"/>
      <c r="B209" s="8377"/>
      <c r="C209" s="8381"/>
      <c r="D209" s="8382"/>
      <c r="E209" s="8383"/>
      <c r="F209" s="8352" t="s">
        <v>843</v>
      </c>
      <c r="G209" s="8352"/>
      <c r="H209" s="8352" t="s">
        <v>1375</v>
      </c>
      <c r="I209" s="8352"/>
      <c r="J209" s="8352" t="s">
        <v>1374</v>
      </c>
      <c r="K209" s="8352"/>
      <c r="L209" s="8352" t="s">
        <v>1373</v>
      </c>
      <c r="M209" s="8352"/>
      <c r="N209" s="8352" t="s">
        <v>3523</v>
      </c>
      <c r="O209" s="8508"/>
      <c r="P209" s="8505"/>
      <c r="Q209" s="8303"/>
      <c r="R209" s="8507"/>
      <c r="S209" s="8303"/>
      <c r="T209" s="8395" t="s">
        <v>1372</v>
      </c>
      <c r="U209" s="8473" t="s">
        <v>1371</v>
      </c>
      <c r="V209" s="8395" t="s">
        <v>2592</v>
      </c>
      <c r="W209" s="8395" t="s">
        <v>1370</v>
      </c>
    </row>
    <row r="210" spans="1:130" s="1485" customFormat="1" ht="30.75" customHeight="1" x14ac:dyDescent="0.25">
      <c r="A210" s="8302"/>
      <c r="B210" s="8303"/>
      <c r="C210" s="821" t="s">
        <v>1369</v>
      </c>
      <c r="D210" s="820" t="s">
        <v>17</v>
      </c>
      <c r="E210" s="2124" t="s">
        <v>18</v>
      </c>
      <c r="F210" s="1755" t="s">
        <v>17</v>
      </c>
      <c r="G210" s="1721" t="s">
        <v>18</v>
      </c>
      <c r="H210" s="1755" t="s">
        <v>17</v>
      </c>
      <c r="I210" s="1721" t="s">
        <v>18</v>
      </c>
      <c r="J210" s="1755" t="s">
        <v>17</v>
      </c>
      <c r="K210" s="1721" t="s">
        <v>18</v>
      </c>
      <c r="L210" s="1755" t="s">
        <v>17</v>
      </c>
      <c r="M210" s="1721" t="s">
        <v>18</v>
      </c>
      <c r="N210" s="1755" t="s">
        <v>17</v>
      </c>
      <c r="O210" s="1784" t="s">
        <v>18</v>
      </c>
      <c r="P210" s="1782" t="s">
        <v>17</v>
      </c>
      <c r="Q210" s="819" t="s">
        <v>18</v>
      </c>
      <c r="R210" s="1597" t="s">
        <v>17</v>
      </c>
      <c r="S210" s="819" t="s">
        <v>18</v>
      </c>
      <c r="T210" s="8396"/>
      <c r="U210" s="8474"/>
      <c r="V210" s="8396"/>
      <c r="W210" s="8396"/>
      <c r="X210" s="823"/>
      <c r="Y210" s="823"/>
      <c r="Z210" s="823"/>
      <c r="AA210" s="823"/>
      <c r="AB210" s="823"/>
      <c r="AC210" s="823"/>
      <c r="AD210" s="823"/>
      <c r="AE210" s="823"/>
      <c r="AF210" s="823"/>
      <c r="AG210" s="823"/>
      <c r="AH210" s="823"/>
      <c r="AI210" s="823"/>
      <c r="AJ210" s="823"/>
      <c r="AK210" s="823"/>
      <c r="AL210" s="823"/>
      <c r="AM210" s="823"/>
      <c r="AN210" s="823"/>
      <c r="AO210" s="823"/>
      <c r="AP210" s="823"/>
      <c r="AQ210" s="823"/>
      <c r="AR210" s="823"/>
      <c r="AS210" s="823"/>
      <c r="AT210" s="823"/>
      <c r="AU210" s="823"/>
      <c r="AV210" s="823"/>
      <c r="AW210" s="823"/>
      <c r="AX210" s="823"/>
      <c r="AY210" s="823"/>
      <c r="AZ210" s="823"/>
      <c r="BA210" s="823"/>
      <c r="BB210" s="823"/>
      <c r="BC210" s="823"/>
      <c r="BD210" s="823"/>
      <c r="BE210" s="823"/>
      <c r="BF210" s="823"/>
      <c r="BG210" s="823"/>
      <c r="BH210" s="823"/>
      <c r="BI210" s="823"/>
      <c r="BJ210" s="823"/>
      <c r="BK210" s="823"/>
      <c r="BL210" s="823"/>
      <c r="BM210" s="823"/>
      <c r="BN210" s="823"/>
      <c r="BO210" s="823"/>
      <c r="BP210" s="823"/>
      <c r="BQ210" s="823"/>
      <c r="BR210" s="823"/>
      <c r="BS210" s="823"/>
      <c r="BT210" s="1187"/>
      <c r="BU210" s="1187"/>
      <c r="BV210" s="1187"/>
      <c r="BW210" s="1187"/>
      <c r="BX210" s="1187"/>
      <c r="BY210" s="1187"/>
      <c r="BZ210" s="1187"/>
      <c r="CA210" s="1464"/>
      <c r="CB210" s="1464"/>
      <c r="CC210" s="1464"/>
      <c r="CD210" s="1464"/>
      <c r="CE210" s="1464"/>
      <c r="CF210" s="1464"/>
      <c r="CG210" s="1464"/>
      <c r="CH210" s="1464"/>
      <c r="CI210" s="1464"/>
      <c r="CJ210" s="1464"/>
      <c r="CK210" s="1464"/>
      <c r="CL210" s="1464"/>
      <c r="CM210" s="1464"/>
      <c r="CN210" s="1464"/>
      <c r="CO210" s="1464"/>
      <c r="CP210" s="1464"/>
      <c r="CQ210" s="1464"/>
      <c r="CR210" s="1464"/>
      <c r="CS210" s="1464"/>
      <c r="CT210" s="1464"/>
      <c r="CU210" s="1464"/>
      <c r="CV210" s="1464"/>
      <c r="CW210" s="1464"/>
      <c r="CX210" s="1464"/>
      <c r="CY210" s="1464"/>
      <c r="CZ210" s="1464"/>
      <c r="DA210" s="3306"/>
      <c r="DB210" s="3306"/>
      <c r="DC210" s="3306"/>
      <c r="DD210" s="3306"/>
      <c r="DE210" s="3306"/>
      <c r="DF210" s="3306"/>
      <c r="DG210" s="3306"/>
      <c r="DH210" s="3306"/>
      <c r="DI210" s="3306"/>
      <c r="DJ210" s="3306"/>
      <c r="DK210" s="3306"/>
      <c r="DL210" s="3306"/>
      <c r="DM210" s="3306"/>
      <c r="DN210" s="3306"/>
      <c r="DO210" s="3306"/>
      <c r="DP210" s="3306"/>
      <c r="DQ210" s="3306"/>
      <c r="DR210" s="3306"/>
      <c r="DS210" s="3306"/>
      <c r="DT210" s="3306"/>
      <c r="DU210" s="3306"/>
      <c r="DV210" s="3306"/>
      <c r="DW210" s="3306"/>
      <c r="DX210" s="3306"/>
      <c r="DY210" s="3306"/>
      <c r="DZ210" s="3306"/>
    </row>
    <row r="211" spans="1:130" ht="15" customHeight="1" x14ac:dyDescent="0.25">
      <c r="A211" s="8355" t="s">
        <v>1368</v>
      </c>
      <c r="B211" s="8356"/>
      <c r="C211" s="816">
        <f>SUM(D211+E211)</f>
        <v>0</v>
      </c>
      <c r="D211" s="818">
        <f>SUM(F211+H211+J211+L211+N211)</f>
        <v>0</v>
      </c>
      <c r="E211" s="817">
        <f>SUM(G211+I211+K211+M211+O211)</f>
        <v>0</v>
      </c>
      <c r="F211" s="1785"/>
      <c r="G211" s="1783"/>
      <c r="H211" s="1785"/>
      <c r="I211" s="1783"/>
      <c r="J211" s="1785"/>
      <c r="K211" s="1783"/>
      <c r="L211" s="1785"/>
      <c r="M211" s="1783"/>
      <c r="N211" s="1785"/>
      <c r="O211" s="1786"/>
      <c r="P211" s="1783"/>
      <c r="Q211" s="1599"/>
      <c r="R211" s="1598"/>
      <c r="S211" s="1599"/>
      <c r="T211" s="1600"/>
      <c r="U211" s="1599"/>
      <c r="V211" s="1600"/>
      <c r="W211" s="1600"/>
      <c r="X211" s="1585"/>
      <c r="CG211" s="1464">
        <v>0</v>
      </c>
      <c r="CH211" s="1464">
        <v>0</v>
      </c>
      <c r="CI211" s="1464">
        <v>0</v>
      </c>
      <c r="CJ211" s="1464">
        <v>0</v>
      </c>
      <c r="CK211" s="1464">
        <v>0</v>
      </c>
      <c r="CL211" s="1464">
        <v>0</v>
      </c>
      <c r="DA211" s="3306">
        <v>0</v>
      </c>
      <c r="DB211" s="3306">
        <v>0</v>
      </c>
      <c r="DC211" s="3306">
        <v>0</v>
      </c>
      <c r="DD211" s="3306">
        <v>0</v>
      </c>
      <c r="DE211" s="3306">
        <v>0</v>
      </c>
      <c r="DF211" s="3306">
        <v>0</v>
      </c>
    </row>
    <row r="212" spans="1:130" ht="28.5" customHeight="1" x14ac:dyDescent="0.25">
      <c r="A212" s="133" t="s">
        <v>2614</v>
      </c>
      <c r="B212" s="133"/>
      <c r="C212" s="133"/>
    </row>
    <row r="213" spans="1:130" ht="14.45" customHeight="1" x14ac:dyDescent="0.25">
      <c r="A213" s="8300" t="s">
        <v>414</v>
      </c>
      <c r="B213" s="8301"/>
      <c r="C213" s="8304" t="s">
        <v>2613</v>
      </c>
      <c r="D213" s="8305"/>
      <c r="E213" s="8176" t="s">
        <v>360</v>
      </c>
      <c r="F213" s="8365" t="s">
        <v>359</v>
      </c>
      <c r="X213" s="1187"/>
      <c r="Y213" s="1187"/>
      <c r="AY213" s="1580"/>
      <c r="AZ213" s="1580"/>
    </row>
    <row r="214" spans="1:130" ht="23.25" customHeight="1" x14ac:dyDescent="0.25">
      <c r="A214" s="8302"/>
      <c r="B214" s="8303"/>
      <c r="C214" s="3086" t="s">
        <v>17</v>
      </c>
      <c r="D214" s="3087" t="s">
        <v>18</v>
      </c>
      <c r="E214" s="8271"/>
      <c r="F214" s="8279"/>
      <c r="X214" s="1187"/>
      <c r="Y214" s="1187"/>
      <c r="AY214" s="1580"/>
      <c r="AZ214" s="1580"/>
    </row>
    <row r="215" spans="1:130" ht="15" customHeight="1" x14ac:dyDescent="0.25">
      <c r="A215" s="8353" t="s">
        <v>1367</v>
      </c>
      <c r="B215" s="8354"/>
      <c r="C215" s="3088"/>
      <c r="D215" s="3089"/>
      <c r="E215" s="3082"/>
      <c r="F215" s="2715"/>
      <c r="G215" s="1118"/>
      <c r="X215" s="1187"/>
      <c r="Y215" s="1187"/>
      <c r="AY215" s="1580"/>
      <c r="AZ215" s="1580"/>
      <c r="DA215" s="3306">
        <v>0</v>
      </c>
      <c r="DB215" s="3306">
        <v>0</v>
      </c>
      <c r="DC215" s="3306">
        <v>0</v>
      </c>
      <c r="DD215" s="3306">
        <v>0</v>
      </c>
    </row>
    <row r="216" spans="1:130" ht="15" customHeight="1" x14ac:dyDescent="0.25">
      <c r="A216" s="8298" t="s">
        <v>1366</v>
      </c>
      <c r="B216" s="8299"/>
      <c r="C216" s="3090"/>
      <c r="D216" s="3091"/>
      <c r="E216" s="3083"/>
      <c r="F216" s="2577"/>
      <c r="G216" s="1118"/>
      <c r="X216" s="1187"/>
      <c r="Y216" s="1187"/>
      <c r="AY216" s="1580"/>
      <c r="AZ216" s="1580"/>
    </row>
    <row r="217" spans="1:130" ht="15" customHeight="1" x14ac:dyDescent="0.25">
      <c r="A217" s="8276" t="s">
        <v>2615</v>
      </c>
      <c r="B217" s="8277"/>
      <c r="C217" s="3092"/>
      <c r="D217" s="3093"/>
      <c r="E217" s="2580"/>
      <c r="F217" s="2580"/>
      <c r="G217" s="1118"/>
      <c r="X217" s="1187"/>
      <c r="Y217" s="1187"/>
      <c r="AY217" s="1580"/>
      <c r="AZ217" s="1580"/>
    </row>
    <row r="218" spans="1:130" ht="15" customHeight="1" x14ac:dyDescent="0.25">
      <c r="A218" s="8278" t="s">
        <v>2622</v>
      </c>
      <c r="B218" s="3427" t="s">
        <v>2616</v>
      </c>
      <c r="C218" s="3094"/>
      <c r="D218" s="3095"/>
      <c r="E218" s="3084"/>
      <c r="F218" s="2717"/>
      <c r="G218" s="1118"/>
      <c r="X218" s="1187"/>
      <c r="Y218" s="1187"/>
      <c r="AY218" s="1580"/>
      <c r="AZ218" s="1580"/>
    </row>
    <row r="219" spans="1:130" ht="15" customHeight="1" x14ac:dyDescent="0.25">
      <c r="A219" s="8278"/>
      <c r="B219" s="3428" t="s">
        <v>2617</v>
      </c>
      <c r="C219" s="3090"/>
      <c r="D219" s="3091"/>
      <c r="E219" s="3083"/>
      <c r="F219" s="2577"/>
      <c r="G219" s="1118"/>
      <c r="X219" s="1187"/>
      <c r="Y219" s="1187"/>
      <c r="AY219" s="1580"/>
      <c r="AZ219" s="1580"/>
    </row>
    <row r="220" spans="1:130" ht="15" customHeight="1" x14ac:dyDescent="0.25">
      <c r="A220" s="8278"/>
      <c r="B220" s="3428" t="s">
        <v>2618</v>
      </c>
      <c r="C220" s="3090"/>
      <c r="D220" s="3091"/>
      <c r="E220" s="3083"/>
      <c r="F220" s="2577"/>
      <c r="G220" s="1118"/>
      <c r="X220" s="1187"/>
      <c r="Y220" s="1187"/>
      <c r="AY220" s="1580"/>
      <c r="AZ220" s="1580"/>
    </row>
    <row r="221" spans="1:130" ht="15" customHeight="1" x14ac:dyDescent="0.25">
      <c r="A221" s="8279"/>
      <c r="B221" s="3429" t="s">
        <v>2619</v>
      </c>
      <c r="C221" s="3092"/>
      <c r="D221" s="3093"/>
      <c r="E221" s="2580"/>
      <c r="F221" s="2580"/>
      <c r="G221" s="1118"/>
      <c r="X221" s="1187"/>
      <c r="Y221" s="1187"/>
      <c r="AY221" s="1580"/>
      <c r="AZ221" s="1580"/>
    </row>
    <row r="222" spans="1:130" ht="15" customHeight="1" x14ac:dyDescent="0.25">
      <c r="A222" s="8365" t="s">
        <v>2623</v>
      </c>
      <c r="B222" s="3430" t="s">
        <v>2624</v>
      </c>
      <c r="C222" s="3088"/>
      <c r="D222" s="3089"/>
      <c r="E222" s="3082"/>
      <c r="F222" s="2715"/>
      <c r="G222" s="1118"/>
      <c r="X222" s="1187"/>
      <c r="Y222" s="1187"/>
      <c r="AY222" s="1580"/>
      <c r="AZ222" s="1580"/>
    </row>
    <row r="223" spans="1:130" ht="15" customHeight="1" x14ac:dyDescent="0.25">
      <c r="A223" s="8278"/>
      <c r="B223" s="3428" t="s">
        <v>2620</v>
      </c>
      <c r="C223" s="3090"/>
      <c r="D223" s="3091"/>
      <c r="E223" s="3083"/>
      <c r="F223" s="2577"/>
      <c r="G223" s="1118"/>
      <c r="X223" s="1187"/>
      <c r="Y223" s="1187"/>
      <c r="AY223" s="1580"/>
      <c r="AZ223" s="1580"/>
    </row>
    <row r="224" spans="1:130" ht="15" customHeight="1" x14ac:dyDescent="0.25">
      <c r="A224" s="8279"/>
      <c r="B224" s="3431" t="s">
        <v>2621</v>
      </c>
      <c r="C224" s="3096"/>
      <c r="D224" s="3097"/>
      <c r="E224" s="3085"/>
      <c r="F224" s="2578"/>
      <c r="G224" s="1118"/>
      <c r="X224" s="1187"/>
      <c r="Y224" s="1187"/>
      <c r="AY224" s="1580"/>
      <c r="AZ224" s="1580"/>
    </row>
    <row r="225" spans="1:52" ht="31.5" customHeight="1" x14ac:dyDescent="0.25">
      <c r="A225" s="133" t="s">
        <v>2208</v>
      </c>
      <c r="B225" s="133"/>
      <c r="C225" s="133"/>
      <c r="E225" s="1188"/>
      <c r="F225" s="1188"/>
    </row>
    <row r="226" spans="1:52" ht="23.25" customHeight="1" x14ac:dyDescent="0.25">
      <c r="A226" s="8357" t="s">
        <v>2209</v>
      </c>
      <c r="B226" s="8358"/>
      <c r="C226" s="8360" t="s">
        <v>2203</v>
      </c>
      <c r="D226" s="8361"/>
      <c r="E226" s="8362"/>
      <c r="F226" s="1188"/>
    </row>
    <row r="227" spans="1:52" x14ac:dyDescent="0.25">
      <c r="A227" s="8359"/>
      <c r="B227" s="8278"/>
      <c r="C227" s="8363" t="s">
        <v>2204</v>
      </c>
      <c r="D227" s="8360" t="s">
        <v>2205</v>
      </c>
      <c r="E227" s="8362"/>
      <c r="F227" s="1188"/>
    </row>
    <row r="228" spans="1:52" ht="21" x14ac:dyDescent="0.25">
      <c r="A228" s="8350"/>
      <c r="B228" s="8351"/>
      <c r="C228" s="8364"/>
      <c r="D228" s="2219" t="s">
        <v>2206</v>
      </c>
      <c r="E228" s="1721" t="s">
        <v>2207</v>
      </c>
      <c r="F228" s="1188"/>
    </row>
    <row r="229" spans="1:52" x14ac:dyDescent="0.25">
      <c r="A229" s="8366" t="s">
        <v>2210</v>
      </c>
      <c r="B229" s="8367"/>
      <c r="C229" s="2220"/>
      <c r="D229" s="2221"/>
      <c r="E229" s="1722"/>
      <c r="F229" s="3304"/>
    </row>
    <row r="230" spans="1:52" x14ac:dyDescent="0.25">
      <c r="A230" s="8346" t="s">
        <v>2211</v>
      </c>
      <c r="B230" s="8347"/>
      <c r="C230" s="2222"/>
      <c r="D230" s="2223"/>
      <c r="E230" s="2224"/>
      <c r="F230" s="3304"/>
    </row>
    <row r="231" spans="1:52" x14ac:dyDescent="0.25">
      <c r="A231" s="8346" t="s">
        <v>2212</v>
      </c>
      <c r="B231" s="8347"/>
      <c r="C231" s="2223"/>
      <c r="D231" s="2223"/>
      <c r="E231" s="2224"/>
      <c r="F231" s="3304"/>
    </row>
    <row r="232" spans="1:52" x14ac:dyDescent="0.25">
      <c r="A232" s="8346" t="s">
        <v>2213</v>
      </c>
      <c r="B232" s="8347"/>
      <c r="C232" s="2223"/>
      <c r="D232" s="2223"/>
      <c r="E232" s="2224"/>
      <c r="F232" s="3304"/>
    </row>
    <row r="233" spans="1:52" x14ac:dyDescent="0.25">
      <c r="A233" s="8348" t="s">
        <v>2214</v>
      </c>
      <c r="B233" s="8349"/>
      <c r="C233" s="2225"/>
      <c r="D233" s="2226"/>
      <c r="E233" s="2227"/>
      <c r="F233" s="3304"/>
    </row>
    <row r="234" spans="1:52" ht="24.6" customHeight="1" x14ac:dyDescent="0.25">
      <c r="A234" s="8222" t="s">
        <v>3434</v>
      </c>
      <c r="B234" s="8222"/>
      <c r="C234" s="8222"/>
      <c r="D234" s="8222"/>
      <c r="E234" s="8222"/>
      <c r="F234" s="8222"/>
      <c r="G234" s="8222"/>
      <c r="H234" s="8222"/>
      <c r="I234" s="8222"/>
      <c r="J234" s="8222"/>
      <c r="K234" s="8222"/>
      <c r="L234" s="8222"/>
      <c r="M234" s="8222"/>
      <c r="N234" s="4041"/>
      <c r="O234" s="4041"/>
      <c r="P234" s="4041"/>
      <c r="Q234" s="4041"/>
      <c r="R234" s="4041"/>
      <c r="S234" s="4041"/>
      <c r="T234" s="4041"/>
      <c r="U234" s="4041"/>
      <c r="V234" s="4041"/>
      <c r="W234" s="4041"/>
      <c r="X234" s="4041"/>
      <c r="Y234" s="4041"/>
      <c r="Z234" s="3217"/>
    </row>
    <row r="235" spans="1:52" ht="24.6" customHeight="1" x14ac:dyDescent="0.25">
      <c r="A235" s="8229" t="s">
        <v>30</v>
      </c>
      <c r="B235" s="8230"/>
      <c r="C235" s="8238" t="s">
        <v>1259</v>
      </c>
      <c r="D235" s="8239"/>
      <c r="E235" s="8240"/>
      <c r="F235" s="8244" t="s">
        <v>2</v>
      </c>
      <c r="G235" s="8245"/>
      <c r="H235" s="8245"/>
      <c r="I235" s="8245"/>
      <c r="J235" s="8245"/>
      <c r="K235" s="8245"/>
      <c r="L235" s="8245"/>
      <c r="M235" s="8245"/>
      <c r="N235" s="8245"/>
      <c r="O235" s="8245"/>
      <c r="P235" s="8245"/>
      <c r="Q235" s="8245"/>
      <c r="R235" s="8245"/>
      <c r="S235" s="8245"/>
      <c r="T235" s="8245"/>
      <c r="U235" s="8245"/>
      <c r="V235" s="8245"/>
      <c r="W235" s="8245"/>
      <c r="X235" s="8245"/>
      <c r="Y235" s="8246"/>
      <c r="AZ235" s="1580"/>
    </row>
    <row r="236" spans="1:52" ht="24.6" customHeight="1" x14ac:dyDescent="0.25">
      <c r="A236" s="8231"/>
      <c r="B236" s="8232"/>
      <c r="C236" s="8241"/>
      <c r="D236" s="8242"/>
      <c r="E236" s="8243"/>
      <c r="F236" s="8247" t="s">
        <v>3341</v>
      </c>
      <c r="G236" s="8245"/>
      <c r="H236" s="8247" t="s">
        <v>2266</v>
      </c>
      <c r="I236" s="8246"/>
      <c r="J236" s="8247" t="s">
        <v>48</v>
      </c>
      <c r="K236" s="8246"/>
      <c r="L236" s="8247" t="s">
        <v>49</v>
      </c>
      <c r="M236" s="8246"/>
      <c r="N236" s="8247" t="s">
        <v>50</v>
      </c>
      <c r="O236" s="8246"/>
      <c r="P236" s="8247" t="s">
        <v>51</v>
      </c>
      <c r="Q236" s="8246"/>
      <c r="R236" s="8247" t="s">
        <v>52</v>
      </c>
      <c r="S236" s="8246"/>
      <c r="T236" s="8247" t="s">
        <v>2193</v>
      </c>
      <c r="U236" s="8246"/>
      <c r="V236" s="8247" t="s">
        <v>2194</v>
      </c>
      <c r="W236" s="8246"/>
      <c r="X236" s="8247" t="s">
        <v>1403</v>
      </c>
      <c r="Y236" s="8246"/>
      <c r="AZ236" s="1580"/>
    </row>
    <row r="237" spans="1:52" ht="24.6" customHeight="1" x14ac:dyDescent="0.25">
      <c r="A237" s="8233"/>
      <c r="B237" s="8234"/>
      <c r="C237" s="3691" t="s">
        <v>42</v>
      </c>
      <c r="D237" s="3692" t="s">
        <v>17</v>
      </c>
      <c r="E237" s="4042" t="s">
        <v>18</v>
      </c>
      <c r="F237" s="3691" t="s">
        <v>17</v>
      </c>
      <c r="G237" s="4043" t="s">
        <v>18</v>
      </c>
      <c r="H237" s="3691" t="s">
        <v>17</v>
      </c>
      <c r="I237" s="4044" t="s">
        <v>18</v>
      </c>
      <c r="J237" s="3691" t="s">
        <v>17</v>
      </c>
      <c r="K237" s="4045" t="s">
        <v>18</v>
      </c>
      <c r="L237" s="3691" t="s">
        <v>17</v>
      </c>
      <c r="M237" s="4045" t="s">
        <v>18</v>
      </c>
      <c r="N237" s="3691" t="s">
        <v>17</v>
      </c>
      <c r="O237" s="4045" t="s">
        <v>18</v>
      </c>
      <c r="P237" s="3691" t="s">
        <v>17</v>
      </c>
      <c r="Q237" s="4045" t="s">
        <v>18</v>
      </c>
      <c r="R237" s="3691" t="s">
        <v>17</v>
      </c>
      <c r="S237" s="4045" t="s">
        <v>18</v>
      </c>
      <c r="T237" s="3691" t="s">
        <v>17</v>
      </c>
      <c r="U237" s="4045" t="s">
        <v>18</v>
      </c>
      <c r="V237" s="3691" t="s">
        <v>17</v>
      </c>
      <c r="W237" s="4045" t="s">
        <v>18</v>
      </c>
      <c r="X237" s="3691" t="s">
        <v>17</v>
      </c>
      <c r="Y237" s="4045" t="s">
        <v>18</v>
      </c>
      <c r="AZ237" s="1580"/>
    </row>
    <row r="238" spans="1:52" ht="15.6" customHeight="1" x14ac:dyDescent="0.25">
      <c r="A238" s="8223" t="s">
        <v>3344</v>
      </c>
      <c r="B238" s="8224"/>
      <c r="C238" s="4046">
        <f>SUM(D238+E238)</f>
        <v>0</v>
      </c>
      <c r="D238" s="4047">
        <f>+H238</f>
        <v>0</v>
      </c>
      <c r="E238" s="4048">
        <f>+I238</f>
        <v>0</v>
      </c>
      <c r="F238" s="4049"/>
      <c r="G238" s="4050"/>
      <c r="H238" s="7455"/>
      <c r="I238" s="7395"/>
      <c r="J238" s="4049"/>
      <c r="K238" s="4050"/>
      <c r="L238" s="4049"/>
      <c r="M238" s="4050"/>
      <c r="N238" s="4049"/>
      <c r="O238" s="4050"/>
      <c r="P238" s="4049"/>
      <c r="Q238" s="4050"/>
      <c r="R238" s="4049"/>
      <c r="S238" s="4050"/>
      <c r="T238" s="4049"/>
      <c r="U238" s="4050"/>
      <c r="V238" s="4049"/>
      <c r="W238" s="4050"/>
      <c r="X238" s="4049"/>
      <c r="Y238" s="4050"/>
      <c r="AZ238" s="1580"/>
    </row>
    <row r="239" spans="1:52" ht="15.6" customHeight="1" x14ac:dyDescent="0.25">
      <c r="A239" s="8225" t="s">
        <v>3345</v>
      </c>
      <c r="B239" s="8226"/>
      <c r="C239" s="4051">
        <f t="shared" ref="C239:C244" si="33">SUM(D239+E239)</f>
        <v>0</v>
      </c>
      <c r="D239" s="4047">
        <f>+J239</f>
        <v>0</v>
      </c>
      <c r="E239" s="4048">
        <f>+K239</f>
        <v>0</v>
      </c>
      <c r="F239" s="3701"/>
      <c r="G239" s="4052"/>
      <c r="H239" s="3701"/>
      <c r="I239" s="4052"/>
      <c r="J239" s="7455"/>
      <c r="K239" s="7389"/>
      <c r="L239" s="3701"/>
      <c r="M239" s="4052"/>
      <c r="N239" s="3701"/>
      <c r="O239" s="4052"/>
      <c r="P239" s="3701"/>
      <c r="Q239" s="4052"/>
      <c r="R239" s="3701"/>
      <c r="S239" s="4052"/>
      <c r="T239" s="3701"/>
      <c r="U239" s="4052"/>
      <c r="V239" s="3701"/>
      <c r="W239" s="4052"/>
      <c r="X239" s="3701"/>
      <c r="Y239" s="4052"/>
      <c r="AZ239" s="1580"/>
    </row>
    <row r="240" spans="1:52" ht="15.6" customHeight="1" x14ac:dyDescent="0.25">
      <c r="A240" s="8225" t="s">
        <v>3346</v>
      </c>
      <c r="B240" s="8226"/>
      <c r="C240" s="4051">
        <f t="shared" si="33"/>
        <v>0</v>
      </c>
      <c r="D240" s="4047">
        <f>+L240</f>
        <v>0</v>
      </c>
      <c r="E240" s="4048">
        <f>+M240</f>
        <v>0</v>
      </c>
      <c r="F240" s="3701"/>
      <c r="G240" s="4052"/>
      <c r="H240" s="3701"/>
      <c r="I240" s="4052"/>
      <c r="J240" s="3701"/>
      <c r="K240" s="4052"/>
      <c r="L240" s="7455"/>
      <c r="M240" s="7389"/>
      <c r="N240" s="3701"/>
      <c r="O240" s="4052"/>
      <c r="P240" s="3701"/>
      <c r="Q240" s="4052"/>
      <c r="R240" s="3701"/>
      <c r="S240" s="4052"/>
      <c r="T240" s="3701"/>
      <c r="U240" s="4052"/>
      <c r="V240" s="3701"/>
      <c r="W240" s="4052"/>
      <c r="X240" s="3701"/>
      <c r="Y240" s="4052"/>
      <c r="AZ240" s="1580"/>
    </row>
    <row r="241" spans="1:52" ht="15.6" customHeight="1" x14ac:dyDescent="0.25">
      <c r="A241" s="8225" t="s">
        <v>3347</v>
      </c>
      <c r="B241" s="8226"/>
      <c r="C241" s="4051">
        <f t="shared" si="33"/>
        <v>0</v>
      </c>
      <c r="D241" s="4047">
        <f>+N241+P241+R241</f>
        <v>0</v>
      </c>
      <c r="E241" s="4048">
        <f>+O241+Q241+S241</f>
        <v>0</v>
      </c>
      <c r="F241" s="3701"/>
      <c r="G241" s="4052"/>
      <c r="H241" s="3701"/>
      <c r="I241" s="4052"/>
      <c r="J241" s="3701"/>
      <c r="K241" s="4052"/>
      <c r="L241" s="3701"/>
      <c r="M241" s="4052"/>
      <c r="N241" s="7455"/>
      <c r="O241" s="7389"/>
      <c r="P241" s="7455"/>
      <c r="Q241" s="7389"/>
      <c r="R241" s="7455"/>
      <c r="S241" s="7389"/>
      <c r="T241" s="3701"/>
      <c r="U241" s="4052"/>
      <c r="V241" s="3701"/>
      <c r="W241" s="4052"/>
      <c r="X241" s="3701"/>
      <c r="Y241" s="4052"/>
      <c r="AZ241" s="1580"/>
    </row>
    <row r="242" spans="1:52" ht="15.6" customHeight="1" x14ac:dyDescent="0.25">
      <c r="A242" s="8225" t="s">
        <v>3348</v>
      </c>
      <c r="B242" s="8226"/>
      <c r="C242" s="4051">
        <f t="shared" si="33"/>
        <v>0</v>
      </c>
      <c r="D242" s="4047">
        <f>+J242+L242+N242</f>
        <v>0</v>
      </c>
      <c r="E242" s="4048">
        <f>+K242+M242+O242</f>
        <v>0</v>
      </c>
      <c r="F242" s="3701"/>
      <c r="G242" s="4052"/>
      <c r="H242" s="3701"/>
      <c r="I242" s="4052"/>
      <c r="J242" s="7455"/>
      <c r="K242" s="7389"/>
      <c r="L242" s="7455"/>
      <c r="M242" s="7389"/>
      <c r="N242" s="7455"/>
      <c r="O242" s="7389"/>
      <c r="P242" s="3701"/>
      <c r="Q242" s="4052"/>
      <c r="R242" s="3701"/>
      <c r="S242" s="4052"/>
      <c r="T242" s="3701"/>
      <c r="U242" s="4052"/>
      <c r="V242" s="3701"/>
      <c r="W242" s="4052"/>
      <c r="X242" s="3701"/>
      <c r="Y242" s="4052"/>
      <c r="AZ242" s="1580"/>
    </row>
    <row r="243" spans="1:52" ht="15.6" customHeight="1" x14ac:dyDescent="0.25">
      <c r="A243" s="8225" t="s">
        <v>3354</v>
      </c>
      <c r="B243" s="8226"/>
      <c r="C243" s="4051">
        <f t="shared" si="33"/>
        <v>0</v>
      </c>
      <c r="D243" s="4047">
        <f>+J243+L243+N243</f>
        <v>0</v>
      </c>
      <c r="E243" s="4048">
        <f>+K243+M243+O243</f>
        <v>0</v>
      </c>
      <c r="F243" s="3701"/>
      <c r="G243" s="4052"/>
      <c r="H243" s="3701"/>
      <c r="I243" s="4052"/>
      <c r="J243" s="7455"/>
      <c r="K243" s="7388"/>
      <c r="L243" s="7455"/>
      <c r="M243" s="7389"/>
      <c r="N243" s="7455"/>
      <c r="O243" s="7389"/>
      <c r="P243" s="3701"/>
      <c r="Q243" s="4052"/>
      <c r="R243" s="3701"/>
      <c r="S243" s="4052"/>
      <c r="T243" s="3701"/>
      <c r="U243" s="4052"/>
      <c r="V243" s="3701"/>
      <c r="W243" s="4052"/>
      <c r="X243" s="3701"/>
      <c r="Y243" s="4052"/>
      <c r="AZ243" s="1580"/>
    </row>
    <row r="244" spans="1:52" ht="15.6" customHeight="1" x14ac:dyDescent="0.25">
      <c r="A244" s="8227" t="s">
        <v>3349</v>
      </c>
      <c r="B244" s="8228"/>
      <c r="C244" s="4053">
        <f t="shared" si="33"/>
        <v>0</v>
      </c>
      <c r="D244" s="4054">
        <f>+T244+V244+X244</f>
        <v>0</v>
      </c>
      <c r="E244" s="4055">
        <f>+U244+W244+Y244</f>
        <v>0</v>
      </c>
      <c r="F244" s="3707"/>
      <c r="G244" s="4056"/>
      <c r="H244" s="3707"/>
      <c r="I244" s="4056"/>
      <c r="J244" s="3707"/>
      <c r="K244" s="4057"/>
      <c r="L244" s="3707"/>
      <c r="M244" s="4056"/>
      <c r="N244" s="3707"/>
      <c r="O244" s="4056"/>
      <c r="P244" s="3707"/>
      <c r="Q244" s="4056"/>
      <c r="R244" s="3707"/>
      <c r="S244" s="4056"/>
      <c r="T244" s="7456"/>
      <c r="U244" s="7393"/>
      <c r="V244" s="7456"/>
      <c r="W244" s="7393"/>
      <c r="X244" s="7456"/>
      <c r="Y244" s="7393"/>
      <c r="AZ244" s="1580"/>
    </row>
    <row r="245" spans="1:52" ht="15.6" customHeight="1" x14ac:dyDescent="0.25">
      <c r="A245" s="8248" t="s">
        <v>1438</v>
      </c>
      <c r="B245" s="4058" t="s">
        <v>1379</v>
      </c>
      <c r="C245" s="4915">
        <f>SUM(D245+E245)</f>
        <v>0</v>
      </c>
      <c r="D245" s="4916">
        <f t="shared" ref="D245:E247" si="34">H245+J245+L245+N245+P245+R245</f>
        <v>0</v>
      </c>
      <c r="E245" s="4917">
        <f t="shared" si="34"/>
        <v>0</v>
      </c>
      <c r="F245" s="3701"/>
      <c r="G245" s="4052"/>
      <c r="H245" s="7381"/>
      <c r="I245" s="7395"/>
      <c r="J245" s="7381"/>
      <c r="K245" s="7395"/>
      <c r="L245" s="7381"/>
      <c r="M245" s="7395"/>
      <c r="N245" s="7381"/>
      <c r="O245" s="7395"/>
      <c r="P245" s="7381"/>
      <c r="Q245" s="7395"/>
      <c r="R245" s="7381"/>
      <c r="S245" s="7395"/>
      <c r="T245" s="4059"/>
      <c r="U245" s="4060"/>
      <c r="V245" s="4059"/>
      <c r="W245" s="4060"/>
      <c r="X245" s="4059"/>
      <c r="Y245" s="4060"/>
      <c r="AZ245" s="1580"/>
    </row>
    <row r="246" spans="1:52" ht="15.6" customHeight="1" x14ac:dyDescent="0.25">
      <c r="A246" s="8249"/>
      <c r="B246" s="4061" t="s">
        <v>3355</v>
      </c>
      <c r="C246" s="4914">
        <f>SUM(D246+E246)</f>
        <v>0</v>
      </c>
      <c r="D246" s="4918">
        <f t="shared" si="34"/>
        <v>0</v>
      </c>
      <c r="E246" s="4919">
        <f t="shared" si="34"/>
        <v>0</v>
      </c>
      <c r="F246" s="3701"/>
      <c r="G246" s="4052"/>
      <c r="H246" s="7455"/>
      <c r="I246" s="7389"/>
      <c r="J246" s="7455"/>
      <c r="K246" s="7389"/>
      <c r="L246" s="7455"/>
      <c r="M246" s="7389"/>
      <c r="N246" s="7455"/>
      <c r="O246" s="7389"/>
      <c r="P246" s="7455"/>
      <c r="Q246" s="7389"/>
      <c r="R246" s="7455"/>
      <c r="S246" s="7389"/>
      <c r="T246" s="3701"/>
      <c r="U246" s="4052"/>
      <c r="V246" s="3701"/>
      <c r="W246" s="4052"/>
      <c r="X246" s="3701"/>
      <c r="Y246" s="4052"/>
      <c r="AZ246" s="1580"/>
    </row>
    <row r="247" spans="1:52" ht="15.6" customHeight="1" x14ac:dyDescent="0.25">
      <c r="A247" s="8250"/>
      <c r="B247" s="4062" t="s">
        <v>1378</v>
      </c>
      <c r="C247" s="4053">
        <f>SUM(D247+E247)</f>
        <v>0</v>
      </c>
      <c r="D247" s="4920">
        <f t="shared" si="34"/>
        <v>0</v>
      </c>
      <c r="E247" s="4921">
        <f t="shared" si="34"/>
        <v>0</v>
      </c>
      <c r="F247" s="3707"/>
      <c r="G247" s="4056"/>
      <c r="H247" s="7456"/>
      <c r="I247" s="7393"/>
      <c r="J247" s="7456"/>
      <c r="K247" s="7393"/>
      <c r="L247" s="7456"/>
      <c r="M247" s="7393"/>
      <c r="N247" s="7456"/>
      <c r="O247" s="7393"/>
      <c r="P247" s="7456"/>
      <c r="Q247" s="7393"/>
      <c r="R247" s="7456"/>
      <c r="S247" s="7393"/>
      <c r="T247" s="3707"/>
      <c r="U247" s="4056"/>
      <c r="V247" s="3707"/>
      <c r="W247" s="4056"/>
      <c r="X247" s="3707"/>
      <c r="Y247" s="4056"/>
      <c r="AZ247" s="1580"/>
    </row>
    <row r="248" spans="1:52" ht="26.45" customHeight="1" x14ac:dyDescent="0.25">
      <c r="A248" s="1366" t="s">
        <v>3435</v>
      </c>
      <c r="B248" s="1188"/>
      <c r="C248" s="1188"/>
      <c r="D248" s="1188"/>
      <c r="E248" s="1188"/>
      <c r="F248" s="1188"/>
      <c r="G248" s="1188"/>
      <c r="H248" s="1188"/>
      <c r="I248" s="1188"/>
      <c r="J248" s="2436"/>
      <c r="K248" s="3218"/>
      <c r="L248" s="3218"/>
      <c r="M248" s="3218"/>
      <c r="N248" s="3218"/>
      <c r="O248" s="3218"/>
    </row>
    <row r="249" spans="1:52" x14ac:dyDescent="0.25">
      <c r="A249" s="8251" t="s">
        <v>1415</v>
      </c>
      <c r="B249" s="8251"/>
      <c r="C249" s="8252" t="s">
        <v>24</v>
      </c>
      <c r="D249" s="8129"/>
      <c r="E249" s="8176"/>
      <c r="F249" s="8254" t="s">
        <v>2</v>
      </c>
      <c r="G249" s="8254"/>
      <c r="H249" s="8254"/>
      <c r="I249" s="8254"/>
      <c r="J249" s="8254"/>
      <c r="K249" s="8254"/>
      <c r="L249" s="8254"/>
      <c r="M249" s="8254"/>
      <c r="N249" s="8254"/>
      <c r="O249" s="8254"/>
    </row>
    <row r="250" spans="1:52" x14ac:dyDescent="0.25">
      <c r="A250" s="8251"/>
      <c r="B250" s="8251"/>
      <c r="C250" s="8253"/>
      <c r="D250" s="8131"/>
      <c r="E250" s="8177"/>
      <c r="F250" s="8255" t="s">
        <v>1414</v>
      </c>
      <c r="G250" s="8256"/>
      <c r="H250" s="8255" t="s">
        <v>1413</v>
      </c>
      <c r="I250" s="8256"/>
      <c r="J250" s="8255" t="s">
        <v>32</v>
      </c>
      <c r="K250" s="8256"/>
      <c r="L250" s="8257" t="s">
        <v>33</v>
      </c>
      <c r="M250" s="8258"/>
      <c r="N250" s="8258" t="s">
        <v>40</v>
      </c>
      <c r="O250" s="8259"/>
    </row>
    <row r="251" spans="1:52" ht="21" x14ac:dyDescent="0.25">
      <c r="A251" s="8251"/>
      <c r="B251" s="8251"/>
      <c r="C251" s="3433" t="s">
        <v>42</v>
      </c>
      <c r="D251" s="3434" t="s">
        <v>17</v>
      </c>
      <c r="E251" s="2154" t="s">
        <v>18</v>
      </c>
      <c r="F251" s="3446" t="s">
        <v>17</v>
      </c>
      <c r="G251" s="2154" t="s">
        <v>18</v>
      </c>
      <c r="H251" s="3446" t="s">
        <v>17</v>
      </c>
      <c r="I251" s="2154" t="s">
        <v>18</v>
      </c>
      <c r="J251" s="3446" t="s">
        <v>17</v>
      </c>
      <c r="K251" s="2154" t="s">
        <v>18</v>
      </c>
      <c r="L251" s="3221" t="s">
        <v>17</v>
      </c>
      <c r="M251" s="3359" t="s">
        <v>18</v>
      </c>
      <c r="N251" s="3206" t="s">
        <v>17</v>
      </c>
      <c r="O251" s="3447" t="s">
        <v>18</v>
      </c>
    </row>
    <row r="252" spans="1:52" x14ac:dyDescent="0.25">
      <c r="A252" s="8235" t="s">
        <v>1465</v>
      </c>
      <c r="B252" s="3435" t="s">
        <v>1409</v>
      </c>
      <c r="C252" s="3436">
        <f t="shared" ref="C252:C257" si="35">SUM(D252:E252)</f>
        <v>0</v>
      </c>
      <c r="D252" s="3437">
        <f t="shared" ref="D252:E257" si="36">+F252+H252+J252+L252+N252</f>
        <v>0</v>
      </c>
      <c r="E252" s="3324">
        <f t="shared" si="36"/>
        <v>0</v>
      </c>
      <c r="F252" s="3220"/>
      <c r="G252" s="7457"/>
      <c r="H252" s="3223"/>
      <c r="I252" s="7457"/>
      <c r="J252" s="3223"/>
      <c r="K252" s="7457"/>
      <c r="L252" s="3223"/>
      <c r="M252" s="3208"/>
      <c r="N252" s="3208"/>
      <c r="O252" s="7457"/>
    </row>
    <row r="253" spans="1:52" x14ac:dyDescent="0.25">
      <c r="A253" s="8236"/>
      <c r="B253" s="3348" t="s">
        <v>1408</v>
      </c>
      <c r="C253" s="3438">
        <f t="shared" si="35"/>
        <v>0</v>
      </c>
      <c r="D253" s="3439">
        <f t="shared" si="36"/>
        <v>0</v>
      </c>
      <c r="E253" s="3026">
        <f t="shared" si="36"/>
        <v>0</v>
      </c>
      <c r="F253" s="3136"/>
      <c r="G253" s="2887"/>
      <c r="H253" s="3028"/>
      <c r="I253" s="2887"/>
      <c r="J253" s="3028"/>
      <c r="K253" s="2887"/>
      <c r="L253" s="3028"/>
      <c r="M253" s="3068"/>
      <c r="N253" s="3068"/>
      <c r="O253" s="2887"/>
    </row>
    <row r="254" spans="1:52" x14ac:dyDescent="0.25">
      <c r="A254" s="8237"/>
      <c r="B254" s="3440" t="s">
        <v>1407</v>
      </c>
      <c r="C254" s="3441">
        <f t="shared" si="35"/>
        <v>0</v>
      </c>
      <c r="D254" s="3442">
        <f t="shared" si="36"/>
        <v>0</v>
      </c>
      <c r="E254" s="3443">
        <f t="shared" si="36"/>
        <v>0</v>
      </c>
      <c r="F254" s="3126"/>
      <c r="G254" s="3127"/>
      <c r="H254" s="3063"/>
      <c r="I254" s="3127"/>
      <c r="J254" s="3063"/>
      <c r="K254" s="3127"/>
      <c r="L254" s="3063"/>
      <c r="M254" s="3064"/>
      <c r="N254" s="3064"/>
      <c r="O254" s="3127"/>
    </row>
    <row r="255" spans="1:52" x14ac:dyDescent="0.25">
      <c r="A255" s="8235" t="s">
        <v>3353</v>
      </c>
      <c r="B255" s="3444" t="s">
        <v>1409</v>
      </c>
      <c r="C255" s="3436">
        <f t="shared" si="35"/>
        <v>0</v>
      </c>
      <c r="D255" s="3437">
        <f t="shared" si="36"/>
        <v>0</v>
      </c>
      <c r="E255" s="3324">
        <f t="shared" si="36"/>
        <v>0</v>
      </c>
      <c r="F255" s="3220"/>
      <c r="G255" s="7457"/>
      <c r="H255" s="3223"/>
      <c r="I255" s="7457"/>
      <c r="J255" s="3223"/>
      <c r="K255" s="7457"/>
      <c r="L255" s="3223"/>
      <c r="M255" s="3208"/>
      <c r="N255" s="3208"/>
      <c r="O255" s="7457"/>
    </row>
    <row r="256" spans="1:52" x14ac:dyDescent="0.25">
      <c r="A256" s="8236"/>
      <c r="B256" s="3348" t="s">
        <v>1408</v>
      </c>
      <c r="C256" s="3438">
        <f t="shared" si="35"/>
        <v>0</v>
      </c>
      <c r="D256" s="3439">
        <f t="shared" si="36"/>
        <v>0</v>
      </c>
      <c r="E256" s="3026">
        <f t="shared" si="36"/>
        <v>0</v>
      </c>
      <c r="F256" s="3136"/>
      <c r="G256" s="2887"/>
      <c r="H256" s="3028"/>
      <c r="I256" s="2887"/>
      <c r="J256" s="3028"/>
      <c r="K256" s="2887"/>
      <c r="L256" s="3028"/>
      <c r="M256" s="3068"/>
      <c r="N256" s="3068"/>
      <c r="O256" s="2887"/>
    </row>
    <row r="257" spans="1:130" x14ac:dyDescent="0.25">
      <c r="A257" s="8237"/>
      <c r="B257" s="3445" t="s">
        <v>1407</v>
      </c>
      <c r="C257" s="3441">
        <f t="shared" si="35"/>
        <v>0</v>
      </c>
      <c r="D257" s="3442">
        <f t="shared" si="36"/>
        <v>0</v>
      </c>
      <c r="E257" s="3443">
        <f t="shared" si="36"/>
        <v>0</v>
      </c>
      <c r="F257" s="3126"/>
      <c r="G257" s="3127"/>
      <c r="H257" s="3063"/>
      <c r="I257" s="3127"/>
      <c r="J257" s="3063"/>
      <c r="K257" s="3127"/>
      <c r="L257" s="3063"/>
      <c r="M257" s="3064"/>
      <c r="N257" s="3064"/>
      <c r="O257" s="3127"/>
    </row>
    <row r="258" spans="1:130" ht="22.9" customHeight="1" x14ac:dyDescent="0.25">
      <c r="A258" s="3448" t="s">
        <v>4007</v>
      </c>
      <c r="B258" s="1152"/>
      <c r="C258" s="1152"/>
      <c r="D258" s="1152"/>
      <c r="E258" s="1152"/>
      <c r="F258" s="3180"/>
      <c r="G258" s="3180"/>
      <c r="H258" s="3180"/>
      <c r="I258" s="3180"/>
      <c r="J258" s="3180"/>
      <c r="K258" s="3180"/>
      <c r="L258" s="3180"/>
      <c r="M258" s="3180"/>
      <c r="N258" s="3180"/>
      <c r="O258" s="3180"/>
      <c r="P258" s="3180"/>
      <c r="Q258" s="3180"/>
      <c r="R258" s="3180"/>
      <c r="S258" s="3180"/>
      <c r="T258" s="3180"/>
      <c r="U258" s="3180"/>
      <c r="V258" s="3180"/>
      <c r="W258" s="3180"/>
      <c r="X258" s="3180"/>
      <c r="Y258" s="3180"/>
      <c r="Z258" s="3180"/>
      <c r="AA258" s="3180"/>
      <c r="AB258" s="3180"/>
      <c r="AC258" s="3180"/>
      <c r="AD258" s="3180"/>
      <c r="AE258" s="3180"/>
      <c r="AF258" s="3180"/>
      <c r="AG258" s="3180"/>
      <c r="AH258" s="3180"/>
      <c r="AI258" s="3180"/>
      <c r="AJ258" s="3180"/>
      <c r="AK258" s="3180"/>
      <c r="AL258" s="3180"/>
      <c r="AM258" s="3180"/>
      <c r="AN258" s="3180"/>
      <c r="AO258" s="3180"/>
      <c r="AP258" s="3180"/>
      <c r="AQ258" s="3180"/>
      <c r="AR258" s="3180"/>
      <c r="AS258" s="3180"/>
      <c r="AT258" s="3180"/>
      <c r="AU258" s="3180"/>
      <c r="AV258" s="3180"/>
      <c r="AW258" s="3180"/>
      <c r="AX258" s="3180"/>
    </row>
    <row r="259" spans="1:130" x14ac:dyDescent="0.25">
      <c r="A259" s="8268" t="s">
        <v>41</v>
      </c>
      <c r="B259" s="8268" t="s">
        <v>0</v>
      </c>
      <c r="C259" s="8252" t="s">
        <v>86</v>
      </c>
      <c r="D259" s="8129"/>
      <c r="E259" s="8176"/>
      <c r="F259" s="8266" t="s">
        <v>707</v>
      </c>
      <c r="G259" s="8272"/>
      <c r="H259" s="8272"/>
      <c r="I259" s="8272"/>
      <c r="J259" s="8272"/>
      <c r="K259" s="8272"/>
      <c r="L259" s="8272"/>
      <c r="M259" s="8272"/>
      <c r="N259" s="8272"/>
      <c r="O259" s="8272"/>
      <c r="P259" s="8272"/>
      <c r="Q259" s="8272"/>
      <c r="R259" s="8272"/>
      <c r="S259" s="8272"/>
      <c r="T259" s="8272"/>
      <c r="U259" s="8272"/>
      <c r="V259" s="8272"/>
      <c r="W259" s="8272"/>
      <c r="X259" s="8272"/>
      <c r="Y259" s="8272"/>
      <c r="Z259" s="8272"/>
      <c r="AA259" s="8272"/>
      <c r="AB259" s="8272"/>
      <c r="AC259" s="8272"/>
      <c r="AD259" s="8272"/>
      <c r="AE259" s="8272"/>
      <c r="AF259" s="8272"/>
      <c r="AG259" s="8272"/>
      <c r="AH259" s="8272"/>
      <c r="AI259" s="8272"/>
      <c r="AJ259" s="8272"/>
      <c r="AK259" s="8272"/>
      <c r="AL259" s="8272"/>
      <c r="AM259" s="8267"/>
      <c r="AN259" s="8264" t="s">
        <v>3134</v>
      </c>
      <c r="AO259" s="8272"/>
      <c r="AP259" s="8272"/>
      <c r="AQ259" s="8272"/>
      <c r="AR259" s="8272"/>
      <c r="AS259" s="8272"/>
      <c r="AT259" s="8272"/>
      <c r="AU259" s="8267"/>
      <c r="AV259" s="8176" t="s">
        <v>2804</v>
      </c>
      <c r="AW259" s="8273" t="s">
        <v>360</v>
      </c>
      <c r="AZ259" s="1580"/>
      <c r="BT259" s="1464"/>
      <c r="BU259" s="1464"/>
      <c r="BV259" s="1464"/>
      <c r="BW259" s="1464"/>
      <c r="BX259" s="1464"/>
      <c r="BY259" s="1464"/>
      <c r="BZ259" s="1467"/>
      <c r="CZ259" s="3306"/>
      <c r="DZ259" s="1118"/>
    </row>
    <row r="260" spans="1:130" ht="32.450000000000003" customHeight="1" x14ac:dyDescent="0.25">
      <c r="A260" s="8161"/>
      <c r="B260" s="8161"/>
      <c r="C260" s="8253"/>
      <c r="D260" s="8270"/>
      <c r="E260" s="8271"/>
      <c r="F260" s="8140" t="s">
        <v>397</v>
      </c>
      <c r="G260" s="8141"/>
      <c r="H260" s="8140" t="s">
        <v>54</v>
      </c>
      <c r="I260" s="8141"/>
      <c r="J260" s="8140" t="s">
        <v>79</v>
      </c>
      <c r="K260" s="8141"/>
      <c r="L260" s="8140" t="s">
        <v>80</v>
      </c>
      <c r="M260" s="8141"/>
      <c r="N260" s="8140" t="s">
        <v>81</v>
      </c>
      <c r="O260" s="8141"/>
      <c r="P260" s="8137" t="s">
        <v>82</v>
      </c>
      <c r="Q260" s="8139"/>
      <c r="R260" s="8137" t="s">
        <v>83</v>
      </c>
      <c r="S260" s="8139"/>
      <c r="T260" s="8137" t="s">
        <v>398</v>
      </c>
      <c r="U260" s="8139"/>
      <c r="V260" s="8137" t="s">
        <v>124</v>
      </c>
      <c r="W260" s="8139"/>
      <c r="X260" s="8137" t="s">
        <v>125</v>
      </c>
      <c r="Y260" s="8139"/>
      <c r="Z260" s="8137" t="s">
        <v>126</v>
      </c>
      <c r="AA260" s="8139"/>
      <c r="AB260" s="8137" t="s">
        <v>127</v>
      </c>
      <c r="AC260" s="8139"/>
      <c r="AD260" s="8137" t="s">
        <v>128</v>
      </c>
      <c r="AE260" s="8139"/>
      <c r="AF260" s="8137" t="s">
        <v>129</v>
      </c>
      <c r="AG260" s="8139"/>
      <c r="AH260" s="8137" t="s">
        <v>130</v>
      </c>
      <c r="AI260" s="8139"/>
      <c r="AJ260" s="8137" t="s">
        <v>131</v>
      </c>
      <c r="AK260" s="8139"/>
      <c r="AL260" s="8137" t="s">
        <v>1403</v>
      </c>
      <c r="AM260" s="8138"/>
      <c r="AN260" s="8264" t="s">
        <v>44</v>
      </c>
      <c r="AO260" s="8265"/>
      <c r="AP260" s="8266" t="s">
        <v>3446</v>
      </c>
      <c r="AQ260" s="8265"/>
      <c r="AR260" s="8266" t="s">
        <v>3447</v>
      </c>
      <c r="AS260" s="8265"/>
      <c r="AT260" s="8266" t="s">
        <v>3448</v>
      </c>
      <c r="AU260" s="8267"/>
      <c r="AV260" s="8151"/>
      <c r="AW260" s="8274"/>
      <c r="AZ260" s="1580"/>
      <c r="BT260" s="1464"/>
      <c r="BU260" s="1464"/>
      <c r="BV260" s="1464"/>
      <c r="BW260" s="1464"/>
      <c r="BX260" s="1464"/>
      <c r="BY260" s="1464"/>
      <c r="BZ260" s="1467"/>
      <c r="CZ260" s="3306"/>
      <c r="DZ260" s="1118"/>
    </row>
    <row r="261" spans="1:130" ht="21" x14ac:dyDescent="0.25">
      <c r="A261" s="8269"/>
      <c r="B261" s="8269"/>
      <c r="C261" s="3433" t="s">
        <v>42</v>
      </c>
      <c r="D261" s="3449" t="s">
        <v>17</v>
      </c>
      <c r="E261" s="3355" t="s">
        <v>18</v>
      </c>
      <c r="F261" s="3472" t="s">
        <v>17</v>
      </c>
      <c r="G261" s="3355" t="s">
        <v>18</v>
      </c>
      <c r="H261" s="3472" t="s">
        <v>17</v>
      </c>
      <c r="I261" s="3355" t="s">
        <v>18</v>
      </c>
      <c r="J261" s="3472" t="s">
        <v>17</v>
      </c>
      <c r="K261" s="3355" t="s">
        <v>18</v>
      </c>
      <c r="L261" s="3472" t="s">
        <v>17</v>
      </c>
      <c r="M261" s="3355" t="s">
        <v>18</v>
      </c>
      <c r="N261" s="3472" t="s">
        <v>17</v>
      </c>
      <c r="O261" s="3355" t="s">
        <v>18</v>
      </c>
      <c r="P261" s="3472" t="s">
        <v>17</v>
      </c>
      <c r="Q261" s="3355" t="s">
        <v>18</v>
      </c>
      <c r="R261" s="3472" t="s">
        <v>17</v>
      </c>
      <c r="S261" s="3355" t="s">
        <v>18</v>
      </c>
      <c r="T261" s="3472" t="s">
        <v>17</v>
      </c>
      <c r="U261" s="3355" t="s">
        <v>18</v>
      </c>
      <c r="V261" s="3472" t="s">
        <v>17</v>
      </c>
      <c r="W261" s="3355" t="s">
        <v>18</v>
      </c>
      <c r="X261" s="3472" t="s">
        <v>17</v>
      </c>
      <c r="Y261" s="3355" t="s">
        <v>18</v>
      </c>
      <c r="Z261" s="3472" t="s">
        <v>17</v>
      </c>
      <c r="AA261" s="3355" t="s">
        <v>18</v>
      </c>
      <c r="AB261" s="3472" t="s">
        <v>17</v>
      </c>
      <c r="AC261" s="3355" t="s">
        <v>18</v>
      </c>
      <c r="AD261" s="3472" t="s">
        <v>17</v>
      </c>
      <c r="AE261" s="3355" t="s">
        <v>18</v>
      </c>
      <c r="AF261" s="3472" t="s">
        <v>17</v>
      </c>
      <c r="AG261" s="3355" t="s">
        <v>18</v>
      </c>
      <c r="AH261" s="3472" t="s">
        <v>17</v>
      </c>
      <c r="AI261" s="3355" t="s">
        <v>18</v>
      </c>
      <c r="AJ261" s="3472" t="s">
        <v>17</v>
      </c>
      <c r="AK261" s="3355" t="s">
        <v>18</v>
      </c>
      <c r="AL261" s="3472" t="s">
        <v>17</v>
      </c>
      <c r="AM261" s="2196" t="s">
        <v>18</v>
      </c>
      <c r="AN261" s="3472" t="s">
        <v>17</v>
      </c>
      <c r="AO261" s="3355" t="s">
        <v>18</v>
      </c>
      <c r="AP261" s="3472" t="s">
        <v>17</v>
      </c>
      <c r="AQ261" s="3355" t="s">
        <v>18</v>
      </c>
      <c r="AR261" s="3472" t="s">
        <v>17</v>
      </c>
      <c r="AS261" s="3355" t="s">
        <v>18</v>
      </c>
      <c r="AT261" s="3472" t="s">
        <v>17</v>
      </c>
      <c r="AU261" s="2196" t="s">
        <v>18</v>
      </c>
      <c r="AV261" s="8271"/>
      <c r="AW261" s="8275"/>
      <c r="AZ261" s="1580"/>
      <c r="BT261" s="1464"/>
      <c r="BU261" s="1464"/>
      <c r="BV261" s="1464"/>
      <c r="BW261" s="1464"/>
      <c r="BX261" s="1464"/>
      <c r="BY261" s="1464"/>
      <c r="BZ261" s="1467"/>
      <c r="CZ261" s="3306"/>
      <c r="DZ261" s="1118"/>
    </row>
    <row r="262" spans="1:130" x14ac:dyDescent="0.25">
      <c r="A262" s="8260" t="s">
        <v>3563</v>
      </c>
      <c r="B262" s="3450" t="s">
        <v>2590</v>
      </c>
      <c r="C262" s="3451">
        <f t="shared" ref="C262:C288" si="37">SUM(D262,E262)</f>
        <v>0</v>
      </c>
      <c r="D262" s="3452">
        <f>SUM(F262,H262,J262,L262,N262,P262,R262,T262,V262,X262,Z262,AB262,AD262,AF262,AH262,AJ262,AL262)</f>
        <v>0</v>
      </c>
      <c r="E262" s="3453">
        <f t="shared" ref="D262:E277" si="38">SUM(G262,I262,K262,M262,O262,Q262,S262,U262,W262,Y262,AA262,AC262,AE262,AG262,AI262,AK262,AM262)</f>
        <v>0</v>
      </c>
      <c r="F262" s="3116"/>
      <c r="G262" s="3122"/>
      <c r="H262" s="3116"/>
      <c r="I262" s="3122"/>
      <c r="J262" s="3116"/>
      <c r="K262" s="3122"/>
      <c r="L262" s="3116"/>
      <c r="M262" s="3122"/>
      <c r="N262" s="3116"/>
      <c r="O262" s="3122"/>
      <c r="P262" s="3116"/>
      <c r="Q262" s="3122"/>
      <c r="R262" s="3116"/>
      <c r="S262" s="3122"/>
      <c r="T262" s="3116"/>
      <c r="U262" s="3122"/>
      <c r="V262" s="3116"/>
      <c r="W262" s="3122"/>
      <c r="X262" s="3116"/>
      <c r="Y262" s="3122"/>
      <c r="Z262" s="3116"/>
      <c r="AA262" s="3122"/>
      <c r="AB262" s="3116"/>
      <c r="AC262" s="3122"/>
      <c r="AD262" s="3116"/>
      <c r="AE262" s="3122"/>
      <c r="AF262" s="3116"/>
      <c r="AG262" s="3122"/>
      <c r="AH262" s="3116"/>
      <c r="AI262" s="3122"/>
      <c r="AJ262" s="3116"/>
      <c r="AK262" s="3122"/>
      <c r="AL262" s="3116"/>
      <c r="AM262" s="2968"/>
      <c r="AN262" s="3451">
        <f>SUM(AP262,AR262,AT262)</f>
        <v>0</v>
      </c>
      <c r="AO262" s="3451">
        <f>SUM(AQ262,AS262,AU262)</f>
        <v>0</v>
      </c>
      <c r="AP262" s="3116"/>
      <c r="AQ262" s="3122"/>
      <c r="AR262" s="3116"/>
      <c r="AS262" s="3122"/>
      <c r="AT262" s="3116"/>
      <c r="AU262" s="2968"/>
      <c r="AV262" s="7458"/>
      <c r="AW262" s="7459"/>
      <c r="AX262" s="1580"/>
      <c r="AZ262" s="1580"/>
      <c r="BT262" s="1464"/>
      <c r="BU262" s="1464"/>
      <c r="BV262" s="1464"/>
      <c r="BW262" s="1464"/>
      <c r="BX262" s="1464"/>
      <c r="BY262" s="1464"/>
      <c r="BZ262" s="1467"/>
      <c r="CZ262" s="3306"/>
      <c r="DA262" s="3306">
        <v>0</v>
      </c>
      <c r="DB262" s="3306">
        <v>0</v>
      </c>
      <c r="DC262" s="3306">
        <v>0</v>
      </c>
      <c r="DD262" s="3306">
        <v>0</v>
      </c>
      <c r="DZ262" s="1118"/>
    </row>
    <row r="263" spans="1:130" x14ac:dyDescent="0.25">
      <c r="A263" s="8261"/>
      <c r="B263" s="3454" t="s">
        <v>60</v>
      </c>
      <c r="C263" s="3455">
        <f t="shared" si="37"/>
        <v>0</v>
      </c>
      <c r="D263" s="3456">
        <f t="shared" si="38"/>
        <v>0</v>
      </c>
      <c r="E263" s="3457">
        <f t="shared" si="38"/>
        <v>0</v>
      </c>
      <c r="F263" s="3058"/>
      <c r="G263" s="3059"/>
      <c r="H263" s="3058"/>
      <c r="I263" s="3059"/>
      <c r="J263" s="3058"/>
      <c r="K263" s="3059"/>
      <c r="L263" s="3058"/>
      <c r="M263" s="3059"/>
      <c r="N263" s="3058"/>
      <c r="O263" s="3059"/>
      <c r="P263" s="3058"/>
      <c r="Q263" s="3059"/>
      <c r="R263" s="3058"/>
      <c r="S263" s="3059"/>
      <c r="T263" s="3058"/>
      <c r="U263" s="3059"/>
      <c r="V263" s="3058"/>
      <c r="W263" s="3059"/>
      <c r="X263" s="3058"/>
      <c r="Y263" s="3059"/>
      <c r="Z263" s="3058"/>
      <c r="AA263" s="3059"/>
      <c r="AB263" s="3058"/>
      <c r="AC263" s="3059"/>
      <c r="AD263" s="3058"/>
      <c r="AE263" s="3059"/>
      <c r="AF263" s="3058"/>
      <c r="AG263" s="3059"/>
      <c r="AH263" s="3058"/>
      <c r="AI263" s="3059"/>
      <c r="AJ263" s="3058"/>
      <c r="AK263" s="3059"/>
      <c r="AL263" s="3058"/>
      <c r="AM263" s="2507"/>
      <c r="AN263" s="3455">
        <f>SUM(AP263,AR263,AT263)</f>
        <v>0</v>
      </c>
      <c r="AO263" s="3455">
        <f>SUM(AQ263,AS263,AU263)</f>
        <v>0</v>
      </c>
      <c r="AP263" s="3058"/>
      <c r="AQ263" s="3059"/>
      <c r="AR263" s="3058"/>
      <c r="AS263" s="3059"/>
      <c r="AT263" s="3058"/>
      <c r="AU263" s="2507"/>
      <c r="AV263" s="2877"/>
      <c r="AW263" s="3113"/>
      <c r="AX263" s="1580"/>
      <c r="AZ263" s="1580"/>
      <c r="BT263" s="1464"/>
      <c r="BU263" s="1464"/>
      <c r="BV263" s="1464"/>
      <c r="BW263" s="1464"/>
      <c r="BX263" s="1464"/>
      <c r="BY263" s="1464"/>
      <c r="BZ263" s="1467"/>
      <c r="CZ263" s="3306"/>
      <c r="DA263" s="3306">
        <v>0</v>
      </c>
      <c r="DB263" s="3306">
        <v>0</v>
      </c>
      <c r="DC263" s="3306">
        <v>0</v>
      </c>
      <c r="DD263" s="3306">
        <v>0</v>
      </c>
      <c r="DZ263" s="1118"/>
    </row>
    <row r="264" spans="1:130" x14ac:dyDescent="0.25">
      <c r="A264" s="8262"/>
      <c r="B264" s="3458" t="s">
        <v>3135</v>
      </c>
      <c r="C264" s="3459">
        <f>SUM(D264,E264)</f>
        <v>0</v>
      </c>
      <c r="D264" s="3460">
        <f t="shared" si="38"/>
        <v>0</v>
      </c>
      <c r="E264" s="3461">
        <f t="shared" si="38"/>
        <v>0</v>
      </c>
      <c r="F264" s="3473">
        <f t="shared" ref="F264:AN264" si="39">SUM(F262:F263)</f>
        <v>0</v>
      </c>
      <c r="G264" s="3474">
        <f t="shared" si="39"/>
        <v>0</v>
      </c>
      <c r="H264" s="3473">
        <f t="shared" si="39"/>
        <v>0</v>
      </c>
      <c r="I264" s="3474">
        <f t="shared" si="39"/>
        <v>0</v>
      </c>
      <c r="J264" s="3473">
        <f t="shared" si="39"/>
        <v>0</v>
      </c>
      <c r="K264" s="3475">
        <f t="shared" si="39"/>
        <v>0</v>
      </c>
      <c r="L264" s="3473">
        <f t="shared" si="39"/>
        <v>0</v>
      </c>
      <c r="M264" s="3475">
        <f t="shared" si="39"/>
        <v>0</v>
      </c>
      <c r="N264" s="3473">
        <f t="shared" si="39"/>
        <v>0</v>
      </c>
      <c r="O264" s="3475">
        <f t="shared" si="39"/>
        <v>0</v>
      </c>
      <c r="P264" s="3473">
        <f t="shared" si="39"/>
        <v>0</v>
      </c>
      <c r="Q264" s="3475">
        <f t="shared" si="39"/>
        <v>0</v>
      </c>
      <c r="R264" s="3473">
        <f t="shared" si="39"/>
        <v>0</v>
      </c>
      <c r="S264" s="3475">
        <f t="shared" si="39"/>
        <v>0</v>
      </c>
      <c r="T264" s="3473">
        <f t="shared" si="39"/>
        <v>0</v>
      </c>
      <c r="U264" s="3475">
        <f t="shared" si="39"/>
        <v>0</v>
      </c>
      <c r="V264" s="3473">
        <f t="shared" si="39"/>
        <v>0</v>
      </c>
      <c r="W264" s="3475">
        <f t="shared" si="39"/>
        <v>0</v>
      </c>
      <c r="X264" s="3473">
        <f t="shared" si="39"/>
        <v>0</v>
      </c>
      <c r="Y264" s="3475">
        <f t="shared" si="39"/>
        <v>0</v>
      </c>
      <c r="Z264" s="3473">
        <f t="shared" si="39"/>
        <v>0</v>
      </c>
      <c r="AA264" s="3475">
        <f t="shared" si="39"/>
        <v>0</v>
      </c>
      <c r="AB264" s="3473">
        <f t="shared" si="39"/>
        <v>0</v>
      </c>
      <c r="AC264" s="3475">
        <f t="shared" si="39"/>
        <v>0</v>
      </c>
      <c r="AD264" s="3473">
        <f t="shared" si="39"/>
        <v>0</v>
      </c>
      <c r="AE264" s="3475">
        <f t="shared" si="39"/>
        <v>0</v>
      </c>
      <c r="AF264" s="3473">
        <f t="shared" si="39"/>
        <v>0</v>
      </c>
      <c r="AG264" s="3475">
        <f t="shared" si="39"/>
        <v>0</v>
      </c>
      <c r="AH264" s="3473">
        <f t="shared" si="39"/>
        <v>0</v>
      </c>
      <c r="AI264" s="3475">
        <f t="shared" si="39"/>
        <v>0</v>
      </c>
      <c r="AJ264" s="3473">
        <f t="shared" si="39"/>
        <v>0</v>
      </c>
      <c r="AK264" s="3475">
        <f t="shared" si="39"/>
        <v>0</v>
      </c>
      <c r="AL264" s="3476">
        <f t="shared" si="39"/>
        <v>0</v>
      </c>
      <c r="AM264" s="3477">
        <f>SUM(AM262:AM263)</f>
        <v>0</v>
      </c>
      <c r="AN264" s="3459">
        <f t="shared" si="39"/>
        <v>0</v>
      </c>
      <c r="AO264" s="3459">
        <f>SUM(AO262:AO263)</f>
        <v>0</v>
      </c>
      <c r="AP264" s="3473">
        <f>SUM(AP262:AP263)</f>
        <v>0</v>
      </c>
      <c r="AQ264" s="3475">
        <f t="shared" ref="AQ264:AW264" si="40">SUM(AQ262:AQ263)</f>
        <v>0</v>
      </c>
      <c r="AR264" s="3473">
        <f t="shared" si="40"/>
        <v>0</v>
      </c>
      <c r="AS264" s="3475">
        <f t="shared" si="40"/>
        <v>0</v>
      </c>
      <c r="AT264" s="3476">
        <f t="shared" si="40"/>
        <v>0</v>
      </c>
      <c r="AU264" s="3477">
        <f t="shared" si="40"/>
        <v>0</v>
      </c>
      <c r="AV264" s="3474">
        <f>SUM(AV262:AV263)</f>
        <v>0</v>
      </c>
      <c r="AW264" s="3478">
        <f t="shared" si="40"/>
        <v>0</v>
      </c>
      <c r="AX264" s="1580"/>
      <c r="AZ264" s="1580"/>
      <c r="BT264" s="1464"/>
      <c r="BU264" s="1464"/>
      <c r="BV264" s="1464"/>
      <c r="BW264" s="1464"/>
      <c r="BX264" s="1464"/>
      <c r="BY264" s="1464"/>
      <c r="BZ264" s="1467"/>
      <c r="CZ264" s="3306"/>
      <c r="DZ264" s="1118"/>
    </row>
    <row r="265" spans="1:130" x14ac:dyDescent="0.25">
      <c r="A265" s="8260" t="s">
        <v>3564</v>
      </c>
      <c r="B265" s="3450" t="s">
        <v>2590</v>
      </c>
      <c r="C265" s="3451">
        <f t="shared" si="37"/>
        <v>0</v>
      </c>
      <c r="D265" s="3452">
        <f t="shared" si="38"/>
        <v>0</v>
      </c>
      <c r="E265" s="3453">
        <f t="shared" si="38"/>
        <v>0</v>
      </c>
      <c r="F265" s="3116"/>
      <c r="G265" s="3122"/>
      <c r="H265" s="3116"/>
      <c r="I265" s="3122"/>
      <c r="J265" s="3116"/>
      <c r="K265" s="3122"/>
      <c r="L265" s="3116"/>
      <c r="M265" s="3122"/>
      <c r="N265" s="3116"/>
      <c r="O265" s="3122"/>
      <c r="P265" s="3116"/>
      <c r="Q265" s="3122"/>
      <c r="R265" s="3116"/>
      <c r="S265" s="3122"/>
      <c r="T265" s="3116"/>
      <c r="U265" s="3122"/>
      <c r="V265" s="3116"/>
      <c r="W265" s="3122"/>
      <c r="X265" s="3116"/>
      <c r="Y265" s="3122"/>
      <c r="Z265" s="3116"/>
      <c r="AA265" s="3122"/>
      <c r="AB265" s="3116"/>
      <c r="AC265" s="3122"/>
      <c r="AD265" s="3116"/>
      <c r="AE265" s="3122"/>
      <c r="AF265" s="3116"/>
      <c r="AG265" s="3122"/>
      <c r="AH265" s="3116"/>
      <c r="AI265" s="3122"/>
      <c r="AJ265" s="3116"/>
      <c r="AK265" s="3122"/>
      <c r="AL265" s="3116"/>
      <c r="AM265" s="2968"/>
      <c r="AN265" s="7460"/>
      <c r="AO265" s="7460"/>
      <c r="AP265" s="7461"/>
      <c r="AQ265" s="7462"/>
      <c r="AR265" s="7461"/>
      <c r="AS265" s="7462"/>
      <c r="AT265" s="7461"/>
      <c r="AU265" s="7463"/>
      <c r="AV265" s="7464"/>
      <c r="AW265" s="7465"/>
      <c r="AX265" s="1580"/>
      <c r="AZ265" s="1580"/>
      <c r="BT265" s="1464"/>
      <c r="BU265" s="1464"/>
      <c r="BV265" s="1464"/>
      <c r="BW265" s="1464"/>
      <c r="BX265" s="1464"/>
      <c r="BY265" s="1464"/>
      <c r="BZ265" s="1467"/>
      <c r="CZ265" s="3306"/>
      <c r="DZ265" s="1118"/>
    </row>
    <row r="266" spans="1:130" x14ac:dyDescent="0.25">
      <c r="A266" s="8261"/>
      <c r="B266" s="3454" t="s">
        <v>60</v>
      </c>
      <c r="C266" s="3455">
        <f t="shared" si="37"/>
        <v>0</v>
      </c>
      <c r="D266" s="3456">
        <f t="shared" si="38"/>
        <v>0</v>
      </c>
      <c r="E266" s="3457">
        <f t="shared" si="38"/>
        <v>0</v>
      </c>
      <c r="F266" s="3058"/>
      <c r="G266" s="3059"/>
      <c r="H266" s="3058"/>
      <c r="I266" s="3059"/>
      <c r="J266" s="3058"/>
      <c r="K266" s="3059"/>
      <c r="L266" s="3058"/>
      <c r="M266" s="3059"/>
      <c r="N266" s="3058"/>
      <c r="O266" s="3059"/>
      <c r="P266" s="3058"/>
      <c r="Q266" s="3059"/>
      <c r="R266" s="3058"/>
      <c r="S266" s="3059"/>
      <c r="T266" s="3058"/>
      <c r="U266" s="3059"/>
      <c r="V266" s="3058"/>
      <c r="W266" s="3059"/>
      <c r="X266" s="3058"/>
      <c r="Y266" s="3059"/>
      <c r="Z266" s="3058"/>
      <c r="AA266" s="3059"/>
      <c r="AB266" s="3058"/>
      <c r="AC266" s="3059"/>
      <c r="AD266" s="3058"/>
      <c r="AE266" s="3059"/>
      <c r="AF266" s="3058"/>
      <c r="AG266" s="3059"/>
      <c r="AH266" s="3058"/>
      <c r="AI266" s="3059"/>
      <c r="AJ266" s="3058"/>
      <c r="AK266" s="3059"/>
      <c r="AL266" s="3058"/>
      <c r="AM266" s="2507"/>
      <c r="AN266" s="7466"/>
      <c r="AO266" s="7466"/>
      <c r="AP266" s="7467"/>
      <c r="AQ266" s="7468"/>
      <c r="AR266" s="7467"/>
      <c r="AS266" s="7468"/>
      <c r="AT266" s="7467"/>
      <c r="AU266" s="7469"/>
      <c r="AV266" s="7470"/>
      <c r="AW266" s="7471"/>
      <c r="AX266" s="1580"/>
      <c r="AZ266" s="1580"/>
      <c r="BT266" s="1464"/>
      <c r="BU266" s="1464"/>
      <c r="BV266" s="1464"/>
      <c r="BW266" s="1464"/>
      <c r="BX266" s="1464"/>
      <c r="BY266" s="1464"/>
      <c r="BZ266" s="1467"/>
      <c r="CZ266" s="3306"/>
      <c r="DZ266" s="1118"/>
    </row>
    <row r="267" spans="1:130" x14ac:dyDescent="0.25">
      <c r="A267" s="8261"/>
      <c r="B267" s="3053" t="s">
        <v>3154</v>
      </c>
      <c r="C267" s="3462">
        <f t="shared" si="37"/>
        <v>0</v>
      </c>
      <c r="D267" s="3463">
        <f t="shared" si="38"/>
        <v>0</v>
      </c>
      <c r="E267" s="3464">
        <f t="shared" si="38"/>
        <v>0</v>
      </c>
      <c r="F267" s="3028"/>
      <c r="G267" s="1882"/>
      <c r="H267" s="3028"/>
      <c r="I267" s="1882"/>
      <c r="J267" s="3028"/>
      <c r="K267" s="1882"/>
      <c r="L267" s="3028"/>
      <c r="M267" s="1882"/>
      <c r="N267" s="3028"/>
      <c r="O267" s="1882"/>
      <c r="P267" s="3028"/>
      <c r="Q267" s="1882"/>
      <c r="R267" s="3028"/>
      <c r="S267" s="1882"/>
      <c r="T267" s="3028"/>
      <c r="U267" s="1882"/>
      <c r="V267" s="3028"/>
      <c r="W267" s="1882"/>
      <c r="X267" s="3028"/>
      <c r="Y267" s="1882"/>
      <c r="Z267" s="3028"/>
      <c r="AA267" s="1882"/>
      <c r="AB267" s="3028"/>
      <c r="AC267" s="1882"/>
      <c r="AD267" s="3028"/>
      <c r="AE267" s="1882"/>
      <c r="AF267" s="3028"/>
      <c r="AG267" s="1882"/>
      <c r="AH267" s="3028"/>
      <c r="AI267" s="1882"/>
      <c r="AJ267" s="3028"/>
      <c r="AK267" s="1882"/>
      <c r="AL267" s="3028"/>
      <c r="AM267" s="3029"/>
      <c r="AN267" s="7472"/>
      <c r="AO267" s="7472"/>
      <c r="AP267" s="7473"/>
      <c r="AQ267" s="7474"/>
      <c r="AR267" s="7473"/>
      <c r="AS267" s="7474"/>
      <c r="AT267" s="7473"/>
      <c r="AU267" s="7475"/>
      <c r="AV267" s="7476"/>
      <c r="AW267" s="7477"/>
      <c r="AX267" s="1580"/>
      <c r="AZ267" s="1580"/>
      <c r="BT267" s="1464"/>
      <c r="BU267" s="1464"/>
      <c r="BV267" s="1464"/>
      <c r="BW267" s="1464"/>
      <c r="BX267" s="1464"/>
      <c r="BY267" s="1464"/>
      <c r="BZ267" s="1467"/>
      <c r="CZ267" s="3306"/>
      <c r="DZ267" s="1118"/>
    </row>
    <row r="268" spans="1:130" x14ac:dyDescent="0.25">
      <c r="A268" s="8261"/>
      <c r="B268" s="3053" t="s">
        <v>2594</v>
      </c>
      <c r="C268" s="3462">
        <f t="shared" si="37"/>
        <v>0</v>
      </c>
      <c r="D268" s="3463">
        <f t="shared" si="38"/>
        <v>0</v>
      </c>
      <c r="E268" s="3464">
        <f t="shared" si="38"/>
        <v>0</v>
      </c>
      <c r="F268" s="3028"/>
      <c r="G268" s="1882"/>
      <c r="H268" s="3028"/>
      <c r="I268" s="1882"/>
      <c r="J268" s="3028"/>
      <c r="K268" s="1882"/>
      <c r="L268" s="3028"/>
      <c r="M268" s="1882"/>
      <c r="N268" s="3028"/>
      <c r="O268" s="1882"/>
      <c r="P268" s="3028"/>
      <c r="Q268" s="1882"/>
      <c r="R268" s="3028"/>
      <c r="S268" s="1882"/>
      <c r="T268" s="3028"/>
      <c r="U268" s="1882"/>
      <c r="V268" s="3028"/>
      <c r="W268" s="1882"/>
      <c r="X268" s="3028"/>
      <c r="Y268" s="1882"/>
      <c r="Z268" s="3028"/>
      <c r="AA268" s="1882"/>
      <c r="AB268" s="3028"/>
      <c r="AC268" s="1882"/>
      <c r="AD268" s="3028"/>
      <c r="AE268" s="1882"/>
      <c r="AF268" s="3028"/>
      <c r="AG268" s="1882"/>
      <c r="AH268" s="3028"/>
      <c r="AI268" s="1882"/>
      <c r="AJ268" s="3028"/>
      <c r="AK268" s="1882"/>
      <c r="AL268" s="3028"/>
      <c r="AM268" s="3029"/>
      <c r="AN268" s="7472"/>
      <c r="AO268" s="7472"/>
      <c r="AP268" s="7473"/>
      <c r="AQ268" s="7474"/>
      <c r="AR268" s="7473"/>
      <c r="AS268" s="7474"/>
      <c r="AT268" s="7473"/>
      <c r="AU268" s="7475"/>
      <c r="AV268" s="7476"/>
      <c r="AW268" s="7477"/>
      <c r="AX268" s="1580"/>
      <c r="AZ268" s="1580"/>
      <c r="BT268" s="1464"/>
      <c r="BU268" s="1464"/>
      <c r="BV268" s="1464"/>
      <c r="BW268" s="1464"/>
      <c r="BX268" s="1464"/>
      <c r="BY268" s="1464"/>
      <c r="BZ268" s="1467"/>
      <c r="CZ268" s="3306"/>
      <c r="DZ268" s="1118"/>
    </row>
    <row r="269" spans="1:130" ht="21" x14ac:dyDescent="0.25">
      <c r="A269" s="8261"/>
      <c r="B269" s="3053" t="s">
        <v>3733</v>
      </c>
      <c r="C269" s="3462">
        <f t="shared" si="37"/>
        <v>0</v>
      </c>
      <c r="D269" s="3463">
        <f t="shared" si="38"/>
        <v>0</v>
      </c>
      <c r="E269" s="3464">
        <f t="shared" si="38"/>
        <v>0</v>
      </c>
      <c r="F269" s="3028"/>
      <c r="G269" s="1882"/>
      <c r="H269" s="3028"/>
      <c r="I269" s="1882"/>
      <c r="J269" s="3028"/>
      <c r="K269" s="1882"/>
      <c r="L269" s="3028"/>
      <c r="M269" s="1882"/>
      <c r="N269" s="3028"/>
      <c r="O269" s="1882"/>
      <c r="P269" s="3028"/>
      <c r="Q269" s="1882"/>
      <c r="R269" s="3028"/>
      <c r="S269" s="1882"/>
      <c r="T269" s="3028"/>
      <c r="U269" s="1882"/>
      <c r="V269" s="3028"/>
      <c r="W269" s="1882"/>
      <c r="X269" s="3028"/>
      <c r="Y269" s="1882"/>
      <c r="Z269" s="3028"/>
      <c r="AA269" s="1882"/>
      <c r="AB269" s="3028"/>
      <c r="AC269" s="1882"/>
      <c r="AD269" s="3028"/>
      <c r="AE269" s="1882"/>
      <c r="AF269" s="3028"/>
      <c r="AG269" s="1882"/>
      <c r="AH269" s="3028"/>
      <c r="AI269" s="1882"/>
      <c r="AJ269" s="3028"/>
      <c r="AK269" s="1882"/>
      <c r="AL269" s="3028"/>
      <c r="AM269" s="3029"/>
      <c r="AN269" s="7472"/>
      <c r="AO269" s="7472"/>
      <c r="AP269" s="7473"/>
      <c r="AQ269" s="7474"/>
      <c r="AR269" s="7473"/>
      <c r="AS269" s="7474"/>
      <c r="AT269" s="7473"/>
      <c r="AU269" s="7475"/>
      <c r="AV269" s="7476"/>
      <c r="AW269" s="7477"/>
      <c r="AX269" s="1580"/>
      <c r="AZ269" s="1580"/>
      <c r="BT269" s="1464"/>
      <c r="BU269" s="1464"/>
      <c r="BV269" s="1464"/>
      <c r="BW269" s="1464"/>
      <c r="BX269" s="1464"/>
      <c r="BY269" s="1464"/>
      <c r="BZ269" s="1467"/>
      <c r="CZ269" s="3306"/>
      <c r="DZ269" s="1118"/>
    </row>
    <row r="270" spans="1:130" x14ac:dyDescent="0.25">
      <c r="A270" s="8261"/>
      <c r="B270" s="3053" t="s">
        <v>1263</v>
      </c>
      <c r="C270" s="3462">
        <f t="shared" si="37"/>
        <v>0</v>
      </c>
      <c r="D270" s="3463">
        <f t="shared" si="38"/>
        <v>0</v>
      </c>
      <c r="E270" s="3464">
        <f t="shared" si="38"/>
        <v>0</v>
      </c>
      <c r="F270" s="3028"/>
      <c r="G270" s="1882"/>
      <c r="H270" s="3028"/>
      <c r="I270" s="1882"/>
      <c r="J270" s="3028"/>
      <c r="K270" s="1882"/>
      <c r="L270" s="3028"/>
      <c r="M270" s="1882"/>
      <c r="N270" s="3028"/>
      <c r="O270" s="1882"/>
      <c r="P270" s="3028"/>
      <c r="Q270" s="1882"/>
      <c r="R270" s="3028"/>
      <c r="S270" s="1882"/>
      <c r="T270" s="3028"/>
      <c r="U270" s="1882"/>
      <c r="V270" s="3028"/>
      <c r="W270" s="1882"/>
      <c r="X270" s="3028"/>
      <c r="Y270" s="1882"/>
      <c r="Z270" s="3028"/>
      <c r="AA270" s="1882"/>
      <c r="AB270" s="3028"/>
      <c r="AC270" s="1882"/>
      <c r="AD270" s="3028"/>
      <c r="AE270" s="1882"/>
      <c r="AF270" s="3028"/>
      <c r="AG270" s="1882"/>
      <c r="AH270" s="3028"/>
      <c r="AI270" s="1882"/>
      <c r="AJ270" s="3028"/>
      <c r="AK270" s="1882"/>
      <c r="AL270" s="3028"/>
      <c r="AM270" s="3029"/>
      <c r="AN270" s="7472"/>
      <c r="AO270" s="7472"/>
      <c r="AP270" s="7473"/>
      <c r="AQ270" s="7474"/>
      <c r="AR270" s="7473"/>
      <c r="AS270" s="7474"/>
      <c r="AT270" s="7473"/>
      <c r="AU270" s="7475"/>
      <c r="AV270" s="7476"/>
      <c r="AW270" s="7477"/>
      <c r="AX270" s="1580"/>
      <c r="AZ270" s="1580"/>
      <c r="BT270" s="1464"/>
      <c r="BU270" s="1464"/>
      <c r="BV270" s="1464"/>
      <c r="BW270" s="1464"/>
      <c r="BX270" s="1464"/>
      <c r="BY270" s="1464"/>
      <c r="BZ270" s="1467"/>
      <c r="CZ270" s="3306"/>
      <c r="DZ270" s="1118"/>
    </row>
    <row r="271" spans="1:130" x14ac:dyDescent="0.25">
      <c r="A271" s="8262"/>
      <c r="B271" s="3458" t="s">
        <v>3135</v>
      </c>
      <c r="C271" s="3459">
        <f t="shared" si="37"/>
        <v>0</v>
      </c>
      <c r="D271" s="3460">
        <f t="shared" si="38"/>
        <v>0</v>
      </c>
      <c r="E271" s="3461">
        <f t="shared" si="38"/>
        <v>0</v>
      </c>
      <c r="F271" s="3473">
        <f t="shared" ref="F271:AM271" si="41">SUM(F265:F270)</f>
        <v>0</v>
      </c>
      <c r="G271" s="3474">
        <f t="shared" si="41"/>
        <v>0</v>
      </c>
      <c r="H271" s="3473">
        <f t="shared" si="41"/>
        <v>0</v>
      </c>
      <c r="I271" s="3474">
        <f t="shared" si="41"/>
        <v>0</v>
      </c>
      <c r="J271" s="3473">
        <f t="shared" si="41"/>
        <v>0</v>
      </c>
      <c r="K271" s="3475">
        <f t="shared" si="41"/>
        <v>0</v>
      </c>
      <c r="L271" s="3473">
        <f t="shared" si="41"/>
        <v>0</v>
      </c>
      <c r="M271" s="3475">
        <f t="shared" si="41"/>
        <v>0</v>
      </c>
      <c r="N271" s="3473">
        <f t="shared" si="41"/>
        <v>0</v>
      </c>
      <c r="O271" s="3475">
        <f t="shared" si="41"/>
        <v>0</v>
      </c>
      <c r="P271" s="3473">
        <f t="shared" si="41"/>
        <v>0</v>
      </c>
      <c r="Q271" s="3475">
        <f t="shared" si="41"/>
        <v>0</v>
      </c>
      <c r="R271" s="3473">
        <f t="shared" si="41"/>
        <v>0</v>
      </c>
      <c r="S271" s="3475">
        <f t="shared" si="41"/>
        <v>0</v>
      </c>
      <c r="T271" s="3473">
        <f t="shared" si="41"/>
        <v>0</v>
      </c>
      <c r="U271" s="3475">
        <f t="shared" si="41"/>
        <v>0</v>
      </c>
      <c r="V271" s="3473">
        <f t="shared" si="41"/>
        <v>0</v>
      </c>
      <c r="W271" s="3475">
        <f t="shared" si="41"/>
        <v>0</v>
      </c>
      <c r="X271" s="3473">
        <f t="shared" si="41"/>
        <v>0</v>
      </c>
      <c r="Y271" s="3475">
        <f t="shared" si="41"/>
        <v>0</v>
      </c>
      <c r="Z271" s="3473">
        <f t="shared" si="41"/>
        <v>0</v>
      </c>
      <c r="AA271" s="3475">
        <f t="shared" si="41"/>
        <v>0</v>
      </c>
      <c r="AB271" s="3473">
        <f t="shared" si="41"/>
        <v>0</v>
      </c>
      <c r="AC271" s="3475">
        <f t="shared" si="41"/>
        <v>0</v>
      </c>
      <c r="AD271" s="3473">
        <f t="shared" si="41"/>
        <v>0</v>
      </c>
      <c r="AE271" s="3475">
        <f t="shared" si="41"/>
        <v>0</v>
      </c>
      <c r="AF271" s="3473">
        <f t="shared" si="41"/>
        <v>0</v>
      </c>
      <c r="AG271" s="3475">
        <f t="shared" si="41"/>
        <v>0</v>
      </c>
      <c r="AH271" s="3473">
        <f t="shared" si="41"/>
        <v>0</v>
      </c>
      <c r="AI271" s="3475">
        <f t="shared" si="41"/>
        <v>0</v>
      </c>
      <c r="AJ271" s="3473">
        <f t="shared" si="41"/>
        <v>0</v>
      </c>
      <c r="AK271" s="3475">
        <f t="shared" si="41"/>
        <v>0</v>
      </c>
      <c r="AL271" s="3476">
        <f t="shared" si="41"/>
        <v>0</v>
      </c>
      <c r="AM271" s="3477">
        <f t="shared" si="41"/>
        <v>0</v>
      </c>
      <c r="AN271" s="7478"/>
      <c r="AO271" s="7478"/>
      <c r="AP271" s="7479"/>
      <c r="AQ271" s="7480"/>
      <c r="AR271" s="7479"/>
      <c r="AS271" s="7480"/>
      <c r="AT271" s="7481"/>
      <c r="AU271" s="7482"/>
      <c r="AV271" s="7483"/>
      <c r="AW271" s="7484"/>
      <c r="AX271" s="1580"/>
      <c r="AZ271" s="1580"/>
      <c r="BT271" s="1464"/>
      <c r="BU271" s="1464"/>
      <c r="BV271" s="1464"/>
      <c r="BW271" s="1464"/>
      <c r="BX271" s="1464"/>
      <c r="BY271" s="1464"/>
      <c r="BZ271" s="1467"/>
      <c r="CZ271" s="3306"/>
      <c r="DZ271" s="1118"/>
    </row>
    <row r="272" spans="1:130" x14ac:dyDescent="0.25">
      <c r="A272" s="8260" t="s">
        <v>3565</v>
      </c>
      <c r="B272" s="3450" t="s">
        <v>2590</v>
      </c>
      <c r="C272" s="3451">
        <f t="shared" si="37"/>
        <v>0</v>
      </c>
      <c r="D272" s="3452">
        <f t="shared" si="38"/>
        <v>0</v>
      </c>
      <c r="E272" s="3453">
        <f t="shared" si="38"/>
        <v>0</v>
      </c>
      <c r="F272" s="3116"/>
      <c r="G272" s="3122"/>
      <c r="H272" s="3116"/>
      <c r="I272" s="3122"/>
      <c r="J272" s="3116"/>
      <c r="K272" s="3122"/>
      <c r="L272" s="3116"/>
      <c r="M272" s="3122"/>
      <c r="N272" s="3116"/>
      <c r="O272" s="3122"/>
      <c r="P272" s="3116"/>
      <c r="Q272" s="3122"/>
      <c r="R272" s="3116"/>
      <c r="S272" s="3122"/>
      <c r="T272" s="3116"/>
      <c r="U272" s="3122"/>
      <c r="V272" s="3116"/>
      <c r="W272" s="3122"/>
      <c r="X272" s="3116"/>
      <c r="Y272" s="3122"/>
      <c r="Z272" s="3116"/>
      <c r="AA272" s="3122"/>
      <c r="AB272" s="3116"/>
      <c r="AC272" s="3122"/>
      <c r="AD272" s="3116"/>
      <c r="AE272" s="3122"/>
      <c r="AF272" s="3116"/>
      <c r="AG272" s="3122"/>
      <c r="AH272" s="3116"/>
      <c r="AI272" s="3122"/>
      <c r="AJ272" s="3116"/>
      <c r="AK272" s="3122"/>
      <c r="AL272" s="3116"/>
      <c r="AM272" s="2968"/>
      <c r="AN272" s="7460"/>
      <c r="AO272" s="7460"/>
      <c r="AP272" s="7461"/>
      <c r="AQ272" s="7462"/>
      <c r="AR272" s="7461"/>
      <c r="AS272" s="7462"/>
      <c r="AT272" s="7461"/>
      <c r="AU272" s="7463"/>
      <c r="AV272" s="7464"/>
      <c r="AW272" s="7465"/>
      <c r="AX272" s="1580"/>
      <c r="AZ272" s="1580"/>
      <c r="BT272" s="1464"/>
      <c r="BU272" s="1464"/>
      <c r="BV272" s="1464"/>
      <c r="BW272" s="1464"/>
      <c r="BX272" s="1464"/>
      <c r="BY272" s="1464"/>
      <c r="BZ272" s="1467"/>
      <c r="CZ272" s="3306"/>
      <c r="DZ272" s="1118"/>
    </row>
    <row r="273" spans="1:130" x14ac:dyDescent="0.25">
      <c r="A273" s="8261"/>
      <c r="B273" s="3454" t="s">
        <v>60</v>
      </c>
      <c r="C273" s="3455">
        <f t="shared" si="37"/>
        <v>0</v>
      </c>
      <c r="D273" s="3456">
        <f t="shared" si="38"/>
        <v>0</v>
      </c>
      <c r="E273" s="3457">
        <f t="shared" si="38"/>
        <v>0</v>
      </c>
      <c r="F273" s="3058"/>
      <c r="G273" s="3059"/>
      <c r="H273" s="3058"/>
      <c r="I273" s="3059"/>
      <c r="J273" s="3058"/>
      <c r="K273" s="3059"/>
      <c r="L273" s="3058"/>
      <c r="M273" s="3059"/>
      <c r="N273" s="3058"/>
      <c r="O273" s="3059"/>
      <c r="P273" s="3058"/>
      <c r="Q273" s="3059"/>
      <c r="R273" s="3058"/>
      <c r="S273" s="3059"/>
      <c r="T273" s="3058"/>
      <c r="U273" s="3059"/>
      <c r="V273" s="3058"/>
      <c r="W273" s="3059"/>
      <c r="X273" s="3058"/>
      <c r="Y273" s="3059"/>
      <c r="Z273" s="3058"/>
      <c r="AA273" s="3059"/>
      <c r="AB273" s="3058"/>
      <c r="AC273" s="3059"/>
      <c r="AD273" s="3058"/>
      <c r="AE273" s="3059"/>
      <c r="AF273" s="3058"/>
      <c r="AG273" s="3059"/>
      <c r="AH273" s="3058"/>
      <c r="AI273" s="3059"/>
      <c r="AJ273" s="3058"/>
      <c r="AK273" s="3059"/>
      <c r="AL273" s="3058"/>
      <c r="AM273" s="2507"/>
      <c r="AN273" s="7466"/>
      <c r="AO273" s="7466"/>
      <c r="AP273" s="7467"/>
      <c r="AQ273" s="7468"/>
      <c r="AR273" s="7467"/>
      <c r="AS273" s="7468"/>
      <c r="AT273" s="7467"/>
      <c r="AU273" s="7469"/>
      <c r="AV273" s="7470"/>
      <c r="AW273" s="7471"/>
      <c r="AX273" s="1580"/>
      <c r="AZ273" s="1580"/>
      <c r="BT273" s="1464"/>
      <c r="BU273" s="1464"/>
      <c r="BV273" s="1464"/>
      <c r="BW273" s="1464"/>
      <c r="BX273" s="1464"/>
      <c r="BY273" s="1464"/>
      <c r="BZ273" s="1467"/>
      <c r="CZ273" s="3306"/>
      <c r="DZ273" s="1118"/>
    </row>
    <row r="274" spans="1:130" x14ac:dyDescent="0.25">
      <c r="A274" s="8261"/>
      <c r="B274" s="3053" t="s">
        <v>3154</v>
      </c>
      <c r="C274" s="3462">
        <f t="shared" si="37"/>
        <v>0</v>
      </c>
      <c r="D274" s="3463">
        <f t="shared" si="38"/>
        <v>0</v>
      </c>
      <c r="E274" s="3464">
        <f t="shared" si="38"/>
        <v>0</v>
      </c>
      <c r="F274" s="3028"/>
      <c r="G274" s="1882"/>
      <c r="H274" s="3028"/>
      <c r="I274" s="1882"/>
      <c r="J274" s="3028"/>
      <c r="K274" s="1882"/>
      <c r="L274" s="3028"/>
      <c r="M274" s="1882"/>
      <c r="N274" s="3028"/>
      <c r="O274" s="1882"/>
      <c r="P274" s="3028"/>
      <c r="Q274" s="1882"/>
      <c r="R274" s="3028"/>
      <c r="S274" s="1882"/>
      <c r="T274" s="3028"/>
      <c r="U274" s="1882"/>
      <c r="V274" s="3028"/>
      <c r="W274" s="1882"/>
      <c r="X274" s="3028"/>
      <c r="Y274" s="1882"/>
      <c r="Z274" s="3028"/>
      <c r="AA274" s="1882"/>
      <c r="AB274" s="3028"/>
      <c r="AC274" s="1882"/>
      <c r="AD274" s="3028"/>
      <c r="AE274" s="1882"/>
      <c r="AF274" s="3028"/>
      <c r="AG274" s="1882"/>
      <c r="AH274" s="3028"/>
      <c r="AI274" s="1882"/>
      <c r="AJ274" s="3028"/>
      <c r="AK274" s="1882"/>
      <c r="AL274" s="3028"/>
      <c r="AM274" s="3029"/>
      <c r="AN274" s="7472"/>
      <c r="AO274" s="7472"/>
      <c r="AP274" s="7473"/>
      <c r="AQ274" s="7474"/>
      <c r="AR274" s="7473"/>
      <c r="AS274" s="7474"/>
      <c r="AT274" s="7473"/>
      <c r="AU274" s="7475"/>
      <c r="AV274" s="7476"/>
      <c r="AW274" s="7477"/>
      <c r="AX274" s="1580"/>
      <c r="AZ274" s="1580"/>
      <c r="BT274" s="1464"/>
      <c r="BU274" s="1464"/>
      <c r="BV274" s="1464"/>
      <c r="BW274" s="1464"/>
      <c r="BX274" s="1464"/>
      <c r="BY274" s="1464"/>
      <c r="BZ274" s="1467"/>
      <c r="CZ274" s="3306"/>
      <c r="DZ274" s="1118"/>
    </row>
    <row r="275" spans="1:130" x14ac:dyDescent="0.25">
      <c r="A275" s="8261"/>
      <c r="B275" s="3053" t="s">
        <v>2594</v>
      </c>
      <c r="C275" s="3462">
        <f t="shared" si="37"/>
        <v>0</v>
      </c>
      <c r="D275" s="3463">
        <f t="shared" si="38"/>
        <v>0</v>
      </c>
      <c r="E275" s="3464">
        <f t="shared" si="38"/>
        <v>0</v>
      </c>
      <c r="F275" s="3028"/>
      <c r="G275" s="1882"/>
      <c r="H275" s="3028"/>
      <c r="I275" s="1882"/>
      <c r="J275" s="3028"/>
      <c r="K275" s="1882"/>
      <c r="L275" s="3028"/>
      <c r="M275" s="1882"/>
      <c r="N275" s="3028"/>
      <c r="O275" s="1882"/>
      <c r="P275" s="3028"/>
      <c r="Q275" s="1882"/>
      <c r="R275" s="3028"/>
      <c r="S275" s="1882"/>
      <c r="T275" s="3028"/>
      <c r="U275" s="1882"/>
      <c r="V275" s="3028"/>
      <c r="W275" s="1882"/>
      <c r="X275" s="3028"/>
      <c r="Y275" s="1882"/>
      <c r="Z275" s="3028"/>
      <c r="AA275" s="1882"/>
      <c r="AB275" s="3028"/>
      <c r="AC275" s="1882"/>
      <c r="AD275" s="3028"/>
      <c r="AE275" s="1882"/>
      <c r="AF275" s="3028"/>
      <c r="AG275" s="1882"/>
      <c r="AH275" s="3028"/>
      <c r="AI275" s="1882"/>
      <c r="AJ275" s="3028"/>
      <c r="AK275" s="1882"/>
      <c r="AL275" s="3028"/>
      <c r="AM275" s="3029"/>
      <c r="AN275" s="7472"/>
      <c r="AO275" s="7472"/>
      <c r="AP275" s="7473"/>
      <c r="AQ275" s="7474"/>
      <c r="AR275" s="7473"/>
      <c r="AS275" s="7474"/>
      <c r="AT275" s="7473"/>
      <c r="AU275" s="7475"/>
      <c r="AV275" s="7476"/>
      <c r="AW275" s="7477"/>
      <c r="AX275" s="1580"/>
      <c r="AZ275" s="1580"/>
      <c r="BT275" s="1464"/>
      <c r="BU275" s="1464"/>
      <c r="BV275" s="1464"/>
      <c r="BW275" s="1464"/>
      <c r="BX275" s="1464"/>
      <c r="BY275" s="1464"/>
      <c r="BZ275" s="1467"/>
      <c r="CZ275" s="3306"/>
      <c r="DZ275" s="1118"/>
    </row>
    <row r="276" spans="1:130" ht="21" x14ac:dyDescent="0.25">
      <c r="A276" s="8261"/>
      <c r="B276" s="3053" t="s">
        <v>3733</v>
      </c>
      <c r="C276" s="3462">
        <f t="shared" si="37"/>
        <v>0</v>
      </c>
      <c r="D276" s="3463">
        <f t="shared" si="38"/>
        <v>0</v>
      </c>
      <c r="E276" s="3464">
        <f t="shared" si="38"/>
        <v>0</v>
      </c>
      <c r="F276" s="3028"/>
      <c r="G276" s="1882"/>
      <c r="H276" s="3028"/>
      <c r="I276" s="1882"/>
      <c r="J276" s="3028"/>
      <c r="K276" s="1882"/>
      <c r="L276" s="3028"/>
      <c r="M276" s="1882"/>
      <c r="N276" s="3028"/>
      <c r="O276" s="1882"/>
      <c r="P276" s="3028"/>
      <c r="Q276" s="1882"/>
      <c r="R276" s="3028"/>
      <c r="S276" s="1882"/>
      <c r="T276" s="3028"/>
      <c r="U276" s="1882"/>
      <c r="V276" s="3028"/>
      <c r="W276" s="1882"/>
      <c r="X276" s="3028"/>
      <c r="Y276" s="1882"/>
      <c r="Z276" s="3028"/>
      <c r="AA276" s="1882"/>
      <c r="AB276" s="3028"/>
      <c r="AC276" s="1882"/>
      <c r="AD276" s="3028"/>
      <c r="AE276" s="1882"/>
      <c r="AF276" s="3028"/>
      <c r="AG276" s="1882"/>
      <c r="AH276" s="3028"/>
      <c r="AI276" s="1882"/>
      <c r="AJ276" s="3028"/>
      <c r="AK276" s="1882"/>
      <c r="AL276" s="3028"/>
      <c r="AM276" s="3029"/>
      <c r="AN276" s="7472"/>
      <c r="AO276" s="7472"/>
      <c r="AP276" s="7473"/>
      <c r="AQ276" s="7474"/>
      <c r="AR276" s="7473"/>
      <c r="AS276" s="7474"/>
      <c r="AT276" s="7473"/>
      <c r="AU276" s="7475"/>
      <c r="AV276" s="7476"/>
      <c r="AW276" s="7477"/>
      <c r="AX276" s="1580"/>
      <c r="AZ276" s="1580"/>
      <c r="BT276" s="1464"/>
      <c r="BU276" s="1464"/>
      <c r="BV276" s="1464"/>
      <c r="BW276" s="1464"/>
      <c r="BX276" s="1464"/>
      <c r="BY276" s="1464"/>
      <c r="BZ276" s="1467"/>
      <c r="CZ276" s="3306"/>
      <c r="DZ276" s="1118"/>
    </row>
    <row r="277" spans="1:130" x14ac:dyDescent="0.25">
      <c r="A277" s="8261"/>
      <c r="B277" s="3053" t="s">
        <v>1263</v>
      </c>
      <c r="C277" s="3462">
        <f t="shared" si="37"/>
        <v>0</v>
      </c>
      <c r="D277" s="3463">
        <f t="shared" si="38"/>
        <v>0</v>
      </c>
      <c r="E277" s="3464">
        <f t="shared" si="38"/>
        <v>0</v>
      </c>
      <c r="F277" s="3028"/>
      <c r="G277" s="1882"/>
      <c r="H277" s="3028"/>
      <c r="I277" s="1882"/>
      <c r="J277" s="3028"/>
      <c r="K277" s="1882"/>
      <c r="L277" s="3028"/>
      <c r="M277" s="1882"/>
      <c r="N277" s="3028"/>
      <c r="O277" s="1882"/>
      <c r="P277" s="3028"/>
      <c r="Q277" s="1882"/>
      <c r="R277" s="3028"/>
      <c r="S277" s="1882"/>
      <c r="T277" s="3028"/>
      <c r="U277" s="1882"/>
      <c r="V277" s="3028"/>
      <c r="W277" s="1882"/>
      <c r="X277" s="3028"/>
      <c r="Y277" s="1882"/>
      <c r="Z277" s="3028"/>
      <c r="AA277" s="1882"/>
      <c r="AB277" s="3028"/>
      <c r="AC277" s="1882"/>
      <c r="AD277" s="3028"/>
      <c r="AE277" s="1882"/>
      <c r="AF277" s="3028"/>
      <c r="AG277" s="1882"/>
      <c r="AH277" s="3028"/>
      <c r="AI277" s="1882"/>
      <c r="AJ277" s="3028"/>
      <c r="AK277" s="1882"/>
      <c r="AL277" s="3028"/>
      <c r="AM277" s="3029"/>
      <c r="AN277" s="7472"/>
      <c r="AO277" s="7472"/>
      <c r="AP277" s="7473"/>
      <c r="AQ277" s="7474"/>
      <c r="AR277" s="7473"/>
      <c r="AS277" s="7474"/>
      <c r="AT277" s="7473"/>
      <c r="AU277" s="7475"/>
      <c r="AV277" s="7476"/>
      <c r="AW277" s="7477"/>
      <c r="AX277" s="1580"/>
      <c r="AZ277" s="1580"/>
      <c r="BT277" s="1464"/>
      <c r="BU277" s="1464"/>
      <c r="BV277" s="1464"/>
      <c r="BW277" s="1464"/>
      <c r="BX277" s="1464"/>
      <c r="BY277" s="1464"/>
      <c r="BZ277" s="1467"/>
      <c r="CZ277" s="3306"/>
      <c r="DZ277" s="1118"/>
    </row>
    <row r="278" spans="1:130" x14ac:dyDescent="0.25">
      <c r="A278" s="8262"/>
      <c r="B278" s="3458" t="s">
        <v>3135</v>
      </c>
      <c r="C278" s="3459">
        <f t="shared" si="37"/>
        <v>0</v>
      </c>
      <c r="D278" s="3460">
        <f t="shared" ref="D278:E293" si="42">SUM(F278,H278,J278,L278,N278,P278,R278,T278,V278,X278,Z278,AB278,AD278,AF278,AH278,AJ278,AL278)</f>
        <v>0</v>
      </c>
      <c r="E278" s="3461">
        <f t="shared" si="42"/>
        <v>0</v>
      </c>
      <c r="F278" s="3473">
        <f t="shared" ref="F278:AM278" si="43">SUM(F272:F277)</f>
        <v>0</v>
      </c>
      <c r="G278" s="3474">
        <f t="shared" si="43"/>
        <v>0</v>
      </c>
      <c r="H278" s="3473">
        <f t="shared" si="43"/>
        <v>0</v>
      </c>
      <c r="I278" s="3474">
        <f t="shared" si="43"/>
        <v>0</v>
      </c>
      <c r="J278" s="3473">
        <f t="shared" si="43"/>
        <v>0</v>
      </c>
      <c r="K278" s="3475">
        <f t="shared" si="43"/>
        <v>0</v>
      </c>
      <c r="L278" s="3473">
        <f t="shared" si="43"/>
        <v>0</v>
      </c>
      <c r="M278" s="3475">
        <f t="shared" si="43"/>
        <v>0</v>
      </c>
      <c r="N278" s="3473">
        <f t="shared" si="43"/>
        <v>0</v>
      </c>
      <c r="O278" s="3475">
        <f t="shared" si="43"/>
        <v>0</v>
      </c>
      <c r="P278" s="3473">
        <f t="shared" si="43"/>
        <v>0</v>
      </c>
      <c r="Q278" s="3475">
        <f t="shared" si="43"/>
        <v>0</v>
      </c>
      <c r="R278" s="3473">
        <f t="shared" si="43"/>
        <v>0</v>
      </c>
      <c r="S278" s="3475">
        <f t="shared" si="43"/>
        <v>0</v>
      </c>
      <c r="T278" s="3473">
        <f t="shared" si="43"/>
        <v>0</v>
      </c>
      <c r="U278" s="3475">
        <f t="shared" si="43"/>
        <v>0</v>
      </c>
      <c r="V278" s="3473">
        <f t="shared" si="43"/>
        <v>0</v>
      </c>
      <c r="W278" s="3475">
        <f t="shared" si="43"/>
        <v>0</v>
      </c>
      <c r="X278" s="3473">
        <f t="shared" si="43"/>
        <v>0</v>
      </c>
      <c r="Y278" s="3475">
        <f t="shared" si="43"/>
        <v>0</v>
      </c>
      <c r="Z278" s="3473">
        <f t="shared" si="43"/>
        <v>0</v>
      </c>
      <c r="AA278" s="3475">
        <f t="shared" si="43"/>
        <v>0</v>
      </c>
      <c r="AB278" s="3473">
        <f t="shared" si="43"/>
        <v>0</v>
      </c>
      <c r="AC278" s="3475">
        <f t="shared" si="43"/>
        <v>0</v>
      </c>
      <c r="AD278" s="3473">
        <f t="shared" si="43"/>
        <v>0</v>
      </c>
      <c r="AE278" s="3475">
        <f t="shared" si="43"/>
        <v>0</v>
      </c>
      <c r="AF278" s="3473">
        <f t="shared" si="43"/>
        <v>0</v>
      </c>
      <c r="AG278" s="3475">
        <f t="shared" si="43"/>
        <v>0</v>
      </c>
      <c r="AH278" s="3473">
        <f t="shared" si="43"/>
        <v>0</v>
      </c>
      <c r="AI278" s="3475">
        <f t="shared" si="43"/>
        <v>0</v>
      </c>
      <c r="AJ278" s="3473">
        <f t="shared" si="43"/>
        <v>0</v>
      </c>
      <c r="AK278" s="3475">
        <f t="shared" si="43"/>
        <v>0</v>
      </c>
      <c r="AL278" s="3476">
        <f t="shared" si="43"/>
        <v>0</v>
      </c>
      <c r="AM278" s="3477">
        <f t="shared" si="43"/>
        <v>0</v>
      </c>
      <c r="AN278" s="7478"/>
      <c r="AO278" s="7478"/>
      <c r="AP278" s="7479"/>
      <c r="AQ278" s="7480"/>
      <c r="AR278" s="7479"/>
      <c r="AS278" s="7480"/>
      <c r="AT278" s="7481"/>
      <c r="AU278" s="7482"/>
      <c r="AV278" s="7483"/>
      <c r="AW278" s="7484"/>
      <c r="AX278" s="1580"/>
      <c r="AZ278" s="1580"/>
      <c r="BT278" s="1464"/>
      <c r="BU278" s="1464"/>
      <c r="BV278" s="1464"/>
      <c r="BW278" s="1464"/>
      <c r="BX278" s="1464"/>
      <c r="BY278" s="1464"/>
      <c r="BZ278" s="1467"/>
      <c r="CZ278" s="3306"/>
      <c r="DZ278" s="1118"/>
    </row>
    <row r="279" spans="1:130" x14ac:dyDescent="0.25">
      <c r="A279" s="8260" t="s">
        <v>3566</v>
      </c>
      <c r="B279" s="3450" t="s">
        <v>2590</v>
      </c>
      <c r="C279" s="3451">
        <f t="shared" si="37"/>
        <v>0</v>
      </c>
      <c r="D279" s="3452">
        <f t="shared" si="42"/>
        <v>0</v>
      </c>
      <c r="E279" s="3453">
        <f t="shared" si="42"/>
        <v>0</v>
      </c>
      <c r="F279" s="3116"/>
      <c r="G279" s="3122"/>
      <c r="H279" s="3116"/>
      <c r="I279" s="3122"/>
      <c r="J279" s="3116"/>
      <c r="K279" s="3122"/>
      <c r="L279" s="3116"/>
      <c r="M279" s="3122"/>
      <c r="N279" s="3116"/>
      <c r="O279" s="3122"/>
      <c r="P279" s="3116"/>
      <c r="Q279" s="3122"/>
      <c r="R279" s="3116"/>
      <c r="S279" s="3122"/>
      <c r="T279" s="3116"/>
      <c r="U279" s="3122"/>
      <c r="V279" s="3116"/>
      <c r="W279" s="3122"/>
      <c r="X279" s="3116"/>
      <c r="Y279" s="3122"/>
      <c r="Z279" s="3116"/>
      <c r="AA279" s="3122"/>
      <c r="AB279" s="3116"/>
      <c r="AC279" s="3122"/>
      <c r="AD279" s="3116"/>
      <c r="AE279" s="3122"/>
      <c r="AF279" s="3116"/>
      <c r="AG279" s="3122"/>
      <c r="AH279" s="3116"/>
      <c r="AI279" s="3122"/>
      <c r="AJ279" s="3116"/>
      <c r="AK279" s="3122"/>
      <c r="AL279" s="3116"/>
      <c r="AM279" s="2968"/>
      <c r="AN279" s="7460"/>
      <c r="AO279" s="7460"/>
      <c r="AP279" s="7461"/>
      <c r="AQ279" s="7462"/>
      <c r="AR279" s="7461"/>
      <c r="AS279" s="7462"/>
      <c r="AT279" s="7461"/>
      <c r="AU279" s="7463"/>
      <c r="AV279" s="7464"/>
      <c r="AW279" s="7465"/>
      <c r="AX279" s="1580"/>
      <c r="AZ279" s="1580"/>
      <c r="BT279" s="1464"/>
      <c r="BU279" s="1464"/>
      <c r="BV279" s="1464"/>
      <c r="BW279" s="1464"/>
      <c r="BX279" s="1464"/>
      <c r="BY279" s="1464"/>
      <c r="BZ279" s="1467"/>
      <c r="CZ279" s="3306"/>
      <c r="DZ279" s="1118"/>
    </row>
    <row r="280" spans="1:130" x14ac:dyDescent="0.25">
      <c r="A280" s="8261"/>
      <c r="B280" s="3454" t="s">
        <v>60</v>
      </c>
      <c r="C280" s="3455">
        <f t="shared" si="37"/>
        <v>0</v>
      </c>
      <c r="D280" s="3456">
        <f t="shared" si="42"/>
        <v>0</v>
      </c>
      <c r="E280" s="3457">
        <f t="shared" si="42"/>
        <v>0</v>
      </c>
      <c r="F280" s="3058"/>
      <c r="G280" s="3059"/>
      <c r="H280" s="3058"/>
      <c r="I280" s="3059"/>
      <c r="J280" s="3058"/>
      <c r="K280" s="3059"/>
      <c r="L280" s="3058"/>
      <c r="M280" s="3059"/>
      <c r="N280" s="3058"/>
      <c r="O280" s="3059"/>
      <c r="P280" s="3058"/>
      <c r="Q280" s="3059"/>
      <c r="R280" s="3058"/>
      <c r="S280" s="3059"/>
      <c r="T280" s="3058"/>
      <c r="U280" s="3059"/>
      <c r="V280" s="3058"/>
      <c r="W280" s="3059"/>
      <c r="X280" s="3058"/>
      <c r="Y280" s="3059"/>
      <c r="Z280" s="3058"/>
      <c r="AA280" s="3059"/>
      <c r="AB280" s="3058"/>
      <c r="AC280" s="3059"/>
      <c r="AD280" s="3058"/>
      <c r="AE280" s="3059"/>
      <c r="AF280" s="3058"/>
      <c r="AG280" s="3059"/>
      <c r="AH280" s="3058"/>
      <c r="AI280" s="3059"/>
      <c r="AJ280" s="3058"/>
      <c r="AK280" s="3059"/>
      <c r="AL280" s="3058"/>
      <c r="AM280" s="2507"/>
      <c r="AN280" s="7466"/>
      <c r="AO280" s="7466"/>
      <c r="AP280" s="7467"/>
      <c r="AQ280" s="7468"/>
      <c r="AR280" s="7467"/>
      <c r="AS280" s="7468"/>
      <c r="AT280" s="7467"/>
      <c r="AU280" s="7469"/>
      <c r="AV280" s="7470"/>
      <c r="AW280" s="7471"/>
      <c r="AX280" s="1580"/>
      <c r="AZ280" s="1580"/>
      <c r="BT280" s="1464"/>
      <c r="BU280" s="1464"/>
      <c r="BV280" s="1464"/>
      <c r="BW280" s="1464"/>
      <c r="BX280" s="1464"/>
      <c r="BY280" s="1464"/>
      <c r="BZ280" s="1467"/>
      <c r="CZ280" s="3306"/>
      <c r="DZ280" s="1118"/>
    </row>
    <row r="281" spans="1:130" x14ac:dyDescent="0.25">
      <c r="A281" s="8261"/>
      <c r="B281" s="3053" t="s">
        <v>3154</v>
      </c>
      <c r="C281" s="3462">
        <f t="shared" si="37"/>
        <v>0</v>
      </c>
      <c r="D281" s="3463">
        <f t="shared" si="42"/>
        <v>0</v>
      </c>
      <c r="E281" s="3464">
        <f t="shared" si="42"/>
        <v>0</v>
      </c>
      <c r="F281" s="3028"/>
      <c r="G281" s="1882"/>
      <c r="H281" s="3028"/>
      <c r="I281" s="1882"/>
      <c r="J281" s="3028"/>
      <c r="K281" s="1882"/>
      <c r="L281" s="3028"/>
      <c r="M281" s="1882"/>
      <c r="N281" s="3028"/>
      <c r="O281" s="1882"/>
      <c r="P281" s="3028"/>
      <c r="Q281" s="1882"/>
      <c r="R281" s="3028"/>
      <c r="S281" s="1882"/>
      <c r="T281" s="3028"/>
      <c r="U281" s="1882"/>
      <c r="V281" s="3028"/>
      <c r="W281" s="1882"/>
      <c r="X281" s="3028"/>
      <c r="Y281" s="1882"/>
      <c r="Z281" s="3028"/>
      <c r="AA281" s="1882"/>
      <c r="AB281" s="3028"/>
      <c r="AC281" s="1882"/>
      <c r="AD281" s="3028"/>
      <c r="AE281" s="1882"/>
      <c r="AF281" s="3028"/>
      <c r="AG281" s="1882"/>
      <c r="AH281" s="3028"/>
      <c r="AI281" s="1882"/>
      <c r="AJ281" s="3028"/>
      <c r="AK281" s="1882"/>
      <c r="AL281" s="3028"/>
      <c r="AM281" s="3029"/>
      <c r="AN281" s="7472"/>
      <c r="AO281" s="7472"/>
      <c r="AP281" s="7473"/>
      <c r="AQ281" s="7474"/>
      <c r="AR281" s="7473"/>
      <c r="AS281" s="7474"/>
      <c r="AT281" s="7473"/>
      <c r="AU281" s="7475"/>
      <c r="AV281" s="7476"/>
      <c r="AW281" s="7477"/>
      <c r="AX281" s="1580"/>
      <c r="AZ281" s="1580"/>
      <c r="BT281" s="1464"/>
      <c r="BU281" s="1464"/>
      <c r="BV281" s="1464"/>
      <c r="BW281" s="1464"/>
      <c r="BX281" s="1464"/>
      <c r="BY281" s="1464"/>
      <c r="BZ281" s="1467"/>
      <c r="CZ281" s="3306"/>
      <c r="DZ281" s="1118"/>
    </row>
    <row r="282" spans="1:130" x14ac:dyDescent="0.25">
      <c r="A282" s="8261"/>
      <c r="B282" s="3053" t="s">
        <v>2594</v>
      </c>
      <c r="C282" s="3462">
        <f t="shared" si="37"/>
        <v>0</v>
      </c>
      <c r="D282" s="3463">
        <f t="shared" si="42"/>
        <v>0</v>
      </c>
      <c r="E282" s="3464">
        <f t="shared" si="42"/>
        <v>0</v>
      </c>
      <c r="F282" s="3028"/>
      <c r="G282" s="1882"/>
      <c r="H282" s="3028"/>
      <c r="I282" s="1882"/>
      <c r="J282" s="3028"/>
      <c r="K282" s="1882"/>
      <c r="L282" s="3028"/>
      <c r="M282" s="1882"/>
      <c r="N282" s="3028"/>
      <c r="O282" s="1882"/>
      <c r="P282" s="3028"/>
      <c r="Q282" s="1882"/>
      <c r="R282" s="3028"/>
      <c r="S282" s="1882"/>
      <c r="T282" s="3028"/>
      <c r="U282" s="1882"/>
      <c r="V282" s="3028"/>
      <c r="W282" s="1882"/>
      <c r="X282" s="3028"/>
      <c r="Y282" s="1882"/>
      <c r="Z282" s="3028"/>
      <c r="AA282" s="1882"/>
      <c r="AB282" s="3028"/>
      <c r="AC282" s="1882"/>
      <c r="AD282" s="3028"/>
      <c r="AE282" s="1882"/>
      <c r="AF282" s="3028"/>
      <c r="AG282" s="1882"/>
      <c r="AH282" s="3028"/>
      <c r="AI282" s="1882"/>
      <c r="AJ282" s="3028"/>
      <c r="AK282" s="1882"/>
      <c r="AL282" s="3028"/>
      <c r="AM282" s="3029"/>
      <c r="AN282" s="7472"/>
      <c r="AO282" s="7472"/>
      <c r="AP282" s="7473"/>
      <c r="AQ282" s="7474"/>
      <c r="AR282" s="7473"/>
      <c r="AS282" s="7474"/>
      <c r="AT282" s="7473"/>
      <c r="AU282" s="7475"/>
      <c r="AV282" s="7476"/>
      <c r="AW282" s="7477"/>
      <c r="AX282" s="1580"/>
      <c r="AZ282" s="1580"/>
      <c r="BT282" s="1464"/>
      <c r="BU282" s="1464"/>
      <c r="BV282" s="1464"/>
      <c r="BW282" s="1464"/>
      <c r="BX282" s="1464"/>
      <c r="BY282" s="1464"/>
      <c r="BZ282" s="1467"/>
      <c r="CZ282" s="3306"/>
      <c r="DZ282" s="1118"/>
    </row>
    <row r="283" spans="1:130" ht="15" customHeight="1" x14ac:dyDescent="0.25">
      <c r="A283" s="8261"/>
      <c r="B283" s="3053" t="s">
        <v>3733</v>
      </c>
      <c r="C283" s="3462">
        <f t="shared" si="37"/>
        <v>0</v>
      </c>
      <c r="D283" s="3463">
        <f t="shared" si="42"/>
        <v>0</v>
      </c>
      <c r="E283" s="3464">
        <f t="shared" si="42"/>
        <v>0</v>
      </c>
      <c r="F283" s="3028"/>
      <c r="G283" s="1882"/>
      <c r="H283" s="3028"/>
      <c r="I283" s="1882"/>
      <c r="J283" s="3028"/>
      <c r="K283" s="1882"/>
      <c r="L283" s="3028"/>
      <c r="M283" s="1882"/>
      <c r="N283" s="3028"/>
      <c r="O283" s="1882"/>
      <c r="P283" s="3028"/>
      <c r="Q283" s="1882"/>
      <c r="R283" s="3028"/>
      <c r="S283" s="1882"/>
      <c r="T283" s="3028"/>
      <c r="U283" s="1882"/>
      <c r="V283" s="3028"/>
      <c r="W283" s="1882"/>
      <c r="X283" s="3028"/>
      <c r="Y283" s="1882"/>
      <c r="Z283" s="3028"/>
      <c r="AA283" s="1882"/>
      <c r="AB283" s="3028"/>
      <c r="AC283" s="1882"/>
      <c r="AD283" s="3028"/>
      <c r="AE283" s="1882"/>
      <c r="AF283" s="3028"/>
      <c r="AG283" s="1882"/>
      <c r="AH283" s="3028"/>
      <c r="AI283" s="1882"/>
      <c r="AJ283" s="3028"/>
      <c r="AK283" s="1882"/>
      <c r="AL283" s="3028"/>
      <c r="AM283" s="3029"/>
      <c r="AN283" s="7472"/>
      <c r="AO283" s="7472"/>
      <c r="AP283" s="7473"/>
      <c r="AQ283" s="7474"/>
      <c r="AR283" s="7473"/>
      <c r="AS283" s="7474"/>
      <c r="AT283" s="7473"/>
      <c r="AU283" s="7475"/>
      <c r="AV283" s="7476"/>
      <c r="AW283" s="7477"/>
      <c r="AX283" s="1580"/>
      <c r="AZ283" s="1580"/>
      <c r="BT283" s="1464"/>
      <c r="BU283" s="1464"/>
      <c r="BV283" s="1464"/>
      <c r="BW283" s="1464"/>
      <c r="BX283" s="1464"/>
      <c r="BY283" s="1464"/>
      <c r="BZ283" s="1467"/>
      <c r="CZ283" s="3306"/>
      <c r="DZ283" s="1118"/>
    </row>
    <row r="284" spans="1:130" x14ac:dyDescent="0.25">
      <c r="A284" s="8261"/>
      <c r="B284" s="3053" t="s">
        <v>1566</v>
      </c>
      <c r="C284" s="3462">
        <f t="shared" si="37"/>
        <v>0</v>
      </c>
      <c r="D284" s="3463">
        <f t="shared" si="42"/>
        <v>0</v>
      </c>
      <c r="E284" s="3464">
        <f t="shared" si="42"/>
        <v>0</v>
      </c>
      <c r="F284" s="3028"/>
      <c r="G284" s="1882"/>
      <c r="H284" s="3028"/>
      <c r="I284" s="1882"/>
      <c r="J284" s="3028"/>
      <c r="K284" s="1882"/>
      <c r="L284" s="3028"/>
      <c r="M284" s="1882"/>
      <c r="N284" s="3028"/>
      <c r="O284" s="1882"/>
      <c r="P284" s="3028"/>
      <c r="Q284" s="1882"/>
      <c r="R284" s="3028"/>
      <c r="S284" s="1882"/>
      <c r="T284" s="3028"/>
      <c r="U284" s="1882"/>
      <c r="V284" s="3028"/>
      <c r="W284" s="1882"/>
      <c r="X284" s="3028"/>
      <c r="Y284" s="1882"/>
      <c r="Z284" s="3028"/>
      <c r="AA284" s="1882"/>
      <c r="AB284" s="3028"/>
      <c r="AC284" s="1882"/>
      <c r="AD284" s="3028"/>
      <c r="AE284" s="1882"/>
      <c r="AF284" s="3028"/>
      <c r="AG284" s="1882"/>
      <c r="AH284" s="3028"/>
      <c r="AI284" s="1882"/>
      <c r="AJ284" s="3028"/>
      <c r="AK284" s="1882"/>
      <c r="AL284" s="3028"/>
      <c r="AM284" s="3029"/>
      <c r="AN284" s="7472"/>
      <c r="AO284" s="7472"/>
      <c r="AP284" s="7473"/>
      <c r="AQ284" s="7474"/>
      <c r="AR284" s="7473"/>
      <c r="AS284" s="7474"/>
      <c r="AT284" s="7473"/>
      <c r="AU284" s="7475"/>
      <c r="AV284" s="7476"/>
      <c r="AW284" s="7477"/>
      <c r="AX284" s="1580"/>
      <c r="AZ284" s="1580"/>
      <c r="BT284" s="1464"/>
      <c r="BU284" s="1464"/>
      <c r="BV284" s="1464"/>
      <c r="BW284" s="1464"/>
      <c r="BX284" s="1464"/>
      <c r="BY284" s="1464"/>
      <c r="BZ284" s="1467"/>
      <c r="CZ284" s="3306"/>
      <c r="DZ284" s="1118"/>
    </row>
    <row r="285" spans="1:130" x14ac:dyDescent="0.25">
      <c r="A285" s="8261"/>
      <c r="B285" s="3053" t="s">
        <v>1014</v>
      </c>
      <c r="C285" s="3462">
        <f t="shared" si="37"/>
        <v>0</v>
      </c>
      <c r="D285" s="3463">
        <f t="shared" si="42"/>
        <v>0</v>
      </c>
      <c r="E285" s="3464">
        <f t="shared" si="42"/>
        <v>0</v>
      </c>
      <c r="F285" s="3028"/>
      <c r="G285" s="1882"/>
      <c r="H285" s="3028"/>
      <c r="I285" s="1882"/>
      <c r="J285" s="3028"/>
      <c r="K285" s="1882"/>
      <c r="L285" s="3028"/>
      <c r="M285" s="1882"/>
      <c r="N285" s="3028"/>
      <c r="O285" s="1882"/>
      <c r="P285" s="3028"/>
      <c r="Q285" s="1882"/>
      <c r="R285" s="3028"/>
      <c r="S285" s="1882"/>
      <c r="T285" s="3028"/>
      <c r="U285" s="1882"/>
      <c r="V285" s="3028"/>
      <c r="W285" s="1882"/>
      <c r="X285" s="3028"/>
      <c r="Y285" s="1882"/>
      <c r="Z285" s="3028"/>
      <c r="AA285" s="1882"/>
      <c r="AB285" s="3028"/>
      <c r="AC285" s="1882"/>
      <c r="AD285" s="3028"/>
      <c r="AE285" s="1882"/>
      <c r="AF285" s="3028"/>
      <c r="AG285" s="1882"/>
      <c r="AH285" s="3028"/>
      <c r="AI285" s="1882"/>
      <c r="AJ285" s="3028"/>
      <c r="AK285" s="1882"/>
      <c r="AL285" s="3028"/>
      <c r="AM285" s="3029"/>
      <c r="AN285" s="7472"/>
      <c r="AO285" s="7472"/>
      <c r="AP285" s="7473"/>
      <c r="AQ285" s="7474"/>
      <c r="AR285" s="7473"/>
      <c r="AS285" s="7474"/>
      <c r="AT285" s="7473"/>
      <c r="AU285" s="7475"/>
      <c r="AV285" s="7476"/>
      <c r="AW285" s="7477"/>
      <c r="AX285" s="1580"/>
      <c r="AZ285" s="1580"/>
      <c r="BT285" s="1464"/>
      <c r="BU285" s="1464"/>
      <c r="BV285" s="1464"/>
      <c r="BW285" s="1464"/>
      <c r="BX285" s="1464"/>
      <c r="BY285" s="1464"/>
      <c r="BZ285" s="1467"/>
      <c r="CZ285" s="3306"/>
      <c r="DZ285" s="1118"/>
    </row>
    <row r="286" spans="1:130" x14ac:dyDescent="0.25">
      <c r="A286" s="8261"/>
      <c r="B286" s="3053" t="s">
        <v>62</v>
      </c>
      <c r="C286" s="3462">
        <f t="shared" si="37"/>
        <v>0</v>
      </c>
      <c r="D286" s="3463">
        <f t="shared" si="42"/>
        <v>0</v>
      </c>
      <c r="E286" s="3464">
        <f t="shared" si="42"/>
        <v>0</v>
      </c>
      <c r="F286" s="3028"/>
      <c r="G286" s="1882"/>
      <c r="H286" s="3028"/>
      <c r="I286" s="1882"/>
      <c r="J286" s="3028"/>
      <c r="K286" s="1882"/>
      <c r="L286" s="3028"/>
      <c r="M286" s="1882"/>
      <c r="N286" s="3028"/>
      <c r="O286" s="1882"/>
      <c r="P286" s="3028"/>
      <c r="Q286" s="1882"/>
      <c r="R286" s="3028"/>
      <c r="S286" s="1882"/>
      <c r="T286" s="3028"/>
      <c r="U286" s="1882"/>
      <c r="V286" s="3028"/>
      <c r="W286" s="1882"/>
      <c r="X286" s="3028"/>
      <c r="Y286" s="1882"/>
      <c r="Z286" s="3028"/>
      <c r="AA286" s="1882"/>
      <c r="AB286" s="3028"/>
      <c r="AC286" s="1882"/>
      <c r="AD286" s="3028"/>
      <c r="AE286" s="1882"/>
      <c r="AF286" s="3028"/>
      <c r="AG286" s="1882"/>
      <c r="AH286" s="3028"/>
      <c r="AI286" s="1882"/>
      <c r="AJ286" s="3028"/>
      <c r="AK286" s="1882"/>
      <c r="AL286" s="3028"/>
      <c r="AM286" s="3029"/>
      <c r="AN286" s="7472"/>
      <c r="AO286" s="7472"/>
      <c r="AP286" s="7473"/>
      <c r="AQ286" s="7474"/>
      <c r="AR286" s="7473"/>
      <c r="AS286" s="7474"/>
      <c r="AT286" s="7473"/>
      <c r="AU286" s="7475"/>
      <c r="AV286" s="7476"/>
      <c r="AW286" s="7477"/>
      <c r="AX286" s="1580"/>
      <c r="AZ286" s="1580"/>
      <c r="BT286" s="1464"/>
      <c r="BU286" s="1464"/>
      <c r="BV286" s="1464"/>
      <c r="BW286" s="1464"/>
      <c r="BX286" s="1464"/>
      <c r="BY286" s="1464"/>
      <c r="BZ286" s="1467"/>
      <c r="CZ286" s="3306"/>
      <c r="DZ286" s="1118"/>
    </row>
    <row r="287" spans="1:130" x14ac:dyDescent="0.25">
      <c r="A287" s="8261"/>
      <c r="B287" s="3053" t="s">
        <v>2785</v>
      </c>
      <c r="C287" s="3462">
        <f t="shared" si="37"/>
        <v>0</v>
      </c>
      <c r="D287" s="3463">
        <f t="shared" si="42"/>
        <v>0</v>
      </c>
      <c r="E287" s="3464">
        <f t="shared" si="42"/>
        <v>0</v>
      </c>
      <c r="F287" s="3028"/>
      <c r="G287" s="1882"/>
      <c r="H287" s="3028"/>
      <c r="I287" s="1882"/>
      <c r="J287" s="3028"/>
      <c r="K287" s="1882"/>
      <c r="L287" s="3028"/>
      <c r="M287" s="1882"/>
      <c r="N287" s="3028"/>
      <c r="O287" s="1882"/>
      <c r="P287" s="3028"/>
      <c r="Q287" s="1882"/>
      <c r="R287" s="3028"/>
      <c r="S287" s="1882"/>
      <c r="T287" s="3028"/>
      <c r="U287" s="1882"/>
      <c r="V287" s="3028"/>
      <c r="W287" s="1882"/>
      <c r="X287" s="3028"/>
      <c r="Y287" s="1882"/>
      <c r="Z287" s="3028"/>
      <c r="AA287" s="1882"/>
      <c r="AB287" s="3028"/>
      <c r="AC287" s="1882"/>
      <c r="AD287" s="3028"/>
      <c r="AE287" s="1882"/>
      <c r="AF287" s="3028"/>
      <c r="AG287" s="1882"/>
      <c r="AH287" s="3028"/>
      <c r="AI287" s="1882"/>
      <c r="AJ287" s="3028"/>
      <c r="AK287" s="1882"/>
      <c r="AL287" s="3028"/>
      <c r="AM287" s="3029"/>
      <c r="AN287" s="7472"/>
      <c r="AO287" s="7472"/>
      <c r="AP287" s="7473"/>
      <c r="AQ287" s="7474"/>
      <c r="AR287" s="7473"/>
      <c r="AS287" s="7474"/>
      <c r="AT287" s="7473"/>
      <c r="AU287" s="7475"/>
      <c r="AV287" s="7476"/>
      <c r="AW287" s="7477"/>
      <c r="AX287" s="1580"/>
      <c r="AZ287" s="1580"/>
      <c r="BT287" s="1464"/>
      <c r="BU287" s="1464"/>
      <c r="BV287" s="1464"/>
      <c r="BW287" s="1464"/>
      <c r="BX287" s="1464"/>
      <c r="BY287" s="1464"/>
      <c r="BZ287" s="1467"/>
      <c r="CZ287" s="3306"/>
      <c r="DZ287" s="1118"/>
    </row>
    <row r="288" spans="1:130" x14ac:dyDescent="0.25">
      <c r="A288" s="8261"/>
      <c r="B288" s="3053" t="s">
        <v>1509</v>
      </c>
      <c r="C288" s="3462">
        <f t="shared" si="37"/>
        <v>0</v>
      </c>
      <c r="D288" s="3463">
        <f t="shared" si="42"/>
        <v>0</v>
      </c>
      <c r="E288" s="3464">
        <f t="shared" si="42"/>
        <v>0</v>
      </c>
      <c r="F288" s="3028"/>
      <c r="G288" s="1882"/>
      <c r="H288" s="3028"/>
      <c r="I288" s="1882"/>
      <c r="J288" s="3028"/>
      <c r="K288" s="1882"/>
      <c r="L288" s="3028"/>
      <c r="M288" s="1882"/>
      <c r="N288" s="3028"/>
      <c r="O288" s="1882"/>
      <c r="P288" s="3028"/>
      <c r="Q288" s="1882"/>
      <c r="R288" s="3028"/>
      <c r="S288" s="1882"/>
      <c r="T288" s="3028"/>
      <c r="U288" s="1882"/>
      <c r="V288" s="3028"/>
      <c r="W288" s="1882"/>
      <c r="X288" s="3028"/>
      <c r="Y288" s="1882"/>
      <c r="Z288" s="3028"/>
      <c r="AA288" s="1882"/>
      <c r="AB288" s="3028"/>
      <c r="AC288" s="1882"/>
      <c r="AD288" s="3028"/>
      <c r="AE288" s="1882"/>
      <c r="AF288" s="3028"/>
      <c r="AG288" s="1882"/>
      <c r="AH288" s="3028"/>
      <c r="AI288" s="1882"/>
      <c r="AJ288" s="3028"/>
      <c r="AK288" s="1882"/>
      <c r="AL288" s="3028"/>
      <c r="AM288" s="3029"/>
      <c r="AN288" s="7472"/>
      <c r="AO288" s="7472"/>
      <c r="AP288" s="7473"/>
      <c r="AQ288" s="7474"/>
      <c r="AR288" s="7473"/>
      <c r="AS288" s="7474"/>
      <c r="AT288" s="7473"/>
      <c r="AU288" s="7475"/>
      <c r="AV288" s="7476"/>
      <c r="AW288" s="7477"/>
      <c r="AX288" s="1580"/>
      <c r="AZ288" s="1580"/>
      <c r="BT288" s="1464"/>
      <c r="BU288" s="1464"/>
      <c r="BV288" s="1464"/>
      <c r="BW288" s="1464"/>
      <c r="BX288" s="1464"/>
      <c r="BY288" s="1464"/>
      <c r="BZ288" s="1467"/>
      <c r="CZ288" s="3306"/>
      <c r="DZ288" s="1118"/>
    </row>
    <row r="289" spans="1:130" x14ac:dyDescent="0.25">
      <c r="A289" s="8261"/>
      <c r="B289" s="3053" t="s">
        <v>1263</v>
      </c>
      <c r="C289" s="3462">
        <f>SUM(D289,E289)</f>
        <v>0</v>
      </c>
      <c r="D289" s="3463">
        <f t="shared" si="42"/>
        <v>0</v>
      </c>
      <c r="E289" s="3464">
        <f t="shared" si="42"/>
        <v>0</v>
      </c>
      <c r="F289" s="3028"/>
      <c r="G289" s="1882"/>
      <c r="H289" s="3028"/>
      <c r="I289" s="1882"/>
      <c r="J289" s="3028"/>
      <c r="K289" s="1882"/>
      <c r="L289" s="3028"/>
      <c r="M289" s="1882"/>
      <c r="N289" s="3028"/>
      <c r="O289" s="1882"/>
      <c r="P289" s="3028"/>
      <c r="Q289" s="1882"/>
      <c r="R289" s="3028"/>
      <c r="S289" s="1882"/>
      <c r="T289" s="3028"/>
      <c r="U289" s="1882"/>
      <c r="V289" s="3028"/>
      <c r="W289" s="1882"/>
      <c r="X289" s="3028"/>
      <c r="Y289" s="1882"/>
      <c r="Z289" s="3028"/>
      <c r="AA289" s="1882"/>
      <c r="AB289" s="3028"/>
      <c r="AC289" s="1882"/>
      <c r="AD289" s="3028"/>
      <c r="AE289" s="1882"/>
      <c r="AF289" s="3028"/>
      <c r="AG289" s="1882"/>
      <c r="AH289" s="3028"/>
      <c r="AI289" s="1882"/>
      <c r="AJ289" s="3028"/>
      <c r="AK289" s="1882"/>
      <c r="AL289" s="3028"/>
      <c r="AM289" s="3029"/>
      <c r="AN289" s="7472"/>
      <c r="AO289" s="7472"/>
      <c r="AP289" s="7473"/>
      <c r="AQ289" s="7474"/>
      <c r="AR289" s="7473"/>
      <c r="AS289" s="7474"/>
      <c r="AT289" s="7473"/>
      <c r="AU289" s="7475"/>
      <c r="AV289" s="7476"/>
      <c r="AW289" s="7477"/>
      <c r="AX289" s="1580"/>
      <c r="AZ289" s="1580"/>
      <c r="BT289" s="1464"/>
      <c r="BU289" s="1464"/>
      <c r="BV289" s="1464"/>
      <c r="BW289" s="1464"/>
      <c r="BX289" s="1464"/>
      <c r="BY289" s="1464"/>
      <c r="BZ289" s="1467"/>
      <c r="CZ289" s="3306"/>
      <c r="DZ289" s="1118"/>
    </row>
    <row r="290" spans="1:130" x14ac:dyDescent="0.25">
      <c r="A290" s="8262"/>
      <c r="B290" s="3458" t="s">
        <v>3135</v>
      </c>
      <c r="C290" s="3459">
        <f>SUM(D290,E290)</f>
        <v>0</v>
      </c>
      <c r="D290" s="3460">
        <f t="shared" si="42"/>
        <v>0</v>
      </c>
      <c r="E290" s="3461">
        <f t="shared" si="42"/>
        <v>0</v>
      </c>
      <c r="F290" s="3473">
        <f t="shared" ref="F290:AM290" si="44">SUM(F279:F289)</f>
        <v>0</v>
      </c>
      <c r="G290" s="3474">
        <f t="shared" si="44"/>
        <v>0</v>
      </c>
      <c r="H290" s="3473">
        <f t="shared" si="44"/>
        <v>0</v>
      </c>
      <c r="I290" s="3474">
        <f t="shared" si="44"/>
        <v>0</v>
      </c>
      <c r="J290" s="3473">
        <f t="shared" si="44"/>
        <v>0</v>
      </c>
      <c r="K290" s="3475">
        <f t="shared" si="44"/>
        <v>0</v>
      </c>
      <c r="L290" s="3473">
        <f t="shared" si="44"/>
        <v>0</v>
      </c>
      <c r="M290" s="3475">
        <f t="shared" si="44"/>
        <v>0</v>
      </c>
      <c r="N290" s="3473">
        <f t="shared" si="44"/>
        <v>0</v>
      </c>
      <c r="O290" s="3475">
        <f t="shared" si="44"/>
        <v>0</v>
      </c>
      <c r="P290" s="3473">
        <f t="shared" si="44"/>
        <v>0</v>
      </c>
      <c r="Q290" s="3475">
        <f t="shared" si="44"/>
        <v>0</v>
      </c>
      <c r="R290" s="3473">
        <f t="shared" si="44"/>
        <v>0</v>
      </c>
      <c r="S290" s="3475">
        <f t="shared" si="44"/>
        <v>0</v>
      </c>
      <c r="T290" s="3473">
        <f t="shared" si="44"/>
        <v>0</v>
      </c>
      <c r="U290" s="3475">
        <f t="shared" si="44"/>
        <v>0</v>
      </c>
      <c r="V290" s="3473">
        <f t="shared" si="44"/>
        <v>0</v>
      </c>
      <c r="W290" s="3475">
        <f t="shared" si="44"/>
        <v>0</v>
      </c>
      <c r="X290" s="3473">
        <f t="shared" si="44"/>
        <v>0</v>
      </c>
      <c r="Y290" s="3475">
        <f t="shared" si="44"/>
        <v>0</v>
      </c>
      <c r="Z290" s="3473">
        <f t="shared" si="44"/>
        <v>0</v>
      </c>
      <c r="AA290" s="3475">
        <f t="shared" si="44"/>
        <v>0</v>
      </c>
      <c r="AB290" s="3473">
        <f t="shared" si="44"/>
        <v>0</v>
      </c>
      <c r="AC290" s="3475">
        <f t="shared" si="44"/>
        <v>0</v>
      </c>
      <c r="AD290" s="3473">
        <f t="shared" si="44"/>
        <v>0</v>
      </c>
      <c r="AE290" s="3475">
        <f t="shared" si="44"/>
        <v>0</v>
      </c>
      <c r="AF290" s="3473">
        <f t="shared" si="44"/>
        <v>0</v>
      </c>
      <c r="AG290" s="3475">
        <f t="shared" si="44"/>
        <v>0</v>
      </c>
      <c r="AH290" s="3473">
        <f t="shared" si="44"/>
        <v>0</v>
      </c>
      <c r="AI290" s="3475">
        <f t="shared" si="44"/>
        <v>0</v>
      </c>
      <c r="AJ290" s="3473">
        <f t="shared" si="44"/>
        <v>0</v>
      </c>
      <c r="AK290" s="3475">
        <f t="shared" si="44"/>
        <v>0</v>
      </c>
      <c r="AL290" s="3476">
        <f t="shared" si="44"/>
        <v>0</v>
      </c>
      <c r="AM290" s="3477">
        <f t="shared" si="44"/>
        <v>0</v>
      </c>
      <c r="AN290" s="7478"/>
      <c r="AO290" s="7478"/>
      <c r="AP290" s="7479"/>
      <c r="AQ290" s="7480"/>
      <c r="AR290" s="7479"/>
      <c r="AS290" s="7480"/>
      <c r="AT290" s="7481"/>
      <c r="AU290" s="7482"/>
      <c r="AV290" s="7483"/>
      <c r="AW290" s="7484"/>
      <c r="AX290" s="1580"/>
      <c r="AZ290" s="1580"/>
      <c r="BT290" s="1464"/>
      <c r="BU290" s="1464"/>
      <c r="BV290" s="1464"/>
      <c r="BW290" s="1464"/>
      <c r="BX290" s="1464"/>
      <c r="BY290" s="1464"/>
      <c r="BZ290" s="1467"/>
      <c r="CZ290" s="3306"/>
      <c r="DZ290" s="1118"/>
    </row>
    <row r="291" spans="1:130" x14ac:dyDescent="0.25">
      <c r="A291" s="8260" t="s">
        <v>3567</v>
      </c>
      <c r="B291" s="3450" t="s">
        <v>3112</v>
      </c>
      <c r="C291" s="3451">
        <f>SUM(D291,E291)</f>
        <v>0</v>
      </c>
      <c r="D291" s="3452">
        <f t="shared" si="42"/>
        <v>0</v>
      </c>
      <c r="E291" s="3453">
        <f t="shared" si="42"/>
        <v>0</v>
      </c>
      <c r="F291" s="3116"/>
      <c r="G291" s="3122"/>
      <c r="H291" s="3116"/>
      <c r="I291" s="3122"/>
      <c r="J291" s="3116"/>
      <c r="K291" s="3122"/>
      <c r="L291" s="3116"/>
      <c r="M291" s="3122"/>
      <c r="N291" s="3116"/>
      <c r="O291" s="3122"/>
      <c r="P291" s="3116"/>
      <c r="Q291" s="3122"/>
      <c r="R291" s="3116"/>
      <c r="S291" s="3122"/>
      <c r="T291" s="3116"/>
      <c r="U291" s="3122"/>
      <c r="V291" s="3116"/>
      <c r="W291" s="3122"/>
      <c r="X291" s="3116"/>
      <c r="Y291" s="3122"/>
      <c r="Z291" s="3116"/>
      <c r="AA291" s="3122"/>
      <c r="AB291" s="3116"/>
      <c r="AC291" s="3122"/>
      <c r="AD291" s="3116"/>
      <c r="AE291" s="3122"/>
      <c r="AF291" s="3116"/>
      <c r="AG291" s="3122"/>
      <c r="AH291" s="3116"/>
      <c r="AI291" s="3122"/>
      <c r="AJ291" s="3116"/>
      <c r="AK291" s="3122"/>
      <c r="AL291" s="3116"/>
      <c r="AM291" s="2968"/>
      <c r="AN291" s="7460"/>
      <c r="AO291" s="7460"/>
      <c r="AP291" s="7461"/>
      <c r="AQ291" s="7462"/>
      <c r="AR291" s="7461"/>
      <c r="AS291" s="7462"/>
      <c r="AT291" s="7461"/>
      <c r="AU291" s="7463"/>
      <c r="AV291" s="7464"/>
      <c r="AW291" s="7465"/>
      <c r="AX291" s="1580"/>
      <c r="AZ291" s="1580"/>
      <c r="BT291" s="1464"/>
      <c r="BU291" s="1464"/>
      <c r="BV291" s="1464"/>
      <c r="BW291" s="1464"/>
      <c r="BX291" s="1464"/>
      <c r="BY291" s="1464"/>
      <c r="BZ291" s="1467"/>
      <c r="CZ291" s="3306"/>
      <c r="DZ291" s="1118"/>
    </row>
    <row r="292" spans="1:130" x14ac:dyDescent="0.25">
      <c r="A292" s="8261"/>
      <c r="B292" s="3454" t="s">
        <v>60</v>
      </c>
      <c r="C292" s="3455">
        <f>SUM(D292,E292)</f>
        <v>0</v>
      </c>
      <c r="D292" s="3456">
        <f t="shared" si="42"/>
        <v>0</v>
      </c>
      <c r="E292" s="3457">
        <f t="shared" si="42"/>
        <v>0</v>
      </c>
      <c r="F292" s="3058"/>
      <c r="G292" s="3059"/>
      <c r="H292" s="3058"/>
      <c r="I292" s="3059"/>
      <c r="J292" s="3058"/>
      <c r="K292" s="3059"/>
      <c r="L292" s="3058"/>
      <c r="M292" s="3059"/>
      <c r="N292" s="3058"/>
      <c r="O292" s="3059"/>
      <c r="P292" s="3058"/>
      <c r="Q292" s="3059"/>
      <c r="R292" s="3058"/>
      <c r="S292" s="3059"/>
      <c r="T292" s="3058"/>
      <c r="U292" s="3059"/>
      <c r="V292" s="3058"/>
      <c r="W292" s="3059"/>
      <c r="X292" s="3058"/>
      <c r="Y292" s="3059"/>
      <c r="Z292" s="3058"/>
      <c r="AA292" s="3059"/>
      <c r="AB292" s="3058"/>
      <c r="AC292" s="3059"/>
      <c r="AD292" s="3058"/>
      <c r="AE292" s="3059"/>
      <c r="AF292" s="3058"/>
      <c r="AG292" s="3059"/>
      <c r="AH292" s="3058"/>
      <c r="AI292" s="3059"/>
      <c r="AJ292" s="3058"/>
      <c r="AK292" s="3059"/>
      <c r="AL292" s="3058"/>
      <c r="AM292" s="2507"/>
      <c r="AN292" s="7466"/>
      <c r="AO292" s="7466"/>
      <c r="AP292" s="7467"/>
      <c r="AQ292" s="7468"/>
      <c r="AR292" s="7467"/>
      <c r="AS292" s="7468"/>
      <c r="AT292" s="7467"/>
      <c r="AU292" s="7469"/>
      <c r="AV292" s="7470"/>
      <c r="AW292" s="7471"/>
      <c r="AX292" s="1580"/>
      <c r="AZ292" s="1580"/>
      <c r="BT292" s="1464"/>
      <c r="BU292" s="1464"/>
      <c r="BV292" s="1464"/>
      <c r="BW292" s="1464"/>
      <c r="BX292" s="1464"/>
      <c r="BY292" s="1464"/>
      <c r="BZ292" s="1467"/>
      <c r="CZ292" s="3306"/>
      <c r="DZ292" s="1118"/>
    </row>
    <row r="293" spans="1:130" s="1601" customFormat="1" x14ac:dyDescent="0.25">
      <c r="A293" s="8261"/>
      <c r="B293" s="3053" t="s">
        <v>3136</v>
      </c>
      <c r="C293" s="3462">
        <f>SUM(D293,E293)</f>
        <v>0</v>
      </c>
      <c r="D293" s="3463">
        <f t="shared" si="42"/>
        <v>0</v>
      </c>
      <c r="E293" s="3464">
        <f t="shared" si="42"/>
        <v>0</v>
      </c>
      <c r="F293" s="3028"/>
      <c r="G293" s="1882"/>
      <c r="H293" s="3028"/>
      <c r="I293" s="1882"/>
      <c r="J293" s="3028"/>
      <c r="K293" s="1882"/>
      <c r="L293" s="3028"/>
      <c r="M293" s="1882"/>
      <c r="N293" s="3028"/>
      <c r="O293" s="1882"/>
      <c r="P293" s="3028"/>
      <c r="Q293" s="1882"/>
      <c r="R293" s="3028"/>
      <c r="S293" s="1882"/>
      <c r="T293" s="3028"/>
      <c r="U293" s="1882"/>
      <c r="V293" s="3028"/>
      <c r="W293" s="1882"/>
      <c r="X293" s="3028"/>
      <c r="Y293" s="1882"/>
      <c r="Z293" s="3028"/>
      <c r="AA293" s="1882"/>
      <c r="AB293" s="3028"/>
      <c r="AC293" s="1882"/>
      <c r="AD293" s="3028"/>
      <c r="AE293" s="1882"/>
      <c r="AF293" s="3028"/>
      <c r="AG293" s="1882"/>
      <c r="AH293" s="3028"/>
      <c r="AI293" s="1882"/>
      <c r="AJ293" s="3028"/>
      <c r="AK293" s="1882"/>
      <c r="AL293" s="3028"/>
      <c r="AM293" s="3029"/>
      <c r="AN293" s="7472"/>
      <c r="AO293" s="7472"/>
      <c r="AP293" s="7473"/>
      <c r="AQ293" s="7474"/>
      <c r="AR293" s="7473"/>
      <c r="AS293" s="7474"/>
      <c r="AT293" s="7473"/>
      <c r="AU293" s="7475"/>
      <c r="AV293" s="7476"/>
      <c r="AW293" s="7477"/>
      <c r="AX293" s="1580"/>
      <c r="AY293" s="1187"/>
      <c r="AZ293" s="1580"/>
      <c r="BA293" s="1580"/>
      <c r="BB293" s="1580"/>
      <c r="BC293" s="1580"/>
      <c r="BD293" s="1580"/>
      <c r="BE293" s="1580"/>
      <c r="BF293" s="1580"/>
      <c r="BG293" s="1580"/>
      <c r="BH293" s="1580"/>
      <c r="BI293" s="1580"/>
      <c r="BJ293" s="1580"/>
      <c r="BK293" s="1580"/>
      <c r="BL293" s="1580"/>
      <c r="BM293" s="1580"/>
      <c r="BN293" s="1580"/>
      <c r="BO293" s="1580"/>
      <c r="BP293" s="1580"/>
      <c r="BQ293" s="1580"/>
      <c r="BR293" s="1580"/>
      <c r="BS293" s="1580"/>
      <c r="BT293" s="1464"/>
      <c r="BU293" s="1464"/>
      <c r="BV293" s="1464"/>
      <c r="BW293" s="1464"/>
      <c r="BX293" s="1464"/>
      <c r="BY293" s="1464"/>
      <c r="BZ293" s="1467"/>
      <c r="CA293" s="1464"/>
      <c r="CB293" s="1464"/>
      <c r="CC293" s="1464"/>
      <c r="CD293" s="1464"/>
      <c r="CE293" s="1464"/>
      <c r="CF293" s="1464"/>
      <c r="CG293" s="1464"/>
      <c r="CH293" s="1464"/>
      <c r="CI293" s="1464"/>
      <c r="CJ293" s="1464"/>
      <c r="CK293" s="1464"/>
      <c r="CL293" s="1464"/>
      <c r="CM293" s="1464"/>
      <c r="CN293" s="1464"/>
      <c r="CO293" s="1464"/>
      <c r="CP293" s="1464"/>
      <c r="CQ293" s="1464"/>
      <c r="CR293" s="1464"/>
      <c r="CS293" s="1464"/>
      <c r="CT293" s="1464"/>
      <c r="CU293" s="1464"/>
      <c r="CV293" s="1464"/>
      <c r="CW293" s="1464"/>
      <c r="CX293" s="1464"/>
      <c r="CY293" s="1464"/>
      <c r="CZ293" s="3306"/>
      <c r="DA293" s="3306"/>
      <c r="DB293" s="3306"/>
      <c r="DC293" s="3306"/>
      <c r="DD293" s="3306"/>
      <c r="DE293" s="3306"/>
      <c r="DF293" s="3306"/>
      <c r="DG293" s="3306"/>
      <c r="DH293" s="3306"/>
      <c r="DI293" s="3306"/>
      <c r="DJ293" s="3306"/>
      <c r="DK293" s="3306"/>
      <c r="DL293" s="3306"/>
      <c r="DM293" s="3306"/>
      <c r="DN293" s="3306"/>
      <c r="DO293" s="3306"/>
      <c r="DP293" s="3306"/>
      <c r="DQ293" s="3306"/>
      <c r="DR293" s="3306"/>
      <c r="DS293" s="3306"/>
      <c r="DT293" s="3306"/>
      <c r="DU293" s="3306"/>
      <c r="DV293" s="3306"/>
      <c r="DW293" s="3306"/>
      <c r="DX293" s="3306"/>
      <c r="DY293" s="3306"/>
      <c r="DZ293" s="7366"/>
    </row>
    <row r="294" spans="1:130" x14ac:dyDescent="0.25">
      <c r="A294" s="8261"/>
      <c r="B294" s="3053" t="s">
        <v>3137</v>
      </c>
      <c r="C294" s="3462">
        <f t="shared" ref="C294:C309" si="45">SUM(D294,E294)</f>
        <v>0</v>
      </c>
      <c r="D294" s="3463">
        <f t="shared" ref="D294:E309" si="46">SUM(F294,H294,J294,L294,N294,P294,R294,T294,V294,X294,Z294,AB294,AD294,AF294,AH294,AJ294,AL294)</f>
        <v>0</v>
      </c>
      <c r="E294" s="3464">
        <f t="shared" si="46"/>
        <v>0</v>
      </c>
      <c r="F294" s="3028"/>
      <c r="G294" s="1882"/>
      <c r="H294" s="3028"/>
      <c r="I294" s="1882"/>
      <c r="J294" s="3028"/>
      <c r="K294" s="1882"/>
      <c r="L294" s="3028"/>
      <c r="M294" s="1882"/>
      <c r="N294" s="3028"/>
      <c r="O294" s="1882"/>
      <c r="P294" s="3028"/>
      <c r="Q294" s="1882"/>
      <c r="R294" s="3028"/>
      <c r="S294" s="1882"/>
      <c r="T294" s="3028"/>
      <c r="U294" s="1882"/>
      <c r="V294" s="3028"/>
      <c r="W294" s="1882"/>
      <c r="X294" s="3028"/>
      <c r="Y294" s="1882"/>
      <c r="Z294" s="3028"/>
      <c r="AA294" s="1882"/>
      <c r="AB294" s="3028"/>
      <c r="AC294" s="1882"/>
      <c r="AD294" s="3028"/>
      <c r="AE294" s="1882"/>
      <c r="AF294" s="3028"/>
      <c r="AG294" s="1882"/>
      <c r="AH294" s="3028"/>
      <c r="AI294" s="1882"/>
      <c r="AJ294" s="3028"/>
      <c r="AK294" s="1882"/>
      <c r="AL294" s="3028"/>
      <c r="AM294" s="3029"/>
      <c r="AN294" s="7472"/>
      <c r="AO294" s="7472"/>
      <c r="AP294" s="7473"/>
      <c r="AQ294" s="7474"/>
      <c r="AR294" s="7473"/>
      <c r="AS294" s="7474"/>
      <c r="AT294" s="7473"/>
      <c r="AU294" s="7475"/>
      <c r="AV294" s="7476"/>
      <c r="AW294" s="7477"/>
      <c r="AX294" s="1580"/>
      <c r="AZ294" s="1580"/>
      <c r="BT294" s="1464"/>
      <c r="BU294" s="1464"/>
      <c r="BV294" s="1464"/>
      <c r="BW294" s="1464"/>
      <c r="BX294" s="1464"/>
      <c r="BY294" s="1464"/>
      <c r="BZ294" s="1467"/>
      <c r="CZ294" s="3306"/>
      <c r="DZ294" s="1118"/>
    </row>
    <row r="295" spans="1:130" ht="15" customHeight="1" x14ac:dyDescent="0.25">
      <c r="A295" s="8261"/>
      <c r="B295" s="3053" t="s">
        <v>3733</v>
      </c>
      <c r="C295" s="3462">
        <f t="shared" si="45"/>
        <v>0</v>
      </c>
      <c r="D295" s="3463">
        <f t="shared" si="46"/>
        <v>0</v>
      </c>
      <c r="E295" s="3464">
        <f t="shared" si="46"/>
        <v>0</v>
      </c>
      <c r="F295" s="3028"/>
      <c r="G295" s="1882"/>
      <c r="H295" s="3028"/>
      <c r="I295" s="1882"/>
      <c r="J295" s="3028"/>
      <c r="K295" s="1882"/>
      <c r="L295" s="3028"/>
      <c r="M295" s="1882"/>
      <c r="N295" s="3028"/>
      <c r="O295" s="1882"/>
      <c r="P295" s="3028"/>
      <c r="Q295" s="1882"/>
      <c r="R295" s="3028"/>
      <c r="S295" s="1882"/>
      <c r="T295" s="3028"/>
      <c r="U295" s="1882"/>
      <c r="V295" s="3028"/>
      <c r="W295" s="1882"/>
      <c r="X295" s="3028"/>
      <c r="Y295" s="1882"/>
      <c r="Z295" s="3028"/>
      <c r="AA295" s="1882"/>
      <c r="AB295" s="3028"/>
      <c r="AC295" s="1882"/>
      <c r="AD295" s="3028"/>
      <c r="AE295" s="1882"/>
      <c r="AF295" s="3028"/>
      <c r="AG295" s="1882"/>
      <c r="AH295" s="3028"/>
      <c r="AI295" s="1882"/>
      <c r="AJ295" s="3028"/>
      <c r="AK295" s="1882"/>
      <c r="AL295" s="3028"/>
      <c r="AM295" s="3029"/>
      <c r="AN295" s="7472"/>
      <c r="AO295" s="7472"/>
      <c r="AP295" s="7473"/>
      <c r="AQ295" s="7474"/>
      <c r="AR295" s="7473"/>
      <c r="AS295" s="7474"/>
      <c r="AT295" s="7473"/>
      <c r="AU295" s="7475"/>
      <c r="AV295" s="7476"/>
      <c r="AW295" s="7477"/>
      <c r="AX295" s="1580"/>
      <c r="AZ295" s="1580"/>
      <c r="BT295" s="1464"/>
      <c r="BU295" s="1464"/>
      <c r="BV295" s="1464"/>
      <c r="BW295" s="1464"/>
      <c r="BX295" s="1464"/>
      <c r="BY295" s="1464"/>
      <c r="BZ295" s="1467"/>
      <c r="CZ295" s="3306"/>
      <c r="DZ295" s="1118"/>
    </row>
    <row r="296" spans="1:130" x14ac:dyDescent="0.25">
      <c r="A296" s="8261"/>
      <c r="B296" s="3053" t="s">
        <v>1566</v>
      </c>
      <c r="C296" s="3462">
        <f t="shared" si="45"/>
        <v>0</v>
      </c>
      <c r="D296" s="3463">
        <f t="shared" si="46"/>
        <v>0</v>
      </c>
      <c r="E296" s="3464">
        <f t="shared" si="46"/>
        <v>0</v>
      </c>
      <c r="F296" s="3028"/>
      <c r="G296" s="1882"/>
      <c r="H296" s="3028"/>
      <c r="I296" s="1882"/>
      <c r="J296" s="3028"/>
      <c r="K296" s="1882"/>
      <c r="L296" s="3028"/>
      <c r="M296" s="1882"/>
      <c r="N296" s="3028"/>
      <c r="O296" s="1882"/>
      <c r="P296" s="3028"/>
      <c r="Q296" s="1882"/>
      <c r="R296" s="3028"/>
      <c r="S296" s="1882"/>
      <c r="T296" s="3028"/>
      <c r="U296" s="1882"/>
      <c r="V296" s="3028"/>
      <c r="W296" s="1882"/>
      <c r="X296" s="3028"/>
      <c r="Y296" s="1882"/>
      <c r="Z296" s="3028"/>
      <c r="AA296" s="1882"/>
      <c r="AB296" s="3028"/>
      <c r="AC296" s="1882"/>
      <c r="AD296" s="3028"/>
      <c r="AE296" s="1882"/>
      <c r="AF296" s="3028"/>
      <c r="AG296" s="1882"/>
      <c r="AH296" s="3028"/>
      <c r="AI296" s="1882"/>
      <c r="AJ296" s="3028"/>
      <c r="AK296" s="1882"/>
      <c r="AL296" s="3028"/>
      <c r="AM296" s="3029"/>
      <c r="AN296" s="7472"/>
      <c r="AO296" s="7472"/>
      <c r="AP296" s="7473"/>
      <c r="AQ296" s="7474"/>
      <c r="AR296" s="7473"/>
      <c r="AS296" s="7474"/>
      <c r="AT296" s="7473"/>
      <c r="AU296" s="7475"/>
      <c r="AV296" s="7476"/>
      <c r="AW296" s="7477"/>
      <c r="AX296" s="1580"/>
      <c r="AZ296" s="1580"/>
      <c r="BT296" s="1464"/>
      <c r="BU296" s="1464"/>
      <c r="BV296" s="1464"/>
      <c r="BW296" s="1464"/>
      <c r="BX296" s="1464"/>
      <c r="BY296" s="1464"/>
      <c r="BZ296" s="1467"/>
      <c r="CZ296" s="3306"/>
      <c r="DZ296" s="1118"/>
    </row>
    <row r="297" spans="1:130" x14ac:dyDescent="0.25">
      <c r="A297" s="8261"/>
      <c r="B297" s="3053" t="s">
        <v>1014</v>
      </c>
      <c r="C297" s="3462">
        <f t="shared" si="45"/>
        <v>0</v>
      </c>
      <c r="D297" s="3463">
        <f t="shared" si="46"/>
        <v>0</v>
      </c>
      <c r="E297" s="3464">
        <f t="shared" si="46"/>
        <v>0</v>
      </c>
      <c r="F297" s="3028"/>
      <c r="G297" s="1882"/>
      <c r="H297" s="3028"/>
      <c r="I297" s="1882"/>
      <c r="J297" s="3028"/>
      <c r="K297" s="1882"/>
      <c r="L297" s="3028"/>
      <c r="M297" s="1882"/>
      <c r="N297" s="3028"/>
      <c r="O297" s="1882"/>
      <c r="P297" s="3028"/>
      <c r="Q297" s="1882"/>
      <c r="R297" s="3028"/>
      <c r="S297" s="1882"/>
      <c r="T297" s="3028"/>
      <c r="U297" s="1882"/>
      <c r="V297" s="3028"/>
      <c r="W297" s="1882"/>
      <c r="X297" s="3028"/>
      <c r="Y297" s="1882"/>
      <c r="Z297" s="3028"/>
      <c r="AA297" s="1882"/>
      <c r="AB297" s="3028"/>
      <c r="AC297" s="1882"/>
      <c r="AD297" s="3028"/>
      <c r="AE297" s="1882"/>
      <c r="AF297" s="3028"/>
      <c r="AG297" s="1882"/>
      <c r="AH297" s="3028"/>
      <c r="AI297" s="1882"/>
      <c r="AJ297" s="3028"/>
      <c r="AK297" s="1882"/>
      <c r="AL297" s="3028"/>
      <c r="AM297" s="3029"/>
      <c r="AN297" s="7472"/>
      <c r="AO297" s="7472"/>
      <c r="AP297" s="7473"/>
      <c r="AQ297" s="7474"/>
      <c r="AR297" s="7473"/>
      <c r="AS297" s="7474"/>
      <c r="AT297" s="7473"/>
      <c r="AU297" s="7475"/>
      <c r="AV297" s="7476"/>
      <c r="AW297" s="7477"/>
      <c r="AX297" s="1580"/>
      <c r="AZ297" s="1580"/>
      <c r="BT297" s="1464"/>
      <c r="BU297" s="1464"/>
      <c r="BV297" s="1464"/>
      <c r="BW297" s="1464"/>
      <c r="BX297" s="1464"/>
      <c r="BY297" s="1464"/>
      <c r="BZ297" s="1467"/>
      <c r="CZ297" s="3306"/>
      <c r="DZ297" s="1118"/>
    </row>
    <row r="298" spans="1:130" x14ac:dyDescent="0.25">
      <c r="A298" s="8261"/>
      <c r="B298" s="3053" t="s">
        <v>62</v>
      </c>
      <c r="C298" s="3462">
        <f t="shared" si="45"/>
        <v>0</v>
      </c>
      <c r="D298" s="3463">
        <f t="shared" si="46"/>
        <v>0</v>
      </c>
      <c r="E298" s="3464">
        <f t="shared" si="46"/>
        <v>0</v>
      </c>
      <c r="F298" s="3028"/>
      <c r="G298" s="1882"/>
      <c r="H298" s="3028"/>
      <c r="I298" s="1882"/>
      <c r="J298" s="3028"/>
      <c r="K298" s="1882"/>
      <c r="L298" s="3028"/>
      <c r="M298" s="1882"/>
      <c r="N298" s="3028"/>
      <c r="O298" s="1882"/>
      <c r="P298" s="3028"/>
      <c r="Q298" s="1882"/>
      <c r="R298" s="3028"/>
      <c r="S298" s="1882"/>
      <c r="T298" s="3028"/>
      <c r="U298" s="1882"/>
      <c r="V298" s="3028"/>
      <c r="W298" s="1882"/>
      <c r="X298" s="3028"/>
      <c r="Y298" s="1882"/>
      <c r="Z298" s="3028"/>
      <c r="AA298" s="1882"/>
      <c r="AB298" s="3028"/>
      <c r="AC298" s="1882"/>
      <c r="AD298" s="3028"/>
      <c r="AE298" s="1882"/>
      <c r="AF298" s="3028"/>
      <c r="AG298" s="1882"/>
      <c r="AH298" s="3028"/>
      <c r="AI298" s="1882"/>
      <c r="AJ298" s="3028"/>
      <c r="AK298" s="1882"/>
      <c r="AL298" s="3028"/>
      <c r="AM298" s="3029"/>
      <c r="AN298" s="7472"/>
      <c r="AO298" s="7472"/>
      <c r="AP298" s="7473"/>
      <c r="AQ298" s="7474"/>
      <c r="AR298" s="7473"/>
      <c r="AS298" s="7474"/>
      <c r="AT298" s="7473"/>
      <c r="AU298" s="7475"/>
      <c r="AV298" s="7476"/>
      <c r="AW298" s="7477"/>
      <c r="AX298" s="1580"/>
      <c r="AZ298" s="1580"/>
      <c r="BT298" s="1464"/>
      <c r="BU298" s="1464"/>
      <c r="BV298" s="1464"/>
      <c r="BW298" s="1464"/>
      <c r="BX298" s="1464"/>
      <c r="BY298" s="1464"/>
      <c r="BZ298" s="1467"/>
      <c r="CZ298" s="3306"/>
      <c r="DZ298" s="1118"/>
    </row>
    <row r="299" spans="1:130" x14ac:dyDescent="0.25">
      <c r="A299" s="8261"/>
      <c r="B299" s="3053" t="s">
        <v>2785</v>
      </c>
      <c r="C299" s="3462">
        <f t="shared" si="45"/>
        <v>0</v>
      </c>
      <c r="D299" s="3463">
        <f t="shared" si="46"/>
        <v>0</v>
      </c>
      <c r="E299" s="3464">
        <f t="shared" si="46"/>
        <v>0</v>
      </c>
      <c r="F299" s="3028"/>
      <c r="G299" s="1882"/>
      <c r="H299" s="3028"/>
      <c r="I299" s="1882"/>
      <c r="J299" s="3028"/>
      <c r="K299" s="1882"/>
      <c r="L299" s="3028"/>
      <c r="M299" s="1882"/>
      <c r="N299" s="3028"/>
      <c r="O299" s="1882"/>
      <c r="P299" s="3028"/>
      <c r="Q299" s="1882"/>
      <c r="R299" s="3028"/>
      <c r="S299" s="1882"/>
      <c r="T299" s="3028"/>
      <c r="U299" s="1882"/>
      <c r="V299" s="3028"/>
      <c r="W299" s="1882"/>
      <c r="X299" s="3028"/>
      <c r="Y299" s="1882"/>
      <c r="Z299" s="3028"/>
      <c r="AA299" s="1882"/>
      <c r="AB299" s="3028"/>
      <c r="AC299" s="1882"/>
      <c r="AD299" s="3028"/>
      <c r="AE299" s="1882"/>
      <c r="AF299" s="3028"/>
      <c r="AG299" s="1882"/>
      <c r="AH299" s="3028"/>
      <c r="AI299" s="1882"/>
      <c r="AJ299" s="3028"/>
      <c r="AK299" s="1882"/>
      <c r="AL299" s="3028"/>
      <c r="AM299" s="3029"/>
      <c r="AN299" s="7472"/>
      <c r="AO299" s="7472"/>
      <c r="AP299" s="7473"/>
      <c r="AQ299" s="7474"/>
      <c r="AR299" s="7473"/>
      <c r="AS299" s="7474"/>
      <c r="AT299" s="7473"/>
      <c r="AU299" s="7475"/>
      <c r="AV299" s="7476"/>
      <c r="AW299" s="7477"/>
      <c r="AX299" s="1580"/>
      <c r="AZ299" s="1580"/>
      <c r="BT299" s="1464"/>
      <c r="BU299" s="1464"/>
      <c r="BV299" s="1464"/>
      <c r="BW299" s="1464"/>
      <c r="BX299" s="1464"/>
      <c r="BY299" s="1464"/>
      <c r="BZ299" s="1467"/>
      <c r="CZ299" s="3306"/>
      <c r="DZ299" s="1118"/>
    </row>
    <row r="300" spans="1:130" x14ac:dyDescent="0.25">
      <c r="A300" s="8261"/>
      <c r="B300" s="3053" t="s">
        <v>1509</v>
      </c>
      <c r="C300" s="3462">
        <f t="shared" si="45"/>
        <v>0</v>
      </c>
      <c r="D300" s="3463">
        <f t="shared" si="46"/>
        <v>0</v>
      </c>
      <c r="E300" s="3464">
        <f t="shared" si="46"/>
        <v>0</v>
      </c>
      <c r="F300" s="3028"/>
      <c r="G300" s="1882"/>
      <c r="H300" s="3028"/>
      <c r="I300" s="1882"/>
      <c r="J300" s="3028"/>
      <c r="K300" s="1882"/>
      <c r="L300" s="3028"/>
      <c r="M300" s="1882"/>
      <c r="N300" s="3028"/>
      <c r="O300" s="1882"/>
      <c r="P300" s="3028"/>
      <c r="Q300" s="1882"/>
      <c r="R300" s="3028"/>
      <c r="S300" s="1882"/>
      <c r="T300" s="3028"/>
      <c r="U300" s="1882"/>
      <c r="V300" s="3028"/>
      <c r="W300" s="1882"/>
      <c r="X300" s="3028"/>
      <c r="Y300" s="1882"/>
      <c r="Z300" s="3028"/>
      <c r="AA300" s="1882"/>
      <c r="AB300" s="3028"/>
      <c r="AC300" s="1882"/>
      <c r="AD300" s="3028"/>
      <c r="AE300" s="1882"/>
      <c r="AF300" s="3028"/>
      <c r="AG300" s="1882"/>
      <c r="AH300" s="3028"/>
      <c r="AI300" s="1882"/>
      <c r="AJ300" s="3028"/>
      <c r="AK300" s="1882"/>
      <c r="AL300" s="3028"/>
      <c r="AM300" s="3029"/>
      <c r="AN300" s="7472"/>
      <c r="AO300" s="7472"/>
      <c r="AP300" s="7473"/>
      <c r="AQ300" s="7474"/>
      <c r="AR300" s="7473"/>
      <c r="AS300" s="7474"/>
      <c r="AT300" s="7473"/>
      <c r="AU300" s="7475"/>
      <c r="AV300" s="7476"/>
      <c r="AW300" s="7477"/>
      <c r="AX300" s="1580"/>
      <c r="AZ300" s="1580"/>
      <c r="BT300" s="1464"/>
      <c r="BU300" s="1464"/>
      <c r="BV300" s="1464"/>
      <c r="BW300" s="1464"/>
      <c r="BX300" s="1464"/>
      <c r="BY300" s="1464"/>
      <c r="BZ300" s="1467"/>
      <c r="CZ300" s="3306"/>
      <c r="DZ300" s="1118"/>
    </row>
    <row r="301" spans="1:130" x14ac:dyDescent="0.25">
      <c r="A301" s="8261"/>
      <c r="B301" s="3053" t="s">
        <v>1263</v>
      </c>
      <c r="C301" s="3462">
        <f t="shared" si="45"/>
        <v>0</v>
      </c>
      <c r="D301" s="3463">
        <f t="shared" si="46"/>
        <v>0</v>
      </c>
      <c r="E301" s="3464">
        <f t="shared" si="46"/>
        <v>0</v>
      </c>
      <c r="F301" s="3028"/>
      <c r="G301" s="1882"/>
      <c r="H301" s="3028"/>
      <c r="I301" s="1882"/>
      <c r="J301" s="3028"/>
      <c r="K301" s="1882"/>
      <c r="L301" s="3028"/>
      <c r="M301" s="1882"/>
      <c r="N301" s="3028"/>
      <c r="O301" s="1882"/>
      <c r="P301" s="3028"/>
      <c r="Q301" s="1882"/>
      <c r="R301" s="3028"/>
      <c r="S301" s="1882"/>
      <c r="T301" s="3028"/>
      <c r="U301" s="1882"/>
      <c r="V301" s="3028"/>
      <c r="W301" s="1882"/>
      <c r="X301" s="3028"/>
      <c r="Y301" s="1882"/>
      <c r="Z301" s="3028"/>
      <c r="AA301" s="1882"/>
      <c r="AB301" s="3028"/>
      <c r="AC301" s="1882"/>
      <c r="AD301" s="3028"/>
      <c r="AE301" s="1882"/>
      <c r="AF301" s="3028"/>
      <c r="AG301" s="1882"/>
      <c r="AH301" s="3028"/>
      <c r="AI301" s="1882"/>
      <c r="AJ301" s="3028"/>
      <c r="AK301" s="1882"/>
      <c r="AL301" s="3028"/>
      <c r="AM301" s="3029"/>
      <c r="AN301" s="7472"/>
      <c r="AO301" s="7472"/>
      <c r="AP301" s="7473"/>
      <c r="AQ301" s="7474"/>
      <c r="AR301" s="7473"/>
      <c r="AS301" s="7474"/>
      <c r="AT301" s="7473"/>
      <c r="AU301" s="7475"/>
      <c r="AV301" s="7476"/>
      <c r="AW301" s="7477"/>
      <c r="AX301" s="1580"/>
      <c r="AZ301" s="1580"/>
      <c r="BT301" s="1464"/>
      <c r="BU301" s="1464"/>
      <c r="BV301" s="1464"/>
      <c r="BW301" s="1464"/>
      <c r="BX301" s="1464"/>
      <c r="BY301" s="1464"/>
      <c r="BZ301" s="1467"/>
      <c r="CZ301" s="3306"/>
      <c r="DZ301" s="1118"/>
    </row>
    <row r="302" spans="1:130" x14ac:dyDescent="0.25">
      <c r="A302" s="8262"/>
      <c r="B302" s="3458" t="s">
        <v>3135</v>
      </c>
      <c r="C302" s="3459">
        <f t="shared" si="45"/>
        <v>0</v>
      </c>
      <c r="D302" s="3460">
        <f>SUM(F302,H302,J302,L302,N302,P302,R302,T302,V302,X302,Z302,AB302,AD302,AF302,AH302,AJ302,AL302)</f>
        <v>0</v>
      </c>
      <c r="E302" s="3461">
        <f t="shared" si="46"/>
        <v>0</v>
      </c>
      <c r="F302" s="3473">
        <f t="shared" ref="F302:AM302" si="47">SUM(F291:F301)</f>
        <v>0</v>
      </c>
      <c r="G302" s="3474">
        <f t="shared" si="47"/>
        <v>0</v>
      </c>
      <c r="H302" s="3473">
        <f t="shared" si="47"/>
        <v>0</v>
      </c>
      <c r="I302" s="3474">
        <f t="shared" si="47"/>
        <v>0</v>
      </c>
      <c r="J302" s="3473">
        <f t="shared" si="47"/>
        <v>0</v>
      </c>
      <c r="K302" s="3475">
        <f t="shared" si="47"/>
        <v>0</v>
      </c>
      <c r="L302" s="3473">
        <f t="shared" si="47"/>
        <v>0</v>
      </c>
      <c r="M302" s="3475">
        <f t="shared" si="47"/>
        <v>0</v>
      </c>
      <c r="N302" s="3473">
        <f t="shared" si="47"/>
        <v>0</v>
      </c>
      <c r="O302" s="3475">
        <f t="shared" si="47"/>
        <v>0</v>
      </c>
      <c r="P302" s="3473">
        <f t="shared" si="47"/>
        <v>0</v>
      </c>
      <c r="Q302" s="3475">
        <f t="shared" si="47"/>
        <v>0</v>
      </c>
      <c r="R302" s="3473">
        <f t="shared" si="47"/>
        <v>0</v>
      </c>
      <c r="S302" s="3475">
        <f t="shared" si="47"/>
        <v>0</v>
      </c>
      <c r="T302" s="3473">
        <f t="shared" si="47"/>
        <v>0</v>
      </c>
      <c r="U302" s="3475">
        <f t="shared" si="47"/>
        <v>0</v>
      </c>
      <c r="V302" s="3473">
        <f t="shared" si="47"/>
        <v>0</v>
      </c>
      <c r="W302" s="3475">
        <f t="shared" si="47"/>
        <v>0</v>
      </c>
      <c r="X302" s="3473">
        <f t="shared" si="47"/>
        <v>0</v>
      </c>
      <c r="Y302" s="3475">
        <f t="shared" si="47"/>
        <v>0</v>
      </c>
      <c r="Z302" s="3473">
        <f t="shared" si="47"/>
        <v>0</v>
      </c>
      <c r="AA302" s="3475">
        <f t="shared" si="47"/>
        <v>0</v>
      </c>
      <c r="AB302" s="3473">
        <f t="shared" si="47"/>
        <v>0</v>
      </c>
      <c r="AC302" s="3475">
        <f t="shared" si="47"/>
        <v>0</v>
      </c>
      <c r="AD302" s="3473">
        <f t="shared" si="47"/>
        <v>0</v>
      </c>
      <c r="AE302" s="3475">
        <f t="shared" si="47"/>
        <v>0</v>
      </c>
      <c r="AF302" s="3473">
        <f t="shared" si="47"/>
        <v>0</v>
      </c>
      <c r="AG302" s="3475">
        <f t="shared" si="47"/>
        <v>0</v>
      </c>
      <c r="AH302" s="3473">
        <f t="shared" si="47"/>
        <v>0</v>
      </c>
      <c r="AI302" s="3475">
        <f t="shared" si="47"/>
        <v>0</v>
      </c>
      <c r="AJ302" s="3473">
        <f t="shared" si="47"/>
        <v>0</v>
      </c>
      <c r="AK302" s="3475">
        <f t="shared" si="47"/>
        <v>0</v>
      </c>
      <c r="AL302" s="3476">
        <f t="shared" si="47"/>
        <v>0</v>
      </c>
      <c r="AM302" s="3477">
        <f t="shared" si="47"/>
        <v>0</v>
      </c>
      <c r="AN302" s="7478"/>
      <c r="AO302" s="7478"/>
      <c r="AP302" s="7479"/>
      <c r="AQ302" s="7480"/>
      <c r="AR302" s="7479"/>
      <c r="AS302" s="7480"/>
      <c r="AT302" s="7481"/>
      <c r="AU302" s="7482"/>
      <c r="AV302" s="7483"/>
      <c r="AW302" s="7484"/>
      <c r="AX302" s="1580"/>
      <c r="AZ302" s="1580"/>
      <c r="BT302" s="1464"/>
      <c r="BU302" s="1464"/>
      <c r="BV302" s="1464"/>
      <c r="BW302" s="1464"/>
      <c r="BX302" s="1464"/>
      <c r="BY302" s="1464"/>
      <c r="BZ302" s="1467"/>
      <c r="CZ302" s="3306"/>
      <c r="DZ302" s="1118"/>
    </row>
    <row r="303" spans="1:130" x14ac:dyDescent="0.25">
      <c r="A303" s="8260" t="s">
        <v>3568</v>
      </c>
      <c r="B303" s="3450" t="s">
        <v>2590</v>
      </c>
      <c r="C303" s="3451">
        <f t="shared" si="45"/>
        <v>0</v>
      </c>
      <c r="D303" s="3452">
        <f t="shared" si="46"/>
        <v>0</v>
      </c>
      <c r="E303" s="3453">
        <f t="shared" si="46"/>
        <v>0</v>
      </c>
      <c r="F303" s="3116"/>
      <c r="G303" s="3122"/>
      <c r="H303" s="3116"/>
      <c r="I303" s="3122"/>
      <c r="J303" s="3116"/>
      <c r="K303" s="3122"/>
      <c r="L303" s="3116"/>
      <c r="M303" s="3122"/>
      <c r="N303" s="3116"/>
      <c r="O303" s="3122"/>
      <c r="P303" s="3116"/>
      <c r="Q303" s="3122"/>
      <c r="R303" s="3116"/>
      <c r="S303" s="3122"/>
      <c r="T303" s="3116"/>
      <c r="U303" s="3122"/>
      <c r="V303" s="3116"/>
      <c r="W303" s="3122"/>
      <c r="X303" s="3116"/>
      <c r="Y303" s="3122"/>
      <c r="Z303" s="3116"/>
      <c r="AA303" s="3122"/>
      <c r="AB303" s="3116"/>
      <c r="AC303" s="3122"/>
      <c r="AD303" s="3116"/>
      <c r="AE303" s="3122"/>
      <c r="AF303" s="3116"/>
      <c r="AG303" s="3122"/>
      <c r="AH303" s="3116"/>
      <c r="AI303" s="3122"/>
      <c r="AJ303" s="3116"/>
      <c r="AK303" s="3122"/>
      <c r="AL303" s="3116"/>
      <c r="AM303" s="2968"/>
      <c r="AN303" s="7460"/>
      <c r="AO303" s="7460"/>
      <c r="AP303" s="7461"/>
      <c r="AQ303" s="7462"/>
      <c r="AR303" s="7461"/>
      <c r="AS303" s="7462"/>
      <c r="AT303" s="7461"/>
      <c r="AU303" s="7463"/>
      <c r="AV303" s="7464"/>
      <c r="AW303" s="7465"/>
      <c r="AX303" s="1580"/>
      <c r="AZ303" s="1580"/>
      <c r="BT303" s="1464"/>
      <c r="BU303" s="1464"/>
      <c r="BV303" s="1464"/>
      <c r="BW303" s="1464"/>
      <c r="BX303" s="1464"/>
      <c r="BY303" s="1464"/>
      <c r="BZ303" s="1467"/>
      <c r="CZ303" s="3306"/>
      <c r="DZ303" s="1118"/>
    </row>
    <row r="304" spans="1:130" x14ac:dyDescent="0.25">
      <c r="A304" s="8261"/>
      <c r="B304" s="3454" t="s">
        <v>60</v>
      </c>
      <c r="C304" s="3455">
        <f t="shared" si="45"/>
        <v>0</v>
      </c>
      <c r="D304" s="3456">
        <f t="shared" si="46"/>
        <v>0</v>
      </c>
      <c r="E304" s="3457">
        <f t="shared" si="46"/>
        <v>0</v>
      </c>
      <c r="F304" s="3058"/>
      <c r="G304" s="3059"/>
      <c r="H304" s="3058"/>
      <c r="I304" s="3059"/>
      <c r="J304" s="3058"/>
      <c r="K304" s="3059"/>
      <c r="L304" s="3058"/>
      <c r="M304" s="3059"/>
      <c r="N304" s="3058"/>
      <c r="O304" s="3059"/>
      <c r="P304" s="3058"/>
      <c r="Q304" s="3059"/>
      <c r="R304" s="3058"/>
      <c r="S304" s="3059"/>
      <c r="T304" s="3058"/>
      <c r="U304" s="3059"/>
      <c r="V304" s="3058"/>
      <c r="W304" s="3059"/>
      <c r="X304" s="3058"/>
      <c r="Y304" s="3059"/>
      <c r="Z304" s="3058"/>
      <c r="AA304" s="3059"/>
      <c r="AB304" s="3058"/>
      <c r="AC304" s="3059"/>
      <c r="AD304" s="3058"/>
      <c r="AE304" s="3059"/>
      <c r="AF304" s="3058"/>
      <c r="AG304" s="3059"/>
      <c r="AH304" s="3058"/>
      <c r="AI304" s="3059"/>
      <c r="AJ304" s="3058"/>
      <c r="AK304" s="3059"/>
      <c r="AL304" s="3058"/>
      <c r="AM304" s="2507"/>
      <c r="AN304" s="7466"/>
      <c r="AO304" s="7466"/>
      <c r="AP304" s="7467"/>
      <c r="AQ304" s="7468"/>
      <c r="AR304" s="7467"/>
      <c r="AS304" s="7468"/>
      <c r="AT304" s="7467"/>
      <c r="AU304" s="7469"/>
      <c r="AV304" s="7470"/>
      <c r="AW304" s="7471"/>
      <c r="AX304" s="1580"/>
      <c r="AZ304" s="1580"/>
      <c r="BT304" s="1464"/>
      <c r="BU304" s="1464"/>
      <c r="BV304" s="1464"/>
      <c r="BW304" s="1464"/>
      <c r="BX304" s="1464"/>
      <c r="BY304" s="1464"/>
      <c r="BZ304" s="1467"/>
      <c r="CZ304" s="3306"/>
      <c r="DZ304" s="1118"/>
    </row>
    <row r="305" spans="1:130" x14ac:dyDescent="0.25">
      <c r="A305" s="8261"/>
      <c r="B305" s="3053" t="s">
        <v>3154</v>
      </c>
      <c r="C305" s="3462">
        <f t="shared" si="45"/>
        <v>0</v>
      </c>
      <c r="D305" s="3463">
        <f t="shared" si="46"/>
        <v>0</v>
      </c>
      <c r="E305" s="3464">
        <f t="shared" si="46"/>
        <v>0</v>
      </c>
      <c r="F305" s="3028"/>
      <c r="G305" s="1882"/>
      <c r="H305" s="3028"/>
      <c r="I305" s="1882"/>
      <c r="J305" s="3028"/>
      <c r="K305" s="1882"/>
      <c r="L305" s="3028"/>
      <c r="M305" s="1882"/>
      <c r="N305" s="3028"/>
      <c r="O305" s="1882"/>
      <c r="P305" s="3028"/>
      <c r="Q305" s="1882"/>
      <c r="R305" s="3028"/>
      <c r="S305" s="1882"/>
      <c r="T305" s="3028"/>
      <c r="U305" s="1882"/>
      <c r="V305" s="3028"/>
      <c r="W305" s="1882"/>
      <c r="X305" s="3028"/>
      <c r="Y305" s="1882"/>
      <c r="Z305" s="3028"/>
      <c r="AA305" s="1882"/>
      <c r="AB305" s="3028"/>
      <c r="AC305" s="1882"/>
      <c r="AD305" s="3028"/>
      <c r="AE305" s="1882"/>
      <c r="AF305" s="3028"/>
      <c r="AG305" s="1882"/>
      <c r="AH305" s="3028"/>
      <c r="AI305" s="1882"/>
      <c r="AJ305" s="3028"/>
      <c r="AK305" s="1882"/>
      <c r="AL305" s="3028"/>
      <c r="AM305" s="3029"/>
      <c r="AN305" s="7472"/>
      <c r="AO305" s="7472"/>
      <c r="AP305" s="7473"/>
      <c r="AQ305" s="7474"/>
      <c r="AR305" s="7473"/>
      <c r="AS305" s="7474"/>
      <c r="AT305" s="7473"/>
      <c r="AU305" s="7475"/>
      <c r="AV305" s="7476"/>
      <c r="AW305" s="7477"/>
      <c r="AX305" s="1580"/>
      <c r="AZ305" s="1580"/>
      <c r="BT305" s="1464"/>
      <c r="BU305" s="1464"/>
      <c r="BV305" s="1464"/>
      <c r="BW305" s="1464"/>
      <c r="BX305" s="1464"/>
      <c r="BY305" s="1464"/>
      <c r="BZ305" s="1467"/>
      <c r="CZ305" s="3306"/>
      <c r="DZ305" s="1118"/>
    </row>
    <row r="306" spans="1:130" x14ac:dyDescent="0.25">
      <c r="A306" s="8261"/>
      <c r="B306" s="3053" t="s">
        <v>2594</v>
      </c>
      <c r="C306" s="3462">
        <f t="shared" si="45"/>
        <v>0</v>
      </c>
      <c r="D306" s="3463">
        <f t="shared" si="46"/>
        <v>0</v>
      </c>
      <c r="E306" s="3464">
        <f t="shared" si="46"/>
        <v>0</v>
      </c>
      <c r="F306" s="3028"/>
      <c r="G306" s="1882"/>
      <c r="H306" s="3028"/>
      <c r="I306" s="1882"/>
      <c r="J306" s="3028"/>
      <c r="K306" s="1882"/>
      <c r="L306" s="3028"/>
      <c r="M306" s="1882"/>
      <c r="N306" s="3028"/>
      <c r="O306" s="1882"/>
      <c r="P306" s="3028"/>
      <c r="Q306" s="1882"/>
      <c r="R306" s="3028"/>
      <c r="S306" s="1882"/>
      <c r="T306" s="3028"/>
      <c r="U306" s="1882"/>
      <c r="V306" s="3028"/>
      <c r="W306" s="1882"/>
      <c r="X306" s="3028"/>
      <c r="Y306" s="1882"/>
      <c r="Z306" s="3028"/>
      <c r="AA306" s="1882"/>
      <c r="AB306" s="3028"/>
      <c r="AC306" s="1882"/>
      <c r="AD306" s="3028"/>
      <c r="AE306" s="1882"/>
      <c r="AF306" s="3028"/>
      <c r="AG306" s="1882"/>
      <c r="AH306" s="3028"/>
      <c r="AI306" s="1882"/>
      <c r="AJ306" s="3028"/>
      <c r="AK306" s="1882"/>
      <c r="AL306" s="3028"/>
      <c r="AM306" s="3029"/>
      <c r="AN306" s="7472"/>
      <c r="AO306" s="7472"/>
      <c r="AP306" s="7473"/>
      <c r="AQ306" s="7474"/>
      <c r="AR306" s="7473"/>
      <c r="AS306" s="7474"/>
      <c r="AT306" s="7473"/>
      <c r="AU306" s="7475"/>
      <c r="AV306" s="7476"/>
      <c r="AW306" s="7477"/>
      <c r="AX306" s="1580"/>
      <c r="AZ306" s="1580"/>
      <c r="BT306" s="1464"/>
      <c r="BU306" s="1464"/>
      <c r="BV306" s="1464"/>
      <c r="BW306" s="1464"/>
      <c r="BX306" s="1464"/>
      <c r="BY306" s="1464"/>
      <c r="BZ306" s="1467"/>
      <c r="CZ306" s="3306"/>
      <c r="DZ306" s="1118"/>
    </row>
    <row r="307" spans="1:130" ht="15" customHeight="1" x14ac:dyDescent="0.25">
      <c r="A307" s="8261"/>
      <c r="B307" s="3053" t="s">
        <v>3733</v>
      </c>
      <c r="C307" s="3462">
        <f t="shared" si="45"/>
        <v>0</v>
      </c>
      <c r="D307" s="3463">
        <f t="shared" si="46"/>
        <v>0</v>
      </c>
      <c r="E307" s="3464">
        <f t="shared" si="46"/>
        <v>0</v>
      </c>
      <c r="F307" s="3028"/>
      <c r="G307" s="1882"/>
      <c r="H307" s="3028"/>
      <c r="I307" s="1882"/>
      <c r="J307" s="3028"/>
      <c r="K307" s="1882"/>
      <c r="L307" s="3028"/>
      <c r="M307" s="1882"/>
      <c r="N307" s="3028"/>
      <c r="O307" s="1882"/>
      <c r="P307" s="3028"/>
      <c r="Q307" s="1882"/>
      <c r="R307" s="3028"/>
      <c r="S307" s="1882"/>
      <c r="T307" s="3028"/>
      <c r="U307" s="1882"/>
      <c r="V307" s="3028"/>
      <c r="W307" s="1882"/>
      <c r="X307" s="3028"/>
      <c r="Y307" s="1882"/>
      <c r="Z307" s="3028"/>
      <c r="AA307" s="1882"/>
      <c r="AB307" s="3028"/>
      <c r="AC307" s="1882"/>
      <c r="AD307" s="3028"/>
      <c r="AE307" s="1882"/>
      <c r="AF307" s="3028"/>
      <c r="AG307" s="1882"/>
      <c r="AH307" s="3028"/>
      <c r="AI307" s="1882"/>
      <c r="AJ307" s="3028"/>
      <c r="AK307" s="1882"/>
      <c r="AL307" s="3028"/>
      <c r="AM307" s="3029"/>
      <c r="AN307" s="7472"/>
      <c r="AO307" s="7472"/>
      <c r="AP307" s="7473"/>
      <c r="AQ307" s="7474"/>
      <c r="AR307" s="7473"/>
      <c r="AS307" s="7474"/>
      <c r="AT307" s="7473"/>
      <c r="AU307" s="7475"/>
      <c r="AV307" s="7476"/>
      <c r="AW307" s="7477"/>
      <c r="AX307" s="1580"/>
      <c r="AZ307" s="1580"/>
      <c r="BT307" s="1464"/>
      <c r="BU307" s="1464"/>
      <c r="BV307" s="1464"/>
      <c r="BW307" s="1464"/>
      <c r="BX307" s="1464"/>
      <c r="BY307" s="1464"/>
      <c r="BZ307" s="1467"/>
      <c r="CZ307" s="3306"/>
      <c r="DZ307" s="1118"/>
    </row>
    <row r="308" spans="1:130" x14ac:dyDescent="0.25">
      <c r="A308" s="8261"/>
      <c r="B308" s="3053" t="s">
        <v>1263</v>
      </c>
      <c r="C308" s="3462">
        <f t="shared" si="45"/>
        <v>0</v>
      </c>
      <c r="D308" s="3463">
        <f t="shared" si="46"/>
        <v>0</v>
      </c>
      <c r="E308" s="3464">
        <f t="shared" si="46"/>
        <v>0</v>
      </c>
      <c r="F308" s="3028"/>
      <c r="G308" s="1882"/>
      <c r="H308" s="3028"/>
      <c r="I308" s="1882"/>
      <c r="J308" s="3028"/>
      <c r="K308" s="1882"/>
      <c r="L308" s="3028"/>
      <c r="M308" s="1882"/>
      <c r="N308" s="3028"/>
      <c r="O308" s="1882"/>
      <c r="P308" s="3028"/>
      <c r="Q308" s="1882"/>
      <c r="R308" s="3028"/>
      <c r="S308" s="1882"/>
      <c r="T308" s="3028"/>
      <c r="U308" s="1882"/>
      <c r="V308" s="3028"/>
      <c r="W308" s="1882"/>
      <c r="X308" s="3028"/>
      <c r="Y308" s="1882"/>
      <c r="Z308" s="3028"/>
      <c r="AA308" s="1882"/>
      <c r="AB308" s="3028"/>
      <c r="AC308" s="1882"/>
      <c r="AD308" s="3028"/>
      <c r="AE308" s="1882"/>
      <c r="AF308" s="3028"/>
      <c r="AG308" s="1882"/>
      <c r="AH308" s="3028"/>
      <c r="AI308" s="1882"/>
      <c r="AJ308" s="3028"/>
      <c r="AK308" s="1882"/>
      <c r="AL308" s="3028"/>
      <c r="AM308" s="3029"/>
      <c r="AN308" s="7472"/>
      <c r="AO308" s="7472"/>
      <c r="AP308" s="7473"/>
      <c r="AQ308" s="7474"/>
      <c r="AR308" s="7473"/>
      <c r="AS308" s="7474"/>
      <c r="AT308" s="7473"/>
      <c r="AU308" s="7475"/>
      <c r="AV308" s="7476"/>
      <c r="AW308" s="7477"/>
      <c r="AX308" s="1580"/>
      <c r="AZ308" s="1580"/>
      <c r="BT308" s="1464"/>
      <c r="BU308" s="1464"/>
      <c r="BV308" s="1464"/>
      <c r="BW308" s="1464"/>
      <c r="BX308" s="1464"/>
      <c r="BY308" s="1464"/>
      <c r="BZ308" s="1467"/>
      <c r="CZ308" s="3306"/>
      <c r="DZ308" s="1118"/>
    </row>
    <row r="309" spans="1:130" ht="15.75" thickBot="1" x14ac:dyDescent="0.3">
      <c r="A309" s="8262"/>
      <c r="B309" s="3465" t="s">
        <v>3135</v>
      </c>
      <c r="C309" s="3466">
        <f t="shared" si="45"/>
        <v>0</v>
      </c>
      <c r="D309" s="3467">
        <f t="shared" si="46"/>
        <v>0</v>
      </c>
      <c r="E309" s="3468">
        <f t="shared" si="46"/>
        <v>0</v>
      </c>
      <c r="F309" s="3479">
        <f t="shared" ref="F309:AL309" si="48">SUM(F303:F308)</f>
        <v>0</v>
      </c>
      <c r="G309" s="3480">
        <f t="shared" si="48"/>
        <v>0</v>
      </c>
      <c r="H309" s="3479">
        <f>SUM(H303:H308)</f>
        <v>0</v>
      </c>
      <c r="I309" s="3480">
        <f t="shared" si="48"/>
        <v>0</v>
      </c>
      <c r="J309" s="3479">
        <f t="shared" si="48"/>
        <v>0</v>
      </c>
      <c r="K309" s="3480">
        <f t="shared" si="48"/>
        <v>0</v>
      </c>
      <c r="L309" s="3479">
        <f t="shared" si="48"/>
        <v>0</v>
      </c>
      <c r="M309" s="3480">
        <f t="shared" si="48"/>
        <v>0</v>
      </c>
      <c r="N309" s="3479">
        <f t="shared" si="48"/>
        <v>0</v>
      </c>
      <c r="O309" s="3480">
        <f t="shared" si="48"/>
        <v>0</v>
      </c>
      <c r="P309" s="3479">
        <f t="shared" si="48"/>
        <v>0</v>
      </c>
      <c r="Q309" s="3480">
        <f t="shared" si="48"/>
        <v>0</v>
      </c>
      <c r="R309" s="3479">
        <f t="shared" si="48"/>
        <v>0</v>
      </c>
      <c r="S309" s="3480">
        <f t="shared" si="48"/>
        <v>0</v>
      </c>
      <c r="T309" s="3479">
        <f t="shared" si="48"/>
        <v>0</v>
      </c>
      <c r="U309" s="3480">
        <f t="shared" si="48"/>
        <v>0</v>
      </c>
      <c r="V309" s="3479">
        <f t="shared" si="48"/>
        <v>0</v>
      </c>
      <c r="W309" s="3480">
        <f t="shared" si="48"/>
        <v>0</v>
      </c>
      <c r="X309" s="3479">
        <f t="shared" si="48"/>
        <v>0</v>
      </c>
      <c r="Y309" s="3480">
        <f t="shared" si="48"/>
        <v>0</v>
      </c>
      <c r="Z309" s="3479">
        <f t="shared" si="48"/>
        <v>0</v>
      </c>
      <c r="AA309" s="3480">
        <f t="shared" si="48"/>
        <v>0</v>
      </c>
      <c r="AB309" s="3479">
        <f t="shared" si="48"/>
        <v>0</v>
      </c>
      <c r="AC309" s="3480">
        <f t="shared" si="48"/>
        <v>0</v>
      </c>
      <c r="AD309" s="3479">
        <f t="shared" si="48"/>
        <v>0</v>
      </c>
      <c r="AE309" s="3480">
        <f t="shared" si="48"/>
        <v>0</v>
      </c>
      <c r="AF309" s="3479">
        <f t="shared" si="48"/>
        <v>0</v>
      </c>
      <c r="AG309" s="3480">
        <f t="shared" si="48"/>
        <v>0</v>
      </c>
      <c r="AH309" s="3479">
        <f t="shared" si="48"/>
        <v>0</v>
      </c>
      <c r="AI309" s="3480">
        <f t="shared" si="48"/>
        <v>0</v>
      </c>
      <c r="AJ309" s="3479">
        <f t="shared" si="48"/>
        <v>0</v>
      </c>
      <c r="AK309" s="3480">
        <f t="shared" si="48"/>
        <v>0</v>
      </c>
      <c r="AL309" s="3481">
        <f t="shared" si="48"/>
        <v>0</v>
      </c>
      <c r="AM309" s="3482">
        <f>SUM(AM303:AM308)</f>
        <v>0</v>
      </c>
      <c r="AN309" s="7485"/>
      <c r="AO309" s="7485"/>
      <c r="AP309" s="7486"/>
      <c r="AQ309" s="7487"/>
      <c r="AR309" s="7486"/>
      <c r="AS309" s="7487"/>
      <c r="AT309" s="7488"/>
      <c r="AU309" s="7489"/>
      <c r="AV309" s="7490"/>
      <c r="AW309" s="7491"/>
      <c r="AX309" s="1580"/>
      <c r="AZ309" s="1580"/>
      <c r="BT309" s="1464"/>
      <c r="BU309" s="1464"/>
      <c r="BV309" s="1464"/>
      <c r="BW309" s="1464"/>
      <c r="BX309" s="1464"/>
      <c r="BY309" s="1464"/>
      <c r="BZ309" s="1467"/>
      <c r="CZ309" s="3306"/>
      <c r="DA309" s="3306">
        <v>0</v>
      </c>
      <c r="DB309" s="3306">
        <v>0</v>
      </c>
      <c r="DC309" s="3306">
        <v>0</v>
      </c>
      <c r="DD309" s="3306">
        <v>0</v>
      </c>
      <c r="DZ309" s="1118"/>
    </row>
    <row r="310" spans="1:130" ht="20.45" customHeight="1" thickTop="1" x14ac:dyDescent="0.25">
      <c r="A310" s="8263" t="s">
        <v>4008</v>
      </c>
      <c r="B310" s="8263"/>
      <c r="C310" s="3469">
        <f>SUM(D310,E310)</f>
        <v>0</v>
      </c>
      <c r="D310" s="3470">
        <f>SUM(F310,H310,J310,L310,N310,P310,R310,T310,V310,X310,Z310,AB310,AD310,AF310,AH310,AJ310,AL310)</f>
        <v>0</v>
      </c>
      <c r="E310" s="3471">
        <f>SUM(G310,I310,K310,M310,O310,Q310,S310,U310,W310,Y310,AA310,AC310,AE310,AG310,AI310,AK310,AM310)</f>
        <v>0</v>
      </c>
      <c r="F310" s="3483">
        <f>SUM(F264,F271,F278,F290,F302,F309)</f>
        <v>0</v>
      </c>
      <c r="G310" s="3471">
        <f>SUM(G264,G271,G278,G290,G302,G309)</f>
        <v>0</v>
      </c>
      <c r="H310" s="3483">
        <f t="shared" ref="H310:AM310" si="49">SUM(H264,H271,H278,H290,H302,H309)</f>
        <v>0</v>
      </c>
      <c r="I310" s="3471">
        <f t="shared" si="49"/>
        <v>0</v>
      </c>
      <c r="J310" s="3483">
        <f t="shared" si="49"/>
        <v>0</v>
      </c>
      <c r="K310" s="3471">
        <f t="shared" si="49"/>
        <v>0</v>
      </c>
      <c r="L310" s="3483">
        <f t="shared" si="49"/>
        <v>0</v>
      </c>
      <c r="M310" s="3471">
        <f>SUM(M264,M271,M278,M290,M302,M309)</f>
        <v>0</v>
      </c>
      <c r="N310" s="3483">
        <f t="shared" si="49"/>
        <v>0</v>
      </c>
      <c r="O310" s="3471">
        <f t="shared" si="49"/>
        <v>0</v>
      </c>
      <c r="P310" s="3483">
        <f t="shared" si="49"/>
        <v>0</v>
      </c>
      <c r="Q310" s="3471">
        <f t="shared" si="49"/>
        <v>0</v>
      </c>
      <c r="R310" s="3483">
        <f t="shared" si="49"/>
        <v>0</v>
      </c>
      <c r="S310" s="3471">
        <f t="shared" si="49"/>
        <v>0</v>
      </c>
      <c r="T310" s="3483">
        <f t="shared" si="49"/>
        <v>0</v>
      </c>
      <c r="U310" s="3471">
        <f t="shared" si="49"/>
        <v>0</v>
      </c>
      <c r="V310" s="3483">
        <f t="shared" si="49"/>
        <v>0</v>
      </c>
      <c r="W310" s="3480">
        <f t="shared" si="49"/>
        <v>0</v>
      </c>
      <c r="X310" s="3483">
        <f t="shared" si="49"/>
        <v>0</v>
      </c>
      <c r="Y310" s="3471">
        <f t="shared" si="49"/>
        <v>0</v>
      </c>
      <c r="Z310" s="3483">
        <f t="shared" si="49"/>
        <v>0</v>
      </c>
      <c r="AA310" s="3471">
        <f t="shared" si="49"/>
        <v>0</v>
      </c>
      <c r="AB310" s="3483">
        <f t="shared" si="49"/>
        <v>0</v>
      </c>
      <c r="AC310" s="3471">
        <f t="shared" si="49"/>
        <v>0</v>
      </c>
      <c r="AD310" s="3483">
        <f t="shared" si="49"/>
        <v>0</v>
      </c>
      <c r="AE310" s="3471">
        <f t="shared" si="49"/>
        <v>0</v>
      </c>
      <c r="AF310" s="3483">
        <f t="shared" si="49"/>
        <v>0</v>
      </c>
      <c r="AG310" s="3471">
        <f t="shared" si="49"/>
        <v>0</v>
      </c>
      <c r="AH310" s="3483">
        <f t="shared" si="49"/>
        <v>0</v>
      </c>
      <c r="AI310" s="3471">
        <f t="shared" si="49"/>
        <v>0</v>
      </c>
      <c r="AJ310" s="3483">
        <f t="shared" si="49"/>
        <v>0</v>
      </c>
      <c r="AK310" s="3471">
        <f t="shared" si="49"/>
        <v>0</v>
      </c>
      <c r="AL310" s="3483">
        <f t="shared" si="49"/>
        <v>0</v>
      </c>
      <c r="AM310" s="3484">
        <f t="shared" si="49"/>
        <v>0</v>
      </c>
      <c r="AN310" s="3485">
        <f>SUM(AN264)</f>
        <v>0</v>
      </c>
      <c r="AO310" s="3485">
        <f t="shared" ref="AO310:AW310" si="50">SUM(AO264)</f>
        <v>0</v>
      </c>
      <c r="AP310" s="3483">
        <f t="shared" si="50"/>
        <v>0</v>
      </c>
      <c r="AQ310" s="3471">
        <f t="shared" si="50"/>
        <v>0</v>
      </c>
      <c r="AR310" s="3483">
        <f>SUM(AR264)</f>
        <v>0</v>
      </c>
      <c r="AS310" s="3471">
        <f t="shared" si="50"/>
        <v>0</v>
      </c>
      <c r="AT310" s="3483">
        <f t="shared" si="50"/>
        <v>0</v>
      </c>
      <c r="AU310" s="3484">
        <f t="shared" si="50"/>
        <v>0</v>
      </c>
      <c r="AV310" s="3486">
        <f t="shared" si="50"/>
        <v>0</v>
      </c>
      <c r="AW310" s="3485">
        <f t="shared" si="50"/>
        <v>0</v>
      </c>
      <c r="AX310" s="1580"/>
      <c r="AZ310" s="1580"/>
      <c r="BT310" s="1464"/>
      <c r="BU310" s="1464"/>
      <c r="BV310" s="1464"/>
      <c r="BW310" s="1464"/>
      <c r="BX310" s="1464"/>
      <c r="BY310" s="1464"/>
      <c r="BZ310" s="1467"/>
      <c r="CZ310" s="3306"/>
      <c r="DA310" s="3306">
        <v>0</v>
      </c>
      <c r="DB310" s="3306">
        <v>0</v>
      </c>
      <c r="DC310" s="3306">
        <v>0</v>
      </c>
      <c r="DD310" s="3306">
        <v>0</v>
      </c>
      <c r="DZ310" s="1118"/>
    </row>
    <row r="311" spans="1:130" x14ac:dyDescent="0.25">
      <c r="A311" s="3075"/>
      <c r="B311" s="3075"/>
      <c r="C311" s="3075"/>
      <c r="D311" s="3075"/>
      <c r="E311" s="3075"/>
      <c r="F311" s="3075"/>
      <c r="G311" s="3075"/>
      <c r="H311" s="3075"/>
      <c r="I311" s="3075"/>
      <c r="J311" s="3075"/>
      <c r="K311" s="3075"/>
      <c r="L311" s="3075"/>
      <c r="M311" s="3075"/>
      <c r="N311" s="3075"/>
      <c r="O311" s="3075"/>
      <c r="P311" s="3075"/>
      <c r="Q311" s="3075"/>
      <c r="R311" s="3075"/>
      <c r="S311" s="3075"/>
      <c r="T311" s="3075"/>
      <c r="U311" s="3075"/>
      <c r="V311" s="3075"/>
      <c r="W311" s="3075"/>
      <c r="X311" s="3075"/>
      <c r="Y311" s="3075"/>
      <c r="Z311" s="3181"/>
      <c r="AA311" s="3181"/>
      <c r="AB311" s="3181"/>
      <c r="AC311" s="3181"/>
      <c r="AD311" s="3181"/>
      <c r="AE311" s="3181"/>
      <c r="AF311" s="3181"/>
      <c r="AG311" s="3181"/>
      <c r="AH311" s="3181"/>
      <c r="AI311" s="3181"/>
      <c r="AJ311" s="3181"/>
      <c r="AK311" s="3181"/>
      <c r="AL311" s="3181"/>
      <c r="AM311" s="3181"/>
    </row>
    <row r="312" spans="1:130" x14ac:dyDescent="0.25">
      <c r="A312" s="3075"/>
      <c r="B312" s="3075"/>
      <c r="C312" s="3075"/>
      <c r="D312" s="3075"/>
      <c r="E312" s="3075"/>
      <c r="F312" s="3075"/>
      <c r="G312" s="3075"/>
      <c r="H312" s="3075"/>
      <c r="I312" s="3075"/>
      <c r="J312" s="3075"/>
      <c r="K312" s="3075"/>
      <c r="L312" s="3075"/>
      <c r="M312" s="3075"/>
      <c r="N312" s="3075"/>
      <c r="O312" s="3075"/>
      <c r="P312" s="3075"/>
      <c r="Q312" s="3075"/>
      <c r="R312" s="3075"/>
      <c r="S312" s="3075"/>
      <c r="T312" s="3075"/>
      <c r="U312" s="3075"/>
      <c r="V312" s="3075"/>
      <c r="W312" s="3075"/>
      <c r="X312" s="3075"/>
      <c r="Y312" s="3075"/>
      <c r="Z312" s="3181"/>
      <c r="AA312" s="3181"/>
      <c r="AB312" s="3181"/>
      <c r="AC312" s="3181"/>
      <c r="AD312" s="3181"/>
      <c r="AE312" s="3181"/>
      <c r="AF312" s="3181"/>
      <c r="AG312" s="3181"/>
      <c r="AH312" s="3181"/>
      <c r="AI312" s="3181"/>
      <c r="AJ312" s="3181"/>
      <c r="AK312" s="3181"/>
      <c r="AL312" s="3181"/>
      <c r="AM312" s="3181"/>
    </row>
    <row r="313" spans="1:130" x14ac:dyDescent="0.25">
      <c r="A313" s="3075"/>
      <c r="B313" s="3075"/>
      <c r="C313" s="3075"/>
      <c r="D313" s="3075"/>
      <c r="E313" s="3075"/>
      <c r="F313" s="3075"/>
      <c r="G313" s="3075"/>
      <c r="H313" s="3075"/>
      <c r="I313" s="3075"/>
      <c r="J313" s="3075"/>
      <c r="K313" s="3075"/>
      <c r="L313" s="3075"/>
      <c r="M313" s="3075"/>
      <c r="N313" s="3075"/>
      <c r="O313" s="3075"/>
      <c r="P313" s="3075"/>
      <c r="Q313" s="3075"/>
      <c r="R313" s="3075"/>
      <c r="S313" s="3075"/>
      <c r="T313" s="3075"/>
      <c r="U313" s="3075"/>
      <c r="V313" s="3075"/>
      <c r="W313" s="3075"/>
      <c r="X313" s="3075"/>
      <c r="Y313" s="3075"/>
      <c r="Z313" s="3181"/>
      <c r="AA313" s="3181"/>
      <c r="AB313" s="3181"/>
      <c r="AC313" s="3181"/>
      <c r="AD313" s="3181"/>
      <c r="AE313" s="3181"/>
      <c r="AF313" s="3181"/>
      <c r="AG313" s="3181"/>
      <c r="AH313" s="3181"/>
      <c r="AI313" s="3181"/>
      <c r="AJ313" s="3181"/>
      <c r="AK313" s="3181"/>
      <c r="AL313" s="3181"/>
      <c r="AM313" s="3181"/>
    </row>
    <row r="314" spans="1:130" x14ac:dyDescent="0.25">
      <c r="A314" s="3075"/>
      <c r="B314" s="3075"/>
      <c r="C314" s="3075"/>
      <c r="D314" s="3075"/>
      <c r="E314" s="3075"/>
      <c r="F314" s="3075"/>
      <c r="G314" s="3075"/>
      <c r="H314" s="3075"/>
      <c r="I314" s="3075"/>
      <c r="J314" s="3075"/>
      <c r="K314" s="3075"/>
      <c r="L314" s="3075"/>
      <c r="M314" s="3075"/>
      <c r="N314" s="3075"/>
      <c r="O314" s="3075"/>
      <c r="P314" s="3075"/>
      <c r="Q314" s="3075"/>
      <c r="R314" s="3075"/>
      <c r="S314" s="3075"/>
      <c r="T314" s="3075"/>
      <c r="U314" s="3075"/>
      <c r="V314" s="3075"/>
      <c r="W314" s="3075"/>
      <c r="X314" s="3075"/>
      <c r="Y314" s="3075"/>
      <c r="Z314" s="3181"/>
      <c r="AA314" s="3181"/>
      <c r="AB314" s="3181"/>
      <c r="AC314" s="3181"/>
      <c r="AD314" s="3181"/>
      <c r="AE314" s="3181"/>
      <c r="AF314" s="3181"/>
      <c r="AG314" s="3181"/>
      <c r="AH314" s="3181"/>
      <c r="AI314" s="3181"/>
      <c r="AJ314" s="3181"/>
      <c r="AK314" s="3181"/>
      <c r="AL314" s="3181"/>
      <c r="AM314" s="3181"/>
    </row>
    <row r="346" spans="1:50" hidden="1" x14ac:dyDescent="0.25">
      <c r="A346" s="1601">
        <f>SUM(F12:Y14,F19:R40,E45:P48,E54:H56,E60:I66,B79:B82,B86:D86,C89:E92,F97:I101,F108:Q115,F120:AA149,F151:AA160,F166:AM171,F176:O181,F186:Q188,F195:Q196,F204:S205,F211:W211,C215:D224,C229:E233,C238:E247,C252:E257,C262:E310)</f>
        <v>0</v>
      </c>
      <c r="B346" s="1601">
        <f>SUM(DA12:DZ310)</f>
        <v>0</v>
      </c>
      <c r="C346" s="1601"/>
      <c r="D346" s="1601"/>
      <c r="E346" s="1601"/>
      <c r="F346" s="1601"/>
      <c r="G346" s="1601"/>
      <c r="H346" s="1601"/>
      <c r="I346" s="1601"/>
      <c r="J346" s="1601"/>
      <c r="K346" s="1601"/>
      <c r="L346" s="1601"/>
      <c r="M346" s="1601"/>
      <c r="N346" s="1601"/>
      <c r="O346" s="1601"/>
      <c r="P346" s="1601"/>
      <c r="Q346" s="1601"/>
      <c r="R346" s="1601"/>
      <c r="S346" s="1601"/>
      <c r="T346" s="1601"/>
      <c r="U346" s="1601"/>
      <c r="V346" s="1601"/>
      <c r="W346" s="1601"/>
      <c r="X346" s="1601"/>
      <c r="Y346" s="1601"/>
      <c r="Z346" s="1601"/>
      <c r="AA346" s="1601"/>
      <c r="AB346" s="1601"/>
      <c r="AC346" s="1601"/>
      <c r="AD346" s="1601"/>
      <c r="AE346" s="1601"/>
      <c r="AF346" s="1601"/>
      <c r="AG346" s="1601"/>
      <c r="AH346" s="1601"/>
      <c r="AI346" s="1601"/>
      <c r="AJ346" s="1601"/>
      <c r="AK346" s="1601"/>
      <c r="AL346" s="1601"/>
      <c r="AM346" s="1601"/>
      <c r="AN346" s="1601"/>
      <c r="AO346" s="1601"/>
      <c r="AP346" s="1601"/>
      <c r="AQ346" s="1601"/>
      <c r="AR346" s="1601"/>
      <c r="AS346" s="1601"/>
      <c r="AT346" s="1601"/>
      <c r="AU346" s="1601"/>
      <c r="AV346" s="1601"/>
      <c r="AW346" s="1601"/>
      <c r="AX346" s="1601"/>
    </row>
  </sheetData>
  <sheetProtection algorithmName="SHA-512" hashValue="uPWuGH0M1gmF3cAjeY7ub2Y7kLoppsF2DHwmJ0CZlcZeDxILU8IyI587bLe3iimBTwSG+WGioc0H0numNXE9Hw==" saltValue="VzLtz2fF22jNqmFOH2hrqw==" spinCount="100000" sheet="1" objects="1" scenarios="1"/>
  <protectedRanges>
    <protectedRange sqref="F303:AM308" name="Rango6"/>
    <protectedRange sqref="F279:AM289" name="Rango4"/>
    <protectedRange sqref="F265:AM270" name="Rango2_1"/>
    <protectedRange sqref="F262:AM263 AP262:AW263" name="Rango1_1"/>
    <protectedRange sqref="F272:AM277" name="Rango3_1"/>
    <protectedRange sqref="F291:AM301" name="Rango5"/>
  </protectedRanges>
  <mergeCells count="313">
    <mergeCell ref="V209:V210"/>
    <mergeCell ref="H209:I209"/>
    <mergeCell ref="J209:K209"/>
    <mergeCell ref="C94:E94"/>
    <mergeCell ref="F94:G94"/>
    <mergeCell ref="K68:L68"/>
    <mergeCell ref="K69:K70"/>
    <mergeCell ref="L69:L70"/>
    <mergeCell ref="A68:A70"/>
    <mergeCell ref="B68:D69"/>
    <mergeCell ref="E68:H68"/>
    <mergeCell ref="E69:F69"/>
    <mergeCell ref="G69:H69"/>
    <mergeCell ref="I68:J68"/>
    <mergeCell ref="I69:I70"/>
    <mergeCell ref="J69:J70"/>
    <mergeCell ref="F208:O208"/>
    <mergeCell ref="P208:Q209"/>
    <mergeCell ref="R208:S209"/>
    <mergeCell ref="H202:I202"/>
    <mergeCell ref="J202:K202"/>
    <mergeCell ref="N209:O209"/>
    <mergeCell ref="R202:S202"/>
    <mergeCell ref="T209:T210"/>
    <mergeCell ref="U209:U210"/>
    <mergeCell ref="A24:A35"/>
    <mergeCell ref="A36:A37"/>
    <mergeCell ref="A38:A40"/>
    <mergeCell ref="A16:A18"/>
    <mergeCell ref="B16:B18"/>
    <mergeCell ref="C16:E17"/>
    <mergeCell ref="F16:Q16"/>
    <mergeCell ref="L17:M17"/>
    <mergeCell ref="N17:O17"/>
    <mergeCell ref="P17:Q17"/>
    <mergeCell ref="J58:J59"/>
    <mergeCell ref="K58:K59"/>
    <mergeCell ref="A88:B88"/>
    <mergeCell ref="A89:A90"/>
    <mergeCell ref="A58:B59"/>
    <mergeCell ref="A64:B64"/>
    <mergeCell ref="A91:A92"/>
    <mergeCell ref="A60:B60"/>
    <mergeCell ref="A61:B61"/>
    <mergeCell ref="A65:B65"/>
    <mergeCell ref="A62:B62"/>
    <mergeCell ref="A63:B63"/>
    <mergeCell ref="A76:A77"/>
    <mergeCell ref="A42:A44"/>
    <mergeCell ref="A50:A52"/>
    <mergeCell ref="X10:Y10"/>
    <mergeCell ref="A12:B12"/>
    <mergeCell ref="A13:A14"/>
    <mergeCell ref="A9:B11"/>
    <mergeCell ref="C9:E10"/>
    <mergeCell ref="F9:Y9"/>
    <mergeCell ref="F10:G10"/>
    <mergeCell ref="A19:B19"/>
    <mergeCell ref="A20:A23"/>
    <mergeCell ref="T10:U10"/>
    <mergeCell ref="V10:W10"/>
    <mergeCell ref="R16:R18"/>
    <mergeCell ref="H10:I10"/>
    <mergeCell ref="J10:K10"/>
    <mergeCell ref="L10:M10"/>
    <mergeCell ref="F17:G17"/>
    <mergeCell ref="H17:I17"/>
    <mergeCell ref="J17:K17"/>
    <mergeCell ref="B50:D51"/>
    <mergeCell ref="E50:H50"/>
    <mergeCell ref="E51:F51"/>
    <mergeCell ref="G51:H51"/>
    <mergeCell ref="B42:D43"/>
    <mergeCell ref="E42:P42"/>
    <mergeCell ref="E43:F43"/>
    <mergeCell ref="G43:H43"/>
    <mergeCell ref="I43:J43"/>
    <mergeCell ref="K43:L43"/>
    <mergeCell ref="F117:AA117"/>
    <mergeCell ref="J118:K118"/>
    <mergeCell ref="C58:C59"/>
    <mergeCell ref="L118:M118"/>
    <mergeCell ref="F118:G118"/>
    <mergeCell ref="Z118:AA118"/>
    <mergeCell ref="R118:S118"/>
    <mergeCell ref="A98:B98"/>
    <mergeCell ref="A97:B97"/>
    <mergeCell ref="A94:B95"/>
    <mergeCell ref="A96:B96"/>
    <mergeCell ref="A103:Q103"/>
    <mergeCell ref="A104:B106"/>
    <mergeCell ref="C104:E105"/>
    <mergeCell ref="F105:G105"/>
    <mergeCell ref="J105:K105"/>
    <mergeCell ref="L105:M105"/>
    <mergeCell ref="N105:O105"/>
    <mergeCell ref="P105:Q105"/>
    <mergeCell ref="A107:B107"/>
    <mergeCell ref="H94:I94"/>
    <mergeCell ref="B76:B77"/>
    <mergeCell ref="D58:I58"/>
    <mergeCell ref="A66:B66"/>
    <mergeCell ref="A6:Y6"/>
    <mergeCell ref="N174:O174"/>
    <mergeCell ref="A176:A178"/>
    <mergeCell ref="R164:S164"/>
    <mergeCell ref="T164:U164"/>
    <mergeCell ref="V164:W164"/>
    <mergeCell ref="X164:Y164"/>
    <mergeCell ref="A108:B108"/>
    <mergeCell ref="A109:B109"/>
    <mergeCell ref="B173:B175"/>
    <mergeCell ref="C173:E174"/>
    <mergeCell ref="L164:M164"/>
    <mergeCell ref="A166:A168"/>
    <mergeCell ref="A169:A171"/>
    <mergeCell ref="F174:G174"/>
    <mergeCell ref="H174:I174"/>
    <mergeCell ref="J174:K174"/>
    <mergeCell ref="H105:I105"/>
    <mergeCell ref="A179:A181"/>
    <mergeCell ref="A182:O182"/>
    <mergeCell ref="A163:B165"/>
    <mergeCell ref="C163:E164"/>
    <mergeCell ref="F164:G164"/>
    <mergeCell ref="J164:K164"/>
    <mergeCell ref="F163:AM163"/>
    <mergeCell ref="H164:I164"/>
    <mergeCell ref="N164:O164"/>
    <mergeCell ref="P164:Q164"/>
    <mergeCell ref="L174:M174"/>
    <mergeCell ref="AH164:AI164"/>
    <mergeCell ref="AJ164:AK164"/>
    <mergeCell ref="AL164:AM164"/>
    <mergeCell ref="Z164:AA164"/>
    <mergeCell ref="AB164:AC164"/>
    <mergeCell ref="W209:W210"/>
    <mergeCell ref="T208:W208"/>
    <mergeCell ref="A206:B206"/>
    <mergeCell ref="P193:Q193"/>
    <mergeCell ref="A99:B99"/>
    <mergeCell ref="A101:B101"/>
    <mergeCell ref="A112:B112"/>
    <mergeCell ref="A113:A115"/>
    <mergeCell ref="F193:G193"/>
    <mergeCell ref="N193:O193"/>
    <mergeCell ref="A173:A175"/>
    <mergeCell ref="A196:B196"/>
    <mergeCell ref="F184:G184"/>
    <mergeCell ref="A195:B195"/>
    <mergeCell ref="F173:O173"/>
    <mergeCell ref="F201:AC201"/>
    <mergeCell ref="A100:B100"/>
    <mergeCell ref="A111:B111"/>
    <mergeCell ref="F104:U104"/>
    <mergeCell ref="H118:I118"/>
    <mergeCell ref="A110:B110"/>
    <mergeCell ref="A161:B161"/>
    <mergeCell ref="A201:B203"/>
    <mergeCell ref="A183:B185"/>
    <mergeCell ref="T118:U118"/>
    <mergeCell ref="A156:A160"/>
    <mergeCell ref="A135:A139"/>
    <mergeCell ref="A140:A144"/>
    <mergeCell ref="A125:A129"/>
    <mergeCell ref="A130:A134"/>
    <mergeCell ref="A120:A124"/>
    <mergeCell ref="A145:A149"/>
    <mergeCell ref="A150:B150"/>
    <mergeCell ref="A151:A155"/>
    <mergeCell ref="N118:O118"/>
    <mergeCell ref="P118:Q118"/>
    <mergeCell ref="A117:A119"/>
    <mergeCell ref="B117:B119"/>
    <mergeCell ref="C117:E118"/>
    <mergeCell ref="A232:B232"/>
    <mergeCell ref="A233:B233"/>
    <mergeCell ref="N202:O202"/>
    <mergeCell ref="P202:Q202"/>
    <mergeCell ref="L209:M209"/>
    <mergeCell ref="A215:B215"/>
    <mergeCell ref="A211:B211"/>
    <mergeCell ref="L202:M202"/>
    <mergeCell ref="A226:B228"/>
    <mergeCell ref="C226:E226"/>
    <mergeCell ref="C227:C228"/>
    <mergeCell ref="D227:E227"/>
    <mergeCell ref="E213:E214"/>
    <mergeCell ref="F213:F214"/>
    <mergeCell ref="A229:B229"/>
    <mergeCell ref="A230:B230"/>
    <mergeCell ref="A231:B231"/>
    <mergeCell ref="C201:E202"/>
    <mergeCell ref="F202:G202"/>
    <mergeCell ref="A208:B210"/>
    <mergeCell ref="C208:E209"/>
    <mergeCell ref="F209:G209"/>
    <mergeCell ref="A204:A205"/>
    <mergeCell ref="A222:A224"/>
    <mergeCell ref="AH201:AH203"/>
    <mergeCell ref="AI201:AI203"/>
    <mergeCell ref="AF164:AG164"/>
    <mergeCell ref="R105:S105"/>
    <mergeCell ref="T105:U105"/>
    <mergeCell ref="N10:O10"/>
    <mergeCell ref="P10:Q10"/>
    <mergeCell ref="R10:S10"/>
    <mergeCell ref="M43:N43"/>
    <mergeCell ref="O43:P43"/>
    <mergeCell ref="S16:S18"/>
    <mergeCell ref="A102:P102"/>
    <mergeCell ref="AD201:AE202"/>
    <mergeCell ref="T202:U202"/>
    <mergeCell ref="V202:W202"/>
    <mergeCell ref="X202:Y202"/>
    <mergeCell ref="Z202:AA202"/>
    <mergeCell ref="AB202:AC202"/>
    <mergeCell ref="AD164:AE164"/>
    <mergeCell ref="V118:W118"/>
    <mergeCell ref="X118:Y118"/>
    <mergeCell ref="A199:B199"/>
    <mergeCell ref="A189:B189"/>
    <mergeCell ref="AF201:AG202"/>
    <mergeCell ref="A217:B217"/>
    <mergeCell ref="A218:A221"/>
    <mergeCell ref="H193:I193"/>
    <mergeCell ref="A192:B194"/>
    <mergeCell ref="C183:E184"/>
    <mergeCell ref="A186:B186"/>
    <mergeCell ref="A187:B187"/>
    <mergeCell ref="F183:Q183"/>
    <mergeCell ref="A188:B188"/>
    <mergeCell ref="H184:I184"/>
    <mergeCell ref="J184:K184"/>
    <mergeCell ref="J193:K193"/>
    <mergeCell ref="P184:Q184"/>
    <mergeCell ref="L193:M193"/>
    <mergeCell ref="L184:M184"/>
    <mergeCell ref="N184:O184"/>
    <mergeCell ref="A198:B198"/>
    <mergeCell ref="A197:B197"/>
    <mergeCell ref="A216:B216"/>
    <mergeCell ref="A213:B214"/>
    <mergeCell ref="C213:D213"/>
    <mergeCell ref="C192:E193"/>
    <mergeCell ref="F192:Q192"/>
    <mergeCell ref="AV259:AV261"/>
    <mergeCell ref="AW259:AW261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V260:W260"/>
    <mergeCell ref="X260:Y260"/>
    <mergeCell ref="Z260:AA260"/>
    <mergeCell ref="AB260:AC260"/>
    <mergeCell ref="AD260:AE260"/>
    <mergeCell ref="AF260:AG260"/>
    <mergeCell ref="AH260:AI260"/>
    <mergeCell ref="AJ260:AK260"/>
    <mergeCell ref="A291:A302"/>
    <mergeCell ref="A303:A309"/>
    <mergeCell ref="A310:B310"/>
    <mergeCell ref="AL260:AM260"/>
    <mergeCell ref="AN260:AO260"/>
    <mergeCell ref="AP260:AQ260"/>
    <mergeCell ref="AR260:AS260"/>
    <mergeCell ref="AT260:AU260"/>
    <mergeCell ref="A262:A264"/>
    <mergeCell ref="A265:A271"/>
    <mergeCell ref="A272:A278"/>
    <mergeCell ref="A279:A290"/>
    <mergeCell ref="A259:A261"/>
    <mergeCell ref="B259:B261"/>
    <mergeCell ref="C259:E260"/>
    <mergeCell ref="F259:AM259"/>
    <mergeCell ref="AN259:AU259"/>
    <mergeCell ref="A255:A257"/>
    <mergeCell ref="C235:E236"/>
    <mergeCell ref="F235:Y235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V236:W236"/>
    <mergeCell ref="X236:Y236"/>
    <mergeCell ref="A245:A247"/>
    <mergeCell ref="A249:B251"/>
    <mergeCell ref="C249:E250"/>
    <mergeCell ref="F249:O249"/>
    <mergeCell ref="F250:G250"/>
    <mergeCell ref="H250:I250"/>
    <mergeCell ref="J250:K250"/>
    <mergeCell ref="L250:M250"/>
    <mergeCell ref="N250:O250"/>
    <mergeCell ref="A252:A254"/>
    <mergeCell ref="A234:M234"/>
    <mergeCell ref="A238:B238"/>
    <mergeCell ref="A239:B239"/>
    <mergeCell ref="A240:B240"/>
    <mergeCell ref="A241:B241"/>
    <mergeCell ref="A242:B242"/>
    <mergeCell ref="A243:B243"/>
    <mergeCell ref="A244:B244"/>
    <mergeCell ref="A235:B237"/>
  </mergeCells>
  <dataValidations count="5">
    <dataValidation type="whole" allowBlank="1" showInputMessage="1" showErrorMessage="1" sqref="A201:E206 F201:F203 G202:AC203 AI203 F206:AI206 AD203:AG203" xr:uid="{00000000-0002-0000-0300-000000000000}">
      <formula1>0</formula1>
      <formula2>1E+29</formula2>
    </dataValidation>
    <dataValidation type="whole" allowBlank="1" showInputMessage="1" showErrorMessage="1" errorTitle="Error" error="Favor ingresar Números." sqref="F12:Y14 C248:E257 E45:P48 E54:H56 B79:B82 B85:E86 C89:F92 F97:I101 F107:U115 F120:AA160 F166:AM171 F176:O181 F186:Q188 F195:Q198 F211:W211 D60:K66 F204:AI205 F19:S40 C71:L73 C229:E233 F252:O257" xr:uid="{00000000-0002-0000-0300-000001000000}">
      <formula1>0</formula1>
      <formula2>1E+29</formula2>
    </dataValidation>
    <dataValidation type="whole" allowBlank="1" showInputMessage="1" showErrorMessage="1" sqref="C259:E309 F259:AM259 F261:AU309 AV259:AW309" xr:uid="{9A57F751-B529-4825-A903-89019001948F}">
      <formula1>0</formula1>
      <formula2>1E+30</formula2>
    </dataValidation>
    <dataValidation type="decimal" allowBlank="1" showErrorMessage="1" error="Error - Favor ingresar Números." sqref="F238:Y247" xr:uid="{6BAD5635-B616-4FA4-B3E7-1380CEB9AF10}">
      <formula1>0</formula1>
      <formula2>1E+29</formula2>
    </dataValidation>
    <dataValidation type="whole" operator="greaterThanOrEqual" allowBlank="1" showInputMessage="1" showErrorMessage="1" errorTitle="Error" error="Favor ingresar Números." sqref="C215:F224" xr:uid="{DA526C3B-870B-4307-BF58-398EF7B0BD0C}">
      <formula1>0</formula1>
    </dataValidation>
  </dataValidations>
  <pageMargins left="0.7" right="0.7" top="0.75" bottom="0.75" header="0.3" footer="0.3"/>
  <pageSetup paperSize="9" orientation="portrait" r:id="rId1"/>
  <ignoredErrors>
    <ignoredError sqref="C71:C73 D71:D73" unlockedFormula="1"/>
    <ignoredError sqref="C150:E15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1:EA186"/>
  <sheetViews>
    <sheetView showGridLines="0" zoomScaleNormal="100" workbookViewId="0">
      <selection activeCell="A6" sqref="A6:W6"/>
    </sheetView>
  </sheetViews>
  <sheetFormatPr baseColWidth="10" defaultColWidth="11.42578125" defaultRowHeight="14.25" x14ac:dyDescent="0.2"/>
  <cols>
    <col min="1" max="1" width="45.7109375" style="165" customWidth="1"/>
    <col min="2" max="2" width="31.5703125" style="165" customWidth="1"/>
    <col min="3" max="4" width="16.28515625" style="165" customWidth="1"/>
    <col min="5" max="5" width="17.85546875" style="165" customWidth="1"/>
    <col min="6" max="6" width="15.28515625" style="165" customWidth="1"/>
    <col min="7" max="7" width="12.28515625" style="165" customWidth="1"/>
    <col min="8" max="8" width="13.42578125" style="165" customWidth="1"/>
    <col min="9" max="9" width="13.28515625" style="165" customWidth="1"/>
    <col min="10" max="10" width="12.42578125" style="165" customWidth="1"/>
    <col min="11" max="11" width="13.28515625" style="165" customWidth="1"/>
    <col min="12" max="12" width="11.42578125" style="165"/>
    <col min="13" max="13" width="11.85546875" style="165" customWidth="1"/>
    <col min="14" max="14" width="13.85546875" style="165" customWidth="1"/>
    <col min="15" max="15" width="13.42578125" style="165" customWidth="1"/>
    <col min="16" max="16" width="11.42578125" style="165"/>
    <col min="17" max="17" width="11.42578125" style="165" customWidth="1"/>
    <col min="18" max="18" width="11.42578125" style="165"/>
    <col min="19" max="19" width="13.5703125" style="165" customWidth="1"/>
    <col min="20" max="40" width="11.42578125" style="165"/>
    <col min="41" max="41" width="11.28515625" style="165" customWidth="1"/>
    <col min="42" max="42" width="12" style="165" customWidth="1"/>
    <col min="43" max="73" width="11.42578125" style="165"/>
    <col min="74" max="75" width="11.42578125" style="290"/>
    <col min="76" max="76" width="11.28515625" style="290" customWidth="1"/>
    <col min="77" max="77" width="11.85546875" style="290" customWidth="1"/>
    <col min="78" max="78" width="10.85546875" style="290" customWidth="1"/>
    <col min="79" max="103" width="10.85546875" style="1451" hidden="1" customWidth="1"/>
    <col min="104" max="104" width="6.42578125" style="1451" hidden="1" customWidth="1"/>
    <col min="105" max="105" width="10.85546875" style="3308" hidden="1" customWidth="1"/>
    <col min="106" max="130" width="11.42578125" style="3308" hidden="1" customWidth="1"/>
    <col min="131" max="16384" width="11.42578125" style="165"/>
  </cols>
  <sheetData>
    <row r="1" spans="1:114" ht="16.350000000000001" customHeight="1" x14ac:dyDescent="0.2">
      <c r="A1" s="150" t="s">
        <v>206</v>
      </c>
    </row>
    <row r="2" spans="1:114" ht="16.350000000000001" customHeight="1" x14ac:dyDescent="0.2">
      <c r="A2" s="150" t="str">
        <f>CONCATENATE("COMUNA: ",NOMBRE!B2," - ","( ",NOMBRE!C2,NOMBRE!D2,NOMBRE!E2,NOMBRE!F2,NOMBRE!G2," )")</f>
        <v>COMUNA:  - (  )</v>
      </c>
    </row>
    <row r="3" spans="1:114" ht="16.350000000000001" customHeight="1" x14ac:dyDescent="0.2">
      <c r="A3" s="150" t="str">
        <f>CONCATENATE("ESTABLECIMIENTO/ESTRATEGIA: ",NOMBRE!B3," - ","( ",NOMBRE!C3,NOMBRE!D3,NOMBRE!E3,NOMBRE!F3,NOMBRE!G3,NOMBRE!H3," )")</f>
        <v>ESTABLECIMIENTO/ESTRATEGIA:  - (  )</v>
      </c>
    </row>
    <row r="4" spans="1:114" ht="16.350000000000001" customHeight="1" x14ac:dyDescent="0.2">
      <c r="A4" s="150" t="str">
        <f>CONCATENATE("MES: ",NOMBRE!B6," - ","( ",NOMBRE!C6,NOMBRE!D6," )")</f>
        <v>MES:  - (  )</v>
      </c>
    </row>
    <row r="5" spans="1:114" ht="16.350000000000001" customHeight="1" x14ac:dyDescent="0.2">
      <c r="A5" s="150" t="str">
        <f>CONCATENATE("AÑO: ",NOMBRE!B7)</f>
        <v>AÑO: 2023</v>
      </c>
    </row>
    <row r="6" spans="1:114" ht="15" x14ac:dyDescent="0.2">
      <c r="A6" s="8199" t="s">
        <v>539</v>
      </c>
      <c r="B6" s="8199"/>
      <c r="C6" s="8199"/>
      <c r="D6" s="8199"/>
      <c r="E6" s="8199"/>
      <c r="F6" s="8199"/>
      <c r="G6" s="8199"/>
      <c r="H6" s="8199"/>
      <c r="I6" s="8199"/>
      <c r="J6" s="8199"/>
      <c r="K6" s="8199"/>
      <c r="L6" s="8199"/>
      <c r="M6" s="8199"/>
      <c r="N6" s="8199"/>
      <c r="O6" s="8199"/>
      <c r="P6" s="8199"/>
      <c r="Q6" s="8199"/>
      <c r="R6" s="8199"/>
      <c r="S6" s="8199"/>
      <c r="T6" s="8199"/>
      <c r="U6" s="8199"/>
      <c r="V6" s="8199"/>
      <c r="W6" s="8199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</row>
    <row r="7" spans="1:114" ht="15" x14ac:dyDescent="0.2">
      <c r="A7" s="1091"/>
      <c r="B7" s="1091"/>
      <c r="C7" s="1091"/>
      <c r="D7" s="1091"/>
      <c r="E7" s="1091"/>
      <c r="F7" s="1091"/>
      <c r="G7" s="1091"/>
      <c r="H7" s="1091"/>
      <c r="I7" s="1091"/>
      <c r="J7" s="1091"/>
      <c r="K7" s="1091"/>
      <c r="L7" s="1091"/>
      <c r="M7" s="1091"/>
      <c r="N7" s="1091"/>
      <c r="O7" s="1091"/>
      <c r="P7" s="1091"/>
      <c r="Q7" s="1091"/>
      <c r="R7" s="1091"/>
      <c r="S7" s="1091"/>
      <c r="T7" s="1091"/>
      <c r="U7" s="1091"/>
      <c r="V7" s="1091"/>
      <c r="W7" s="1091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290"/>
      <c r="AT7" s="290"/>
      <c r="AU7" s="290"/>
      <c r="AV7" s="290"/>
      <c r="AW7" s="290"/>
      <c r="AX7" s="290"/>
      <c r="AY7" s="290"/>
      <c r="AZ7" s="290"/>
      <c r="BA7" s="290"/>
      <c r="BB7" s="290"/>
      <c r="BC7" s="290"/>
      <c r="BD7" s="290"/>
      <c r="BE7" s="290"/>
      <c r="BF7" s="290"/>
      <c r="BG7" s="290"/>
    </row>
    <row r="8" spans="1:114" ht="31.35" customHeight="1" x14ac:dyDescent="0.2">
      <c r="A8" s="133" t="s">
        <v>540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150"/>
      <c r="Z8" s="15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290"/>
      <c r="AT8" s="290"/>
      <c r="AU8" s="290"/>
      <c r="AV8" s="290"/>
      <c r="AW8" s="290"/>
      <c r="AX8" s="290"/>
      <c r="AY8" s="290"/>
      <c r="AZ8" s="290"/>
      <c r="BA8" s="290"/>
      <c r="BB8" s="290"/>
      <c r="BC8" s="290"/>
      <c r="BD8" s="290"/>
      <c r="BE8" s="290"/>
      <c r="BF8" s="290"/>
      <c r="BG8" s="290"/>
    </row>
    <row r="9" spans="1:114" ht="20.100000000000001" customHeight="1" x14ac:dyDescent="0.2">
      <c r="A9" s="8551" t="s">
        <v>541</v>
      </c>
      <c r="B9" s="8553" t="s">
        <v>1</v>
      </c>
      <c r="C9" s="8554"/>
      <c r="D9" s="8512"/>
      <c r="E9" s="8374" t="s">
        <v>55</v>
      </c>
      <c r="F9" s="8529"/>
      <c r="G9" s="8529"/>
      <c r="H9" s="8529"/>
      <c r="I9" s="8529"/>
      <c r="J9" s="8529"/>
      <c r="K9" s="8529"/>
      <c r="L9" s="8529"/>
      <c r="M9" s="8529"/>
      <c r="N9" s="8529"/>
      <c r="O9" s="8529"/>
      <c r="P9" s="8529"/>
      <c r="Q9" s="8529"/>
      <c r="R9" s="8529"/>
      <c r="S9" s="8529"/>
      <c r="T9" s="8529"/>
      <c r="U9" s="8529"/>
      <c r="V9" s="8529"/>
      <c r="W9" s="8529"/>
      <c r="X9" s="8529"/>
      <c r="Y9" s="8529"/>
      <c r="Z9" s="8529"/>
      <c r="AA9" s="8529"/>
      <c r="AB9" s="8529"/>
      <c r="AC9" s="8529"/>
      <c r="AD9" s="8529"/>
      <c r="AE9" s="8529"/>
      <c r="AF9" s="8529"/>
      <c r="AG9" s="8529"/>
      <c r="AH9" s="8529"/>
      <c r="AI9" s="8529"/>
      <c r="AJ9" s="8529"/>
      <c r="AK9" s="8529"/>
      <c r="AL9" s="8529"/>
      <c r="AM9" s="8529"/>
      <c r="AN9" s="8530"/>
      <c r="AO9" s="8513" t="s">
        <v>360</v>
      </c>
      <c r="AP9" s="8513" t="s">
        <v>359</v>
      </c>
      <c r="AQ9" s="8512" t="s">
        <v>2947</v>
      </c>
      <c r="AR9" s="8512" t="s">
        <v>2607</v>
      </c>
      <c r="AS9" s="8176" t="s">
        <v>2893</v>
      </c>
      <c r="AT9" s="290"/>
      <c r="AU9" s="290"/>
      <c r="AV9" s="290"/>
      <c r="AW9" s="290"/>
      <c r="AX9" s="290"/>
      <c r="AY9" s="290"/>
      <c r="AZ9" s="290"/>
      <c r="BA9" s="290"/>
      <c r="BB9" s="290"/>
      <c r="BC9" s="290"/>
      <c r="BD9" s="290"/>
      <c r="BU9" s="1452"/>
    </row>
    <row r="10" spans="1:114" ht="20.100000000000001" customHeight="1" x14ac:dyDescent="0.2">
      <c r="A10" s="8189"/>
      <c r="B10" s="8555"/>
      <c r="C10" s="8168"/>
      <c r="D10" s="8185"/>
      <c r="E10" s="8132" t="s">
        <v>3524</v>
      </c>
      <c r="F10" s="8375"/>
      <c r="G10" s="8132" t="s">
        <v>1618</v>
      </c>
      <c r="H10" s="8528"/>
      <c r="I10" s="8132" t="s">
        <v>1413</v>
      </c>
      <c r="J10" s="8528"/>
      <c r="K10" s="8132" t="s">
        <v>32</v>
      </c>
      <c r="L10" s="8528"/>
      <c r="M10" s="8132" t="s">
        <v>33</v>
      </c>
      <c r="N10" s="8528"/>
      <c r="O10" s="8132" t="s">
        <v>40</v>
      </c>
      <c r="P10" s="8528"/>
      <c r="Q10" s="8132" t="s">
        <v>82</v>
      </c>
      <c r="R10" s="8528"/>
      <c r="S10" s="8132" t="s">
        <v>83</v>
      </c>
      <c r="T10" s="8528"/>
      <c r="U10" s="8132" t="s">
        <v>398</v>
      </c>
      <c r="V10" s="8528"/>
      <c r="W10" s="8132" t="s">
        <v>124</v>
      </c>
      <c r="X10" s="8528"/>
      <c r="Y10" s="8132" t="s">
        <v>125</v>
      </c>
      <c r="Z10" s="8528"/>
      <c r="AA10" s="8132" t="s">
        <v>126</v>
      </c>
      <c r="AB10" s="8528"/>
      <c r="AC10" s="8132" t="s">
        <v>127</v>
      </c>
      <c r="AD10" s="8528"/>
      <c r="AE10" s="8132" t="s">
        <v>128</v>
      </c>
      <c r="AF10" s="8528"/>
      <c r="AG10" s="8132" t="s">
        <v>129</v>
      </c>
      <c r="AH10" s="8528"/>
      <c r="AI10" s="8132" t="s">
        <v>130</v>
      </c>
      <c r="AJ10" s="8528"/>
      <c r="AK10" s="8132" t="s">
        <v>131</v>
      </c>
      <c r="AL10" s="8528"/>
      <c r="AM10" s="8374" t="s">
        <v>1916</v>
      </c>
      <c r="AN10" s="8530"/>
      <c r="AO10" s="8274"/>
      <c r="AP10" s="8274"/>
      <c r="AQ10" s="8192"/>
      <c r="AR10" s="8192"/>
      <c r="AS10" s="8151"/>
      <c r="AT10" s="290"/>
      <c r="AU10" s="290"/>
      <c r="AV10" s="290"/>
      <c r="AW10" s="290"/>
      <c r="AX10" s="290"/>
      <c r="AY10" s="290"/>
      <c r="AZ10" s="290"/>
      <c r="BA10" s="290"/>
      <c r="BB10" s="290"/>
      <c r="BC10" s="290"/>
      <c r="BD10" s="290"/>
      <c r="BU10" s="1452"/>
    </row>
    <row r="11" spans="1:114" ht="20.100000000000001" customHeight="1" x14ac:dyDescent="0.2">
      <c r="A11" s="8552"/>
      <c r="B11" s="2213" t="s">
        <v>42</v>
      </c>
      <c r="C11" s="2214" t="s">
        <v>17</v>
      </c>
      <c r="D11" s="2152" t="s">
        <v>18</v>
      </c>
      <c r="E11" s="1811" t="s">
        <v>17</v>
      </c>
      <c r="F11" s="3382" t="s">
        <v>18</v>
      </c>
      <c r="G11" s="1811" t="s">
        <v>17</v>
      </c>
      <c r="H11" s="3382" t="s">
        <v>18</v>
      </c>
      <c r="I11" s="1811" t="s">
        <v>17</v>
      </c>
      <c r="J11" s="3382" t="s">
        <v>18</v>
      </c>
      <c r="K11" s="1811" t="s">
        <v>17</v>
      </c>
      <c r="L11" s="3382" t="s">
        <v>18</v>
      </c>
      <c r="M11" s="1811" t="s">
        <v>17</v>
      </c>
      <c r="N11" s="3382" t="s">
        <v>18</v>
      </c>
      <c r="O11" s="1811" t="s">
        <v>17</v>
      </c>
      <c r="P11" s="3382" t="s">
        <v>18</v>
      </c>
      <c r="Q11" s="1811" t="s">
        <v>17</v>
      </c>
      <c r="R11" s="3382" t="s">
        <v>18</v>
      </c>
      <c r="S11" s="1811" t="s">
        <v>17</v>
      </c>
      <c r="T11" s="3382" t="s">
        <v>18</v>
      </c>
      <c r="U11" s="1811" t="s">
        <v>17</v>
      </c>
      <c r="V11" s="3382" t="s">
        <v>18</v>
      </c>
      <c r="W11" s="1811" t="s">
        <v>17</v>
      </c>
      <c r="X11" s="3382" t="s">
        <v>18</v>
      </c>
      <c r="Y11" s="1811" t="s">
        <v>17</v>
      </c>
      <c r="Z11" s="3382" t="s">
        <v>18</v>
      </c>
      <c r="AA11" s="1811" t="s">
        <v>17</v>
      </c>
      <c r="AB11" s="3382" t="s">
        <v>18</v>
      </c>
      <c r="AC11" s="1811" t="s">
        <v>17</v>
      </c>
      <c r="AD11" s="3382" t="s">
        <v>18</v>
      </c>
      <c r="AE11" s="1811" t="s">
        <v>17</v>
      </c>
      <c r="AF11" s="3382" t="s">
        <v>18</v>
      </c>
      <c r="AG11" s="1811" t="s">
        <v>17</v>
      </c>
      <c r="AH11" s="3382" t="s">
        <v>18</v>
      </c>
      <c r="AI11" s="1811" t="s">
        <v>17</v>
      </c>
      <c r="AJ11" s="3382" t="s">
        <v>18</v>
      </c>
      <c r="AK11" s="1811" t="s">
        <v>17</v>
      </c>
      <c r="AL11" s="3382" t="s">
        <v>18</v>
      </c>
      <c r="AM11" s="1811" t="s">
        <v>17</v>
      </c>
      <c r="AN11" s="1812" t="s">
        <v>18</v>
      </c>
      <c r="AO11" s="8514"/>
      <c r="AP11" s="8514"/>
      <c r="AQ11" s="8185"/>
      <c r="AR11" s="8185"/>
      <c r="AS11" s="8128"/>
      <c r="AT11" s="290"/>
      <c r="AU11" s="290"/>
      <c r="AV11" s="290"/>
      <c r="AW11" s="290"/>
      <c r="AX11" s="290"/>
      <c r="AY11" s="290"/>
      <c r="AZ11" s="290"/>
      <c r="BA11" s="290"/>
      <c r="BB11" s="290"/>
      <c r="BC11" s="290"/>
      <c r="BD11" s="290"/>
      <c r="BU11" s="1452"/>
    </row>
    <row r="12" spans="1:114" ht="16.350000000000001" customHeight="1" x14ac:dyDescent="0.2">
      <c r="A12" s="3389" t="s">
        <v>24</v>
      </c>
      <c r="B12" s="392">
        <f>SUM(B13:B26)</f>
        <v>0</v>
      </c>
      <c r="C12" s="393">
        <f>SUM(C13:C26)</f>
        <v>0</v>
      </c>
      <c r="D12" s="167">
        <f>SUM(D13:D26)</f>
        <v>0</v>
      </c>
      <c r="E12" s="1811">
        <f>SUM(E13:E26)</f>
        <v>0</v>
      </c>
      <c r="F12" s="1813">
        <f t="shared" ref="F12:AN12" si="0">SUM(F13:F26)</f>
        <v>0</v>
      </c>
      <c r="G12" s="1814">
        <f>SUM(G13:G26)</f>
        <v>0</v>
      </c>
      <c r="H12" s="1813">
        <f t="shared" si="0"/>
        <v>0</v>
      </c>
      <c r="I12" s="1811">
        <f t="shared" si="0"/>
        <v>0</v>
      </c>
      <c r="J12" s="1813">
        <f t="shared" si="0"/>
        <v>0</v>
      </c>
      <c r="K12" s="1811">
        <f t="shared" si="0"/>
        <v>0</v>
      </c>
      <c r="L12" s="1813">
        <f t="shared" si="0"/>
        <v>0</v>
      </c>
      <c r="M12" s="1811">
        <f t="shared" si="0"/>
        <v>0</v>
      </c>
      <c r="N12" s="1813">
        <f t="shared" si="0"/>
        <v>0</v>
      </c>
      <c r="O12" s="1811">
        <f t="shared" si="0"/>
        <v>0</v>
      </c>
      <c r="P12" s="1813">
        <f t="shared" si="0"/>
        <v>0</v>
      </c>
      <c r="Q12" s="1811">
        <f t="shared" si="0"/>
        <v>0</v>
      </c>
      <c r="R12" s="1813">
        <f t="shared" si="0"/>
        <v>0</v>
      </c>
      <c r="S12" s="1811">
        <f t="shared" si="0"/>
        <v>0</v>
      </c>
      <c r="T12" s="1813">
        <f t="shared" si="0"/>
        <v>0</v>
      </c>
      <c r="U12" s="1811">
        <f>SUM(U13:U26)</f>
        <v>0</v>
      </c>
      <c r="V12" s="1813">
        <f>SUM(V13:V26)</f>
        <v>0</v>
      </c>
      <c r="W12" s="1811">
        <f t="shared" si="0"/>
        <v>0</v>
      </c>
      <c r="X12" s="1813">
        <f t="shared" si="0"/>
        <v>0</v>
      </c>
      <c r="Y12" s="1811">
        <f t="shared" si="0"/>
        <v>0</v>
      </c>
      <c r="Z12" s="1813">
        <f t="shared" si="0"/>
        <v>0</v>
      </c>
      <c r="AA12" s="1811">
        <f t="shared" si="0"/>
        <v>0</v>
      </c>
      <c r="AB12" s="1813">
        <f t="shared" si="0"/>
        <v>0</v>
      </c>
      <c r="AC12" s="1811">
        <f t="shared" si="0"/>
        <v>0</v>
      </c>
      <c r="AD12" s="1813">
        <f t="shared" si="0"/>
        <v>0</v>
      </c>
      <c r="AE12" s="1811">
        <f t="shared" si="0"/>
        <v>0</v>
      </c>
      <c r="AF12" s="1813">
        <f t="shared" si="0"/>
        <v>0</v>
      </c>
      <c r="AG12" s="1811">
        <f t="shared" si="0"/>
        <v>0</v>
      </c>
      <c r="AH12" s="1813">
        <f t="shared" si="0"/>
        <v>0</v>
      </c>
      <c r="AI12" s="1811">
        <f t="shared" si="0"/>
        <v>0</v>
      </c>
      <c r="AJ12" s="1813">
        <f t="shared" si="0"/>
        <v>0</v>
      </c>
      <c r="AK12" s="1811">
        <f t="shared" si="0"/>
        <v>0</v>
      </c>
      <c r="AL12" s="1813">
        <f t="shared" si="0"/>
        <v>0</v>
      </c>
      <c r="AM12" s="1811">
        <f t="shared" si="0"/>
        <v>0</v>
      </c>
      <c r="AN12" s="1818">
        <f t="shared" si="0"/>
        <v>0</v>
      </c>
      <c r="AO12" s="1808">
        <f>SUM(AO13:AO26)</f>
        <v>0</v>
      </c>
      <c r="AP12" s="1807">
        <f>SUM(AP13:AP26)</f>
        <v>0</v>
      </c>
      <c r="AQ12" s="391">
        <f>SUM(AQ13:AQ26)</f>
        <v>0</v>
      </c>
      <c r="AR12" s="391">
        <f>SUM(AR13:AR26)</f>
        <v>0</v>
      </c>
      <c r="AS12" s="3050">
        <f>SUM(AS13:AS26)</f>
        <v>0</v>
      </c>
      <c r="AT12" s="290"/>
      <c r="AU12" s="290"/>
      <c r="AV12" s="290"/>
      <c r="AW12" s="290"/>
      <c r="AX12" s="290"/>
      <c r="AY12" s="290"/>
      <c r="AZ12" s="290"/>
      <c r="BA12" s="290"/>
      <c r="BB12" s="290"/>
      <c r="BC12" s="290"/>
      <c r="BD12" s="290"/>
      <c r="BU12" s="1452"/>
    </row>
    <row r="13" spans="1:114" ht="16.350000000000001" customHeight="1" x14ac:dyDescent="0.2">
      <c r="A13" s="98" t="s">
        <v>542</v>
      </c>
      <c r="B13" s="248">
        <f>SUM(C13:D13)</f>
        <v>0</v>
      </c>
      <c r="C13" s="274">
        <f>SUM(E13+G13+I13+K13+M13+O13+Q13+S13+U13+W13+Y13+AA13+AC13+AE13+AG13+AI13+AK13+AM13)</f>
        <v>0</v>
      </c>
      <c r="D13" s="394">
        <f>SUM(F13+H13+J13+L13+N13+P13+R13+T13+V13+X13+Z13+AB13+AD13+AF13+AH13+AJ13+AL13+AN13)</f>
        <v>0</v>
      </c>
      <c r="E13" s="1770"/>
      <c r="F13" s="1730"/>
      <c r="G13" s="1770"/>
      <c r="H13" s="1730"/>
      <c r="I13" s="1770"/>
      <c r="J13" s="1799"/>
      <c r="K13" s="1770"/>
      <c r="L13" s="1799"/>
      <c r="M13" s="1770"/>
      <c r="N13" s="1799"/>
      <c r="O13" s="1770"/>
      <c r="P13" s="1799"/>
      <c r="Q13" s="1770"/>
      <c r="R13" s="1799"/>
      <c r="S13" s="1770"/>
      <c r="T13" s="1799"/>
      <c r="U13" s="1770"/>
      <c r="V13" s="1799"/>
      <c r="W13" s="1770"/>
      <c r="X13" s="1799"/>
      <c r="Y13" s="1770"/>
      <c r="Z13" s="1799"/>
      <c r="AA13" s="1770"/>
      <c r="AB13" s="1799"/>
      <c r="AC13" s="1770"/>
      <c r="AD13" s="1799"/>
      <c r="AE13" s="1770"/>
      <c r="AF13" s="1799"/>
      <c r="AG13" s="1770"/>
      <c r="AH13" s="1799"/>
      <c r="AI13" s="1770"/>
      <c r="AJ13" s="1799"/>
      <c r="AK13" s="1770"/>
      <c r="AL13" s="1799"/>
      <c r="AM13" s="1815"/>
      <c r="AN13" s="1806"/>
      <c r="AO13" s="1800"/>
      <c r="AP13" s="1800"/>
      <c r="AQ13" s="395"/>
      <c r="AR13" s="395"/>
      <c r="AS13" s="3051"/>
      <c r="AT13" s="1493"/>
      <c r="AU13" s="802"/>
      <c r="AV13" s="802"/>
      <c r="AW13" s="802"/>
      <c r="AX13" s="802"/>
      <c r="AY13" s="802"/>
      <c r="AZ13" s="802"/>
      <c r="BA13" s="802"/>
      <c r="BB13" s="290"/>
      <c r="BC13" s="290"/>
      <c r="BD13" s="290"/>
      <c r="BU13" s="1452"/>
      <c r="CA13" s="1551"/>
      <c r="DB13" s="3308">
        <v>0</v>
      </c>
      <c r="DD13" s="3308">
        <v>0</v>
      </c>
      <c r="DF13" s="3308">
        <v>0</v>
      </c>
      <c r="DH13" s="3308">
        <v>0</v>
      </c>
      <c r="DJ13" s="3308">
        <v>0</v>
      </c>
    </row>
    <row r="14" spans="1:114" ht="16.350000000000001" customHeight="1" x14ac:dyDescent="0.2">
      <c r="A14" s="135" t="s">
        <v>543</v>
      </c>
      <c r="B14" s="275">
        <f t="shared" ref="B14:B26" si="1">SUM(C14:D14)</f>
        <v>0</v>
      </c>
      <c r="C14" s="276">
        <f>SUM(E14+G14+I14)</f>
        <v>0</v>
      </c>
      <c r="D14" s="184">
        <f>SUM(F14+H14+J14)</f>
        <v>0</v>
      </c>
      <c r="E14" s="110"/>
      <c r="F14" s="144"/>
      <c r="G14" s="110"/>
      <c r="H14" s="144"/>
      <c r="I14" s="110"/>
      <c r="J14" s="122"/>
      <c r="K14" s="131"/>
      <c r="L14" s="121"/>
      <c r="M14" s="131"/>
      <c r="N14" s="121"/>
      <c r="O14" s="131"/>
      <c r="P14" s="121"/>
      <c r="Q14" s="131"/>
      <c r="R14" s="121"/>
      <c r="S14" s="131"/>
      <c r="T14" s="121"/>
      <c r="U14" s="131"/>
      <c r="V14" s="121"/>
      <c r="W14" s="131"/>
      <c r="X14" s="121"/>
      <c r="Y14" s="131"/>
      <c r="Z14" s="121"/>
      <c r="AA14" s="131"/>
      <c r="AB14" s="121"/>
      <c r="AC14" s="131"/>
      <c r="AD14" s="121"/>
      <c r="AE14" s="131"/>
      <c r="AF14" s="121"/>
      <c r="AG14" s="131"/>
      <c r="AH14" s="121"/>
      <c r="AI14" s="131"/>
      <c r="AJ14" s="121"/>
      <c r="AK14" s="131"/>
      <c r="AL14" s="121"/>
      <c r="AM14" s="131"/>
      <c r="AN14" s="240"/>
      <c r="AO14" s="1809"/>
      <c r="AP14" s="1809"/>
      <c r="AQ14" s="185"/>
      <c r="AR14" s="185"/>
      <c r="AS14" s="3030"/>
      <c r="AT14" s="1493"/>
      <c r="AU14" s="802"/>
      <c r="AV14" s="802"/>
      <c r="AW14" s="802"/>
      <c r="AX14" s="802"/>
      <c r="AY14" s="802"/>
      <c r="AZ14" s="802"/>
      <c r="BA14" s="802"/>
      <c r="BB14" s="290"/>
      <c r="BC14" s="290"/>
      <c r="BD14" s="290"/>
      <c r="BU14" s="1452"/>
      <c r="CA14" s="1551"/>
      <c r="DB14" s="3308">
        <v>0</v>
      </c>
      <c r="DD14" s="3308">
        <v>0</v>
      </c>
      <c r="DF14" s="3308">
        <v>0</v>
      </c>
      <c r="DH14" s="3308">
        <v>0</v>
      </c>
      <c r="DJ14" s="3308">
        <v>0</v>
      </c>
    </row>
    <row r="15" spans="1:114" ht="16.350000000000001" customHeight="1" x14ac:dyDescent="0.2">
      <c r="A15" s="3368" t="s">
        <v>56</v>
      </c>
      <c r="B15" s="275">
        <f t="shared" si="1"/>
        <v>0</v>
      </c>
      <c r="C15" s="276">
        <f>SUM(E15+G15+I15+K15+M15+O15+Q15+S15+U15+W15+Y15+AA15+AC15+AE15+AG15+AI15+AK15+AM15)</f>
        <v>0</v>
      </c>
      <c r="D15" s="184">
        <f>SUM(F15+H15+J15+L15+N15+P15+R15+T15+V15+X15+Z15+AB15+AD15+AF15+AH15+AJ15+AL15+AN15)</f>
        <v>0</v>
      </c>
      <c r="E15" s="110"/>
      <c r="F15" s="144"/>
      <c r="G15" s="110"/>
      <c r="H15" s="144"/>
      <c r="I15" s="110"/>
      <c r="J15" s="122"/>
      <c r="K15" s="110"/>
      <c r="L15" s="122"/>
      <c r="M15" s="110"/>
      <c r="N15" s="122"/>
      <c r="O15" s="110"/>
      <c r="P15" s="122"/>
      <c r="Q15" s="110"/>
      <c r="R15" s="122"/>
      <c r="S15" s="110"/>
      <c r="T15" s="122"/>
      <c r="U15" s="110"/>
      <c r="V15" s="122"/>
      <c r="W15" s="110"/>
      <c r="X15" s="122"/>
      <c r="Y15" s="110"/>
      <c r="Z15" s="122"/>
      <c r="AA15" s="110"/>
      <c r="AB15" s="122"/>
      <c r="AC15" s="110"/>
      <c r="AD15" s="122"/>
      <c r="AE15" s="110"/>
      <c r="AF15" s="122"/>
      <c r="AG15" s="110"/>
      <c r="AH15" s="122"/>
      <c r="AI15" s="110"/>
      <c r="AJ15" s="122"/>
      <c r="AK15" s="110"/>
      <c r="AL15" s="122"/>
      <c r="AM15" s="157"/>
      <c r="AN15" s="197"/>
      <c r="AO15" s="1809"/>
      <c r="AP15" s="1809"/>
      <c r="AQ15" s="185"/>
      <c r="AR15" s="185"/>
      <c r="AS15" s="3030"/>
      <c r="AT15" s="1493"/>
      <c r="AU15" s="802"/>
      <c r="AV15" s="802"/>
      <c r="AW15" s="802"/>
      <c r="AX15" s="802"/>
      <c r="AY15" s="802"/>
      <c r="AZ15" s="802"/>
      <c r="BA15" s="802"/>
      <c r="BB15" s="290"/>
      <c r="BC15" s="290"/>
      <c r="BD15" s="290"/>
      <c r="BU15" s="1452"/>
      <c r="CA15" s="1551"/>
      <c r="DB15" s="3308">
        <v>0</v>
      </c>
      <c r="DD15" s="3308">
        <v>0</v>
      </c>
      <c r="DF15" s="3308">
        <v>0</v>
      </c>
      <c r="DH15" s="3308">
        <v>0</v>
      </c>
      <c r="DJ15" s="3308">
        <v>0</v>
      </c>
    </row>
    <row r="16" spans="1:114" ht="16.350000000000001" customHeight="1" x14ac:dyDescent="0.2">
      <c r="A16" s="4021" t="s">
        <v>1924</v>
      </c>
      <c r="B16" s="250">
        <f t="shared" si="1"/>
        <v>0</v>
      </c>
      <c r="C16" s="269">
        <f>SUM(I16+K16+M16+O16+Q16+S16+U16+W16+Y16+AA16+AC16+AE16+AG16+AI16+AK16+AM16)</f>
        <v>0</v>
      </c>
      <c r="D16" s="396">
        <f>SUM(J16+L16+N16+P16+R16+T16+V16+X16+Z16+AB16+AD16+AF16+AH16+AJ16+AL16+AN16)</f>
        <v>0</v>
      </c>
      <c r="E16" s="131"/>
      <c r="F16" s="121"/>
      <c r="G16" s="93"/>
      <c r="H16" s="170"/>
      <c r="I16" s="110"/>
      <c r="J16" s="122"/>
      <c r="K16" s="110"/>
      <c r="L16" s="122"/>
      <c r="M16" s="110"/>
      <c r="N16" s="122"/>
      <c r="O16" s="110"/>
      <c r="P16" s="122"/>
      <c r="Q16" s="110"/>
      <c r="R16" s="122"/>
      <c r="S16" s="110"/>
      <c r="T16" s="122"/>
      <c r="U16" s="110"/>
      <c r="V16" s="122"/>
      <c r="W16" s="110"/>
      <c r="X16" s="122"/>
      <c r="Y16" s="110"/>
      <c r="Z16" s="122"/>
      <c r="AA16" s="110"/>
      <c r="AB16" s="122"/>
      <c r="AC16" s="110"/>
      <c r="AD16" s="122"/>
      <c r="AE16" s="110"/>
      <c r="AF16" s="122"/>
      <c r="AG16" s="110"/>
      <c r="AH16" s="122"/>
      <c r="AI16" s="110"/>
      <c r="AJ16" s="122"/>
      <c r="AK16" s="110"/>
      <c r="AL16" s="122"/>
      <c r="AM16" s="157"/>
      <c r="AN16" s="197"/>
      <c r="AO16" s="1809"/>
      <c r="AP16" s="1809"/>
      <c r="AQ16" s="185"/>
      <c r="AR16" s="185"/>
      <c r="AS16" s="3030"/>
      <c r="AT16" s="1493"/>
      <c r="AU16" s="802"/>
      <c r="AV16" s="802"/>
      <c r="AW16" s="802"/>
      <c r="AX16" s="802"/>
      <c r="AY16" s="802"/>
      <c r="AZ16" s="802"/>
      <c r="BA16" s="802"/>
      <c r="BB16" s="290"/>
      <c r="BC16" s="290"/>
      <c r="BD16" s="290"/>
      <c r="BU16" s="1452"/>
      <c r="CA16" s="1551"/>
      <c r="DB16" s="3308">
        <v>0</v>
      </c>
      <c r="DD16" s="3308">
        <v>0</v>
      </c>
      <c r="DF16" s="3308">
        <v>0</v>
      </c>
      <c r="DH16" s="3308">
        <v>0</v>
      </c>
      <c r="DJ16" s="3308">
        <v>0</v>
      </c>
    </row>
    <row r="17" spans="1:114" ht="16.350000000000001" customHeight="1" x14ac:dyDescent="0.2">
      <c r="A17" s="2139" t="s">
        <v>58</v>
      </c>
      <c r="B17" s="275">
        <f t="shared" si="1"/>
        <v>0</v>
      </c>
      <c r="C17" s="276">
        <f>SUM(U17+W17+Y17+AA17+AC17+AE17+AG17+AI17+AK17+AM17)</f>
        <v>0</v>
      </c>
      <c r="D17" s="184">
        <f>SUM(V17+X17+Z17+AB17+AD17+AF17+AH17+AJ17+AL17+AN17)</f>
        <v>0</v>
      </c>
      <c r="E17" s="131"/>
      <c r="F17" s="132"/>
      <c r="G17" s="131"/>
      <c r="H17" s="132"/>
      <c r="I17" s="131"/>
      <c r="J17" s="121"/>
      <c r="K17" s="131"/>
      <c r="L17" s="121"/>
      <c r="M17" s="131"/>
      <c r="N17" s="121"/>
      <c r="O17" s="131"/>
      <c r="P17" s="121"/>
      <c r="Q17" s="131"/>
      <c r="R17" s="121"/>
      <c r="S17" s="131"/>
      <c r="T17" s="121"/>
      <c r="U17" s="110"/>
      <c r="V17" s="122"/>
      <c r="W17" s="110"/>
      <c r="X17" s="122"/>
      <c r="Y17" s="110"/>
      <c r="Z17" s="122"/>
      <c r="AA17" s="110"/>
      <c r="AB17" s="122"/>
      <c r="AC17" s="110"/>
      <c r="AD17" s="122"/>
      <c r="AE17" s="110"/>
      <c r="AF17" s="122"/>
      <c r="AG17" s="110"/>
      <c r="AH17" s="122"/>
      <c r="AI17" s="110"/>
      <c r="AJ17" s="122"/>
      <c r="AK17" s="110"/>
      <c r="AL17" s="122"/>
      <c r="AM17" s="157"/>
      <c r="AN17" s="197"/>
      <c r="AO17" s="1809"/>
      <c r="AP17" s="1809"/>
      <c r="AQ17" s="185"/>
      <c r="AR17" s="185"/>
      <c r="AS17" s="3030"/>
      <c r="AT17" s="1493"/>
      <c r="AU17" s="802"/>
      <c r="AV17" s="802"/>
      <c r="AW17" s="802"/>
      <c r="AX17" s="802"/>
      <c r="AY17" s="802"/>
      <c r="AZ17" s="802"/>
      <c r="BA17" s="802"/>
      <c r="BB17" s="290"/>
      <c r="BC17" s="290"/>
      <c r="BD17" s="290"/>
      <c r="BU17" s="1452"/>
      <c r="CA17" s="1551"/>
      <c r="DB17" s="3308">
        <v>0</v>
      </c>
      <c r="DD17" s="3308">
        <v>0</v>
      </c>
      <c r="DF17" s="3308">
        <v>0</v>
      </c>
      <c r="DH17" s="3308">
        <v>0</v>
      </c>
      <c r="DJ17" s="3308">
        <v>0</v>
      </c>
    </row>
    <row r="18" spans="1:114" ht="16.350000000000001" customHeight="1" x14ac:dyDescent="0.2">
      <c r="A18" s="3369" t="s">
        <v>59</v>
      </c>
      <c r="B18" s="275">
        <f t="shared" si="1"/>
        <v>0</v>
      </c>
      <c r="C18" s="276">
        <f>SUM(E18+G18+I18+K18+M18+O18+Q18+S18+U18+W18+Y18+AA18+AC18+AE18+AG18+AI18+AK18+AM18)</f>
        <v>0</v>
      </c>
      <c r="D18" s="184">
        <f>SUM(F18+H18+J18+L18+N18+P18+R18+T18+V18+X18+Z18+AB18+AD18+AF18+AH18+AJ18+AL18+AN18)</f>
        <v>0</v>
      </c>
      <c r="E18" s="110"/>
      <c r="F18" s="144"/>
      <c r="G18" s="110"/>
      <c r="H18" s="144"/>
      <c r="I18" s="110"/>
      <c r="J18" s="122"/>
      <c r="K18" s="1816"/>
      <c r="L18" s="122"/>
      <c r="M18" s="110"/>
      <c r="N18" s="122"/>
      <c r="O18" s="110"/>
      <c r="P18" s="122"/>
      <c r="Q18" s="110"/>
      <c r="R18" s="122"/>
      <c r="S18" s="110"/>
      <c r="T18" s="122"/>
      <c r="U18" s="110"/>
      <c r="V18" s="122"/>
      <c r="W18" s="110"/>
      <c r="X18" s="122"/>
      <c r="Y18" s="110"/>
      <c r="Z18" s="122"/>
      <c r="AA18" s="110"/>
      <c r="AB18" s="122"/>
      <c r="AC18" s="110"/>
      <c r="AD18" s="122"/>
      <c r="AE18" s="110"/>
      <c r="AF18" s="122"/>
      <c r="AG18" s="110"/>
      <c r="AH18" s="122"/>
      <c r="AI18" s="110"/>
      <c r="AJ18" s="122"/>
      <c r="AK18" s="110"/>
      <c r="AL18" s="122"/>
      <c r="AM18" s="157"/>
      <c r="AN18" s="197"/>
      <c r="AO18" s="1809"/>
      <c r="AP18" s="1809"/>
      <c r="AQ18" s="185"/>
      <c r="AR18" s="185"/>
      <c r="AS18" s="3030"/>
      <c r="AT18" s="1493"/>
      <c r="AU18" s="802"/>
      <c r="AV18" s="802"/>
      <c r="AW18" s="802"/>
      <c r="AX18" s="802"/>
      <c r="AY18" s="802"/>
      <c r="AZ18" s="802"/>
      <c r="BA18" s="802"/>
      <c r="BB18" s="290"/>
      <c r="BC18" s="290"/>
      <c r="BD18" s="290"/>
      <c r="BU18" s="1452"/>
      <c r="CA18" s="1551"/>
      <c r="DB18" s="3308">
        <v>0</v>
      </c>
      <c r="DD18" s="3308">
        <v>0</v>
      </c>
      <c r="DF18" s="3308">
        <v>0</v>
      </c>
      <c r="DH18" s="3308">
        <v>0</v>
      </c>
      <c r="DJ18" s="3308">
        <v>0</v>
      </c>
    </row>
    <row r="19" spans="1:114" ht="16.350000000000001" customHeight="1" x14ac:dyDescent="0.2">
      <c r="A19" s="397" t="s">
        <v>613</v>
      </c>
      <c r="B19" s="275">
        <f>SUM(C19:D19)</f>
        <v>0</v>
      </c>
      <c r="C19" s="398"/>
      <c r="D19" s="399">
        <f>SUM(L19+N19+P19+R19+T19+V19+X19+Z19+AB19+AD19+AF19)</f>
        <v>0</v>
      </c>
      <c r="E19" s="93"/>
      <c r="F19" s="170"/>
      <c r="G19" s="93"/>
      <c r="H19" s="170"/>
      <c r="I19" s="93"/>
      <c r="J19" s="96"/>
      <c r="K19" s="131"/>
      <c r="L19" s="138"/>
      <c r="M19" s="340"/>
      <c r="N19" s="138"/>
      <c r="O19" s="340"/>
      <c r="P19" s="138"/>
      <c r="Q19" s="340"/>
      <c r="R19" s="138"/>
      <c r="S19" s="340"/>
      <c r="T19" s="138"/>
      <c r="U19" s="340"/>
      <c r="V19" s="138"/>
      <c r="W19" s="340"/>
      <c r="X19" s="138"/>
      <c r="Y19" s="340"/>
      <c r="Z19" s="138"/>
      <c r="AA19" s="340"/>
      <c r="AB19" s="138"/>
      <c r="AC19" s="340"/>
      <c r="AD19" s="138"/>
      <c r="AE19" s="340"/>
      <c r="AF19" s="138"/>
      <c r="AG19" s="93"/>
      <c r="AH19" s="96"/>
      <c r="AI19" s="93"/>
      <c r="AJ19" s="96"/>
      <c r="AK19" s="93"/>
      <c r="AL19" s="96"/>
      <c r="AM19" s="400"/>
      <c r="AN19" s="240"/>
      <c r="AO19" s="1810"/>
      <c r="AP19" s="1810"/>
      <c r="AQ19" s="401"/>
      <c r="AR19" s="401"/>
      <c r="AS19" s="3052"/>
      <c r="AT19" s="1493"/>
      <c r="AU19" s="802"/>
      <c r="AV19" s="802"/>
      <c r="AW19" s="802"/>
      <c r="AX19" s="802"/>
      <c r="AY19" s="802"/>
      <c r="AZ19" s="802"/>
      <c r="BA19" s="802"/>
      <c r="BB19" s="290"/>
      <c r="BC19" s="290"/>
      <c r="BD19" s="290"/>
      <c r="BU19" s="1452"/>
      <c r="CA19" s="1551"/>
      <c r="DB19" s="3308">
        <v>0</v>
      </c>
      <c r="DD19" s="3308">
        <v>0</v>
      </c>
      <c r="DF19" s="3308">
        <v>0</v>
      </c>
      <c r="DH19" s="3308">
        <v>0</v>
      </c>
      <c r="DJ19" s="3308">
        <v>0</v>
      </c>
    </row>
    <row r="20" spans="1:114" ht="16.350000000000001" customHeight="1" x14ac:dyDescent="0.2">
      <c r="A20" s="397" t="s">
        <v>544</v>
      </c>
      <c r="B20" s="275">
        <f>SUM(C20:D20)</f>
        <v>0</v>
      </c>
      <c r="C20" s="398"/>
      <c r="D20" s="184">
        <f>SUM(F20+H20+J20+L20+N20+P20+R20+T20+V20+X20+Z20+AB20+AD20+AF20+AH20+AJ20+AL20+AN20)</f>
        <v>0</v>
      </c>
      <c r="E20" s="93"/>
      <c r="F20" s="144"/>
      <c r="G20" s="93"/>
      <c r="H20" s="144"/>
      <c r="I20" s="93"/>
      <c r="J20" s="138"/>
      <c r="K20" s="93"/>
      <c r="L20" s="138"/>
      <c r="M20" s="340"/>
      <c r="N20" s="138"/>
      <c r="O20" s="340"/>
      <c r="P20" s="138"/>
      <c r="Q20" s="340"/>
      <c r="R20" s="138"/>
      <c r="S20" s="340"/>
      <c r="T20" s="138"/>
      <c r="U20" s="340"/>
      <c r="V20" s="138"/>
      <c r="W20" s="340"/>
      <c r="X20" s="138"/>
      <c r="Y20" s="340"/>
      <c r="Z20" s="138"/>
      <c r="AA20" s="340"/>
      <c r="AB20" s="138"/>
      <c r="AC20" s="340"/>
      <c r="AD20" s="138"/>
      <c r="AE20" s="340"/>
      <c r="AF20" s="138"/>
      <c r="AG20" s="340"/>
      <c r="AH20" s="138"/>
      <c r="AI20" s="340"/>
      <c r="AJ20" s="138"/>
      <c r="AK20" s="340"/>
      <c r="AL20" s="138"/>
      <c r="AM20" s="340"/>
      <c r="AN20" s="260"/>
      <c r="AO20" s="1810"/>
      <c r="AP20" s="1810"/>
      <c r="AQ20" s="401"/>
      <c r="AR20" s="401"/>
      <c r="AS20" s="3052"/>
      <c r="AT20" s="1493"/>
      <c r="AU20" s="802"/>
      <c r="AV20" s="802"/>
      <c r="AW20" s="802"/>
      <c r="AX20" s="802"/>
      <c r="AY20" s="802"/>
      <c r="AZ20" s="802"/>
      <c r="BA20" s="802"/>
      <c r="BB20" s="290"/>
      <c r="BC20" s="290"/>
      <c r="BD20" s="290"/>
      <c r="BU20" s="1452"/>
      <c r="CA20" s="1551"/>
      <c r="DB20" s="3308">
        <v>0</v>
      </c>
      <c r="DD20" s="3308">
        <v>0</v>
      </c>
      <c r="DF20" s="3308">
        <v>0</v>
      </c>
      <c r="DH20" s="3308">
        <v>0</v>
      </c>
      <c r="DJ20" s="3308">
        <v>0</v>
      </c>
    </row>
    <row r="21" spans="1:114" ht="16.350000000000001" customHeight="1" x14ac:dyDescent="0.2">
      <c r="A21" s="397" t="s">
        <v>545</v>
      </c>
      <c r="B21" s="265">
        <f t="shared" si="1"/>
        <v>0</v>
      </c>
      <c r="C21" s="279">
        <f>SUM(O21+Q21+S21+U21+W21+Y21+AA21)</f>
        <v>0</v>
      </c>
      <c r="D21" s="184">
        <f>SUM(P21+R21+T21+V21+X21+Z21+AB21)</f>
        <v>0</v>
      </c>
      <c r="E21" s="93"/>
      <c r="F21" s="170"/>
      <c r="G21" s="93"/>
      <c r="H21" s="170"/>
      <c r="I21" s="93"/>
      <c r="J21" s="96"/>
      <c r="K21" s="131"/>
      <c r="L21" s="96"/>
      <c r="M21" s="93"/>
      <c r="N21" s="96"/>
      <c r="O21" s="137"/>
      <c r="P21" s="138"/>
      <c r="Q21" s="137"/>
      <c r="R21" s="138"/>
      <c r="S21" s="137"/>
      <c r="T21" s="138"/>
      <c r="U21" s="137"/>
      <c r="V21" s="138"/>
      <c r="W21" s="137"/>
      <c r="X21" s="138"/>
      <c r="Y21" s="137"/>
      <c r="Z21" s="138"/>
      <c r="AA21" s="137"/>
      <c r="AB21" s="138"/>
      <c r="AC21" s="93"/>
      <c r="AD21" s="96"/>
      <c r="AE21" s="93"/>
      <c r="AF21" s="96"/>
      <c r="AG21" s="340"/>
      <c r="AH21" s="96"/>
      <c r="AI21" s="93"/>
      <c r="AJ21" s="96"/>
      <c r="AK21" s="93"/>
      <c r="AL21" s="96"/>
      <c r="AM21" s="400"/>
      <c r="AN21" s="240"/>
      <c r="AO21" s="1810"/>
      <c r="AP21" s="1810"/>
      <c r="AQ21" s="401"/>
      <c r="AR21" s="401"/>
      <c r="AS21" s="3052"/>
      <c r="AT21" s="1493"/>
      <c r="AU21" s="802"/>
      <c r="AV21" s="802"/>
      <c r="AW21" s="802"/>
      <c r="AX21" s="802"/>
      <c r="AY21" s="802"/>
      <c r="AZ21" s="802"/>
      <c r="BA21" s="802"/>
      <c r="BB21" s="290"/>
      <c r="BC21" s="290"/>
      <c r="BD21" s="290"/>
      <c r="BU21" s="1452"/>
      <c r="CA21" s="1551"/>
      <c r="DB21" s="3308">
        <v>0</v>
      </c>
      <c r="DD21" s="3308">
        <v>0</v>
      </c>
      <c r="DF21" s="3308">
        <v>0</v>
      </c>
      <c r="DH21" s="3308">
        <v>0</v>
      </c>
      <c r="DJ21" s="3308">
        <v>0</v>
      </c>
    </row>
    <row r="22" spans="1:114" ht="16.350000000000001" customHeight="1" x14ac:dyDescent="0.2">
      <c r="A22" s="397" t="s">
        <v>546</v>
      </c>
      <c r="B22" s="265">
        <f t="shared" si="1"/>
        <v>0</v>
      </c>
      <c r="C22" s="279">
        <f>SUM(E22+G22+I22+K22+M22+O22+Q22+S22+U22+W22+Y22+AA22+AC22+AE22+AG22+AI22+AK22+AM22)</f>
        <v>0</v>
      </c>
      <c r="D22" s="399">
        <f>SUM(F22+H22+J22+L22+N22+P22+R22+T22+V22+X22+Z22+AB22+AD22+AF22+AH22+AJ22+AL22+AN22)</f>
        <v>0</v>
      </c>
      <c r="E22" s="137"/>
      <c r="F22" s="164"/>
      <c r="G22" s="137"/>
      <c r="H22" s="164"/>
      <c r="I22" s="137"/>
      <c r="J22" s="138"/>
      <c r="K22" s="1816"/>
      <c r="L22" s="138"/>
      <c r="M22" s="137"/>
      <c r="N22" s="138"/>
      <c r="O22" s="137"/>
      <c r="P22" s="138"/>
      <c r="Q22" s="137"/>
      <c r="R22" s="138"/>
      <c r="S22" s="137"/>
      <c r="T22" s="138"/>
      <c r="U22" s="137"/>
      <c r="V22" s="138"/>
      <c r="W22" s="137"/>
      <c r="X22" s="138"/>
      <c r="Y22" s="137"/>
      <c r="Z22" s="138"/>
      <c r="AA22" s="137"/>
      <c r="AB22" s="138"/>
      <c r="AC22" s="137"/>
      <c r="AD22" s="138"/>
      <c r="AE22" s="137"/>
      <c r="AF22" s="138"/>
      <c r="AG22" s="137"/>
      <c r="AH22" s="138"/>
      <c r="AI22" s="137"/>
      <c r="AJ22" s="138"/>
      <c r="AK22" s="137"/>
      <c r="AL22" s="138"/>
      <c r="AM22" s="161"/>
      <c r="AN22" s="260"/>
      <c r="AO22" s="1810"/>
      <c r="AP22" s="1810"/>
      <c r="AQ22" s="401"/>
      <c r="AR22" s="401"/>
      <c r="AS22" s="3052"/>
      <c r="AT22" s="1493"/>
      <c r="AU22" s="802"/>
      <c r="AV22" s="802"/>
      <c r="AW22" s="802"/>
      <c r="AX22" s="802"/>
      <c r="AY22" s="802"/>
      <c r="AZ22" s="802"/>
      <c r="BA22" s="802"/>
      <c r="BB22" s="290"/>
      <c r="BC22" s="290"/>
      <c r="BD22" s="290"/>
      <c r="BU22" s="1452"/>
      <c r="DB22" s="3308">
        <v>0</v>
      </c>
      <c r="DD22" s="3308">
        <v>0</v>
      </c>
      <c r="DF22" s="3308">
        <v>0</v>
      </c>
      <c r="DH22" s="3308">
        <v>0</v>
      </c>
      <c r="DJ22" s="3308">
        <v>0</v>
      </c>
    </row>
    <row r="23" spans="1:114" ht="16.350000000000001" customHeight="1" x14ac:dyDescent="0.2">
      <c r="A23" s="2139" t="s">
        <v>547</v>
      </c>
      <c r="B23" s="265">
        <f t="shared" si="1"/>
        <v>0</v>
      </c>
      <c r="C23" s="279">
        <f>SUM(E23+G23+I23+K23+M23+O23+Q23+S23+U23+W23+Y23+AA23+AC23+AE23+AG23+AI23+AK23+AM23)</f>
        <v>0</v>
      </c>
      <c r="D23" s="399">
        <f>SUM(F23+H23+J23+L23+N23+P23+R23+T23+V23+X23+Z23+AB23+AD23+AF23+AH23+AJ23+AL23+AN23)</f>
        <v>0</v>
      </c>
      <c r="E23" s="137"/>
      <c r="F23" s="164"/>
      <c r="G23" s="137"/>
      <c r="H23" s="164"/>
      <c r="I23" s="137"/>
      <c r="J23" s="138"/>
      <c r="K23" s="1816"/>
      <c r="L23" s="138"/>
      <c r="M23" s="137"/>
      <c r="N23" s="138"/>
      <c r="O23" s="137"/>
      <c r="P23" s="138"/>
      <c r="Q23" s="137"/>
      <c r="R23" s="138"/>
      <c r="S23" s="137"/>
      <c r="T23" s="138"/>
      <c r="U23" s="137"/>
      <c r="V23" s="138"/>
      <c r="W23" s="137"/>
      <c r="X23" s="138"/>
      <c r="Y23" s="137"/>
      <c r="Z23" s="138"/>
      <c r="AA23" s="137"/>
      <c r="AB23" s="138"/>
      <c r="AC23" s="137"/>
      <c r="AD23" s="138"/>
      <c r="AE23" s="137"/>
      <c r="AF23" s="138"/>
      <c r="AG23" s="137"/>
      <c r="AH23" s="138"/>
      <c r="AI23" s="137"/>
      <c r="AJ23" s="138"/>
      <c r="AK23" s="137"/>
      <c r="AL23" s="138"/>
      <c r="AM23" s="161"/>
      <c r="AN23" s="260"/>
      <c r="AO23" s="1810"/>
      <c r="AP23" s="1810"/>
      <c r="AQ23" s="401"/>
      <c r="AR23" s="401"/>
      <c r="AS23" s="3052"/>
      <c r="AT23" s="1493"/>
      <c r="AU23" s="802"/>
      <c r="AV23" s="802"/>
      <c r="AW23" s="802"/>
      <c r="AX23" s="802"/>
      <c r="AY23" s="802"/>
      <c r="AZ23" s="802"/>
      <c r="BA23" s="802"/>
      <c r="BB23" s="290"/>
      <c r="BC23" s="290"/>
      <c r="BD23" s="290"/>
      <c r="BU23" s="1452"/>
      <c r="DB23" s="3308">
        <v>0</v>
      </c>
      <c r="DD23" s="3308">
        <v>0</v>
      </c>
      <c r="DF23" s="3308">
        <v>0</v>
      </c>
      <c r="DH23" s="3308">
        <v>0</v>
      </c>
      <c r="DJ23" s="3308">
        <v>0</v>
      </c>
    </row>
    <row r="24" spans="1:114" ht="16.350000000000001" customHeight="1" x14ac:dyDescent="0.2">
      <c r="A24" s="2139" t="s">
        <v>548</v>
      </c>
      <c r="B24" s="275">
        <f t="shared" si="1"/>
        <v>0</v>
      </c>
      <c r="C24" s="276">
        <f>SUM(G24+I24+K24+M24+O24+Q24+S24+U24+W24+Y24+AA24+AC24+AE24+AG24+AI24+AK24+AM24)</f>
        <v>0</v>
      </c>
      <c r="D24" s="184">
        <f>SUM(H24+J24+L24+N24+P24+R24+T24+V24+X24+Z24+AB24+AD24+AF24+AH24+AJ24+AL24+AN24)</f>
        <v>0</v>
      </c>
      <c r="E24" s="131"/>
      <c r="F24" s="121"/>
      <c r="G24" s="137"/>
      <c r="H24" s="164"/>
      <c r="I24" s="137"/>
      <c r="J24" s="138"/>
      <c r="K24" s="1816"/>
      <c r="L24" s="138"/>
      <c r="M24" s="137"/>
      <c r="N24" s="138"/>
      <c r="O24" s="137"/>
      <c r="P24" s="138"/>
      <c r="Q24" s="137"/>
      <c r="R24" s="138"/>
      <c r="S24" s="137"/>
      <c r="T24" s="138"/>
      <c r="U24" s="137"/>
      <c r="V24" s="138"/>
      <c r="W24" s="137"/>
      <c r="X24" s="138"/>
      <c r="Y24" s="137"/>
      <c r="Z24" s="138"/>
      <c r="AA24" s="137"/>
      <c r="AB24" s="138"/>
      <c r="AC24" s="137"/>
      <c r="AD24" s="138"/>
      <c r="AE24" s="137"/>
      <c r="AF24" s="138"/>
      <c r="AG24" s="137"/>
      <c r="AH24" s="138"/>
      <c r="AI24" s="137"/>
      <c r="AJ24" s="138"/>
      <c r="AK24" s="137"/>
      <c r="AL24" s="138"/>
      <c r="AM24" s="161"/>
      <c r="AN24" s="260"/>
      <c r="AO24" s="1810"/>
      <c r="AP24" s="1810"/>
      <c r="AQ24" s="401"/>
      <c r="AR24" s="401"/>
      <c r="AS24" s="3052"/>
      <c r="AT24" s="1493"/>
      <c r="AU24" s="802"/>
      <c r="AV24" s="802"/>
      <c r="AW24" s="802"/>
      <c r="AX24" s="802"/>
      <c r="AY24" s="802"/>
      <c r="AZ24" s="802"/>
      <c r="BA24" s="802"/>
      <c r="BB24" s="290"/>
      <c r="BC24" s="290"/>
      <c r="BD24" s="290"/>
      <c r="BU24" s="1452"/>
      <c r="DB24" s="3308">
        <v>0</v>
      </c>
      <c r="DD24" s="3308">
        <v>0</v>
      </c>
      <c r="DF24" s="3308">
        <v>0</v>
      </c>
      <c r="DH24" s="3308">
        <v>0</v>
      </c>
      <c r="DJ24" s="3308">
        <v>0</v>
      </c>
    </row>
    <row r="25" spans="1:114" ht="16.350000000000001" customHeight="1" x14ac:dyDescent="0.2">
      <c r="A25" s="2139" t="s">
        <v>316</v>
      </c>
      <c r="B25" s="275">
        <f t="shared" si="1"/>
        <v>0</v>
      </c>
      <c r="C25" s="276">
        <f>SUM(M25+O25+Q25+S25+U25+W25+Y25+AA25+AC25+AE25+AG25+AI25+AK25+AM25)</f>
        <v>0</v>
      </c>
      <c r="D25" s="184">
        <f>SUM(N25+P25+R25+T25+V25+X25+Z25+AB25+AD25+AF25+AH25+AJ25+AL25+AN25)</f>
        <v>0</v>
      </c>
      <c r="E25" s="1817"/>
      <c r="F25" s="96"/>
      <c r="G25" s="93"/>
      <c r="H25" s="170"/>
      <c r="I25" s="93"/>
      <c r="J25" s="170"/>
      <c r="K25" s="93"/>
      <c r="L25" s="170"/>
      <c r="M25" s="137"/>
      <c r="N25" s="138"/>
      <c r="O25" s="137"/>
      <c r="P25" s="138"/>
      <c r="Q25" s="137"/>
      <c r="R25" s="138"/>
      <c r="S25" s="137"/>
      <c r="T25" s="138"/>
      <c r="U25" s="137"/>
      <c r="V25" s="138"/>
      <c r="W25" s="137"/>
      <c r="X25" s="138"/>
      <c r="Y25" s="137"/>
      <c r="Z25" s="138"/>
      <c r="AA25" s="137"/>
      <c r="AB25" s="138"/>
      <c r="AC25" s="137"/>
      <c r="AD25" s="138"/>
      <c r="AE25" s="137"/>
      <c r="AF25" s="138"/>
      <c r="AG25" s="137"/>
      <c r="AH25" s="138"/>
      <c r="AI25" s="137"/>
      <c r="AJ25" s="138"/>
      <c r="AK25" s="137"/>
      <c r="AL25" s="138"/>
      <c r="AM25" s="161"/>
      <c r="AN25" s="260"/>
      <c r="AO25" s="1810"/>
      <c r="AP25" s="1810"/>
      <c r="AQ25" s="401"/>
      <c r="AR25" s="401"/>
      <c r="AS25" s="3052"/>
      <c r="AT25" s="1493"/>
      <c r="AU25" s="802"/>
      <c r="AV25" s="802"/>
      <c r="AW25" s="802"/>
      <c r="AX25" s="802"/>
      <c r="AY25" s="802"/>
      <c r="AZ25" s="802"/>
      <c r="BA25" s="802"/>
      <c r="BB25" s="290"/>
      <c r="BC25" s="290"/>
      <c r="BD25" s="290"/>
      <c r="BU25" s="1452"/>
      <c r="DB25" s="3308">
        <v>0</v>
      </c>
      <c r="DD25" s="3308">
        <v>0</v>
      </c>
      <c r="DF25" s="3308">
        <v>0</v>
      </c>
      <c r="DH25" s="3308">
        <v>0</v>
      </c>
      <c r="DJ25" s="3308">
        <v>0</v>
      </c>
    </row>
    <row r="26" spans="1:114" ht="16.350000000000001" customHeight="1" x14ac:dyDescent="0.2">
      <c r="A26" s="318" t="s">
        <v>549</v>
      </c>
      <c r="B26" s="219">
        <f t="shared" si="1"/>
        <v>0</v>
      </c>
      <c r="C26" s="272">
        <f>SUM(E26+G26+I26+K26+M26+O26+Q26+S26+U26+W26+Y26+AA26+AC26+AE26+AG26+AI26+AK26+AM26)</f>
        <v>0</v>
      </c>
      <c r="D26" s="402">
        <f>SUM(F26+H26+J26+L26+N26+P26+R26+T26+V26+X26+Z26+AB26+AD26+AF26+AH26+AJ26+AL26+AN26)</f>
        <v>0</v>
      </c>
      <c r="E26" s="1781"/>
      <c r="F26" s="101"/>
      <c r="G26" s="125"/>
      <c r="H26" s="127"/>
      <c r="I26" s="125"/>
      <c r="J26" s="101"/>
      <c r="K26" s="1689"/>
      <c r="L26" s="101"/>
      <c r="M26" s="125"/>
      <c r="N26" s="101"/>
      <c r="O26" s="125"/>
      <c r="P26" s="101"/>
      <c r="Q26" s="125"/>
      <c r="R26" s="101"/>
      <c r="S26" s="125"/>
      <c r="T26" s="101"/>
      <c r="U26" s="125"/>
      <c r="V26" s="101"/>
      <c r="W26" s="125"/>
      <c r="X26" s="101"/>
      <c r="Y26" s="125"/>
      <c r="Z26" s="101"/>
      <c r="AA26" s="125"/>
      <c r="AB26" s="101"/>
      <c r="AC26" s="125"/>
      <c r="AD26" s="101"/>
      <c r="AE26" s="125"/>
      <c r="AF26" s="101"/>
      <c r="AG26" s="125"/>
      <c r="AH26" s="101"/>
      <c r="AI26" s="125"/>
      <c r="AJ26" s="101"/>
      <c r="AK26" s="125"/>
      <c r="AL26" s="101"/>
      <c r="AM26" s="159"/>
      <c r="AN26" s="198"/>
      <c r="AO26" s="188"/>
      <c r="AP26" s="188"/>
      <c r="AQ26" s="187"/>
      <c r="AR26" s="187"/>
      <c r="AS26" s="3049"/>
      <c r="AT26" s="1493"/>
      <c r="AU26" s="802"/>
      <c r="AV26" s="802"/>
      <c r="AW26" s="802"/>
      <c r="AX26" s="802"/>
      <c r="AY26" s="802"/>
      <c r="AZ26" s="802"/>
      <c r="BA26" s="802"/>
      <c r="BB26" s="290"/>
      <c r="BC26" s="290"/>
      <c r="BD26" s="290"/>
      <c r="BU26" s="1452"/>
      <c r="DB26" s="3308">
        <v>0</v>
      </c>
      <c r="DD26" s="3308">
        <v>0</v>
      </c>
      <c r="DF26" s="3308">
        <v>0</v>
      </c>
      <c r="DH26" s="3308">
        <v>0</v>
      </c>
      <c r="DJ26" s="3308">
        <v>0</v>
      </c>
    </row>
    <row r="27" spans="1:114" ht="31.35" customHeight="1" x14ac:dyDescent="0.2">
      <c r="A27" s="133" t="s">
        <v>550</v>
      </c>
      <c r="B27" s="72"/>
      <c r="C27" s="72"/>
      <c r="D27" s="72"/>
      <c r="E27" s="72"/>
      <c r="F27" s="367"/>
      <c r="G27" s="367" t="s">
        <v>45</v>
      </c>
      <c r="H27" s="403"/>
      <c r="I27" s="403"/>
      <c r="J27" s="367"/>
      <c r="K27" s="367"/>
      <c r="L27" s="367"/>
      <c r="M27" s="367"/>
      <c r="N27" s="367"/>
      <c r="O27" s="367"/>
      <c r="P27" s="367"/>
      <c r="Q27" s="367"/>
      <c r="R27" s="367"/>
      <c r="S27" s="367"/>
      <c r="T27" s="367"/>
      <c r="U27" s="367"/>
      <c r="V27" s="367"/>
      <c r="W27" s="367"/>
      <c r="X27" s="367"/>
      <c r="Y27" s="404"/>
      <c r="Z27" s="404"/>
      <c r="AA27" s="404"/>
      <c r="AB27" s="404"/>
      <c r="AC27" s="404"/>
      <c r="AD27" s="404"/>
      <c r="AE27" s="404"/>
      <c r="AF27" s="404"/>
      <c r="AG27" s="404"/>
      <c r="AH27" s="404"/>
      <c r="AI27" s="404"/>
      <c r="AJ27" s="404"/>
      <c r="AK27" s="404"/>
      <c r="AL27" s="404"/>
      <c r="AM27" s="404"/>
      <c r="AN27" s="404"/>
      <c r="AO27" s="404"/>
      <c r="AP27" s="1552"/>
      <c r="AQ27" s="405"/>
      <c r="AR27" s="288"/>
      <c r="AS27" s="290"/>
      <c r="AT27" s="290"/>
      <c r="AU27" s="290"/>
      <c r="AV27" s="290"/>
      <c r="AW27" s="290"/>
      <c r="AX27" s="290"/>
      <c r="AY27" s="290"/>
      <c r="AZ27" s="290"/>
      <c r="BA27" s="290"/>
      <c r="BB27" s="290"/>
      <c r="BC27" s="290"/>
      <c r="BD27" s="290"/>
      <c r="BE27" s="290"/>
      <c r="BF27" s="290"/>
      <c r="BG27" s="290"/>
    </row>
    <row r="28" spans="1:114" ht="20.100000000000001" customHeight="1" x14ac:dyDescent="0.2">
      <c r="A28" s="8551" t="s">
        <v>0</v>
      </c>
      <c r="B28" s="8553" t="s">
        <v>1</v>
      </c>
      <c r="C28" s="8554"/>
      <c r="D28" s="8512"/>
      <c r="E28" s="8374" t="s">
        <v>55</v>
      </c>
      <c r="F28" s="8529"/>
      <c r="G28" s="8529"/>
      <c r="H28" s="8529"/>
      <c r="I28" s="8529"/>
      <c r="J28" s="8529"/>
      <c r="K28" s="8529"/>
      <c r="L28" s="8529"/>
      <c r="M28" s="8529"/>
      <c r="N28" s="8529"/>
      <c r="O28" s="8529"/>
      <c r="P28" s="8529"/>
      <c r="Q28" s="8529"/>
      <c r="R28" s="8529"/>
      <c r="S28" s="8529"/>
      <c r="T28" s="8529"/>
      <c r="U28" s="8529"/>
      <c r="V28" s="8529"/>
      <c r="W28" s="8529"/>
      <c r="X28" s="8529"/>
      <c r="Y28" s="8529"/>
      <c r="Z28" s="8529"/>
      <c r="AA28" s="8529"/>
      <c r="AB28" s="8529"/>
      <c r="AC28" s="8529"/>
      <c r="AD28" s="8529"/>
      <c r="AE28" s="8529"/>
      <c r="AF28" s="8529"/>
      <c r="AG28" s="8529"/>
      <c r="AH28" s="8529"/>
      <c r="AI28" s="8529"/>
      <c r="AJ28" s="8529"/>
      <c r="AK28" s="8529"/>
      <c r="AL28" s="8529"/>
      <c r="AM28" s="8529"/>
      <c r="AN28" s="8530"/>
      <c r="AO28" s="8513" t="s">
        <v>360</v>
      </c>
      <c r="AP28" s="8513" t="s">
        <v>359</v>
      </c>
      <c r="AQ28" s="8513" t="s">
        <v>415</v>
      </c>
      <c r="AR28" s="8512" t="s">
        <v>2947</v>
      </c>
      <c r="AS28" s="8512" t="s">
        <v>2607</v>
      </c>
      <c r="AT28" s="290"/>
      <c r="AU28" s="290"/>
      <c r="AV28" s="290"/>
      <c r="AW28" s="290"/>
      <c r="AX28" s="290"/>
      <c r="AY28" s="290"/>
      <c r="AZ28" s="290"/>
      <c r="BA28" s="290"/>
      <c r="BB28" s="290"/>
      <c r="BC28" s="290"/>
      <c r="BD28" s="290"/>
      <c r="BE28" s="290"/>
      <c r="BF28" s="290"/>
      <c r="BG28" s="290"/>
    </row>
    <row r="29" spans="1:114" ht="20.100000000000001" customHeight="1" x14ac:dyDescent="0.2">
      <c r="A29" s="8189"/>
      <c r="B29" s="8555"/>
      <c r="C29" s="8168"/>
      <c r="D29" s="8185"/>
      <c r="E29" s="8531" t="s">
        <v>3524</v>
      </c>
      <c r="F29" s="8532"/>
      <c r="G29" s="8132" t="s">
        <v>1618</v>
      </c>
      <c r="H29" s="8528"/>
      <c r="I29" s="8132" t="s">
        <v>1413</v>
      </c>
      <c r="J29" s="8528"/>
      <c r="K29" s="8132" t="s">
        <v>32</v>
      </c>
      <c r="L29" s="8528"/>
      <c r="M29" s="8132" t="s">
        <v>33</v>
      </c>
      <c r="N29" s="8528"/>
      <c r="O29" s="8132" t="s">
        <v>40</v>
      </c>
      <c r="P29" s="8528"/>
      <c r="Q29" s="8132" t="s">
        <v>82</v>
      </c>
      <c r="R29" s="8528"/>
      <c r="S29" s="8132" t="s">
        <v>83</v>
      </c>
      <c r="T29" s="8528"/>
      <c r="U29" s="8132" t="s">
        <v>398</v>
      </c>
      <c r="V29" s="8528"/>
      <c r="W29" s="8132" t="s">
        <v>124</v>
      </c>
      <c r="X29" s="8528"/>
      <c r="Y29" s="8132" t="s">
        <v>125</v>
      </c>
      <c r="Z29" s="8528"/>
      <c r="AA29" s="8132" t="s">
        <v>126</v>
      </c>
      <c r="AB29" s="8528"/>
      <c r="AC29" s="8132" t="s">
        <v>127</v>
      </c>
      <c r="AD29" s="8528"/>
      <c r="AE29" s="8132" t="s">
        <v>128</v>
      </c>
      <c r="AF29" s="8528"/>
      <c r="AG29" s="8132" t="s">
        <v>129</v>
      </c>
      <c r="AH29" s="8528"/>
      <c r="AI29" s="8132" t="s">
        <v>130</v>
      </c>
      <c r="AJ29" s="8528"/>
      <c r="AK29" s="8132" t="s">
        <v>131</v>
      </c>
      <c r="AL29" s="8528"/>
      <c r="AM29" s="8374" t="s">
        <v>1916</v>
      </c>
      <c r="AN29" s="8530"/>
      <c r="AO29" s="8274"/>
      <c r="AP29" s="8274"/>
      <c r="AQ29" s="8274"/>
      <c r="AR29" s="8192"/>
      <c r="AS29" s="8192"/>
      <c r="AT29" s="290"/>
      <c r="AU29" s="290"/>
      <c r="AV29" s="290"/>
      <c r="AW29" s="290"/>
      <c r="AX29" s="290"/>
      <c r="AY29" s="290"/>
      <c r="AZ29" s="290"/>
      <c r="BA29" s="290"/>
      <c r="BB29" s="290"/>
      <c r="BC29" s="290"/>
      <c r="BD29" s="290"/>
      <c r="BE29" s="290"/>
      <c r="BF29" s="290"/>
      <c r="BG29" s="290"/>
    </row>
    <row r="30" spans="1:114" ht="28.15" customHeight="1" x14ac:dyDescent="0.2">
      <c r="A30" s="8552"/>
      <c r="B30" s="2213" t="s">
        <v>42</v>
      </c>
      <c r="C30" s="2214" t="s">
        <v>17</v>
      </c>
      <c r="D30" s="2121" t="s">
        <v>18</v>
      </c>
      <c r="E30" s="1717" t="s">
        <v>17</v>
      </c>
      <c r="F30" s="3385" t="s">
        <v>18</v>
      </c>
      <c r="G30" s="1717" t="s">
        <v>17</v>
      </c>
      <c r="H30" s="3385" t="s">
        <v>18</v>
      </c>
      <c r="I30" s="1717" t="s">
        <v>17</v>
      </c>
      <c r="J30" s="3385" t="s">
        <v>18</v>
      </c>
      <c r="K30" s="1717" t="s">
        <v>17</v>
      </c>
      <c r="L30" s="3385" t="s">
        <v>18</v>
      </c>
      <c r="M30" s="1717" t="s">
        <v>17</v>
      </c>
      <c r="N30" s="3385" t="s">
        <v>18</v>
      </c>
      <c r="O30" s="1717" t="s">
        <v>17</v>
      </c>
      <c r="P30" s="3385" t="s">
        <v>18</v>
      </c>
      <c r="Q30" s="1717" t="s">
        <v>17</v>
      </c>
      <c r="R30" s="3385" t="s">
        <v>18</v>
      </c>
      <c r="S30" s="1717" t="s">
        <v>17</v>
      </c>
      <c r="T30" s="3385" t="s">
        <v>18</v>
      </c>
      <c r="U30" s="1717" t="s">
        <v>17</v>
      </c>
      <c r="V30" s="3385" t="s">
        <v>18</v>
      </c>
      <c r="W30" s="1717" t="s">
        <v>17</v>
      </c>
      <c r="X30" s="3385" t="s">
        <v>18</v>
      </c>
      <c r="Y30" s="1717" t="s">
        <v>17</v>
      </c>
      <c r="Z30" s="3385" t="s">
        <v>18</v>
      </c>
      <c r="AA30" s="1717" t="s">
        <v>17</v>
      </c>
      <c r="AB30" s="3385" t="s">
        <v>18</v>
      </c>
      <c r="AC30" s="1717" t="s">
        <v>17</v>
      </c>
      <c r="AD30" s="3385" t="s">
        <v>18</v>
      </c>
      <c r="AE30" s="1717" t="s">
        <v>17</v>
      </c>
      <c r="AF30" s="3385" t="s">
        <v>18</v>
      </c>
      <c r="AG30" s="1717" t="s">
        <v>17</v>
      </c>
      <c r="AH30" s="3385" t="s">
        <v>18</v>
      </c>
      <c r="AI30" s="1717" t="s">
        <v>17</v>
      </c>
      <c r="AJ30" s="3385" t="s">
        <v>18</v>
      </c>
      <c r="AK30" s="3357" t="s">
        <v>17</v>
      </c>
      <c r="AL30" s="3385" t="s">
        <v>18</v>
      </c>
      <c r="AM30" s="1717" t="s">
        <v>17</v>
      </c>
      <c r="AN30" s="1805" t="s">
        <v>18</v>
      </c>
      <c r="AO30" s="8514"/>
      <c r="AP30" s="8514"/>
      <c r="AQ30" s="8514"/>
      <c r="AR30" s="8185"/>
      <c r="AS30" s="8185"/>
      <c r="AT30" s="290"/>
      <c r="AU30" s="290"/>
      <c r="AV30" s="290"/>
      <c r="AW30" s="290"/>
      <c r="AX30" s="290"/>
      <c r="AY30" s="290"/>
      <c r="AZ30" s="290"/>
      <c r="BA30" s="290"/>
      <c r="BB30" s="290"/>
      <c r="BC30" s="290"/>
      <c r="BD30" s="290"/>
      <c r="BE30" s="290"/>
      <c r="BF30" s="290"/>
      <c r="BG30" s="290"/>
    </row>
    <row r="31" spans="1:114" ht="16.350000000000001" customHeight="1" x14ac:dyDescent="0.2">
      <c r="A31" s="76" t="s">
        <v>23</v>
      </c>
      <c r="B31" s="273">
        <f t="shared" ref="B31:B45" si="2">SUM(C31:D31)</f>
        <v>0</v>
      </c>
      <c r="C31" s="274">
        <f t="shared" ref="C31:D33" si="3">SUM(E31+G31+I31+K31+M31+O31+Q31+S31+U31+W31+Y31+AA31+AC31+AE31+AG31+AI31+AK31+AM31)</f>
        <v>0</v>
      </c>
      <c r="D31" s="394">
        <f t="shared" si="3"/>
        <v>0</v>
      </c>
      <c r="E31" s="1770"/>
      <c r="F31" s="1730"/>
      <c r="G31" s="1770"/>
      <c r="H31" s="1799"/>
      <c r="I31" s="1770"/>
      <c r="J31" s="1799"/>
      <c r="K31" s="1770"/>
      <c r="L31" s="1799"/>
      <c r="M31" s="1770"/>
      <c r="N31" s="1799"/>
      <c r="O31" s="1770"/>
      <c r="P31" s="1799"/>
      <c r="Q31" s="1742"/>
      <c r="R31" s="1799"/>
      <c r="S31" s="1770"/>
      <c r="T31" s="1799"/>
      <c r="U31" s="1770"/>
      <c r="V31" s="1799"/>
      <c r="W31" s="1770"/>
      <c r="X31" s="1799"/>
      <c r="Y31" s="1770"/>
      <c r="Z31" s="1799"/>
      <c r="AA31" s="1770"/>
      <c r="AB31" s="1799"/>
      <c r="AC31" s="1742"/>
      <c r="AD31" s="1799"/>
      <c r="AE31" s="1770"/>
      <c r="AF31" s="1799"/>
      <c r="AG31" s="1742"/>
      <c r="AH31" s="1799"/>
      <c r="AI31" s="1770"/>
      <c r="AJ31" s="1799"/>
      <c r="AK31" s="1742"/>
      <c r="AL31" s="1799"/>
      <c r="AM31" s="1728"/>
      <c r="AN31" s="1806"/>
      <c r="AO31" s="1800"/>
      <c r="AP31" s="1800"/>
      <c r="AQ31" s="1800"/>
      <c r="AR31" s="395"/>
      <c r="AS31" s="395"/>
      <c r="AT31" s="1493"/>
      <c r="AU31" s="802"/>
      <c r="AV31" s="802"/>
      <c r="AW31" s="802"/>
      <c r="AX31" s="802"/>
      <c r="AY31" s="802"/>
      <c r="AZ31" s="802"/>
      <c r="BA31" s="802"/>
      <c r="BB31" s="802"/>
      <c r="BC31" s="290"/>
      <c r="BD31" s="290"/>
      <c r="BE31" s="290"/>
      <c r="BF31" s="290"/>
      <c r="BG31" s="290"/>
      <c r="CA31" s="1551"/>
      <c r="CB31" s="1551"/>
      <c r="DB31" s="3308">
        <v>0</v>
      </c>
      <c r="DD31" s="3308">
        <v>0</v>
      </c>
      <c r="DF31" s="3308">
        <v>0</v>
      </c>
      <c r="DH31" s="3308">
        <v>0</v>
      </c>
      <c r="DJ31" s="3308">
        <v>0</v>
      </c>
    </row>
    <row r="32" spans="1:114" ht="16.350000000000001" customHeight="1" x14ac:dyDescent="0.2">
      <c r="A32" s="109" t="s">
        <v>551</v>
      </c>
      <c r="B32" s="275">
        <f t="shared" si="2"/>
        <v>0</v>
      </c>
      <c r="C32" s="276">
        <f t="shared" si="3"/>
        <v>0</v>
      </c>
      <c r="D32" s="184">
        <f t="shared" si="3"/>
        <v>0</v>
      </c>
      <c r="E32" s="110"/>
      <c r="F32" s="144"/>
      <c r="G32" s="110"/>
      <c r="H32" s="122"/>
      <c r="I32" s="110"/>
      <c r="J32" s="122"/>
      <c r="K32" s="110"/>
      <c r="L32" s="122"/>
      <c r="M32" s="110"/>
      <c r="N32" s="122"/>
      <c r="O32" s="110"/>
      <c r="P32" s="122"/>
      <c r="Q32" s="136"/>
      <c r="R32" s="122"/>
      <c r="S32" s="110"/>
      <c r="T32" s="122"/>
      <c r="U32" s="110"/>
      <c r="V32" s="122"/>
      <c r="W32" s="110"/>
      <c r="X32" s="122"/>
      <c r="Y32" s="110"/>
      <c r="Z32" s="122"/>
      <c r="AA32" s="110"/>
      <c r="AB32" s="122"/>
      <c r="AC32" s="136"/>
      <c r="AD32" s="122"/>
      <c r="AE32" s="110"/>
      <c r="AF32" s="122"/>
      <c r="AG32" s="136"/>
      <c r="AH32" s="122"/>
      <c r="AI32" s="110"/>
      <c r="AJ32" s="122"/>
      <c r="AK32" s="136"/>
      <c r="AL32" s="122"/>
      <c r="AM32" s="112"/>
      <c r="AN32" s="197"/>
      <c r="AO32" s="1801"/>
      <c r="AP32" s="1801"/>
      <c r="AQ32" s="1801"/>
      <c r="AR32" s="186"/>
      <c r="AS32" s="186"/>
      <c r="AT32" s="1493"/>
      <c r="AU32" s="802"/>
      <c r="AV32" s="802"/>
      <c r="AW32" s="802"/>
      <c r="AX32" s="802"/>
      <c r="AY32" s="802"/>
      <c r="AZ32" s="802"/>
      <c r="BA32" s="802"/>
      <c r="BB32" s="802"/>
      <c r="BC32" s="290"/>
      <c r="BD32" s="290"/>
      <c r="BE32" s="290"/>
      <c r="BF32" s="290"/>
      <c r="BG32" s="290"/>
      <c r="CB32" s="1551"/>
    </row>
    <row r="33" spans="1:114" ht="16.350000000000001" customHeight="1" x14ac:dyDescent="0.2">
      <c r="A33" s="87" t="s">
        <v>552</v>
      </c>
      <c r="B33" s="275">
        <f t="shared" si="2"/>
        <v>0</v>
      </c>
      <c r="C33" s="276">
        <f t="shared" si="3"/>
        <v>0</v>
      </c>
      <c r="D33" s="399">
        <f t="shared" si="3"/>
        <v>0</v>
      </c>
      <c r="E33" s="110"/>
      <c r="F33" s="144"/>
      <c r="G33" s="110"/>
      <c r="H33" s="122"/>
      <c r="I33" s="110"/>
      <c r="J33" s="122"/>
      <c r="K33" s="110"/>
      <c r="L33" s="122"/>
      <c r="M33" s="110"/>
      <c r="N33" s="122"/>
      <c r="O33" s="110"/>
      <c r="P33" s="122"/>
      <c r="Q33" s="136"/>
      <c r="R33" s="122"/>
      <c r="S33" s="110"/>
      <c r="T33" s="122"/>
      <c r="U33" s="110"/>
      <c r="V33" s="122"/>
      <c r="W33" s="110"/>
      <c r="X33" s="122"/>
      <c r="Y33" s="110"/>
      <c r="Z33" s="122"/>
      <c r="AA33" s="110"/>
      <c r="AB33" s="122"/>
      <c r="AC33" s="136"/>
      <c r="AD33" s="122"/>
      <c r="AE33" s="110"/>
      <c r="AF33" s="122"/>
      <c r="AG33" s="136"/>
      <c r="AH33" s="122"/>
      <c r="AI33" s="110"/>
      <c r="AJ33" s="122"/>
      <c r="AK33" s="136"/>
      <c r="AL33" s="122"/>
      <c r="AM33" s="112"/>
      <c r="AN33" s="197"/>
      <c r="AO33" s="1802"/>
      <c r="AP33" s="1802"/>
      <c r="AQ33" s="1802"/>
      <c r="AR33" s="185"/>
      <c r="AS33" s="185"/>
      <c r="AT33" s="1493"/>
      <c r="AU33" s="802"/>
      <c r="AV33" s="802"/>
      <c r="AW33" s="802"/>
      <c r="AX33" s="802"/>
      <c r="AY33" s="802"/>
      <c r="AZ33" s="802"/>
      <c r="BA33" s="802"/>
      <c r="BB33" s="802"/>
      <c r="BC33" s="290"/>
      <c r="BD33" s="290"/>
      <c r="BE33" s="290"/>
      <c r="BF33" s="290"/>
      <c r="BG33" s="290"/>
      <c r="CB33" s="1551"/>
      <c r="DB33" s="3308">
        <v>0</v>
      </c>
      <c r="DD33" s="3308">
        <v>0</v>
      </c>
      <c r="DF33" s="3308">
        <v>0</v>
      </c>
      <c r="DH33" s="3308">
        <v>0</v>
      </c>
      <c r="DJ33" s="3308">
        <v>0</v>
      </c>
    </row>
    <row r="34" spans="1:114" ht="16.350000000000001" customHeight="1" x14ac:dyDescent="0.2">
      <c r="A34" s="87" t="s">
        <v>553</v>
      </c>
      <c r="B34" s="275">
        <f t="shared" si="2"/>
        <v>0</v>
      </c>
      <c r="C34" s="276">
        <f>SUM(O34+Q34+S34+U34+W34+Y34+AA34)</f>
        <v>0</v>
      </c>
      <c r="D34" s="399">
        <f>SUM(P34+R34+T34+V34+X34+Z34+AB34)</f>
        <v>0</v>
      </c>
      <c r="E34" s="93"/>
      <c r="F34" s="170"/>
      <c r="G34" s="93"/>
      <c r="H34" s="96"/>
      <c r="I34" s="93"/>
      <c r="J34" s="96"/>
      <c r="K34" s="93"/>
      <c r="L34" s="96"/>
      <c r="M34" s="93"/>
      <c r="N34" s="96"/>
      <c r="O34" s="110"/>
      <c r="P34" s="122"/>
      <c r="Q34" s="136"/>
      <c r="R34" s="122"/>
      <c r="S34" s="110"/>
      <c r="T34" s="122"/>
      <c r="U34" s="110"/>
      <c r="V34" s="122"/>
      <c r="W34" s="110"/>
      <c r="X34" s="122"/>
      <c r="Y34" s="110"/>
      <c r="Z34" s="122"/>
      <c r="AA34" s="110"/>
      <c r="AB34" s="138"/>
      <c r="AC34" s="735"/>
      <c r="AD34" s="96"/>
      <c r="AE34" s="93"/>
      <c r="AF34" s="96"/>
      <c r="AG34" s="735"/>
      <c r="AH34" s="96"/>
      <c r="AI34" s="93"/>
      <c r="AJ34" s="96"/>
      <c r="AK34" s="735"/>
      <c r="AL34" s="96"/>
      <c r="AM34" s="768"/>
      <c r="AN34" s="240"/>
      <c r="AO34" s="1802"/>
      <c r="AP34" s="1802"/>
      <c r="AQ34" s="1802"/>
      <c r="AR34" s="185"/>
      <c r="AS34" s="185"/>
      <c r="AT34" s="1493"/>
      <c r="AU34" s="802"/>
      <c r="AV34" s="802"/>
      <c r="AW34" s="802"/>
      <c r="AX34" s="802"/>
      <c r="AY34" s="802"/>
      <c r="AZ34" s="802"/>
      <c r="BA34" s="802"/>
      <c r="BB34" s="802"/>
      <c r="BC34" s="290"/>
      <c r="BD34" s="290"/>
      <c r="BE34" s="290"/>
      <c r="BF34" s="290"/>
      <c r="BG34" s="290"/>
      <c r="CB34" s="1551"/>
    </row>
    <row r="35" spans="1:114" ht="16.350000000000001" customHeight="1" x14ac:dyDescent="0.2">
      <c r="A35" s="87" t="s">
        <v>554</v>
      </c>
      <c r="B35" s="1798">
        <f>SUM(C35:D35)</f>
        <v>0</v>
      </c>
      <c r="C35" s="1797">
        <f>SUM(E35+G35+I35+K35+M35+O35+Q35+S35+U35+W35+Y35+AA35+AC35+AE35+AG35+AI35+AK35+AM35)</f>
        <v>0</v>
      </c>
      <c r="D35" s="399">
        <f>SUM(F35+H35+J35+L35+N35+P35+R35+T35+V35+X35+Z35+AB35+AD35+AF35+AH35+AJ35+AL35+AN35)</f>
        <v>0</v>
      </c>
      <c r="E35" s="110"/>
      <c r="F35" s="144"/>
      <c r="G35" s="110"/>
      <c r="H35" s="122"/>
      <c r="I35" s="110"/>
      <c r="J35" s="122"/>
      <c r="K35" s="110"/>
      <c r="L35" s="122"/>
      <c r="M35" s="110"/>
      <c r="N35" s="122"/>
      <c r="O35" s="110"/>
      <c r="P35" s="122"/>
      <c r="Q35" s="136"/>
      <c r="R35" s="122"/>
      <c r="S35" s="110"/>
      <c r="T35" s="122"/>
      <c r="U35" s="110"/>
      <c r="V35" s="122"/>
      <c r="W35" s="110"/>
      <c r="X35" s="122"/>
      <c r="Y35" s="110"/>
      <c r="Z35" s="122"/>
      <c r="AA35" s="110"/>
      <c r="AB35" s="122"/>
      <c r="AC35" s="136"/>
      <c r="AD35" s="122"/>
      <c r="AE35" s="110"/>
      <c r="AF35" s="122"/>
      <c r="AG35" s="136"/>
      <c r="AH35" s="122"/>
      <c r="AI35" s="110"/>
      <c r="AJ35" s="122"/>
      <c r="AK35" s="136"/>
      <c r="AL35" s="122"/>
      <c r="AM35" s="112"/>
      <c r="AN35" s="197"/>
      <c r="AO35" s="1801"/>
      <c r="AP35" s="1801"/>
      <c r="AQ35" s="1801"/>
      <c r="AR35" s="186"/>
      <c r="AS35" s="186"/>
      <c r="AT35" s="1493"/>
      <c r="AU35" s="802"/>
      <c r="AV35" s="802"/>
      <c r="AW35" s="802"/>
      <c r="AX35" s="802"/>
      <c r="AY35" s="802"/>
      <c r="AZ35" s="802"/>
      <c r="BA35" s="802"/>
      <c r="BB35" s="802"/>
      <c r="BC35" s="290"/>
      <c r="BD35" s="290"/>
      <c r="BE35" s="290"/>
      <c r="BF35" s="290"/>
      <c r="BG35" s="290"/>
      <c r="CB35" s="1551"/>
      <c r="DB35" s="3308">
        <v>0</v>
      </c>
      <c r="DD35" s="3308">
        <v>0</v>
      </c>
      <c r="DF35" s="3308">
        <v>0</v>
      </c>
      <c r="DH35" s="3308">
        <v>0</v>
      </c>
      <c r="DJ35" s="3308">
        <v>0</v>
      </c>
    </row>
    <row r="36" spans="1:114" ht="16.350000000000001" customHeight="1" x14ac:dyDescent="0.2">
      <c r="A36" s="87" t="s">
        <v>555</v>
      </c>
      <c r="B36" s="2883">
        <f>SUM(C36:D36)</f>
        <v>0</v>
      </c>
      <c r="C36" s="1797">
        <f>SUM(K36+M36+O36+Q36+S36+U36+W36+Y36+AA36+AC36+AE36+AG36+AI36+AK36+AM36)</f>
        <v>0</v>
      </c>
      <c r="D36" s="399">
        <f>SUM(L36+N36+P36+R36+T36+V36+X36+Z36+AB36+AD36+AF36+AH36+AJ36+AL36+AN36)</f>
        <v>0</v>
      </c>
      <c r="E36" s="722"/>
      <c r="F36" s="771"/>
      <c r="G36" s="722"/>
      <c r="H36" s="787"/>
      <c r="I36" s="722"/>
      <c r="J36" s="787"/>
      <c r="K36" s="110"/>
      <c r="L36" s="122"/>
      <c r="M36" s="110"/>
      <c r="N36" s="122"/>
      <c r="O36" s="110"/>
      <c r="P36" s="122"/>
      <c r="Q36" s="136"/>
      <c r="R36" s="122"/>
      <c r="S36" s="110"/>
      <c r="T36" s="122"/>
      <c r="U36" s="110"/>
      <c r="V36" s="122"/>
      <c r="W36" s="110"/>
      <c r="X36" s="122"/>
      <c r="Y36" s="110"/>
      <c r="Z36" s="122"/>
      <c r="AA36" s="110"/>
      <c r="AB36" s="122"/>
      <c r="AC36" s="136"/>
      <c r="AD36" s="122"/>
      <c r="AE36" s="110"/>
      <c r="AF36" s="122"/>
      <c r="AG36" s="136"/>
      <c r="AH36" s="122"/>
      <c r="AI36" s="110"/>
      <c r="AJ36" s="122"/>
      <c r="AK36" s="136"/>
      <c r="AL36" s="122"/>
      <c r="AM36" s="112"/>
      <c r="AN36" s="197"/>
      <c r="AO36" s="1801"/>
      <c r="AP36" s="1801"/>
      <c r="AQ36" s="1801"/>
      <c r="AR36" s="186"/>
      <c r="AS36" s="186"/>
      <c r="AT36" s="1493"/>
      <c r="AU36" s="802"/>
      <c r="AV36" s="802"/>
      <c r="AW36" s="802"/>
      <c r="AX36" s="802"/>
      <c r="AY36" s="802"/>
      <c r="AZ36" s="802"/>
      <c r="BA36" s="802"/>
      <c r="BB36" s="802"/>
      <c r="BC36" s="290"/>
      <c r="BD36" s="290"/>
      <c r="BE36" s="290"/>
      <c r="BF36" s="290"/>
      <c r="BG36" s="290"/>
      <c r="CB36" s="1551"/>
      <c r="DB36" s="3308">
        <v>0</v>
      </c>
      <c r="DD36" s="3308">
        <v>0</v>
      </c>
      <c r="DF36" s="3308">
        <v>0</v>
      </c>
      <c r="DH36" s="3308">
        <v>0</v>
      </c>
      <c r="DJ36" s="3308">
        <v>0</v>
      </c>
    </row>
    <row r="37" spans="1:114" ht="16.350000000000001" customHeight="1" x14ac:dyDescent="0.2">
      <c r="A37" s="87" t="s">
        <v>3679</v>
      </c>
      <c r="B37" s="280">
        <f>SUM(C37:D37)</f>
        <v>0</v>
      </c>
      <c r="C37" s="1797">
        <f>SUM(K37+M37+O37+Q37+S37+U37+W37+Y37+AA37+AC37+AE37+AG37+AI37+AK37+AM37)</f>
        <v>0</v>
      </c>
      <c r="D37" s="399">
        <f>SUM(L37+N37+P37+R37+T37+V37+X37+Z37+AB37+AD37+AF37+AH37+AJ37+AL37+AN37)</f>
        <v>0</v>
      </c>
      <c r="E37" s="1893"/>
      <c r="F37" s="3896"/>
      <c r="G37" s="1893"/>
      <c r="H37" s="1894"/>
      <c r="I37" s="1893"/>
      <c r="J37" s="1894"/>
      <c r="K37" s="1880"/>
      <c r="L37" s="1882"/>
      <c r="M37" s="1880"/>
      <c r="N37" s="1882"/>
      <c r="O37" s="1880"/>
      <c r="P37" s="1882"/>
      <c r="Q37" s="1891"/>
      <c r="R37" s="1882"/>
      <c r="S37" s="1880"/>
      <c r="T37" s="1882"/>
      <c r="U37" s="1880"/>
      <c r="V37" s="1882"/>
      <c r="W37" s="1880"/>
      <c r="X37" s="1882"/>
      <c r="Y37" s="1880"/>
      <c r="Z37" s="1882"/>
      <c r="AA37" s="1880"/>
      <c r="AB37" s="1882"/>
      <c r="AC37" s="1891"/>
      <c r="AD37" s="1882"/>
      <c r="AE37" s="1880"/>
      <c r="AF37" s="1882"/>
      <c r="AG37" s="1891"/>
      <c r="AH37" s="1882"/>
      <c r="AI37" s="1880"/>
      <c r="AJ37" s="1882"/>
      <c r="AK37" s="1891"/>
      <c r="AL37" s="1882"/>
      <c r="AM37" s="3894"/>
      <c r="AN37" s="1872"/>
      <c r="AO37" s="3655"/>
      <c r="AP37" s="3655"/>
      <c r="AQ37" s="3655"/>
      <c r="AR37" s="2987"/>
      <c r="AS37" s="2987"/>
      <c r="AT37" s="1493"/>
      <c r="AU37" s="802"/>
      <c r="AV37" s="802"/>
      <c r="AW37" s="802"/>
      <c r="AX37" s="802"/>
      <c r="AY37" s="802"/>
      <c r="AZ37" s="802"/>
      <c r="BA37" s="802"/>
      <c r="BB37" s="802"/>
      <c r="BC37" s="290"/>
      <c r="BD37" s="290"/>
      <c r="BE37" s="290"/>
      <c r="BF37" s="290"/>
      <c r="BG37" s="290"/>
      <c r="CB37" s="1551"/>
      <c r="DB37" s="3308">
        <v>0</v>
      </c>
      <c r="DD37" s="3308">
        <v>0</v>
      </c>
      <c r="DF37" s="3308">
        <v>0</v>
      </c>
      <c r="DH37" s="3308">
        <v>0</v>
      </c>
      <c r="DJ37" s="3308">
        <v>0</v>
      </c>
    </row>
    <row r="38" spans="1:114" ht="16.350000000000001" customHeight="1" x14ac:dyDescent="0.2">
      <c r="A38" s="2139" t="s">
        <v>556</v>
      </c>
      <c r="B38" s="275">
        <f t="shared" si="2"/>
        <v>0</v>
      </c>
      <c r="C38" s="276">
        <f t="shared" ref="C38:D45" si="4">SUM(E38+G38+I38+K38+M38+O38+Q38+S38+U38+W38+Y38+AA38+AC38+AE38+AG38+AI38+AK38+AM38)</f>
        <v>0</v>
      </c>
      <c r="D38" s="184">
        <f t="shared" si="4"/>
        <v>0</v>
      </c>
      <c r="E38" s="110"/>
      <c r="F38" s="144"/>
      <c r="G38" s="110"/>
      <c r="H38" s="122"/>
      <c r="I38" s="110"/>
      <c r="J38" s="122"/>
      <c r="K38" s="110"/>
      <c r="L38" s="122"/>
      <c r="M38" s="110"/>
      <c r="N38" s="122"/>
      <c r="O38" s="110"/>
      <c r="P38" s="122"/>
      <c r="Q38" s="136"/>
      <c r="R38" s="122"/>
      <c r="S38" s="110"/>
      <c r="T38" s="122"/>
      <c r="U38" s="110"/>
      <c r="V38" s="122"/>
      <c r="W38" s="110"/>
      <c r="X38" s="122"/>
      <c r="Y38" s="110"/>
      <c r="Z38" s="122"/>
      <c r="AA38" s="110"/>
      <c r="AB38" s="122"/>
      <c r="AC38" s="136"/>
      <c r="AD38" s="122"/>
      <c r="AE38" s="110"/>
      <c r="AF38" s="122"/>
      <c r="AG38" s="136"/>
      <c r="AH38" s="122"/>
      <c r="AI38" s="110"/>
      <c r="AJ38" s="122"/>
      <c r="AK38" s="136"/>
      <c r="AL38" s="122"/>
      <c r="AM38" s="112"/>
      <c r="AN38" s="197"/>
      <c r="AO38" s="1802"/>
      <c r="AP38" s="1802"/>
      <c r="AQ38" s="1802"/>
      <c r="AR38" s="185"/>
      <c r="AS38" s="185"/>
      <c r="AT38" s="1493"/>
      <c r="AU38" s="802"/>
      <c r="AV38" s="802"/>
      <c r="AW38" s="802"/>
      <c r="AX38" s="802"/>
      <c r="AY38" s="802"/>
      <c r="AZ38" s="802"/>
      <c r="BA38" s="802"/>
      <c r="BB38" s="802"/>
      <c r="BC38" s="290"/>
      <c r="BD38" s="290"/>
      <c r="BE38" s="290"/>
      <c r="BF38" s="290"/>
      <c r="BG38" s="290"/>
      <c r="DB38" s="3308">
        <v>0</v>
      </c>
      <c r="DD38" s="3308">
        <v>0</v>
      </c>
      <c r="DF38" s="3308">
        <v>0</v>
      </c>
      <c r="DH38" s="3308">
        <v>0</v>
      </c>
      <c r="DJ38" s="3308">
        <v>0</v>
      </c>
    </row>
    <row r="39" spans="1:114" ht="16.350000000000001" customHeight="1" x14ac:dyDescent="0.2">
      <c r="A39" s="2139" t="s">
        <v>557</v>
      </c>
      <c r="B39" s="275">
        <f>SUM(C39:D39)</f>
        <v>0</v>
      </c>
      <c r="C39" s="276">
        <f>SUM(E39+G39+I39+K39+M39+O39+Q39+S39+U39+W39+Y39+AA39+AC39+AE39+AG39+AI39+AK39+AM39)</f>
        <v>0</v>
      </c>
      <c r="D39" s="184">
        <f>SUM(F39+H39+J39+L39+N39+P39+R39+T39+V39+X39+Z39+AB39+AD39+AF39+AH39+AJ39+AL39+AN39)</f>
        <v>0</v>
      </c>
      <c r="E39" s="110"/>
      <c r="F39" s="144"/>
      <c r="G39" s="110"/>
      <c r="H39" s="122"/>
      <c r="I39" s="110"/>
      <c r="J39" s="122"/>
      <c r="K39" s="110"/>
      <c r="L39" s="122"/>
      <c r="M39" s="110"/>
      <c r="N39" s="122"/>
      <c r="O39" s="110"/>
      <c r="P39" s="122"/>
      <c r="Q39" s="136"/>
      <c r="R39" s="122"/>
      <c r="S39" s="110"/>
      <c r="T39" s="122"/>
      <c r="U39" s="110"/>
      <c r="V39" s="122"/>
      <c r="W39" s="110"/>
      <c r="X39" s="122"/>
      <c r="Y39" s="110"/>
      <c r="Z39" s="122"/>
      <c r="AA39" s="110"/>
      <c r="AB39" s="122"/>
      <c r="AC39" s="136"/>
      <c r="AD39" s="122"/>
      <c r="AE39" s="110"/>
      <c r="AF39" s="122"/>
      <c r="AG39" s="136"/>
      <c r="AH39" s="122"/>
      <c r="AI39" s="110"/>
      <c r="AJ39" s="122"/>
      <c r="AK39" s="136"/>
      <c r="AL39" s="122"/>
      <c r="AM39" s="112"/>
      <c r="AN39" s="197"/>
      <c r="AO39" s="1802"/>
      <c r="AP39" s="1802"/>
      <c r="AQ39" s="1802"/>
      <c r="AR39" s="185"/>
      <c r="AS39" s="185"/>
      <c r="AT39" s="1493"/>
      <c r="AU39" s="802"/>
      <c r="AV39" s="802"/>
      <c r="AW39" s="802"/>
      <c r="AX39" s="802"/>
      <c r="AY39" s="802"/>
      <c r="AZ39" s="802"/>
      <c r="BA39" s="802"/>
      <c r="BB39" s="802"/>
      <c r="BC39" s="290"/>
      <c r="BD39" s="290"/>
      <c r="BE39" s="290"/>
      <c r="BF39" s="290"/>
      <c r="BG39" s="290"/>
    </row>
    <row r="40" spans="1:114" ht="16.350000000000001" customHeight="1" x14ac:dyDescent="0.2">
      <c r="A40" s="2139" t="s">
        <v>614</v>
      </c>
      <c r="B40" s="275">
        <f>SUM(C40:D40)</f>
        <v>0</v>
      </c>
      <c r="C40" s="276">
        <f>SUM(E40+G40+I40+K40+M40+O40+Q40+S40+U40+W40+Y40+AA40+AC40+AE40+AG40+AI40+AK40+AM40)</f>
        <v>0</v>
      </c>
      <c r="D40" s="184">
        <f>SUM(F40+H40+J40+L40+N40+P40+R40+T40+V40+X40+Z40+AB40+AD40+AF40+AH40+AJ40+AL40+AN40)</f>
        <v>0</v>
      </c>
      <c r="E40" s="110"/>
      <c r="F40" s="144"/>
      <c r="G40" s="110"/>
      <c r="H40" s="122"/>
      <c r="I40" s="110"/>
      <c r="J40" s="122"/>
      <c r="K40" s="110"/>
      <c r="L40" s="122"/>
      <c r="M40" s="110"/>
      <c r="N40" s="122"/>
      <c r="O40" s="110"/>
      <c r="P40" s="122"/>
      <c r="Q40" s="136"/>
      <c r="R40" s="122"/>
      <c r="S40" s="110"/>
      <c r="T40" s="122"/>
      <c r="U40" s="110"/>
      <c r="V40" s="122"/>
      <c r="W40" s="110"/>
      <c r="X40" s="122"/>
      <c r="Y40" s="110"/>
      <c r="Z40" s="122"/>
      <c r="AA40" s="110"/>
      <c r="AB40" s="122"/>
      <c r="AC40" s="136"/>
      <c r="AD40" s="122"/>
      <c r="AE40" s="110"/>
      <c r="AF40" s="122"/>
      <c r="AG40" s="136"/>
      <c r="AH40" s="122"/>
      <c r="AI40" s="110"/>
      <c r="AJ40" s="122"/>
      <c r="AK40" s="136"/>
      <c r="AL40" s="122"/>
      <c r="AM40" s="112"/>
      <c r="AN40" s="197"/>
      <c r="AO40" s="1802"/>
      <c r="AP40" s="1802"/>
      <c r="AQ40" s="1802"/>
      <c r="AR40" s="185"/>
      <c r="AS40" s="185"/>
      <c r="AT40" s="1493"/>
      <c r="AU40" s="802"/>
      <c r="AV40" s="802"/>
      <c r="AW40" s="802"/>
      <c r="AX40" s="802"/>
      <c r="AY40" s="802"/>
      <c r="AZ40" s="802"/>
      <c r="BA40" s="802"/>
      <c r="BB40" s="802"/>
      <c r="BC40" s="290"/>
      <c r="BD40" s="290"/>
      <c r="BE40" s="290"/>
      <c r="BF40" s="290"/>
      <c r="BG40" s="290"/>
    </row>
    <row r="41" spans="1:114" ht="16.350000000000001" customHeight="1" x14ac:dyDescent="0.2">
      <c r="A41" s="2139" t="s">
        <v>60</v>
      </c>
      <c r="B41" s="275">
        <f t="shared" si="2"/>
        <v>0</v>
      </c>
      <c r="C41" s="276">
        <f t="shared" si="4"/>
        <v>0</v>
      </c>
      <c r="D41" s="184">
        <f t="shared" si="4"/>
        <v>0</v>
      </c>
      <c r="E41" s="110"/>
      <c r="F41" s="144"/>
      <c r="G41" s="110"/>
      <c r="H41" s="122"/>
      <c r="I41" s="110"/>
      <c r="J41" s="122"/>
      <c r="K41" s="110"/>
      <c r="L41" s="122"/>
      <c r="M41" s="110"/>
      <c r="N41" s="122"/>
      <c r="O41" s="110"/>
      <c r="P41" s="122"/>
      <c r="Q41" s="136"/>
      <c r="R41" s="122"/>
      <c r="S41" s="110"/>
      <c r="T41" s="122"/>
      <c r="U41" s="110"/>
      <c r="V41" s="122"/>
      <c r="W41" s="110"/>
      <c r="X41" s="122"/>
      <c r="Y41" s="110"/>
      <c r="Z41" s="122"/>
      <c r="AA41" s="110"/>
      <c r="AB41" s="122"/>
      <c r="AC41" s="136"/>
      <c r="AD41" s="122"/>
      <c r="AE41" s="110"/>
      <c r="AF41" s="122"/>
      <c r="AG41" s="136"/>
      <c r="AH41" s="122"/>
      <c r="AI41" s="110"/>
      <c r="AJ41" s="122"/>
      <c r="AK41" s="136"/>
      <c r="AL41" s="122"/>
      <c r="AM41" s="112"/>
      <c r="AN41" s="197"/>
      <c r="AO41" s="1802"/>
      <c r="AP41" s="1802"/>
      <c r="AQ41" s="1802"/>
      <c r="AR41" s="185"/>
      <c r="AS41" s="185"/>
      <c r="AT41" s="1493"/>
      <c r="AU41" s="802"/>
      <c r="AV41" s="802"/>
      <c r="AW41" s="802"/>
      <c r="AX41" s="802"/>
      <c r="AY41" s="802"/>
      <c r="AZ41" s="802"/>
      <c r="BA41" s="802"/>
      <c r="BB41" s="802"/>
      <c r="BC41" s="290"/>
      <c r="BD41" s="290"/>
      <c r="BE41" s="290"/>
      <c r="BF41" s="290"/>
      <c r="BG41" s="290"/>
    </row>
    <row r="42" spans="1:114" ht="16.350000000000001" customHeight="1" x14ac:dyDescent="0.2">
      <c r="A42" s="2139" t="s">
        <v>2586</v>
      </c>
      <c r="B42" s="275">
        <f t="shared" si="2"/>
        <v>0</v>
      </c>
      <c r="C42" s="276">
        <f t="shared" si="4"/>
        <v>0</v>
      </c>
      <c r="D42" s="184">
        <f t="shared" si="4"/>
        <v>0</v>
      </c>
      <c r="E42" s="110"/>
      <c r="F42" s="144"/>
      <c r="G42" s="110"/>
      <c r="H42" s="122"/>
      <c r="I42" s="110"/>
      <c r="J42" s="122"/>
      <c r="K42" s="110"/>
      <c r="L42" s="122"/>
      <c r="M42" s="110"/>
      <c r="N42" s="122"/>
      <c r="O42" s="110"/>
      <c r="P42" s="122"/>
      <c r="Q42" s="136"/>
      <c r="R42" s="122"/>
      <c r="S42" s="110"/>
      <c r="T42" s="122"/>
      <c r="U42" s="110"/>
      <c r="V42" s="122"/>
      <c r="W42" s="110"/>
      <c r="X42" s="122"/>
      <c r="Y42" s="110"/>
      <c r="Z42" s="122"/>
      <c r="AA42" s="110"/>
      <c r="AB42" s="122"/>
      <c r="AC42" s="136"/>
      <c r="AD42" s="122"/>
      <c r="AE42" s="110"/>
      <c r="AF42" s="122"/>
      <c r="AG42" s="136"/>
      <c r="AH42" s="122"/>
      <c r="AI42" s="110"/>
      <c r="AJ42" s="122"/>
      <c r="AK42" s="136"/>
      <c r="AL42" s="122"/>
      <c r="AM42" s="112"/>
      <c r="AN42" s="197"/>
      <c r="AO42" s="1803"/>
      <c r="AP42" s="1803"/>
      <c r="AQ42" s="1803"/>
      <c r="AR42" s="401"/>
      <c r="AS42" s="401"/>
      <c r="AT42" s="1493"/>
      <c r="AU42" s="802"/>
      <c r="AV42" s="802"/>
      <c r="AW42" s="802"/>
      <c r="AX42" s="802"/>
      <c r="AY42" s="802"/>
      <c r="AZ42" s="802"/>
      <c r="BA42" s="802"/>
      <c r="BB42" s="802"/>
      <c r="BC42" s="290"/>
      <c r="BD42" s="290"/>
      <c r="BE42" s="290"/>
      <c r="BF42" s="290"/>
      <c r="BG42" s="290"/>
    </row>
    <row r="43" spans="1:114" ht="16.350000000000001" customHeight="1" x14ac:dyDescent="0.2">
      <c r="A43" s="2139" t="s">
        <v>62</v>
      </c>
      <c r="B43" s="275">
        <f t="shared" si="2"/>
        <v>0</v>
      </c>
      <c r="C43" s="276">
        <f t="shared" si="4"/>
        <v>0</v>
      </c>
      <c r="D43" s="184">
        <f t="shared" si="4"/>
        <v>0</v>
      </c>
      <c r="E43" s="110"/>
      <c r="F43" s="144"/>
      <c r="G43" s="110"/>
      <c r="H43" s="122"/>
      <c r="I43" s="110"/>
      <c r="J43" s="122"/>
      <c r="K43" s="110"/>
      <c r="L43" s="122"/>
      <c r="M43" s="110"/>
      <c r="N43" s="122"/>
      <c r="O43" s="110"/>
      <c r="P43" s="122"/>
      <c r="Q43" s="136"/>
      <c r="R43" s="122"/>
      <c r="S43" s="110"/>
      <c r="T43" s="122"/>
      <c r="U43" s="110"/>
      <c r="V43" s="122"/>
      <c r="W43" s="110"/>
      <c r="X43" s="122"/>
      <c r="Y43" s="110"/>
      <c r="Z43" s="122"/>
      <c r="AA43" s="110"/>
      <c r="AB43" s="122"/>
      <c r="AC43" s="136"/>
      <c r="AD43" s="122"/>
      <c r="AE43" s="110"/>
      <c r="AF43" s="122"/>
      <c r="AG43" s="136"/>
      <c r="AH43" s="122"/>
      <c r="AI43" s="110"/>
      <c r="AJ43" s="122"/>
      <c r="AK43" s="136"/>
      <c r="AL43" s="122"/>
      <c r="AM43" s="112"/>
      <c r="AN43" s="197"/>
      <c r="AO43" s="1803"/>
      <c r="AP43" s="1803"/>
      <c r="AQ43" s="1803"/>
      <c r="AR43" s="401"/>
      <c r="AS43" s="401"/>
      <c r="AT43" s="1493"/>
      <c r="AU43" s="802"/>
      <c r="AV43" s="802"/>
      <c r="AW43" s="802"/>
      <c r="AX43" s="802"/>
      <c r="AY43" s="802"/>
      <c r="AZ43" s="802"/>
      <c r="BA43" s="802"/>
      <c r="BB43" s="802"/>
      <c r="BC43" s="290"/>
      <c r="BD43" s="290"/>
      <c r="BE43" s="290"/>
      <c r="BF43" s="290"/>
      <c r="BG43" s="290"/>
    </row>
    <row r="44" spans="1:114" ht="16.350000000000001" customHeight="1" x14ac:dyDescent="0.2">
      <c r="A44" s="2139" t="s">
        <v>2587</v>
      </c>
      <c r="B44" s="275">
        <f t="shared" si="2"/>
        <v>0</v>
      </c>
      <c r="C44" s="276">
        <f t="shared" si="4"/>
        <v>0</v>
      </c>
      <c r="D44" s="184">
        <f t="shared" si="4"/>
        <v>0</v>
      </c>
      <c r="E44" s="110"/>
      <c r="F44" s="144"/>
      <c r="G44" s="110"/>
      <c r="H44" s="122"/>
      <c r="I44" s="110"/>
      <c r="J44" s="122"/>
      <c r="K44" s="110"/>
      <c r="L44" s="122"/>
      <c r="M44" s="110"/>
      <c r="N44" s="122"/>
      <c r="O44" s="110"/>
      <c r="P44" s="122"/>
      <c r="Q44" s="136"/>
      <c r="R44" s="122"/>
      <c r="S44" s="110"/>
      <c r="T44" s="122"/>
      <c r="U44" s="110"/>
      <c r="V44" s="122"/>
      <c r="W44" s="110"/>
      <c r="X44" s="122"/>
      <c r="Y44" s="110"/>
      <c r="Z44" s="122"/>
      <c r="AA44" s="110"/>
      <c r="AB44" s="122"/>
      <c r="AC44" s="136"/>
      <c r="AD44" s="122"/>
      <c r="AE44" s="110"/>
      <c r="AF44" s="122"/>
      <c r="AG44" s="136"/>
      <c r="AH44" s="122"/>
      <c r="AI44" s="110"/>
      <c r="AJ44" s="122"/>
      <c r="AK44" s="136"/>
      <c r="AL44" s="122"/>
      <c r="AM44" s="112"/>
      <c r="AN44" s="197"/>
      <c r="AO44" s="1803"/>
      <c r="AP44" s="1803"/>
      <c r="AQ44" s="1803"/>
      <c r="AR44" s="401"/>
      <c r="AS44" s="401"/>
      <c r="AT44" s="1493"/>
      <c r="AU44" s="802"/>
      <c r="AV44" s="802"/>
      <c r="AW44" s="802"/>
      <c r="AX44" s="802"/>
      <c r="AY44" s="802"/>
      <c r="AZ44" s="802"/>
      <c r="BA44" s="802"/>
      <c r="BB44" s="802"/>
      <c r="BC44" s="290"/>
      <c r="BD44" s="290"/>
      <c r="BE44" s="290"/>
      <c r="BF44" s="290"/>
      <c r="BG44" s="290"/>
    </row>
    <row r="45" spans="1:114" ht="16.350000000000001" customHeight="1" x14ac:dyDescent="0.2">
      <c r="A45" s="4063" t="s">
        <v>3569</v>
      </c>
      <c r="B45" s="249">
        <f t="shared" si="2"/>
        <v>0</v>
      </c>
      <c r="C45" s="277">
        <f t="shared" si="4"/>
        <v>0</v>
      </c>
      <c r="D45" s="406">
        <f t="shared" si="4"/>
        <v>0</v>
      </c>
      <c r="E45" s="125"/>
      <c r="F45" s="127"/>
      <c r="G45" s="125"/>
      <c r="H45" s="101"/>
      <c r="I45" s="125"/>
      <c r="J45" s="101"/>
      <c r="K45" s="125"/>
      <c r="L45" s="101"/>
      <c r="M45" s="125"/>
      <c r="N45" s="101"/>
      <c r="O45" s="125"/>
      <c r="P45" s="101"/>
      <c r="Q45" s="102"/>
      <c r="R45" s="101"/>
      <c r="S45" s="125"/>
      <c r="T45" s="101"/>
      <c r="U45" s="125"/>
      <c r="V45" s="101"/>
      <c r="W45" s="125"/>
      <c r="X45" s="101"/>
      <c r="Y45" s="125"/>
      <c r="Z45" s="101"/>
      <c r="AA45" s="125"/>
      <c r="AB45" s="101"/>
      <c r="AC45" s="102"/>
      <c r="AD45" s="101"/>
      <c r="AE45" s="125"/>
      <c r="AF45" s="101"/>
      <c r="AG45" s="102"/>
      <c r="AH45" s="101"/>
      <c r="AI45" s="125"/>
      <c r="AJ45" s="101"/>
      <c r="AK45" s="102"/>
      <c r="AL45" s="101"/>
      <c r="AM45" s="173"/>
      <c r="AN45" s="198"/>
      <c r="AO45" s="1804"/>
      <c r="AP45" s="1804"/>
      <c r="AQ45" s="1804"/>
      <c r="AR45" s="187"/>
      <c r="AS45" s="187"/>
      <c r="AT45" s="1493"/>
      <c r="AU45" s="802"/>
      <c r="AV45" s="802"/>
      <c r="AW45" s="802"/>
      <c r="AX45" s="802"/>
      <c r="AY45" s="802"/>
      <c r="AZ45" s="802"/>
      <c r="BA45" s="802"/>
      <c r="BB45" s="802"/>
      <c r="BC45" s="290"/>
      <c r="BD45" s="290"/>
      <c r="BE45" s="290"/>
      <c r="BF45" s="290"/>
      <c r="BG45" s="290"/>
    </row>
    <row r="46" spans="1:114" ht="31.35" customHeight="1" x14ac:dyDescent="0.2">
      <c r="A46" s="133" t="s">
        <v>2588</v>
      </c>
      <c r="B46" s="133"/>
      <c r="C46" s="133"/>
      <c r="D46" s="133"/>
      <c r="E46" s="133"/>
      <c r="F46" s="133"/>
      <c r="G46" s="133"/>
      <c r="H46" s="133"/>
      <c r="I46" s="72"/>
      <c r="J46" s="72"/>
      <c r="K46" s="72"/>
      <c r="L46" s="72"/>
      <c r="M46" s="72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153"/>
      <c r="AP46" s="154"/>
      <c r="AQ46" s="407"/>
      <c r="AR46" s="408"/>
      <c r="AS46" s="290"/>
      <c r="AT46" s="290"/>
      <c r="AU46" s="290"/>
      <c r="AV46" s="290"/>
      <c r="AW46" s="290"/>
      <c r="AX46" s="290"/>
      <c r="AY46" s="290"/>
      <c r="AZ46" s="290"/>
      <c r="BA46" s="290"/>
      <c r="BB46" s="290"/>
      <c r="BC46" s="290"/>
      <c r="BD46" s="290"/>
      <c r="BE46" s="290"/>
      <c r="BF46" s="290"/>
      <c r="BG46" s="290"/>
    </row>
    <row r="47" spans="1:114" ht="16.350000000000001" customHeight="1" x14ac:dyDescent="0.25">
      <c r="A47" s="8551" t="s">
        <v>0</v>
      </c>
      <c r="B47" s="8561" t="s">
        <v>1</v>
      </c>
      <c r="C47" s="8563" t="s">
        <v>558</v>
      </c>
      <c r="D47" s="8564"/>
      <c r="E47" s="8564"/>
      <c r="F47" s="8565"/>
      <c r="G47" s="8325" t="s">
        <v>559</v>
      </c>
      <c r="H47" s="8148"/>
      <c r="I47" s="8148"/>
      <c r="J47" s="8566"/>
      <c r="K47" s="8520" t="s">
        <v>360</v>
      </c>
      <c r="L47" s="8520" t="s">
        <v>359</v>
      </c>
      <c r="M47" s="8520" t="s">
        <v>3702</v>
      </c>
      <c r="N47" s="2612"/>
      <c r="O47" s="2612"/>
      <c r="P47" s="2612"/>
      <c r="Q47" s="2612"/>
      <c r="R47" s="2612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409"/>
      <c r="AR47" s="291"/>
      <c r="AS47" s="290"/>
      <c r="AT47" s="290"/>
      <c r="AU47" s="290"/>
      <c r="AV47" s="290"/>
      <c r="AW47" s="290"/>
      <c r="AX47" s="290"/>
      <c r="AY47" s="290"/>
      <c r="AZ47" s="290"/>
      <c r="BA47" s="290"/>
      <c r="BB47" s="290"/>
      <c r="BC47" s="290"/>
      <c r="BD47" s="290"/>
      <c r="BE47" s="290"/>
      <c r="BF47" s="290"/>
      <c r="BG47" s="290"/>
    </row>
    <row r="48" spans="1:114" ht="27.75" customHeight="1" x14ac:dyDescent="0.2">
      <c r="A48" s="8552"/>
      <c r="B48" s="8562"/>
      <c r="C48" s="306" t="s">
        <v>32</v>
      </c>
      <c r="D48" s="306" t="s">
        <v>33</v>
      </c>
      <c r="E48" s="2214" t="s">
        <v>40</v>
      </c>
      <c r="F48" s="2152" t="s">
        <v>560</v>
      </c>
      <c r="G48" s="306" t="s">
        <v>32</v>
      </c>
      <c r="H48" s="306" t="s">
        <v>33</v>
      </c>
      <c r="I48" s="2214" t="s">
        <v>40</v>
      </c>
      <c r="J48" s="2613" t="s">
        <v>560</v>
      </c>
      <c r="K48" s="8521"/>
      <c r="L48" s="8521"/>
      <c r="M48" s="8521"/>
      <c r="N48" s="411"/>
      <c r="O48" s="410"/>
      <c r="P48" s="410"/>
      <c r="Q48" s="410"/>
      <c r="R48" s="410"/>
      <c r="S48" s="410"/>
      <c r="T48" s="410"/>
      <c r="U48" s="410"/>
      <c r="V48" s="410"/>
      <c r="W48" s="410"/>
      <c r="X48" s="410"/>
      <c r="Y48" s="410"/>
      <c r="Z48" s="410"/>
      <c r="AA48" s="410"/>
      <c r="AB48" s="410"/>
      <c r="AC48" s="410"/>
      <c r="AD48" s="410"/>
      <c r="AE48" s="410"/>
      <c r="AF48" s="410"/>
      <c r="AG48" s="410"/>
      <c r="AH48" s="410"/>
      <c r="AI48" s="410"/>
      <c r="AJ48" s="410"/>
      <c r="AK48" s="410"/>
      <c r="AL48" s="410"/>
      <c r="AM48" s="410"/>
      <c r="AN48" s="410"/>
      <c r="AO48" s="410"/>
      <c r="AP48" s="410"/>
      <c r="AQ48" s="412"/>
      <c r="AR48" s="412"/>
      <c r="AS48" s="290"/>
      <c r="AT48" s="290"/>
      <c r="AU48" s="290"/>
      <c r="AV48" s="290"/>
      <c r="AW48" s="290"/>
      <c r="AX48" s="290"/>
      <c r="AY48" s="290"/>
      <c r="AZ48" s="290"/>
      <c r="BA48" s="290"/>
      <c r="BB48" s="290"/>
      <c r="BC48" s="290"/>
      <c r="BD48" s="290"/>
      <c r="BE48" s="290"/>
      <c r="BF48" s="290"/>
      <c r="BG48" s="290"/>
    </row>
    <row r="49" spans="1:110" ht="16.350000000000001" customHeight="1" x14ac:dyDescent="0.2">
      <c r="A49" s="317" t="s">
        <v>2583</v>
      </c>
      <c r="B49" s="141">
        <f>SUM(C49:J49)</f>
        <v>0</v>
      </c>
      <c r="C49" s="106"/>
      <c r="D49" s="89"/>
      <c r="E49" s="89"/>
      <c r="F49" s="304"/>
      <c r="G49" s="106"/>
      <c r="H49" s="89"/>
      <c r="I49" s="89"/>
      <c r="J49" s="2614"/>
      <c r="K49" s="2615"/>
      <c r="L49" s="2615"/>
      <c r="M49" s="2615"/>
      <c r="N49" s="1493"/>
      <c r="O49" s="410"/>
      <c r="P49" s="410"/>
      <c r="Q49" s="410"/>
      <c r="R49" s="410"/>
      <c r="S49" s="410"/>
      <c r="T49" s="410"/>
      <c r="U49" s="410"/>
      <c r="V49" s="410"/>
      <c r="W49" s="410"/>
      <c r="X49" s="413"/>
      <c r="Y49" s="413"/>
      <c r="Z49" s="413"/>
      <c r="AA49" s="413"/>
      <c r="AB49" s="413"/>
      <c r="AC49" s="413"/>
      <c r="AD49" s="413"/>
      <c r="AE49" s="413"/>
      <c r="AF49" s="413"/>
      <c r="AG49" s="413"/>
      <c r="AH49" s="413"/>
      <c r="AI49" s="413"/>
      <c r="AJ49" s="413"/>
      <c r="AK49" s="413"/>
      <c r="AL49" s="413"/>
      <c r="AM49" s="413"/>
      <c r="AN49" s="413"/>
      <c r="AO49" s="413"/>
      <c r="AP49" s="413"/>
      <c r="AQ49" s="412"/>
      <c r="AR49" s="412"/>
      <c r="AS49" s="290"/>
      <c r="AT49" s="290"/>
      <c r="AU49" s="290"/>
      <c r="AV49" s="290"/>
      <c r="AW49" s="290"/>
      <c r="AX49" s="290"/>
      <c r="AY49" s="290"/>
      <c r="AZ49" s="290"/>
      <c r="BA49" s="290"/>
      <c r="BB49" s="290"/>
      <c r="BC49" s="290"/>
      <c r="BD49" s="290"/>
      <c r="BE49" s="290"/>
      <c r="BF49" s="290"/>
      <c r="BG49" s="290"/>
      <c r="DB49" s="3308">
        <v>0</v>
      </c>
      <c r="DD49" s="3308">
        <v>0</v>
      </c>
      <c r="DF49" s="3308">
        <v>0</v>
      </c>
    </row>
    <row r="50" spans="1:110" ht="16.350000000000001" customHeight="1" x14ac:dyDescent="0.2">
      <c r="A50" s="318" t="s">
        <v>2584</v>
      </c>
      <c r="B50" s="142">
        <f>SUM(C50:J50)</f>
        <v>0</v>
      </c>
      <c r="C50" s="125"/>
      <c r="D50" s="83"/>
      <c r="E50" s="83"/>
      <c r="F50" s="127"/>
      <c r="G50" s="125"/>
      <c r="H50" s="83"/>
      <c r="I50" s="83"/>
      <c r="J50" s="2558"/>
      <c r="K50" s="2535"/>
      <c r="L50" s="2535"/>
      <c r="M50" s="2535"/>
      <c r="N50" s="1493"/>
      <c r="O50" s="410"/>
      <c r="P50" s="410"/>
      <c r="Q50" s="410"/>
      <c r="R50" s="410"/>
      <c r="S50" s="410"/>
      <c r="T50" s="410"/>
      <c r="U50" s="410"/>
      <c r="V50" s="410"/>
      <c r="W50" s="410"/>
      <c r="X50" s="413"/>
      <c r="Y50" s="413"/>
      <c r="Z50" s="413"/>
      <c r="AA50" s="413"/>
      <c r="AB50" s="413"/>
      <c r="AC50" s="413"/>
      <c r="AD50" s="413"/>
      <c r="AE50" s="413"/>
      <c r="AF50" s="413"/>
      <c r="AG50" s="413"/>
      <c r="AH50" s="413"/>
      <c r="AI50" s="413"/>
      <c r="AJ50" s="413"/>
      <c r="AK50" s="413"/>
      <c r="AL50" s="413"/>
      <c r="AM50" s="413"/>
      <c r="AN50" s="413"/>
      <c r="AO50" s="413"/>
      <c r="AP50" s="413"/>
      <c r="AQ50" s="412"/>
      <c r="AR50" s="412"/>
      <c r="AS50" s="290"/>
      <c r="AT50" s="290"/>
      <c r="AU50" s="290"/>
      <c r="AV50" s="290"/>
      <c r="AW50" s="290"/>
      <c r="AX50" s="290"/>
      <c r="AY50" s="290"/>
      <c r="AZ50" s="290"/>
      <c r="BA50" s="290"/>
      <c r="BB50" s="290"/>
      <c r="BC50" s="290"/>
      <c r="BD50" s="290"/>
      <c r="BE50" s="290"/>
      <c r="BF50" s="290"/>
      <c r="BG50" s="290"/>
      <c r="DB50" s="3308">
        <v>0</v>
      </c>
      <c r="DD50" s="3308">
        <v>0</v>
      </c>
      <c r="DF50" s="3308">
        <v>0</v>
      </c>
    </row>
    <row r="51" spans="1:110" ht="31.35" customHeight="1" x14ac:dyDescent="0.2">
      <c r="A51" s="2202" t="s">
        <v>2566</v>
      </c>
      <c r="B51" s="2202"/>
      <c r="C51" s="2202"/>
      <c r="D51" s="2202"/>
      <c r="E51" s="2202"/>
      <c r="F51" s="2202"/>
      <c r="G51" s="414"/>
      <c r="H51" s="414"/>
      <c r="I51" s="414"/>
      <c r="J51" s="414"/>
      <c r="K51" s="414"/>
      <c r="L51" s="414"/>
      <c r="M51" s="414"/>
      <c r="N51" s="414"/>
      <c r="O51" s="415"/>
      <c r="P51" s="2202"/>
      <c r="Q51" s="414"/>
      <c r="R51" s="414"/>
      <c r="S51" s="415"/>
      <c r="T51" s="2202"/>
      <c r="U51" s="414"/>
      <c r="V51" s="415"/>
      <c r="W51" s="2616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413"/>
      <c r="AM51" s="416"/>
      <c r="AN51" s="416"/>
      <c r="AQ51" s="290"/>
      <c r="AR51" s="290"/>
      <c r="AS51" s="290"/>
      <c r="AT51" s="290"/>
      <c r="AU51" s="290"/>
      <c r="AV51" s="290"/>
      <c r="AW51" s="290"/>
      <c r="AX51" s="290"/>
      <c r="AY51" s="290"/>
      <c r="AZ51" s="290"/>
      <c r="BA51" s="290"/>
      <c r="BB51" s="290"/>
      <c r="BC51" s="290"/>
      <c r="BD51" s="290"/>
      <c r="BE51" s="290"/>
      <c r="BF51" s="290"/>
      <c r="BG51" s="290"/>
    </row>
    <row r="52" spans="1:110" ht="16.350000000000001" customHeight="1" x14ac:dyDescent="0.2">
      <c r="A52" s="8556" t="s">
        <v>561</v>
      </c>
      <c r="B52" s="8557" t="s">
        <v>24</v>
      </c>
      <c r="C52" s="8558"/>
      <c r="D52" s="8559"/>
      <c r="E52" s="8515" t="s">
        <v>55</v>
      </c>
      <c r="F52" s="8516"/>
      <c r="G52" s="8516"/>
      <c r="H52" s="8516"/>
      <c r="I52" s="8516"/>
      <c r="J52" s="8516"/>
      <c r="K52" s="8516"/>
      <c r="L52" s="8516"/>
      <c r="M52" s="8516"/>
      <c r="N52" s="8516"/>
      <c r="O52" s="8516"/>
      <c r="P52" s="8516"/>
      <c r="Q52" s="8516"/>
      <c r="R52" s="8516"/>
      <c r="S52" s="8516"/>
      <c r="T52" s="8516"/>
      <c r="U52" s="8516"/>
      <c r="V52" s="8517"/>
      <c r="W52" s="8124" t="s">
        <v>360</v>
      </c>
      <c r="X52" s="8124" t="s">
        <v>359</v>
      </c>
      <c r="Y52" s="290"/>
      <c r="Z52" s="290"/>
      <c r="AA52" s="290"/>
      <c r="AB52" s="290"/>
      <c r="AC52" s="290"/>
      <c r="AD52" s="290"/>
      <c r="AE52" s="290"/>
      <c r="AF52" s="290"/>
      <c r="AG52" s="290"/>
      <c r="AH52" s="290"/>
      <c r="AI52" s="290"/>
      <c r="AJ52" s="290"/>
    </row>
    <row r="53" spans="1:110" ht="16.350000000000001" customHeight="1" x14ac:dyDescent="0.2">
      <c r="A53" s="8189"/>
      <c r="B53" s="8555"/>
      <c r="C53" s="8168"/>
      <c r="D53" s="8185"/>
      <c r="E53" s="8549" t="s">
        <v>3525</v>
      </c>
      <c r="F53" s="8549" t="s">
        <v>1618</v>
      </c>
      <c r="G53" s="8526" t="s">
        <v>1413</v>
      </c>
      <c r="H53" s="8524" t="s">
        <v>32</v>
      </c>
      <c r="I53" s="8524" t="s">
        <v>33</v>
      </c>
      <c r="J53" s="8526" t="s">
        <v>40</v>
      </c>
      <c r="K53" s="8526" t="s">
        <v>82</v>
      </c>
      <c r="L53" s="8526" t="s">
        <v>83</v>
      </c>
      <c r="M53" s="8526" t="s">
        <v>398</v>
      </c>
      <c r="N53" s="8526" t="s">
        <v>124</v>
      </c>
      <c r="O53" s="8526" t="s">
        <v>125</v>
      </c>
      <c r="P53" s="8526" t="s">
        <v>126</v>
      </c>
      <c r="Q53" s="8526" t="s">
        <v>127</v>
      </c>
      <c r="R53" s="8526" t="s">
        <v>128</v>
      </c>
      <c r="S53" s="8526" t="s">
        <v>129</v>
      </c>
      <c r="T53" s="8526" t="s">
        <v>130</v>
      </c>
      <c r="U53" s="8526" t="s">
        <v>131</v>
      </c>
      <c r="V53" s="8526" t="s">
        <v>1916</v>
      </c>
      <c r="W53" s="8178"/>
      <c r="X53" s="8178"/>
      <c r="Y53" s="290"/>
      <c r="Z53" s="290"/>
      <c r="AA53" s="290"/>
      <c r="AB53" s="290"/>
      <c r="AC53" s="290"/>
      <c r="AD53" s="290"/>
      <c r="AE53" s="290"/>
      <c r="AF53" s="290"/>
      <c r="AG53" s="290"/>
      <c r="AH53" s="290"/>
      <c r="AI53" s="290"/>
      <c r="AJ53" s="290"/>
    </row>
    <row r="54" spans="1:110" ht="16.350000000000001" customHeight="1" x14ac:dyDescent="0.2">
      <c r="A54" s="8552"/>
      <c r="B54" s="2210" t="s">
        <v>42</v>
      </c>
      <c r="C54" s="2111" t="s">
        <v>17</v>
      </c>
      <c r="D54" s="2210" t="s">
        <v>18</v>
      </c>
      <c r="E54" s="8550"/>
      <c r="F54" s="8550"/>
      <c r="G54" s="8527"/>
      <c r="H54" s="8525"/>
      <c r="I54" s="8525"/>
      <c r="J54" s="8527"/>
      <c r="K54" s="8527"/>
      <c r="L54" s="8527"/>
      <c r="M54" s="8527"/>
      <c r="N54" s="8527"/>
      <c r="O54" s="8527"/>
      <c r="P54" s="8527"/>
      <c r="Q54" s="8527"/>
      <c r="R54" s="8527"/>
      <c r="S54" s="8527"/>
      <c r="T54" s="8527"/>
      <c r="U54" s="8527"/>
      <c r="V54" s="8527"/>
      <c r="W54" s="8522"/>
      <c r="X54" s="8522"/>
      <c r="Y54" s="290"/>
      <c r="Z54" s="290"/>
      <c r="AA54" s="290"/>
      <c r="AB54" s="290"/>
      <c r="AC54" s="290"/>
      <c r="AD54" s="290"/>
      <c r="AE54" s="290"/>
      <c r="AF54" s="290"/>
      <c r="AG54" s="290"/>
      <c r="AH54" s="290"/>
      <c r="AI54" s="290"/>
      <c r="AJ54" s="290"/>
    </row>
    <row r="55" spans="1:110" ht="16.350000000000001" customHeight="1" x14ac:dyDescent="0.2">
      <c r="A55" s="3045" t="s">
        <v>562</v>
      </c>
      <c r="B55" s="3044">
        <f>SUM(B56:B57)</f>
        <v>0</v>
      </c>
      <c r="C55" s="3039">
        <f>SUM(C56:C57)</f>
        <v>0</v>
      </c>
      <c r="D55" s="3048">
        <f t="shared" ref="D55:V55" si="5">SUM(D56:D57)</f>
        <v>0</v>
      </c>
      <c r="E55" s="3042">
        <f t="shared" si="5"/>
        <v>0</v>
      </c>
      <c r="F55" s="3293">
        <f t="shared" si="5"/>
        <v>0</v>
      </c>
      <c r="G55" s="3294">
        <f t="shared" si="5"/>
        <v>0</v>
      </c>
      <c r="H55" s="3293">
        <f t="shared" si="5"/>
        <v>0</v>
      </c>
      <c r="I55" s="3293">
        <f t="shared" si="5"/>
        <v>0</v>
      </c>
      <c r="J55" s="3043">
        <f t="shared" si="5"/>
        <v>0</v>
      </c>
      <c r="K55" s="3042">
        <f t="shared" si="5"/>
        <v>0</v>
      </c>
      <c r="L55" s="3043">
        <f t="shared" si="5"/>
        <v>0</v>
      </c>
      <c r="M55" s="3042">
        <f t="shared" si="5"/>
        <v>0</v>
      </c>
      <c r="N55" s="3043">
        <f t="shared" si="5"/>
        <v>0</v>
      </c>
      <c r="O55" s="3042">
        <f t="shared" si="5"/>
        <v>0</v>
      </c>
      <c r="P55" s="3043">
        <f t="shared" si="5"/>
        <v>0</v>
      </c>
      <c r="Q55" s="3042">
        <f t="shared" si="5"/>
        <v>0</v>
      </c>
      <c r="R55" s="3043">
        <f t="shared" si="5"/>
        <v>0</v>
      </c>
      <c r="S55" s="3042">
        <f t="shared" si="5"/>
        <v>0</v>
      </c>
      <c r="T55" s="3043">
        <f t="shared" si="5"/>
        <v>0</v>
      </c>
      <c r="U55" s="3042">
        <f t="shared" si="5"/>
        <v>0</v>
      </c>
      <c r="V55" s="3042">
        <f t="shared" si="5"/>
        <v>0</v>
      </c>
      <c r="W55" s="3042">
        <f>SUM(W56:W57)</f>
        <v>0</v>
      </c>
      <c r="X55" s="3042">
        <f>SUM(X56:X57)</f>
        <v>0</v>
      </c>
      <c r="Y55" s="1493"/>
      <c r="Z55" s="290"/>
      <c r="AA55" s="290"/>
      <c r="AB55" s="290"/>
      <c r="AC55" s="290"/>
      <c r="AD55" s="290"/>
      <c r="AE55" s="290"/>
      <c r="AF55" s="290"/>
      <c r="AG55" s="290"/>
      <c r="AH55" s="290"/>
      <c r="AI55" s="290"/>
      <c r="AJ55" s="290"/>
    </row>
    <row r="56" spans="1:110" ht="16.350000000000001" customHeight="1" x14ac:dyDescent="0.2">
      <c r="A56" s="4064" t="s">
        <v>2583</v>
      </c>
      <c r="B56" s="3040">
        <f>SUM(C56:D56)</f>
        <v>0</v>
      </c>
      <c r="C56" s="3046"/>
      <c r="D56" s="3038"/>
      <c r="E56" s="3047"/>
      <c r="F56" s="234"/>
      <c r="G56" s="3047"/>
      <c r="H56" s="234"/>
      <c r="I56" s="3047"/>
      <c r="J56" s="234"/>
      <c r="K56" s="3047"/>
      <c r="L56" s="234"/>
      <c r="M56" s="3047"/>
      <c r="N56" s="234"/>
      <c r="O56" s="3047"/>
      <c r="P56" s="234"/>
      <c r="Q56" s="3047"/>
      <c r="R56" s="234"/>
      <c r="S56" s="3047"/>
      <c r="T56" s="234"/>
      <c r="U56" s="3047"/>
      <c r="V56" s="3047"/>
      <c r="W56" s="3047"/>
      <c r="X56" s="3047"/>
      <c r="Y56" s="1493"/>
      <c r="Z56" s="802"/>
      <c r="AA56" s="802"/>
      <c r="AB56" s="802"/>
      <c r="AC56" s="802"/>
      <c r="AD56" s="802"/>
      <c r="AE56" s="802"/>
      <c r="AF56" s="802"/>
      <c r="AG56" s="802"/>
      <c r="AH56" s="802"/>
      <c r="AI56" s="290"/>
      <c r="AJ56" s="290"/>
      <c r="BZ56" s="7362"/>
      <c r="CB56" s="1551"/>
      <c r="DB56" s="3308">
        <v>0</v>
      </c>
      <c r="DC56" s="3308">
        <v>0</v>
      </c>
      <c r="DD56" s="3308">
        <v>0</v>
      </c>
    </row>
    <row r="57" spans="1:110" ht="16.350000000000001" customHeight="1" x14ac:dyDescent="0.2">
      <c r="A57" s="3378" t="s">
        <v>63</v>
      </c>
      <c r="B57" s="417">
        <f>SUM(C57:D57)</f>
        <v>0</v>
      </c>
      <c r="C57" s="418"/>
      <c r="D57" s="419"/>
      <c r="E57" s="86"/>
      <c r="F57" s="173"/>
      <c r="G57" s="86"/>
      <c r="H57" s="173"/>
      <c r="I57" s="86"/>
      <c r="J57" s="173"/>
      <c r="K57" s="86"/>
      <c r="L57" s="173"/>
      <c r="M57" s="86"/>
      <c r="N57" s="173"/>
      <c r="O57" s="86"/>
      <c r="P57" s="173"/>
      <c r="Q57" s="86"/>
      <c r="R57" s="173"/>
      <c r="S57" s="86"/>
      <c r="T57" s="173"/>
      <c r="U57" s="86"/>
      <c r="V57" s="1991"/>
      <c r="W57" s="86"/>
      <c r="X57" s="1991"/>
      <c r="Y57" s="1493"/>
      <c r="Z57" s="802"/>
      <c r="AA57" s="802"/>
      <c r="AB57" s="802"/>
      <c r="AC57" s="802"/>
      <c r="AD57" s="802"/>
      <c r="AE57" s="802"/>
      <c r="AF57" s="802"/>
      <c r="AG57" s="802"/>
      <c r="AH57" s="802"/>
      <c r="AI57" s="290"/>
      <c r="AJ57" s="290"/>
      <c r="DB57" s="3308">
        <v>0</v>
      </c>
      <c r="DC57" s="3308">
        <v>0</v>
      </c>
      <c r="DD57" s="3308">
        <v>0</v>
      </c>
    </row>
    <row r="58" spans="1:110" ht="16.350000000000001" customHeight="1" x14ac:dyDescent="0.2">
      <c r="A58" s="3041" t="s">
        <v>64</v>
      </c>
      <c r="B58" s="3037">
        <f>SUM(B59:B60)</f>
        <v>0</v>
      </c>
      <c r="C58" s="3054">
        <f>SUM(C59:C60)</f>
        <v>0</v>
      </c>
      <c r="D58" s="3048">
        <f t="shared" ref="D58:V58" si="6">SUM(D59:D60)</f>
        <v>0</v>
      </c>
      <c r="E58" s="3042">
        <f t="shared" si="6"/>
        <v>0</v>
      </c>
      <c r="F58" s="3043">
        <f t="shared" si="6"/>
        <v>0</v>
      </c>
      <c r="G58" s="3042">
        <f t="shared" si="6"/>
        <v>0</v>
      </c>
      <c r="H58" s="3043">
        <f t="shared" si="6"/>
        <v>0</v>
      </c>
      <c r="I58" s="3042">
        <f t="shared" si="6"/>
        <v>0</v>
      </c>
      <c r="J58" s="3043">
        <f t="shared" si="6"/>
        <v>0</v>
      </c>
      <c r="K58" s="3042">
        <f t="shared" si="6"/>
        <v>0</v>
      </c>
      <c r="L58" s="3043">
        <f t="shared" si="6"/>
        <v>0</v>
      </c>
      <c r="M58" s="3042">
        <f t="shared" si="6"/>
        <v>0</v>
      </c>
      <c r="N58" s="3043">
        <f t="shared" si="6"/>
        <v>0</v>
      </c>
      <c r="O58" s="3042">
        <f t="shared" si="6"/>
        <v>0</v>
      </c>
      <c r="P58" s="3043">
        <f t="shared" si="6"/>
        <v>0</v>
      </c>
      <c r="Q58" s="3042">
        <f t="shared" si="6"/>
        <v>0</v>
      </c>
      <c r="R58" s="3043">
        <f t="shared" si="6"/>
        <v>0</v>
      </c>
      <c r="S58" s="3042">
        <f t="shared" si="6"/>
        <v>0</v>
      </c>
      <c r="T58" s="3043">
        <f t="shared" si="6"/>
        <v>0</v>
      </c>
      <c r="U58" s="3042">
        <f t="shared" si="6"/>
        <v>0</v>
      </c>
      <c r="V58" s="3042">
        <f t="shared" si="6"/>
        <v>0</v>
      </c>
      <c r="W58" s="3042">
        <f>SUM(W59:W60)</f>
        <v>0</v>
      </c>
      <c r="X58" s="3042">
        <f>SUM(X59:X60)</f>
        <v>0</v>
      </c>
      <c r="Y58" s="1493"/>
      <c r="Z58" s="290"/>
      <c r="AA58" s="290"/>
      <c r="AB58" s="290"/>
      <c r="AC58" s="290"/>
      <c r="AD58" s="290"/>
      <c r="AE58" s="290"/>
      <c r="AF58" s="290"/>
      <c r="AG58" s="290"/>
      <c r="AH58" s="290"/>
      <c r="AI58" s="290"/>
      <c r="AJ58" s="290"/>
    </row>
    <row r="59" spans="1:110" ht="16.350000000000001" customHeight="1" x14ac:dyDescent="0.2">
      <c r="A59" s="4064" t="s">
        <v>2583</v>
      </c>
      <c r="B59" s="3040">
        <f>SUM(C59:D59)</f>
        <v>0</v>
      </c>
      <c r="C59" s="3046"/>
      <c r="D59" s="3038"/>
      <c r="E59" s="3047"/>
      <c r="F59" s="234"/>
      <c r="G59" s="3047"/>
      <c r="H59" s="234"/>
      <c r="I59" s="3047"/>
      <c r="J59" s="234"/>
      <c r="K59" s="3047"/>
      <c r="L59" s="234"/>
      <c r="M59" s="3047"/>
      <c r="N59" s="234"/>
      <c r="O59" s="3047"/>
      <c r="P59" s="234"/>
      <c r="Q59" s="3047"/>
      <c r="R59" s="234"/>
      <c r="S59" s="3047"/>
      <c r="T59" s="234"/>
      <c r="U59" s="3047"/>
      <c r="V59" s="3047"/>
      <c r="W59" s="3047"/>
      <c r="X59" s="3047"/>
      <c r="Y59" s="1493"/>
      <c r="Z59" s="802"/>
      <c r="AA59" s="802"/>
      <c r="AB59" s="802"/>
      <c r="AC59" s="802"/>
      <c r="AD59" s="802"/>
      <c r="AE59" s="802"/>
      <c r="AF59" s="802"/>
      <c r="AG59" s="802"/>
      <c r="AH59" s="802"/>
      <c r="AI59" s="290"/>
      <c r="AJ59" s="290"/>
      <c r="DB59" s="3308">
        <v>0</v>
      </c>
      <c r="DC59" s="3308">
        <v>0</v>
      </c>
      <c r="DD59" s="3308">
        <v>0</v>
      </c>
    </row>
    <row r="60" spans="1:110" ht="16.350000000000001" customHeight="1" x14ac:dyDescent="0.2">
      <c r="A60" s="3378" t="s">
        <v>63</v>
      </c>
      <c r="B60" s="417">
        <f>SUM(C60:D60)</f>
        <v>0</v>
      </c>
      <c r="C60" s="418"/>
      <c r="D60" s="418"/>
      <c r="E60" s="86"/>
      <c r="F60" s="173"/>
      <c r="G60" s="86"/>
      <c r="H60" s="173"/>
      <c r="I60" s="86"/>
      <c r="J60" s="173"/>
      <c r="K60" s="86"/>
      <c r="L60" s="173"/>
      <c r="M60" s="86"/>
      <c r="N60" s="173"/>
      <c r="O60" s="86"/>
      <c r="P60" s="173"/>
      <c r="Q60" s="86"/>
      <c r="R60" s="173"/>
      <c r="S60" s="86"/>
      <c r="T60" s="173"/>
      <c r="U60" s="86"/>
      <c r="V60" s="1991"/>
      <c r="W60" s="86"/>
      <c r="X60" s="1991"/>
      <c r="Y60" s="1493"/>
      <c r="Z60" s="802"/>
      <c r="AA60" s="802"/>
      <c r="AB60" s="802"/>
      <c r="AC60" s="802"/>
      <c r="AD60" s="802"/>
      <c r="AE60" s="802"/>
      <c r="AF60" s="802"/>
      <c r="AG60" s="802"/>
      <c r="AH60" s="802"/>
      <c r="AI60" s="290"/>
      <c r="AJ60" s="290"/>
      <c r="DB60" s="3308">
        <v>0</v>
      </c>
      <c r="DC60" s="3308">
        <v>0</v>
      </c>
      <c r="DD60" s="3308">
        <v>0</v>
      </c>
    </row>
    <row r="61" spans="1:110" ht="31.35" customHeight="1" x14ac:dyDescent="0.2">
      <c r="A61" s="2202" t="s">
        <v>2567</v>
      </c>
      <c r="B61" s="72"/>
      <c r="C61" s="72"/>
      <c r="D61" s="72"/>
      <c r="E61" s="2149"/>
      <c r="F61" s="2149"/>
      <c r="G61" s="2149"/>
      <c r="H61" s="288"/>
      <c r="I61" s="288"/>
      <c r="J61" s="422"/>
      <c r="K61" s="422"/>
      <c r="L61" s="422"/>
      <c r="M61" s="422"/>
      <c r="N61" s="422"/>
      <c r="O61" s="422"/>
      <c r="P61" s="422"/>
      <c r="Q61" s="422"/>
      <c r="R61" s="422"/>
      <c r="S61" s="422"/>
      <c r="T61" s="422"/>
      <c r="U61" s="422"/>
      <c r="V61" s="426"/>
      <c r="W61" s="426"/>
      <c r="X61" s="420"/>
      <c r="Y61" s="420"/>
      <c r="Z61" s="420"/>
      <c r="AA61" s="420"/>
      <c r="AB61" s="420"/>
      <c r="AC61" s="420"/>
      <c r="AD61" s="420"/>
      <c r="AE61" s="420"/>
      <c r="AF61" s="420"/>
      <c r="AG61" s="420"/>
      <c r="AH61" s="420"/>
      <c r="AI61" s="420"/>
      <c r="AJ61" s="420"/>
      <c r="AK61" s="420"/>
      <c r="AL61" s="420"/>
      <c r="AM61" s="420"/>
      <c r="AN61" s="420"/>
      <c r="AO61" s="420"/>
      <c r="AP61" s="421"/>
      <c r="AQ61" s="421"/>
      <c r="AR61" s="421"/>
    </row>
    <row r="62" spans="1:110" ht="16.350000000000001" customHeight="1" x14ac:dyDescent="0.2">
      <c r="A62" s="428" t="s">
        <v>0</v>
      </c>
      <c r="B62" s="428" t="s">
        <v>24</v>
      </c>
      <c r="C62" s="429"/>
      <c r="D62" s="108"/>
      <c r="E62" s="108"/>
      <c r="F62" s="108"/>
      <c r="G62" s="108"/>
      <c r="H62" s="288"/>
      <c r="I62" s="288"/>
      <c r="J62" s="422"/>
      <c r="K62" s="422"/>
      <c r="L62" s="430"/>
      <c r="M62" s="430"/>
      <c r="N62" s="422"/>
      <c r="O62" s="422"/>
      <c r="P62" s="422"/>
      <c r="Q62" s="422"/>
      <c r="R62" s="422"/>
      <c r="S62" s="422"/>
      <c r="T62" s="422"/>
      <c r="U62" s="422"/>
      <c r="V62" s="426"/>
      <c r="W62" s="426"/>
      <c r="X62" s="420"/>
      <c r="Y62" s="420"/>
      <c r="Z62" s="420"/>
      <c r="AA62" s="420"/>
      <c r="AB62" s="420"/>
      <c r="AC62" s="420"/>
      <c r="AD62" s="420"/>
      <c r="AE62" s="420"/>
      <c r="AF62" s="420"/>
      <c r="AG62" s="420"/>
      <c r="AH62" s="420"/>
      <c r="AI62" s="420"/>
      <c r="AJ62" s="420"/>
      <c r="AK62" s="420"/>
      <c r="AL62" s="420"/>
      <c r="AM62" s="420"/>
      <c r="AN62" s="420"/>
      <c r="AO62" s="420"/>
      <c r="AP62" s="421"/>
      <c r="AQ62" s="421"/>
      <c r="AR62" s="421"/>
    </row>
    <row r="63" spans="1:110" ht="16.350000000000001" customHeight="1" x14ac:dyDescent="0.2">
      <c r="A63" s="316" t="s">
        <v>2583</v>
      </c>
      <c r="B63" s="431"/>
      <c r="C63" s="429"/>
      <c r="D63" s="108"/>
      <c r="E63" s="108"/>
      <c r="F63" s="108"/>
      <c r="G63" s="108"/>
      <c r="H63" s="140"/>
      <c r="I63" s="153"/>
      <c r="J63" s="426"/>
      <c r="K63" s="426"/>
      <c r="L63" s="432"/>
      <c r="M63" s="432"/>
      <c r="N63" s="426"/>
      <c r="O63" s="426"/>
      <c r="P63" s="426"/>
      <c r="Q63" s="426"/>
      <c r="R63" s="426"/>
      <c r="S63" s="426"/>
      <c r="T63" s="426"/>
      <c r="U63" s="426"/>
      <c r="V63" s="426"/>
      <c r="W63" s="426"/>
      <c r="X63" s="420"/>
      <c r="Y63" s="420"/>
      <c r="Z63" s="420"/>
      <c r="AA63" s="420"/>
      <c r="AB63" s="420"/>
      <c r="AC63" s="420"/>
      <c r="AD63" s="420"/>
      <c r="AE63" s="420"/>
      <c r="AF63" s="420"/>
      <c r="AG63" s="420"/>
      <c r="AH63" s="420"/>
      <c r="AI63" s="420"/>
      <c r="AJ63" s="420"/>
      <c r="AK63" s="420"/>
      <c r="AL63" s="420"/>
      <c r="AM63" s="420"/>
      <c r="AN63" s="420"/>
      <c r="AO63" s="420"/>
      <c r="AP63" s="421"/>
      <c r="AQ63" s="421"/>
      <c r="AR63" s="421"/>
    </row>
    <row r="64" spans="1:110" ht="16.350000000000001" customHeight="1" x14ac:dyDescent="0.2">
      <c r="A64" s="318" t="s">
        <v>2593</v>
      </c>
      <c r="B64" s="188"/>
      <c r="C64" s="133"/>
      <c r="D64" s="189"/>
      <c r="E64" s="133"/>
      <c r="F64" s="433"/>
      <c r="G64" s="434"/>
      <c r="H64" s="140"/>
      <c r="I64" s="140"/>
      <c r="J64" s="426"/>
      <c r="K64" s="426"/>
      <c r="L64" s="426"/>
      <c r="M64" s="426"/>
      <c r="N64" s="426"/>
      <c r="O64" s="426"/>
      <c r="P64" s="426"/>
      <c r="Q64" s="426"/>
      <c r="R64" s="426"/>
      <c r="S64" s="426"/>
      <c r="T64" s="426"/>
      <c r="U64" s="426"/>
      <c r="V64" s="426"/>
      <c r="W64" s="426"/>
      <c r="X64" s="420"/>
      <c r="Y64" s="420"/>
      <c r="Z64" s="420"/>
      <c r="AA64" s="420"/>
      <c r="AB64" s="420"/>
      <c r="AC64" s="420"/>
      <c r="AD64" s="420"/>
      <c r="AE64" s="420"/>
      <c r="AF64" s="420"/>
      <c r="AG64" s="420"/>
      <c r="AH64" s="420"/>
      <c r="AI64" s="420"/>
      <c r="AJ64" s="420"/>
      <c r="AK64" s="420"/>
      <c r="AL64" s="420"/>
      <c r="AM64" s="420"/>
      <c r="AN64" s="420"/>
      <c r="AO64" s="420"/>
      <c r="AP64" s="421"/>
      <c r="AQ64" s="421"/>
      <c r="AR64" s="421"/>
    </row>
    <row r="65" spans="1:108" ht="24" customHeight="1" x14ac:dyDescent="0.25">
      <c r="A65" s="133" t="s">
        <v>3391</v>
      </c>
      <c r="B65" s="1152"/>
      <c r="C65" s="133"/>
      <c r="D65" s="133"/>
      <c r="E65" s="133"/>
      <c r="F65" s="133"/>
      <c r="G65" s="133"/>
      <c r="H65" s="140"/>
      <c r="I65" s="140"/>
      <c r="J65" s="3193"/>
      <c r="K65" s="3193"/>
      <c r="L65" s="3193"/>
      <c r="M65" s="3193"/>
      <c r="N65" s="3193"/>
      <c r="O65" s="3193"/>
      <c r="P65" s="3193"/>
      <c r="Q65" s="3193"/>
      <c r="R65" s="3193"/>
      <c r="S65" s="3193"/>
      <c r="T65" s="3194"/>
      <c r="U65" s="3194"/>
      <c r="V65" s="3194"/>
      <c r="W65" s="3195"/>
      <c r="X65" s="3196"/>
      <c r="Y65" s="3196"/>
      <c r="Z65" s="3196"/>
      <c r="AA65" s="3196"/>
      <c r="AB65" s="3196"/>
      <c r="AC65" s="3196"/>
      <c r="AD65" s="3196"/>
      <c r="AE65" s="3196"/>
      <c r="AF65" s="3197"/>
      <c r="AG65" s="3196"/>
      <c r="AH65" s="3198"/>
      <c r="AI65" s="3196"/>
      <c r="AJ65" s="3196"/>
      <c r="AK65" s="3196"/>
      <c r="AL65" s="3196"/>
      <c r="AM65" s="3196"/>
      <c r="AN65" s="3196"/>
      <c r="AO65" s="3196"/>
      <c r="AP65" s="3199"/>
      <c r="AQ65" s="3199"/>
      <c r="AR65" s="3199"/>
    </row>
    <row r="66" spans="1:108" ht="16.350000000000001" customHeight="1" x14ac:dyDescent="0.2">
      <c r="A66" s="4065" t="s">
        <v>0</v>
      </c>
      <c r="B66" s="4065" t="s">
        <v>24</v>
      </c>
      <c r="C66" s="133"/>
      <c r="D66" s="133"/>
      <c r="E66" s="133"/>
      <c r="F66" s="133"/>
      <c r="G66" s="133"/>
      <c r="H66" s="140"/>
      <c r="I66" s="140"/>
      <c r="J66" s="3193"/>
      <c r="K66" s="3193"/>
      <c r="L66" s="3193"/>
      <c r="M66" s="3193"/>
      <c r="N66" s="3193"/>
      <c r="O66" s="3193"/>
      <c r="P66" s="3193"/>
      <c r="Q66" s="3193"/>
      <c r="R66" s="3193"/>
      <c r="S66" s="3193"/>
      <c r="T66" s="3194"/>
      <c r="U66" s="3194"/>
      <c r="V66" s="3194"/>
      <c r="W66" s="3195"/>
      <c r="X66" s="3196"/>
      <c r="Y66" s="3196"/>
      <c r="Z66" s="3196"/>
      <c r="AA66" s="3196"/>
      <c r="AB66" s="3196"/>
      <c r="AC66" s="3196"/>
      <c r="AD66" s="3196"/>
      <c r="AE66" s="3196"/>
      <c r="AF66" s="3197"/>
      <c r="AG66" s="3196"/>
      <c r="AH66" s="3198"/>
      <c r="AI66" s="3196"/>
      <c r="AJ66" s="3196"/>
      <c r="AK66" s="3196"/>
      <c r="AL66" s="3196"/>
      <c r="AM66" s="3196"/>
      <c r="AN66" s="3196"/>
      <c r="AO66" s="3196"/>
      <c r="AP66" s="3199"/>
      <c r="AQ66" s="3199"/>
      <c r="AR66" s="3199"/>
    </row>
    <row r="67" spans="1:108" ht="16.350000000000001" customHeight="1" x14ac:dyDescent="0.2">
      <c r="A67" s="4066" t="s">
        <v>2590</v>
      </c>
      <c r="B67" s="4067"/>
      <c r="C67" s="133"/>
      <c r="D67" s="133"/>
      <c r="E67" s="133"/>
      <c r="F67" s="133"/>
      <c r="G67" s="133"/>
      <c r="H67" s="140"/>
      <c r="I67" s="140"/>
      <c r="J67" s="3193"/>
      <c r="K67" s="3193"/>
      <c r="L67" s="3193"/>
      <c r="M67" s="3193"/>
      <c r="N67" s="3193"/>
      <c r="O67" s="3193"/>
      <c r="P67" s="3193"/>
      <c r="Q67" s="3193"/>
      <c r="R67" s="3193"/>
      <c r="S67" s="3193"/>
      <c r="T67" s="3194"/>
      <c r="U67" s="3194"/>
      <c r="V67" s="3194"/>
      <c r="W67" s="3195"/>
      <c r="X67" s="3196"/>
      <c r="Y67" s="3196"/>
      <c r="Z67" s="3196"/>
      <c r="AA67" s="3196"/>
      <c r="AB67" s="3196"/>
      <c r="AC67" s="3196"/>
      <c r="AD67" s="3196"/>
      <c r="AE67" s="3196"/>
      <c r="AF67" s="3197"/>
      <c r="AG67" s="3196"/>
      <c r="AH67" s="3198"/>
      <c r="AI67" s="3196"/>
      <c r="AJ67" s="3196"/>
      <c r="AK67" s="3196"/>
      <c r="AL67" s="3196"/>
      <c r="AM67" s="3196"/>
      <c r="AN67" s="3196"/>
      <c r="AO67" s="3196"/>
      <c r="AP67" s="3199"/>
      <c r="AQ67" s="3199"/>
      <c r="AR67" s="3199"/>
    </row>
    <row r="68" spans="1:108" ht="16.350000000000001" customHeight="1" x14ac:dyDescent="0.2">
      <c r="A68" s="3454" t="s">
        <v>60</v>
      </c>
      <c r="B68" s="3113"/>
      <c r="C68" s="133"/>
      <c r="D68" s="133"/>
      <c r="E68" s="133"/>
      <c r="F68" s="133"/>
      <c r="G68" s="133"/>
      <c r="H68" s="140"/>
      <c r="I68" s="140"/>
      <c r="J68" s="3193"/>
      <c r="K68" s="3193"/>
      <c r="L68" s="3193"/>
      <c r="M68" s="3193"/>
      <c r="N68" s="3193"/>
      <c r="O68" s="3193"/>
      <c r="P68" s="3193"/>
      <c r="Q68" s="3193"/>
      <c r="R68" s="3193"/>
      <c r="S68" s="3193"/>
      <c r="T68" s="3194"/>
      <c r="U68" s="3194"/>
      <c r="V68" s="3194"/>
      <c r="W68" s="3195"/>
      <c r="X68" s="3196"/>
      <c r="Y68" s="3196"/>
      <c r="Z68" s="3196"/>
      <c r="AA68" s="3196"/>
      <c r="AB68" s="3196"/>
      <c r="AC68" s="3196"/>
      <c r="AD68" s="3196"/>
      <c r="AE68" s="3196"/>
      <c r="AF68" s="3197"/>
      <c r="AG68" s="3196"/>
      <c r="AH68" s="3198"/>
      <c r="AI68" s="3196"/>
      <c r="AJ68" s="3196"/>
      <c r="AK68" s="3196"/>
      <c r="AL68" s="3196"/>
      <c r="AM68" s="3196"/>
      <c r="AN68" s="3196"/>
      <c r="AO68" s="3196"/>
      <c r="AP68" s="3199"/>
      <c r="AQ68" s="3199"/>
      <c r="AR68" s="3199"/>
    </row>
    <row r="69" spans="1:108" ht="16.350000000000001" customHeight="1" x14ac:dyDescent="0.2">
      <c r="A69" s="3454" t="s">
        <v>1566</v>
      </c>
      <c r="B69" s="3113"/>
      <c r="C69" s="133"/>
      <c r="D69" s="133"/>
      <c r="E69" s="133"/>
      <c r="F69" s="133"/>
      <c r="G69" s="133"/>
      <c r="H69" s="140"/>
      <c r="I69" s="140"/>
      <c r="J69" s="3193"/>
      <c r="K69" s="3193"/>
      <c r="L69" s="3193"/>
      <c r="M69" s="3193"/>
      <c r="N69" s="3193"/>
      <c r="O69" s="3193"/>
      <c r="P69" s="3193"/>
      <c r="Q69" s="3193"/>
      <c r="R69" s="3193"/>
      <c r="S69" s="3193"/>
      <c r="T69" s="3194"/>
      <c r="U69" s="3194"/>
      <c r="V69" s="3194"/>
      <c r="W69" s="3195"/>
      <c r="X69" s="3196"/>
      <c r="Y69" s="3196"/>
      <c r="Z69" s="3196"/>
      <c r="AA69" s="3196"/>
      <c r="AB69" s="3196"/>
      <c r="AC69" s="3196"/>
      <c r="AD69" s="3196"/>
      <c r="AE69" s="3196"/>
      <c r="AF69" s="3197"/>
      <c r="AG69" s="3196"/>
      <c r="AH69" s="3198"/>
      <c r="AI69" s="3196"/>
      <c r="AJ69" s="3196"/>
      <c r="AK69" s="3196"/>
      <c r="AL69" s="3196"/>
      <c r="AM69" s="3196"/>
      <c r="AN69" s="3196"/>
      <c r="AO69" s="3196"/>
      <c r="AP69" s="3199"/>
      <c r="AQ69" s="3199"/>
      <c r="AR69" s="3199"/>
    </row>
    <row r="70" spans="1:108" ht="16.350000000000001" customHeight="1" x14ac:dyDescent="0.2">
      <c r="A70" s="3454" t="s">
        <v>1014</v>
      </c>
      <c r="B70" s="3113"/>
      <c r="C70" s="133"/>
      <c r="D70" s="133"/>
      <c r="E70" s="133"/>
      <c r="F70" s="133"/>
      <c r="G70" s="133"/>
      <c r="H70" s="140"/>
      <c r="I70" s="140"/>
      <c r="J70" s="3193"/>
      <c r="K70" s="3193"/>
      <c r="L70" s="3193"/>
      <c r="M70" s="3193"/>
      <c r="N70" s="3193"/>
      <c r="O70" s="3193"/>
      <c r="P70" s="3193"/>
      <c r="Q70" s="3193"/>
      <c r="R70" s="3193"/>
      <c r="S70" s="3193"/>
      <c r="T70" s="3194"/>
      <c r="U70" s="3194"/>
      <c r="V70" s="3194"/>
      <c r="W70" s="3195"/>
      <c r="X70" s="3196"/>
      <c r="Y70" s="3196"/>
      <c r="Z70" s="3196"/>
      <c r="AA70" s="3196"/>
      <c r="AB70" s="3196"/>
      <c r="AC70" s="3196"/>
      <c r="AD70" s="3196"/>
      <c r="AE70" s="3196"/>
      <c r="AF70" s="3197"/>
      <c r="AG70" s="3196"/>
      <c r="AH70" s="3198"/>
      <c r="AI70" s="3196"/>
      <c r="AJ70" s="3196"/>
      <c r="AK70" s="3196"/>
      <c r="AL70" s="3196"/>
      <c r="AM70" s="3196"/>
      <c r="AN70" s="3196"/>
      <c r="AO70" s="3196"/>
      <c r="AP70" s="3199"/>
      <c r="AQ70" s="3199"/>
      <c r="AR70" s="3199"/>
    </row>
    <row r="71" spans="1:108" ht="16.350000000000001" customHeight="1" x14ac:dyDescent="0.2">
      <c r="A71" s="3454" t="s">
        <v>62</v>
      </c>
      <c r="B71" s="3113"/>
      <c r="C71" s="133"/>
      <c r="D71" s="133"/>
      <c r="E71" s="133"/>
      <c r="F71" s="133"/>
      <c r="G71" s="133"/>
      <c r="H71" s="140"/>
      <c r="I71" s="140"/>
      <c r="J71" s="3193"/>
      <c r="K71" s="3193"/>
      <c r="L71" s="3193"/>
      <c r="M71" s="3193"/>
      <c r="N71" s="3193"/>
      <c r="O71" s="3193"/>
      <c r="P71" s="3193"/>
      <c r="Q71" s="3193"/>
      <c r="R71" s="3193"/>
      <c r="S71" s="3193"/>
      <c r="T71" s="3194"/>
      <c r="U71" s="3194"/>
      <c r="V71" s="3194"/>
      <c r="W71" s="3195"/>
      <c r="X71" s="3196"/>
      <c r="Y71" s="3196"/>
      <c r="Z71" s="3196"/>
      <c r="AA71" s="3196"/>
      <c r="AB71" s="3196"/>
      <c r="AC71" s="3196"/>
      <c r="AD71" s="3196"/>
      <c r="AE71" s="3196"/>
      <c r="AF71" s="3197"/>
      <c r="AG71" s="3196"/>
      <c r="AH71" s="3198"/>
      <c r="AI71" s="3196"/>
      <c r="AJ71" s="3196"/>
      <c r="AK71" s="3196"/>
      <c r="AL71" s="3196"/>
      <c r="AM71" s="3196"/>
      <c r="AN71" s="3196"/>
      <c r="AO71" s="3196"/>
      <c r="AP71" s="3199"/>
      <c r="AQ71" s="3199"/>
      <c r="AR71" s="3199"/>
    </row>
    <row r="72" spans="1:108" ht="16.350000000000001" customHeight="1" x14ac:dyDescent="0.2">
      <c r="A72" s="3454" t="s">
        <v>2785</v>
      </c>
      <c r="B72" s="3113"/>
      <c r="C72" s="133"/>
      <c r="D72" s="133"/>
      <c r="E72" s="133"/>
      <c r="F72" s="133"/>
      <c r="G72" s="133"/>
      <c r="H72" s="140"/>
      <c r="I72" s="140"/>
      <c r="J72" s="3193"/>
      <c r="K72" s="3193"/>
      <c r="L72" s="3193"/>
      <c r="M72" s="3193"/>
      <c r="N72" s="3193"/>
      <c r="O72" s="3193"/>
      <c r="P72" s="3193"/>
      <c r="Q72" s="3193"/>
      <c r="R72" s="3193"/>
      <c r="S72" s="3193"/>
      <c r="T72" s="3194"/>
      <c r="U72" s="3194"/>
      <c r="V72" s="3194"/>
      <c r="W72" s="3195"/>
      <c r="X72" s="3196"/>
      <c r="Y72" s="3196"/>
      <c r="Z72" s="3196"/>
      <c r="AA72" s="3196"/>
      <c r="AB72" s="3196"/>
      <c r="AC72" s="3196"/>
      <c r="AD72" s="3196"/>
      <c r="AE72" s="3196"/>
      <c r="AF72" s="3197"/>
      <c r="AG72" s="3196"/>
      <c r="AH72" s="3198"/>
      <c r="AI72" s="3196"/>
      <c r="AJ72" s="3196"/>
      <c r="AK72" s="3196"/>
      <c r="AL72" s="3196"/>
      <c r="AM72" s="3196"/>
      <c r="AN72" s="3196"/>
      <c r="AO72" s="3196"/>
      <c r="AP72" s="3199"/>
      <c r="AQ72" s="3199"/>
      <c r="AR72" s="3199"/>
    </row>
    <row r="73" spans="1:108" ht="16.350000000000001" customHeight="1" x14ac:dyDescent="0.2">
      <c r="A73" s="3454" t="s">
        <v>1509</v>
      </c>
      <c r="B73" s="3113"/>
      <c r="C73" s="133"/>
      <c r="D73" s="133"/>
      <c r="E73" s="133"/>
      <c r="F73" s="133"/>
      <c r="G73" s="133"/>
      <c r="H73" s="140"/>
      <c r="I73" s="140"/>
      <c r="J73" s="3193"/>
      <c r="K73" s="3193"/>
      <c r="L73" s="3193"/>
      <c r="M73" s="3193"/>
      <c r="N73" s="3193"/>
      <c r="O73" s="3193"/>
      <c r="P73" s="3193"/>
      <c r="Q73" s="3193"/>
      <c r="R73" s="3193"/>
      <c r="S73" s="3193"/>
      <c r="T73" s="3194"/>
      <c r="U73" s="3194"/>
      <c r="V73" s="3194"/>
      <c r="W73" s="3195"/>
      <c r="X73" s="3196"/>
      <c r="Y73" s="3196"/>
      <c r="Z73" s="3196"/>
      <c r="AA73" s="3196"/>
      <c r="AB73" s="3196"/>
      <c r="AC73" s="3196"/>
      <c r="AD73" s="3196"/>
      <c r="AE73" s="3196"/>
      <c r="AF73" s="3197"/>
      <c r="AG73" s="3196"/>
      <c r="AH73" s="3198"/>
      <c r="AI73" s="3196"/>
      <c r="AJ73" s="3196"/>
      <c r="AK73" s="3196"/>
      <c r="AL73" s="3196"/>
      <c r="AM73" s="3196"/>
      <c r="AN73" s="3196"/>
      <c r="AO73" s="3196"/>
      <c r="AP73" s="3199"/>
      <c r="AQ73" s="3199"/>
      <c r="AR73" s="3199"/>
    </row>
    <row r="74" spans="1:108" ht="16.350000000000001" customHeight="1" x14ac:dyDescent="0.2">
      <c r="A74" s="3490" t="s">
        <v>1263</v>
      </c>
      <c r="B74" s="4068"/>
      <c r="C74" s="133"/>
      <c r="D74" s="133"/>
      <c r="E74" s="133"/>
      <c r="F74" s="133"/>
      <c r="G74" s="133"/>
      <c r="H74" s="140"/>
      <c r="I74" s="140"/>
      <c r="J74" s="3193"/>
      <c r="K74" s="3193"/>
      <c r="L74" s="3193"/>
      <c r="M74" s="3193"/>
      <c r="N74" s="3193"/>
      <c r="O74" s="3193"/>
      <c r="P74" s="3193"/>
      <c r="Q74" s="3193"/>
      <c r="R74" s="3193"/>
      <c r="S74" s="3193"/>
      <c r="T74" s="3194"/>
      <c r="U74" s="3194"/>
      <c r="V74" s="3194"/>
      <c r="W74" s="3195"/>
      <c r="X74" s="3196"/>
      <c r="Y74" s="3196"/>
      <c r="Z74" s="3196"/>
      <c r="AA74" s="3196"/>
      <c r="AB74" s="3196"/>
      <c r="AC74" s="3196"/>
      <c r="AD74" s="3196"/>
      <c r="AE74" s="3196"/>
      <c r="AF74" s="3197"/>
      <c r="AG74" s="3196"/>
      <c r="AH74" s="3198"/>
      <c r="AI74" s="3196"/>
      <c r="AJ74" s="3196"/>
      <c r="AK74" s="3196"/>
      <c r="AL74" s="3196"/>
      <c r="AM74" s="3196"/>
      <c r="AN74" s="3196"/>
      <c r="AO74" s="3196"/>
      <c r="AP74" s="3199"/>
      <c r="AQ74" s="3199"/>
      <c r="AR74" s="3199"/>
    </row>
    <row r="75" spans="1:108" ht="31.35" customHeight="1" x14ac:dyDescent="0.2">
      <c r="A75" s="133" t="s">
        <v>3392</v>
      </c>
      <c r="B75" s="133"/>
      <c r="C75" s="435"/>
      <c r="D75" s="435"/>
      <c r="E75" s="140"/>
      <c r="F75" s="140"/>
      <c r="G75" s="140"/>
      <c r="H75" s="140"/>
      <c r="I75" s="140"/>
      <c r="J75" s="2723"/>
      <c r="K75" s="2723"/>
      <c r="L75" s="2723"/>
      <c r="M75" s="2723"/>
      <c r="N75" s="2723"/>
      <c r="O75" s="2723"/>
      <c r="P75" s="2723"/>
      <c r="Q75" s="2723"/>
      <c r="R75" s="2723"/>
      <c r="S75" s="2723"/>
      <c r="T75" s="426"/>
      <c r="U75" s="426"/>
      <c r="V75" s="426"/>
      <c r="W75" s="436"/>
      <c r="X75" s="420"/>
      <c r="Y75" s="420"/>
      <c r="Z75" s="420"/>
      <c r="AA75" s="420"/>
      <c r="AB75" s="420"/>
      <c r="AC75" s="420"/>
      <c r="AD75" s="420"/>
      <c r="AE75" s="420"/>
      <c r="AF75" s="423"/>
      <c r="AG75" s="420"/>
      <c r="AH75" s="437"/>
      <c r="AI75" s="420"/>
      <c r="AJ75" s="420"/>
      <c r="AK75" s="420"/>
      <c r="AL75" s="420"/>
      <c r="AM75" s="420"/>
      <c r="AN75" s="420"/>
      <c r="AO75" s="420"/>
      <c r="AP75" s="421"/>
      <c r="AQ75" s="421"/>
      <c r="AR75" s="421"/>
    </row>
    <row r="76" spans="1:108" ht="19.899999999999999" customHeight="1" x14ac:dyDescent="0.2">
      <c r="A76" s="8573" t="s">
        <v>30</v>
      </c>
      <c r="B76" s="8575" t="s">
        <v>24</v>
      </c>
      <c r="C76" s="8304" t="s">
        <v>2626</v>
      </c>
      <c r="D76" s="8272"/>
      <c r="E76" s="8272"/>
      <c r="F76" s="8272"/>
      <c r="G76" s="8272"/>
      <c r="H76" s="8272"/>
      <c r="I76" s="8272"/>
      <c r="J76" s="8272"/>
      <c r="K76" s="8272"/>
      <c r="L76" s="8272"/>
      <c r="M76" s="8272"/>
      <c r="N76" s="8272"/>
      <c r="O76" s="8272"/>
      <c r="P76" s="8272"/>
      <c r="Q76" s="8272"/>
      <c r="R76" s="8272"/>
      <c r="S76" s="8305"/>
      <c r="T76" s="8176" t="s">
        <v>360</v>
      </c>
      <c r="U76" s="8127" t="s">
        <v>2627</v>
      </c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140"/>
      <c r="AO76" s="420"/>
      <c r="AP76" s="420"/>
      <c r="AQ76" s="420"/>
      <c r="AR76" s="420"/>
      <c r="AS76" s="420"/>
      <c r="AT76" s="420"/>
      <c r="AU76" s="420"/>
      <c r="AV76" s="420"/>
      <c r="AW76" s="423"/>
      <c r="AX76" s="420"/>
      <c r="AY76" s="420"/>
      <c r="AZ76" s="420"/>
      <c r="BA76" s="420"/>
      <c r="BB76" s="420"/>
      <c r="BC76" s="420"/>
      <c r="BD76" s="420"/>
      <c r="BE76" s="420"/>
      <c r="BF76" s="420"/>
      <c r="BG76" s="421"/>
      <c r="BH76" s="421"/>
      <c r="BI76" s="421"/>
    </row>
    <row r="77" spans="1:108" ht="16.350000000000001" customHeight="1" x14ac:dyDescent="0.2">
      <c r="A77" s="8574"/>
      <c r="B77" s="8522"/>
      <c r="C77" s="3076" t="s">
        <v>1414</v>
      </c>
      <c r="D77" s="3077" t="s">
        <v>3528</v>
      </c>
      <c r="E77" s="3077" t="s">
        <v>32</v>
      </c>
      <c r="F77" s="3488" t="s">
        <v>33</v>
      </c>
      <c r="G77" s="3359" t="s">
        <v>40</v>
      </c>
      <c r="H77" s="3359" t="s">
        <v>115</v>
      </c>
      <c r="I77" s="3359" t="s">
        <v>116</v>
      </c>
      <c r="J77" s="3077" t="s">
        <v>398</v>
      </c>
      <c r="K77" s="3077" t="s">
        <v>124</v>
      </c>
      <c r="L77" s="3066" t="s">
        <v>125</v>
      </c>
      <c r="M77" s="3077" t="s">
        <v>126</v>
      </c>
      <c r="N77" s="3077" t="s">
        <v>127</v>
      </c>
      <c r="O77" s="3077" t="s">
        <v>128</v>
      </c>
      <c r="P77" s="3077" t="s">
        <v>129</v>
      </c>
      <c r="Q77" s="3077" t="s">
        <v>130</v>
      </c>
      <c r="R77" s="3077" t="s">
        <v>131</v>
      </c>
      <c r="S77" s="3118" t="s">
        <v>1916</v>
      </c>
      <c r="T77" s="8271"/>
      <c r="U77" s="8128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420"/>
      <c r="AP77" s="420"/>
      <c r="AQ77" s="420"/>
      <c r="AR77" s="420"/>
      <c r="AS77" s="420"/>
      <c r="AT77" s="420"/>
      <c r="AU77" s="420"/>
      <c r="AV77" s="420"/>
      <c r="AW77" s="438"/>
      <c r="AX77" s="439"/>
      <c r="AY77" s="439"/>
      <c r="AZ77" s="420"/>
      <c r="BA77" s="420"/>
      <c r="BB77" s="420"/>
      <c r="BC77" s="420"/>
      <c r="BD77" s="420"/>
      <c r="BE77" s="420"/>
      <c r="BF77" s="420"/>
      <c r="BG77" s="421"/>
      <c r="BH77" s="421"/>
      <c r="BI77" s="421"/>
    </row>
    <row r="78" spans="1:108" ht="25.5" customHeight="1" x14ac:dyDescent="0.2">
      <c r="A78" s="440" t="s">
        <v>615</v>
      </c>
      <c r="B78" s="81">
        <f>SUM(C78:S78)</f>
        <v>0</v>
      </c>
      <c r="C78" s="3098"/>
      <c r="D78" s="3099"/>
      <c r="E78" s="3099"/>
      <c r="F78" s="3099"/>
      <c r="G78" s="3099"/>
      <c r="H78" s="3099"/>
      <c r="I78" s="3099"/>
      <c r="J78" s="3099"/>
      <c r="K78" s="3099"/>
      <c r="L78" s="3099"/>
      <c r="M78" s="3099"/>
      <c r="N78" s="3099"/>
      <c r="O78" s="3099"/>
      <c r="P78" s="3099"/>
      <c r="Q78" s="3099"/>
      <c r="R78" s="3099"/>
      <c r="S78" s="3100"/>
      <c r="T78" s="3065"/>
      <c r="U78" s="2720"/>
      <c r="V78" s="105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426"/>
      <c r="BA78" s="426"/>
      <c r="BB78" s="426"/>
      <c r="BC78" s="426"/>
      <c r="BD78" s="426"/>
      <c r="BE78" s="426"/>
      <c r="BF78" s="426"/>
      <c r="BG78" s="421"/>
      <c r="BH78" s="421"/>
      <c r="BI78" s="421"/>
      <c r="DB78" s="3308">
        <v>0</v>
      </c>
      <c r="DD78" s="3308">
        <v>0</v>
      </c>
    </row>
    <row r="79" spans="1:108" ht="31.35" customHeight="1" x14ac:dyDescent="0.2">
      <c r="A79" s="8560" t="s">
        <v>3393</v>
      </c>
      <c r="B79" s="8560"/>
      <c r="C79" s="8560"/>
      <c r="D79" s="8560"/>
      <c r="E79" s="8560"/>
      <c r="F79" s="8560"/>
      <c r="G79" s="8560"/>
      <c r="H79" s="72"/>
      <c r="I79" s="72"/>
      <c r="J79" s="72"/>
      <c r="K79" s="72"/>
      <c r="L79" s="72"/>
      <c r="M79" s="72"/>
      <c r="N79" s="140"/>
      <c r="O79" s="140"/>
      <c r="P79" s="140"/>
      <c r="Q79" s="190"/>
      <c r="R79" s="190"/>
      <c r="S79" s="190"/>
      <c r="T79" s="190"/>
      <c r="U79" s="190"/>
      <c r="V79" s="190"/>
      <c r="W79" s="140"/>
      <c r="X79" s="190"/>
      <c r="Y79" s="190"/>
      <c r="Z79" s="448"/>
      <c r="AA79" s="1553"/>
      <c r="AB79" s="1553"/>
      <c r="AC79" s="1553"/>
      <c r="AD79" s="1553"/>
      <c r="AE79" s="1554"/>
      <c r="AF79" s="1554"/>
      <c r="AG79" s="1554"/>
      <c r="AH79" s="453"/>
      <c r="AI79" s="421"/>
      <c r="AJ79" s="421"/>
      <c r="AK79" s="421"/>
      <c r="AL79" s="421"/>
      <c r="AM79" s="421"/>
      <c r="AN79" s="421"/>
      <c r="AO79" s="421"/>
      <c r="AP79" s="421"/>
      <c r="AQ79" s="421"/>
      <c r="AR79" s="421"/>
    </row>
    <row r="80" spans="1:108" ht="16.350000000000001" customHeight="1" x14ac:dyDescent="0.2">
      <c r="A80" s="8594" t="s">
        <v>0</v>
      </c>
      <c r="B80" s="8597" t="s">
        <v>616</v>
      </c>
      <c r="C80" s="8597" t="s">
        <v>24</v>
      </c>
      <c r="D80" s="8598"/>
      <c r="E80" s="8533"/>
      <c r="F80" s="8599" t="s">
        <v>55</v>
      </c>
      <c r="G80" s="8600"/>
      <c r="H80" s="8600"/>
      <c r="I80" s="8600"/>
      <c r="J80" s="8600"/>
      <c r="K80" s="8600"/>
      <c r="L80" s="8600"/>
      <c r="M80" s="8600"/>
      <c r="N80" s="8600"/>
      <c r="O80" s="8600"/>
      <c r="P80" s="8600"/>
      <c r="Q80" s="8600"/>
      <c r="R80" s="8600"/>
      <c r="S80" s="8600"/>
      <c r="T80" s="8600"/>
      <c r="U80" s="8600"/>
      <c r="V80" s="8600"/>
      <c r="W80" s="8600"/>
      <c r="X80" s="8600"/>
      <c r="Y80" s="8600"/>
      <c r="Z80" s="8600"/>
      <c r="AA80" s="8600"/>
      <c r="AB80" s="8600"/>
      <c r="AC80" s="8600"/>
      <c r="AD80" s="8600"/>
      <c r="AE80" s="8600"/>
      <c r="AF80" s="8600"/>
      <c r="AG80" s="8600"/>
      <c r="AH80" s="8600"/>
      <c r="AI80" s="8601"/>
      <c r="AJ80" s="8567" t="s">
        <v>78</v>
      </c>
      <c r="AK80" s="8124" t="s">
        <v>525</v>
      </c>
      <c r="AL80" s="8127" t="s">
        <v>360</v>
      </c>
      <c r="AM80" s="8533" t="s">
        <v>359</v>
      </c>
      <c r="AN80" s="8533" t="s">
        <v>3702</v>
      </c>
      <c r="AO80" s="420"/>
      <c r="AP80" s="420"/>
      <c r="AQ80" s="420"/>
      <c r="AR80" s="420"/>
      <c r="AS80" s="421"/>
      <c r="AT80" s="421"/>
    </row>
    <row r="81" spans="1:114" ht="16.350000000000001" customHeight="1" x14ac:dyDescent="0.2">
      <c r="A81" s="8595"/>
      <c r="B81" s="8191"/>
      <c r="C81" s="8555"/>
      <c r="D81" s="8168"/>
      <c r="E81" s="8185"/>
      <c r="F81" s="8569" t="s">
        <v>563</v>
      </c>
      <c r="G81" s="8570"/>
      <c r="H81" s="8569" t="s">
        <v>2513</v>
      </c>
      <c r="I81" s="8570"/>
      <c r="J81" s="8132" t="s">
        <v>1413</v>
      </c>
      <c r="K81" s="8528"/>
      <c r="L81" s="8132" t="s">
        <v>32</v>
      </c>
      <c r="M81" s="8528"/>
      <c r="N81" s="8571" t="s">
        <v>3527</v>
      </c>
      <c r="O81" s="8572"/>
      <c r="P81" s="8571" t="s">
        <v>3526</v>
      </c>
      <c r="Q81" s="8572"/>
      <c r="R81" s="8132" t="s">
        <v>40</v>
      </c>
      <c r="S81" s="8528"/>
      <c r="T81" s="8132" t="s">
        <v>82</v>
      </c>
      <c r="U81" s="8528"/>
      <c r="V81" s="8132" t="s">
        <v>83</v>
      </c>
      <c r="W81" s="8528"/>
      <c r="X81" s="8132" t="s">
        <v>398</v>
      </c>
      <c r="Y81" s="8528"/>
      <c r="Z81" s="8132" t="s">
        <v>124</v>
      </c>
      <c r="AA81" s="8528"/>
      <c r="AB81" s="8132" t="s">
        <v>125</v>
      </c>
      <c r="AC81" s="8528"/>
      <c r="AD81" s="8132" t="s">
        <v>126</v>
      </c>
      <c r="AE81" s="8528"/>
      <c r="AF81" s="8132" t="s">
        <v>127</v>
      </c>
      <c r="AG81" s="8528"/>
      <c r="AH81" s="8132" t="s">
        <v>128</v>
      </c>
      <c r="AI81" s="8528"/>
      <c r="AJ81" s="8470"/>
      <c r="AK81" s="8178"/>
      <c r="AL81" s="8151"/>
      <c r="AM81" s="8192"/>
      <c r="AN81" s="8192"/>
      <c r="AO81" s="314"/>
      <c r="AP81" s="314"/>
      <c r="AQ81" s="314"/>
      <c r="AR81" s="314"/>
      <c r="AS81" s="441"/>
      <c r="AT81" s="441"/>
    </row>
    <row r="82" spans="1:114" ht="24.75" customHeight="1" x14ac:dyDescent="0.2">
      <c r="A82" s="8596"/>
      <c r="B82" s="8555"/>
      <c r="C82" s="424" t="s">
        <v>42</v>
      </c>
      <c r="D82" s="461" t="s">
        <v>17</v>
      </c>
      <c r="E82" s="462" t="s">
        <v>18</v>
      </c>
      <c r="F82" s="424" t="s">
        <v>17</v>
      </c>
      <c r="G82" s="462" t="s">
        <v>18</v>
      </c>
      <c r="H82" s="320" t="s">
        <v>17</v>
      </c>
      <c r="I82" s="462" t="s">
        <v>18</v>
      </c>
      <c r="J82" s="424" t="s">
        <v>17</v>
      </c>
      <c r="K82" s="462" t="s">
        <v>18</v>
      </c>
      <c r="L82" s="424" t="s">
        <v>17</v>
      </c>
      <c r="M82" s="462" t="s">
        <v>18</v>
      </c>
      <c r="N82" s="424" t="s">
        <v>17</v>
      </c>
      <c r="O82" s="462" t="s">
        <v>18</v>
      </c>
      <c r="P82" s="424" t="s">
        <v>17</v>
      </c>
      <c r="Q82" s="462" t="s">
        <v>18</v>
      </c>
      <c r="R82" s="424" t="s">
        <v>17</v>
      </c>
      <c r="S82" s="462" t="s">
        <v>18</v>
      </c>
      <c r="T82" s="424" t="s">
        <v>17</v>
      </c>
      <c r="U82" s="462" t="s">
        <v>18</v>
      </c>
      <c r="V82" s="424" t="s">
        <v>17</v>
      </c>
      <c r="W82" s="462" t="s">
        <v>18</v>
      </c>
      <c r="X82" s="424" t="s">
        <v>17</v>
      </c>
      <c r="Y82" s="462" t="s">
        <v>18</v>
      </c>
      <c r="Z82" s="424" t="s">
        <v>17</v>
      </c>
      <c r="AA82" s="462" t="s">
        <v>18</v>
      </c>
      <c r="AB82" s="424" t="s">
        <v>17</v>
      </c>
      <c r="AC82" s="462" t="s">
        <v>18</v>
      </c>
      <c r="AD82" s="424" t="s">
        <v>17</v>
      </c>
      <c r="AE82" s="462" t="s">
        <v>18</v>
      </c>
      <c r="AF82" s="424" t="s">
        <v>17</v>
      </c>
      <c r="AG82" s="462" t="s">
        <v>18</v>
      </c>
      <c r="AH82" s="424" t="s">
        <v>17</v>
      </c>
      <c r="AI82" s="322" t="s">
        <v>18</v>
      </c>
      <c r="AJ82" s="8568"/>
      <c r="AK82" s="8522"/>
      <c r="AL82" s="8523"/>
      <c r="AM82" s="8185"/>
      <c r="AN82" s="8185"/>
      <c r="AO82" s="314"/>
      <c r="AP82" s="314"/>
      <c r="AQ82" s="314"/>
      <c r="AR82" s="314"/>
      <c r="AS82" s="441"/>
      <c r="AT82" s="441"/>
    </row>
    <row r="83" spans="1:114" ht="16.350000000000001" customHeight="1" x14ac:dyDescent="0.2">
      <c r="A83" s="1555" t="s">
        <v>617</v>
      </c>
      <c r="B83" s="1556" t="s">
        <v>414</v>
      </c>
      <c r="C83" s="1557">
        <f>SUM(D83:E83)</f>
        <v>0</v>
      </c>
      <c r="D83" s="1558">
        <f>SUM(F83,H83,J83,L83,N83,P83,R83,T83,V83,X83,Z83,AB83,AD83,AF83,AH83)</f>
        <v>0</v>
      </c>
      <c r="E83" s="1559">
        <f>SUM(G83,I83,K83,M83,O83,Q83,S83,U83,W83,Y83,AA83,AC83,AE83,AG83,AI83)</f>
        <v>0</v>
      </c>
      <c r="F83" s="1560"/>
      <c r="G83" s="442"/>
      <c r="H83" s="1561"/>
      <c r="I83" s="442"/>
      <c r="J83" s="1560"/>
      <c r="K83" s="1562"/>
      <c r="L83" s="1560"/>
      <c r="M83" s="1562"/>
      <c r="N83" s="1560"/>
      <c r="O83" s="1562"/>
      <c r="P83" s="1560"/>
      <c r="Q83" s="1562"/>
      <c r="R83" s="1560"/>
      <c r="S83" s="1562"/>
      <c r="T83" s="1560"/>
      <c r="U83" s="1562"/>
      <c r="V83" s="1560"/>
      <c r="W83" s="1562"/>
      <c r="X83" s="1560"/>
      <c r="Y83" s="1562"/>
      <c r="Z83" s="1560"/>
      <c r="AA83" s="1562"/>
      <c r="AB83" s="1560"/>
      <c r="AC83" s="1562"/>
      <c r="AD83" s="1560"/>
      <c r="AE83" s="1562"/>
      <c r="AF83" s="1560"/>
      <c r="AG83" s="1562"/>
      <c r="AH83" s="1560"/>
      <c r="AI83" s="1563"/>
      <c r="AJ83" s="286"/>
      <c r="AK83" s="2620"/>
      <c r="AL83" s="2617"/>
      <c r="AM83" s="442"/>
      <c r="AN83" s="442"/>
      <c r="AO83" s="7947"/>
      <c r="AP83" s="314"/>
      <c r="AQ83" s="314"/>
      <c r="AR83" s="314"/>
      <c r="AS83" s="441"/>
      <c r="AT83" s="441"/>
      <c r="DB83" s="3308">
        <v>0</v>
      </c>
      <c r="DD83" s="3308">
        <v>0</v>
      </c>
      <c r="DF83" s="3308">
        <v>0</v>
      </c>
      <c r="DH83" s="3308">
        <v>0</v>
      </c>
      <c r="DJ83" s="3308">
        <v>0</v>
      </c>
    </row>
    <row r="84" spans="1:114" ht="16.350000000000001" customHeight="1" x14ac:dyDescent="0.2">
      <c r="A84" s="8592" t="s">
        <v>26</v>
      </c>
      <c r="B84" s="3377" t="s">
        <v>564</v>
      </c>
      <c r="C84" s="248">
        <f>SUM(D84:E84)</f>
        <v>0</v>
      </c>
      <c r="D84" s="271">
        <f t="shared" ref="D84:E86" si="7">SUM(F84,H84,J84,L84,N84,P84,R84,T84,V84,X84,Z84,AB84,AD84,AF84,AH84)</f>
        <v>0</v>
      </c>
      <c r="E84" s="271">
        <f t="shared" si="7"/>
        <v>0</v>
      </c>
      <c r="F84" s="191"/>
      <c r="G84" s="192"/>
      <c r="H84" s="229"/>
      <c r="I84" s="192"/>
      <c r="J84" s="191"/>
      <c r="K84" s="193"/>
      <c r="L84" s="191"/>
      <c r="M84" s="193"/>
      <c r="N84" s="191"/>
      <c r="O84" s="193"/>
      <c r="P84" s="191"/>
      <c r="Q84" s="193"/>
      <c r="R84" s="191"/>
      <c r="S84" s="193"/>
      <c r="T84" s="191"/>
      <c r="U84" s="193"/>
      <c r="V84" s="191"/>
      <c r="W84" s="193"/>
      <c r="X84" s="191"/>
      <c r="Y84" s="193"/>
      <c r="Z84" s="191"/>
      <c r="AA84" s="193"/>
      <c r="AB84" s="191"/>
      <c r="AC84" s="193"/>
      <c r="AD84" s="191"/>
      <c r="AE84" s="193"/>
      <c r="AF84" s="191"/>
      <c r="AG84" s="193"/>
      <c r="AH84" s="191"/>
      <c r="AI84" s="1059"/>
      <c r="AJ84" s="443"/>
      <c r="AK84" s="2621"/>
      <c r="AL84" s="2497"/>
      <c r="AM84" s="192"/>
      <c r="AN84" s="192"/>
      <c r="AO84" s="7947"/>
      <c r="AP84" s="314"/>
      <c r="AQ84" s="314"/>
      <c r="AR84" s="314"/>
      <c r="AS84" s="441"/>
      <c r="AT84" s="441"/>
      <c r="CA84" s="1451" t="s">
        <v>3995</v>
      </c>
      <c r="CC84" s="1451" t="s">
        <v>3996</v>
      </c>
      <c r="CE84" s="1451" t="s">
        <v>3954</v>
      </c>
      <c r="CG84" s="1451" t="s">
        <v>3955</v>
      </c>
      <c r="CI84" s="1451" t="s">
        <v>3997</v>
      </c>
      <c r="DB84" s="3308">
        <v>0</v>
      </c>
      <c r="DD84" s="3308">
        <v>0</v>
      </c>
      <c r="DF84" s="3308">
        <v>0</v>
      </c>
      <c r="DH84" s="3308">
        <v>0</v>
      </c>
      <c r="DJ84" s="3308">
        <v>0</v>
      </c>
    </row>
    <row r="85" spans="1:114" ht="25.35" customHeight="1" x14ac:dyDescent="0.2">
      <c r="A85" s="8592"/>
      <c r="B85" s="2137" t="s">
        <v>565</v>
      </c>
      <c r="C85" s="265">
        <f>SUM(D85:E85)</f>
        <v>0</v>
      </c>
      <c r="D85" s="271">
        <f t="shared" si="7"/>
        <v>0</v>
      </c>
      <c r="E85" s="271">
        <f t="shared" si="7"/>
        <v>0</v>
      </c>
      <c r="F85" s="1545"/>
      <c r="G85" s="194"/>
      <c r="H85" s="1494"/>
      <c r="I85" s="194"/>
      <c r="J85" s="1545"/>
      <c r="K85" s="1495"/>
      <c r="L85" s="1545"/>
      <c r="M85" s="1495"/>
      <c r="N85" s="1545"/>
      <c r="O85" s="1495"/>
      <c r="P85" s="1545"/>
      <c r="Q85" s="1495"/>
      <c r="R85" s="1545"/>
      <c r="S85" s="1495"/>
      <c r="T85" s="1545"/>
      <c r="U85" s="1495"/>
      <c r="V85" s="1545"/>
      <c r="W85" s="1495"/>
      <c r="X85" s="1545"/>
      <c r="Y85" s="1495"/>
      <c r="Z85" s="1545"/>
      <c r="AA85" s="1495"/>
      <c r="AB85" s="1545"/>
      <c r="AC85" s="1495"/>
      <c r="AD85" s="1545"/>
      <c r="AE85" s="1495"/>
      <c r="AF85" s="1545"/>
      <c r="AG85" s="1495"/>
      <c r="AH85" s="1545"/>
      <c r="AI85" s="1564"/>
      <c r="AJ85" s="444"/>
      <c r="AK85" s="2622"/>
      <c r="AL85" s="2618"/>
      <c r="AM85" s="194"/>
      <c r="AN85" s="194"/>
      <c r="AO85" s="7947"/>
      <c r="AP85" s="314"/>
      <c r="AQ85" s="314"/>
      <c r="AR85" s="314"/>
      <c r="AS85" s="441"/>
      <c r="AT85" s="441"/>
      <c r="DB85" s="3308">
        <v>0</v>
      </c>
      <c r="DD85" s="3308">
        <v>0</v>
      </c>
      <c r="DF85" s="3308">
        <v>0</v>
      </c>
      <c r="DH85" s="3308">
        <v>0</v>
      </c>
      <c r="DJ85" s="3308">
        <v>0</v>
      </c>
    </row>
    <row r="86" spans="1:114" ht="16.350000000000001" customHeight="1" x14ac:dyDescent="0.2">
      <c r="A86" s="3371" t="s">
        <v>60</v>
      </c>
      <c r="B86" s="1565" t="s">
        <v>566</v>
      </c>
      <c r="C86" s="1557">
        <f>SUM(D86:E86)</f>
        <v>0</v>
      </c>
      <c r="D86" s="1558">
        <f t="shared" si="7"/>
        <v>0</v>
      </c>
      <c r="E86" s="1559">
        <f t="shared" si="7"/>
        <v>0</v>
      </c>
      <c r="F86" s="1566"/>
      <c r="G86" s="446"/>
      <c r="H86" s="1567"/>
      <c r="I86" s="446"/>
      <c r="J86" s="1566"/>
      <c r="K86" s="1568"/>
      <c r="L86" s="1566"/>
      <c r="M86" s="1568"/>
      <c r="N86" s="1566"/>
      <c r="O86" s="1568"/>
      <c r="P86" s="1566"/>
      <c r="Q86" s="1568"/>
      <c r="R86" s="1566"/>
      <c r="S86" s="1568"/>
      <c r="T86" s="1566"/>
      <c r="U86" s="1568"/>
      <c r="V86" s="1566"/>
      <c r="W86" s="1568"/>
      <c r="X86" s="1566"/>
      <c r="Y86" s="1568"/>
      <c r="Z86" s="1566"/>
      <c r="AA86" s="1568"/>
      <c r="AB86" s="1566"/>
      <c r="AC86" s="1568"/>
      <c r="AD86" s="1566"/>
      <c r="AE86" s="1568"/>
      <c r="AF86" s="1566"/>
      <c r="AG86" s="1568"/>
      <c r="AH86" s="1566"/>
      <c r="AI86" s="1569"/>
      <c r="AJ86" s="445"/>
      <c r="AK86" s="2623"/>
      <c r="AL86" s="2619"/>
      <c r="AM86" s="446"/>
      <c r="AN86" s="446"/>
      <c r="AO86" s="7947"/>
      <c r="AP86" s="314"/>
      <c r="AQ86" s="314"/>
      <c r="AR86" s="314"/>
      <c r="AS86" s="441"/>
      <c r="AT86" s="441"/>
    </row>
    <row r="87" spans="1:114" ht="31.35" customHeight="1" x14ac:dyDescent="0.2">
      <c r="A87" s="133" t="s">
        <v>3394</v>
      </c>
      <c r="B87" s="140"/>
      <c r="C87" s="153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90"/>
      <c r="R87" s="190"/>
      <c r="S87" s="190"/>
      <c r="T87" s="190"/>
      <c r="U87" s="190"/>
      <c r="V87" s="190"/>
      <c r="W87" s="140"/>
      <c r="X87" s="190"/>
      <c r="Y87" s="190"/>
      <c r="Z87" s="447"/>
      <c r="AA87" s="448"/>
      <c r="AB87" s="449"/>
      <c r="AC87" s="449"/>
      <c r="AD87" s="449"/>
      <c r="AE87" s="449"/>
      <c r="AF87" s="449"/>
      <c r="AG87" s="441"/>
      <c r="AH87" s="153"/>
      <c r="AI87" s="314"/>
      <c r="AJ87" s="314"/>
      <c r="AK87" s="314"/>
      <c r="AL87" s="314"/>
      <c r="AM87" s="314"/>
      <c r="AN87" s="314"/>
      <c r="AO87" s="314"/>
      <c r="AP87" s="314"/>
      <c r="AQ87" s="441"/>
      <c r="AR87" s="441"/>
    </row>
    <row r="88" spans="1:114" ht="16.350000000000001" customHeight="1" x14ac:dyDescent="0.2">
      <c r="A88" s="8592" t="s">
        <v>30</v>
      </c>
      <c r="B88" s="8593" t="s">
        <v>24</v>
      </c>
      <c r="C88" s="8593" t="s">
        <v>618</v>
      </c>
      <c r="D88" s="8508" t="s">
        <v>619</v>
      </c>
      <c r="E88" s="8528" t="s">
        <v>2192</v>
      </c>
      <c r="F88" s="8593" t="s">
        <v>2191</v>
      </c>
      <c r="G88" s="140"/>
      <c r="H88" s="313"/>
      <c r="I88" s="313"/>
      <c r="J88" s="313"/>
      <c r="K88" s="313"/>
      <c r="L88" s="313"/>
      <c r="M88" s="313"/>
      <c r="N88" s="313"/>
      <c r="O88" s="313"/>
      <c r="P88" s="450"/>
      <c r="Q88" s="450"/>
      <c r="R88" s="450"/>
      <c r="S88" s="450"/>
      <c r="T88" s="450"/>
      <c r="U88" s="450"/>
      <c r="V88" s="450"/>
      <c r="W88" s="313"/>
      <c r="X88" s="450"/>
      <c r="Y88" s="441"/>
      <c r="Z88" s="441"/>
      <c r="AA88" s="441"/>
      <c r="AB88" s="441"/>
      <c r="AC88" s="441"/>
      <c r="AD88" s="441"/>
      <c r="AE88" s="441"/>
      <c r="AF88" s="441"/>
      <c r="AG88" s="441"/>
      <c r="AH88" s="314"/>
      <c r="AI88" s="314"/>
      <c r="AJ88" s="314"/>
      <c r="AK88" s="314"/>
      <c r="AL88" s="314"/>
      <c r="AM88" s="314"/>
      <c r="AN88" s="314"/>
      <c r="AO88" s="314"/>
      <c r="AP88" s="314"/>
      <c r="AQ88" s="441"/>
      <c r="AR88" s="441"/>
    </row>
    <row r="89" spans="1:114" ht="45.75" customHeight="1" x14ac:dyDescent="0.2">
      <c r="A89" s="8592"/>
      <c r="B89" s="8593"/>
      <c r="C89" s="8593"/>
      <c r="D89" s="8508"/>
      <c r="E89" s="8528"/>
      <c r="F89" s="8593"/>
      <c r="G89" s="140"/>
      <c r="H89" s="313"/>
      <c r="I89" s="313"/>
      <c r="J89" s="313"/>
      <c r="K89" s="313"/>
      <c r="L89" s="313"/>
      <c r="M89" s="313"/>
      <c r="N89" s="313"/>
      <c r="O89" s="313"/>
      <c r="P89" s="450"/>
      <c r="Q89" s="450"/>
      <c r="R89" s="450"/>
      <c r="S89" s="450"/>
      <c r="T89" s="450"/>
      <c r="U89" s="450"/>
      <c r="V89" s="450"/>
      <c r="W89" s="313"/>
      <c r="X89" s="450"/>
      <c r="Y89" s="441"/>
      <c r="Z89" s="441"/>
      <c r="AA89" s="441"/>
      <c r="AB89" s="441"/>
      <c r="AC89" s="441"/>
      <c r="AD89" s="441"/>
      <c r="AE89" s="441"/>
      <c r="AF89" s="441"/>
      <c r="AG89" s="441"/>
      <c r="AH89" s="314"/>
      <c r="AI89" s="314"/>
      <c r="AJ89" s="314"/>
      <c r="AK89" s="314"/>
      <c r="AL89" s="314"/>
      <c r="AM89" s="314"/>
      <c r="AN89" s="314"/>
      <c r="AO89" s="314"/>
      <c r="AP89" s="314"/>
      <c r="AQ89" s="441"/>
      <c r="AR89" s="441"/>
    </row>
    <row r="90" spans="1:114" ht="16.350000000000001" customHeight="1" x14ac:dyDescent="0.2">
      <c r="A90" s="8576" t="s">
        <v>567</v>
      </c>
      <c r="B90" s="8577"/>
      <c r="C90" s="8577"/>
      <c r="D90" s="8577"/>
      <c r="E90" s="8577"/>
      <c r="F90" s="8578"/>
      <c r="G90" s="140"/>
      <c r="H90" s="313"/>
      <c r="I90" s="313"/>
      <c r="J90" s="313"/>
      <c r="K90" s="313"/>
      <c r="L90" s="313"/>
      <c r="M90" s="313"/>
      <c r="N90" s="313"/>
      <c r="O90" s="313"/>
      <c r="P90" s="450"/>
      <c r="Q90" s="450"/>
      <c r="R90" s="450"/>
      <c r="S90" s="450"/>
      <c r="T90" s="450"/>
      <c r="U90" s="450"/>
      <c r="V90" s="450"/>
      <c r="W90" s="313"/>
      <c r="X90" s="450"/>
      <c r="Y90" s="441"/>
      <c r="Z90" s="441"/>
      <c r="AA90" s="441"/>
      <c r="AB90" s="441"/>
      <c r="AC90" s="441"/>
      <c r="AD90" s="441"/>
      <c r="AE90" s="441"/>
      <c r="AF90" s="441"/>
      <c r="AG90" s="441"/>
      <c r="AH90" s="314"/>
      <c r="AI90" s="314"/>
      <c r="AJ90" s="314"/>
      <c r="AK90" s="314"/>
      <c r="AL90" s="314"/>
      <c r="AM90" s="314"/>
      <c r="AN90" s="314"/>
      <c r="AO90" s="314"/>
      <c r="AP90" s="314"/>
      <c r="AQ90" s="441"/>
      <c r="AR90" s="441"/>
    </row>
    <row r="91" spans="1:114" ht="16.350000000000001" customHeight="1" x14ac:dyDescent="0.2">
      <c r="A91" s="1570" t="s">
        <v>568</v>
      </c>
      <c r="B91" s="1672">
        <f>SUM(C91:D91)</f>
        <v>0</v>
      </c>
      <c r="C91" s="1571"/>
      <c r="D91" s="1678"/>
      <c r="E91" s="1627"/>
      <c r="F91" s="1571"/>
      <c r="G91" s="140"/>
      <c r="H91" s="313"/>
      <c r="I91" s="313"/>
      <c r="J91" s="313"/>
      <c r="K91" s="313"/>
      <c r="L91" s="313"/>
      <c r="M91" s="313"/>
      <c r="N91" s="313"/>
      <c r="O91" s="313"/>
      <c r="P91" s="450"/>
      <c r="Q91" s="450"/>
      <c r="R91" s="450"/>
      <c r="S91" s="450"/>
      <c r="T91" s="450"/>
      <c r="U91" s="450"/>
      <c r="V91" s="450"/>
      <c r="W91" s="313"/>
      <c r="X91" s="450"/>
      <c r="Y91" s="441"/>
      <c r="Z91" s="441"/>
      <c r="AA91" s="441"/>
      <c r="AB91" s="441"/>
      <c r="AC91" s="441"/>
      <c r="AD91" s="441"/>
      <c r="AE91" s="441"/>
      <c r="AF91" s="441"/>
      <c r="AG91" s="441"/>
      <c r="AH91" s="314"/>
      <c r="AI91" s="314"/>
      <c r="AJ91" s="314"/>
      <c r="AK91" s="314"/>
      <c r="AL91" s="314"/>
      <c r="AM91" s="314"/>
      <c r="AN91" s="314"/>
      <c r="AO91" s="314"/>
      <c r="AP91" s="314"/>
      <c r="AQ91" s="441"/>
      <c r="AR91" s="441"/>
    </row>
    <row r="92" spans="1:114" ht="16.350000000000001" customHeight="1" x14ac:dyDescent="0.2">
      <c r="A92" s="2132" t="s">
        <v>569</v>
      </c>
      <c r="B92" s="1673">
        <f>SUM(C92:D92)</f>
        <v>0</v>
      </c>
      <c r="C92" s="123"/>
      <c r="D92" s="1679"/>
      <c r="E92" s="1677"/>
      <c r="F92" s="123"/>
      <c r="G92" s="140"/>
      <c r="H92" s="313"/>
      <c r="I92" s="313"/>
      <c r="J92" s="313"/>
      <c r="K92" s="313"/>
      <c r="L92" s="313"/>
      <c r="M92" s="313"/>
      <c r="N92" s="313"/>
      <c r="O92" s="313"/>
      <c r="P92" s="450"/>
      <c r="Q92" s="450"/>
      <c r="R92" s="450"/>
      <c r="S92" s="450"/>
      <c r="T92" s="450"/>
      <c r="U92" s="450"/>
      <c r="V92" s="450"/>
      <c r="W92" s="313"/>
      <c r="X92" s="450"/>
      <c r="Y92" s="441"/>
      <c r="Z92" s="441"/>
      <c r="AA92" s="441"/>
      <c r="AB92" s="441"/>
      <c r="AC92" s="441"/>
      <c r="AD92" s="441"/>
      <c r="AE92" s="441"/>
      <c r="AF92" s="441"/>
      <c r="AG92" s="441"/>
      <c r="AH92" s="314"/>
      <c r="AI92" s="314"/>
      <c r="AJ92" s="314"/>
      <c r="AK92" s="314"/>
      <c r="AL92" s="314"/>
      <c r="AM92" s="314"/>
      <c r="AN92" s="314"/>
      <c r="AO92" s="314"/>
      <c r="AP92" s="314"/>
      <c r="AQ92" s="441"/>
      <c r="AR92" s="441"/>
    </row>
    <row r="93" spans="1:114" ht="16.350000000000001" customHeight="1" x14ac:dyDescent="0.2">
      <c r="A93" s="2132" t="s">
        <v>570</v>
      </c>
      <c r="B93" s="1673">
        <f>SUM(C93:D93)</f>
        <v>0</v>
      </c>
      <c r="C93" s="123"/>
      <c r="D93" s="1679"/>
      <c r="E93" s="1677"/>
      <c r="F93" s="123"/>
      <c r="G93" s="140"/>
      <c r="H93" s="313"/>
      <c r="I93" s="313"/>
      <c r="J93" s="313"/>
      <c r="K93" s="313"/>
      <c r="L93" s="313"/>
      <c r="M93" s="313"/>
      <c r="N93" s="313"/>
      <c r="O93" s="313"/>
      <c r="P93" s="450"/>
      <c r="Q93" s="450"/>
      <c r="R93" s="450"/>
      <c r="S93" s="450"/>
      <c r="T93" s="450"/>
      <c r="U93" s="450"/>
      <c r="V93" s="450"/>
      <c r="W93" s="313"/>
      <c r="X93" s="450"/>
      <c r="Y93" s="441"/>
      <c r="Z93" s="441"/>
      <c r="AA93" s="441"/>
      <c r="AB93" s="441"/>
      <c r="AC93" s="441"/>
      <c r="AD93" s="441"/>
      <c r="AE93" s="441"/>
      <c r="AF93" s="441"/>
      <c r="AG93" s="441"/>
      <c r="AH93" s="314"/>
      <c r="AI93" s="314"/>
      <c r="AJ93" s="314"/>
      <c r="AK93" s="314"/>
      <c r="AL93" s="314"/>
      <c r="AM93" s="314"/>
      <c r="AN93" s="314"/>
      <c r="AO93" s="314"/>
      <c r="AP93" s="314"/>
      <c r="AQ93" s="441"/>
      <c r="AR93" s="441"/>
    </row>
    <row r="94" spans="1:114" ht="16.350000000000001" customHeight="1" x14ac:dyDescent="0.2">
      <c r="A94" s="2132" t="s">
        <v>571</v>
      </c>
      <c r="B94" s="1673">
        <f>SUM(C94:D94)</f>
        <v>0</v>
      </c>
      <c r="C94" s="123"/>
      <c r="D94" s="1679"/>
      <c r="E94" s="1677"/>
      <c r="F94" s="123"/>
      <c r="G94" s="140"/>
      <c r="H94" s="313"/>
      <c r="I94" s="313"/>
      <c r="J94" s="313"/>
      <c r="K94" s="313"/>
      <c r="L94" s="313"/>
      <c r="M94" s="313"/>
      <c r="N94" s="313"/>
      <c r="O94" s="313"/>
      <c r="P94" s="450"/>
      <c r="Q94" s="450"/>
      <c r="R94" s="450"/>
      <c r="S94" s="450"/>
      <c r="T94" s="450"/>
      <c r="U94" s="450"/>
      <c r="V94" s="450"/>
      <c r="W94" s="313"/>
      <c r="X94" s="450"/>
      <c r="Y94" s="441"/>
      <c r="Z94" s="441"/>
      <c r="AA94" s="441"/>
      <c r="AB94" s="441"/>
      <c r="AC94" s="441"/>
      <c r="AD94" s="441"/>
      <c r="AE94" s="441"/>
      <c r="AF94" s="441"/>
      <c r="AG94" s="441"/>
      <c r="AH94" s="314"/>
      <c r="AI94" s="314"/>
      <c r="AJ94" s="314"/>
      <c r="AK94" s="314"/>
      <c r="AL94" s="314"/>
      <c r="AM94" s="314"/>
      <c r="AN94" s="314"/>
      <c r="AO94" s="314"/>
      <c r="AP94" s="314"/>
      <c r="AQ94" s="441"/>
      <c r="AR94" s="441"/>
    </row>
    <row r="95" spans="1:114" ht="16.350000000000001" customHeight="1" x14ac:dyDescent="0.2">
      <c r="A95" s="1572" t="s">
        <v>572</v>
      </c>
      <c r="B95" s="2182">
        <f>SUM(C95:D95)</f>
        <v>0</v>
      </c>
      <c r="C95" s="91"/>
      <c r="D95" s="1680"/>
      <c r="E95" s="143"/>
      <c r="F95" s="91"/>
      <c r="G95" s="140"/>
      <c r="H95" s="313"/>
      <c r="I95" s="313"/>
      <c r="J95" s="313"/>
      <c r="K95" s="313"/>
      <c r="L95" s="313"/>
      <c r="M95" s="313"/>
      <c r="N95" s="313"/>
      <c r="O95" s="313"/>
      <c r="P95" s="450"/>
      <c r="Q95" s="450"/>
      <c r="R95" s="450"/>
      <c r="S95" s="450"/>
      <c r="T95" s="450"/>
      <c r="U95" s="450"/>
      <c r="V95" s="450"/>
      <c r="W95" s="313"/>
      <c r="X95" s="450"/>
      <c r="Y95" s="441"/>
      <c r="Z95" s="441"/>
      <c r="AA95" s="441"/>
      <c r="AB95" s="441"/>
      <c r="AC95" s="441"/>
      <c r="AD95" s="441"/>
      <c r="AE95" s="441"/>
      <c r="AF95" s="441"/>
      <c r="AG95" s="441"/>
      <c r="AH95" s="314"/>
      <c r="AI95" s="314"/>
      <c r="AJ95" s="314"/>
      <c r="AK95" s="314"/>
      <c r="AL95" s="314"/>
      <c r="AM95" s="314"/>
      <c r="AN95" s="314"/>
      <c r="AO95" s="314"/>
      <c r="AP95" s="314"/>
      <c r="AQ95" s="441"/>
      <c r="AR95" s="441"/>
    </row>
    <row r="96" spans="1:114" ht="16.350000000000001" customHeight="1" x14ac:dyDescent="0.2">
      <c r="A96" s="8576" t="s">
        <v>573</v>
      </c>
      <c r="B96" s="8577"/>
      <c r="C96" s="8577"/>
      <c r="D96" s="8577"/>
      <c r="E96" s="8577"/>
      <c r="F96" s="8578"/>
      <c r="G96" s="140"/>
      <c r="H96" s="313"/>
      <c r="I96" s="313"/>
      <c r="J96" s="313"/>
      <c r="K96" s="313"/>
      <c r="L96" s="313"/>
      <c r="M96" s="313"/>
      <c r="N96" s="313"/>
      <c r="O96" s="313"/>
      <c r="P96" s="450"/>
      <c r="Q96" s="450"/>
      <c r="R96" s="450"/>
      <c r="S96" s="450"/>
      <c r="T96" s="450"/>
      <c r="U96" s="450"/>
      <c r="V96" s="450"/>
      <c r="W96" s="313"/>
      <c r="X96" s="450"/>
      <c r="Y96" s="441"/>
      <c r="Z96" s="441"/>
      <c r="AA96" s="441"/>
      <c r="AB96" s="441"/>
      <c r="AC96" s="441"/>
      <c r="AD96" s="441"/>
      <c r="AE96" s="441"/>
      <c r="AF96" s="441"/>
      <c r="AG96" s="441"/>
      <c r="AH96" s="314"/>
      <c r="AI96" s="314"/>
      <c r="AJ96" s="314"/>
      <c r="AK96" s="314"/>
      <c r="AL96" s="314"/>
      <c r="AM96" s="314"/>
      <c r="AN96" s="314"/>
      <c r="AO96" s="314"/>
      <c r="AP96" s="314"/>
      <c r="AQ96" s="441"/>
      <c r="AR96" s="441"/>
    </row>
    <row r="97" spans="1:130" ht="16.350000000000001" customHeight="1" x14ac:dyDescent="0.2">
      <c r="A97" s="3390" t="s">
        <v>574</v>
      </c>
      <c r="B97" s="1674">
        <f>SUM(C97:D97)</f>
        <v>0</v>
      </c>
      <c r="C97" s="80"/>
      <c r="D97" s="1678"/>
      <c r="E97" s="1627"/>
      <c r="F97" s="80"/>
      <c r="G97" s="140"/>
      <c r="H97" s="313"/>
      <c r="I97" s="313"/>
      <c r="J97" s="313"/>
      <c r="K97" s="313"/>
      <c r="L97" s="313"/>
      <c r="M97" s="313"/>
      <c r="N97" s="313"/>
      <c r="O97" s="313"/>
      <c r="P97" s="450"/>
      <c r="Q97" s="450"/>
      <c r="R97" s="450"/>
      <c r="S97" s="450"/>
      <c r="T97" s="450"/>
      <c r="U97" s="450"/>
      <c r="V97" s="450"/>
      <c r="W97" s="313"/>
      <c r="X97" s="450"/>
      <c r="Y97" s="441"/>
      <c r="Z97" s="441"/>
      <c r="AA97" s="441"/>
      <c r="AB97" s="441"/>
      <c r="AC97" s="441"/>
      <c r="AD97" s="441"/>
      <c r="AE97" s="441"/>
      <c r="AF97" s="441"/>
      <c r="AG97" s="441"/>
      <c r="AH97" s="441"/>
      <c r="AI97" s="441"/>
      <c r="AJ97" s="441"/>
      <c r="AK97" s="441"/>
      <c r="AL97" s="441"/>
      <c r="AM97" s="441"/>
      <c r="AN97" s="441"/>
      <c r="AO97" s="441"/>
      <c r="AP97" s="441"/>
      <c r="AQ97" s="441"/>
      <c r="AR97" s="441"/>
    </row>
    <row r="98" spans="1:130" ht="16.350000000000001" customHeight="1" x14ac:dyDescent="0.2">
      <c r="A98" s="3032" t="s">
        <v>575</v>
      </c>
      <c r="B98" s="1675">
        <f>SUM(C98:D98)</f>
        <v>0</v>
      </c>
      <c r="C98" s="123"/>
      <c r="D98" s="1679"/>
      <c r="E98" s="1677"/>
      <c r="F98" s="123"/>
      <c r="G98" s="140"/>
      <c r="H98" s="313"/>
      <c r="I98" s="313"/>
      <c r="J98" s="313"/>
      <c r="K98" s="313"/>
      <c r="L98" s="313"/>
      <c r="M98" s="313"/>
      <c r="N98" s="313"/>
      <c r="O98" s="313"/>
      <c r="P98" s="450"/>
      <c r="Q98" s="450"/>
      <c r="R98" s="450"/>
      <c r="S98" s="450"/>
      <c r="T98" s="450"/>
      <c r="U98" s="450"/>
      <c r="V98" s="450"/>
      <c r="W98" s="313"/>
      <c r="X98" s="450"/>
      <c r="Y98" s="441"/>
      <c r="Z98" s="441"/>
      <c r="AA98" s="441"/>
      <c r="AB98" s="441"/>
      <c r="AC98" s="441"/>
      <c r="AD98" s="441"/>
      <c r="AE98" s="441"/>
      <c r="AF98" s="441"/>
      <c r="AG98" s="441"/>
      <c r="AH98" s="441"/>
      <c r="AI98" s="441"/>
      <c r="AJ98" s="441"/>
      <c r="AK98" s="441"/>
      <c r="AL98" s="441"/>
      <c r="AM98" s="441"/>
      <c r="AN98" s="441"/>
      <c r="AO98" s="441"/>
      <c r="AP98" s="441"/>
      <c r="AQ98" s="441"/>
      <c r="AR98" s="441"/>
    </row>
    <row r="99" spans="1:130" ht="24.75" customHeight="1" x14ac:dyDescent="0.2">
      <c r="A99" s="427" t="s">
        <v>576</v>
      </c>
      <c r="B99" s="1676">
        <f>SUM(C99:D99)</f>
        <v>0</v>
      </c>
      <c r="C99" s="1573"/>
      <c r="D99" s="1680"/>
      <c r="E99" s="337"/>
      <c r="F99" s="1573"/>
      <c r="G99" s="140"/>
      <c r="H99" s="313"/>
      <c r="I99" s="313"/>
      <c r="J99" s="313"/>
      <c r="K99" s="313"/>
      <c r="L99" s="313"/>
      <c r="M99" s="313"/>
      <c r="N99" s="313"/>
      <c r="O99" s="313"/>
      <c r="P99" s="450"/>
      <c r="Q99" s="450"/>
      <c r="R99" s="450"/>
      <c r="S99" s="450"/>
      <c r="T99" s="450"/>
      <c r="U99" s="450"/>
      <c r="V99" s="450"/>
      <c r="W99" s="313"/>
      <c r="X99" s="450"/>
      <c r="Y99" s="441"/>
      <c r="Z99" s="441"/>
      <c r="AA99" s="441"/>
      <c r="AB99" s="441"/>
      <c r="AC99" s="441"/>
      <c r="AD99" s="441"/>
      <c r="AE99" s="441"/>
      <c r="AF99" s="441"/>
      <c r="AG99" s="441"/>
      <c r="AH99" s="441"/>
      <c r="AI99" s="441"/>
      <c r="AJ99" s="441"/>
      <c r="AK99" s="441"/>
      <c r="AL99" s="441"/>
      <c r="AM99" s="441"/>
      <c r="AN99" s="441"/>
      <c r="AO99" s="441"/>
      <c r="AP99" s="441"/>
      <c r="AQ99" s="441"/>
      <c r="AR99" s="441"/>
    </row>
    <row r="100" spans="1:130" s="290" customFormat="1" ht="31.35" customHeight="1" x14ac:dyDescent="0.2">
      <c r="A100" s="8579" t="s">
        <v>3395</v>
      </c>
      <c r="B100" s="8579"/>
      <c r="C100" s="8579"/>
      <c r="D100" s="8579"/>
      <c r="E100" s="8579"/>
      <c r="F100" s="8580"/>
      <c r="G100" s="451"/>
      <c r="H100" s="451"/>
      <c r="I100" s="451"/>
      <c r="J100" s="451"/>
      <c r="K100" s="451"/>
      <c r="L100" s="451"/>
      <c r="M100" s="451"/>
      <c r="N100" s="451"/>
      <c r="O100" s="451"/>
      <c r="P100" s="451"/>
      <c r="Q100" s="452"/>
      <c r="R100" s="452"/>
      <c r="S100" s="452"/>
      <c r="T100" s="452"/>
      <c r="U100" s="452"/>
      <c r="V100" s="452"/>
      <c r="W100" s="451"/>
      <c r="X100" s="452"/>
      <c r="Y100" s="452"/>
      <c r="Z100" s="452"/>
      <c r="AA100" s="452"/>
      <c r="AB100" s="452"/>
      <c r="AC100" s="452"/>
      <c r="AD100" s="452"/>
      <c r="AE100" s="452"/>
      <c r="AF100" s="452"/>
      <c r="AG100" s="452"/>
      <c r="AH100" s="452"/>
      <c r="AI100" s="452"/>
      <c r="AJ100" s="452"/>
      <c r="AK100" s="452"/>
      <c r="AL100" s="452"/>
      <c r="AM100" s="452"/>
      <c r="AN100" s="452"/>
      <c r="AO100" s="452"/>
      <c r="AP100" s="452"/>
      <c r="AQ100" s="452"/>
      <c r="AR100" s="452"/>
      <c r="CA100" s="1451"/>
      <c r="CB100" s="1451"/>
      <c r="CC100" s="1451"/>
      <c r="CD100" s="1451"/>
      <c r="CE100" s="1451"/>
      <c r="CF100" s="1451"/>
      <c r="CG100" s="1451"/>
      <c r="CH100" s="1451"/>
      <c r="CI100" s="1451"/>
      <c r="CJ100" s="1451"/>
      <c r="CK100" s="1451"/>
      <c r="CL100" s="1451"/>
      <c r="CM100" s="1451"/>
      <c r="CN100" s="1451"/>
      <c r="CO100" s="1451"/>
      <c r="CP100" s="1451"/>
      <c r="CQ100" s="1451"/>
      <c r="CR100" s="1451"/>
      <c r="CS100" s="1451"/>
      <c r="CT100" s="1451"/>
      <c r="CU100" s="1451"/>
      <c r="CV100" s="1451"/>
      <c r="CW100" s="1451"/>
      <c r="CX100" s="1451"/>
      <c r="CY100" s="1451"/>
      <c r="CZ100" s="1451"/>
      <c r="DA100" s="3308"/>
      <c r="DB100" s="3308"/>
      <c r="DC100" s="3308"/>
      <c r="DD100" s="3308"/>
      <c r="DE100" s="3308"/>
      <c r="DF100" s="3308"/>
      <c r="DG100" s="3308"/>
      <c r="DH100" s="3308"/>
      <c r="DI100" s="3308"/>
      <c r="DJ100" s="3308"/>
      <c r="DK100" s="3308"/>
      <c r="DL100" s="3308"/>
      <c r="DM100" s="3308"/>
      <c r="DN100" s="3308"/>
      <c r="DO100" s="3308"/>
      <c r="DP100" s="3308"/>
      <c r="DQ100" s="3308"/>
      <c r="DR100" s="3308"/>
      <c r="DS100" s="3308"/>
      <c r="DT100" s="3308"/>
      <c r="DU100" s="3308"/>
      <c r="DV100" s="3308"/>
      <c r="DW100" s="3308"/>
      <c r="DX100" s="3308"/>
      <c r="DY100" s="3308"/>
      <c r="DZ100" s="3308"/>
    </row>
    <row r="101" spans="1:130" ht="16.350000000000001" customHeight="1" x14ac:dyDescent="0.2">
      <c r="A101" s="8581" t="s">
        <v>577</v>
      </c>
      <c r="B101" s="8584" t="s">
        <v>578</v>
      </c>
      <c r="C101" s="8585"/>
      <c r="D101" s="8586"/>
      <c r="E101" s="8538" t="s">
        <v>2698</v>
      </c>
      <c r="F101" s="8590"/>
      <c r="G101" s="8538" t="s">
        <v>2700</v>
      </c>
      <c r="H101" s="8539"/>
      <c r="I101" s="8534" t="s">
        <v>3570</v>
      </c>
      <c r="J101" s="8535"/>
      <c r="K101" s="8542" t="s">
        <v>579</v>
      </c>
      <c r="L101" s="8545" t="s">
        <v>610</v>
      </c>
      <c r="M101" s="8546"/>
      <c r="N101" s="8545" t="s">
        <v>611</v>
      </c>
      <c r="O101" s="8546"/>
      <c r="P101" s="140"/>
      <c r="Q101" s="190"/>
      <c r="R101" s="190"/>
      <c r="S101" s="190"/>
      <c r="T101" s="190"/>
      <c r="U101" s="190"/>
      <c r="V101" s="190"/>
      <c r="W101" s="140"/>
      <c r="X101" s="190"/>
      <c r="Y101" s="195"/>
      <c r="Z101" s="453"/>
      <c r="AA101" s="453"/>
      <c r="AB101" s="453"/>
      <c r="AC101" s="453"/>
      <c r="AD101" s="453"/>
      <c r="AE101" s="453"/>
      <c r="AF101" s="453"/>
      <c r="AG101" s="453"/>
      <c r="AH101" s="453"/>
      <c r="AI101" s="453"/>
      <c r="AJ101" s="441"/>
      <c r="AK101" s="441"/>
      <c r="AL101" s="441"/>
      <c r="AM101" s="441"/>
      <c r="AN101" s="441"/>
      <c r="AO101" s="441"/>
      <c r="AP101" s="441"/>
      <c r="AQ101" s="441"/>
      <c r="AR101" s="441"/>
      <c r="AS101" s="441"/>
    </row>
    <row r="102" spans="1:130" ht="39" customHeight="1" x14ac:dyDescent="0.2">
      <c r="A102" s="8582"/>
      <c r="B102" s="8587"/>
      <c r="C102" s="8588"/>
      <c r="D102" s="8589"/>
      <c r="E102" s="8540"/>
      <c r="F102" s="8591"/>
      <c r="G102" s="8540"/>
      <c r="H102" s="8541"/>
      <c r="I102" s="8536"/>
      <c r="J102" s="8537"/>
      <c r="K102" s="8543"/>
      <c r="L102" s="8547"/>
      <c r="M102" s="8548"/>
      <c r="N102" s="8547"/>
      <c r="O102" s="8548"/>
      <c r="P102" s="140"/>
      <c r="Q102" s="190"/>
      <c r="R102" s="190"/>
      <c r="S102" s="190"/>
      <c r="T102" s="190"/>
      <c r="U102" s="190"/>
      <c r="V102" s="190"/>
      <c r="W102" s="140"/>
      <c r="X102" s="190"/>
      <c r="Y102" s="450"/>
      <c r="Z102" s="441"/>
      <c r="AA102" s="441"/>
      <c r="AB102" s="441"/>
      <c r="AC102" s="441"/>
      <c r="AD102" s="441"/>
      <c r="AE102" s="441"/>
      <c r="AF102" s="441"/>
      <c r="AG102" s="441"/>
      <c r="AH102" s="441"/>
      <c r="AI102" s="441"/>
      <c r="AJ102" s="441"/>
      <c r="AK102" s="441"/>
      <c r="AL102" s="441"/>
      <c r="AM102" s="441"/>
      <c r="AN102" s="441"/>
      <c r="AO102" s="441"/>
      <c r="AP102" s="441"/>
      <c r="AQ102" s="441"/>
      <c r="AR102" s="441"/>
      <c r="AS102" s="441"/>
    </row>
    <row r="103" spans="1:130" ht="40.5" customHeight="1" x14ac:dyDescent="0.2">
      <c r="A103" s="8583"/>
      <c r="B103" s="2409" t="s">
        <v>580</v>
      </c>
      <c r="C103" s="2409" t="s">
        <v>2699</v>
      </c>
      <c r="D103" s="2412" t="s">
        <v>581</v>
      </c>
      <c r="E103" s="7649" t="s">
        <v>2148</v>
      </c>
      <c r="F103" s="7650" t="s">
        <v>2147</v>
      </c>
      <c r="G103" s="7649" t="s">
        <v>2058</v>
      </c>
      <c r="H103" s="7660" t="s">
        <v>620</v>
      </c>
      <c r="I103" s="7645" t="s">
        <v>2148</v>
      </c>
      <c r="J103" s="2840" t="s">
        <v>2147</v>
      </c>
      <c r="K103" s="8544"/>
      <c r="L103" s="1630" t="s">
        <v>580</v>
      </c>
      <c r="M103" s="1631" t="s">
        <v>581</v>
      </c>
      <c r="N103" s="1630" t="s">
        <v>2058</v>
      </c>
      <c r="O103" s="1631" t="s">
        <v>620</v>
      </c>
      <c r="P103" s="140"/>
      <c r="Q103" s="190"/>
      <c r="R103" s="190"/>
      <c r="S103" s="190"/>
      <c r="T103" s="190"/>
      <c r="U103" s="190"/>
      <c r="V103" s="190"/>
      <c r="W103" s="140"/>
      <c r="X103" s="190"/>
      <c r="Y103" s="450"/>
      <c r="Z103" s="441"/>
      <c r="AA103" s="441"/>
      <c r="AB103" s="441"/>
      <c r="AC103" s="441"/>
      <c r="AD103" s="441"/>
      <c r="AE103" s="441"/>
      <c r="AF103" s="441"/>
      <c r="AG103" s="441"/>
      <c r="AH103" s="441"/>
      <c r="AI103" s="441"/>
      <c r="AJ103" s="441"/>
      <c r="AK103" s="441"/>
      <c r="AL103" s="441"/>
      <c r="AM103" s="441"/>
      <c r="AN103" s="441"/>
      <c r="AO103" s="441"/>
      <c r="AP103" s="441"/>
      <c r="AQ103" s="441"/>
      <c r="AR103" s="441"/>
      <c r="AS103" s="441"/>
    </row>
    <row r="104" spans="1:130" ht="16.350000000000001" customHeight="1" x14ac:dyDescent="0.2">
      <c r="A104" s="1632" t="s">
        <v>582</v>
      </c>
      <c r="B104" s="7492">
        <f>SUM(C104:D104)</f>
        <v>0</v>
      </c>
      <c r="C104" s="2410"/>
      <c r="D104" s="2024"/>
      <c r="E104" s="7651"/>
      <c r="F104" s="7652"/>
      <c r="G104" s="7651"/>
      <c r="H104" s="7661"/>
      <c r="I104" s="7646"/>
      <c r="J104" s="2841"/>
      <c r="K104" s="2845"/>
      <c r="L104" s="1633"/>
      <c r="M104" s="1634"/>
      <c r="N104" s="1633"/>
      <c r="O104" s="1634"/>
      <c r="P104" s="140" t="str">
        <f>CB104&amp;CC104&amp;CD104&amp;CE104</f>
        <v/>
      </c>
      <c r="Q104" s="190"/>
      <c r="R104" s="190"/>
      <c r="S104" s="190"/>
      <c r="T104" s="190"/>
      <c r="U104" s="190"/>
      <c r="V104" s="190"/>
      <c r="W104" s="140"/>
      <c r="X104" s="190"/>
      <c r="Y104" s="450"/>
      <c r="Z104" s="441"/>
      <c r="AA104" s="441"/>
      <c r="AB104" s="441"/>
      <c r="AC104" s="441"/>
      <c r="AD104" s="441"/>
      <c r="AE104" s="441"/>
      <c r="AF104" s="441"/>
      <c r="AG104" s="441"/>
      <c r="AH104" s="441"/>
      <c r="AI104" s="441"/>
      <c r="AJ104" s="441"/>
      <c r="AK104" s="441"/>
      <c r="AL104" s="441"/>
      <c r="AM104" s="441"/>
      <c r="AN104" s="441"/>
      <c r="AO104" s="441"/>
      <c r="AP104" s="441"/>
      <c r="AQ104" s="441"/>
      <c r="AR104" s="441"/>
      <c r="AS104" s="441"/>
    </row>
    <row r="105" spans="1:130" ht="16.350000000000001" customHeight="1" x14ac:dyDescent="0.2">
      <c r="A105" s="1623" t="s">
        <v>583</v>
      </c>
      <c r="B105" s="7493">
        <f>SUM(C105:D105)</f>
        <v>0</v>
      </c>
      <c r="C105" s="2411"/>
      <c r="D105" s="2413"/>
      <c r="E105" s="7653"/>
      <c r="F105" s="7654"/>
      <c r="G105" s="7653"/>
      <c r="H105" s="7662"/>
      <c r="I105" s="7647"/>
      <c r="J105" s="2842"/>
      <c r="K105" s="2846"/>
      <c r="L105" s="1635"/>
      <c r="M105" s="1636"/>
      <c r="N105" s="1635"/>
      <c r="O105" s="1636"/>
      <c r="P105" s="140"/>
      <c r="Q105" s="190"/>
      <c r="R105" s="190"/>
      <c r="S105" s="190"/>
      <c r="T105" s="190"/>
      <c r="U105" s="190"/>
      <c r="V105" s="190"/>
      <c r="W105" s="140"/>
      <c r="X105" s="190"/>
      <c r="Y105" s="450"/>
      <c r="Z105" s="441"/>
      <c r="AA105" s="441"/>
      <c r="AB105" s="441"/>
      <c r="AC105" s="441"/>
      <c r="AD105" s="441"/>
      <c r="AE105" s="441"/>
      <c r="AF105" s="441"/>
      <c r="AG105" s="441"/>
      <c r="AH105" s="441"/>
      <c r="AI105" s="441"/>
      <c r="AJ105" s="441"/>
      <c r="AK105" s="441"/>
      <c r="AL105" s="441"/>
      <c r="AM105" s="441"/>
      <c r="AN105" s="441"/>
      <c r="AO105" s="441"/>
      <c r="AP105" s="441"/>
      <c r="AQ105" s="441"/>
      <c r="AR105" s="441"/>
      <c r="AS105" s="441"/>
    </row>
    <row r="106" spans="1:130" ht="16.350000000000001" customHeight="1" x14ac:dyDescent="0.2">
      <c r="A106" s="1623" t="s">
        <v>584</v>
      </c>
      <c r="B106" s="7494">
        <f>SUM(C106:D106)</f>
        <v>0</v>
      </c>
      <c r="C106" s="2020"/>
      <c r="D106" s="2022"/>
      <c r="E106" s="7655"/>
      <c r="F106" s="7656"/>
      <c r="G106" s="7663"/>
      <c r="H106" s="7664"/>
      <c r="I106" s="7659"/>
      <c r="J106" s="2843"/>
      <c r="K106" s="2847"/>
      <c r="L106" s="1624"/>
      <c r="M106" s="1625"/>
      <c r="N106" s="1624"/>
      <c r="O106" s="1625"/>
      <c r="P106" s="140"/>
      <c r="Q106" s="190"/>
      <c r="R106" s="190"/>
      <c r="S106" s="190"/>
      <c r="T106" s="190"/>
      <c r="U106" s="190"/>
      <c r="V106" s="190"/>
      <c r="W106" s="140"/>
      <c r="X106" s="190"/>
      <c r="Y106" s="450"/>
      <c r="Z106" s="441"/>
      <c r="AA106" s="441"/>
      <c r="AB106" s="441"/>
      <c r="AC106" s="441"/>
      <c r="AD106" s="441"/>
      <c r="AE106" s="441"/>
      <c r="AF106" s="441"/>
      <c r="AG106" s="441"/>
      <c r="AH106" s="441"/>
      <c r="AI106" s="441"/>
      <c r="AJ106" s="441"/>
      <c r="AK106" s="441"/>
      <c r="AL106" s="441"/>
      <c r="AM106" s="441"/>
      <c r="AN106" s="441"/>
      <c r="AO106" s="441"/>
      <c r="AP106" s="441"/>
      <c r="AQ106" s="441"/>
      <c r="AR106" s="441"/>
      <c r="AS106" s="441"/>
    </row>
    <row r="107" spans="1:130" ht="16.350000000000001" customHeight="1" x14ac:dyDescent="0.2">
      <c r="A107" s="1637" t="s">
        <v>24</v>
      </c>
      <c r="B107" s="2023">
        <f>SUM(C107:D107)</f>
        <v>0</v>
      </c>
      <c r="C107" s="2023">
        <f t="shared" ref="C107:K107" si="8">SUM(C104:C106)</f>
        <v>0</v>
      </c>
      <c r="D107" s="2414">
        <f t="shared" si="8"/>
        <v>0</v>
      </c>
      <c r="E107" s="7657">
        <f t="shared" si="8"/>
        <v>0</v>
      </c>
      <c r="F107" s="7658">
        <f t="shared" si="8"/>
        <v>0</v>
      </c>
      <c r="G107" s="7657">
        <f t="shared" si="8"/>
        <v>0</v>
      </c>
      <c r="H107" s="7665">
        <f t="shared" si="8"/>
        <v>0</v>
      </c>
      <c r="I107" s="7648">
        <f t="shared" si="8"/>
        <v>0</v>
      </c>
      <c r="J107" s="2844">
        <f t="shared" si="8"/>
        <v>0</v>
      </c>
      <c r="K107" s="2848">
        <f t="shared" si="8"/>
        <v>0</v>
      </c>
      <c r="L107" s="1638">
        <f>+L104</f>
        <v>0</v>
      </c>
      <c r="M107" s="1639">
        <f>+M104</f>
        <v>0</v>
      </c>
      <c r="N107" s="1638">
        <f>+N104</f>
        <v>0</v>
      </c>
      <c r="O107" s="1639">
        <f>+O104</f>
        <v>0</v>
      </c>
      <c r="P107" s="140"/>
      <c r="Q107" s="190"/>
      <c r="R107" s="190"/>
      <c r="S107" s="190"/>
      <c r="T107" s="190"/>
      <c r="U107" s="190"/>
      <c r="V107" s="190"/>
      <c r="W107" s="140"/>
      <c r="X107" s="190"/>
      <c r="Y107" s="450"/>
      <c r="Z107" s="441"/>
      <c r="AA107" s="441"/>
      <c r="AB107" s="441"/>
      <c r="AC107" s="441"/>
      <c r="AD107" s="441"/>
      <c r="AE107" s="441"/>
      <c r="AF107" s="441"/>
      <c r="AG107" s="441"/>
      <c r="AH107" s="441"/>
      <c r="AI107" s="441"/>
      <c r="AJ107" s="441"/>
      <c r="AK107" s="441"/>
      <c r="AL107" s="441"/>
      <c r="AM107" s="441"/>
      <c r="AN107" s="441"/>
      <c r="AO107" s="441"/>
      <c r="AP107" s="441"/>
      <c r="AQ107" s="441"/>
      <c r="AR107" s="441"/>
      <c r="AS107" s="441"/>
    </row>
    <row r="108" spans="1:130" ht="31.35" customHeight="1" x14ac:dyDescent="0.2">
      <c r="A108" s="133" t="s">
        <v>3396</v>
      </c>
      <c r="B108" s="2229"/>
      <c r="C108" s="1574"/>
      <c r="D108" s="1575"/>
      <c r="E108" s="1576"/>
      <c r="F108" s="1576"/>
      <c r="G108" s="1577"/>
      <c r="H108" s="1577"/>
      <c r="I108" s="1578"/>
      <c r="J108" s="199"/>
      <c r="K108" s="1578"/>
      <c r="L108" s="199"/>
      <c r="M108" s="140"/>
      <c r="N108" s="140"/>
      <c r="O108" s="140"/>
      <c r="P108" s="140"/>
      <c r="Q108" s="190"/>
      <c r="R108" s="190"/>
      <c r="S108" s="190"/>
      <c r="T108" s="190"/>
      <c r="U108" s="190"/>
      <c r="V108" s="190"/>
      <c r="W108" s="140"/>
      <c r="X108" s="450"/>
      <c r="Y108" s="450"/>
      <c r="Z108" s="441"/>
      <c r="AA108" s="441"/>
      <c r="AB108" s="441"/>
      <c r="AC108" s="441"/>
      <c r="AD108" s="441"/>
      <c r="AE108" s="441"/>
      <c r="AF108" s="441"/>
      <c r="AG108" s="441"/>
      <c r="AH108" s="441"/>
      <c r="AI108" s="441"/>
      <c r="AJ108" s="441"/>
      <c r="AK108" s="441"/>
      <c r="AL108" s="441"/>
      <c r="AM108" s="441"/>
      <c r="AN108" s="441"/>
      <c r="AO108" s="441"/>
      <c r="AP108" s="441"/>
      <c r="AQ108" s="441"/>
      <c r="AR108" s="441"/>
    </row>
    <row r="109" spans="1:130" ht="31.35" customHeight="1" x14ac:dyDescent="0.2">
      <c r="A109" s="8609" t="s">
        <v>585</v>
      </c>
      <c r="B109" s="8607" t="s">
        <v>586</v>
      </c>
      <c r="C109" s="8604" t="s">
        <v>587</v>
      </c>
      <c r="D109" s="8605"/>
      <c r="E109" s="8605"/>
      <c r="F109" s="8605"/>
      <c r="G109" s="8605"/>
      <c r="H109" s="8605"/>
      <c r="I109" s="8605"/>
      <c r="J109" s="8605"/>
      <c r="K109" s="8605"/>
      <c r="L109" s="8606"/>
      <c r="M109" s="8607" t="s">
        <v>588</v>
      </c>
      <c r="N109" s="140"/>
      <c r="O109" s="1575"/>
      <c r="P109" s="1575"/>
      <c r="Q109" s="1575"/>
      <c r="R109" s="190"/>
      <c r="S109" s="190"/>
      <c r="T109" s="190"/>
      <c r="U109" s="190"/>
      <c r="V109" s="190"/>
      <c r="W109" s="190"/>
      <c r="X109" s="190"/>
      <c r="Y109" s="190"/>
      <c r="Z109" s="450"/>
      <c r="AA109" s="441"/>
      <c r="AB109" s="441"/>
      <c r="AC109" s="441"/>
      <c r="AD109" s="441"/>
      <c r="AE109" s="441"/>
      <c r="AF109" s="441"/>
      <c r="AG109" s="441"/>
      <c r="AH109" s="441"/>
      <c r="AI109" s="441"/>
      <c r="AJ109" s="441"/>
      <c r="AK109" s="441"/>
      <c r="AL109" s="441"/>
      <c r="AM109" s="441"/>
      <c r="AN109" s="441"/>
      <c r="AO109" s="441"/>
      <c r="AP109" s="441"/>
      <c r="AQ109" s="441"/>
      <c r="AR109" s="441"/>
      <c r="AS109" s="441"/>
      <c r="AT109" s="441"/>
    </row>
    <row r="110" spans="1:130" ht="35.25" customHeight="1" x14ac:dyDescent="0.2">
      <c r="A110" s="8610"/>
      <c r="B110" s="8608"/>
      <c r="C110" s="2026" t="s">
        <v>66</v>
      </c>
      <c r="D110" s="1992" t="s">
        <v>589</v>
      </c>
      <c r="E110" s="1992" t="s">
        <v>590</v>
      </c>
      <c r="F110" s="1992" t="s">
        <v>591</v>
      </c>
      <c r="G110" s="1992" t="s">
        <v>46</v>
      </c>
      <c r="H110" s="2008" t="s">
        <v>2263</v>
      </c>
      <c r="I110" s="2008" t="s">
        <v>376</v>
      </c>
      <c r="J110" s="1992" t="s">
        <v>67</v>
      </c>
      <c r="K110" s="2008" t="s">
        <v>2108</v>
      </c>
      <c r="L110" s="3396" t="s">
        <v>135</v>
      </c>
      <c r="M110" s="8608"/>
      <c r="N110" s="140"/>
      <c r="O110" s="1575"/>
      <c r="P110" s="1575"/>
      <c r="Q110" s="1575"/>
      <c r="R110" s="190"/>
      <c r="S110" s="190"/>
      <c r="T110" s="190"/>
      <c r="U110" s="190"/>
      <c r="V110" s="190"/>
      <c r="W110" s="190"/>
      <c r="X110" s="190"/>
      <c r="Y110" s="190"/>
      <c r="Z110" s="450"/>
      <c r="AA110" s="441"/>
      <c r="AB110" s="441"/>
      <c r="AC110" s="441"/>
      <c r="AD110" s="441"/>
      <c r="AE110" s="441"/>
      <c r="AF110" s="441"/>
      <c r="AG110" s="441"/>
      <c r="AH110" s="441"/>
      <c r="AI110" s="441"/>
      <c r="AJ110" s="441"/>
      <c r="AK110" s="441"/>
      <c r="AL110" s="441"/>
      <c r="AM110" s="441"/>
      <c r="AN110" s="441"/>
      <c r="AO110" s="441"/>
      <c r="AP110" s="441"/>
      <c r="AQ110" s="441"/>
      <c r="AR110" s="441"/>
      <c r="AS110" s="441"/>
      <c r="AT110" s="441"/>
    </row>
    <row r="111" spans="1:130" ht="16.350000000000001" customHeight="1" x14ac:dyDescent="0.2">
      <c r="A111" s="76" t="s">
        <v>113</v>
      </c>
      <c r="B111" s="454"/>
      <c r="C111" s="2018"/>
      <c r="D111" s="2019"/>
      <c r="E111" s="2019"/>
      <c r="F111" s="2019"/>
      <c r="G111" s="2019"/>
      <c r="H111" s="2019"/>
      <c r="I111" s="2019"/>
      <c r="J111" s="2019"/>
      <c r="K111" s="2019"/>
      <c r="L111" s="2024"/>
      <c r="M111" s="455"/>
      <c r="N111" s="140"/>
      <c r="O111" s="1575"/>
      <c r="P111" s="1575"/>
      <c r="Q111" s="1575"/>
      <c r="R111" s="190"/>
      <c r="S111" s="190"/>
      <c r="T111" s="190"/>
      <c r="U111" s="190"/>
      <c r="V111" s="190"/>
      <c r="W111" s="190"/>
      <c r="X111" s="190"/>
      <c r="Y111" s="190"/>
      <c r="Z111" s="450"/>
      <c r="AA111" s="441"/>
      <c r="AB111" s="441"/>
      <c r="AC111" s="441"/>
      <c r="AD111" s="441"/>
      <c r="AE111" s="441"/>
      <c r="AF111" s="441"/>
      <c r="AG111" s="441"/>
      <c r="AH111" s="441"/>
      <c r="AI111" s="441"/>
      <c r="AJ111" s="441"/>
      <c r="AK111" s="441"/>
      <c r="AL111" s="441"/>
      <c r="AM111" s="441"/>
      <c r="AN111" s="441"/>
      <c r="AO111" s="441"/>
      <c r="AP111" s="441"/>
      <c r="AQ111" s="441"/>
      <c r="AR111" s="441"/>
      <c r="AS111" s="441"/>
      <c r="AT111" s="441"/>
    </row>
    <row r="112" spans="1:130" ht="16.350000000000001" customHeight="1" x14ac:dyDescent="0.2">
      <c r="A112" s="109" t="s">
        <v>592</v>
      </c>
      <c r="B112" s="456"/>
      <c r="C112" s="2027"/>
      <c r="D112" s="2021"/>
      <c r="E112" s="2021"/>
      <c r="F112" s="2021"/>
      <c r="G112" s="2021"/>
      <c r="H112" s="2021"/>
      <c r="I112" s="2021"/>
      <c r="J112" s="2021"/>
      <c r="K112" s="2021"/>
      <c r="L112" s="2022"/>
      <c r="M112" s="457"/>
      <c r="N112" s="199"/>
      <c r="O112" s="1575"/>
      <c r="P112" s="1575"/>
      <c r="Q112" s="1575"/>
      <c r="R112" s="190"/>
      <c r="S112" s="190"/>
      <c r="T112" s="190"/>
      <c r="U112" s="190"/>
      <c r="V112" s="190"/>
      <c r="W112" s="190"/>
      <c r="X112" s="190"/>
      <c r="Y112" s="190"/>
      <c r="Z112" s="450"/>
      <c r="AA112" s="441"/>
      <c r="AB112" s="441"/>
      <c r="AC112" s="441"/>
      <c r="AD112" s="441"/>
      <c r="AE112" s="441"/>
      <c r="AF112" s="441"/>
      <c r="AG112" s="441"/>
      <c r="AH112" s="441"/>
      <c r="AI112" s="441"/>
      <c r="AJ112" s="441"/>
      <c r="AK112" s="441"/>
      <c r="AL112" s="441"/>
      <c r="AM112" s="441"/>
      <c r="AN112" s="441"/>
      <c r="AO112" s="441"/>
      <c r="AP112" s="441"/>
      <c r="AQ112" s="441"/>
      <c r="AR112" s="441"/>
      <c r="AS112" s="441"/>
      <c r="AT112" s="441"/>
    </row>
    <row r="113" spans="1:131" ht="16.350000000000001" customHeight="1" x14ac:dyDescent="0.2">
      <c r="A113" s="81" t="s">
        <v>593</v>
      </c>
      <c r="B113" s="458"/>
      <c r="C113" s="2020"/>
      <c r="D113" s="2028"/>
      <c r="E113" s="2028"/>
      <c r="F113" s="2028"/>
      <c r="G113" s="2028"/>
      <c r="H113" s="2028"/>
      <c r="I113" s="2028"/>
      <c r="J113" s="2028"/>
      <c r="K113" s="2028"/>
      <c r="L113" s="2025"/>
      <c r="M113" s="459"/>
      <c r="N113" s="460"/>
      <c r="O113" s="1575"/>
      <c r="P113" s="1575"/>
      <c r="Q113" s="1575"/>
      <c r="R113" s="190"/>
      <c r="S113" s="190"/>
      <c r="T113" s="190"/>
      <c r="U113" s="190"/>
      <c r="V113" s="190"/>
      <c r="W113" s="190"/>
      <c r="X113" s="190"/>
      <c r="Y113" s="190"/>
      <c r="Z113" s="450"/>
      <c r="AA113" s="441"/>
      <c r="AB113" s="441"/>
      <c r="AC113" s="441"/>
      <c r="AD113" s="441"/>
      <c r="AE113" s="441"/>
      <c r="AF113" s="441"/>
      <c r="AG113" s="441"/>
      <c r="AH113" s="441"/>
      <c r="AI113" s="441"/>
      <c r="AJ113" s="441"/>
      <c r="AK113" s="441"/>
      <c r="AL113" s="441"/>
      <c r="AM113" s="441"/>
      <c r="AN113" s="441"/>
      <c r="AO113" s="441"/>
      <c r="AP113" s="441"/>
      <c r="AQ113" s="441"/>
      <c r="AR113" s="441"/>
      <c r="AS113" s="441"/>
      <c r="AT113" s="441"/>
    </row>
    <row r="114" spans="1:131" ht="22.5" customHeight="1" x14ac:dyDescent="0.2">
      <c r="A114" s="72" t="s">
        <v>3397</v>
      </c>
      <c r="B114" s="1459"/>
      <c r="C114" s="1459"/>
      <c r="D114" s="1459"/>
      <c r="E114" s="1459"/>
      <c r="F114" s="1459"/>
      <c r="G114" s="1459"/>
      <c r="H114" s="1459"/>
      <c r="I114" s="1459"/>
      <c r="J114" s="1459"/>
      <c r="K114" s="1459"/>
      <c r="L114" s="1459"/>
      <c r="M114" s="1459"/>
      <c r="N114" s="1459"/>
      <c r="O114" s="1459"/>
      <c r="P114" s="1459"/>
      <c r="Q114" s="1459"/>
      <c r="R114" s="1459"/>
      <c r="S114" s="1459"/>
      <c r="T114" s="1459"/>
      <c r="U114" s="1459"/>
      <c r="V114" s="1459"/>
      <c r="W114" s="1459"/>
      <c r="X114" s="1459"/>
      <c r="Y114" s="1459"/>
      <c r="Z114" s="1459"/>
      <c r="AA114" s="1459"/>
      <c r="AB114" s="1459"/>
      <c r="AC114" s="1459"/>
      <c r="AD114" s="1459"/>
      <c r="AE114" s="1459"/>
      <c r="AF114" s="1459"/>
      <c r="AG114" s="1459"/>
      <c r="AH114" s="1459"/>
      <c r="AI114" s="1459"/>
      <c r="AJ114" s="1459"/>
      <c r="AK114" s="1459"/>
      <c r="AL114" s="1459"/>
      <c r="AM114" s="1459"/>
      <c r="AN114" s="1459"/>
      <c r="AO114" s="2978"/>
      <c r="AP114" s="2978"/>
      <c r="AQ114" s="448"/>
      <c r="AR114" s="448"/>
      <c r="AS114" s="448"/>
      <c r="AT114" s="448"/>
    </row>
    <row r="115" spans="1:131" ht="16.350000000000001" customHeight="1" x14ac:dyDescent="0.2">
      <c r="A115" s="8621" t="s">
        <v>2792</v>
      </c>
      <c r="B115" s="8252" t="s">
        <v>1</v>
      </c>
      <c r="C115" s="8129"/>
      <c r="D115" s="8176"/>
      <c r="E115" s="8511" t="s">
        <v>55</v>
      </c>
      <c r="F115" s="8509"/>
      <c r="G115" s="8509"/>
      <c r="H115" s="8509"/>
      <c r="I115" s="8509"/>
      <c r="J115" s="8509"/>
      <c r="K115" s="8509"/>
      <c r="L115" s="8509"/>
      <c r="M115" s="8509"/>
      <c r="N115" s="8509"/>
      <c r="O115" s="8509"/>
      <c r="P115" s="8509"/>
      <c r="Q115" s="8509"/>
      <c r="R115" s="8509"/>
      <c r="S115" s="8509"/>
      <c r="T115" s="8509"/>
      <c r="U115" s="8509"/>
      <c r="V115" s="8509"/>
      <c r="W115" s="8509"/>
      <c r="X115" s="8509"/>
      <c r="Y115" s="8509"/>
      <c r="Z115" s="8509"/>
      <c r="AA115" s="8509"/>
      <c r="AB115" s="8509"/>
      <c r="AC115" s="8509"/>
      <c r="AD115" s="8509"/>
      <c r="AE115" s="8509"/>
      <c r="AF115" s="8509"/>
      <c r="AG115" s="8509"/>
      <c r="AH115" s="8509"/>
      <c r="AI115" s="8509"/>
      <c r="AJ115" s="8509"/>
      <c r="AK115" s="8509"/>
      <c r="AL115" s="8509"/>
      <c r="AM115" s="8509"/>
      <c r="AN115" s="8510"/>
      <c r="AO115" s="8151" t="s">
        <v>358</v>
      </c>
      <c r="AP115" s="8190" t="s">
        <v>112</v>
      </c>
      <c r="AQ115" s="8512" t="s">
        <v>2947</v>
      </c>
      <c r="AR115" s="8512" t="s">
        <v>2607</v>
      </c>
      <c r="AS115" s="448"/>
      <c r="AT115" s="448"/>
    </row>
    <row r="116" spans="1:131" ht="27" customHeight="1" x14ac:dyDescent="0.2">
      <c r="A116" s="8622"/>
      <c r="B116" s="8253"/>
      <c r="C116" s="8270"/>
      <c r="D116" s="8271"/>
      <c r="E116" s="8200" t="s">
        <v>3524</v>
      </c>
      <c r="F116" s="8519"/>
      <c r="G116" s="8511" t="s">
        <v>1618</v>
      </c>
      <c r="H116" s="8519"/>
      <c r="I116" s="8511" t="s">
        <v>1413</v>
      </c>
      <c r="J116" s="8519"/>
      <c r="K116" s="8511" t="s">
        <v>32</v>
      </c>
      <c r="L116" s="8519"/>
      <c r="M116" s="8511" t="s">
        <v>33</v>
      </c>
      <c r="N116" s="8519"/>
      <c r="O116" s="8511" t="s">
        <v>40</v>
      </c>
      <c r="P116" s="8519"/>
      <c r="Q116" s="8509" t="s">
        <v>82</v>
      </c>
      <c r="R116" s="8519"/>
      <c r="S116" s="8511" t="s">
        <v>83</v>
      </c>
      <c r="T116" s="8519"/>
      <c r="U116" s="8511" t="s">
        <v>398</v>
      </c>
      <c r="V116" s="8519"/>
      <c r="W116" s="8511" t="s">
        <v>124</v>
      </c>
      <c r="X116" s="8519"/>
      <c r="Y116" s="8511" t="s">
        <v>125</v>
      </c>
      <c r="Z116" s="8519"/>
      <c r="AA116" s="8511" t="s">
        <v>126</v>
      </c>
      <c r="AB116" s="8519"/>
      <c r="AC116" s="8511" t="s">
        <v>127</v>
      </c>
      <c r="AD116" s="8519"/>
      <c r="AE116" s="8511" t="s">
        <v>128</v>
      </c>
      <c r="AF116" s="8519"/>
      <c r="AG116" s="8511" t="s">
        <v>129</v>
      </c>
      <c r="AH116" s="8519"/>
      <c r="AI116" s="8511" t="s">
        <v>130</v>
      </c>
      <c r="AJ116" s="8519"/>
      <c r="AK116" s="8511" t="s">
        <v>131</v>
      </c>
      <c r="AL116" s="8519"/>
      <c r="AM116" s="8509" t="s">
        <v>1916</v>
      </c>
      <c r="AN116" s="8510"/>
      <c r="AO116" s="8151"/>
      <c r="AP116" s="8190"/>
      <c r="AQ116" s="8192"/>
      <c r="AR116" s="8192"/>
      <c r="AS116" s="448"/>
      <c r="AT116" s="448"/>
    </row>
    <row r="117" spans="1:131" ht="24" customHeight="1" x14ac:dyDescent="0.2">
      <c r="A117" s="8623"/>
      <c r="B117" s="2979" t="s">
        <v>42</v>
      </c>
      <c r="C117" s="2980" t="s">
        <v>17</v>
      </c>
      <c r="D117" s="2143" t="s">
        <v>18</v>
      </c>
      <c r="E117" s="2981" t="s">
        <v>17</v>
      </c>
      <c r="F117" s="2982" t="s">
        <v>18</v>
      </c>
      <c r="G117" s="2981" t="s">
        <v>17</v>
      </c>
      <c r="H117" s="2982" t="s">
        <v>18</v>
      </c>
      <c r="I117" s="2981" t="s">
        <v>17</v>
      </c>
      <c r="J117" s="2982" t="s">
        <v>18</v>
      </c>
      <c r="K117" s="2981" t="s">
        <v>17</v>
      </c>
      <c r="L117" s="2982" t="s">
        <v>18</v>
      </c>
      <c r="M117" s="2981" t="s">
        <v>17</v>
      </c>
      <c r="N117" s="2982" t="s">
        <v>18</v>
      </c>
      <c r="O117" s="2981" t="s">
        <v>17</v>
      </c>
      <c r="P117" s="2982" t="s">
        <v>18</v>
      </c>
      <c r="Q117" s="2981" t="s">
        <v>17</v>
      </c>
      <c r="R117" s="2982" t="s">
        <v>18</v>
      </c>
      <c r="S117" s="2981" t="s">
        <v>17</v>
      </c>
      <c r="T117" s="2982" t="s">
        <v>18</v>
      </c>
      <c r="U117" s="2981" t="s">
        <v>17</v>
      </c>
      <c r="V117" s="2982" t="s">
        <v>18</v>
      </c>
      <c r="W117" s="2981" t="s">
        <v>17</v>
      </c>
      <c r="X117" s="2982" t="s">
        <v>18</v>
      </c>
      <c r="Y117" s="2981" t="s">
        <v>17</v>
      </c>
      <c r="Z117" s="2982" t="s">
        <v>18</v>
      </c>
      <c r="AA117" s="2981" t="s">
        <v>17</v>
      </c>
      <c r="AB117" s="2982" t="s">
        <v>18</v>
      </c>
      <c r="AC117" s="2981" t="s">
        <v>17</v>
      </c>
      <c r="AD117" s="2982" t="s">
        <v>18</v>
      </c>
      <c r="AE117" s="2981" t="s">
        <v>17</v>
      </c>
      <c r="AF117" s="2982" t="s">
        <v>18</v>
      </c>
      <c r="AG117" s="2981" t="s">
        <v>17</v>
      </c>
      <c r="AH117" s="2982" t="s">
        <v>18</v>
      </c>
      <c r="AI117" s="2981" t="s">
        <v>17</v>
      </c>
      <c r="AJ117" s="2982" t="s">
        <v>18</v>
      </c>
      <c r="AK117" s="2981" t="s">
        <v>17</v>
      </c>
      <c r="AL117" s="2982" t="s">
        <v>18</v>
      </c>
      <c r="AM117" s="2981" t="s">
        <v>17</v>
      </c>
      <c r="AN117" s="2983" t="s">
        <v>18</v>
      </c>
      <c r="AO117" s="8444"/>
      <c r="AP117" s="8518"/>
      <c r="AQ117" s="8185"/>
      <c r="AR117" s="8185"/>
      <c r="AS117" s="448"/>
      <c r="AT117" s="448"/>
    </row>
    <row r="118" spans="1:131" ht="24" customHeight="1" x14ac:dyDescent="0.2">
      <c r="A118" s="4037" t="s">
        <v>2800</v>
      </c>
      <c r="B118" s="2984">
        <f>SUM(C118:D118)</f>
        <v>0</v>
      </c>
      <c r="C118" s="2985">
        <f>SUM(E118+G118+I118+K118+M118+O118+Q118+S118+U118+W118+Y118+AA118+AC118+AE118+AG118+AI118+AK118+AM118)</f>
        <v>0</v>
      </c>
      <c r="D118" s="2986">
        <f t="shared" ref="C118:D120" si="9">SUM(F118+H118+J118+L118+N118+P118+R118+T118+V118+X118+Z118+AB118+AD118+AF118+AH118+AJ118+AL118+AN118)</f>
        <v>0</v>
      </c>
      <c r="E118" s="2518"/>
      <c r="F118" s="2877"/>
      <c r="G118" s="2518"/>
      <c r="H118" s="2506"/>
      <c r="I118" s="2518"/>
      <c r="J118" s="2506"/>
      <c r="K118" s="2518"/>
      <c r="L118" s="2506"/>
      <c r="M118" s="2518"/>
      <c r="N118" s="2506"/>
      <c r="O118" s="2518"/>
      <c r="P118" s="2506"/>
      <c r="Q118" s="2494"/>
      <c r="R118" s="2506"/>
      <c r="S118" s="2518"/>
      <c r="T118" s="2506"/>
      <c r="U118" s="2518"/>
      <c r="V118" s="2506"/>
      <c r="W118" s="2518"/>
      <c r="X118" s="2506"/>
      <c r="Y118" s="2518"/>
      <c r="Z118" s="2506"/>
      <c r="AA118" s="2518"/>
      <c r="AB118" s="2506"/>
      <c r="AC118" s="2518"/>
      <c r="AD118" s="2506"/>
      <c r="AE118" s="2518"/>
      <c r="AF118" s="2506"/>
      <c r="AG118" s="2518"/>
      <c r="AH118" s="2506"/>
      <c r="AI118" s="2518"/>
      <c r="AJ118" s="2506"/>
      <c r="AK118" s="2518"/>
      <c r="AL118" s="2506"/>
      <c r="AM118" s="234"/>
      <c r="AN118" s="2507"/>
      <c r="AO118" s="2987"/>
      <c r="AP118" s="2987"/>
      <c r="AQ118" s="395"/>
      <c r="AR118" s="395"/>
      <c r="AS118" s="7205"/>
      <c r="AT118" s="448"/>
      <c r="CH118" s="1451">
        <v>0</v>
      </c>
      <c r="CI118" s="1451">
        <v>0</v>
      </c>
      <c r="DA118" s="3308">
        <v>0</v>
      </c>
      <c r="DB118" s="3308">
        <v>0</v>
      </c>
      <c r="DC118" s="3308">
        <v>0</v>
      </c>
      <c r="DD118" s="3308">
        <v>0</v>
      </c>
      <c r="DE118" s="3308">
        <v>0</v>
      </c>
      <c r="DF118" s="3308">
        <v>0</v>
      </c>
      <c r="DG118" s="3308">
        <v>0</v>
      </c>
    </row>
    <row r="119" spans="1:131" ht="16.350000000000001" customHeight="1" x14ac:dyDescent="0.2">
      <c r="A119" s="4038" t="s">
        <v>3399</v>
      </c>
      <c r="B119" s="2984">
        <f>SUM(C119:D119)</f>
        <v>0</v>
      </c>
      <c r="C119" s="2985">
        <f t="shared" si="9"/>
        <v>0</v>
      </c>
      <c r="D119" s="2986">
        <f t="shared" si="9"/>
        <v>0</v>
      </c>
      <c r="E119" s="2885"/>
      <c r="F119" s="2889"/>
      <c r="G119" s="2885"/>
      <c r="H119" s="2887"/>
      <c r="I119" s="2885"/>
      <c r="J119" s="2887"/>
      <c r="K119" s="2885"/>
      <c r="L119" s="2887"/>
      <c r="M119" s="2885"/>
      <c r="N119" s="2887"/>
      <c r="O119" s="2885"/>
      <c r="P119" s="2887"/>
      <c r="Q119" s="2915"/>
      <c r="R119" s="2887"/>
      <c r="S119" s="2885"/>
      <c r="T119" s="2887"/>
      <c r="U119" s="2885"/>
      <c r="V119" s="2887"/>
      <c r="W119" s="2885"/>
      <c r="X119" s="2887"/>
      <c r="Y119" s="2885"/>
      <c r="Z119" s="2887"/>
      <c r="AA119" s="2885"/>
      <c r="AB119" s="2887"/>
      <c r="AC119" s="2885"/>
      <c r="AD119" s="2887"/>
      <c r="AE119" s="2885"/>
      <c r="AF119" s="2887"/>
      <c r="AG119" s="2885"/>
      <c r="AH119" s="2887"/>
      <c r="AI119" s="2885"/>
      <c r="AJ119" s="2887"/>
      <c r="AK119" s="2885"/>
      <c r="AL119" s="2887"/>
      <c r="AM119" s="2886"/>
      <c r="AN119" s="2952"/>
      <c r="AO119" s="2988"/>
      <c r="AP119" s="2988"/>
      <c r="AQ119" s="186"/>
      <c r="AR119" s="186"/>
      <c r="AS119" s="7205"/>
      <c r="AT119" s="448"/>
      <c r="CG119" s="1451">
        <v>0</v>
      </c>
      <c r="CH119" s="1451">
        <v>0</v>
      </c>
      <c r="CI119" s="1451">
        <v>0</v>
      </c>
    </row>
    <row r="120" spans="1:131" ht="16.350000000000001" customHeight="1" x14ac:dyDescent="0.2">
      <c r="A120" s="2989" t="s">
        <v>2793</v>
      </c>
      <c r="B120" s="2990">
        <f>SUM(C120:D120)</f>
        <v>0</v>
      </c>
      <c r="C120" s="2798">
        <f t="shared" si="9"/>
        <v>0</v>
      </c>
      <c r="D120" s="2991">
        <f t="shared" si="9"/>
        <v>0</v>
      </c>
      <c r="E120" s="2888"/>
      <c r="F120" s="2535"/>
      <c r="G120" s="2888"/>
      <c r="H120" s="2884"/>
      <c r="I120" s="2888"/>
      <c r="J120" s="2884"/>
      <c r="K120" s="2888"/>
      <c r="L120" s="2884"/>
      <c r="M120" s="2888"/>
      <c r="N120" s="2884"/>
      <c r="O120" s="2888"/>
      <c r="P120" s="2884"/>
      <c r="Q120" s="2533"/>
      <c r="R120" s="2884"/>
      <c r="S120" s="2888"/>
      <c r="T120" s="2884"/>
      <c r="U120" s="2888"/>
      <c r="V120" s="2884"/>
      <c r="W120" s="2888"/>
      <c r="X120" s="2884"/>
      <c r="Y120" s="2888"/>
      <c r="Z120" s="2884"/>
      <c r="AA120" s="2888"/>
      <c r="AB120" s="2884"/>
      <c r="AC120" s="2888"/>
      <c r="AD120" s="2884"/>
      <c r="AE120" s="2888"/>
      <c r="AF120" s="2884"/>
      <c r="AG120" s="2888"/>
      <c r="AH120" s="2884"/>
      <c r="AI120" s="2888"/>
      <c r="AJ120" s="2884"/>
      <c r="AK120" s="2888"/>
      <c r="AL120" s="2884"/>
      <c r="AM120" s="2536"/>
      <c r="AN120" s="2893"/>
      <c r="AO120" s="2538"/>
      <c r="AP120" s="2538"/>
      <c r="AQ120" s="4036"/>
      <c r="AR120" s="2538"/>
      <c r="AS120" s="7205"/>
      <c r="AT120" s="448"/>
    </row>
    <row r="121" spans="1:131" ht="21" customHeight="1" x14ac:dyDescent="0.2">
      <c r="A121" s="133" t="s">
        <v>3398</v>
      </c>
      <c r="B121" s="171"/>
      <c r="C121" s="171"/>
      <c r="D121" s="140"/>
      <c r="E121" s="171"/>
      <c r="F121" s="140"/>
      <c r="G121" s="140"/>
      <c r="H121" s="140"/>
      <c r="I121" s="140"/>
      <c r="J121" s="140"/>
      <c r="K121" s="140"/>
      <c r="L121" s="105"/>
      <c r="M121" s="105"/>
      <c r="N121" s="105"/>
      <c r="O121" s="105"/>
      <c r="AQ121" s="3302"/>
      <c r="AR121" s="3302"/>
    </row>
    <row r="122" spans="1:131" ht="15" customHeight="1" x14ac:dyDescent="0.2">
      <c r="A122" s="8619" t="s">
        <v>2107</v>
      </c>
      <c r="B122" s="8615"/>
      <c r="C122" s="8617" t="s">
        <v>24</v>
      </c>
      <c r="D122" s="8612" t="s">
        <v>2</v>
      </c>
      <c r="E122" s="8613"/>
      <c r="F122" s="8613"/>
      <c r="G122" s="8613"/>
      <c r="H122" s="8614"/>
      <c r="I122" s="8602" t="s">
        <v>78</v>
      </c>
      <c r="J122" s="8169" t="s">
        <v>360</v>
      </c>
      <c r="K122" s="8615" t="s">
        <v>359</v>
      </c>
      <c r="AR122" s="3302"/>
      <c r="AS122" s="3302"/>
      <c r="BV122" s="165"/>
      <c r="CA122" s="1460"/>
      <c r="DA122" s="1451"/>
      <c r="EA122" s="3311"/>
    </row>
    <row r="123" spans="1:131" ht="31.5" x14ac:dyDescent="0.2">
      <c r="A123" s="8620"/>
      <c r="B123" s="8616"/>
      <c r="C123" s="8618"/>
      <c r="D123" s="2746" t="s">
        <v>329</v>
      </c>
      <c r="E123" s="2747" t="s">
        <v>328</v>
      </c>
      <c r="F123" s="2747" t="s">
        <v>327</v>
      </c>
      <c r="G123" s="2747" t="s">
        <v>330</v>
      </c>
      <c r="H123" s="3370" t="s">
        <v>594</v>
      </c>
      <c r="I123" s="8603"/>
      <c r="J123" s="8221"/>
      <c r="K123" s="8616"/>
      <c r="AR123" s="3302"/>
      <c r="AS123" s="3302"/>
      <c r="BV123" s="165"/>
      <c r="CA123" s="1460"/>
      <c r="DA123" s="1451"/>
      <c r="EA123" s="3311"/>
    </row>
    <row r="124" spans="1:131" ht="28.15" customHeight="1" x14ac:dyDescent="0.2">
      <c r="A124" s="8611" t="s">
        <v>595</v>
      </c>
      <c r="B124" s="4028" t="s">
        <v>2655</v>
      </c>
      <c r="C124" s="2736">
        <f>SUM(D124:H124)</f>
        <v>0</v>
      </c>
      <c r="D124" s="2748"/>
      <c r="E124" s="2749"/>
      <c r="F124" s="2749"/>
      <c r="G124" s="2749"/>
      <c r="H124" s="5414"/>
      <c r="I124" s="5410"/>
      <c r="J124" s="2759"/>
      <c r="K124" s="2737"/>
      <c r="L124" s="1452"/>
      <c r="AR124" s="3302"/>
      <c r="AS124" s="3302"/>
      <c r="BV124" s="165"/>
      <c r="CA124" s="1460"/>
      <c r="DA124" s="1451"/>
      <c r="DC124" s="3308">
        <v>0</v>
      </c>
      <c r="DD124" s="3308">
        <v>0</v>
      </c>
      <c r="DE124" s="3308">
        <v>0</v>
      </c>
      <c r="DF124" s="3308">
        <v>0</v>
      </c>
      <c r="EA124" s="3311"/>
    </row>
    <row r="125" spans="1:131" ht="26.45" customHeight="1" x14ac:dyDescent="0.2">
      <c r="A125" s="8190"/>
      <c r="B125" s="4029" t="s">
        <v>2651</v>
      </c>
      <c r="C125" s="2738">
        <f>SUM(D125:H125)</f>
        <v>0</v>
      </c>
      <c r="D125" s="2750"/>
      <c r="E125" s="2751"/>
      <c r="F125" s="2751"/>
      <c r="G125" s="2751"/>
      <c r="H125" s="5415"/>
      <c r="I125" s="5410"/>
      <c r="J125" s="2760"/>
      <c r="K125" s="2739"/>
      <c r="L125" s="1452"/>
      <c r="AR125" s="3302"/>
      <c r="AS125" s="3302"/>
      <c r="BV125" s="165"/>
      <c r="CA125" s="1460"/>
      <c r="DA125" s="1451"/>
      <c r="DD125" s="3308">
        <v>0</v>
      </c>
      <c r="DF125" s="3308">
        <v>0</v>
      </c>
      <c r="EA125" s="3311"/>
    </row>
    <row r="126" spans="1:131" ht="29.45" customHeight="1" x14ac:dyDescent="0.2">
      <c r="A126" s="8522"/>
      <c r="B126" s="4030" t="s">
        <v>2652</v>
      </c>
      <c r="C126" s="2525">
        <f>SUM(D126:H126)</f>
        <v>0</v>
      </c>
      <c r="D126" s="2752"/>
      <c r="E126" s="2753"/>
      <c r="F126" s="2753"/>
      <c r="G126" s="2753"/>
      <c r="H126" s="5416"/>
      <c r="I126" s="5410"/>
      <c r="J126" s="2761"/>
      <c r="K126" s="2740"/>
      <c r="L126" s="1452"/>
      <c r="AR126" s="3302"/>
      <c r="AS126" s="3302"/>
      <c r="BV126" s="165"/>
      <c r="CA126" s="1460"/>
      <c r="DA126" s="1451"/>
      <c r="DD126" s="3308">
        <v>0</v>
      </c>
      <c r="DF126" s="3308">
        <v>0</v>
      </c>
      <c r="EA126" s="3311"/>
    </row>
    <row r="127" spans="1:131" ht="24.6" customHeight="1" x14ac:dyDescent="0.2">
      <c r="A127" s="8611" t="s">
        <v>2656</v>
      </c>
      <c r="B127" s="4030" t="s">
        <v>2653</v>
      </c>
      <c r="C127" s="2736">
        <f>SUM(I127)</f>
        <v>0</v>
      </c>
      <c r="D127" s="5408"/>
      <c r="E127" s="5409"/>
      <c r="F127" s="5409"/>
      <c r="G127" s="5409"/>
      <c r="H127" s="5417"/>
      <c r="I127" s="5411"/>
      <c r="J127" s="2762"/>
      <c r="K127" s="2744"/>
      <c r="L127" s="1452"/>
      <c r="BV127" s="165"/>
      <c r="CA127" s="1460"/>
      <c r="DA127" s="1451"/>
      <c r="DB127" s="3308">
        <v>0</v>
      </c>
      <c r="DD127" s="3308">
        <v>0</v>
      </c>
      <c r="DF127" s="3308">
        <v>0</v>
      </c>
      <c r="EA127" s="3311"/>
    </row>
    <row r="128" spans="1:131" ht="24.6" customHeight="1" x14ac:dyDescent="0.2">
      <c r="A128" s="8522"/>
      <c r="B128" s="4030" t="s">
        <v>2654</v>
      </c>
      <c r="C128" s="2745">
        <f>SUM(D128:H128)</f>
        <v>0</v>
      </c>
      <c r="D128" s="5406"/>
      <c r="E128" s="5407"/>
      <c r="F128" s="5407"/>
      <c r="G128" s="5407"/>
      <c r="H128" s="5418"/>
      <c r="I128" s="5419"/>
      <c r="J128" s="2761"/>
      <c r="K128" s="2740"/>
      <c r="L128" s="1452"/>
      <c r="BV128" s="165"/>
      <c r="CA128" s="1460"/>
      <c r="DA128" s="1451"/>
      <c r="DD128" s="3308">
        <v>0</v>
      </c>
      <c r="DF128" s="3308">
        <v>0</v>
      </c>
      <c r="EA128" s="3311"/>
    </row>
    <row r="129" spans="1:131" ht="18.600000000000001" customHeight="1" x14ac:dyDescent="0.2">
      <c r="A129" s="8190" t="s">
        <v>596</v>
      </c>
      <c r="B129" s="4031" t="s">
        <v>2583</v>
      </c>
      <c r="C129" s="2741">
        <f>SUM(D129:I129)</f>
        <v>0</v>
      </c>
      <c r="D129" s="2742"/>
      <c r="E129" s="2756"/>
      <c r="F129" s="2756"/>
      <c r="G129" s="2756"/>
      <c r="H129" s="5420"/>
      <c r="I129" s="5405"/>
      <c r="J129" s="2763"/>
      <c r="K129" s="2743"/>
      <c r="L129" s="1452"/>
      <c r="BV129" s="165"/>
      <c r="CA129" s="1460"/>
      <c r="DA129" s="1451"/>
      <c r="DB129" s="3308">
        <v>0</v>
      </c>
      <c r="DD129" s="3308">
        <v>0</v>
      </c>
      <c r="DF129" s="3308">
        <v>0</v>
      </c>
      <c r="EA129" s="3311"/>
    </row>
    <row r="130" spans="1:131" ht="18.600000000000001" customHeight="1" x14ac:dyDescent="0.2">
      <c r="A130" s="8125"/>
      <c r="B130" s="98" t="s">
        <v>597</v>
      </c>
      <c r="C130" s="2741">
        <f>SUM(D130:I130)</f>
        <v>0</v>
      </c>
      <c r="D130" s="2742"/>
      <c r="E130" s="2756"/>
      <c r="F130" s="2756"/>
      <c r="G130" s="2756"/>
      <c r="H130" s="5421"/>
      <c r="I130" s="5405"/>
      <c r="J130" s="2763"/>
      <c r="K130" s="1579"/>
      <c r="L130" s="1452"/>
      <c r="BV130" s="165"/>
      <c r="CA130" s="1460"/>
      <c r="DA130" s="1451"/>
      <c r="DB130" s="3308">
        <v>0</v>
      </c>
      <c r="DD130" s="3308">
        <v>0</v>
      </c>
      <c r="DF130" s="3308">
        <v>0</v>
      </c>
      <c r="EA130" s="3311"/>
    </row>
    <row r="131" spans="1:131" ht="16.899999999999999" customHeight="1" x14ac:dyDescent="0.2">
      <c r="A131" s="8125"/>
      <c r="B131" s="135" t="s">
        <v>2585</v>
      </c>
      <c r="C131" s="2741">
        <f>SUM(D131:I131)</f>
        <v>0</v>
      </c>
      <c r="D131" s="2757"/>
      <c r="E131" s="2758"/>
      <c r="F131" s="2758"/>
      <c r="G131" s="2758"/>
      <c r="H131" s="5422"/>
      <c r="I131" s="5412"/>
      <c r="J131" s="2760"/>
      <c r="K131" s="510"/>
      <c r="L131" s="1452"/>
      <c r="BV131" s="165"/>
      <c r="CA131" s="1460"/>
      <c r="DA131" s="1451"/>
      <c r="DB131" s="3308">
        <v>0</v>
      </c>
      <c r="DD131" s="3308">
        <v>0</v>
      </c>
      <c r="DF131" s="3308">
        <v>0</v>
      </c>
      <c r="EA131" s="3311"/>
    </row>
    <row r="132" spans="1:131" ht="17.45" customHeight="1" x14ac:dyDescent="0.2">
      <c r="A132" s="8562"/>
      <c r="B132" s="527" t="s">
        <v>26</v>
      </c>
      <c r="C132" s="3325">
        <f>SUM(D132:I132)</f>
        <v>0</v>
      </c>
      <c r="D132" s="2754"/>
      <c r="E132" s="2755"/>
      <c r="F132" s="2755"/>
      <c r="G132" s="2755"/>
      <c r="H132" s="5423"/>
      <c r="I132" s="5413"/>
      <c r="J132" s="2761"/>
      <c r="K132" s="509"/>
      <c r="L132" s="1452"/>
      <c r="BV132" s="165"/>
      <c r="CA132" s="1460"/>
      <c r="DA132" s="1451"/>
      <c r="DB132" s="3308">
        <v>0</v>
      </c>
      <c r="DD132" s="3308">
        <v>0</v>
      </c>
      <c r="DF132" s="3308">
        <v>0</v>
      </c>
      <c r="EA132" s="3311"/>
    </row>
    <row r="133" spans="1:131" ht="17.45" customHeight="1" x14ac:dyDescent="0.25">
      <c r="A133" s="4878" t="s">
        <v>3765</v>
      </c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 s="4651"/>
      <c r="AO133" s="4651"/>
    </row>
    <row r="134" spans="1:131" ht="18.600000000000001" customHeight="1" x14ac:dyDescent="0.2">
      <c r="A134" s="8646" t="s">
        <v>0</v>
      </c>
      <c r="B134" s="8646" t="s">
        <v>2262</v>
      </c>
      <c r="C134" s="8624" t="s">
        <v>42</v>
      </c>
      <c r="D134" s="8624" t="s">
        <v>17</v>
      </c>
      <c r="E134" s="8627" t="s">
        <v>18</v>
      </c>
      <c r="F134" s="8649" t="s">
        <v>538</v>
      </c>
      <c r="G134" s="8650"/>
      <c r="H134" s="8650"/>
      <c r="I134" s="8650"/>
      <c r="J134" s="8650"/>
      <c r="K134" s="8650"/>
      <c r="L134" s="8650"/>
      <c r="M134" s="8650"/>
      <c r="N134" s="8650"/>
      <c r="O134" s="8650"/>
      <c r="P134" s="8650"/>
      <c r="Q134" s="8650"/>
      <c r="R134" s="8650"/>
      <c r="S134" s="8650"/>
      <c r="T134" s="8650"/>
      <c r="U134" s="8650"/>
      <c r="V134" s="8650"/>
      <c r="W134" s="8650"/>
      <c r="X134" s="8650"/>
      <c r="Y134" s="8650"/>
      <c r="Z134" s="8650"/>
      <c r="AA134" s="8650"/>
      <c r="AB134" s="8650"/>
      <c r="AC134" s="8650"/>
      <c r="AD134" s="8650"/>
      <c r="AE134" s="8650"/>
      <c r="AF134" s="8650"/>
      <c r="AG134" s="8650"/>
      <c r="AH134" s="8650"/>
      <c r="AI134" s="8650"/>
      <c r="AJ134" s="8650"/>
      <c r="AK134" s="8650"/>
      <c r="AL134" s="8650"/>
      <c r="AM134" s="8651"/>
      <c r="AN134" s="8624" t="s">
        <v>360</v>
      </c>
      <c r="AO134" s="8627" t="s">
        <v>359</v>
      </c>
    </row>
    <row r="135" spans="1:131" x14ac:dyDescent="0.2">
      <c r="A135" s="8647"/>
      <c r="B135" s="8647"/>
      <c r="C135" s="8625"/>
      <c r="D135" s="8625"/>
      <c r="E135" s="8628"/>
      <c r="F135" s="8630" t="s">
        <v>397</v>
      </c>
      <c r="G135" s="8631"/>
      <c r="H135" s="8630" t="s">
        <v>54</v>
      </c>
      <c r="I135" s="8631"/>
      <c r="J135" s="8630" t="s">
        <v>79</v>
      </c>
      <c r="K135" s="8631"/>
      <c r="L135" s="8630" t="s">
        <v>80</v>
      </c>
      <c r="M135" s="8631"/>
      <c r="N135" s="8630" t="s">
        <v>81</v>
      </c>
      <c r="O135" s="8631"/>
      <c r="P135" s="8632" t="s">
        <v>115</v>
      </c>
      <c r="Q135" s="8631"/>
      <c r="R135" s="8630" t="s">
        <v>116</v>
      </c>
      <c r="S135" s="8631"/>
      <c r="T135" s="8630" t="s">
        <v>117</v>
      </c>
      <c r="U135" s="8631"/>
      <c r="V135" s="8630" t="s">
        <v>118</v>
      </c>
      <c r="W135" s="8631"/>
      <c r="X135" s="8630" t="s">
        <v>119</v>
      </c>
      <c r="Y135" s="8631"/>
      <c r="Z135" s="8630" t="s">
        <v>120</v>
      </c>
      <c r="AA135" s="8631"/>
      <c r="AB135" s="8630" t="s">
        <v>1412</v>
      </c>
      <c r="AC135" s="8631"/>
      <c r="AD135" s="8630" t="s">
        <v>1404</v>
      </c>
      <c r="AE135" s="8631"/>
      <c r="AF135" s="8630" t="s">
        <v>1395</v>
      </c>
      <c r="AG135" s="8631"/>
      <c r="AH135" s="8630" t="s">
        <v>1394</v>
      </c>
      <c r="AI135" s="8631"/>
      <c r="AJ135" s="8630" t="s">
        <v>1393</v>
      </c>
      <c r="AK135" s="8631"/>
      <c r="AL135" s="8630" t="s">
        <v>1403</v>
      </c>
      <c r="AM135" s="8633"/>
      <c r="AN135" s="8625"/>
      <c r="AO135" s="8628"/>
    </row>
    <row r="136" spans="1:131" x14ac:dyDescent="0.2">
      <c r="A136" s="8648"/>
      <c r="B136" s="8648"/>
      <c r="C136" s="8626"/>
      <c r="D136" s="8626"/>
      <c r="E136" s="8629"/>
      <c r="F136" s="5318" t="s">
        <v>706</v>
      </c>
      <c r="G136" s="5319" t="s">
        <v>18</v>
      </c>
      <c r="H136" s="5318" t="s">
        <v>706</v>
      </c>
      <c r="I136" s="5319" t="s">
        <v>18</v>
      </c>
      <c r="J136" s="5318" t="s">
        <v>706</v>
      </c>
      <c r="K136" s="5319" t="s">
        <v>18</v>
      </c>
      <c r="L136" s="5318" t="s">
        <v>706</v>
      </c>
      <c r="M136" s="5319" t="s">
        <v>18</v>
      </c>
      <c r="N136" s="5318" t="s">
        <v>706</v>
      </c>
      <c r="O136" s="5319" t="s">
        <v>18</v>
      </c>
      <c r="P136" s="5318" t="s">
        <v>706</v>
      </c>
      <c r="Q136" s="5319" t="s">
        <v>18</v>
      </c>
      <c r="R136" s="5318" t="s">
        <v>706</v>
      </c>
      <c r="S136" s="5319" t="s">
        <v>18</v>
      </c>
      <c r="T136" s="5318" t="s">
        <v>706</v>
      </c>
      <c r="U136" s="5319" t="s">
        <v>18</v>
      </c>
      <c r="V136" s="5318" t="s">
        <v>706</v>
      </c>
      <c r="W136" s="5319" t="s">
        <v>18</v>
      </c>
      <c r="X136" s="5318" t="s">
        <v>706</v>
      </c>
      <c r="Y136" s="5319" t="s">
        <v>18</v>
      </c>
      <c r="Z136" s="5318" t="s">
        <v>706</v>
      </c>
      <c r="AA136" s="5319" t="s">
        <v>18</v>
      </c>
      <c r="AB136" s="5318" t="s">
        <v>706</v>
      </c>
      <c r="AC136" s="5319" t="s">
        <v>18</v>
      </c>
      <c r="AD136" s="5318" t="s">
        <v>706</v>
      </c>
      <c r="AE136" s="5319" t="s">
        <v>18</v>
      </c>
      <c r="AF136" s="5318" t="s">
        <v>706</v>
      </c>
      <c r="AG136" s="5319" t="s">
        <v>18</v>
      </c>
      <c r="AH136" s="5318" t="s">
        <v>706</v>
      </c>
      <c r="AI136" s="5319" t="s">
        <v>18</v>
      </c>
      <c r="AJ136" s="5318" t="s">
        <v>706</v>
      </c>
      <c r="AK136" s="5319" t="s">
        <v>18</v>
      </c>
      <c r="AL136" s="5318" t="s">
        <v>706</v>
      </c>
      <c r="AM136" s="5320" t="s">
        <v>18</v>
      </c>
      <c r="AN136" s="8626"/>
      <c r="AO136" s="8629"/>
    </row>
    <row r="137" spans="1:131" x14ac:dyDescent="0.2">
      <c r="A137" s="8634" t="s">
        <v>2583</v>
      </c>
      <c r="B137" s="7339" t="s">
        <v>3924</v>
      </c>
      <c r="C137" s="5322">
        <f>SUM(D137:E137)</f>
        <v>0</v>
      </c>
      <c r="D137" s="5323">
        <f>+F137+H137+J137+L137+N137+P137+R137+T137+V137+X137+Z137+AB137+AD137+AF137+AH137+AJ137+AL137</f>
        <v>0</v>
      </c>
      <c r="E137" s="5324">
        <f>+G137+I137+K137+M137+O137+Q137+S137+U137+W137+Y137+AA137+AC137+AE137+AG137+AI137+AK137+AM137</f>
        <v>0</v>
      </c>
      <c r="F137" s="5325"/>
      <c r="G137" s="5326"/>
      <c r="H137" s="5325"/>
      <c r="I137" s="5326"/>
      <c r="J137" s="5325"/>
      <c r="K137" s="5326"/>
      <c r="L137" s="5325"/>
      <c r="M137" s="5326"/>
      <c r="N137" s="5325"/>
      <c r="O137" s="5326"/>
      <c r="P137" s="5325"/>
      <c r="Q137" s="5326"/>
      <c r="R137" s="5325"/>
      <c r="S137" s="5326"/>
      <c r="T137" s="5325"/>
      <c r="U137" s="5326"/>
      <c r="V137" s="5325"/>
      <c r="W137" s="5326"/>
      <c r="X137" s="5325"/>
      <c r="Y137" s="5326"/>
      <c r="Z137" s="5325"/>
      <c r="AA137" s="5326"/>
      <c r="AB137" s="5325"/>
      <c r="AC137" s="5326"/>
      <c r="AD137" s="5325"/>
      <c r="AE137" s="5326"/>
      <c r="AF137" s="5325"/>
      <c r="AG137" s="5326"/>
      <c r="AH137" s="5325"/>
      <c r="AI137" s="5326"/>
      <c r="AJ137" s="5325"/>
      <c r="AK137" s="5326"/>
      <c r="AL137" s="5325"/>
      <c r="AM137" s="5327"/>
      <c r="AN137" s="5328"/>
      <c r="AO137" s="5326"/>
      <c r="AP137" s="1452"/>
      <c r="DB137" s="3308">
        <v>0</v>
      </c>
      <c r="DD137" s="3308">
        <v>0</v>
      </c>
    </row>
    <row r="138" spans="1:131" x14ac:dyDescent="0.2">
      <c r="A138" s="8635"/>
      <c r="B138" s="3314" t="s">
        <v>3925</v>
      </c>
      <c r="C138" s="5330">
        <f>SUM(D138:E138)</f>
        <v>0</v>
      </c>
      <c r="D138" s="5331">
        <f t="shared" ref="D138:E150" si="10">+F138+H138+J138+L138+N138+P138+R138+T138+V138+X138+Z138+AB138+AD138+AF138+AH138+AJ138+AL138</f>
        <v>0</v>
      </c>
      <c r="E138" s="5332">
        <f t="shared" si="10"/>
        <v>0</v>
      </c>
      <c r="F138" s="5333"/>
      <c r="G138" s="4351"/>
      <c r="H138" s="5333"/>
      <c r="I138" s="4351"/>
      <c r="J138" s="5333"/>
      <c r="K138" s="4351"/>
      <c r="L138" s="5333"/>
      <c r="M138" s="4351"/>
      <c r="N138" s="5333"/>
      <c r="O138" s="4351"/>
      <c r="P138" s="5333"/>
      <c r="Q138" s="4351"/>
      <c r="R138" s="5333"/>
      <c r="S138" s="4351"/>
      <c r="T138" s="5333"/>
      <c r="U138" s="4351"/>
      <c r="V138" s="5333"/>
      <c r="W138" s="4351"/>
      <c r="X138" s="5333"/>
      <c r="Y138" s="4351"/>
      <c r="Z138" s="5333"/>
      <c r="AA138" s="4351"/>
      <c r="AB138" s="5333"/>
      <c r="AC138" s="4351"/>
      <c r="AD138" s="5333"/>
      <c r="AE138" s="4351"/>
      <c r="AF138" s="5333"/>
      <c r="AG138" s="4351"/>
      <c r="AH138" s="5333"/>
      <c r="AI138" s="4351"/>
      <c r="AJ138" s="5333"/>
      <c r="AK138" s="4351"/>
      <c r="AL138" s="5333"/>
      <c r="AM138" s="5334"/>
      <c r="AN138" s="4349"/>
      <c r="AO138" s="4351"/>
      <c r="AP138" s="1452"/>
    </row>
    <row r="139" spans="1:131" x14ac:dyDescent="0.2">
      <c r="A139" s="8635"/>
      <c r="B139" s="3314" t="s">
        <v>3926</v>
      </c>
      <c r="C139" s="5330">
        <f t="shared" ref="C139:C150" si="11">SUM(D139:E139)</f>
        <v>0</v>
      </c>
      <c r="D139" s="5331">
        <f t="shared" si="10"/>
        <v>0</v>
      </c>
      <c r="E139" s="5332">
        <f t="shared" si="10"/>
        <v>0</v>
      </c>
      <c r="F139" s="5335"/>
      <c r="G139" s="5336"/>
      <c r="H139" s="5335"/>
      <c r="I139" s="5336"/>
      <c r="J139" s="5335"/>
      <c r="K139" s="5336"/>
      <c r="L139" s="5335"/>
      <c r="M139" s="5336"/>
      <c r="N139" s="5335"/>
      <c r="O139" s="5336"/>
      <c r="P139" s="5335"/>
      <c r="Q139" s="5336"/>
      <c r="R139" s="5335"/>
      <c r="S139" s="5336"/>
      <c r="T139" s="5335"/>
      <c r="U139" s="5336"/>
      <c r="V139" s="5335"/>
      <c r="W139" s="5336"/>
      <c r="X139" s="5335"/>
      <c r="Y139" s="5336"/>
      <c r="Z139" s="5335"/>
      <c r="AA139" s="5336"/>
      <c r="AB139" s="5335"/>
      <c r="AC139" s="5336"/>
      <c r="AD139" s="5335"/>
      <c r="AE139" s="5336"/>
      <c r="AF139" s="5335"/>
      <c r="AG139" s="5336"/>
      <c r="AH139" s="5335"/>
      <c r="AI139" s="5336"/>
      <c r="AJ139" s="5335"/>
      <c r="AK139" s="5336"/>
      <c r="AL139" s="5335"/>
      <c r="AM139" s="5337"/>
      <c r="AN139" s="5338"/>
      <c r="AO139" s="5336"/>
      <c r="AP139" s="1452"/>
    </row>
    <row r="140" spans="1:131" x14ac:dyDescent="0.2">
      <c r="A140" s="8635"/>
      <c r="B140" s="3314" t="s">
        <v>3927</v>
      </c>
      <c r="C140" s="5330">
        <f t="shared" si="11"/>
        <v>0</v>
      </c>
      <c r="D140" s="5331">
        <f t="shared" si="10"/>
        <v>0</v>
      </c>
      <c r="E140" s="5332">
        <f t="shared" si="10"/>
        <v>0</v>
      </c>
      <c r="F140" s="5335"/>
      <c r="G140" s="5336"/>
      <c r="H140" s="5335"/>
      <c r="I140" s="5336"/>
      <c r="J140" s="5335"/>
      <c r="K140" s="5336"/>
      <c r="L140" s="5335"/>
      <c r="M140" s="5336"/>
      <c r="N140" s="5335"/>
      <c r="O140" s="5336"/>
      <c r="P140" s="5335"/>
      <c r="Q140" s="5336"/>
      <c r="R140" s="5335"/>
      <c r="S140" s="5336"/>
      <c r="T140" s="5335"/>
      <c r="U140" s="5336"/>
      <c r="V140" s="5335"/>
      <c r="W140" s="5336"/>
      <c r="X140" s="5335"/>
      <c r="Y140" s="5336"/>
      <c r="Z140" s="5335"/>
      <c r="AA140" s="5336"/>
      <c r="AB140" s="5335"/>
      <c r="AC140" s="5336"/>
      <c r="AD140" s="5335"/>
      <c r="AE140" s="5336"/>
      <c r="AF140" s="5335"/>
      <c r="AG140" s="5336"/>
      <c r="AH140" s="5335"/>
      <c r="AI140" s="5336"/>
      <c r="AJ140" s="5335"/>
      <c r="AK140" s="5336"/>
      <c r="AL140" s="5335"/>
      <c r="AM140" s="5337"/>
      <c r="AN140" s="5338"/>
      <c r="AO140" s="5336"/>
      <c r="AP140" s="1452"/>
    </row>
    <row r="141" spans="1:131" x14ac:dyDescent="0.2">
      <c r="A141" s="8635"/>
      <c r="B141" s="3314" t="s">
        <v>3928</v>
      </c>
      <c r="C141" s="5330">
        <f t="shared" si="11"/>
        <v>0</v>
      </c>
      <c r="D141" s="5331">
        <f t="shared" si="10"/>
        <v>0</v>
      </c>
      <c r="E141" s="5332">
        <f t="shared" si="10"/>
        <v>0</v>
      </c>
      <c r="F141" s="5335"/>
      <c r="G141" s="5336"/>
      <c r="H141" s="5335"/>
      <c r="I141" s="5336"/>
      <c r="J141" s="5335"/>
      <c r="K141" s="5336"/>
      <c r="L141" s="5335"/>
      <c r="M141" s="5336"/>
      <c r="N141" s="5335"/>
      <c r="O141" s="5336"/>
      <c r="P141" s="5335"/>
      <c r="Q141" s="5336"/>
      <c r="R141" s="5335"/>
      <c r="S141" s="5336"/>
      <c r="T141" s="5335"/>
      <c r="U141" s="5336"/>
      <c r="V141" s="5335"/>
      <c r="W141" s="5336"/>
      <c r="X141" s="5335"/>
      <c r="Y141" s="5336"/>
      <c r="Z141" s="5335"/>
      <c r="AA141" s="5336"/>
      <c r="AB141" s="5335"/>
      <c r="AC141" s="5336"/>
      <c r="AD141" s="5335"/>
      <c r="AE141" s="5336"/>
      <c r="AF141" s="5335"/>
      <c r="AG141" s="5336"/>
      <c r="AH141" s="5335"/>
      <c r="AI141" s="5336"/>
      <c r="AJ141" s="5335"/>
      <c r="AK141" s="5336"/>
      <c r="AL141" s="5335"/>
      <c r="AM141" s="5337"/>
      <c r="AN141" s="5338"/>
      <c r="AO141" s="5336"/>
      <c r="AP141" s="1452"/>
    </row>
    <row r="142" spans="1:131" x14ac:dyDescent="0.2">
      <c r="A142" s="8635"/>
      <c r="B142" s="3314" t="s">
        <v>3929</v>
      </c>
      <c r="C142" s="5330">
        <f t="shared" si="11"/>
        <v>0</v>
      </c>
      <c r="D142" s="5331">
        <f t="shared" si="10"/>
        <v>0</v>
      </c>
      <c r="E142" s="5332">
        <f t="shared" si="10"/>
        <v>0</v>
      </c>
      <c r="F142" s="5340"/>
      <c r="G142" s="5341"/>
      <c r="H142" s="5340"/>
      <c r="I142" s="5341"/>
      <c r="J142" s="5340"/>
      <c r="K142" s="5341"/>
      <c r="L142" s="5340"/>
      <c r="M142" s="5341"/>
      <c r="N142" s="5340"/>
      <c r="O142" s="5341"/>
      <c r="P142" s="5340"/>
      <c r="Q142" s="5341"/>
      <c r="R142" s="5340"/>
      <c r="S142" s="5341"/>
      <c r="T142" s="5340"/>
      <c r="U142" s="5341"/>
      <c r="V142" s="5340"/>
      <c r="W142" s="5341"/>
      <c r="X142" s="5340"/>
      <c r="Y142" s="5341"/>
      <c r="Z142" s="5340"/>
      <c r="AA142" s="5341"/>
      <c r="AB142" s="5340"/>
      <c r="AC142" s="5341"/>
      <c r="AD142" s="5340"/>
      <c r="AE142" s="5341"/>
      <c r="AF142" s="5340"/>
      <c r="AG142" s="5341"/>
      <c r="AH142" s="5340"/>
      <c r="AI142" s="5341"/>
      <c r="AJ142" s="5340"/>
      <c r="AK142" s="5341"/>
      <c r="AL142" s="5340"/>
      <c r="AM142" s="5342"/>
      <c r="AN142" s="5343"/>
      <c r="AO142" s="5341"/>
      <c r="AP142" s="1452"/>
    </row>
    <row r="143" spans="1:131" x14ac:dyDescent="0.2">
      <c r="A143" s="8635"/>
      <c r="B143" s="3314" t="s">
        <v>3930</v>
      </c>
      <c r="C143" s="5330">
        <f t="shared" si="11"/>
        <v>0</v>
      </c>
      <c r="D143" s="5331">
        <f t="shared" si="10"/>
        <v>0</v>
      </c>
      <c r="E143" s="5332">
        <f t="shared" si="10"/>
        <v>0</v>
      </c>
      <c r="F143" s="5340"/>
      <c r="G143" s="5344"/>
      <c r="H143" s="5340"/>
      <c r="I143" s="5344"/>
      <c r="J143" s="5340"/>
      <c r="K143" s="5344"/>
      <c r="L143" s="5340"/>
      <c r="M143" s="5344"/>
      <c r="N143" s="5340"/>
      <c r="O143" s="5344"/>
      <c r="P143" s="5340"/>
      <c r="Q143" s="5344"/>
      <c r="R143" s="5340"/>
      <c r="S143" s="5344"/>
      <c r="T143" s="5340"/>
      <c r="U143" s="5344"/>
      <c r="V143" s="5340"/>
      <c r="W143" s="5344"/>
      <c r="X143" s="5340"/>
      <c r="Y143" s="5344"/>
      <c r="Z143" s="5340"/>
      <c r="AA143" s="5344"/>
      <c r="AB143" s="5340"/>
      <c r="AC143" s="5344"/>
      <c r="AD143" s="5340"/>
      <c r="AE143" s="5344"/>
      <c r="AF143" s="5340"/>
      <c r="AG143" s="5344"/>
      <c r="AH143" s="5340"/>
      <c r="AI143" s="5344"/>
      <c r="AJ143" s="5340"/>
      <c r="AK143" s="5344"/>
      <c r="AL143" s="5340"/>
      <c r="AM143" s="5342"/>
      <c r="AN143" s="5343"/>
      <c r="AO143" s="5344"/>
      <c r="AP143" s="1452"/>
    </row>
    <row r="144" spans="1:131" x14ac:dyDescent="0.2">
      <c r="A144" s="8636"/>
      <c r="B144" s="3325" t="s">
        <v>3931</v>
      </c>
      <c r="C144" s="5345">
        <f t="shared" si="11"/>
        <v>0</v>
      </c>
      <c r="D144" s="5346">
        <f t="shared" si="10"/>
        <v>0</v>
      </c>
      <c r="E144" s="5347">
        <f t="shared" si="10"/>
        <v>0</v>
      </c>
      <c r="F144" s="5348"/>
      <c r="G144" s="4369"/>
      <c r="H144" s="5348"/>
      <c r="I144" s="4369"/>
      <c r="J144" s="5348"/>
      <c r="K144" s="4369"/>
      <c r="L144" s="5348"/>
      <c r="M144" s="4369"/>
      <c r="N144" s="5348"/>
      <c r="O144" s="4369"/>
      <c r="P144" s="5348"/>
      <c r="Q144" s="4369"/>
      <c r="R144" s="5348"/>
      <c r="S144" s="4369"/>
      <c r="T144" s="5348"/>
      <c r="U144" s="4369"/>
      <c r="V144" s="5348"/>
      <c r="W144" s="4369"/>
      <c r="X144" s="5348"/>
      <c r="Y144" s="4369"/>
      <c r="Z144" s="5348"/>
      <c r="AA144" s="4369"/>
      <c r="AB144" s="5348"/>
      <c r="AC144" s="4369"/>
      <c r="AD144" s="5348"/>
      <c r="AE144" s="4369"/>
      <c r="AF144" s="5348"/>
      <c r="AG144" s="4369"/>
      <c r="AH144" s="5348"/>
      <c r="AI144" s="4369"/>
      <c r="AJ144" s="5348"/>
      <c r="AK144" s="4369"/>
      <c r="AL144" s="5348"/>
      <c r="AM144" s="5349"/>
      <c r="AN144" s="5350"/>
      <c r="AO144" s="4369"/>
      <c r="AP144" s="1452"/>
    </row>
    <row r="145" spans="1:108" x14ac:dyDescent="0.2">
      <c r="A145" s="8634" t="s">
        <v>2585</v>
      </c>
      <c r="B145" s="7339" t="s">
        <v>3932</v>
      </c>
      <c r="C145" s="5351">
        <f t="shared" si="11"/>
        <v>0</v>
      </c>
      <c r="D145" s="5352">
        <f t="shared" si="10"/>
        <v>0</v>
      </c>
      <c r="E145" s="5353">
        <f t="shared" si="10"/>
        <v>0</v>
      </c>
      <c r="F145" s="5325"/>
      <c r="G145" s="5326"/>
      <c r="H145" s="5325"/>
      <c r="I145" s="5326"/>
      <c r="J145" s="5325"/>
      <c r="K145" s="5326"/>
      <c r="L145" s="5325"/>
      <c r="M145" s="5326"/>
      <c r="N145" s="5325"/>
      <c r="O145" s="5326"/>
      <c r="P145" s="5325"/>
      <c r="Q145" s="5326"/>
      <c r="R145" s="5325"/>
      <c r="S145" s="5326"/>
      <c r="T145" s="5325"/>
      <c r="U145" s="5326"/>
      <c r="V145" s="5325"/>
      <c r="W145" s="5326"/>
      <c r="X145" s="5325"/>
      <c r="Y145" s="5326"/>
      <c r="Z145" s="5325"/>
      <c r="AA145" s="5326"/>
      <c r="AB145" s="5325"/>
      <c r="AC145" s="5326"/>
      <c r="AD145" s="5325"/>
      <c r="AE145" s="5326"/>
      <c r="AF145" s="5325"/>
      <c r="AG145" s="5326"/>
      <c r="AH145" s="5325"/>
      <c r="AI145" s="5326"/>
      <c r="AJ145" s="5325"/>
      <c r="AK145" s="5326"/>
      <c r="AL145" s="5325"/>
      <c r="AM145" s="5327"/>
      <c r="AN145" s="5328"/>
      <c r="AO145" s="5326"/>
      <c r="AP145" s="1452"/>
    </row>
    <row r="146" spans="1:108" x14ac:dyDescent="0.2">
      <c r="A146" s="8635"/>
      <c r="B146" s="3314" t="s">
        <v>3926</v>
      </c>
      <c r="C146" s="5330">
        <f t="shared" si="11"/>
        <v>0</v>
      </c>
      <c r="D146" s="5331">
        <f t="shared" si="10"/>
        <v>0</v>
      </c>
      <c r="E146" s="5332">
        <f>+G146+I146+K146+M146+O146+Q146+S146+U146+W146+Y146+AA146+AC146+AE146+AG146+AI146+AK146+AM146</f>
        <v>0</v>
      </c>
      <c r="F146" s="5335"/>
      <c r="G146" s="5336"/>
      <c r="H146" s="5335"/>
      <c r="I146" s="5336"/>
      <c r="J146" s="5335"/>
      <c r="K146" s="5336"/>
      <c r="L146" s="5335"/>
      <c r="M146" s="5336"/>
      <c r="N146" s="5335"/>
      <c r="O146" s="5336"/>
      <c r="P146" s="5335"/>
      <c r="Q146" s="5336"/>
      <c r="R146" s="5335"/>
      <c r="S146" s="5336"/>
      <c r="T146" s="5335"/>
      <c r="U146" s="5336"/>
      <c r="V146" s="5335"/>
      <c r="W146" s="5336"/>
      <c r="X146" s="5335"/>
      <c r="Y146" s="5336"/>
      <c r="Z146" s="5335"/>
      <c r="AA146" s="5336"/>
      <c r="AB146" s="5335"/>
      <c r="AC146" s="5336"/>
      <c r="AD146" s="5335"/>
      <c r="AE146" s="5336"/>
      <c r="AF146" s="5335"/>
      <c r="AG146" s="5336"/>
      <c r="AH146" s="5335"/>
      <c r="AI146" s="5336"/>
      <c r="AJ146" s="5335"/>
      <c r="AK146" s="5336"/>
      <c r="AL146" s="5335"/>
      <c r="AM146" s="5337"/>
      <c r="AN146" s="5338"/>
      <c r="AO146" s="5336"/>
      <c r="AP146" s="1452"/>
    </row>
    <row r="147" spans="1:108" x14ac:dyDescent="0.2">
      <c r="A147" s="8635"/>
      <c r="B147" s="3314" t="s">
        <v>3927</v>
      </c>
      <c r="C147" s="5330">
        <f>SUM(D147:E147)</f>
        <v>0</v>
      </c>
      <c r="D147" s="5331">
        <f t="shared" si="10"/>
        <v>0</v>
      </c>
      <c r="E147" s="5332">
        <f t="shared" si="10"/>
        <v>0</v>
      </c>
      <c r="F147" s="5335"/>
      <c r="G147" s="5336"/>
      <c r="H147" s="5335"/>
      <c r="I147" s="5336"/>
      <c r="J147" s="5335"/>
      <c r="K147" s="5336"/>
      <c r="L147" s="5335"/>
      <c r="M147" s="5336"/>
      <c r="N147" s="5335"/>
      <c r="O147" s="5336"/>
      <c r="P147" s="5335"/>
      <c r="Q147" s="5336"/>
      <c r="R147" s="5335"/>
      <c r="S147" s="5336"/>
      <c r="T147" s="5335"/>
      <c r="U147" s="5336"/>
      <c r="V147" s="5335"/>
      <c r="W147" s="5336"/>
      <c r="X147" s="5335"/>
      <c r="Y147" s="5336"/>
      <c r="Z147" s="5335"/>
      <c r="AA147" s="5336"/>
      <c r="AB147" s="5335"/>
      <c r="AC147" s="5336"/>
      <c r="AD147" s="5335"/>
      <c r="AE147" s="5336"/>
      <c r="AF147" s="5335"/>
      <c r="AG147" s="5336"/>
      <c r="AH147" s="5335"/>
      <c r="AI147" s="5336"/>
      <c r="AJ147" s="5335"/>
      <c r="AK147" s="5336"/>
      <c r="AL147" s="5335"/>
      <c r="AM147" s="5337"/>
      <c r="AN147" s="5338"/>
      <c r="AO147" s="5336"/>
      <c r="AP147" s="1452"/>
    </row>
    <row r="148" spans="1:108" x14ac:dyDescent="0.2">
      <c r="A148" s="8635"/>
      <c r="B148" s="3314" t="s">
        <v>3928</v>
      </c>
      <c r="C148" s="5330">
        <f t="shared" si="11"/>
        <v>0</v>
      </c>
      <c r="D148" s="5331">
        <f>+F148+H148+J148+L148+N148+P148+R148+T148+V148+X148+Z148+AB148+AD148+AF148+AH148+AJ148+AL148</f>
        <v>0</v>
      </c>
      <c r="E148" s="5332">
        <f t="shared" si="10"/>
        <v>0</v>
      </c>
      <c r="F148" s="5335"/>
      <c r="G148" s="5336"/>
      <c r="H148" s="5335"/>
      <c r="I148" s="5336"/>
      <c r="J148" s="5335"/>
      <c r="K148" s="5336"/>
      <c r="L148" s="5335"/>
      <c r="M148" s="5336"/>
      <c r="N148" s="5335"/>
      <c r="O148" s="5336"/>
      <c r="P148" s="5335"/>
      <c r="Q148" s="5336"/>
      <c r="R148" s="5335"/>
      <c r="S148" s="5336"/>
      <c r="T148" s="5335"/>
      <c r="U148" s="5336"/>
      <c r="V148" s="5335"/>
      <c r="W148" s="5336"/>
      <c r="X148" s="5335"/>
      <c r="Y148" s="5336"/>
      <c r="Z148" s="5335"/>
      <c r="AA148" s="5336"/>
      <c r="AB148" s="5335"/>
      <c r="AC148" s="5336"/>
      <c r="AD148" s="5335"/>
      <c r="AE148" s="5336"/>
      <c r="AF148" s="5335"/>
      <c r="AG148" s="5336"/>
      <c r="AH148" s="5335"/>
      <c r="AI148" s="5336"/>
      <c r="AJ148" s="5335"/>
      <c r="AK148" s="5336"/>
      <c r="AL148" s="5335"/>
      <c r="AM148" s="5337"/>
      <c r="AN148" s="5338"/>
      <c r="AO148" s="5336"/>
      <c r="AP148" s="1452"/>
      <c r="DB148" s="3308">
        <v>0</v>
      </c>
      <c r="DD148" s="3308">
        <v>0</v>
      </c>
    </row>
    <row r="149" spans="1:108" x14ac:dyDescent="0.2">
      <c r="A149" s="8635"/>
      <c r="B149" s="3314" t="s">
        <v>3929</v>
      </c>
      <c r="C149" s="5354">
        <f t="shared" si="11"/>
        <v>0</v>
      </c>
      <c r="D149" s="5355">
        <f t="shared" si="10"/>
        <v>0</v>
      </c>
      <c r="E149" s="5356">
        <f t="shared" si="10"/>
        <v>0</v>
      </c>
      <c r="F149" s="5340"/>
      <c r="G149" s="5341"/>
      <c r="H149" s="5340"/>
      <c r="I149" s="5341"/>
      <c r="J149" s="5340"/>
      <c r="K149" s="5341"/>
      <c r="L149" s="5340"/>
      <c r="M149" s="5341"/>
      <c r="N149" s="5340"/>
      <c r="O149" s="5341"/>
      <c r="P149" s="5340"/>
      <c r="Q149" s="5341"/>
      <c r="R149" s="5340"/>
      <c r="S149" s="5341"/>
      <c r="T149" s="5340"/>
      <c r="U149" s="5341"/>
      <c r="V149" s="5340"/>
      <c r="W149" s="5341"/>
      <c r="X149" s="5340"/>
      <c r="Y149" s="5341"/>
      <c r="Z149" s="5340"/>
      <c r="AA149" s="5341"/>
      <c r="AB149" s="5340"/>
      <c r="AC149" s="5341"/>
      <c r="AD149" s="5340"/>
      <c r="AE149" s="5341"/>
      <c r="AF149" s="5340"/>
      <c r="AG149" s="5341"/>
      <c r="AH149" s="5340"/>
      <c r="AI149" s="5341"/>
      <c r="AJ149" s="5340"/>
      <c r="AK149" s="5341"/>
      <c r="AL149" s="5340"/>
      <c r="AM149" s="5342"/>
      <c r="AN149" s="5343"/>
      <c r="AO149" s="5341"/>
      <c r="AP149" s="1452"/>
    </row>
    <row r="150" spans="1:108" x14ac:dyDescent="0.2">
      <c r="A150" s="8636"/>
      <c r="B150" s="3325" t="s">
        <v>3931</v>
      </c>
      <c r="C150" s="5345">
        <f t="shared" si="11"/>
        <v>0</v>
      </c>
      <c r="D150" s="5346">
        <f t="shared" si="10"/>
        <v>0</v>
      </c>
      <c r="E150" s="5347">
        <f t="shared" si="10"/>
        <v>0</v>
      </c>
      <c r="F150" s="5348"/>
      <c r="G150" s="4369"/>
      <c r="H150" s="5348"/>
      <c r="I150" s="4369"/>
      <c r="J150" s="5348"/>
      <c r="K150" s="4369"/>
      <c r="L150" s="5348"/>
      <c r="M150" s="4369"/>
      <c r="N150" s="5348"/>
      <c r="O150" s="4369"/>
      <c r="P150" s="5348"/>
      <c r="Q150" s="4369"/>
      <c r="R150" s="5348"/>
      <c r="S150" s="4369"/>
      <c r="T150" s="5348"/>
      <c r="U150" s="4369"/>
      <c r="V150" s="5348"/>
      <c r="W150" s="4369"/>
      <c r="X150" s="5348"/>
      <c r="Y150" s="4369"/>
      <c r="Z150" s="5348"/>
      <c r="AA150" s="4369"/>
      <c r="AB150" s="5348"/>
      <c r="AC150" s="4369"/>
      <c r="AD150" s="5348"/>
      <c r="AE150" s="4369"/>
      <c r="AF150" s="5348"/>
      <c r="AG150" s="4369"/>
      <c r="AH150" s="5348"/>
      <c r="AI150" s="4369"/>
      <c r="AJ150" s="5348"/>
      <c r="AK150" s="4369"/>
      <c r="AL150" s="5348"/>
      <c r="AM150" s="5349"/>
      <c r="AN150" s="5350"/>
      <c r="AO150" s="4369"/>
      <c r="AP150" s="1452"/>
    </row>
    <row r="151" spans="1:108" ht="15" x14ac:dyDescent="0.25">
      <c r="A151" s="133" t="s">
        <v>3766</v>
      </c>
      <c r="B151" s="823"/>
      <c r="C151" s="823"/>
      <c r="D151" s="823"/>
      <c r="E151" s="823"/>
      <c r="F151" s="823"/>
      <c r="G151" s="823"/>
      <c r="H151" s="823"/>
      <c r="I151" s="823"/>
      <c r="J151" s="823"/>
      <c r="K151" s="823"/>
      <c r="L151" s="823"/>
      <c r="M151" s="823"/>
      <c r="N151" s="823"/>
      <c r="O151" s="823"/>
      <c r="P151" s="1188"/>
    </row>
    <row r="152" spans="1:108" x14ac:dyDescent="0.2">
      <c r="A152" s="8637" t="s">
        <v>3767</v>
      </c>
      <c r="B152" s="8639" t="s">
        <v>24</v>
      </c>
      <c r="C152" s="8641" t="s">
        <v>538</v>
      </c>
      <c r="D152" s="8642"/>
      <c r="E152" s="8642"/>
      <c r="F152" s="8642"/>
      <c r="G152" s="8642"/>
      <c r="H152" s="8642"/>
      <c r="I152" s="8642"/>
      <c r="J152" s="8642"/>
      <c r="K152" s="8642"/>
      <c r="L152" s="8642"/>
      <c r="M152" s="8642"/>
      <c r="N152" s="8642"/>
      <c r="O152" s="8642"/>
      <c r="P152" s="8642"/>
      <c r="Q152" s="8642"/>
      <c r="R152" s="8642"/>
      <c r="S152" s="8643"/>
      <c r="T152" s="8644" t="s">
        <v>360</v>
      </c>
      <c r="U152" s="8645" t="s">
        <v>359</v>
      </c>
    </row>
    <row r="153" spans="1:108" x14ac:dyDescent="0.2">
      <c r="A153" s="8638"/>
      <c r="B153" s="8640"/>
      <c r="C153" s="7189" t="s">
        <v>1414</v>
      </c>
      <c r="D153" s="7190" t="s">
        <v>1413</v>
      </c>
      <c r="E153" s="7190" t="s">
        <v>48</v>
      </c>
      <c r="F153" s="7190" t="s">
        <v>33</v>
      </c>
      <c r="G153" s="7190" t="s">
        <v>50</v>
      </c>
      <c r="H153" s="7190" t="s">
        <v>115</v>
      </c>
      <c r="I153" s="7190" t="s">
        <v>3465</v>
      </c>
      <c r="J153" s="7190" t="s">
        <v>117</v>
      </c>
      <c r="K153" s="7190" t="s">
        <v>3467</v>
      </c>
      <c r="L153" s="7190" t="s">
        <v>119</v>
      </c>
      <c r="M153" s="7190" t="s">
        <v>3768</v>
      </c>
      <c r="N153" s="7190" t="s">
        <v>1412</v>
      </c>
      <c r="O153" s="7190" t="s">
        <v>1404</v>
      </c>
      <c r="P153" s="7190" t="s">
        <v>1395</v>
      </c>
      <c r="Q153" s="7190" t="s">
        <v>1394</v>
      </c>
      <c r="R153" s="7190" t="s">
        <v>1393</v>
      </c>
      <c r="S153" s="7188" t="s">
        <v>3769</v>
      </c>
      <c r="T153" s="8644"/>
      <c r="U153" s="8645"/>
    </row>
    <row r="154" spans="1:108" ht="32.25" x14ac:dyDescent="0.2">
      <c r="A154" s="7191" t="s">
        <v>3933</v>
      </c>
      <c r="B154" s="7192">
        <f>SUM(C154:S154)</f>
        <v>0</v>
      </c>
      <c r="C154" s="3248"/>
      <c r="D154" s="2891"/>
      <c r="E154" s="2891"/>
      <c r="F154" s="2891"/>
      <c r="G154" s="2891"/>
      <c r="H154" s="2891"/>
      <c r="I154" s="2891"/>
      <c r="J154" s="2891"/>
      <c r="K154" s="2891"/>
      <c r="L154" s="2891"/>
      <c r="M154" s="2891"/>
      <c r="N154" s="2891"/>
      <c r="O154" s="2891"/>
      <c r="P154" s="2891"/>
      <c r="Q154" s="2891"/>
      <c r="R154" s="2891"/>
      <c r="S154" s="2540"/>
      <c r="T154" s="2533"/>
      <c r="U154" s="3329"/>
      <c r="V154" s="1452"/>
      <c r="DB154" s="3308">
        <v>0</v>
      </c>
      <c r="DD154" s="3308">
        <v>0</v>
      </c>
    </row>
    <row r="168" spans="1:130" s="1440" customFormat="1" ht="18.75" hidden="1" customHeight="1" x14ac:dyDescent="0.2">
      <c r="A168" s="165"/>
      <c r="B168" s="165"/>
      <c r="C168" s="165"/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BV168" s="290"/>
      <c r="BW168" s="290"/>
      <c r="BX168" s="290"/>
      <c r="BY168" s="290"/>
      <c r="BZ168" s="290"/>
      <c r="CA168" s="1451"/>
      <c r="CB168" s="1451"/>
      <c r="CC168" s="1451"/>
      <c r="CD168" s="1451"/>
      <c r="CE168" s="1451"/>
      <c r="CF168" s="1451"/>
      <c r="CG168" s="1451"/>
      <c r="CH168" s="1451"/>
      <c r="CI168" s="1451"/>
      <c r="CJ168" s="1451"/>
      <c r="CK168" s="1451"/>
      <c r="CL168" s="1451"/>
      <c r="CM168" s="1451"/>
      <c r="CN168" s="1451"/>
      <c r="CO168" s="1451"/>
      <c r="CP168" s="1451"/>
      <c r="CQ168" s="1451"/>
      <c r="CR168" s="1451"/>
      <c r="CS168" s="1451"/>
      <c r="CT168" s="1451"/>
      <c r="CU168" s="1451"/>
      <c r="CV168" s="1451"/>
      <c r="CW168" s="1451"/>
      <c r="CX168" s="1451"/>
      <c r="CY168" s="1451"/>
      <c r="CZ168" s="1451"/>
      <c r="DA168" s="3308"/>
      <c r="DB168" s="3308"/>
      <c r="DC168" s="3308"/>
      <c r="DD168" s="3308"/>
      <c r="DE168" s="3308"/>
      <c r="DF168" s="3308"/>
      <c r="DG168" s="3308"/>
      <c r="DH168" s="3308"/>
      <c r="DI168" s="3308"/>
      <c r="DJ168" s="3308"/>
      <c r="DK168" s="3308"/>
      <c r="DL168" s="3308"/>
      <c r="DM168" s="3308"/>
      <c r="DN168" s="3308"/>
      <c r="DO168" s="3308"/>
      <c r="DP168" s="3308"/>
      <c r="DQ168" s="3308"/>
      <c r="DR168" s="3308"/>
      <c r="DS168" s="3308"/>
      <c r="DT168" s="3308"/>
      <c r="DU168" s="3308"/>
      <c r="DV168" s="3308"/>
      <c r="DW168" s="3308"/>
      <c r="DX168" s="3308"/>
      <c r="DY168" s="3308"/>
      <c r="DZ168" s="3308"/>
    </row>
    <row r="175" spans="1:130" s="290" customFormat="1" x14ac:dyDescent="0.2">
      <c r="CA175" s="1460"/>
      <c r="CB175" s="1460"/>
      <c r="CC175" s="1460"/>
      <c r="CD175" s="1460"/>
      <c r="CE175" s="1460"/>
      <c r="CF175" s="1460"/>
      <c r="CG175" s="1460"/>
      <c r="CH175" s="1460"/>
      <c r="CI175" s="1460"/>
      <c r="CJ175" s="1460"/>
      <c r="CK175" s="1460"/>
      <c r="CL175" s="1460"/>
      <c r="CM175" s="1460"/>
      <c r="CN175" s="1460"/>
      <c r="CO175" s="1460"/>
      <c r="CP175" s="1460"/>
      <c r="CQ175" s="1460"/>
      <c r="CR175" s="1460"/>
      <c r="CS175" s="1460"/>
      <c r="CT175" s="1460"/>
      <c r="CU175" s="1460"/>
      <c r="CV175" s="1460"/>
      <c r="CW175" s="1460"/>
      <c r="CX175" s="1460"/>
      <c r="CY175" s="1460"/>
      <c r="CZ175" s="1460"/>
      <c r="DA175" s="1460"/>
      <c r="DB175" s="1460"/>
      <c r="DC175" s="1460"/>
      <c r="DD175" s="1460"/>
      <c r="DE175" s="1460"/>
      <c r="DF175" s="1460"/>
      <c r="DG175" s="1460"/>
      <c r="DH175" s="1460"/>
      <c r="DI175" s="1460"/>
      <c r="DJ175" s="1460"/>
      <c r="DK175" s="1460"/>
      <c r="DL175" s="1460"/>
      <c r="DM175" s="1460"/>
      <c r="DN175" s="1460"/>
      <c r="DO175" s="1460"/>
      <c r="DP175" s="1460"/>
      <c r="DQ175" s="1460"/>
      <c r="DR175" s="1460"/>
      <c r="DS175" s="1460"/>
      <c r="DT175" s="1460"/>
      <c r="DU175" s="1460"/>
      <c r="DV175" s="1460"/>
      <c r="DW175" s="1460"/>
      <c r="DX175" s="1460"/>
      <c r="DY175" s="1460"/>
      <c r="DZ175" s="1460"/>
    </row>
    <row r="186" spans="1:17" hidden="1" x14ac:dyDescent="0.2">
      <c r="A186" s="1440">
        <f>SUM(B12:D12,B31:D45,B49:B50,B55,B58,B63:B64,B67:B74,B78,C83:C86,B91:B95,B97:B99,B107,B111:M113,B118:B120,C124:C132)</f>
        <v>0</v>
      </c>
      <c r="B186" s="1440">
        <f>SUM(DA13:DZ154)</f>
        <v>0</v>
      </c>
      <c r="C186" s="1440"/>
      <c r="D186" s="1440"/>
      <c r="E186" s="1440"/>
      <c r="F186" s="1440"/>
      <c r="G186" s="1440"/>
      <c r="H186" s="1440"/>
      <c r="I186" s="1440"/>
      <c r="J186" s="1440"/>
      <c r="K186" s="1440"/>
      <c r="L186" s="1440"/>
      <c r="M186" s="1440"/>
      <c r="N186" s="1440"/>
      <c r="O186" s="1440"/>
      <c r="P186" s="1440"/>
      <c r="Q186" s="1440"/>
    </row>
  </sheetData>
  <sheetProtection algorithmName="SHA-512" hashValue="jlzi03CP8qbNtPD42hrRvD3FQ2KYIPvaMjaIL24drWRRdu+OMcVTHGXIrrFXgwuIpnmjxPv/FnP+PshOnjpOJw==" saltValue="oVC+SbaxLqvSkGVGnpBcxw==" spinCount="100000" sheet="1" objects="1" scenarios="1"/>
  <protectedRanges>
    <protectedRange sqref="B67:B74" name="Rango2"/>
  </protectedRanges>
  <mergeCells count="201">
    <mergeCell ref="A137:A144"/>
    <mergeCell ref="A145:A150"/>
    <mergeCell ref="A152:A153"/>
    <mergeCell ref="B152:B153"/>
    <mergeCell ref="C152:S152"/>
    <mergeCell ref="T152:T153"/>
    <mergeCell ref="U152:U153"/>
    <mergeCell ref="A134:A136"/>
    <mergeCell ref="B134:B136"/>
    <mergeCell ref="C134:C136"/>
    <mergeCell ref="D134:D136"/>
    <mergeCell ref="E134:E136"/>
    <mergeCell ref="F134:AM134"/>
    <mergeCell ref="AN134:AN136"/>
    <mergeCell ref="AO134:AO136"/>
    <mergeCell ref="F135:G135"/>
    <mergeCell ref="H135:I135"/>
    <mergeCell ref="J135:K135"/>
    <mergeCell ref="L135:M135"/>
    <mergeCell ref="N135:O135"/>
    <mergeCell ref="P135:Q135"/>
    <mergeCell ref="R135:S135"/>
    <mergeCell ref="T135:U135"/>
    <mergeCell ref="V135:W135"/>
    <mergeCell ref="X135:Y135"/>
    <mergeCell ref="Z135:AA135"/>
    <mergeCell ref="AB135:AC135"/>
    <mergeCell ref="AD135:AE135"/>
    <mergeCell ref="AF135:AG135"/>
    <mergeCell ref="AH135:AI135"/>
    <mergeCell ref="AJ135:AK135"/>
    <mergeCell ref="AL135:AM135"/>
    <mergeCell ref="I122:I123"/>
    <mergeCell ref="AN80:AN82"/>
    <mergeCell ref="AQ115:AQ117"/>
    <mergeCell ref="AR115:AR117"/>
    <mergeCell ref="C109:L109"/>
    <mergeCell ref="M109:M110"/>
    <mergeCell ref="A129:A132"/>
    <mergeCell ref="A109:A110"/>
    <mergeCell ref="B109:B110"/>
    <mergeCell ref="A124:A126"/>
    <mergeCell ref="A127:A128"/>
    <mergeCell ref="D122:H122"/>
    <mergeCell ref="J122:J123"/>
    <mergeCell ref="K122:K123"/>
    <mergeCell ref="C122:C123"/>
    <mergeCell ref="A122:B123"/>
    <mergeCell ref="A115:A117"/>
    <mergeCell ref="B115:D116"/>
    <mergeCell ref="A84:A85"/>
    <mergeCell ref="C88:C89"/>
    <mergeCell ref="D88:D89"/>
    <mergeCell ref="E88:E89"/>
    <mergeCell ref="F88:F89"/>
    <mergeCell ref="A90:F90"/>
    <mergeCell ref="A96:F96"/>
    <mergeCell ref="A100:F100"/>
    <mergeCell ref="A101:A103"/>
    <mergeCell ref="B101:D102"/>
    <mergeCell ref="E101:F102"/>
    <mergeCell ref="A88:A89"/>
    <mergeCell ref="B88:B89"/>
    <mergeCell ref="A80:A82"/>
    <mergeCell ref="B80:B82"/>
    <mergeCell ref="C80:E81"/>
    <mergeCell ref="F80:AI80"/>
    <mergeCell ref="N101:O102"/>
    <mergeCell ref="A47:A48"/>
    <mergeCell ref="B47:B48"/>
    <mergeCell ref="C47:F47"/>
    <mergeCell ref="G47:J47"/>
    <mergeCell ref="M47:M48"/>
    <mergeCell ref="E53:E54"/>
    <mergeCell ref="H53:H54"/>
    <mergeCell ref="AJ80:AJ82"/>
    <mergeCell ref="X81:Y81"/>
    <mergeCell ref="Z81:AA81"/>
    <mergeCell ref="AB81:AC81"/>
    <mergeCell ref="AD81:AE81"/>
    <mergeCell ref="AF81:AG81"/>
    <mergeCell ref="F81:G81"/>
    <mergeCell ref="H81:I81"/>
    <mergeCell ref="J81:K81"/>
    <mergeCell ref="L81:M81"/>
    <mergeCell ref="N81:O81"/>
    <mergeCell ref="P81:Q81"/>
    <mergeCell ref="R81:S81"/>
    <mergeCell ref="T81:U81"/>
    <mergeCell ref="V81:W81"/>
    <mergeCell ref="A76:A77"/>
    <mergeCell ref="B76:B77"/>
    <mergeCell ref="A52:A54"/>
    <mergeCell ref="B52:D53"/>
    <mergeCell ref="A79:G79"/>
    <mergeCell ref="K53:K54"/>
    <mergeCell ref="L53:L54"/>
    <mergeCell ref="M53:M54"/>
    <mergeCell ref="N53:N54"/>
    <mergeCell ref="O53:O54"/>
    <mergeCell ref="P53:P54"/>
    <mergeCell ref="AM29:AN29"/>
    <mergeCell ref="AI29:AJ29"/>
    <mergeCell ref="AK29:AL29"/>
    <mergeCell ref="AA29:AB29"/>
    <mergeCell ref="AC29:AD29"/>
    <mergeCell ref="AE29:AF29"/>
    <mergeCell ref="AG29:AH29"/>
    <mergeCell ref="A28:A30"/>
    <mergeCell ref="B28:D29"/>
    <mergeCell ref="AM80:AM82"/>
    <mergeCell ref="C76:S76"/>
    <mergeCell ref="I101:J102"/>
    <mergeCell ref="G101:H102"/>
    <mergeCell ref="K101:K103"/>
    <mergeCell ref="L101:M102"/>
    <mergeCell ref="F53:F54"/>
    <mergeCell ref="G53:G54"/>
    <mergeCell ref="A6:W6"/>
    <mergeCell ref="A9:A11"/>
    <mergeCell ref="B9:D10"/>
    <mergeCell ref="E9:AN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K80:AK82"/>
    <mergeCell ref="AR28:AR30"/>
    <mergeCell ref="AO9:AO11"/>
    <mergeCell ref="E28:AN28"/>
    <mergeCell ref="AO28:AO30"/>
    <mergeCell ref="S29:T29"/>
    <mergeCell ref="U29:V29"/>
    <mergeCell ref="W29:X29"/>
    <mergeCell ref="E29:F29"/>
    <mergeCell ref="Y29:Z29"/>
    <mergeCell ref="G29:H29"/>
    <mergeCell ref="I29:J29"/>
    <mergeCell ref="K29:L29"/>
    <mergeCell ref="M29:N29"/>
    <mergeCell ref="O29:P29"/>
    <mergeCell ref="Q29:R29"/>
    <mergeCell ref="AR9:AR11"/>
    <mergeCell ref="AM10:AN10"/>
    <mergeCell ref="AA10:AB10"/>
    <mergeCell ref="AC10:AD10"/>
    <mergeCell ref="AE10:AF10"/>
    <mergeCell ref="AG10:AH10"/>
    <mergeCell ref="AI10:AJ10"/>
    <mergeCell ref="AK10:AL10"/>
    <mergeCell ref="AP28:AP30"/>
    <mergeCell ref="AG116:AH116"/>
    <mergeCell ref="AI116:AJ116"/>
    <mergeCell ref="K47:K48"/>
    <mergeCell ref="L47:L48"/>
    <mergeCell ref="W52:W54"/>
    <mergeCell ref="X52:X54"/>
    <mergeCell ref="AL80:AL82"/>
    <mergeCell ref="I53:I54"/>
    <mergeCell ref="U53:U54"/>
    <mergeCell ref="V53:V54"/>
    <mergeCell ref="J53:J54"/>
    <mergeCell ref="R53:R54"/>
    <mergeCell ref="S53:S54"/>
    <mergeCell ref="T53:T54"/>
    <mergeCell ref="AH81:AI81"/>
    <mergeCell ref="AK116:AL116"/>
    <mergeCell ref="T76:T77"/>
    <mergeCell ref="U76:U77"/>
    <mergeCell ref="Q53:Q54"/>
    <mergeCell ref="AM116:AN116"/>
    <mergeCell ref="E115:AN115"/>
    <mergeCell ref="AS28:AS30"/>
    <mergeCell ref="AP9:AP11"/>
    <mergeCell ref="AQ9:AQ11"/>
    <mergeCell ref="AQ28:AQ30"/>
    <mergeCell ref="AS9:AS11"/>
    <mergeCell ref="E52:V52"/>
    <mergeCell ref="AO115:AO117"/>
    <mergeCell ref="AP115:AP117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U116:V116"/>
    <mergeCell ref="W116:X116"/>
    <mergeCell ref="Y116:Z116"/>
    <mergeCell ref="AA116:AB116"/>
    <mergeCell ref="AC116:AD116"/>
    <mergeCell ref="AE116:AF116"/>
  </mergeCells>
  <dataValidations count="2">
    <dataValidation type="whole" operator="greaterThanOrEqual" allowBlank="1" showInputMessage="1" showErrorMessage="1" errorTitle="Error" error="Favor Ingrese sólo Números." sqref="C49:M50 C56:X57 C59:X60 C154:U154 F83:AN86 C91:F95 C97:F99 B104:O106 E13:AR26 B111:M113 E118:AP120 E31:AS45 B63:B74 AR122:AS126 AQ118:AR121 D124:K132 C78:U78" xr:uid="{00000000-0002-0000-0400-000000000000}">
      <formula1>0</formula1>
    </dataValidation>
    <dataValidation type="whole" operator="greaterThanOrEqual" allowBlank="1" showInputMessage="1" showErrorMessage="1" sqref="F137:AO150" xr:uid="{A67C3E29-BDE3-4EA0-82C3-5271CE65FE8D}">
      <formula1>0</formula1>
    </dataValidation>
  </dataValidations>
  <pageMargins left="0.7" right="0.7" top="0.75" bottom="0.75" header="0.3" footer="0.3"/>
  <pageSetup paperSize="9" orientation="portrait" r:id="rId1"/>
  <ignoredErrors>
    <ignoredError sqref="B104:B106" unlockedFormula="1"/>
    <ignoredError sqref="C34:D34 C12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DZ411"/>
  <sheetViews>
    <sheetView showGridLines="0" zoomScaleNormal="100" workbookViewId="0">
      <selection activeCell="A6" sqref="A6:P6"/>
    </sheetView>
  </sheetViews>
  <sheetFormatPr baseColWidth="10" defaultColWidth="11.42578125" defaultRowHeight="14.25" x14ac:dyDescent="0.2"/>
  <cols>
    <col min="1" max="1" width="31.5703125" style="4651" customWidth="1"/>
    <col min="2" max="2" width="37.42578125" style="4651" customWidth="1"/>
    <col min="3" max="3" width="12.140625" style="4651" customWidth="1"/>
    <col min="4" max="13" width="11.42578125" style="4651"/>
    <col min="14" max="14" width="12.7109375" style="4651" customWidth="1"/>
    <col min="15" max="16" width="11.42578125" style="4651"/>
    <col min="17" max="17" width="11.5703125" style="4651" customWidth="1"/>
    <col min="18" max="18" width="12.85546875" style="4651" customWidth="1"/>
    <col min="19" max="19" width="11.42578125" style="4651"/>
    <col min="20" max="20" width="10.85546875" style="4651" customWidth="1"/>
    <col min="21" max="21" width="12.42578125" style="4651" customWidth="1"/>
    <col min="22" max="22" width="12.28515625" style="4651" customWidth="1"/>
    <col min="23" max="23" width="11.42578125" style="4651"/>
    <col min="24" max="24" width="13" style="4651" customWidth="1"/>
    <col min="25" max="34" width="11.42578125" style="4651"/>
    <col min="35" max="35" width="10.7109375" style="4651" customWidth="1"/>
    <col min="36" max="36" width="11.5703125" style="4651" customWidth="1"/>
    <col min="37" max="37" width="10.42578125" style="4651" customWidth="1"/>
    <col min="38" max="45" width="11.42578125" style="4651"/>
    <col min="46" max="46" width="11.140625" style="4651" customWidth="1"/>
    <col min="47" max="48" width="11.42578125" style="4651"/>
    <col min="49" max="49" width="12.5703125" style="4651" customWidth="1"/>
    <col min="50" max="50" width="12.5703125" style="4879" customWidth="1"/>
    <col min="51" max="52" width="11.42578125" style="4879"/>
    <col min="53" max="66" width="11.42578125" style="4651"/>
    <col min="67" max="72" width="11.42578125" style="4651" customWidth="1"/>
    <col min="73" max="77" width="11.7109375" style="4651" customWidth="1"/>
    <col min="78" max="78" width="11.140625" style="4651" customWidth="1"/>
    <col min="79" max="104" width="11.140625" style="4688" hidden="1" customWidth="1"/>
    <col min="105" max="130" width="11.42578125" style="6209" hidden="1" customWidth="1"/>
    <col min="131" max="16384" width="11.42578125" style="4651"/>
  </cols>
  <sheetData>
    <row r="1" spans="1:114" ht="16.350000000000001" customHeight="1" x14ac:dyDescent="0.2">
      <c r="A1" s="4173" t="s">
        <v>206</v>
      </c>
    </row>
    <row r="2" spans="1:114" ht="16.350000000000001" customHeight="1" x14ac:dyDescent="0.2">
      <c r="A2" s="4173" t="str">
        <f>CONCATENATE("COMUNA: ",NOMBRE!B2," - ","( ",NOMBRE!C2,NOMBRE!D2,NOMBRE!E2,NOMBRE!F2,NOMBRE!G2," )")</f>
        <v>COMUNA:  - (  )</v>
      </c>
    </row>
    <row r="3" spans="1:114" ht="16.350000000000001" customHeight="1" x14ac:dyDescent="0.2">
      <c r="A3" s="4173" t="str">
        <f>CONCATENATE("ESTABLECIMIENTO/ESTRATEGIA: ",NOMBRE!B3," - ","( ",NOMBRE!C3,NOMBRE!D3,NOMBRE!E3,NOMBRE!F3,NOMBRE!G3,NOMBRE!H3," )")</f>
        <v>ESTABLECIMIENTO/ESTRATEGIA:  - (  )</v>
      </c>
    </row>
    <row r="4" spans="1:114" ht="16.350000000000001" customHeight="1" x14ac:dyDescent="0.2">
      <c r="A4" s="4173" t="str">
        <f>CONCATENATE("MES: ",NOMBRE!B6," - ","( ",NOMBRE!C6,NOMBRE!D6," )")</f>
        <v>MES:  - (  )</v>
      </c>
      <c r="AE4" s="6491"/>
      <c r="AF4" s="6491"/>
      <c r="AG4" s="6491"/>
      <c r="AH4" s="6491"/>
      <c r="AI4" s="6491"/>
      <c r="AJ4" s="6491"/>
      <c r="AK4" s="6491"/>
      <c r="AL4" s="6491"/>
      <c r="AM4" s="6491"/>
      <c r="AN4" s="6491"/>
      <c r="AO4" s="6491"/>
      <c r="AP4" s="6491"/>
      <c r="AQ4" s="6491"/>
      <c r="AR4" s="6491"/>
      <c r="AS4" s="6491"/>
      <c r="AT4" s="6491"/>
      <c r="AU4" s="6491"/>
      <c r="AV4" s="6491"/>
      <c r="AW4" s="6491"/>
    </row>
    <row r="5" spans="1:114" ht="16.350000000000001" customHeight="1" x14ac:dyDescent="0.2">
      <c r="A5" s="4173" t="str">
        <f>CONCATENATE("AÑO: ",NOMBRE!B7)</f>
        <v>AÑO: 2023</v>
      </c>
      <c r="AE5" s="6491"/>
      <c r="AF5" s="6491"/>
      <c r="AG5" s="6491"/>
      <c r="AH5" s="6491"/>
      <c r="AI5" s="6491"/>
      <c r="AJ5" s="6491"/>
      <c r="AK5" s="6491"/>
      <c r="AL5" s="6491"/>
      <c r="AM5" s="6491"/>
      <c r="AN5" s="6491"/>
      <c r="AO5" s="6491"/>
      <c r="AP5" s="6491"/>
      <c r="AQ5" s="6491"/>
      <c r="AR5" s="6491"/>
      <c r="AS5" s="6491"/>
      <c r="AT5" s="6491"/>
      <c r="AU5" s="6491"/>
      <c r="AV5" s="6491"/>
      <c r="AW5" s="6491"/>
    </row>
    <row r="6" spans="1:114" ht="15" x14ac:dyDescent="0.2">
      <c r="A6" s="8835" t="s">
        <v>893</v>
      </c>
      <c r="B6" s="8835"/>
      <c r="C6" s="8835"/>
      <c r="D6" s="8835"/>
      <c r="E6" s="8835"/>
      <c r="F6" s="8835"/>
      <c r="G6" s="8835"/>
      <c r="H6" s="8835"/>
      <c r="I6" s="8835"/>
      <c r="J6" s="8835"/>
      <c r="K6" s="8835"/>
      <c r="L6" s="8835"/>
      <c r="M6" s="8835"/>
      <c r="N6" s="8835"/>
      <c r="O6" s="8835"/>
      <c r="P6" s="8835"/>
      <c r="Q6" s="4658"/>
      <c r="R6" s="4658"/>
      <c r="S6" s="4658"/>
      <c r="T6" s="4658"/>
      <c r="U6" s="4658"/>
      <c r="V6" s="4658"/>
      <c r="W6" s="4173"/>
      <c r="X6" s="5427"/>
      <c r="Y6" s="5427"/>
      <c r="Z6" s="5427"/>
      <c r="AA6" s="5427"/>
      <c r="AB6" s="5427"/>
      <c r="AC6" s="5427"/>
      <c r="AD6" s="5427"/>
      <c r="AE6" s="6492"/>
      <c r="AF6" s="6492"/>
      <c r="AG6" s="6492"/>
      <c r="AH6" s="6492"/>
      <c r="AI6" s="6492"/>
      <c r="AJ6" s="6492"/>
      <c r="AK6" s="6492"/>
      <c r="AL6" s="6492"/>
      <c r="AM6" s="6492"/>
      <c r="AN6" s="6492"/>
      <c r="AO6" s="6492"/>
      <c r="AP6" s="6492"/>
      <c r="AQ6" s="6492"/>
      <c r="AR6" s="6492"/>
      <c r="AS6" s="6492"/>
      <c r="AT6" s="6492"/>
      <c r="AU6" s="6492"/>
      <c r="AV6" s="6492"/>
      <c r="AW6" s="6491"/>
    </row>
    <row r="7" spans="1:114" ht="15" x14ac:dyDescent="0.2">
      <c r="A7" s="6148"/>
      <c r="B7" s="6148"/>
      <c r="C7" s="4078"/>
      <c r="D7" s="4078"/>
      <c r="E7" s="4078"/>
      <c r="F7" s="4078"/>
      <c r="G7" s="4078"/>
      <c r="H7" s="4078"/>
      <c r="I7" s="4078"/>
      <c r="J7" s="4078"/>
      <c r="K7" s="4078"/>
      <c r="L7" s="4078"/>
      <c r="M7" s="4078"/>
      <c r="N7" s="4078"/>
      <c r="O7" s="4078"/>
      <c r="P7" s="4078"/>
      <c r="Q7" s="4658"/>
      <c r="R7" s="4658"/>
      <c r="S7" s="4658"/>
      <c r="T7" s="4658"/>
      <c r="U7" s="4658"/>
      <c r="V7" s="4658"/>
      <c r="W7" s="4173"/>
      <c r="X7" s="5427"/>
      <c r="Y7" s="5427"/>
      <c r="Z7" s="5427"/>
      <c r="AA7" s="5427"/>
      <c r="AB7" s="5427"/>
      <c r="AC7" s="5427"/>
      <c r="AD7" s="5427"/>
      <c r="AE7" s="6492"/>
      <c r="AF7" s="6492"/>
      <c r="AG7" s="6492"/>
      <c r="AH7" s="6492"/>
      <c r="AI7" s="6492"/>
      <c r="AJ7" s="6492"/>
      <c r="AK7" s="6492"/>
      <c r="AL7" s="6492"/>
      <c r="AM7" s="6492"/>
      <c r="AN7" s="6492"/>
      <c r="AO7" s="6492"/>
      <c r="AP7" s="6492"/>
      <c r="AQ7" s="6492"/>
      <c r="AR7" s="6492"/>
      <c r="AS7" s="6492"/>
      <c r="AT7" s="6492"/>
      <c r="AU7" s="6492"/>
      <c r="AV7" s="6492"/>
      <c r="AW7" s="6491"/>
    </row>
    <row r="8" spans="1:114" ht="31.35" customHeight="1" x14ac:dyDescent="0.2">
      <c r="A8" s="4661" t="s">
        <v>892</v>
      </c>
      <c r="B8" s="4328"/>
      <c r="C8" s="4328"/>
      <c r="D8" s="4328"/>
      <c r="E8" s="4328"/>
      <c r="F8" s="4328"/>
      <c r="G8" s="4328"/>
      <c r="H8" s="4328"/>
      <c r="I8" s="4328"/>
      <c r="Q8" s="4657"/>
      <c r="R8" s="4657"/>
      <c r="S8" s="4657"/>
      <c r="T8" s="4657"/>
      <c r="U8" s="4657"/>
      <c r="V8" s="4657"/>
      <c r="W8" s="4657"/>
      <c r="X8" s="5516"/>
      <c r="Y8" s="5516"/>
      <c r="Z8" s="5516"/>
      <c r="AA8" s="5516"/>
      <c r="AB8" s="5516"/>
      <c r="AC8" s="5516"/>
      <c r="AD8" s="5427"/>
      <c r="AE8" s="6492"/>
      <c r="AF8" s="6492"/>
      <c r="AG8" s="6492"/>
      <c r="AH8" s="6492"/>
      <c r="AI8" s="6492"/>
      <c r="AJ8" s="6492"/>
      <c r="AK8" s="6492"/>
      <c r="AL8" s="6492"/>
      <c r="AM8" s="6492"/>
      <c r="AN8" s="6492"/>
      <c r="AO8" s="6492"/>
      <c r="AP8" s="6492"/>
      <c r="AQ8" s="6492"/>
      <c r="AR8" s="6492"/>
      <c r="AS8" s="6492"/>
      <c r="AT8" s="6492"/>
      <c r="AU8" s="6492"/>
      <c r="AV8" s="6492"/>
      <c r="AW8" s="6491"/>
    </row>
    <row r="9" spans="1:114" ht="16.350000000000001" customHeight="1" x14ac:dyDescent="0.2">
      <c r="A9" s="8663" t="s">
        <v>803</v>
      </c>
      <c r="B9" s="8664"/>
      <c r="C9" s="8652" t="s">
        <v>1</v>
      </c>
      <c r="D9" s="8828" t="s">
        <v>55</v>
      </c>
      <c r="E9" s="8829"/>
      <c r="F9" s="8829"/>
      <c r="G9" s="8829"/>
      <c r="H9" s="8829"/>
      <c r="I9" s="8829"/>
      <c r="J9" s="8829"/>
      <c r="K9" s="8829"/>
      <c r="L9" s="8829"/>
      <c r="M9" s="8830"/>
      <c r="N9" s="8652" t="s">
        <v>3970</v>
      </c>
      <c r="O9" s="8652" t="s">
        <v>360</v>
      </c>
      <c r="P9" s="8652" t="s">
        <v>359</v>
      </c>
      <c r="Q9" s="8652" t="s">
        <v>3971</v>
      </c>
      <c r="R9" s="8652" t="s">
        <v>3972</v>
      </c>
      <c r="S9" s="4627"/>
      <c r="T9" s="4627"/>
      <c r="U9" s="4627"/>
      <c r="V9" s="5516"/>
      <c r="W9" s="5516"/>
      <c r="X9" s="5516"/>
      <c r="Y9" s="5516"/>
      <c r="Z9" s="5516"/>
      <c r="AA9" s="5516"/>
      <c r="AB9" s="5516"/>
      <c r="AC9" s="5427"/>
      <c r="AD9" s="5427"/>
      <c r="AE9" s="6492"/>
      <c r="AF9" s="6492"/>
      <c r="AG9" s="6492"/>
      <c r="AH9" s="6492"/>
      <c r="AI9" s="6492"/>
      <c r="AJ9" s="6492"/>
      <c r="AK9" s="6492"/>
      <c r="AL9" s="6492"/>
      <c r="AM9" s="6492"/>
      <c r="AN9" s="6492"/>
      <c r="AO9" s="6493"/>
      <c r="AP9" s="6493"/>
      <c r="AQ9" s="6493"/>
      <c r="AR9" s="6493"/>
      <c r="AS9" s="6493"/>
      <c r="AT9" s="6493"/>
      <c r="AU9" s="6493"/>
      <c r="AV9" s="6493"/>
      <c r="AW9" s="6491"/>
      <c r="BY9" s="4652"/>
    </row>
    <row r="10" spans="1:114" ht="25.35" customHeight="1" x14ac:dyDescent="0.2">
      <c r="A10" s="8695"/>
      <c r="B10" s="8689"/>
      <c r="C10" s="8653"/>
      <c r="D10" s="6494" t="s">
        <v>3529</v>
      </c>
      <c r="E10" s="5619" t="s">
        <v>80</v>
      </c>
      <c r="F10" s="5619" t="s">
        <v>81</v>
      </c>
      <c r="G10" s="5619" t="s">
        <v>82</v>
      </c>
      <c r="H10" s="5619" t="s">
        <v>83</v>
      </c>
      <c r="I10" s="5619" t="s">
        <v>398</v>
      </c>
      <c r="J10" s="5619" t="s">
        <v>124</v>
      </c>
      <c r="K10" s="5619" t="s">
        <v>125</v>
      </c>
      <c r="L10" s="5619" t="s">
        <v>126</v>
      </c>
      <c r="M10" s="6976" t="s">
        <v>1301</v>
      </c>
      <c r="N10" s="8653"/>
      <c r="O10" s="8653"/>
      <c r="P10" s="8653"/>
      <c r="Q10" s="8653"/>
      <c r="R10" s="8653"/>
      <c r="S10" s="4627"/>
      <c r="T10" s="6495"/>
      <c r="U10" s="4627"/>
      <c r="V10" s="4627"/>
      <c r="W10" s="4627"/>
      <c r="X10" s="4627"/>
      <c r="Y10" s="4627"/>
      <c r="Z10" s="4627"/>
      <c r="AA10" s="4627"/>
      <c r="AB10" s="4627"/>
      <c r="AC10" s="4328"/>
      <c r="AD10" s="4328"/>
      <c r="AE10" s="6496"/>
      <c r="AF10" s="6496"/>
      <c r="AG10" s="6496"/>
      <c r="AH10" s="6496"/>
      <c r="AI10" s="6496"/>
      <c r="AJ10" s="6496"/>
      <c r="AK10" s="6496"/>
      <c r="AL10" s="6496"/>
      <c r="AM10" s="6496"/>
      <c r="AN10" s="6497"/>
      <c r="AO10" s="6497"/>
      <c r="AP10" s="6497"/>
      <c r="AQ10" s="6497"/>
      <c r="AR10" s="6497"/>
      <c r="AS10" s="6497"/>
      <c r="AT10" s="6497"/>
      <c r="AU10" s="6497"/>
      <c r="AV10" s="6497"/>
      <c r="AW10" s="6491"/>
      <c r="BY10" s="4652"/>
    </row>
    <row r="11" spans="1:114" ht="16.350000000000001" customHeight="1" x14ac:dyDescent="0.2">
      <c r="A11" s="8836" t="s">
        <v>891</v>
      </c>
      <c r="B11" s="8836"/>
      <c r="C11" s="6498">
        <f>SUM(D11:M11)</f>
        <v>0</v>
      </c>
      <c r="D11" s="6499"/>
      <c r="E11" s="6500"/>
      <c r="F11" s="6500"/>
      <c r="G11" s="6500"/>
      <c r="H11" s="6500"/>
      <c r="I11" s="6500"/>
      <c r="J11" s="6500"/>
      <c r="K11" s="6500"/>
      <c r="L11" s="6501"/>
      <c r="M11" s="6502"/>
      <c r="N11" s="6503"/>
      <c r="O11" s="6503"/>
      <c r="P11" s="6503"/>
      <c r="Q11" s="6503"/>
      <c r="R11" s="6503"/>
      <c r="S11" s="6019"/>
      <c r="T11" s="4684"/>
      <c r="U11" s="4684"/>
      <c r="V11" s="4684"/>
      <c r="W11" s="4684"/>
      <c r="X11" s="4684"/>
      <c r="Y11" s="4684"/>
      <c r="Z11" s="4684"/>
      <c r="AA11" s="4684"/>
      <c r="AB11" s="4627"/>
      <c r="AC11" s="4328"/>
      <c r="AD11" s="4328"/>
      <c r="AE11" s="6496"/>
      <c r="AF11" s="6496"/>
      <c r="AG11" s="6496"/>
      <c r="AH11" s="6496"/>
      <c r="AI11" s="6496"/>
      <c r="AJ11" s="6497"/>
      <c r="AK11" s="6497"/>
      <c r="AL11" s="6497"/>
      <c r="AM11" s="6497"/>
      <c r="AN11" s="6497"/>
      <c r="AO11" s="6497"/>
      <c r="AP11" s="6497"/>
      <c r="AQ11" s="6497"/>
      <c r="AR11" s="6497"/>
      <c r="AS11" s="6497"/>
      <c r="AT11" s="6497"/>
      <c r="AU11" s="6497"/>
      <c r="AV11" s="6497"/>
      <c r="AW11" s="6491"/>
      <c r="BY11" s="4652"/>
      <c r="DB11" s="6209">
        <v>0</v>
      </c>
      <c r="DD11" s="6209">
        <v>0</v>
      </c>
      <c r="DF11" s="6209">
        <v>0</v>
      </c>
      <c r="DJ11" s="6209">
        <v>0</v>
      </c>
    </row>
    <row r="12" spans="1:114" ht="16.350000000000001" customHeight="1" x14ac:dyDescent="0.2">
      <c r="A12" s="8839" t="s">
        <v>890</v>
      </c>
      <c r="B12" s="8839"/>
      <c r="C12" s="6505">
        <f>SUM(D12:M12)</f>
        <v>0</v>
      </c>
      <c r="D12" s="4778"/>
      <c r="E12" s="4779"/>
      <c r="F12" s="4779"/>
      <c r="G12" s="4779"/>
      <c r="H12" s="4779"/>
      <c r="I12" s="4779"/>
      <c r="J12" s="4779"/>
      <c r="K12" s="4779"/>
      <c r="L12" s="4780"/>
      <c r="M12" s="6506"/>
      <c r="N12" s="4866"/>
      <c r="O12" s="4866"/>
      <c r="P12" s="4866"/>
      <c r="Q12" s="4866"/>
      <c r="R12" s="4866"/>
      <c r="S12" s="6019"/>
      <c r="T12" s="4684"/>
      <c r="U12" s="4684"/>
      <c r="V12" s="4684"/>
      <c r="W12" s="4684"/>
      <c r="X12" s="4684"/>
      <c r="Y12" s="4684"/>
      <c r="Z12" s="4684"/>
      <c r="AA12" s="4684"/>
      <c r="AB12" s="4627"/>
      <c r="AC12" s="4328"/>
      <c r="AD12" s="4328"/>
      <c r="AE12" s="6496"/>
      <c r="AF12" s="6496"/>
      <c r="AG12" s="6496"/>
      <c r="AH12" s="6496"/>
      <c r="AI12" s="6496"/>
      <c r="AJ12" s="6497"/>
      <c r="AK12" s="6497"/>
      <c r="AL12" s="6497"/>
      <c r="AM12" s="6497"/>
      <c r="AN12" s="6496"/>
      <c r="AO12" s="6496"/>
      <c r="AP12" s="6497"/>
      <c r="AQ12" s="6497"/>
      <c r="AR12" s="6497"/>
      <c r="AS12" s="6497"/>
      <c r="AT12" s="6497"/>
      <c r="AU12" s="6497"/>
      <c r="AV12" s="6497"/>
      <c r="AW12" s="6491"/>
      <c r="BY12" s="4652"/>
      <c r="DB12" s="6209">
        <v>0</v>
      </c>
      <c r="DD12" s="6209">
        <v>0</v>
      </c>
      <c r="DF12" s="6209">
        <v>0</v>
      </c>
      <c r="DJ12" s="6209">
        <v>0</v>
      </c>
    </row>
    <row r="13" spans="1:114" ht="16.5" customHeight="1" x14ac:dyDescent="0.2">
      <c r="A13" s="8672" t="s">
        <v>889</v>
      </c>
      <c r="B13" s="8670"/>
      <c r="C13" s="6505">
        <f>SUM(D13:M13)</f>
        <v>0</v>
      </c>
      <c r="D13" s="4778"/>
      <c r="E13" s="4779"/>
      <c r="F13" s="4779"/>
      <c r="G13" s="4779"/>
      <c r="H13" s="4779"/>
      <c r="I13" s="4779"/>
      <c r="J13" s="4779"/>
      <c r="K13" s="4779"/>
      <c r="L13" s="4780"/>
      <c r="M13" s="6506"/>
      <c r="N13" s="4866"/>
      <c r="O13" s="4866"/>
      <c r="P13" s="4866"/>
      <c r="Q13" s="4866"/>
      <c r="R13" s="4866"/>
      <c r="S13" s="6019"/>
      <c r="T13" s="4684"/>
      <c r="U13" s="4684"/>
      <c r="V13" s="4684"/>
      <c r="W13" s="4684"/>
      <c r="X13" s="4684"/>
      <c r="Y13" s="4684"/>
      <c r="Z13" s="4684"/>
      <c r="AA13" s="4684"/>
      <c r="AB13" s="4627"/>
      <c r="AC13" s="4328"/>
      <c r="AD13" s="4328"/>
      <c r="AE13" s="6496"/>
      <c r="AF13" s="6496"/>
      <c r="AG13" s="6496"/>
      <c r="AH13" s="6496"/>
      <c r="AI13" s="6496"/>
      <c r="AJ13" s="6497"/>
      <c r="AK13" s="6497"/>
      <c r="AL13" s="6497"/>
      <c r="AM13" s="6497"/>
      <c r="AN13" s="6496"/>
      <c r="AO13" s="6496"/>
      <c r="AP13" s="6496"/>
      <c r="AQ13" s="6497"/>
      <c r="AR13" s="6497"/>
      <c r="AS13" s="6497"/>
      <c r="AT13" s="6497"/>
      <c r="AU13" s="6497"/>
      <c r="AV13" s="6497"/>
      <c r="AW13" s="6491"/>
      <c r="BY13" s="4652"/>
      <c r="DB13" s="6209">
        <v>0</v>
      </c>
      <c r="DD13" s="6209">
        <v>0</v>
      </c>
      <c r="DF13" s="6209">
        <v>0</v>
      </c>
      <c r="DJ13" s="6209">
        <v>0</v>
      </c>
    </row>
    <row r="14" spans="1:114" ht="16.350000000000001" customHeight="1" x14ac:dyDescent="0.2">
      <c r="A14" s="8840" t="s">
        <v>888</v>
      </c>
      <c r="B14" s="8841"/>
      <c r="C14" s="6507">
        <f>SUM(D14:M14)</f>
        <v>0</v>
      </c>
      <c r="D14" s="5348"/>
      <c r="E14" s="4314"/>
      <c r="F14" s="4314"/>
      <c r="G14" s="4314"/>
      <c r="H14" s="4314"/>
      <c r="I14" s="4314"/>
      <c r="J14" s="4314"/>
      <c r="K14" s="4314"/>
      <c r="L14" s="6031"/>
      <c r="M14" s="4831"/>
      <c r="N14" s="6205"/>
      <c r="O14" s="6205"/>
      <c r="P14" s="6205"/>
      <c r="Q14" s="6205"/>
      <c r="R14" s="6205"/>
      <c r="S14" s="6019"/>
      <c r="T14" s="4684"/>
      <c r="U14" s="4684"/>
      <c r="V14" s="4684"/>
      <c r="W14" s="4684"/>
      <c r="X14" s="4684"/>
      <c r="Y14" s="4684"/>
      <c r="Z14" s="4684"/>
      <c r="AA14" s="4684"/>
      <c r="AB14" s="4627"/>
      <c r="AC14" s="4328"/>
      <c r="AD14" s="4328"/>
      <c r="AE14" s="6496"/>
      <c r="AF14" s="6496"/>
      <c r="AG14" s="6496"/>
      <c r="AH14" s="6496"/>
      <c r="AI14" s="6496"/>
      <c r="AJ14" s="6496"/>
      <c r="AK14" s="6496"/>
      <c r="AL14" s="6496"/>
      <c r="AM14" s="6496"/>
      <c r="AN14" s="6497"/>
      <c r="AO14" s="6497"/>
      <c r="AP14" s="6497"/>
      <c r="AQ14" s="6497"/>
      <c r="AR14" s="6497"/>
      <c r="AS14" s="6497"/>
      <c r="AT14" s="6497"/>
      <c r="AU14" s="6497"/>
      <c r="AV14" s="6497"/>
      <c r="AW14" s="6491"/>
      <c r="BY14" s="4652"/>
      <c r="DB14" s="6209">
        <v>0</v>
      </c>
      <c r="DD14" s="6209">
        <v>0</v>
      </c>
      <c r="DF14" s="6209">
        <v>0</v>
      </c>
      <c r="DJ14" s="6209">
        <v>0</v>
      </c>
    </row>
    <row r="15" spans="1:114" ht="31.35" customHeight="1" x14ac:dyDescent="0.2">
      <c r="A15" s="4661" t="s">
        <v>887</v>
      </c>
      <c r="B15" s="4661"/>
      <c r="C15" s="4661"/>
      <c r="D15" s="4661"/>
      <c r="E15" s="4661"/>
      <c r="F15" s="4661"/>
      <c r="G15" s="4661"/>
      <c r="H15" s="4661"/>
      <c r="I15" s="4661"/>
      <c r="J15" s="4661"/>
      <c r="K15" s="4661"/>
      <c r="L15" s="4661"/>
      <c r="M15" s="4661"/>
      <c r="N15" s="4661"/>
      <c r="O15" s="4328"/>
      <c r="P15" s="4328"/>
      <c r="Q15" s="4627"/>
      <c r="R15" s="4627"/>
      <c r="S15" s="4627"/>
      <c r="T15" s="4627"/>
      <c r="U15" s="4627"/>
      <c r="V15" s="4627"/>
      <c r="W15" s="4627"/>
      <c r="X15" s="4627"/>
      <c r="Y15" s="4627"/>
      <c r="Z15" s="4627"/>
      <c r="AA15" s="4627"/>
      <c r="AB15" s="4627"/>
      <c r="AC15" s="4627"/>
      <c r="AD15" s="4328"/>
      <c r="AE15" s="6496"/>
      <c r="AF15" s="6496"/>
      <c r="AG15" s="6496"/>
      <c r="AH15" s="6496"/>
      <c r="AI15" s="6496"/>
      <c r="AJ15" s="6496"/>
      <c r="AK15" s="6496"/>
      <c r="AL15" s="6496"/>
      <c r="AM15" s="6496"/>
      <c r="AN15" s="6496"/>
      <c r="AO15" s="6496"/>
      <c r="AP15" s="6496"/>
      <c r="AQ15" s="6496"/>
      <c r="AR15" s="6496"/>
      <c r="AS15" s="6496"/>
      <c r="AT15" s="6496"/>
      <c r="AU15" s="6496"/>
      <c r="AV15" s="6496"/>
      <c r="AW15" s="6491"/>
    </row>
    <row r="16" spans="1:114" ht="16.350000000000001" customHeight="1" x14ac:dyDescent="0.2">
      <c r="A16" s="8663" t="s">
        <v>886</v>
      </c>
      <c r="B16" s="8664"/>
      <c r="C16" s="8820" t="s">
        <v>885</v>
      </c>
      <c r="D16" s="8822" t="s">
        <v>884</v>
      </c>
      <c r="E16" s="8822" t="s">
        <v>360</v>
      </c>
      <c r="F16" s="8206" t="s">
        <v>359</v>
      </c>
      <c r="G16" s="4328"/>
      <c r="H16" s="4328"/>
      <c r="I16" s="4328"/>
      <c r="J16" s="4328"/>
      <c r="K16" s="4328"/>
      <c r="L16" s="4328"/>
      <c r="M16" s="4328"/>
      <c r="N16" s="4328"/>
      <c r="O16" s="4328"/>
      <c r="P16" s="4328"/>
      <c r="Q16" s="4627"/>
      <c r="R16" s="4627"/>
      <c r="S16" s="4627"/>
      <c r="T16" s="4627"/>
      <c r="U16" s="4627"/>
      <c r="V16" s="4627"/>
      <c r="W16" s="4627"/>
      <c r="X16" s="4627"/>
      <c r="Y16" s="4627"/>
      <c r="Z16" s="4627"/>
      <c r="AA16" s="4627"/>
      <c r="AB16" s="4627"/>
      <c r="AC16" s="4627"/>
      <c r="AD16" s="4328"/>
      <c r="AE16" s="6496"/>
      <c r="AF16" s="6497"/>
      <c r="AG16" s="6497"/>
      <c r="AH16" s="6497"/>
      <c r="AI16" s="6497"/>
      <c r="AJ16" s="6497"/>
      <c r="AK16" s="6497"/>
      <c r="AL16" s="6497"/>
      <c r="AM16" s="6497"/>
      <c r="AN16" s="6497"/>
      <c r="AO16" s="6497"/>
      <c r="AP16" s="6497"/>
      <c r="AQ16" s="6497"/>
      <c r="AR16" s="6497"/>
      <c r="AS16" s="6497"/>
      <c r="AT16" s="6497"/>
      <c r="AU16" s="6497"/>
      <c r="AV16" s="6497"/>
      <c r="AW16" s="6491"/>
    </row>
    <row r="17" spans="1:110" ht="25.35" customHeight="1" x14ac:dyDescent="0.2">
      <c r="A17" s="8695"/>
      <c r="B17" s="8689"/>
      <c r="C17" s="8821"/>
      <c r="D17" s="8823"/>
      <c r="E17" s="8823"/>
      <c r="F17" s="8723"/>
      <c r="G17" s="4627"/>
      <c r="H17" s="4627"/>
      <c r="I17" s="4627"/>
      <c r="J17" s="4627"/>
      <c r="K17" s="4627"/>
      <c r="L17" s="4627"/>
      <c r="M17" s="4627"/>
      <c r="N17" s="4627"/>
      <c r="O17" s="4627"/>
      <c r="P17" s="4627"/>
      <c r="Q17" s="4627"/>
      <c r="R17" s="4627"/>
      <c r="S17" s="4627"/>
      <c r="T17" s="4627"/>
      <c r="U17" s="4627"/>
      <c r="V17" s="4627"/>
      <c r="W17" s="4627"/>
      <c r="X17" s="4627"/>
      <c r="Y17" s="4627"/>
      <c r="Z17" s="4627"/>
      <c r="AA17" s="4627"/>
      <c r="AB17" s="4627"/>
      <c r="AC17" s="4627"/>
      <c r="AD17" s="4328"/>
      <c r="AE17" s="6496"/>
      <c r="AF17" s="6497"/>
      <c r="AG17" s="6497"/>
      <c r="AH17" s="6497"/>
      <c r="AI17" s="6497"/>
      <c r="AJ17" s="6497"/>
      <c r="AK17" s="6497"/>
      <c r="AL17" s="6497"/>
      <c r="AM17" s="6497"/>
      <c r="AN17" s="6497"/>
      <c r="AO17" s="6497"/>
      <c r="AP17" s="6497"/>
      <c r="AQ17" s="6497"/>
      <c r="AR17" s="6497"/>
      <c r="AS17" s="6497"/>
      <c r="AT17" s="6497"/>
      <c r="AU17" s="6497"/>
      <c r="AV17" s="6497"/>
      <c r="AW17" s="6491"/>
    </row>
    <row r="18" spans="1:110" ht="16.350000000000001" customHeight="1" x14ac:dyDescent="0.2">
      <c r="A18" s="8837" t="s">
        <v>883</v>
      </c>
      <c r="B18" s="8838"/>
      <c r="C18" s="6293"/>
      <c r="D18" s="6508"/>
      <c r="E18" s="6508"/>
      <c r="F18" s="4343"/>
      <c r="G18" s="6509"/>
      <c r="H18" s="4684"/>
      <c r="I18" s="4684"/>
      <c r="J18" s="4684"/>
      <c r="K18" s="4684"/>
      <c r="L18" s="4684"/>
      <c r="M18" s="4684"/>
      <c r="N18" s="4684"/>
      <c r="O18" s="4684"/>
      <c r="P18" s="4684"/>
      <c r="Q18" s="4684"/>
      <c r="R18" s="4684"/>
      <c r="S18" s="4627"/>
      <c r="T18" s="4627"/>
      <c r="U18" s="4627"/>
      <c r="V18" s="4627"/>
      <c r="W18" s="4627"/>
      <c r="X18" s="4627"/>
      <c r="Y18" s="4627"/>
      <c r="Z18" s="4627"/>
      <c r="AA18" s="4627"/>
      <c r="AB18" s="4627"/>
      <c r="AC18" s="4627"/>
      <c r="AD18" s="4328"/>
      <c r="AE18" s="6496"/>
      <c r="AF18" s="6497"/>
      <c r="AG18" s="6497"/>
      <c r="AH18" s="6497"/>
      <c r="AI18" s="6497"/>
      <c r="AJ18" s="6497"/>
      <c r="AK18" s="6497"/>
      <c r="AL18" s="6497"/>
      <c r="AM18" s="6497"/>
      <c r="AN18" s="6497"/>
      <c r="AO18" s="6497"/>
      <c r="AP18" s="6497"/>
      <c r="AQ18" s="6497"/>
      <c r="AR18" s="6497"/>
      <c r="AS18" s="6497"/>
      <c r="AT18" s="6497"/>
      <c r="AU18" s="6497"/>
      <c r="AV18" s="6497"/>
      <c r="AW18" s="6491"/>
      <c r="CA18" s="6510"/>
      <c r="CB18" s="6510"/>
      <c r="CC18" s="6510"/>
      <c r="DB18" s="6209">
        <v>0</v>
      </c>
      <c r="DD18" s="6209">
        <v>0</v>
      </c>
      <c r="DF18" s="6209">
        <v>0</v>
      </c>
    </row>
    <row r="19" spans="1:110" ht="16.350000000000001" customHeight="1" x14ac:dyDescent="0.2">
      <c r="A19" s="8842" t="s">
        <v>882</v>
      </c>
      <c r="B19" s="8843"/>
      <c r="C19" s="4374"/>
      <c r="D19" s="6511"/>
      <c r="E19" s="6511"/>
      <c r="F19" s="4351"/>
      <c r="G19" s="6509"/>
      <c r="H19" s="4684"/>
      <c r="I19" s="4684"/>
      <c r="J19" s="4684"/>
      <c r="K19" s="4684"/>
      <c r="L19" s="4684"/>
      <c r="M19" s="4684"/>
      <c r="N19" s="4684"/>
      <c r="O19" s="4684"/>
      <c r="P19" s="4684"/>
      <c r="Q19" s="4684"/>
      <c r="R19" s="4684"/>
      <c r="S19" s="4627"/>
      <c r="T19" s="4627"/>
      <c r="U19" s="4627"/>
      <c r="V19" s="4627"/>
      <c r="W19" s="4627"/>
      <c r="X19" s="4627"/>
      <c r="Y19" s="4627"/>
      <c r="Z19" s="4627"/>
      <c r="AA19" s="4627"/>
      <c r="AB19" s="4627"/>
      <c r="AC19" s="4627"/>
      <c r="AD19" s="4328"/>
      <c r="AE19" s="6496"/>
      <c r="AF19" s="6497"/>
      <c r="AG19" s="6497"/>
      <c r="AH19" s="6497"/>
      <c r="AI19" s="6497"/>
      <c r="AJ19" s="6497"/>
      <c r="AK19" s="6497"/>
      <c r="AL19" s="6497"/>
      <c r="AM19" s="6497"/>
      <c r="AN19" s="6497"/>
      <c r="AO19" s="6497"/>
      <c r="AP19" s="6497"/>
      <c r="AQ19" s="6497"/>
      <c r="AR19" s="6497"/>
      <c r="AS19" s="6497"/>
      <c r="AT19" s="6497"/>
      <c r="AU19" s="6497"/>
      <c r="AV19" s="6497"/>
      <c r="AW19" s="6491"/>
      <c r="DB19" s="6209">
        <v>0</v>
      </c>
      <c r="DD19" s="6209">
        <v>0</v>
      </c>
      <c r="DF19" s="6209">
        <v>0</v>
      </c>
    </row>
    <row r="20" spans="1:110" ht="16.350000000000001" customHeight="1" x14ac:dyDescent="0.2">
      <c r="A20" s="8792" t="s">
        <v>881</v>
      </c>
      <c r="B20" s="8793"/>
      <c r="C20" s="4356"/>
      <c r="D20" s="4291"/>
      <c r="E20" s="4291"/>
      <c r="F20" s="4288"/>
      <c r="G20" s="6509"/>
      <c r="H20" s="4684"/>
      <c r="I20" s="4684"/>
      <c r="J20" s="4684"/>
      <c r="K20" s="4684"/>
      <c r="L20" s="4684"/>
      <c r="M20" s="4684"/>
      <c r="N20" s="4684"/>
      <c r="O20" s="4684"/>
      <c r="P20" s="4684"/>
      <c r="Q20" s="4684"/>
      <c r="R20" s="4684"/>
      <c r="S20" s="4627"/>
      <c r="T20" s="4627"/>
      <c r="U20" s="4627"/>
      <c r="V20" s="4627"/>
      <c r="W20" s="4627"/>
      <c r="X20" s="4627"/>
      <c r="Y20" s="4627"/>
      <c r="Z20" s="4627"/>
      <c r="AA20" s="4627"/>
      <c r="AB20" s="4627"/>
      <c r="AC20" s="4627"/>
      <c r="AD20" s="4328"/>
      <c r="AE20" s="6496"/>
      <c r="AF20" s="6497"/>
      <c r="AG20" s="6497"/>
      <c r="AH20" s="6497"/>
      <c r="AI20" s="6497"/>
      <c r="AJ20" s="6497"/>
      <c r="AK20" s="6497"/>
      <c r="AL20" s="6497"/>
      <c r="AM20" s="6497"/>
      <c r="AN20" s="6497"/>
      <c r="AO20" s="6497"/>
      <c r="AP20" s="6497"/>
      <c r="AQ20" s="6497"/>
      <c r="AR20" s="6497"/>
      <c r="AS20" s="6497"/>
      <c r="AT20" s="6497"/>
      <c r="AU20" s="6497"/>
      <c r="AV20" s="6497"/>
      <c r="AW20" s="6491"/>
      <c r="CA20" s="6510"/>
      <c r="CB20" s="6510"/>
      <c r="CC20" s="6510"/>
      <c r="DB20" s="6209">
        <v>0</v>
      </c>
      <c r="DD20" s="6209">
        <v>0</v>
      </c>
      <c r="DF20" s="6209">
        <v>0</v>
      </c>
    </row>
    <row r="21" spans="1:110" ht="24.75" customHeight="1" x14ac:dyDescent="0.2">
      <c r="A21" s="8792" t="s">
        <v>880</v>
      </c>
      <c r="B21" s="8793"/>
      <c r="C21" s="4356"/>
      <c r="D21" s="4291"/>
      <c r="E21" s="4291"/>
      <c r="F21" s="4288"/>
      <c r="G21" s="6509"/>
      <c r="H21" s="4684"/>
      <c r="I21" s="4684"/>
      <c r="J21" s="4684"/>
      <c r="K21" s="4684"/>
      <c r="L21" s="4684"/>
      <c r="M21" s="4684"/>
      <c r="N21" s="4684"/>
      <c r="O21" s="4684"/>
      <c r="P21" s="4684"/>
      <c r="Q21" s="4684"/>
      <c r="R21" s="4684"/>
      <c r="S21" s="4627"/>
      <c r="T21" s="4627"/>
      <c r="U21" s="4627"/>
      <c r="V21" s="4627"/>
      <c r="W21" s="4627"/>
      <c r="X21" s="4627"/>
      <c r="Y21" s="4627"/>
      <c r="Z21" s="4627"/>
      <c r="AA21" s="4627"/>
      <c r="AB21" s="4627"/>
      <c r="AC21" s="4627"/>
      <c r="AD21" s="4328"/>
      <c r="AE21" s="6496"/>
      <c r="AF21" s="6497"/>
      <c r="AG21" s="6497"/>
      <c r="AH21" s="6497"/>
      <c r="AI21" s="6497"/>
      <c r="AJ21" s="6497"/>
      <c r="AK21" s="6497"/>
      <c r="AL21" s="6497"/>
      <c r="AM21" s="6497"/>
      <c r="AN21" s="6497"/>
      <c r="AO21" s="6497"/>
      <c r="AP21" s="6497"/>
      <c r="AQ21" s="6497"/>
      <c r="AR21" s="6497"/>
      <c r="AS21" s="6497"/>
      <c r="AT21" s="6497"/>
      <c r="AU21" s="6497"/>
      <c r="AV21" s="6497"/>
      <c r="AW21" s="6491"/>
      <c r="DB21" s="6209">
        <v>0</v>
      </c>
      <c r="DD21" s="6209">
        <v>0</v>
      </c>
      <c r="DF21" s="6209">
        <v>0</v>
      </c>
    </row>
    <row r="22" spans="1:110" ht="16.350000000000001" customHeight="1" x14ac:dyDescent="0.2">
      <c r="A22" s="8792" t="s">
        <v>879</v>
      </c>
      <c r="B22" s="8793"/>
      <c r="C22" s="4356"/>
      <c r="D22" s="4291"/>
      <c r="E22" s="4291"/>
      <c r="F22" s="4288"/>
      <c r="G22" s="6509"/>
      <c r="H22" s="4684"/>
      <c r="I22" s="4684"/>
      <c r="J22" s="4684"/>
      <c r="K22" s="4684"/>
      <c r="L22" s="4684"/>
      <c r="M22" s="4684"/>
      <c r="N22" s="4684"/>
      <c r="O22" s="4684"/>
      <c r="P22" s="4684"/>
      <c r="Q22" s="4684"/>
      <c r="R22" s="4684"/>
      <c r="S22" s="4627"/>
      <c r="T22" s="4627"/>
      <c r="U22" s="4627"/>
      <c r="V22" s="4627"/>
      <c r="W22" s="4627"/>
      <c r="X22" s="4627"/>
      <c r="Y22" s="4627"/>
      <c r="Z22" s="4627"/>
      <c r="AA22" s="4627"/>
      <c r="AB22" s="4627"/>
      <c r="AC22" s="4627"/>
      <c r="AD22" s="4328"/>
      <c r="AE22" s="6496"/>
      <c r="AF22" s="6497"/>
      <c r="AG22" s="6497"/>
      <c r="AH22" s="6497"/>
      <c r="AI22" s="6497"/>
      <c r="AJ22" s="6497"/>
      <c r="AK22" s="6497"/>
      <c r="AL22" s="6497"/>
      <c r="AM22" s="6497"/>
      <c r="AN22" s="6497"/>
      <c r="AO22" s="6497"/>
      <c r="AP22" s="6497"/>
      <c r="AQ22" s="6497"/>
      <c r="AR22" s="6497"/>
      <c r="AS22" s="6497"/>
      <c r="AT22" s="6497"/>
      <c r="AU22" s="6497"/>
      <c r="AV22" s="6497"/>
      <c r="AW22" s="6491"/>
      <c r="DB22" s="6209">
        <v>0</v>
      </c>
      <c r="DD22" s="6209">
        <v>0</v>
      </c>
      <c r="DF22" s="6209">
        <v>0</v>
      </c>
    </row>
    <row r="23" spans="1:110" ht="16.350000000000001" customHeight="1" x14ac:dyDescent="0.2">
      <c r="A23" s="8792" t="s">
        <v>732</v>
      </c>
      <c r="B23" s="8793"/>
      <c r="C23" s="4356"/>
      <c r="D23" s="4291"/>
      <c r="E23" s="4291"/>
      <c r="F23" s="4288"/>
      <c r="G23" s="6509"/>
      <c r="H23" s="4684"/>
      <c r="I23" s="4684"/>
      <c r="J23" s="4684"/>
      <c r="K23" s="4684"/>
      <c r="L23" s="4684"/>
      <c r="M23" s="4684"/>
      <c r="N23" s="4684"/>
      <c r="O23" s="4684"/>
      <c r="P23" s="4684"/>
      <c r="Q23" s="4684"/>
      <c r="R23" s="4684"/>
      <c r="S23" s="4627"/>
      <c r="T23" s="4627"/>
      <c r="U23" s="4627"/>
      <c r="V23" s="4627"/>
      <c r="W23" s="4627"/>
      <c r="X23" s="4627"/>
      <c r="Y23" s="4627"/>
      <c r="Z23" s="4627"/>
      <c r="AA23" s="4627"/>
      <c r="AB23" s="4627"/>
      <c r="AC23" s="4627"/>
      <c r="AD23" s="4328"/>
      <c r="AE23" s="6496"/>
      <c r="AF23" s="6497"/>
      <c r="AG23" s="6497"/>
      <c r="AH23" s="6497"/>
      <c r="AI23" s="6497"/>
      <c r="AJ23" s="6497"/>
      <c r="AK23" s="6497"/>
      <c r="AL23" s="6497"/>
      <c r="AM23" s="6497"/>
      <c r="AN23" s="6497"/>
      <c r="AO23" s="6497"/>
      <c r="AP23" s="6497"/>
      <c r="AQ23" s="6497"/>
      <c r="AR23" s="6497"/>
      <c r="AS23" s="6497"/>
      <c r="AT23" s="6497"/>
      <c r="AU23" s="6497"/>
      <c r="AV23" s="6497"/>
      <c r="AW23" s="6491"/>
      <c r="DB23" s="6209">
        <v>0</v>
      </c>
      <c r="DD23" s="6209">
        <v>0</v>
      </c>
      <c r="DF23" s="6209">
        <v>0</v>
      </c>
    </row>
    <row r="24" spans="1:110" ht="16.350000000000001" customHeight="1" x14ac:dyDescent="0.2">
      <c r="A24" s="8792" t="s">
        <v>878</v>
      </c>
      <c r="B24" s="8793"/>
      <c r="C24" s="4356"/>
      <c r="D24" s="4291"/>
      <c r="E24" s="4291"/>
      <c r="F24" s="4288"/>
      <c r="G24" s="6509"/>
      <c r="H24" s="4684"/>
      <c r="I24" s="4684"/>
      <c r="J24" s="4684"/>
      <c r="K24" s="4684"/>
      <c r="L24" s="4684"/>
      <c r="M24" s="4684"/>
      <c r="N24" s="4684"/>
      <c r="O24" s="4684"/>
      <c r="P24" s="4684"/>
      <c r="Q24" s="4684"/>
      <c r="R24" s="4684"/>
      <c r="S24" s="4627"/>
      <c r="T24" s="4627"/>
      <c r="U24" s="4627"/>
      <c r="V24" s="4627"/>
      <c r="W24" s="4627"/>
      <c r="X24" s="4627"/>
      <c r="Y24" s="4627"/>
      <c r="Z24" s="4627"/>
      <c r="AA24" s="4627"/>
      <c r="AB24" s="4627"/>
      <c r="AC24" s="4627"/>
      <c r="AD24" s="4328"/>
      <c r="AE24" s="6496"/>
      <c r="AF24" s="6497"/>
      <c r="AG24" s="6497"/>
      <c r="AH24" s="6497"/>
      <c r="AI24" s="6497"/>
      <c r="AJ24" s="6497"/>
      <c r="AK24" s="6497"/>
      <c r="AL24" s="6497"/>
      <c r="AM24" s="6497"/>
      <c r="AN24" s="6497"/>
      <c r="AO24" s="6497"/>
      <c r="AP24" s="6497"/>
      <c r="AQ24" s="6497"/>
      <c r="AR24" s="6497"/>
      <c r="AS24" s="6497"/>
      <c r="AT24" s="6497"/>
      <c r="AU24" s="6497"/>
      <c r="AV24" s="6497"/>
      <c r="AW24" s="6491"/>
      <c r="DB24" s="6209">
        <v>0</v>
      </c>
      <c r="DD24" s="6209">
        <v>0</v>
      </c>
      <c r="DF24" s="6209">
        <v>0</v>
      </c>
    </row>
    <row r="25" spans="1:110" ht="16.350000000000001" customHeight="1" x14ac:dyDescent="0.2">
      <c r="A25" s="8792" t="s">
        <v>253</v>
      </c>
      <c r="B25" s="8793"/>
      <c r="C25" s="4356"/>
      <c r="D25" s="4291"/>
      <c r="E25" s="4291"/>
      <c r="F25" s="4288"/>
      <c r="G25" s="6509"/>
      <c r="H25" s="4684"/>
      <c r="I25" s="4684"/>
      <c r="J25" s="4684"/>
      <c r="K25" s="4684"/>
      <c r="L25" s="4684"/>
      <c r="M25" s="4684"/>
      <c r="N25" s="4684"/>
      <c r="O25" s="4684"/>
      <c r="P25" s="4684"/>
      <c r="Q25" s="4684"/>
      <c r="R25" s="4684"/>
      <c r="S25" s="4627"/>
      <c r="T25" s="4627"/>
      <c r="U25" s="4627"/>
      <c r="V25" s="4627"/>
      <c r="W25" s="4627"/>
      <c r="X25" s="4627"/>
      <c r="Y25" s="4627"/>
      <c r="Z25" s="4627"/>
      <c r="AA25" s="4627"/>
      <c r="AB25" s="4627"/>
      <c r="AC25" s="4627"/>
      <c r="AD25" s="4328"/>
      <c r="AE25" s="6496"/>
      <c r="AF25" s="6497"/>
      <c r="AG25" s="6497"/>
      <c r="AH25" s="6497"/>
      <c r="AI25" s="6497"/>
      <c r="AJ25" s="6497"/>
      <c r="AK25" s="6497"/>
      <c r="AL25" s="6497"/>
      <c r="AM25" s="6497"/>
      <c r="AN25" s="6497"/>
      <c r="AO25" s="6497"/>
      <c r="AP25" s="6497"/>
      <c r="AQ25" s="6497"/>
      <c r="AR25" s="6497"/>
      <c r="AS25" s="6497"/>
      <c r="AT25" s="6497"/>
      <c r="AU25" s="6497"/>
      <c r="AV25" s="6497"/>
      <c r="AW25" s="6491"/>
      <c r="DB25" s="6209">
        <v>0</v>
      </c>
      <c r="DD25" s="6209">
        <v>0</v>
      </c>
      <c r="DF25" s="6209">
        <v>0</v>
      </c>
    </row>
    <row r="26" spans="1:110" ht="16.350000000000001" customHeight="1" x14ac:dyDescent="0.2">
      <c r="A26" s="8792" t="s">
        <v>877</v>
      </c>
      <c r="B26" s="8793"/>
      <c r="C26" s="4356"/>
      <c r="D26" s="4291"/>
      <c r="E26" s="4291"/>
      <c r="F26" s="4288"/>
      <c r="G26" s="6509"/>
      <c r="H26" s="4684"/>
      <c r="I26" s="4684"/>
      <c r="J26" s="4684"/>
      <c r="K26" s="4684"/>
      <c r="L26" s="4684"/>
      <c r="M26" s="4684"/>
      <c r="N26" s="4684"/>
      <c r="O26" s="4684"/>
      <c r="P26" s="4684"/>
      <c r="Q26" s="4684"/>
      <c r="R26" s="4684"/>
      <c r="S26" s="4627"/>
      <c r="T26" s="4627"/>
      <c r="U26" s="4627"/>
      <c r="V26" s="4627"/>
      <c r="W26" s="4627"/>
      <c r="X26" s="4627"/>
      <c r="Y26" s="4627"/>
      <c r="Z26" s="4627"/>
      <c r="AA26" s="4627"/>
      <c r="AB26" s="4627"/>
      <c r="AC26" s="4627"/>
      <c r="AD26" s="4328"/>
      <c r="AE26" s="6496"/>
      <c r="AF26" s="6497"/>
      <c r="AG26" s="6497"/>
      <c r="AH26" s="6497"/>
      <c r="AI26" s="6497"/>
      <c r="AJ26" s="6497"/>
      <c r="AK26" s="6497"/>
      <c r="AL26" s="6497"/>
      <c r="AM26" s="6497"/>
      <c r="AN26" s="6497"/>
      <c r="AO26" s="6497"/>
      <c r="AP26" s="6497"/>
      <c r="AQ26" s="6497"/>
      <c r="AR26" s="6497"/>
      <c r="AS26" s="6497"/>
      <c r="AT26" s="6497"/>
      <c r="AU26" s="6497"/>
      <c r="AV26" s="6497"/>
      <c r="AW26" s="6491"/>
      <c r="DB26" s="6209">
        <v>0</v>
      </c>
      <c r="DD26" s="6209">
        <v>0</v>
      </c>
      <c r="DF26" s="6209">
        <v>0</v>
      </c>
    </row>
    <row r="27" spans="1:110" ht="16.350000000000001" customHeight="1" x14ac:dyDescent="0.2">
      <c r="A27" s="8792" t="s">
        <v>876</v>
      </c>
      <c r="B27" s="8793"/>
      <c r="C27" s="4356"/>
      <c r="D27" s="4291"/>
      <c r="E27" s="4291"/>
      <c r="F27" s="4288"/>
      <c r="G27" s="6509"/>
      <c r="H27" s="4684"/>
      <c r="I27" s="4684"/>
      <c r="J27" s="4684"/>
      <c r="K27" s="4684"/>
      <c r="L27" s="4684"/>
      <c r="M27" s="4684"/>
      <c r="N27" s="4684"/>
      <c r="O27" s="4684"/>
      <c r="P27" s="4684"/>
      <c r="Q27" s="4684"/>
      <c r="R27" s="4684"/>
      <c r="S27" s="4627"/>
      <c r="T27" s="4627"/>
      <c r="U27" s="4627"/>
      <c r="V27" s="4627"/>
      <c r="W27" s="4627"/>
      <c r="X27" s="4627"/>
      <c r="Y27" s="4627"/>
      <c r="Z27" s="4627"/>
      <c r="AA27" s="4627"/>
      <c r="AB27" s="4627"/>
      <c r="AC27" s="4627"/>
      <c r="AD27" s="4328"/>
      <c r="AE27" s="6496"/>
      <c r="AF27" s="6497"/>
      <c r="AG27" s="6497"/>
      <c r="AH27" s="6497"/>
      <c r="AI27" s="6497"/>
      <c r="AJ27" s="6497"/>
      <c r="AK27" s="6497"/>
      <c r="AL27" s="6497"/>
      <c r="AM27" s="6497"/>
      <c r="AN27" s="6497"/>
      <c r="AO27" s="6497"/>
      <c r="AP27" s="6497"/>
      <c r="AQ27" s="6497"/>
      <c r="AR27" s="6497"/>
      <c r="AS27" s="6497"/>
      <c r="AT27" s="6497"/>
      <c r="AU27" s="6497"/>
      <c r="AV27" s="6497"/>
      <c r="AW27" s="6491"/>
      <c r="DB27" s="6209">
        <v>0</v>
      </c>
      <c r="DD27" s="6209">
        <v>0</v>
      </c>
      <c r="DF27" s="6209">
        <v>0</v>
      </c>
    </row>
    <row r="28" spans="1:110" ht="16.350000000000001" customHeight="1" x14ac:dyDescent="0.2">
      <c r="A28" s="8792" t="s">
        <v>2109</v>
      </c>
      <c r="B28" s="8793"/>
      <c r="C28" s="5340"/>
      <c r="D28" s="6512"/>
      <c r="E28" s="6512"/>
      <c r="F28" s="5344"/>
      <c r="G28" s="6509"/>
      <c r="H28" s="4684"/>
      <c r="I28" s="4684"/>
      <c r="J28" s="4684"/>
      <c r="K28" s="4684"/>
      <c r="L28" s="4684"/>
      <c r="M28" s="4684"/>
      <c r="N28" s="4684"/>
      <c r="O28" s="4684"/>
      <c r="P28" s="4684"/>
      <c r="Q28" s="4684"/>
      <c r="R28" s="4684"/>
      <c r="S28" s="4627"/>
      <c r="T28" s="4627"/>
      <c r="U28" s="4627"/>
      <c r="V28" s="4627"/>
      <c r="W28" s="4627"/>
      <c r="X28" s="4627"/>
      <c r="Y28" s="4627"/>
      <c r="Z28" s="4627"/>
      <c r="AA28" s="4627"/>
      <c r="AB28" s="4627"/>
      <c r="AC28" s="4627"/>
      <c r="AD28" s="4328"/>
      <c r="AE28" s="6513"/>
      <c r="AF28" s="6514"/>
      <c r="AG28" s="6514"/>
      <c r="AH28" s="6515"/>
      <c r="AI28" s="6514"/>
      <c r="AJ28" s="6514"/>
      <c r="AK28" s="6514"/>
      <c r="AL28" s="6514"/>
      <c r="AM28" s="6514"/>
      <c r="AN28" s="6514"/>
      <c r="AO28" s="6514"/>
      <c r="AP28" s="6514"/>
      <c r="AQ28" s="6514"/>
      <c r="AR28" s="6514"/>
      <c r="AS28" s="6514"/>
      <c r="AT28" s="6514"/>
      <c r="AU28" s="6514"/>
      <c r="AV28" s="6514"/>
      <c r="AW28" s="6516"/>
      <c r="DB28" s="6209">
        <v>0</v>
      </c>
      <c r="DD28" s="6209">
        <v>0</v>
      </c>
      <c r="DF28" s="6209">
        <v>0</v>
      </c>
    </row>
    <row r="29" spans="1:110" ht="16.350000000000001" customHeight="1" x14ac:dyDescent="0.2">
      <c r="A29" s="8792" t="s">
        <v>2110</v>
      </c>
      <c r="B29" s="8793"/>
      <c r="C29" s="5340"/>
      <c r="D29" s="6512"/>
      <c r="E29" s="6512"/>
      <c r="F29" s="5344"/>
      <c r="G29" s="6509"/>
      <c r="H29" s="4684"/>
      <c r="I29" s="4684"/>
      <c r="J29" s="4684"/>
      <c r="K29" s="4684"/>
      <c r="L29" s="4684"/>
      <c r="M29" s="4684"/>
      <c r="N29" s="4684"/>
      <c r="O29" s="4684"/>
      <c r="P29" s="4684"/>
      <c r="Q29" s="4684"/>
      <c r="R29" s="4684"/>
      <c r="S29" s="4627"/>
      <c r="T29" s="4627"/>
      <c r="U29" s="4627"/>
      <c r="V29" s="4627"/>
      <c r="W29" s="4627"/>
      <c r="X29" s="4627"/>
      <c r="Y29" s="4627"/>
      <c r="Z29" s="4627"/>
      <c r="AA29" s="4627"/>
      <c r="AB29" s="4627"/>
      <c r="AC29" s="4627"/>
      <c r="AD29" s="4328"/>
      <c r="AE29" s="6513"/>
      <c r="AF29" s="6514"/>
      <c r="AG29" s="6514"/>
      <c r="AH29" s="6515"/>
      <c r="AI29" s="6514"/>
      <c r="AJ29" s="6514"/>
      <c r="AK29" s="6514"/>
      <c r="AL29" s="6514"/>
      <c r="AM29" s="6514"/>
      <c r="AN29" s="6514"/>
      <c r="AO29" s="6514"/>
      <c r="AP29" s="6514"/>
      <c r="AQ29" s="6514"/>
      <c r="AR29" s="6514"/>
      <c r="AS29" s="6514"/>
      <c r="AT29" s="6514"/>
      <c r="AU29" s="6514"/>
      <c r="AV29" s="6514"/>
      <c r="AW29" s="6516"/>
      <c r="DB29" s="6209">
        <v>0</v>
      </c>
      <c r="DD29" s="6209">
        <v>0</v>
      </c>
      <c r="DF29" s="6209">
        <v>0</v>
      </c>
    </row>
    <row r="30" spans="1:110" ht="16.350000000000001" customHeight="1" x14ac:dyDescent="0.2">
      <c r="A30" s="8792" t="s">
        <v>2111</v>
      </c>
      <c r="B30" s="8793"/>
      <c r="C30" s="5340"/>
      <c r="D30" s="6512"/>
      <c r="E30" s="6512"/>
      <c r="F30" s="5344"/>
      <c r="G30" s="6509"/>
      <c r="H30" s="4684"/>
      <c r="I30" s="4684"/>
      <c r="J30" s="4684"/>
      <c r="K30" s="4684"/>
      <c r="L30" s="4684"/>
      <c r="M30" s="4684"/>
      <c r="N30" s="4684"/>
      <c r="O30" s="4684"/>
      <c r="P30" s="4684"/>
      <c r="Q30" s="4684"/>
      <c r="R30" s="4684"/>
      <c r="S30" s="4627"/>
      <c r="T30" s="4627"/>
      <c r="U30" s="4627"/>
      <c r="V30" s="4627"/>
      <c r="W30" s="4627"/>
      <c r="X30" s="4627"/>
      <c r="Y30" s="4627"/>
      <c r="Z30" s="4627"/>
      <c r="AA30" s="4627"/>
      <c r="AB30" s="4627"/>
      <c r="AC30" s="4627"/>
      <c r="AD30" s="4328"/>
      <c r="AE30" s="6513"/>
      <c r="AF30" s="6514"/>
      <c r="AG30" s="6514"/>
      <c r="AH30" s="6515"/>
      <c r="AI30" s="6514"/>
      <c r="AJ30" s="6514"/>
      <c r="AK30" s="6514"/>
      <c r="AL30" s="6514"/>
      <c r="AM30" s="6514"/>
      <c r="AN30" s="6514"/>
      <c r="AO30" s="6514"/>
      <c r="AP30" s="6514"/>
      <c r="AQ30" s="6514"/>
      <c r="AR30" s="6514"/>
      <c r="AS30" s="6514"/>
      <c r="AT30" s="6514"/>
      <c r="AU30" s="6514"/>
      <c r="AV30" s="6514"/>
      <c r="AW30" s="6516"/>
      <c r="DB30" s="6209">
        <v>0</v>
      </c>
      <c r="DD30" s="6209">
        <v>0</v>
      </c>
      <c r="DF30" s="6209">
        <v>0</v>
      </c>
    </row>
    <row r="31" spans="1:110" ht="16.350000000000001" customHeight="1" x14ac:dyDescent="0.2">
      <c r="A31" s="8667" t="s">
        <v>875</v>
      </c>
      <c r="B31" s="8819"/>
      <c r="C31" s="4367"/>
      <c r="D31" s="6517"/>
      <c r="E31" s="6517"/>
      <c r="F31" s="4369"/>
      <c r="G31" s="6509"/>
      <c r="H31" s="4684"/>
      <c r="I31" s="4684"/>
      <c r="J31" s="4684"/>
      <c r="K31" s="4684"/>
      <c r="L31" s="4684"/>
      <c r="M31" s="4684"/>
      <c r="N31" s="4684"/>
      <c r="O31" s="4684"/>
      <c r="P31" s="4684"/>
      <c r="Q31" s="4684"/>
      <c r="R31" s="4684"/>
      <c r="S31" s="4627"/>
      <c r="T31" s="5516"/>
      <c r="U31" s="5516"/>
      <c r="V31" s="5516"/>
      <c r="W31" s="5516"/>
      <c r="X31" s="5516"/>
      <c r="Y31" s="5516"/>
      <c r="Z31" s="5516"/>
      <c r="AA31" s="5516"/>
      <c r="AB31" s="5516"/>
      <c r="AC31" s="5516"/>
      <c r="AD31" s="5427"/>
      <c r="AE31" s="6492"/>
      <c r="AF31" s="6492"/>
      <c r="AG31" s="6492"/>
      <c r="AH31" s="6518"/>
      <c r="AI31" s="6492"/>
      <c r="AJ31" s="6492"/>
      <c r="AK31" s="6492"/>
      <c r="AL31" s="6492"/>
      <c r="AM31" s="6492"/>
      <c r="AN31" s="6492"/>
      <c r="AO31" s="6492"/>
      <c r="AP31" s="6492"/>
      <c r="AQ31" s="6492"/>
      <c r="AR31" s="6492"/>
      <c r="AS31" s="6492"/>
      <c r="AT31" s="6492"/>
      <c r="AU31" s="6492"/>
      <c r="AV31" s="6492"/>
      <c r="AW31" s="6519"/>
      <c r="DB31" s="6209">
        <v>0</v>
      </c>
      <c r="DD31" s="6209">
        <v>0</v>
      </c>
      <c r="DF31" s="6209">
        <v>0</v>
      </c>
    </row>
    <row r="32" spans="1:110" ht="31.35" customHeight="1" x14ac:dyDescent="0.2">
      <c r="A32" s="4878" t="s">
        <v>3719</v>
      </c>
      <c r="B32" s="5731"/>
      <c r="C32" s="6520"/>
      <c r="D32" s="4302"/>
      <c r="E32" s="4302"/>
      <c r="F32" s="6521"/>
      <c r="G32" s="4302"/>
      <c r="H32" s="4302"/>
      <c r="I32" s="4627"/>
      <c r="J32" s="4627"/>
      <c r="K32" s="4627"/>
      <c r="L32" s="4627"/>
      <c r="M32" s="4627"/>
      <c r="N32" s="4627"/>
      <c r="O32" s="4627"/>
      <c r="P32" s="4627"/>
      <c r="Q32" s="5516"/>
      <c r="R32" s="5516"/>
      <c r="S32" s="5516"/>
      <c r="T32" s="5516"/>
      <c r="U32" s="5516"/>
      <c r="V32" s="5516"/>
      <c r="W32" s="5516"/>
      <c r="X32" s="5516"/>
      <c r="Y32" s="5516"/>
      <c r="Z32" s="5516"/>
      <c r="AA32" s="5516"/>
      <c r="AB32" s="5516"/>
      <c r="AC32" s="5516"/>
      <c r="AD32" s="5427"/>
      <c r="AE32" s="6492"/>
      <c r="AF32" s="6492"/>
      <c r="AG32" s="6492"/>
      <c r="AH32" s="6518"/>
      <c r="AI32" s="6492"/>
      <c r="AJ32" s="6492"/>
      <c r="AK32" s="6492"/>
      <c r="AL32" s="6492"/>
      <c r="AM32" s="6492"/>
      <c r="AN32" s="6492"/>
      <c r="AO32" s="6492"/>
      <c r="AP32" s="6492"/>
      <c r="AQ32" s="6492"/>
      <c r="AR32" s="6492"/>
      <c r="AS32" s="6492"/>
      <c r="AT32" s="6492"/>
      <c r="AU32" s="6492"/>
      <c r="AV32" s="6492"/>
      <c r="AW32" s="6519"/>
    </row>
    <row r="33" spans="1:130" ht="16.350000000000001" customHeight="1" x14ac:dyDescent="0.2">
      <c r="A33" s="8663" t="s">
        <v>874</v>
      </c>
      <c r="B33" s="8664"/>
      <c r="C33" s="8652" t="s">
        <v>1</v>
      </c>
      <c r="D33" s="8720" t="s">
        <v>55</v>
      </c>
      <c r="E33" s="8721"/>
      <c r="F33" s="8721"/>
      <c r="G33" s="8721"/>
      <c r="H33" s="8721"/>
      <c r="I33" s="8721"/>
      <c r="J33" s="8721"/>
      <c r="K33" s="8721"/>
      <c r="L33" s="8721"/>
      <c r="M33" s="8721"/>
      <c r="N33" s="8721"/>
      <c r="O33" s="8721"/>
      <c r="P33" s="8722"/>
      <c r="Q33" s="8679" t="s">
        <v>3702</v>
      </c>
      <c r="R33" s="8704" t="s">
        <v>3735</v>
      </c>
      <c r="S33" s="8206" t="s">
        <v>360</v>
      </c>
      <c r="T33" s="8206" t="s">
        <v>359</v>
      </c>
      <c r="U33" s="8206" t="s">
        <v>3571</v>
      </c>
      <c r="V33" s="5427"/>
      <c r="W33" s="5427"/>
      <c r="X33" s="5427"/>
      <c r="Y33" s="5427"/>
      <c r="Z33" s="5427"/>
      <c r="AA33" s="5427"/>
      <c r="AB33" s="5427"/>
      <c r="AC33" s="5427"/>
      <c r="AD33" s="5427"/>
      <c r="AE33" s="5427"/>
      <c r="AF33" s="5427"/>
      <c r="AG33" s="5427"/>
      <c r="AH33" s="6492"/>
      <c r="AI33" s="6492"/>
      <c r="AJ33" s="6492"/>
      <c r="AK33" s="6518"/>
      <c r="AL33" s="6492"/>
      <c r="AM33" s="6492"/>
      <c r="AN33" s="6493"/>
      <c r="AO33" s="6493"/>
      <c r="AP33" s="6493"/>
      <c r="AQ33" s="6493"/>
      <c r="AR33" s="6493"/>
      <c r="AS33" s="6493"/>
      <c r="AT33" s="6493"/>
      <c r="AU33" s="6493"/>
      <c r="AV33" s="6493"/>
      <c r="AW33" s="6493"/>
      <c r="AX33" s="6493"/>
      <c r="AY33" s="6493"/>
      <c r="AZ33" s="6522"/>
      <c r="CZ33" s="6209"/>
      <c r="DZ33" s="4652"/>
    </row>
    <row r="34" spans="1:130" ht="57" customHeight="1" x14ac:dyDescent="0.2">
      <c r="A34" s="8695"/>
      <c r="B34" s="8689"/>
      <c r="C34" s="8653"/>
      <c r="D34" s="6494" t="s">
        <v>3529</v>
      </c>
      <c r="E34" s="5619" t="s">
        <v>80</v>
      </c>
      <c r="F34" s="5619" t="s">
        <v>81</v>
      </c>
      <c r="G34" s="5619" t="s">
        <v>82</v>
      </c>
      <c r="H34" s="5619" t="s">
        <v>83</v>
      </c>
      <c r="I34" s="5619" t="s">
        <v>398</v>
      </c>
      <c r="J34" s="5619" t="s">
        <v>124</v>
      </c>
      <c r="K34" s="5619" t="s">
        <v>125</v>
      </c>
      <c r="L34" s="5619" t="s">
        <v>126</v>
      </c>
      <c r="M34" s="5880" t="s">
        <v>127</v>
      </c>
      <c r="N34" s="6523" t="s">
        <v>128</v>
      </c>
      <c r="O34" s="6524" t="s">
        <v>129</v>
      </c>
      <c r="P34" s="6525" t="s">
        <v>3530</v>
      </c>
      <c r="Q34" s="8680"/>
      <c r="R34" s="8705"/>
      <c r="S34" s="8690"/>
      <c r="T34" s="8690"/>
      <c r="U34" s="8690"/>
      <c r="V34" s="6526"/>
      <c r="W34" s="6364"/>
      <c r="X34" s="4879"/>
      <c r="Y34" s="4328"/>
      <c r="Z34" s="4328"/>
      <c r="AA34" s="4328"/>
      <c r="AB34" s="4328"/>
      <c r="AC34" s="4328"/>
      <c r="AD34" s="4328"/>
      <c r="AE34" s="4328"/>
      <c r="AF34" s="4328"/>
      <c r="AG34" s="4328"/>
      <c r="AH34" s="6496"/>
      <c r="AI34" s="6496"/>
      <c r="AJ34" s="6496"/>
      <c r="AK34" s="6527"/>
      <c r="AL34" s="6496"/>
      <c r="AM34" s="6496"/>
      <c r="AN34" s="6496"/>
      <c r="AO34" s="6496"/>
      <c r="AP34" s="6496"/>
      <c r="AQ34" s="6496"/>
      <c r="AR34" s="6496"/>
      <c r="AS34" s="6497"/>
      <c r="AT34" s="6497"/>
      <c r="AU34" s="6497"/>
      <c r="AV34" s="6497"/>
      <c r="AW34" s="6497"/>
      <c r="AX34" s="6497"/>
      <c r="AY34" s="6497"/>
      <c r="AZ34" s="6522"/>
      <c r="CZ34" s="6209"/>
      <c r="DZ34" s="4652"/>
    </row>
    <row r="35" spans="1:130" ht="16.350000000000001" customHeight="1" x14ac:dyDescent="0.2">
      <c r="A35" s="8806" t="s">
        <v>873</v>
      </c>
      <c r="B35" s="8806"/>
      <c r="C35" s="7598">
        <f>SUM(D35:P35)</f>
        <v>0</v>
      </c>
      <c r="D35" s="7598">
        <f>SUM(D36:D48)</f>
        <v>0</v>
      </c>
      <c r="E35" s="7598">
        <f>SUM(E36:E48)</f>
        <v>0</v>
      </c>
      <c r="F35" s="7598">
        <f t="shared" ref="F35:L35" si="0">SUM(F36:F48)</f>
        <v>0</v>
      </c>
      <c r="G35" s="7598">
        <f t="shared" si="0"/>
        <v>0</v>
      </c>
      <c r="H35" s="7598">
        <f t="shared" si="0"/>
        <v>0</v>
      </c>
      <c r="I35" s="7598">
        <f t="shared" si="0"/>
        <v>0</v>
      </c>
      <c r="J35" s="7598">
        <f t="shared" si="0"/>
        <v>0</v>
      </c>
      <c r="K35" s="7598">
        <f t="shared" si="0"/>
        <v>0</v>
      </c>
      <c r="L35" s="7598">
        <f t="shared" si="0"/>
        <v>0</v>
      </c>
      <c r="M35" s="7598">
        <f>SUM(M36:M48)</f>
        <v>0</v>
      </c>
      <c r="N35" s="7598">
        <f>SUM(N51:N55)</f>
        <v>0</v>
      </c>
      <c r="O35" s="7598">
        <f t="shared" ref="O35:P35" si="1">SUM(O51:O55)</f>
        <v>0</v>
      </c>
      <c r="P35" s="7600">
        <f t="shared" si="1"/>
        <v>0</v>
      </c>
      <c r="Q35" s="7599">
        <f>SUM(Q36:Q48,Q55)</f>
        <v>0</v>
      </c>
      <c r="R35" s="7598">
        <f>SUM(R36:R48,R55)</f>
        <v>0</v>
      </c>
      <c r="S35" s="7598">
        <f>SUM(S36:S48,S55)</f>
        <v>0</v>
      </c>
      <c r="T35" s="7598">
        <f>SUM(T36:T48,T55)</f>
        <v>0</v>
      </c>
      <c r="U35" s="7598">
        <f>SUM(U36:U48,U55)</f>
        <v>0</v>
      </c>
      <c r="V35" s="6530"/>
      <c r="W35" s="6531"/>
      <c r="X35" s="6531"/>
      <c r="Y35" s="4328"/>
      <c r="Z35" s="4328"/>
      <c r="AA35" s="4328"/>
      <c r="AB35" s="4328"/>
      <c r="AC35" s="4328"/>
      <c r="AD35" s="4328"/>
      <c r="AE35" s="4328"/>
      <c r="AF35" s="4328"/>
      <c r="AG35" s="4328"/>
      <c r="AH35" s="4328"/>
      <c r="AI35" s="4328"/>
      <c r="AJ35" s="4328"/>
      <c r="AK35" s="4328"/>
      <c r="AL35" s="6496"/>
      <c r="AM35" s="6496"/>
      <c r="AN35" s="6496"/>
      <c r="AO35" s="6496"/>
      <c r="AP35" s="6496"/>
      <c r="AQ35" s="6496"/>
      <c r="AR35" s="6496"/>
      <c r="AS35" s="6497"/>
      <c r="AT35" s="6497"/>
      <c r="AU35" s="6497"/>
      <c r="AV35" s="6497"/>
      <c r="AW35" s="6497"/>
      <c r="AX35" s="6497"/>
      <c r="AY35" s="6497"/>
      <c r="CZ35" s="6209"/>
      <c r="DZ35" s="4652"/>
    </row>
    <row r="36" spans="1:130" ht="16.350000000000001" customHeight="1" x14ac:dyDescent="0.2">
      <c r="A36" s="8796" t="s">
        <v>872</v>
      </c>
      <c r="B36" s="8797"/>
      <c r="C36" s="6532">
        <f>SUM(D36:M36)</f>
        <v>0</v>
      </c>
      <c r="D36" s="6533"/>
      <c r="E36" s="4199"/>
      <c r="F36" s="4199"/>
      <c r="G36" s="4199"/>
      <c r="H36" s="4199"/>
      <c r="I36" s="4199"/>
      <c r="J36" s="4199"/>
      <c r="K36" s="4199"/>
      <c r="L36" s="4199"/>
      <c r="M36" s="4199"/>
      <c r="N36" s="6534"/>
      <c r="O36" s="6535"/>
      <c r="P36" s="6536"/>
      <c r="Q36" s="6537"/>
      <c r="R36" s="6537"/>
      <c r="S36" s="6537"/>
      <c r="T36" s="6537"/>
      <c r="U36" s="6537"/>
      <c r="V36" s="6509"/>
      <c r="W36" s="4328"/>
      <c r="X36" s="4328"/>
      <c r="Y36" s="4328"/>
      <c r="Z36" s="4328"/>
      <c r="AA36" s="4328"/>
      <c r="AB36" s="4328"/>
      <c r="AC36" s="4328"/>
      <c r="AD36" s="4328"/>
      <c r="AE36" s="4328"/>
      <c r="AF36" s="4328"/>
      <c r="AG36" s="4328"/>
      <c r="AH36" s="4328"/>
      <c r="AI36" s="4328"/>
      <c r="AJ36" s="4328"/>
      <c r="AK36" s="4328"/>
      <c r="AL36" s="6496"/>
      <c r="AM36" s="6497"/>
      <c r="AN36" s="6497"/>
      <c r="AO36" s="6497"/>
      <c r="AP36" s="6497"/>
      <c r="AQ36" s="6497"/>
      <c r="AR36" s="6497"/>
      <c r="AS36" s="6497"/>
      <c r="AT36" s="6497"/>
      <c r="AU36" s="6497"/>
      <c r="AV36" s="6497"/>
      <c r="AW36" s="6497"/>
      <c r="AX36" s="6497"/>
      <c r="AY36" s="6497"/>
      <c r="CZ36" s="6209"/>
      <c r="DB36" s="6209">
        <v>0</v>
      </c>
      <c r="DF36" s="6209">
        <v>0</v>
      </c>
      <c r="DH36" s="6209">
        <v>0</v>
      </c>
      <c r="DJ36" s="6209">
        <v>0</v>
      </c>
      <c r="DZ36" s="4652"/>
    </row>
    <row r="37" spans="1:130" ht="16.350000000000001" customHeight="1" x14ac:dyDescent="0.2">
      <c r="A37" s="8798" t="s">
        <v>871</v>
      </c>
      <c r="B37" s="8799"/>
      <c r="C37" s="5685">
        <f t="shared" ref="C37:C50" si="2">SUM(D37:M37)</f>
        <v>0</v>
      </c>
      <c r="D37" s="5348"/>
      <c r="E37" s="6538"/>
      <c r="F37" s="6538"/>
      <c r="G37" s="6538"/>
      <c r="H37" s="6538"/>
      <c r="I37" s="6538"/>
      <c r="J37" s="6538"/>
      <c r="K37" s="6538"/>
      <c r="L37" s="6538"/>
      <c r="M37" s="6538"/>
      <c r="N37" s="6539"/>
      <c r="O37" s="6540"/>
      <c r="P37" s="6541"/>
      <c r="Q37" s="4888"/>
      <c r="R37" s="4888"/>
      <c r="S37" s="4888"/>
      <c r="T37" s="4888"/>
      <c r="U37" s="4888"/>
      <c r="V37" s="6509"/>
      <c r="W37" s="4328"/>
      <c r="X37" s="4328"/>
      <c r="Y37" s="4328"/>
      <c r="Z37" s="4328"/>
      <c r="AA37" s="4328"/>
      <c r="AB37" s="4328"/>
      <c r="AC37" s="4328"/>
      <c r="AD37" s="4328"/>
      <c r="AE37" s="4328"/>
      <c r="AF37" s="4328"/>
      <c r="AG37" s="4328"/>
      <c r="AH37" s="4328"/>
      <c r="AI37" s="4328"/>
      <c r="AJ37" s="4328"/>
      <c r="AK37" s="4328"/>
      <c r="AL37" s="6496"/>
      <c r="AM37" s="6497"/>
      <c r="AN37" s="6497"/>
      <c r="AO37" s="6497"/>
      <c r="AP37" s="6497"/>
      <c r="AQ37" s="6497"/>
      <c r="AR37" s="6497"/>
      <c r="AS37" s="6497"/>
      <c r="AT37" s="6497"/>
      <c r="AU37" s="6497"/>
      <c r="AV37" s="6497"/>
      <c r="AW37" s="6497"/>
      <c r="AX37" s="6497"/>
      <c r="AY37" s="6497"/>
      <c r="CZ37" s="6209"/>
      <c r="DB37" s="6209">
        <v>0</v>
      </c>
      <c r="DF37" s="6209">
        <v>0</v>
      </c>
      <c r="DH37" s="6209">
        <v>0</v>
      </c>
      <c r="DJ37" s="6209">
        <v>0</v>
      </c>
      <c r="DZ37" s="4652"/>
    </row>
    <row r="38" spans="1:130" ht="18.75" customHeight="1" x14ac:dyDescent="0.2">
      <c r="A38" s="8824" t="s">
        <v>870</v>
      </c>
      <c r="B38" s="6542" t="s">
        <v>869</v>
      </c>
      <c r="C38" s="6532">
        <f t="shared" si="2"/>
        <v>0</v>
      </c>
      <c r="D38" s="6533"/>
      <c r="E38" s="4199"/>
      <c r="F38" s="4199"/>
      <c r="G38" s="4199"/>
      <c r="H38" s="4199"/>
      <c r="I38" s="4199"/>
      <c r="J38" s="4199"/>
      <c r="K38" s="4199"/>
      <c r="L38" s="4199"/>
      <c r="M38" s="4199"/>
      <c r="N38" s="6534"/>
      <c r="O38" s="6535"/>
      <c r="P38" s="6536"/>
      <c r="Q38" s="6537"/>
      <c r="R38" s="6537"/>
      <c r="S38" s="6537"/>
      <c r="T38" s="6537"/>
      <c r="U38" s="6537"/>
      <c r="V38" s="6509"/>
      <c r="W38" s="4328"/>
      <c r="X38" s="4328"/>
      <c r="Y38" s="4328"/>
      <c r="Z38" s="4328"/>
      <c r="AA38" s="4328"/>
      <c r="AB38" s="4328"/>
      <c r="AC38" s="4328"/>
      <c r="AD38" s="4328"/>
      <c r="AE38" s="4328"/>
      <c r="AF38" s="4328"/>
      <c r="AG38" s="4328"/>
      <c r="AH38" s="4328"/>
      <c r="AI38" s="4328"/>
      <c r="AJ38" s="4328"/>
      <c r="AK38" s="4328"/>
      <c r="AL38" s="6496"/>
      <c r="AM38" s="6497"/>
      <c r="AN38" s="6497"/>
      <c r="AO38" s="6497"/>
      <c r="AP38" s="6497"/>
      <c r="AQ38" s="6497"/>
      <c r="AR38" s="6497"/>
      <c r="AS38" s="6497"/>
      <c r="AT38" s="6497"/>
      <c r="AU38" s="6497"/>
      <c r="AV38" s="6497"/>
      <c r="AW38" s="6497"/>
      <c r="AX38" s="6497"/>
      <c r="AY38" s="6497"/>
      <c r="CZ38" s="6209"/>
      <c r="DB38" s="6209">
        <v>0</v>
      </c>
      <c r="DF38" s="6209">
        <v>0</v>
      </c>
      <c r="DH38" s="6209">
        <v>0</v>
      </c>
      <c r="DJ38" s="6209">
        <v>0</v>
      </c>
      <c r="DZ38" s="4652"/>
    </row>
    <row r="39" spans="1:130" ht="18.75" customHeight="1" x14ac:dyDescent="0.2">
      <c r="A39" s="8824"/>
      <c r="B39" s="6543" t="s">
        <v>868</v>
      </c>
      <c r="C39" s="5646">
        <f t="shared" si="2"/>
        <v>0</v>
      </c>
      <c r="D39" s="5335"/>
      <c r="E39" s="4291"/>
      <c r="F39" s="4291"/>
      <c r="G39" s="4291"/>
      <c r="H39" s="4291"/>
      <c r="I39" s="4291"/>
      <c r="J39" s="4291"/>
      <c r="K39" s="4291"/>
      <c r="L39" s="4291"/>
      <c r="M39" s="4291"/>
      <c r="N39" s="6544"/>
      <c r="O39" s="6545"/>
      <c r="P39" s="6546"/>
      <c r="Q39" s="5582"/>
      <c r="R39" s="5582"/>
      <c r="S39" s="5582"/>
      <c r="T39" s="5582"/>
      <c r="U39" s="5582"/>
      <c r="V39" s="6509"/>
      <c r="W39" s="4328"/>
      <c r="X39" s="4328"/>
      <c r="Y39" s="4328"/>
      <c r="Z39" s="4328"/>
      <c r="AA39" s="4328"/>
      <c r="AB39" s="4328"/>
      <c r="AC39" s="4328"/>
      <c r="AD39" s="4328"/>
      <c r="AE39" s="4328"/>
      <c r="AF39" s="4328"/>
      <c r="AG39" s="4328"/>
      <c r="AH39" s="4328"/>
      <c r="AI39" s="4328"/>
      <c r="AJ39" s="4328"/>
      <c r="AK39" s="4328"/>
      <c r="AL39" s="6496"/>
      <c r="AM39" s="6497"/>
      <c r="AN39" s="6497"/>
      <c r="AO39" s="6497"/>
      <c r="AP39" s="6497"/>
      <c r="AQ39" s="6497"/>
      <c r="AR39" s="6497"/>
      <c r="AS39" s="6497"/>
      <c r="AT39" s="6497"/>
      <c r="AU39" s="6497"/>
      <c r="AV39" s="6497"/>
      <c r="AW39" s="6497"/>
      <c r="AX39" s="6497"/>
      <c r="AY39" s="6497"/>
      <c r="CZ39" s="6209"/>
      <c r="DB39" s="6209">
        <v>0</v>
      </c>
      <c r="DF39" s="6209">
        <v>0</v>
      </c>
      <c r="DH39" s="6209">
        <v>0</v>
      </c>
      <c r="DJ39" s="6209">
        <v>0</v>
      </c>
      <c r="DZ39" s="4652"/>
    </row>
    <row r="40" spans="1:130" ht="18.75" customHeight="1" x14ac:dyDescent="0.2">
      <c r="A40" s="8824"/>
      <c r="B40" s="6543" t="s">
        <v>867</v>
      </c>
      <c r="C40" s="5646">
        <f t="shared" si="2"/>
        <v>0</v>
      </c>
      <c r="D40" s="5335"/>
      <c r="E40" s="4291"/>
      <c r="F40" s="4291"/>
      <c r="G40" s="4291"/>
      <c r="H40" s="4291"/>
      <c r="I40" s="4291"/>
      <c r="J40" s="4291"/>
      <c r="K40" s="4291"/>
      <c r="L40" s="4291"/>
      <c r="M40" s="4291"/>
      <c r="N40" s="6544"/>
      <c r="O40" s="6545"/>
      <c r="P40" s="6546"/>
      <c r="Q40" s="5582"/>
      <c r="R40" s="5582"/>
      <c r="S40" s="5582"/>
      <c r="T40" s="5582"/>
      <c r="U40" s="5582"/>
      <c r="V40" s="6509"/>
      <c r="W40" s="4328"/>
      <c r="X40" s="4328"/>
      <c r="Y40" s="4328"/>
      <c r="Z40" s="4328"/>
      <c r="AA40" s="4328"/>
      <c r="AB40" s="4328"/>
      <c r="AC40" s="4328"/>
      <c r="AD40" s="4328"/>
      <c r="AE40" s="4328"/>
      <c r="AF40" s="4328"/>
      <c r="AG40" s="4328"/>
      <c r="AH40" s="4328"/>
      <c r="AI40" s="4328"/>
      <c r="AJ40" s="4328"/>
      <c r="AK40" s="4328"/>
      <c r="AL40" s="6496"/>
      <c r="AM40" s="6497"/>
      <c r="AN40" s="6497"/>
      <c r="AO40" s="6497"/>
      <c r="AP40" s="6497"/>
      <c r="AQ40" s="6497"/>
      <c r="AR40" s="6497"/>
      <c r="AS40" s="6497"/>
      <c r="AT40" s="6497"/>
      <c r="AU40" s="6497"/>
      <c r="AV40" s="6497"/>
      <c r="AW40" s="6497"/>
      <c r="AX40" s="6497"/>
      <c r="AY40" s="6497"/>
      <c r="CZ40" s="6209"/>
      <c r="DB40" s="6209">
        <v>0</v>
      </c>
      <c r="DF40" s="6209">
        <v>0</v>
      </c>
      <c r="DH40" s="6209">
        <v>0</v>
      </c>
      <c r="DJ40" s="6209">
        <v>0</v>
      </c>
      <c r="DZ40" s="4652"/>
    </row>
    <row r="41" spans="1:130" ht="18.75" customHeight="1" x14ac:dyDescent="0.2">
      <c r="A41" s="8824"/>
      <c r="B41" s="6543" t="s">
        <v>866</v>
      </c>
      <c r="C41" s="5646">
        <f t="shared" si="2"/>
        <v>0</v>
      </c>
      <c r="D41" s="5335"/>
      <c r="E41" s="4291"/>
      <c r="F41" s="4291"/>
      <c r="G41" s="4291"/>
      <c r="H41" s="4291"/>
      <c r="I41" s="4291"/>
      <c r="J41" s="4291"/>
      <c r="K41" s="4291"/>
      <c r="L41" s="4291"/>
      <c r="M41" s="4291"/>
      <c r="N41" s="6544"/>
      <c r="O41" s="6545"/>
      <c r="P41" s="6546"/>
      <c r="Q41" s="5582"/>
      <c r="R41" s="5582"/>
      <c r="S41" s="5582"/>
      <c r="T41" s="5582"/>
      <c r="U41" s="5582"/>
      <c r="V41" s="6509"/>
      <c r="W41" s="4328"/>
      <c r="X41" s="4328"/>
      <c r="Y41" s="4328"/>
      <c r="Z41" s="4328"/>
      <c r="AA41" s="4328"/>
      <c r="AB41" s="4328"/>
      <c r="AC41" s="4328"/>
      <c r="AD41" s="4328"/>
      <c r="AE41" s="4328"/>
      <c r="AF41" s="4328"/>
      <c r="AG41" s="4328"/>
      <c r="AH41" s="4328"/>
      <c r="AI41" s="4328"/>
      <c r="AJ41" s="4328"/>
      <c r="AK41" s="4328"/>
      <c r="AL41" s="6496"/>
      <c r="AM41" s="6497"/>
      <c r="AN41" s="6497"/>
      <c r="AO41" s="6497"/>
      <c r="AP41" s="6497"/>
      <c r="AQ41" s="6497"/>
      <c r="AR41" s="6497"/>
      <c r="AS41" s="6497"/>
      <c r="AT41" s="6497"/>
      <c r="AU41" s="6497"/>
      <c r="AV41" s="6497"/>
      <c r="AW41" s="6497"/>
      <c r="AX41" s="6497"/>
      <c r="AY41" s="6497"/>
      <c r="CZ41" s="6209"/>
      <c r="DB41" s="6209">
        <v>0</v>
      </c>
      <c r="DF41" s="6209">
        <v>0</v>
      </c>
      <c r="DH41" s="6209">
        <v>0</v>
      </c>
      <c r="DJ41" s="6209">
        <v>0</v>
      </c>
      <c r="DZ41" s="4652"/>
    </row>
    <row r="42" spans="1:130" ht="18.75" customHeight="1" x14ac:dyDescent="0.2">
      <c r="A42" s="8824"/>
      <c r="B42" s="6543" t="s">
        <v>865</v>
      </c>
      <c r="C42" s="5646">
        <f t="shared" si="2"/>
        <v>0</v>
      </c>
      <c r="D42" s="5335"/>
      <c r="E42" s="4291"/>
      <c r="F42" s="4291"/>
      <c r="G42" s="4291"/>
      <c r="H42" s="4291"/>
      <c r="I42" s="4291"/>
      <c r="J42" s="4291"/>
      <c r="K42" s="4291"/>
      <c r="L42" s="4291"/>
      <c r="M42" s="4291"/>
      <c r="N42" s="6544"/>
      <c r="O42" s="6545"/>
      <c r="P42" s="6546"/>
      <c r="Q42" s="5582"/>
      <c r="R42" s="5582"/>
      <c r="S42" s="5582"/>
      <c r="T42" s="5582"/>
      <c r="U42" s="5582"/>
      <c r="V42" s="6509"/>
      <c r="W42" s="4328"/>
      <c r="X42" s="4328"/>
      <c r="Y42" s="4328"/>
      <c r="Z42" s="4328"/>
      <c r="AA42" s="4328"/>
      <c r="AB42" s="4328"/>
      <c r="AC42" s="4328"/>
      <c r="AD42" s="4328"/>
      <c r="AE42" s="4328"/>
      <c r="AF42" s="4328"/>
      <c r="AG42" s="4328"/>
      <c r="AH42" s="4328"/>
      <c r="AI42" s="4328"/>
      <c r="AJ42" s="4328"/>
      <c r="AK42" s="4328"/>
      <c r="AL42" s="6496"/>
      <c r="AM42" s="6497"/>
      <c r="AN42" s="6497"/>
      <c r="AO42" s="6497"/>
      <c r="AP42" s="6497"/>
      <c r="AQ42" s="6497"/>
      <c r="AR42" s="6497"/>
      <c r="AS42" s="6497"/>
      <c r="AT42" s="6497"/>
      <c r="AU42" s="6497"/>
      <c r="AV42" s="6497"/>
      <c r="AW42" s="6497"/>
      <c r="AX42" s="6497"/>
      <c r="AY42" s="6497"/>
      <c r="CZ42" s="6209"/>
      <c r="DB42" s="6209">
        <v>0</v>
      </c>
      <c r="DD42" s="6209">
        <v>0</v>
      </c>
      <c r="DF42" s="6209">
        <v>0</v>
      </c>
      <c r="DH42" s="6209">
        <v>0</v>
      </c>
      <c r="DJ42" s="6209">
        <v>0</v>
      </c>
      <c r="DZ42" s="4652"/>
    </row>
    <row r="43" spans="1:130" ht="18.75" customHeight="1" x14ac:dyDescent="0.2">
      <c r="A43" s="8824"/>
      <c r="B43" s="6547" t="s">
        <v>864</v>
      </c>
      <c r="C43" s="6548">
        <f t="shared" si="2"/>
        <v>0</v>
      </c>
      <c r="D43" s="6549"/>
      <c r="E43" s="5463"/>
      <c r="F43" s="5463"/>
      <c r="G43" s="5463"/>
      <c r="H43" s="5463"/>
      <c r="I43" s="5463"/>
      <c r="J43" s="5463"/>
      <c r="K43" s="5463"/>
      <c r="L43" s="5463"/>
      <c r="M43" s="5463"/>
      <c r="N43" s="6550"/>
      <c r="O43" s="6551"/>
      <c r="P43" s="6552"/>
      <c r="Q43" s="5460"/>
      <c r="R43" s="5460"/>
      <c r="S43" s="5460"/>
      <c r="T43" s="5460"/>
      <c r="U43" s="5460"/>
      <c r="V43" s="6509"/>
      <c r="W43" s="4328"/>
      <c r="X43" s="4328"/>
      <c r="Y43" s="4328"/>
      <c r="Z43" s="4328"/>
      <c r="AA43" s="4328"/>
      <c r="AB43" s="4328"/>
      <c r="AC43" s="4328"/>
      <c r="AD43" s="4328"/>
      <c r="AE43" s="4328"/>
      <c r="AF43" s="4328"/>
      <c r="AG43" s="4328"/>
      <c r="AH43" s="4328"/>
      <c r="AI43" s="4328"/>
      <c r="AJ43" s="4328"/>
      <c r="AK43" s="4328"/>
      <c r="AL43" s="6496"/>
      <c r="AM43" s="6497"/>
      <c r="AN43" s="6497"/>
      <c r="AO43" s="6497"/>
      <c r="AP43" s="6497"/>
      <c r="AQ43" s="6497"/>
      <c r="AR43" s="6497"/>
      <c r="AS43" s="6497"/>
      <c r="AT43" s="6497"/>
      <c r="AU43" s="6497"/>
      <c r="AV43" s="6497"/>
      <c r="AW43" s="6497"/>
      <c r="AX43" s="6497"/>
      <c r="AY43" s="6497"/>
      <c r="CZ43" s="6209"/>
      <c r="DB43" s="6209">
        <v>0</v>
      </c>
      <c r="DD43" s="6209">
        <v>0</v>
      </c>
      <c r="DF43" s="6209">
        <v>0</v>
      </c>
      <c r="DH43" s="6209">
        <v>0</v>
      </c>
      <c r="DJ43" s="6209">
        <v>0</v>
      </c>
      <c r="DZ43" s="4652"/>
    </row>
    <row r="44" spans="1:130" ht="18.75" customHeight="1" x14ac:dyDescent="0.2">
      <c r="A44" s="8824"/>
      <c r="B44" s="5464" t="s">
        <v>3734</v>
      </c>
      <c r="C44" s="5520">
        <f>SUM(D44:M44)</f>
        <v>0</v>
      </c>
      <c r="D44" s="5505"/>
      <c r="E44" s="6553"/>
      <c r="F44" s="6553"/>
      <c r="G44" s="6553"/>
      <c r="H44" s="6553"/>
      <c r="I44" s="6553"/>
      <c r="J44" s="6553"/>
      <c r="K44" s="6553"/>
      <c r="L44" s="6553"/>
      <c r="M44" s="6553"/>
      <c r="N44" s="6554"/>
      <c r="O44" s="6555"/>
      <c r="P44" s="6556"/>
      <c r="Q44" s="5450"/>
      <c r="R44" s="5450"/>
      <c r="S44" s="5450"/>
      <c r="T44" s="5450"/>
      <c r="U44" s="5450"/>
      <c r="V44" s="6509"/>
      <c r="W44" s="4328"/>
      <c r="X44" s="4328"/>
      <c r="Y44" s="4328"/>
      <c r="Z44" s="4328"/>
      <c r="AA44" s="4328"/>
      <c r="AB44" s="4328"/>
      <c r="AC44" s="4328"/>
      <c r="AD44" s="4328"/>
      <c r="AE44" s="4328"/>
      <c r="AF44" s="4328"/>
      <c r="AG44" s="4328"/>
      <c r="AH44" s="4328"/>
      <c r="AI44" s="4328"/>
      <c r="AJ44" s="4328"/>
      <c r="AK44" s="4328"/>
      <c r="AL44" s="6557"/>
      <c r="AM44" s="6558"/>
      <c r="AN44" s="6558"/>
      <c r="AO44" s="6558"/>
      <c r="AP44" s="6558"/>
      <c r="AQ44" s="6558"/>
      <c r="AR44" s="6558"/>
      <c r="AS44" s="6558"/>
      <c r="AT44" s="6558"/>
      <c r="AU44" s="6558"/>
      <c r="AV44" s="6558"/>
      <c r="AW44" s="6558"/>
      <c r="AX44" s="6558"/>
      <c r="AY44" s="6558"/>
      <c r="CZ44" s="6209"/>
      <c r="DB44" s="6209">
        <v>0</v>
      </c>
      <c r="DD44" s="6209">
        <v>0</v>
      </c>
      <c r="DF44" s="6209">
        <v>0</v>
      </c>
      <c r="DH44" s="6209">
        <v>0</v>
      </c>
      <c r="DJ44" s="6209">
        <v>0</v>
      </c>
      <c r="DZ44" s="4652"/>
    </row>
    <row r="45" spans="1:130" ht="16.350000000000001" customHeight="1" x14ac:dyDescent="0.2">
      <c r="A45" s="8807" t="s">
        <v>3762</v>
      </c>
      <c r="B45" s="6559" t="s">
        <v>69</v>
      </c>
      <c r="C45" s="6532">
        <f t="shared" si="2"/>
        <v>0</v>
      </c>
      <c r="D45" s="6533"/>
      <c r="E45" s="4199"/>
      <c r="F45" s="4199"/>
      <c r="G45" s="4199"/>
      <c r="H45" s="4199"/>
      <c r="I45" s="4199"/>
      <c r="J45" s="4199"/>
      <c r="K45" s="4199"/>
      <c r="L45" s="4199"/>
      <c r="M45" s="4199"/>
      <c r="N45" s="6534"/>
      <c r="O45" s="6535"/>
      <c r="P45" s="6536"/>
      <c r="Q45" s="6537"/>
      <c r="R45" s="6537"/>
      <c r="S45" s="6537"/>
      <c r="T45" s="6537"/>
      <c r="U45" s="6537"/>
      <c r="V45" s="6509"/>
      <c r="W45" s="4328"/>
      <c r="X45" s="4328"/>
      <c r="Y45" s="4328"/>
      <c r="Z45" s="4328"/>
      <c r="AA45" s="4328"/>
      <c r="AB45" s="4328"/>
      <c r="AC45" s="4328"/>
      <c r="AD45" s="4328"/>
      <c r="AE45" s="4328"/>
      <c r="AF45" s="4328"/>
      <c r="AG45" s="4328"/>
      <c r="AH45" s="4328"/>
      <c r="AI45" s="4328"/>
      <c r="AJ45" s="4328"/>
      <c r="AK45" s="4328"/>
      <c r="AL45" s="6496"/>
      <c r="AM45" s="6497"/>
      <c r="AN45" s="6497"/>
      <c r="AO45" s="6497"/>
      <c r="AP45" s="6497"/>
      <c r="AQ45" s="6497"/>
      <c r="AR45" s="6497"/>
      <c r="AS45" s="6497"/>
      <c r="AT45" s="6497"/>
      <c r="AU45" s="6497"/>
      <c r="AV45" s="6497"/>
      <c r="AW45" s="6497"/>
      <c r="AX45" s="6497"/>
      <c r="AY45" s="6497"/>
      <c r="CZ45" s="6209"/>
      <c r="DB45" s="6209">
        <v>0</v>
      </c>
      <c r="DF45" s="6209">
        <v>0</v>
      </c>
      <c r="DH45" s="6209">
        <v>0</v>
      </c>
      <c r="DJ45" s="6209">
        <v>0</v>
      </c>
      <c r="DZ45" s="4652"/>
    </row>
    <row r="46" spans="1:130" ht="16.350000000000001" customHeight="1" x14ac:dyDescent="0.2">
      <c r="A46" s="8808"/>
      <c r="B46" s="6560" t="s">
        <v>17</v>
      </c>
      <c r="C46" s="5685">
        <f t="shared" si="2"/>
        <v>0</v>
      </c>
      <c r="D46" s="5348"/>
      <c r="E46" s="6538"/>
      <c r="F46" s="6538"/>
      <c r="G46" s="6538"/>
      <c r="H46" s="6538"/>
      <c r="I46" s="6538"/>
      <c r="J46" s="6538"/>
      <c r="K46" s="6538"/>
      <c r="L46" s="6538"/>
      <c r="M46" s="6538"/>
      <c r="N46" s="6539"/>
      <c r="O46" s="6540"/>
      <c r="P46" s="6541"/>
      <c r="Q46" s="4888"/>
      <c r="R46" s="4888"/>
      <c r="S46" s="4888"/>
      <c r="T46" s="4888"/>
      <c r="U46" s="4888"/>
      <c r="V46" s="6509"/>
      <c r="W46" s="4328"/>
      <c r="X46" s="4328"/>
      <c r="Y46" s="4328"/>
      <c r="Z46" s="4328"/>
      <c r="AA46" s="4328"/>
      <c r="AB46" s="4328"/>
      <c r="AC46" s="4328"/>
      <c r="AD46" s="4328"/>
      <c r="AE46" s="4328"/>
      <c r="AF46" s="4328"/>
      <c r="AG46" s="4328"/>
      <c r="AH46" s="4328"/>
      <c r="AI46" s="4328"/>
      <c r="AJ46" s="4328"/>
      <c r="AK46" s="4328"/>
      <c r="AL46" s="6496"/>
      <c r="AM46" s="6497"/>
      <c r="AN46" s="6497"/>
      <c r="AO46" s="6497"/>
      <c r="AP46" s="6497"/>
      <c r="AQ46" s="6497"/>
      <c r="AR46" s="6497"/>
      <c r="AS46" s="6497"/>
      <c r="AT46" s="6497"/>
      <c r="AU46" s="6497"/>
      <c r="AV46" s="6497"/>
      <c r="AW46" s="6497"/>
      <c r="AX46" s="6497"/>
      <c r="AY46" s="6497"/>
      <c r="CZ46" s="6209"/>
      <c r="DB46" s="6209">
        <v>0</v>
      </c>
      <c r="DF46" s="6209">
        <v>0</v>
      </c>
      <c r="DH46" s="6209">
        <v>0</v>
      </c>
      <c r="DJ46" s="6209">
        <v>0</v>
      </c>
      <c r="DZ46" s="4652"/>
    </row>
    <row r="47" spans="1:130" ht="16.350000000000001" customHeight="1" x14ac:dyDescent="0.2">
      <c r="A47" s="8807" t="s">
        <v>863</v>
      </c>
      <c r="B47" s="6561" t="s">
        <v>69</v>
      </c>
      <c r="C47" s="6532">
        <f>SUM(D47:M47)</f>
        <v>0</v>
      </c>
      <c r="D47" s="6533"/>
      <c r="E47" s="4199"/>
      <c r="F47" s="4199"/>
      <c r="G47" s="4199"/>
      <c r="H47" s="4199"/>
      <c r="I47" s="4199"/>
      <c r="J47" s="4199"/>
      <c r="K47" s="4199"/>
      <c r="L47" s="4199"/>
      <c r="M47" s="4199"/>
      <c r="N47" s="6534"/>
      <c r="O47" s="6535"/>
      <c r="P47" s="6536"/>
      <c r="Q47" s="6537"/>
      <c r="R47" s="6537"/>
      <c r="S47" s="6537"/>
      <c r="T47" s="6537"/>
      <c r="U47" s="6537"/>
      <c r="V47" s="6509"/>
      <c r="W47" s="4328"/>
      <c r="X47" s="4328"/>
      <c r="Y47" s="4328"/>
      <c r="Z47" s="4328"/>
      <c r="AA47" s="4328"/>
      <c r="AB47" s="4328"/>
      <c r="AC47" s="4328"/>
      <c r="AD47" s="4328"/>
      <c r="AE47" s="4328"/>
      <c r="AF47" s="4328"/>
      <c r="AG47" s="4328"/>
      <c r="AH47" s="4328"/>
      <c r="AI47" s="4328"/>
      <c r="AJ47" s="4328"/>
      <c r="AK47" s="4328"/>
      <c r="AL47" s="6496"/>
      <c r="AM47" s="6497"/>
      <c r="AN47" s="6497"/>
      <c r="AO47" s="6497"/>
      <c r="AP47" s="6497"/>
      <c r="AQ47" s="6497"/>
      <c r="AR47" s="6497"/>
      <c r="AS47" s="6497"/>
      <c r="AT47" s="6497"/>
      <c r="AU47" s="6497"/>
      <c r="AV47" s="6497"/>
      <c r="AW47" s="6497"/>
      <c r="AX47" s="6497"/>
      <c r="AY47" s="6497"/>
      <c r="CZ47" s="6209"/>
      <c r="DB47" s="6209">
        <v>0</v>
      </c>
      <c r="DD47" s="6209">
        <v>0</v>
      </c>
      <c r="DF47" s="6209">
        <v>0</v>
      </c>
      <c r="DH47" s="6209">
        <v>0</v>
      </c>
      <c r="DJ47" s="6209">
        <v>0</v>
      </c>
      <c r="DZ47" s="4652"/>
    </row>
    <row r="48" spans="1:130" ht="16.350000000000001" customHeight="1" thickBot="1" x14ac:dyDescent="0.25">
      <c r="A48" s="8809"/>
      <c r="B48" s="6562" t="s">
        <v>17</v>
      </c>
      <c r="C48" s="6563">
        <f>SUM(D48:M48)</f>
        <v>0</v>
      </c>
      <c r="D48" s="6564"/>
      <c r="E48" s="6565"/>
      <c r="F48" s="6565"/>
      <c r="G48" s="6565"/>
      <c r="H48" s="6565"/>
      <c r="I48" s="6565"/>
      <c r="J48" s="6565"/>
      <c r="K48" s="6565"/>
      <c r="L48" s="6565"/>
      <c r="M48" s="6565"/>
      <c r="N48" s="6566"/>
      <c r="O48" s="6567"/>
      <c r="P48" s="6568"/>
      <c r="Q48" s="6569"/>
      <c r="R48" s="6569"/>
      <c r="S48" s="6569"/>
      <c r="T48" s="6569"/>
      <c r="U48" s="6569"/>
      <c r="V48" s="6509"/>
      <c r="W48" s="4328"/>
      <c r="X48" s="4328"/>
      <c r="Y48" s="4328"/>
      <c r="Z48" s="4328"/>
      <c r="AA48" s="4328"/>
      <c r="AB48" s="4328"/>
      <c r="AC48" s="4328"/>
      <c r="AD48" s="4328"/>
      <c r="AE48" s="4328"/>
      <c r="AF48" s="4328"/>
      <c r="AG48" s="4328"/>
      <c r="AH48" s="4328"/>
      <c r="AI48" s="4328"/>
      <c r="AJ48" s="4328"/>
      <c r="AK48" s="4328"/>
      <c r="AL48" s="6496"/>
      <c r="AM48" s="6497"/>
      <c r="AN48" s="6497"/>
      <c r="AO48" s="6497"/>
      <c r="AP48" s="6497"/>
      <c r="AQ48" s="6497"/>
      <c r="AR48" s="6497"/>
      <c r="AS48" s="6497"/>
      <c r="AT48" s="6497"/>
      <c r="AU48" s="6497"/>
      <c r="AV48" s="6497"/>
      <c r="AW48" s="6497"/>
      <c r="AX48" s="6497"/>
      <c r="AY48" s="4302"/>
      <c r="CZ48" s="6209"/>
      <c r="DB48" s="6209">
        <v>0</v>
      </c>
      <c r="DD48" s="6209">
        <v>0</v>
      </c>
      <c r="DF48" s="6209">
        <v>0</v>
      </c>
      <c r="DH48" s="6209">
        <v>0</v>
      </c>
      <c r="DJ48" s="6209">
        <v>0</v>
      </c>
      <c r="DZ48" s="4652"/>
    </row>
    <row r="49" spans="1:130" ht="21" customHeight="1" thickTop="1" x14ac:dyDescent="0.2">
      <c r="A49" s="8800" t="s">
        <v>862</v>
      </c>
      <c r="B49" s="8801"/>
      <c r="C49" s="5639">
        <f t="shared" si="2"/>
        <v>0</v>
      </c>
      <c r="D49" s="4407"/>
      <c r="E49" s="6511"/>
      <c r="F49" s="6511"/>
      <c r="G49" s="6511"/>
      <c r="H49" s="6511"/>
      <c r="I49" s="6511"/>
      <c r="J49" s="6511"/>
      <c r="K49" s="6511"/>
      <c r="L49" s="6511"/>
      <c r="M49" s="6511"/>
      <c r="N49" s="6570"/>
      <c r="O49" s="6571"/>
      <c r="P49" s="6572"/>
      <c r="Q49" s="6573"/>
      <c r="R49" s="6573"/>
      <c r="S49" s="6573"/>
      <c r="T49" s="6573"/>
      <c r="U49" s="6573"/>
      <c r="V49" s="6509"/>
      <c r="W49" s="4328"/>
      <c r="X49" s="4328"/>
      <c r="Y49" s="4328"/>
      <c r="Z49" s="4328"/>
      <c r="AA49" s="4328"/>
      <c r="AB49" s="4328"/>
      <c r="AC49" s="4328"/>
      <c r="AD49" s="4328"/>
      <c r="AE49" s="4328"/>
      <c r="AF49" s="4328"/>
      <c r="AG49" s="4328"/>
      <c r="AH49" s="4328"/>
      <c r="AI49" s="4328"/>
      <c r="AJ49" s="4328"/>
      <c r="AK49" s="4328"/>
      <c r="AL49" s="6496"/>
      <c r="AM49" s="6497"/>
      <c r="AN49" s="6497"/>
      <c r="AO49" s="6497"/>
      <c r="AP49" s="6497"/>
      <c r="AQ49" s="6497"/>
      <c r="AR49" s="6497"/>
      <c r="AS49" s="6497"/>
      <c r="AT49" s="6497"/>
      <c r="AU49" s="6497"/>
      <c r="AV49" s="6497"/>
      <c r="AW49" s="6497"/>
      <c r="AX49" s="6497"/>
      <c r="AY49" s="4302"/>
      <c r="CZ49" s="6209"/>
      <c r="DB49" s="6209">
        <v>0</v>
      </c>
      <c r="DD49" s="6209">
        <v>0</v>
      </c>
      <c r="DF49" s="6209">
        <v>0</v>
      </c>
      <c r="DH49" s="6209">
        <v>0</v>
      </c>
      <c r="DJ49" s="6209">
        <v>0</v>
      </c>
      <c r="DZ49" s="4652"/>
    </row>
    <row r="50" spans="1:130" ht="20.25" customHeight="1" x14ac:dyDescent="0.2">
      <c r="A50" s="8802" t="s">
        <v>861</v>
      </c>
      <c r="B50" s="8803"/>
      <c r="C50" s="4887">
        <f t="shared" si="2"/>
        <v>0</v>
      </c>
      <c r="D50" s="6258"/>
      <c r="E50" s="6259"/>
      <c r="F50" s="6259"/>
      <c r="G50" s="6259"/>
      <c r="H50" s="6259"/>
      <c r="I50" s="6259"/>
      <c r="J50" s="6259"/>
      <c r="K50" s="6259"/>
      <c r="L50" s="6259"/>
      <c r="M50" s="6259"/>
      <c r="N50" s="6574"/>
      <c r="O50" s="6575"/>
      <c r="P50" s="6576"/>
      <c r="Q50" s="6577"/>
      <c r="R50" s="6577"/>
      <c r="S50" s="6577"/>
      <c r="T50" s="6577"/>
      <c r="U50" s="6577"/>
      <c r="V50" s="6509"/>
      <c r="W50" s="4328"/>
      <c r="X50" s="4328"/>
      <c r="Y50" s="4328"/>
      <c r="Z50" s="4328"/>
      <c r="AA50" s="4328"/>
      <c r="AB50" s="4328"/>
      <c r="AC50" s="4328"/>
      <c r="AD50" s="4328"/>
      <c r="AE50" s="4328"/>
      <c r="AF50" s="4328"/>
      <c r="AG50" s="4328"/>
      <c r="AH50" s="4328"/>
      <c r="AI50" s="4328"/>
      <c r="AJ50" s="4328"/>
      <c r="AK50" s="4328"/>
      <c r="AL50" s="6496"/>
      <c r="AM50" s="6497"/>
      <c r="AN50" s="6497"/>
      <c r="AO50" s="6497"/>
      <c r="AP50" s="6497"/>
      <c r="AQ50" s="6497"/>
      <c r="AR50" s="6497"/>
      <c r="AS50" s="6497"/>
      <c r="AT50" s="6497"/>
      <c r="AU50" s="6497"/>
      <c r="AV50" s="6497"/>
      <c r="AW50" s="6497"/>
      <c r="AX50" s="6497"/>
      <c r="AY50" s="4302"/>
      <c r="CZ50" s="6209"/>
      <c r="DB50" s="6209">
        <v>0</v>
      </c>
      <c r="DD50" s="6209">
        <v>0</v>
      </c>
      <c r="DF50" s="6209">
        <v>0</v>
      </c>
      <c r="DH50" s="6209">
        <v>0</v>
      </c>
      <c r="DJ50" s="6209">
        <v>0</v>
      </c>
      <c r="DZ50" s="4652"/>
    </row>
    <row r="51" spans="1:130" ht="20.25" customHeight="1" x14ac:dyDescent="0.2">
      <c r="A51" s="8637" t="s">
        <v>3763</v>
      </c>
      <c r="B51" s="7184" t="s">
        <v>69</v>
      </c>
      <c r="C51" s="6532">
        <f>SUM(D51:P51)</f>
        <v>0</v>
      </c>
      <c r="D51" s="6533"/>
      <c r="E51" s="4199"/>
      <c r="F51" s="4199"/>
      <c r="G51" s="4199"/>
      <c r="H51" s="4199"/>
      <c r="I51" s="4199"/>
      <c r="J51" s="4199"/>
      <c r="K51" s="4199"/>
      <c r="L51" s="4199"/>
      <c r="M51" s="4199"/>
      <c r="N51" s="6579"/>
      <c r="O51" s="4199"/>
      <c r="P51" s="6580"/>
      <c r="Q51" s="6537"/>
      <c r="R51" s="6537"/>
      <c r="S51" s="6537"/>
      <c r="T51" s="6537"/>
      <c r="U51" s="6537"/>
      <c r="V51" s="6509"/>
      <c r="W51" s="4328"/>
      <c r="X51" s="4328"/>
      <c r="Y51" s="4328"/>
      <c r="Z51" s="4328"/>
      <c r="AA51" s="4328"/>
      <c r="AB51" s="4328"/>
      <c r="AC51" s="4328"/>
      <c r="AD51" s="4328"/>
      <c r="AE51" s="4328"/>
      <c r="AF51" s="4328"/>
      <c r="AG51" s="4328"/>
      <c r="AH51" s="4328"/>
      <c r="AI51" s="4328"/>
      <c r="AJ51" s="4328"/>
      <c r="AK51" s="4328"/>
      <c r="AL51" s="7182"/>
      <c r="AM51" s="7183"/>
      <c r="AN51" s="7183"/>
      <c r="AO51" s="7183"/>
      <c r="AP51" s="7183"/>
      <c r="AQ51" s="7183"/>
      <c r="AR51" s="7183"/>
      <c r="AS51" s="7183"/>
      <c r="AT51" s="7183"/>
      <c r="AU51" s="7183"/>
      <c r="AV51" s="7183"/>
      <c r="AW51" s="7183"/>
      <c r="AX51" s="7183"/>
      <c r="AY51" s="4302"/>
      <c r="CZ51" s="6209"/>
      <c r="DB51" s="6209">
        <v>0</v>
      </c>
      <c r="DD51" s="6209">
        <v>0</v>
      </c>
      <c r="DF51" s="6209">
        <v>0</v>
      </c>
      <c r="DH51" s="6209">
        <v>0</v>
      </c>
      <c r="DJ51" s="6209">
        <v>0</v>
      </c>
      <c r="DZ51" s="4652"/>
    </row>
    <row r="52" spans="1:130" ht="20.25" customHeight="1" x14ac:dyDescent="0.2">
      <c r="A52" s="8638"/>
      <c r="B52" s="7185" t="s">
        <v>17</v>
      </c>
      <c r="C52" s="4887">
        <f>SUM(D52:P52)</f>
        <v>0</v>
      </c>
      <c r="D52" s="6258"/>
      <c r="E52" s="6259"/>
      <c r="F52" s="6259"/>
      <c r="G52" s="6259"/>
      <c r="H52" s="6259"/>
      <c r="I52" s="6259"/>
      <c r="J52" s="6259"/>
      <c r="K52" s="6259"/>
      <c r="L52" s="6259"/>
      <c r="M52" s="6259"/>
      <c r="N52" s="6257"/>
      <c r="O52" s="6259"/>
      <c r="P52" s="6582"/>
      <c r="Q52" s="6577"/>
      <c r="R52" s="6577"/>
      <c r="S52" s="6577"/>
      <c r="T52" s="6577"/>
      <c r="U52" s="6577"/>
      <c r="V52" s="6509"/>
      <c r="W52" s="4328"/>
      <c r="X52" s="4328"/>
      <c r="Y52" s="4328"/>
      <c r="Z52" s="4328"/>
      <c r="AA52" s="4328"/>
      <c r="AB52" s="4328"/>
      <c r="AC52" s="4328"/>
      <c r="AD52" s="4328"/>
      <c r="AE52" s="4328"/>
      <c r="AF52" s="4328"/>
      <c r="AG52" s="4328"/>
      <c r="AH52" s="4328"/>
      <c r="AI52" s="4328"/>
      <c r="AJ52" s="4328"/>
      <c r="AK52" s="4328"/>
      <c r="AL52" s="7182"/>
      <c r="AM52" s="7183"/>
      <c r="AN52" s="7183"/>
      <c r="AO52" s="7183"/>
      <c r="AP52" s="7183"/>
      <c r="AQ52" s="7183"/>
      <c r="AR52" s="7183"/>
      <c r="AS52" s="7183"/>
      <c r="AT52" s="7183"/>
      <c r="AU52" s="7183"/>
      <c r="AV52" s="7183"/>
      <c r="AW52" s="7183"/>
      <c r="AX52" s="7183"/>
      <c r="AY52" s="4302"/>
      <c r="CZ52" s="6209"/>
      <c r="DB52" s="6209">
        <v>0</v>
      </c>
      <c r="DD52" s="6209">
        <v>0</v>
      </c>
      <c r="DF52" s="6209">
        <v>0</v>
      </c>
      <c r="DH52" s="6209">
        <v>0</v>
      </c>
      <c r="DJ52" s="6209">
        <v>0</v>
      </c>
      <c r="DZ52" s="4652"/>
    </row>
    <row r="53" spans="1:130" ht="21" customHeight="1" x14ac:dyDescent="0.2">
      <c r="A53" s="8794" t="s">
        <v>860</v>
      </c>
      <c r="B53" s="6578" t="s">
        <v>69</v>
      </c>
      <c r="C53" s="6532">
        <f>SUM(D53:P53)</f>
        <v>0</v>
      </c>
      <c r="D53" s="6533"/>
      <c r="E53" s="4199"/>
      <c r="F53" s="4199"/>
      <c r="G53" s="4199"/>
      <c r="H53" s="4199"/>
      <c r="I53" s="4199"/>
      <c r="J53" s="4199"/>
      <c r="K53" s="4199"/>
      <c r="L53" s="4199"/>
      <c r="M53" s="4199"/>
      <c r="N53" s="6579"/>
      <c r="O53" s="4199"/>
      <c r="P53" s="6580"/>
      <c r="Q53" s="6537"/>
      <c r="R53" s="6537"/>
      <c r="S53" s="6537"/>
      <c r="T53" s="6537"/>
      <c r="U53" s="6537"/>
      <c r="V53" s="6509"/>
      <c r="W53" s="4328"/>
      <c r="X53" s="4328"/>
      <c r="Y53" s="4328"/>
      <c r="Z53" s="4328"/>
      <c r="AA53" s="4328"/>
      <c r="AB53" s="4328"/>
      <c r="AC53" s="4328"/>
      <c r="AD53" s="4328"/>
      <c r="AE53" s="4328"/>
      <c r="AF53" s="4328"/>
      <c r="AG53" s="4328"/>
      <c r="AH53" s="4328"/>
      <c r="AI53" s="4328"/>
      <c r="AJ53" s="4328"/>
      <c r="AK53" s="4328"/>
      <c r="AL53" s="6496"/>
      <c r="AM53" s="6497"/>
      <c r="AN53" s="6497"/>
      <c r="AO53" s="6497"/>
      <c r="AP53" s="6497"/>
      <c r="AQ53" s="6497"/>
      <c r="AR53" s="6497"/>
      <c r="AS53" s="6497"/>
      <c r="AT53" s="6497"/>
      <c r="AU53" s="6497"/>
      <c r="AV53" s="6497"/>
      <c r="AW53" s="6497"/>
      <c r="AX53" s="6497"/>
      <c r="AY53" s="4302"/>
      <c r="CZ53" s="6209"/>
      <c r="DB53" s="6209">
        <v>0</v>
      </c>
      <c r="DD53" s="6209">
        <v>0</v>
      </c>
      <c r="DF53" s="6209">
        <v>0</v>
      </c>
      <c r="DH53" s="6209">
        <v>0</v>
      </c>
      <c r="DJ53" s="6209">
        <v>0</v>
      </c>
      <c r="DZ53" s="4652"/>
    </row>
    <row r="54" spans="1:130" ht="18" customHeight="1" x14ac:dyDescent="0.2">
      <c r="A54" s="8795"/>
      <c r="B54" s="6581" t="s">
        <v>17</v>
      </c>
      <c r="C54" s="4887">
        <f>SUM(D54:P54)</f>
        <v>0</v>
      </c>
      <c r="D54" s="6258"/>
      <c r="E54" s="6259"/>
      <c r="F54" s="6259"/>
      <c r="G54" s="6259"/>
      <c r="H54" s="6259"/>
      <c r="I54" s="6259"/>
      <c r="J54" s="6259"/>
      <c r="K54" s="6259"/>
      <c r="L54" s="6259"/>
      <c r="M54" s="6259"/>
      <c r="N54" s="6257"/>
      <c r="O54" s="6259"/>
      <c r="P54" s="6582"/>
      <c r="Q54" s="6577"/>
      <c r="R54" s="6577"/>
      <c r="S54" s="6577"/>
      <c r="T54" s="6577"/>
      <c r="U54" s="6577"/>
      <c r="V54" s="6509"/>
      <c r="Z54" s="5427"/>
      <c r="AA54" s="5427"/>
      <c r="AB54" s="5427"/>
      <c r="AC54" s="5427"/>
      <c r="AD54" s="5427"/>
      <c r="AE54" s="5427"/>
      <c r="AF54" s="5427"/>
      <c r="AG54" s="5427"/>
      <c r="AH54" s="5427"/>
      <c r="AI54" s="5427"/>
      <c r="AJ54" s="5427"/>
      <c r="AK54" s="6492"/>
      <c r="AL54" s="6492"/>
      <c r="AM54" s="6492"/>
      <c r="AN54" s="6492"/>
      <c r="AO54" s="6492"/>
      <c r="AP54" s="6492"/>
      <c r="AQ54" s="6492"/>
      <c r="AR54" s="6492"/>
      <c r="AS54" s="6492"/>
      <c r="AT54" s="6492"/>
      <c r="AU54" s="6492"/>
      <c r="AV54" s="6492"/>
      <c r="AW54" s="6492"/>
      <c r="AX54" s="6493"/>
      <c r="CZ54" s="6209"/>
      <c r="DB54" s="6209">
        <v>0</v>
      </c>
      <c r="DD54" s="6209">
        <v>0</v>
      </c>
      <c r="DF54" s="6209">
        <v>0</v>
      </c>
      <c r="DH54" s="6209">
        <v>0</v>
      </c>
      <c r="DJ54" s="6209">
        <v>0</v>
      </c>
      <c r="DZ54" s="4652"/>
    </row>
    <row r="55" spans="1:130" ht="16.350000000000001" customHeight="1" x14ac:dyDescent="0.2">
      <c r="A55" s="8804" t="s">
        <v>859</v>
      </c>
      <c r="B55" s="8805"/>
      <c r="C55" s="4887">
        <f>SUM(D55:P55)</f>
        <v>0</v>
      </c>
      <c r="D55" s="6258"/>
      <c r="E55" s="6259"/>
      <c r="F55" s="6259"/>
      <c r="G55" s="6259"/>
      <c r="H55" s="6259"/>
      <c r="I55" s="6259"/>
      <c r="J55" s="6259"/>
      <c r="K55" s="6259"/>
      <c r="L55" s="6259"/>
      <c r="M55" s="6259"/>
      <c r="N55" s="6257"/>
      <c r="O55" s="6259"/>
      <c r="P55" s="6582"/>
      <c r="Q55" s="6577"/>
      <c r="R55" s="6577"/>
      <c r="S55" s="6577"/>
      <c r="T55" s="6577"/>
      <c r="U55" s="6577"/>
      <c r="V55" s="6509"/>
      <c r="W55" s="4328"/>
      <c r="X55" s="4328"/>
      <c r="Y55" s="4328"/>
      <c r="Z55" s="5427"/>
      <c r="AA55" s="5427"/>
      <c r="AB55" s="5427"/>
      <c r="AC55" s="5427"/>
      <c r="AD55" s="5427"/>
      <c r="AE55" s="5427"/>
      <c r="AF55" s="5427"/>
      <c r="AG55" s="5427"/>
      <c r="AH55" s="5427"/>
      <c r="AI55" s="5427"/>
      <c r="AJ55" s="5427"/>
      <c r="AK55" s="6492"/>
      <c r="AL55" s="6492"/>
      <c r="AM55" s="6492"/>
      <c r="AN55" s="6492"/>
      <c r="AO55" s="6492"/>
      <c r="AP55" s="6492"/>
      <c r="AQ55" s="6492"/>
      <c r="AR55" s="6492"/>
      <c r="AS55" s="6492"/>
      <c r="AT55" s="6492"/>
      <c r="AU55" s="6492"/>
      <c r="AV55" s="6492"/>
      <c r="AW55" s="6492"/>
      <c r="AX55" s="6493"/>
      <c r="CZ55" s="6209"/>
      <c r="DB55" s="6209">
        <v>0</v>
      </c>
      <c r="DD55" s="6209">
        <v>0</v>
      </c>
      <c r="DF55" s="6209">
        <v>0</v>
      </c>
      <c r="DH55" s="6209">
        <v>0</v>
      </c>
      <c r="DJ55" s="6209">
        <v>0</v>
      </c>
      <c r="DZ55" s="4652"/>
    </row>
    <row r="56" spans="1:130" ht="21.6" customHeight="1" x14ac:dyDescent="0.2">
      <c r="A56" s="4661" t="s">
        <v>2200</v>
      </c>
      <c r="B56" s="6583"/>
      <c r="C56" s="6584"/>
      <c r="D56" s="4328"/>
      <c r="E56" s="4328"/>
      <c r="F56" s="4173"/>
      <c r="G56" s="4627"/>
      <c r="H56" s="4627"/>
      <c r="I56" s="4627"/>
      <c r="J56" s="4627"/>
      <c r="K56" s="4627"/>
      <c r="L56" s="4627"/>
      <c r="M56" s="4627"/>
      <c r="N56" s="4627"/>
      <c r="O56" s="4627"/>
      <c r="P56" s="4627"/>
      <c r="Q56" s="5516"/>
      <c r="R56" s="5516"/>
      <c r="S56" s="4328"/>
      <c r="T56" s="4328"/>
      <c r="U56" s="4328"/>
      <c r="V56" s="4328"/>
      <c r="W56" s="4328"/>
      <c r="X56" s="4328"/>
      <c r="Y56" s="4328"/>
      <c r="Z56" s="4328"/>
      <c r="AA56" s="5427"/>
      <c r="AB56" s="5427"/>
      <c r="AC56" s="5427"/>
      <c r="AD56" s="5427"/>
      <c r="AE56" s="5427"/>
      <c r="AF56" s="5427"/>
      <c r="AG56" s="5427"/>
      <c r="AH56" s="5427"/>
      <c r="AI56" s="5427"/>
      <c r="AJ56" s="5427"/>
      <c r="AK56" s="5427"/>
      <c r="AL56" s="6585"/>
      <c r="AM56" s="6585"/>
      <c r="AN56" s="6585"/>
      <c r="AO56" s="6586"/>
      <c r="AP56" s="6586"/>
      <c r="AQ56" s="6586"/>
      <c r="AR56" s="6586"/>
      <c r="AS56" s="6586"/>
      <c r="AT56" s="6586"/>
      <c r="AU56" s="6586"/>
      <c r="AV56" s="6586"/>
      <c r="AW56" s="5427"/>
      <c r="AX56" s="5525"/>
      <c r="AY56" s="5525"/>
    </row>
    <row r="57" spans="1:130" ht="16.350000000000001" customHeight="1" x14ac:dyDescent="0.2">
      <c r="A57" s="8663" t="s">
        <v>874</v>
      </c>
      <c r="B57" s="8664"/>
      <c r="C57" s="8652" t="s">
        <v>1</v>
      </c>
      <c r="D57" s="8674" t="s">
        <v>55</v>
      </c>
      <c r="E57" s="8675"/>
      <c r="F57" s="8675"/>
      <c r="G57" s="8675"/>
      <c r="H57" s="8675"/>
      <c r="I57" s="8675"/>
      <c r="J57" s="8675"/>
      <c r="K57" s="8675"/>
      <c r="L57" s="8675"/>
      <c r="M57" s="8675"/>
      <c r="N57" s="8675"/>
      <c r="O57" s="8675"/>
      <c r="P57" s="8676"/>
      <c r="Q57" s="8206" t="s">
        <v>360</v>
      </c>
      <c r="R57" s="8206" t="s">
        <v>359</v>
      </c>
      <c r="S57" s="4328"/>
      <c r="T57" s="4328"/>
      <c r="U57" s="4328"/>
      <c r="V57" s="4328"/>
      <c r="W57" s="4328"/>
      <c r="X57" s="4328"/>
      <c r="Y57" s="5427"/>
      <c r="Z57" s="5427"/>
      <c r="AA57" s="5427"/>
      <c r="AB57" s="5427"/>
      <c r="AC57" s="5427"/>
      <c r="AD57" s="5427"/>
      <c r="AE57" s="5427"/>
      <c r="AF57" s="5427"/>
      <c r="AG57" s="5427"/>
      <c r="AH57" s="5427"/>
      <c r="AI57" s="5427"/>
      <c r="AJ57" s="6585"/>
      <c r="AK57" s="6585"/>
      <c r="AL57" s="6585"/>
      <c r="AM57" s="6586"/>
      <c r="AN57" s="6586"/>
      <c r="AO57" s="6586"/>
      <c r="AP57" s="6586"/>
      <c r="AQ57" s="6586"/>
      <c r="AR57" s="6586"/>
      <c r="AS57" s="6586"/>
      <c r="AT57" s="6586"/>
      <c r="AU57" s="5427"/>
      <c r="AV57" s="5427"/>
      <c r="AW57" s="5427"/>
    </row>
    <row r="58" spans="1:130" ht="21.75" customHeight="1" x14ac:dyDescent="0.2">
      <c r="A58" s="8695"/>
      <c r="B58" s="8689"/>
      <c r="C58" s="8653"/>
      <c r="D58" s="6494" t="s">
        <v>3529</v>
      </c>
      <c r="E58" s="5619" t="s">
        <v>80</v>
      </c>
      <c r="F58" s="5619" t="s">
        <v>81</v>
      </c>
      <c r="G58" s="5619" t="s">
        <v>82</v>
      </c>
      <c r="H58" s="5619" t="s">
        <v>83</v>
      </c>
      <c r="I58" s="5619" t="s">
        <v>398</v>
      </c>
      <c r="J58" s="5619" t="s">
        <v>124</v>
      </c>
      <c r="K58" s="5619" t="s">
        <v>125</v>
      </c>
      <c r="L58" s="5619" t="s">
        <v>126</v>
      </c>
      <c r="M58" s="5880" t="s">
        <v>127</v>
      </c>
      <c r="N58" s="6523" t="s">
        <v>128</v>
      </c>
      <c r="O58" s="6524" t="s">
        <v>129</v>
      </c>
      <c r="P58" s="6525" t="s">
        <v>3530</v>
      </c>
      <c r="Q58" s="8683"/>
      <c r="R58" s="8690"/>
      <c r="S58" s="4328"/>
      <c r="T58" s="4328"/>
      <c r="U58" s="4328"/>
      <c r="V58" s="4328"/>
      <c r="W58" s="4328"/>
      <c r="X58" s="4328"/>
      <c r="Y58" s="5427"/>
      <c r="Z58" s="5427"/>
      <c r="AA58" s="5427"/>
      <c r="AB58" s="5427"/>
      <c r="AC58" s="5427"/>
      <c r="AD58" s="5427"/>
      <c r="AE58" s="5427"/>
      <c r="AF58" s="5427"/>
      <c r="AG58" s="5427"/>
      <c r="AH58" s="5427"/>
      <c r="AI58" s="5427"/>
      <c r="AJ58" s="6585"/>
      <c r="AK58" s="6585"/>
      <c r="AL58" s="6585"/>
      <c r="AM58" s="6586"/>
      <c r="AN58" s="6586"/>
      <c r="AO58" s="6586"/>
      <c r="AP58" s="6586"/>
      <c r="AQ58" s="6586"/>
      <c r="AR58" s="6586"/>
      <c r="AS58" s="6586"/>
      <c r="AT58" s="6586"/>
      <c r="AU58" s="5427"/>
      <c r="AV58" s="5427"/>
      <c r="AW58" s="5427"/>
    </row>
    <row r="59" spans="1:130" ht="16.350000000000001" customHeight="1" x14ac:dyDescent="0.2">
      <c r="A59" s="8806" t="s">
        <v>873</v>
      </c>
      <c r="B59" s="8806"/>
      <c r="C59" s="7598">
        <f>SUM(D59:P59)</f>
        <v>0</v>
      </c>
      <c r="D59" s="7598">
        <f>SUM(D60:D72)</f>
        <v>0</v>
      </c>
      <c r="E59" s="7598">
        <f t="shared" ref="E59:M59" si="3">SUM(E60:E72)</f>
        <v>0</v>
      </c>
      <c r="F59" s="7598">
        <f>SUM(F60:F72)</f>
        <v>0</v>
      </c>
      <c r="G59" s="7598">
        <f t="shared" si="3"/>
        <v>0</v>
      </c>
      <c r="H59" s="7598">
        <f t="shared" si="3"/>
        <v>0</v>
      </c>
      <c r="I59" s="7598">
        <f t="shared" si="3"/>
        <v>0</v>
      </c>
      <c r="J59" s="7598">
        <f t="shared" si="3"/>
        <v>0</v>
      </c>
      <c r="K59" s="7598">
        <f t="shared" si="3"/>
        <v>0</v>
      </c>
      <c r="L59" s="7598">
        <f t="shared" si="3"/>
        <v>0</v>
      </c>
      <c r="M59" s="7598">
        <f t="shared" si="3"/>
        <v>0</v>
      </c>
      <c r="N59" s="7598">
        <f>SUM(N75:N79)</f>
        <v>0</v>
      </c>
      <c r="O59" s="7598">
        <f t="shared" ref="O59:P59" si="4">SUM(O75:O79)</f>
        <v>0</v>
      </c>
      <c r="P59" s="7600">
        <f t="shared" si="4"/>
        <v>0</v>
      </c>
      <c r="Q59" s="7599">
        <f>SUM(Q60:Q70)</f>
        <v>0</v>
      </c>
      <c r="R59" s="7598">
        <f>SUM(R60:R70)</f>
        <v>0</v>
      </c>
      <c r="S59" s="4328"/>
      <c r="T59" s="4328"/>
      <c r="U59" s="4328"/>
      <c r="V59" s="4328"/>
      <c r="W59" s="4328"/>
      <c r="X59" s="4328"/>
      <c r="Y59" s="5427"/>
      <c r="Z59" s="5427"/>
      <c r="AA59" s="5427"/>
      <c r="AB59" s="5427"/>
      <c r="AC59" s="5427"/>
      <c r="AD59" s="5427"/>
      <c r="AE59" s="5427"/>
      <c r="AF59" s="5427"/>
      <c r="AG59" s="5427"/>
      <c r="AH59" s="5427"/>
      <c r="AI59" s="5427"/>
      <c r="AJ59" s="6585"/>
      <c r="AK59" s="6585"/>
      <c r="AL59" s="6585"/>
      <c r="AM59" s="6586"/>
      <c r="AN59" s="6586"/>
      <c r="AO59" s="6586"/>
      <c r="AP59" s="6586"/>
      <c r="AQ59" s="6586"/>
      <c r="AR59" s="6586"/>
      <c r="AS59" s="6586"/>
      <c r="AT59" s="6586"/>
      <c r="AU59" s="5427"/>
      <c r="AV59" s="5427"/>
      <c r="AW59" s="5427"/>
    </row>
    <row r="60" spans="1:130" ht="16.350000000000001" customHeight="1" x14ac:dyDescent="0.2">
      <c r="A60" s="8796" t="s">
        <v>872</v>
      </c>
      <c r="B60" s="8797"/>
      <c r="C60" s="6532">
        <f>SUM(D60:M60)</f>
        <v>0</v>
      </c>
      <c r="D60" s="6588"/>
      <c r="E60" s="6589"/>
      <c r="F60" s="6589"/>
      <c r="G60" s="6589"/>
      <c r="H60" s="6589"/>
      <c r="I60" s="6589"/>
      <c r="J60" s="6589"/>
      <c r="K60" s="6589"/>
      <c r="L60" s="6589"/>
      <c r="M60" s="6589"/>
      <c r="N60" s="6590"/>
      <c r="O60" s="6591"/>
      <c r="P60" s="6592"/>
      <c r="Q60" s="4803"/>
      <c r="R60" s="4803"/>
      <c r="S60" s="6024"/>
      <c r="T60" s="4328"/>
      <c r="U60" s="4328"/>
      <c r="V60" s="4328"/>
      <c r="W60" s="4328"/>
      <c r="X60" s="4328"/>
      <c r="Y60" s="5427"/>
      <c r="Z60" s="5427"/>
      <c r="AA60" s="5427"/>
      <c r="AB60" s="5427"/>
      <c r="AC60" s="5427"/>
      <c r="AD60" s="5427"/>
      <c r="AE60" s="5427"/>
      <c r="AF60" s="5427"/>
      <c r="AG60" s="5427"/>
      <c r="AH60" s="5427"/>
      <c r="AI60" s="5427"/>
      <c r="AJ60" s="6585"/>
      <c r="AK60" s="6585"/>
      <c r="AL60" s="6585"/>
      <c r="AM60" s="6586"/>
      <c r="AN60" s="6586"/>
      <c r="AO60" s="6586"/>
      <c r="AP60" s="6586"/>
      <c r="AQ60" s="6586"/>
      <c r="AR60" s="6586"/>
      <c r="AS60" s="6586"/>
      <c r="AT60" s="6586"/>
      <c r="AU60" s="5427"/>
      <c r="AV60" s="5427"/>
      <c r="AW60" s="5427"/>
      <c r="DB60" s="6209">
        <v>0</v>
      </c>
      <c r="DD60" s="6209">
        <v>0</v>
      </c>
    </row>
    <row r="61" spans="1:130" ht="16.350000000000001" customHeight="1" x14ac:dyDescent="0.2">
      <c r="A61" s="8798" t="s">
        <v>871</v>
      </c>
      <c r="B61" s="8799"/>
      <c r="C61" s="5685">
        <f>SUM(D61:M61)</f>
        <v>0</v>
      </c>
      <c r="D61" s="6593"/>
      <c r="E61" s="6594"/>
      <c r="F61" s="6594"/>
      <c r="G61" s="6594"/>
      <c r="H61" s="6594"/>
      <c r="I61" s="6594"/>
      <c r="J61" s="6594"/>
      <c r="K61" s="6594"/>
      <c r="L61" s="6594"/>
      <c r="M61" s="6594"/>
      <c r="N61" s="6554"/>
      <c r="O61" s="6595"/>
      <c r="P61" s="6596"/>
      <c r="Q61" s="4792"/>
      <c r="R61" s="4792"/>
      <c r="S61" s="6024"/>
      <c r="T61" s="4328"/>
      <c r="U61" s="4328"/>
      <c r="V61" s="4328"/>
      <c r="W61" s="4328"/>
      <c r="X61" s="4328"/>
      <c r="Y61" s="5427"/>
      <c r="Z61" s="5427"/>
      <c r="AA61" s="5427"/>
      <c r="AB61" s="5427"/>
      <c r="AC61" s="5427"/>
      <c r="AD61" s="5427"/>
      <c r="AE61" s="5427"/>
      <c r="AF61" s="5427"/>
      <c r="AG61" s="5427"/>
      <c r="AH61" s="5427"/>
      <c r="AI61" s="5427"/>
      <c r="AJ61" s="6585"/>
      <c r="AK61" s="6585"/>
      <c r="AL61" s="6585"/>
      <c r="AM61" s="6586"/>
      <c r="AN61" s="6586"/>
      <c r="AO61" s="6586"/>
      <c r="AP61" s="6586"/>
      <c r="AQ61" s="6586"/>
      <c r="AR61" s="6586"/>
      <c r="AS61" s="6586"/>
      <c r="AT61" s="6586"/>
      <c r="AU61" s="5427"/>
      <c r="AV61" s="5427"/>
      <c r="AW61" s="5427"/>
    </row>
    <row r="62" spans="1:130" ht="16.350000000000001" customHeight="1" x14ac:dyDescent="0.2">
      <c r="A62" s="8816" t="s">
        <v>870</v>
      </c>
      <c r="B62" s="6597" t="s">
        <v>869</v>
      </c>
      <c r="C62" s="6532">
        <f t="shared" ref="C62:C74" si="5">SUM(D62:M62)</f>
        <v>0</v>
      </c>
      <c r="D62" s="6588"/>
      <c r="E62" s="6589"/>
      <c r="F62" s="6589"/>
      <c r="G62" s="6589"/>
      <c r="H62" s="6589"/>
      <c r="I62" s="6589"/>
      <c r="J62" s="6589"/>
      <c r="K62" s="6589"/>
      <c r="L62" s="6589"/>
      <c r="M62" s="6589"/>
      <c r="N62" s="6590"/>
      <c r="O62" s="6591"/>
      <c r="P62" s="6592"/>
      <c r="Q62" s="4803"/>
      <c r="R62" s="4803"/>
      <c r="S62" s="6024"/>
      <c r="T62" s="4328"/>
      <c r="U62" s="4328"/>
      <c r="V62" s="4328"/>
      <c r="W62" s="4328"/>
      <c r="X62" s="4328"/>
      <c r="Y62" s="5427"/>
      <c r="Z62" s="5427"/>
      <c r="AA62" s="5427"/>
      <c r="AB62" s="5427"/>
      <c r="AC62" s="5427"/>
      <c r="AD62" s="5427"/>
      <c r="AE62" s="5427"/>
      <c r="AF62" s="5427"/>
      <c r="AG62" s="5427"/>
      <c r="AH62" s="5427"/>
      <c r="AI62" s="5427"/>
      <c r="AJ62" s="6585"/>
      <c r="AK62" s="6585"/>
      <c r="AL62" s="6585"/>
      <c r="AM62" s="6586"/>
      <c r="AN62" s="6586"/>
      <c r="AO62" s="6586"/>
      <c r="AP62" s="6586"/>
      <c r="AQ62" s="6586"/>
      <c r="AR62" s="6586"/>
      <c r="AS62" s="6586"/>
      <c r="AT62" s="6586"/>
      <c r="AU62" s="5427"/>
      <c r="AV62" s="5427"/>
      <c r="AW62" s="5427"/>
    </row>
    <row r="63" spans="1:130" ht="16.350000000000001" customHeight="1" x14ac:dyDescent="0.2">
      <c r="A63" s="8635"/>
      <c r="B63" s="6543" t="s">
        <v>868</v>
      </c>
      <c r="C63" s="5646">
        <f t="shared" si="5"/>
        <v>0</v>
      </c>
      <c r="D63" s="4622"/>
      <c r="E63" s="4871"/>
      <c r="F63" s="4871"/>
      <c r="G63" s="4871"/>
      <c r="H63" s="4871"/>
      <c r="I63" s="4871"/>
      <c r="J63" s="4871"/>
      <c r="K63" s="4871"/>
      <c r="L63" s="4871"/>
      <c r="M63" s="4871"/>
      <c r="N63" s="6598"/>
      <c r="O63" s="6599"/>
      <c r="P63" s="6600"/>
      <c r="Q63" s="4776"/>
      <c r="R63" s="4776"/>
      <c r="S63" s="6024"/>
      <c r="T63" s="4328"/>
      <c r="U63" s="4328"/>
      <c r="V63" s="4328"/>
      <c r="W63" s="4328"/>
      <c r="X63" s="4328"/>
      <c r="Y63" s="5427"/>
      <c r="Z63" s="5427"/>
      <c r="AA63" s="5427"/>
      <c r="AB63" s="5427"/>
      <c r="AC63" s="5427"/>
      <c r="AD63" s="5427"/>
      <c r="AE63" s="5427"/>
      <c r="AF63" s="5427"/>
      <c r="AG63" s="5427"/>
      <c r="AH63" s="5427"/>
      <c r="AI63" s="5427"/>
      <c r="AJ63" s="6585"/>
      <c r="AK63" s="6585"/>
      <c r="AL63" s="6585"/>
      <c r="AM63" s="6586"/>
      <c r="AN63" s="6586"/>
      <c r="AO63" s="6586"/>
      <c r="AP63" s="6586"/>
      <c r="AQ63" s="6586"/>
      <c r="AR63" s="6586"/>
      <c r="AS63" s="6586"/>
      <c r="AT63" s="6586"/>
      <c r="AU63" s="5427"/>
      <c r="AV63" s="5427"/>
      <c r="AW63" s="5427"/>
    </row>
    <row r="64" spans="1:130" ht="16.350000000000001" customHeight="1" x14ac:dyDescent="0.2">
      <c r="A64" s="8635"/>
      <c r="B64" s="6543" t="s">
        <v>867</v>
      </c>
      <c r="C64" s="5646">
        <f t="shared" si="5"/>
        <v>0</v>
      </c>
      <c r="D64" s="4622"/>
      <c r="E64" s="4871"/>
      <c r="F64" s="4871"/>
      <c r="G64" s="4871"/>
      <c r="H64" s="4871"/>
      <c r="I64" s="4871"/>
      <c r="J64" s="4871"/>
      <c r="K64" s="4871"/>
      <c r="L64" s="4871"/>
      <c r="M64" s="4871"/>
      <c r="N64" s="6598"/>
      <c r="O64" s="6599"/>
      <c r="P64" s="6600"/>
      <c r="Q64" s="4776"/>
      <c r="R64" s="4776"/>
      <c r="S64" s="6024"/>
      <c r="T64" s="4328"/>
      <c r="U64" s="4328"/>
      <c r="V64" s="4328"/>
      <c r="W64" s="4328"/>
      <c r="X64" s="4328"/>
      <c r="Y64" s="5427"/>
      <c r="Z64" s="5427"/>
      <c r="AA64" s="5427"/>
      <c r="AB64" s="5427"/>
      <c r="AC64" s="5427"/>
      <c r="AD64" s="5427"/>
      <c r="AE64" s="5427"/>
      <c r="AF64" s="5427"/>
      <c r="AG64" s="5427"/>
      <c r="AH64" s="5427"/>
      <c r="AI64" s="5427"/>
      <c r="AJ64" s="6585"/>
      <c r="AK64" s="6585"/>
      <c r="AL64" s="6585"/>
      <c r="AM64" s="6586"/>
      <c r="AN64" s="6586"/>
      <c r="AO64" s="6586"/>
      <c r="AP64" s="6586"/>
      <c r="AQ64" s="6586"/>
      <c r="AR64" s="6586"/>
      <c r="AS64" s="6586"/>
      <c r="AT64" s="6586"/>
      <c r="AU64" s="5427"/>
      <c r="AV64" s="5427"/>
      <c r="AW64" s="5427"/>
    </row>
    <row r="65" spans="1:130" ht="16.350000000000001" customHeight="1" x14ac:dyDescent="0.2">
      <c r="A65" s="8635"/>
      <c r="B65" s="6543" t="s">
        <v>866</v>
      </c>
      <c r="C65" s="5646">
        <f t="shared" si="5"/>
        <v>0</v>
      </c>
      <c r="D65" s="4622"/>
      <c r="E65" s="4871"/>
      <c r="F65" s="4871"/>
      <c r="G65" s="4871"/>
      <c r="H65" s="4871"/>
      <c r="I65" s="4871"/>
      <c r="J65" s="4871"/>
      <c r="K65" s="4871"/>
      <c r="L65" s="4871"/>
      <c r="M65" s="4871"/>
      <c r="N65" s="6598"/>
      <c r="O65" s="6599"/>
      <c r="P65" s="6600"/>
      <c r="Q65" s="4776"/>
      <c r="R65" s="4776"/>
      <c r="S65" s="6024"/>
      <c r="T65" s="4328"/>
      <c r="U65" s="4328"/>
      <c r="V65" s="4328"/>
      <c r="W65" s="4328"/>
      <c r="X65" s="4328"/>
      <c r="Y65" s="5427"/>
      <c r="Z65" s="5427"/>
      <c r="AA65" s="5427"/>
      <c r="AB65" s="5427"/>
      <c r="AC65" s="5427"/>
      <c r="AD65" s="5427"/>
      <c r="AE65" s="5427"/>
      <c r="AF65" s="5427"/>
      <c r="AG65" s="5427"/>
      <c r="AH65" s="5427"/>
      <c r="AI65" s="5427"/>
      <c r="AJ65" s="6585"/>
      <c r="AK65" s="6585"/>
      <c r="AL65" s="6585"/>
      <c r="AM65" s="6586"/>
      <c r="AN65" s="6586"/>
      <c r="AO65" s="6586"/>
      <c r="AP65" s="6586"/>
      <c r="AQ65" s="6586"/>
      <c r="AR65" s="6586"/>
      <c r="AS65" s="6586"/>
      <c r="AT65" s="6586"/>
      <c r="AU65" s="5427"/>
      <c r="AV65" s="5427"/>
      <c r="AW65" s="5427"/>
    </row>
    <row r="66" spans="1:130" ht="16.350000000000001" customHeight="1" x14ac:dyDescent="0.2">
      <c r="A66" s="8635"/>
      <c r="B66" s="6543" t="s">
        <v>865</v>
      </c>
      <c r="C66" s="5646">
        <f t="shared" si="5"/>
        <v>0</v>
      </c>
      <c r="D66" s="4622"/>
      <c r="E66" s="4871"/>
      <c r="F66" s="4871"/>
      <c r="G66" s="4871"/>
      <c r="H66" s="4871"/>
      <c r="I66" s="4871"/>
      <c r="J66" s="4871"/>
      <c r="K66" s="4871"/>
      <c r="L66" s="4871"/>
      <c r="M66" s="4871"/>
      <c r="N66" s="6598"/>
      <c r="O66" s="6599"/>
      <c r="P66" s="6600"/>
      <c r="Q66" s="4776"/>
      <c r="R66" s="4776"/>
      <c r="S66" s="6024"/>
      <c r="T66" s="4328"/>
      <c r="U66" s="4328"/>
      <c r="V66" s="4328"/>
      <c r="W66" s="4328"/>
      <c r="X66" s="4328"/>
      <c r="Y66" s="5427"/>
      <c r="Z66" s="5427"/>
      <c r="AA66" s="5427"/>
      <c r="AB66" s="5427"/>
      <c r="AC66" s="5427"/>
      <c r="AD66" s="5427"/>
      <c r="AE66" s="5427"/>
      <c r="AF66" s="5427"/>
      <c r="AG66" s="5427"/>
      <c r="AH66" s="5427"/>
      <c r="AI66" s="5427"/>
      <c r="AJ66" s="6585"/>
      <c r="AK66" s="6585"/>
      <c r="AL66" s="6585"/>
      <c r="AM66" s="6586"/>
      <c r="AN66" s="6586"/>
      <c r="AO66" s="6586"/>
      <c r="AP66" s="6586"/>
      <c r="AQ66" s="6586"/>
      <c r="AR66" s="6586"/>
      <c r="AS66" s="6586"/>
      <c r="AT66" s="6586"/>
      <c r="AU66" s="5427"/>
      <c r="AV66" s="5427"/>
      <c r="AW66" s="5427"/>
    </row>
    <row r="67" spans="1:130" ht="16.350000000000001" customHeight="1" x14ac:dyDescent="0.2">
      <c r="A67" s="8635"/>
      <c r="B67" s="6547" t="s">
        <v>864</v>
      </c>
      <c r="C67" s="6548">
        <f t="shared" si="5"/>
        <v>0</v>
      </c>
      <c r="D67" s="6549"/>
      <c r="E67" s="5463"/>
      <c r="F67" s="5463"/>
      <c r="G67" s="5463"/>
      <c r="H67" s="5463"/>
      <c r="I67" s="5463"/>
      <c r="J67" s="5463"/>
      <c r="K67" s="5463"/>
      <c r="L67" s="5463"/>
      <c r="M67" s="5463"/>
      <c r="N67" s="6550"/>
      <c r="O67" s="6551"/>
      <c r="P67" s="6552"/>
      <c r="Q67" s="5460"/>
      <c r="R67" s="5460"/>
      <c r="S67" s="6024"/>
      <c r="T67" s="4328"/>
      <c r="U67" s="4328"/>
      <c r="V67" s="4328"/>
      <c r="W67" s="4328"/>
      <c r="X67" s="4328"/>
      <c r="Y67" s="5427"/>
      <c r="Z67" s="5427"/>
      <c r="AA67" s="5427"/>
      <c r="AB67" s="5427"/>
      <c r="AC67" s="5427"/>
      <c r="AD67" s="5427"/>
      <c r="AE67" s="5427"/>
      <c r="AF67" s="5427"/>
      <c r="AG67" s="5427"/>
      <c r="AH67" s="5427"/>
      <c r="AI67" s="5427"/>
      <c r="AJ67" s="6585"/>
      <c r="AK67" s="6585"/>
      <c r="AL67" s="6585"/>
      <c r="AM67" s="6586"/>
      <c r="AN67" s="6586"/>
      <c r="AO67" s="6586"/>
      <c r="AP67" s="6586"/>
      <c r="AQ67" s="6586"/>
      <c r="AR67" s="6586"/>
      <c r="AS67" s="6586"/>
      <c r="AT67" s="6586"/>
      <c r="AU67" s="5427"/>
      <c r="AV67" s="5427"/>
      <c r="AW67" s="5427"/>
    </row>
    <row r="68" spans="1:130" ht="16.350000000000001" customHeight="1" x14ac:dyDescent="0.2">
      <c r="A68" s="8817"/>
      <c r="B68" s="5464" t="s">
        <v>3734</v>
      </c>
      <c r="C68" s="5520">
        <f>SUM(D68:M68)</f>
        <v>0</v>
      </c>
      <c r="D68" s="5505"/>
      <c r="E68" s="6553"/>
      <c r="F68" s="6553"/>
      <c r="G68" s="6553"/>
      <c r="H68" s="6553"/>
      <c r="I68" s="6553"/>
      <c r="J68" s="6553"/>
      <c r="K68" s="6553"/>
      <c r="L68" s="6553"/>
      <c r="M68" s="6553"/>
      <c r="N68" s="6554"/>
      <c r="O68" s="6555"/>
      <c r="P68" s="6556"/>
      <c r="Q68" s="5450"/>
      <c r="R68" s="5450"/>
      <c r="S68" s="6024"/>
      <c r="T68" s="4328"/>
      <c r="U68" s="4328"/>
      <c r="V68" s="4328"/>
      <c r="W68" s="4328"/>
      <c r="X68" s="4328"/>
      <c r="Y68" s="5427"/>
      <c r="Z68" s="5427"/>
      <c r="AA68" s="5427"/>
      <c r="AB68" s="5427"/>
      <c r="AC68" s="5427"/>
      <c r="AD68" s="5427"/>
      <c r="AE68" s="5427"/>
      <c r="AF68" s="5427"/>
      <c r="AG68" s="5427"/>
      <c r="AH68" s="5427"/>
      <c r="AI68" s="5427"/>
      <c r="AJ68" s="6601"/>
      <c r="AK68" s="6601"/>
      <c r="AL68" s="6601"/>
      <c r="AM68" s="6602"/>
      <c r="AN68" s="6602"/>
      <c r="AO68" s="6602"/>
      <c r="AP68" s="6602"/>
      <c r="AQ68" s="6602"/>
      <c r="AR68" s="6602"/>
      <c r="AS68" s="6602"/>
      <c r="AT68" s="6602"/>
      <c r="AU68" s="5427"/>
      <c r="AV68" s="5427"/>
      <c r="AW68" s="5427"/>
    </row>
    <row r="69" spans="1:130" ht="16.350000000000001" customHeight="1" x14ac:dyDescent="0.2">
      <c r="A69" s="8794" t="s">
        <v>3764</v>
      </c>
      <c r="B69" s="6559" t="s">
        <v>69</v>
      </c>
      <c r="C69" s="6532">
        <f t="shared" si="5"/>
        <v>0</v>
      </c>
      <c r="D69" s="6588"/>
      <c r="E69" s="6589"/>
      <c r="F69" s="6589"/>
      <c r="G69" s="6589"/>
      <c r="H69" s="6589"/>
      <c r="I69" s="6589"/>
      <c r="J69" s="6589"/>
      <c r="K69" s="6589"/>
      <c r="L69" s="6589"/>
      <c r="M69" s="6589"/>
      <c r="N69" s="6590"/>
      <c r="O69" s="6591"/>
      <c r="P69" s="6592"/>
      <c r="Q69" s="4803"/>
      <c r="R69" s="4803"/>
      <c r="S69" s="6024"/>
      <c r="T69" s="4328"/>
      <c r="U69" s="4328"/>
      <c r="V69" s="4328"/>
      <c r="W69" s="4328"/>
      <c r="X69" s="4328"/>
      <c r="Y69" s="5427"/>
      <c r="Z69" s="5427"/>
      <c r="AA69" s="5427"/>
      <c r="AB69" s="5427"/>
      <c r="AC69" s="5427"/>
      <c r="AD69" s="5427"/>
      <c r="AE69" s="5427"/>
      <c r="AF69" s="5427"/>
      <c r="AG69" s="5427"/>
      <c r="AH69" s="5427"/>
      <c r="AI69" s="5427"/>
      <c r="AJ69" s="6585"/>
      <c r="AK69" s="6585"/>
      <c r="AL69" s="6585"/>
      <c r="AM69" s="6586"/>
      <c r="AN69" s="6586"/>
      <c r="AO69" s="6586"/>
      <c r="AP69" s="6586"/>
      <c r="AQ69" s="6586"/>
      <c r="AR69" s="6586"/>
      <c r="AS69" s="6586"/>
      <c r="AT69" s="6586"/>
      <c r="AU69" s="5427"/>
      <c r="AV69" s="5427"/>
      <c r="AW69" s="5427"/>
    </row>
    <row r="70" spans="1:130" ht="16.350000000000001" customHeight="1" x14ac:dyDescent="0.2">
      <c r="A70" s="8795"/>
      <c r="B70" s="6560" t="s">
        <v>17</v>
      </c>
      <c r="C70" s="5685">
        <f t="shared" si="5"/>
        <v>0</v>
      </c>
      <c r="D70" s="6593"/>
      <c r="E70" s="6594"/>
      <c r="F70" s="6594"/>
      <c r="G70" s="6594"/>
      <c r="H70" s="6594"/>
      <c r="I70" s="6594"/>
      <c r="J70" s="6594"/>
      <c r="K70" s="6594"/>
      <c r="L70" s="6594"/>
      <c r="M70" s="6594"/>
      <c r="N70" s="6554"/>
      <c r="O70" s="6595"/>
      <c r="P70" s="6596"/>
      <c r="Q70" s="4787"/>
      <c r="R70" s="4787"/>
      <c r="S70" s="6024"/>
      <c r="T70" s="4328"/>
      <c r="U70" s="4328"/>
      <c r="V70" s="4328"/>
      <c r="W70" s="4328"/>
      <c r="X70" s="4328"/>
      <c r="Y70" s="5427"/>
      <c r="Z70" s="5427"/>
      <c r="AA70" s="5427"/>
      <c r="AB70" s="5427"/>
      <c r="AC70" s="5427"/>
      <c r="AD70" s="5427"/>
      <c r="AE70" s="5427"/>
      <c r="AF70" s="5427"/>
      <c r="AG70" s="5427"/>
      <c r="AH70" s="5427"/>
      <c r="AI70" s="5427"/>
      <c r="AJ70" s="6585"/>
      <c r="AK70" s="6585"/>
      <c r="AL70" s="6585"/>
      <c r="AM70" s="6586"/>
      <c r="AN70" s="6586"/>
      <c r="AO70" s="6586"/>
      <c r="AP70" s="6586"/>
      <c r="AQ70" s="6586"/>
      <c r="AR70" s="6586"/>
      <c r="AS70" s="6586"/>
      <c r="AT70" s="6586"/>
      <c r="AU70" s="5427"/>
      <c r="AV70" s="5427"/>
      <c r="AW70" s="5427"/>
    </row>
    <row r="71" spans="1:130" ht="16.350000000000001" customHeight="1" x14ac:dyDescent="0.2">
      <c r="A71" s="8704" t="s">
        <v>863</v>
      </c>
      <c r="B71" s="6603" t="s">
        <v>69</v>
      </c>
      <c r="C71" s="6604">
        <f t="shared" si="5"/>
        <v>0</v>
      </c>
      <c r="D71" s="6589"/>
      <c r="E71" s="6589"/>
      <c r="F71" s="6589"/>
      <c r="G71" s="6589"/>
      <c r="H71" s="6589"/>
      <c r="I71" s="6589"/>
      <c r="J71" s="6589"/>
      <c r="K71" s="6589"/>
      <c r="L71" s="6589"/>
      <c r="M71" s="6589"/>
      <c r="N71" s="6590"/>
      <c r="O71" s="6591"/>
      <c r="P71" s="6592"/>
      <c r="Q71" s="4803"/>
      <c r="R71" s="4803"/>
      <c r="S71" s="6024"/>
      <c r="T71" s="4328"/>
      <c r="U71" s="4328"/>
      <c r="V71" s="4328"/>
      <c r="W71" s="4328"/>
      <c r="X71" s="4328"/>
      <c r="Y71" s="5427"/>
      <c r="Z71" s="5427"/>
      <c r="AA71" s="5427"/>
      <c r="AB71" s="5427"/>
      <c r="AC71" s="5427"/>
      <c r="AD71" s="5427"/>
      <c r="AE71" s="5427"/>
      <c r="AF71" s="5427"/>
      <c r="AG71" s="5427"/>
      <c r="AH71" s="5427"/>
      <c r="AI71" s="5427"/>
      <c r="AJ71" s="6585"/>
      <c r="AK71" s="6585"/>
      <c r="AL71" s="6585"/>
      <c r="AM71" s="6586"/>
      <c r="AN71" s="6586"/>
      <c r="AO71" s="6586"/>
      <c r="AP71" s="6586"/>
      <c r="AQ71" s="6586"/>
      <c r="AR71" s="6586"/>
      <c r="AS71" s="6586"/>
      <c r="AT71" s="6586"/>
      <c r="AU71" s="5427"/>
      <c r="AV71" s="5427"/>
      <c r="AW71" s="5427"/>
    </row>
    <row r="72" spans="1:130" ht="16.350000000000001" customHeight="1" thickBot="1" x14ac:dyDescent="0.25">
      <c r="A72" s="8705"/>
      <c r="B72" s="6562" t="s">
        <v>17</v>
      </c>
      <c r="C72" s="6563">
        <f t="shared" si="5"/>
        <v>0</v>
      </c>
      <c r="D72" s="6565"/>
      <c r="E72" s="6565"/>
      <c r="F72" s="6565"/>
      <c r="G72" s="6565"/>
      <c r="H72" s="6565"/>
      <c r="I72" s="6565"/>
      <c r="J72" s="6565"/>
      <c r="K72" s="6565"/>
      <c r="L72" s="6565"/>
      <c r="M72" s="6565"/>
      <c r="N72" s="6566"/>
      <c r="O72" s="6567"/>
      <c r="P72" s="6568"/>
      <c r="Q72" s="6605"/>
      <c r="R72" s="6605"/>
      <c r="S72" s="6024"/>
      <c r="T72" s="4328"/>
      <c r="U72" s="4328"/>
      <c r="V72" s="4328"/>
      <c r="W72" s="4328"/>
      <c r="X72" s="4328"/>
      <c r="Y72" s="5427"/>
      <c r="Z72" s="5427"/>
      <c r="AA72" s="5427"/>
      <c r="AB72" s="5427"/>
      <c r="AC72" s="5427"/>
      <c r="AD72" s="5427"/>
      <c r="AE72" s="5427"/>
      <c r="AF72" s="5427"/>
      <c r="AG72" s="5427"/>
      <c r="AH72" s="5427"/>
      <c r="AI72" s="5427"/>
      <c r="AJ72" s="6585"/>
      <c r="AK72" s="6585"/>
      <c r="AL72" s="6585"/>
      <c r="AM72" s="6586"/>
      <c r="AN72" s="6586"/>
      <c r="AO72" s="6586"/>
      <c r="AP72" s="6586"/>
      <c r="AQ72" s="6586"/>
      <c r="AR72" s="6586"/>
      <c r="AS72" s="6586"/>
      <c r="AT72" s="6586"/>
      <c r="AU72" s="5427"/>
      <c r="AV72" s="5427"/>
      <c r="AW72" s="5427"/>
    </row>
    <row r="73" spans="1:130" ht="16.350000000000001" customHeight="1" thickTop="1" x14ac:dyDescent="0.2">
      <c r="A73" s="8800" t="s">
        <v>2589</v>
      </c>
      <c r="B73" s="8801"/>
      <c r="C73" s="5639">
        <f t="shared" si="5"/>
        <v>0</v>
      </c>
      <c r="D73" s="4294"/>
      <c r="E73" s="4294"/>
      <c r="F73" s="4294"/>
      <c r="G73" s="4294"/>
      <c r="H73" s="4294"/>
      <c r="I73" s="4294"/>
      <c r="J73" s="4294"/>
      <c r="K73" s="4294"/>
      <c r="L73" s="4294"/>
      <c r="M73" s="4294"/>
      <c r="N73" s="6590"/>
      <c r="O73" s="6591"/>
      <c r="P73" s="6592"/>
      <c r="Q73" s="4792"/>
      <c r="R73" s="4792"/>
      <c r="S73" s="6024"/>
      <c r="T73" s="4328"/>
      <c r="U73" s="4328"/>
      <c r="V73" s="4328"/>
      <c r="W73" s="4328"/>
      <c r="X73" s="4328"/>
      <c r="Y73" s="5427"/>
      <c r="Z73" s="5427"/>
      <c r="AA73" s="5427"/>
      <c r="AB73" s="5427"/>
      <c r="AC73" s="5427"/>
      <c r="AD73" s="5427"/>
      <c r="AE73" s="5427"/>
      <c r="AF73" s="5427"/>
      <c r="AG73" s="5427"/>
      <c r="AH73" s="5427"/>
      <c r="AI73" s="5427"/>
      <c r="AJ73" s="6585"/>
      <c r="AK73" s="6585"/>
      <c r="AL73" s="6585"/>
      <c r="AM73" s="6586"/>
      <c r="AN73" s="6586"/>
      <c r="AO73" s="6586"/>
      <c r="AP73" s="6586"/>
      <c r="AQ73" s="6586"/>
      <c r="AR73" s="6586"/>
      <c r="AS73" s="6586"/>
      <c r="AT73" s="6586"/>
      <c r="AU73" s="5427"/>
      <c r="AV73" s="5427"/>
      <c r="AW73" s="5427"/>
    </row>
    <row r="74" spans="1:130" ht="16.350000000000001" customHeight="1" x14ac:dyDescent="0.2">
      <c r="A74" s="8802" t="s">
        <v>861</v>
      </c>
      <c r="B74" s="8803"/>
      <c r="C74" s="4887">
        <f t="shared" si="5"/>
        <v>0</v>
      </c>
      <c r="D74" s="6606"/>
      <c r="E74" s="6606"/>
      <c r="F74" s="6606"/>
      <c r="G74" s="6606"/>
      <c r="H74" s="6606"/>
      <c r="I74" s="6606"/>
      <c r="J74" s="6606"/>
      <c r="K74" s="6606"/>
      <c r="L74" s="6606"/>
      <c r="M74" s="6606"/>
      <c r="N74" s="6607"/>
      <c r="O74" s="6608"/>
      <c r="P74" s="6609"/>
      <c r="Q74" s="4787"/>
      <c r="R74" s="4787"/>
      <c r="S74" s="6024"/>
      <c r="T74" s="4328"/>
      <c r="U74" s="4328"/>
      <c r="V74" s="4328"/>
      <c r="W74" s="4328"/>
      <c r="X74" s="4328"/>
      <c r="Y74" s="5427"/>
      <c r="Z74" s="5427"/>
      <c r="AA74" s="5427"/>
      <c r="AB74" s="5427"/>
      <c r="AC74" s="5427"/>
      <c r="AD74" s="5427"/>
      <c r="AE74" s="5427"/>
      <c r="AF74" s="5427"/>
      <c r="AG74" s="5427"/>
      <c r="AH74" s="5427"/>
      <c r="AI74" s="5427"/>
      <c r="AJ74" s="6585"/>
      <c r="AK74" s="6585"/>
      <c r="AL74" s="6585"/>
      <c r="AM74" s="6586"/>
      <c r="AN74" s="6586"/>
      <c r="AO74" s="6586"/>
      <c r="AP74" s="6586"/>
      <c r="AQ74" s="6586"/>
      <c r="AR74" s="6586"/>
      <c r="AS74" s="6586"/>
      <c r="AT74" s="6586"/>
      <c r="AU74" s="5427"/>
      <c r="AV74" s="5427"/>
      <c r="AW74" s="5427"/>
    </row>
    <row r="75" spans="1:130" ht="16.350000000000001" customHeight="1" x14ac:dyDescent="0.2">
      <c r="A75" s="8637" t="s">
        <v>3763</v>
      </c>
      <c r="B75" s="7184" t="s">
        <v>69</v>
      </c>
      <c r="C75" s="6532">
        <f>SUM(D75:P75)</f>
        <v>0</v>
      </c>
      <c r="D75" s="6533"/>
      <c r="E75" s="4199"/>
      <c r="F75" s="4199"/>
      <c r="G75" s="4199"/>
      <c r="H75" s="4199"/>
      <c r="I75" s="4199"/>
      <c r="J75" s="4199"/>
      <c r="K75" s="4199"/>
      <c r="L75" s="4199"/>
      <c r="M75" s="4199"/>
      <c r="N75" s="6579"/>
      <c r="O75" s="4199"/>
      <c r="P75" s="6580"/>
      <c r="Q75" s="6537"/>
      <c r="R75" s="6537"/>
      <c r="S75" s="6024"/>
      <c r="T75" s="4328"/>
      <c r="U75" s="4328"/>
      <c r="V75" s="5427"/>
      <c r="W75" s="5427"/>
      <c r="X75" s="5427"/>
      <c r="Y75" s="5427"/>
      <c r="Z75" s="5427"/>
      <c r="AA75" s="5427"/>
      <c r="AB75" s="5427"/>
      <c r="AC75" s="5427"/>
      <c r="AD75" s="5427"/>
      <c r="AE75" s="5427"/>
      <c r="AF75" s="5427"/>
      <c r="AG75" s="7186"/>
      <c r="AH75" s="7186"/>
      <c r="AI75" s="7186"/>
      <c r="AJ75" s="7187"/>
      <c r="AK75" s="7187"/>
      <c r="AL75" s="7187"/>
      <c r="AM75" s="7187"/>
      <c r="AN75" s="7187"/>
      <c r="AO75" s="7187"/>
      <c r="AP75" s="7187"/>
      <c r="AQ75" s="7187"/>
      <c r="AR75" s="5427"/>
      <c r="AS75" s="5427"/>
      <c r="AT75" s="5427"/>
      <c r="AU75" s="4879"/>
      <c r="AV75" s="4879"/>
      <c r="AW75" s="4879"/>
      <c r="AX75" s="4651"/>
      <c r="AY75" s="4651"/>
      <c r="AZ75" s="4651"/>
      <c r="CA75" s="4688" t="s">
        <v>3954</v>
      </c>
      <c r="CC75" s="4688" t="s">
        <v>3955</v>
      </c>
      <c r="CX75" s="6209"/>
      <c r="CY75" s="6209"/>
      <c r="CZ75" s="6209"/>
      <c r="DB75" s="6209">
        <v>0</v>
      </c>
      <c r="DD75" s="6209">
        <v>0</v>
      </c>
      <c r="DX75" s="4652"/>
      <c r="DY75" s="4652"/>
      <c r="DZ75" s="4652"/>
    </row>
    <row r="76" spans="1:130" ht="16.350000000000001" customHeight="1" x14ac:dyDescent="0.2">
      <c r="A76" s="8638"/>
      <c r="B76" s="7185" t="s">
        <v>17</v>
      </c>
      <c r="C76" s="4887">
        <f>SUM(D76:P76)</f>
        <v>0</v>
      </c>
      <c r="D76" s="6258"/>
      <c r="E76" s="6259"/>
      <c r="F76" s="6259"/>
      <c r="G76" s="6259"/>
      <c r="H76" s="6259"/>
      <c r="I76" s="6259"/>
      <c r="J76" s="6259"/>
      <c r="K76" s="6259"/>
      <c r="L76" s="6259"/>
      <c r="M76" s="6259"/>
      <c r="N76" s="6257"/>
      <c r="O76" s="6259"/>
      <c r="P76" s="6582"/>
      <c r="Q76" s="6577"/>
      <c r="R76" s="6577"/>
      <c r="S76" s="6024"/>
      <c r="T76" s="4328"/>
      <c r="U76" s="4328"/>
      <c r="V76" s="5427"/>
      <c r="W76" s="5427"/>
      <c r="X76" s="5427"/>
      <c r="Y76" s="5427"/>
      <c r="Z76" s="5427"/>
      <c r="AA76" s="5427"/>
      <c r="AB76" s="5427"/>
      <c r="AC76" s="5427"/>
      <c r="AD76" s="5427"/>
      <c r="AE76" s="5427"/>
      <c r="AF76" s="5427"/>
      <c r="AG76" s="7186"/>
      <c r="AH76" s="7186"/>
      <c r="AI76" s="7186"/>
      <c r="AJ76" s="7187"/>
      <c r="AK76" s="7187"/>
      <c r="AL76" s="7187"/>
      <c r="AM76" s="7187"/>
      <c r="AN76" s="7187"/>
      <c r="AO76" s="7187"/>
      <c r="AP76" s="7187"/>
      <c r="AQ76" s="7187"/>
      <c r="AR76" s="5427"/>
      <c r="AS76" s="5427"/>
      <c r="AT76" s="5427"/>
      <c r="AU76" s="4879"/>
      <c r="AV76" s="4879"/>
      <c r="AW76" s="4879"/>
      <c r="AX76" s="4651"/>
      <c r="AY76" s="4651"/>
      <c r="AZ76" s="4651"/>
      <c r="CX76" s="6209"/>
      <c r="CY76" s="6209"/>
      <c r="CZ76" s="6209"/>
      <c r="DX76" s="4652"/>
      <c r="DY76" s="4652"/>
      <c r="DZ76" s="4652"/>
    </row>
    <row r="77" spans="1:130" ht="16.350000000000001" customHeight="1" x14ac:dyDescent="0.2">
      <c r="A77" s="8794" t="s">
        <v>860</v>
      </c>
      <c r="B77" s="6578" t="s">
        <v>69</v>
      </c>
      <c r="C77" s="6532">
        <f>SUM(D77:P77)</f>
        <v>0</v>
      </c>
      <c r="D77" s="6589"/>
      <c r="E77" s="6589"/>
      <c r="F77" s="6589"/>
      <c r="G77" s="6589"/>
      <c r="H77" s="6589"/>
      <c r="I77" s="6589"/>
      <c r="J77" s="6589"/>
      <c r="K77" s="6589"/>
      <c r="L77" s="6589"/>
      <c r="M77" s="6589"/>
      <c r="N77" s="6610"/>
      <c r="O77" s="6589"/>
      <c r="P77" s="6611"/>
      <c r="Q77" s="4792"/>
      <c r="R77" s="4792"/>
      <c r="S77" s="6024"/>
      <c r="T77" s="4328"/>
      <c r="U77" s="4328"/>
      <c r="V77" s="4328"/>
      <c r="W77" s="4328"/>
      <c r="X77" s="4328"/>
      <c r="Y77" s="5427"/>
      <c r="Z77" s="5427"/>
      <c r="AA77" s="5427"/>
      <c r="AB77" s="5427"/>
      <c r="AC77" s="5427"/>
      <c r="AD77" s="5427"/>
      <c r="AE77" s="5427"/>
      <c r="AF77" s="5427"/>
      <c r="AG77" s="5427"/>
      <c r="AH77" s="5427"/>
      <c r="AI77" s="5427"/>
      <c r="AJ77" s="6585"/>
      <c r="AK77" s="6585"/>
      <c r="AL77" s="6585"/>
      <c r="AM77" s="6586"/>
      <c r="AN77" s="6586"/>
      <c r="AO77" s="6586"/>
      <c r="AP77" s="6586"/>
      <c r="AQ77" s="6586"/>
      <c r="AR77" s="6586"/>
      <c r="AS77" s="6586"/>
      <c r="AT77" s="6586"/>
      <c r="AU77" s="5427"/>
      <c r="AV77" s="5427"/>
      <c r="AW77" s="5427"/>
    </row>
    <row r="78" spans="1:130" ht="16.350000000000001" customHeight="1" x14ac:dyDescent="0.2">
      <c r="A78" s="8795"/>
      <c r="B78" s="6581" t="s">
        <v>17</v>
      </c>
      <c r="C78" s="4887">
        <f>SUM(D78:P78)</f>
        <v>0</v>
      </c>
      <c r="D78" s="6606"/>
      <c r="E78" s="6606"/>
      <c r="F78" s="6606"/>
      <c r="G78" s="6606"/>
      <c r="H78" s="6606"/>
      <c r="I78" s="6606"/>
      <c r="J78" s="6606"/>
      <c r="K78" s="6606"/>
      <c r="L78" s="6606"/>
      <c r="M78" s="6606"/>
      <c r="N78" s="5449"/>
      <c r="O78" s="6606"/>
      <c r="P78" s="6305"/>
      <c r="Q78" s="6612"/>
      <c r="R78" s="6613"/>
      <c r="S78" s="6024"/>
      <c r="T78" s="4328"/>
      <c r="U78" s="4328"/>
      <c r="V78" s="4328"/>
      <c r="W78" s="4328"/>
      <c r="X78" s="4328"/>
      <c r="Y78" s="5427"/>
      <c r="Z78" s="5427"/>
      <c r="AA78" s="5427"/>
      <c r="AB78" s="5427"/>
      <c r="AC78" s="5427"/>
      <c r="AD78" s="5427"/>
      <c r="AE78" s="5427"/>
      <c r="AF78" s="5427"/>
      <c r="AG78" s="5427"/>
      <c r="AH78" s="5427"/>
      <c r="AI78" s="5427"/>
      <c r="AJ78" s="6585"/>
      <c r="AK78" s="6585"/>
      <c r="AL78" s="6585"/>
      <c r="AM78" s="6586"/>
      <c r="AN78" s="6586"/>
      <c r="AO78" s="6586"/>
      <c r="AP78" s="6586"/>
      <c r="AQ78" s="6586"/>
      <c r="AR78" s="6586"/>
      <c r="AS78" s="6586"/>
      <c r="AT78" s="6586"/>
      <c r="AU78" s="5427"/>
      <c r="AV78" s="5427"/>
      <c r="AW78" s="5427"/>
    </row>
    <row r="79" spans="1:130" ht="16.350000000000001" customHeight="1" x14ac:dyDescent="0.2">
      <c r="A79" s="8804" t="s">
        <v>859</v>
      </c>
      <c r="B79" s="8805"/>
      <c r="C79" s="4887">
        <f>SUM(D79:P79)</f>
        <v>0</v>
      </c>
      <c r="D79" s="6614"/>
      <c r="E79" s="6606"/>
      <c r="F79" s="6606"/>
      <c r="G79" s="6606"/>
      <c r="H79" s="6606"/>
      <c r="I79" s="6606"/>
      <c r="J79" s="6606"/>
      <c r="K79" s="6606"/>
      <c r="L79" s="6606"/>
      <c r="M79" s="6606"/>
      <c r="N79" s="5449"/>
      <c r="O79" s="6606"/>
      <c r="P79" s="6305"/>
      <c r="Q79" s="6612"/>
      <c r="R79" s="6613"/>
      <c r="S79" s="6024"/>
      <c r="T79" s="4328"/>
      <c r="U79" s="4328"/>
      <c r="V79" s="4328"/>
      <c r="W79" s="4328"/>
      <c r="X79" s="4328"/>
      <c r="Y79" s="5427"/>
      <c r="Z79" s="5427"/>
      <c r="AA79" s="5427"/>
      <c r="AB79" s="5427"/>
      <c r="AC79" s="5427"/>
      <c r="AD79" s="5427"/>
      <c r="AE79" s="5427"/>
      <c r="AF79" s="5427"/>
      <c r="AG79" s="5427"/>
      <c r="AH79" s="5427"/>
      <c r="AI79" s="5427"/>
      <c r="AJ79" s="6585"/>
      <c r="AK79" s="6585"/>
      <c r="AL79" s="6585"/>
      <c r="AM79" s="6586"/>
      <c r="AN79" s="6586"/>
      <c r="AO79" s="6586"/>
      <c r="AP79" s="6586"/>
      <c r="AQ79" s="6586"/>
      <c r="AR79" s="6586"/>
      <c r="AS79" s="6586"/>
      <c r="AT79" s="6586"/>
      <c r="AU79" s="5427"/>
      <c r="AV79" s="5427"/>
      <c r="AW79" s="5427"/>
      <c r="DB79" s="6209">
        <v>0</v>
      </c>
      <c r="DD79" s="6209">
        <v>0</v>
      </c>
    </row>
    <row r="80" spans="1:130" ht="24.75" customHeight="1" x14ac:dyDescent="0.2">
      <c r="A80" s="6615" t="s">
        <v>858</v>
      </c>
      <c r="C80" s="4173"/>
      <c r="D80" s="4328"/>
      <c r="E80" s="4328"/>
      <c r="F80" s="4328"/>
      <c r="G80" s="4328"/>
      <c r="H80" s="4328"/>
      <c r="I80" s="4328"/>
      <c r="J80" s="4328"/>
      <c r="K80" s="4328"/>
      <c r="L80" s="4328"/>
      <c r="M80" s="4328"/>
      <c r="N80" s="4328"/>
      <c r="O80" s="4328"/>
      <c r="P80" s="4328"/>
      <c r="Q80" s="4328"/>
      <c r="R80" s="4328"/>
      <c r="S80" s="4328"/>
      <c r="T80" s="4328"/>
      <c r="U80" s="4328"/>
      <c r="V80" s="4328"/>
      <c r="W80" s="4328"/>
      <c r="X80" s="5427"/>
      <c r="Y80" s="5427"/>
      <c r="Z80" s="5427"/>
      <c r="AA80" s="5427"/>
      <c r="AB80" s="5427"/>
      <c r="AC80" s="5427"/>
      <c r="AD80" s="5427"/>
      <c r="AE80" s="5427"/>
      <c r="AF80" s="5427"/>
      <c r="AG80" s="5427"/>
      <c r="AH80" s="5427"/>
      <c r="AI80" s="6492"/>
      <c r="AJ80" s="6492"/>
      <c r="AK80" s="6492"/>
      <c r="AL80" s="6492"/>
      <c r="AM80" s="6492"/>
      <c r="AN80" s="6492"/>
      <c r="AO80" s="6616"/>
      <c r="AP80" s="6616"/>
      <c r="AQ80" s="6616"/>
      <c r="AR80" s="6616"/>
      <c r="AS80" s="6616"/>
      <c r="AT80" s="6616"/>
      <c r="AU80" s="6616"/>
      <c r="AV80" s="6616"/>
    </row>
    <row r="81" spans="1:106" ht="31.35" customHeight="1" x14ac:dyDescent="0.2">
      <c r="A81" s="6617" t="s">
        <v>31</v>
      </c>
      <c r="B81" s="6617" t="s">
        <v>24</v>
      </c>
      <c r="F81" s="4657"/>
      <c r="G81" s="4657"/>
      <c r="H81" s="4657"/>
      <c r="I81" s="4657"/>
      <c r="J81" s="4657"/>
      <c r="K81" s="4657"/>
      <c r="L81" s="4657"/>
      <c r="M81" s="4657"/>
      <c r="N81" s="4657"/>
      <c r="O81" s="4657"/>
      <c r="P81" s="4657"/>
      <c r="Q81" s="4657"/>
      <c r="R81" s="4657"/>
      <c r="S81" s="4657"/>
      <c r="X81" s="5427"/>
      <c r="Y81" s="5427"/>
      <c r="Z81" s="5427"/>
      <c r="AA81" s="5427"/>
      <c r="AB81" s="5427"/>
      <c r="AC81" s="5427"/>
      <c r="AD81" s="5427"/>
      <c r="AE81" s="5427"/>
      <c r="AF81" s="5427"/>
      <c r="AG81" s="5427"/>
      <c r="AH81" s="5427"/>
      <c r="AI81" s="5427"/>
      <c r="AJ81" s="5427"/>
      <c r="AK81" s="5427"/>
      <c r="AL81" s="5427"/>
      <c r="AM81" s="5427"/>
      <c r="AN81" s="5427"/>
      <c r="AO81" s="6492"/>
      <c r="AP81" s="6492"/>
      <c r="AQ81" s="6492"/>
      <c r="AR81" s="6492"/>
      <c r="AS81" s="6492"/>
      <c r="AT81" s="6492"/>
      <c r="AU81" s="6492"/>
      <c r="AV81" s="6492"/>
      <c r="AW81" s="6491"/>
    </row>
    <row r="82" spans="1:106" ht="16.350000000000001" customHeight="1" x14ac:dyDescent="0.2">
      <c r="A82" s="5624" t="s">
        <v>29</v>
      </c>
      <c r="B82" s="6618"/>
      <c r="C82" s="4652"/>
      <c r="F82" s="4627"/>
      <c r="G82" s="4627"/>
      <c r="H82" s="4627"/>
      <c r="I82" s="4627"/>
      <c r="J82" s="4627"/>
      <c r="K82" s="4627"/>
      <c r="L82" s="4627"/>
      <c r="M82" s="4627"/>
      <c r="N82" s="4627"/>
      <c r="O82" s="4627"/>
      <c r="P82" s="4627"/>
      <c r="Q82" s="4627"/>
      <c r="R82" s="4627"/>
      <c r="S82" s="4627"/>
      <c r="T82" s="4328"/>
      <c r="U82" s="4328"/>
      <c r="V82" s="4328"/>
      <c r="W82" s="4328"/>
      <c r="X82" s="4328"/>
      <c r="Y82" s="4328"/>
      <c r="Z82" s="4328"/>
      <c r="AA82" s="4328"/>
      <c r="AB82" s="4328"/>
      <c r="AC82" s="4328"/>
      <c r="AD82" s="4328"/>
      <c r="AE82" s="4328"/>
      <c r="AF82" s="4328"/>
      <c r="AG82" s="4328"/>
      <c r="AH82" s="4328"/>
      <c r="AI82" s="4328"/>
      <c r="AJ82" s="4328"/>
      <c r="AK82" s="4328"/>
      <c r="AL82" s="4328"/>
      <c r="AM82" s="4328"/>
      <c r="AN82" s="4328"/>
      <c r="AO82" s="6496"/>
      <c r="AP82" s="6496"/>
      <c r="AQ82" s="6496"/>
      <c r="AR82" s="6496"/>
      <c r="AS82" s="6496"/>
      <c r="AT82" s="6496"/>
      <c r="AU82" s="6496"/>
      <c r="AV82" s="6496"/>
      <c r="AW82" s="6491"/>
    </row>
    <row r="83" spans="1:106" ht="24" customHeight="1" x14ac:dyDescent="0.2">
      <c r="A83" s="6619" t="s">
        <v>857</v>
      </c>
      <c r="B83" s="4879"/>
      <c r="E83" s="5762"/>
      <c r="F83" s="6092"/>
      <c r="G83" s="4684"/>
      <c r="H83" s="4684"/>
      <c r="I83" s="4684"/>
      <c r="J83" s="4684"/>
      <c r="K83" s="4684"/>
      <c r="L83" s="4684"/>
      <c r="M83" s="4684"/>
      <c r="N83" s="4684"/>
      <c r="O83" s="4684"/>
      <c r="P83" s="4684"/>
      <c r="Q83" s="4684"/>
      <c r="R83" s="4627"/>
      <c r="S83" s="4627"/>
      <c r="T83" s="4328"/>
      <c r="U83" s="4328"/>
      <c r="V83" s="4328"/>
      <c r="W83" s="4328"/>
      <c r="X83" s="4328"/>
      <c r="Y83" s="4328"/>
      <c r="Z83" s="4328"/>
      <c r="AA83" s="4328"/>
      <c r="AB83" s="4328"/>
      <c r="AC83" s="4328"/>
      <c r="AD83" s="4328"/>
      <c r="AE83" s="4328"/>
      <c r="AF83" s="4328"/>
      <c r="AG83" s="4328"/>
      <c r="AH83" s="4328"/>
      <c r="AI83" s="4328"/>
      <c r="AJ83" s="4328"/>
      <c r="AK83" s="4328"/>
      <c r="AL83" s="4302"/>
      <c r="AM83" s="4302"/>
      <c r="AN83" s="4302"/>
      <c r="AO83" s="6497"/>
      <c r="AP83" s="6497"/>
      <c r="AQ83" s="6496"/>
      <c r="AR83" s="6496"/>
      <c r="AS83" s="6496"/>
      <c r="AT83" s="6496"/>
      <c r="AU83" s="6496"/>
      <c r="AV83" s="6496"/>
      <c r="AW83" s="6491"/>
    </row>
    <row r="84" spans="1:106" ht="27.75" customHeight="1" x14ac:dyDescent="0.2">
      <c r="A84" s="8663" t="s">
        <v>856</v>
      </c>
      <c r="B84" s="8664"/>
      <c r="C84" s="6617" t="s">
        <v>24</v>
      </c>
      <c r="D84" s="6494" t="s">
        <v>855</v>
      </c>
      <c r="E84" s="6620" t="s">
        <v>854</v>
      </c>
      <c r="AA84" s="6621"/>
      <c r="AB84" s="6621"/>
      <c r="AC84" s="6621"/>
      <c r="AD84" s="6621"/>
      <c r="AE84" s="6621"/>
      <c r="AF84" s="6621"/>
      <c r="AG84" s="6621"/>
      <c r="AH84" s="6621"/>
      <c r="AI84" s="6621"/>
      <c r="AJ84" s="6621"/>
      <c r="AK84" s="6621"/>
      <c r="AL84" s="6621"/>
      <c r="AM84" s="6621"/>
      <c r="AN84" s="6621"/>
      <c r="AO84" s="6621"/>
      <c r="AP84" s="6621"/>
      <c r="AQ84" s="6621"/>
      <c r="AR84" s="6621"/>
      <c r="AS84" s="6622"/>
      <c r="AT84" s="6622"/>
      <c r="AU84" s="6622"/>
      <c r="AV84" s="6623"/>
      <c r="AW84" s="6623"/>
      <c r="AX84" s="6623"/>
      <c r="AY84" s="6623"/>
      <c r="AZ84" s="6623"/>
      <c r="BA84" s="6491"/>
    </row>
    <row r="85" spans="1:106" ht="25.35" customHeight="1" x14ac:dyDescent="0.2">
      <c r="A85" s="8745" t="s">
        <v>853</v>
      </c>
      <c r="B85" s="8746"/>
      <c r="C85" s="5633">
        <f>SUM(D85:E85)</f>
        <v>0</v>
      </c>
      <c r="D85" s="6624"/>
      <c r="E85" s="6625"/>
      <c r="F85" s="6509"/>
      <c r="AA85" s="6621"/>
      <c r="AB85" s="6621"/>
      <c r="AC85" s="6621"/>
      <c r="AD85" s="6621"/>
      <c r="AE85" s="6621"/>
      <c r="AF85" s="6621"/>
      <c r="AG85" s="6621"/>
      <c r="AH85" s="6621"/>
      <c r="AI85" s="6621"/>
      <c r="AJ85" s="6621"/>
      <c r="AK85" s="6621"/>
      <c r="AL85" s="6621"/>
      <c r="AM85" s="6621"/>
      <c r="AN85" s="6621"/>
      <c r="AO85" s="6621"/>
      <c r="AP85" s="6621"/>
      <c r="AQ85" s="6621"/>
      <c r="AR85" s="6621"/>
      <c r="AS85" s="6622"/>
      <c r="AT85" s="6622"/>
      <c r="AU85" s="6622"/>
      <c r="AV85" s="6623"/>
      <c r="AW85" s="6623"/>
      <c r="AX85" s="6623"/>
      <c r="AY85" s="6623"/>
      <c r="AZ85" s="6623"/>
      <c r="BA85" s="6491"/>
    </row>
    <row r="86" spans="1:106" ht="30" customHeight="1" x14ac:dyDescent="0.2">
      <c r="A86" s="6619" t="s">
        <v>852</v>
      </c>
      <c r="AA86" s="6621"/>
      <c r="AB86" s="6621"/>
      <c r="AC86" s="6621"/>
      <c r="AD86" s="6621"/>
      <c r="AE86" s="6621"/>
      <c r="AF86" s="6621"/>
      <c r="AG86" s="6621"/>
      <c r="AH86" s="6621"/>
      <c r="AI86" s="6621"/>
      <c r="AJ86" s="6621"/>
      <c r="AK86" s="6621"/>
      <c r="AL86" s="6621"/>
      <c r="AM86" s="6621"/>
      <c r="AN86" s="6621"/>
      <c r="AO86" s="6621"/>
      <c r="AP86" s="6621"/>
      <c r="AQ86" s="6621"/>
      <c r="AR86" s="6621"/>
      <c r="AS86" s="6622"/>
      <c r="AT86" s="6622"/>
      <c r="AU86" s="6622"/>
      <c r="AV86" s="6623"/>
      <c r="AW86" s="6623"/>
      <c r="AX86" s="6623"/>
      <c r="AY86" s="6623"/>
      <c r="AZ86" s="6623"/>
      <c r="BA86" s="6491"/>
    </row>
    <row r="87" spans="1:106" ht="33" customHeight="1" x14ac:dyDescent="0.2">
      <c r="A87" s="8663" t="s">
        <v>847</v>
      </c>
      <c r="B87" s="8664"/>
      <c r="C87" s="8739" t="s">
        <v>846</v>
      </c>
      <c r="D87" s="8740"/>
      <c r="E87" s="8741"/>
      <c r="F87" s="8706" t="s">
        <v>851</v>
      </c>
      <c r="G87" s="8707"/>
      <c r="H87" s="8707"/>
      <c r="I87" s="8707"/>
      <c r="J87" s="8707"/>
      <c r="K87" s="8707"/>
      <c r="L87" s="8707"/>
      <c r="M87" s="8707"/>
      <c r="N87" s="8707"/>
      <c r="O87" s="8707"/>
      <c r="P87" s="8707"/>
      <c r="Q87" s="8708"/>
      <c r="R87" s="8735" t="s">
        <v>2787</v>
      </c>
      <c r="S87" s="8719"/>
      <c r="T87" s="8734" t="s">
        <v>3950</v>
      </c>
      <c r="U87" s="8753"/>
      <c r="V87" s="8710" t="s">
        <v>73</v>
      </c>
      <c r="W87" s="8711"/>
      <c r="X87" s="8712"/>
      <c r="Y87" s="8762" t="s">
        <v>1765</v>
      </c>
      <c r="Z87" s="8763"/>
      <c r="AA87" s="6626"/>
      <c r="AB87" s="6621"/>
      <c r="AC87" s="6621"/>
      <c r="AD87" s="6621"/>
      <c r="AE87" s="6621"/>
      <c r="AF87" s="6621"/>
      <c r="AG87" s="6621"/>
      <c r="AH87" s="4328"/>
      <c r="AI87" s="4328"/>
      <c r="AJ87" s="4328"/>
      <c r="AK87" s="4328"/>
      <c r="AL87" s="6621"/>
      <c r="AM87" s="6621"/>
      <c r="AN87" s="4328"/>
      <c r="AO87" s="6621"/>
      <c r="AP87" s="6621"/>
      <c r="AQ87" s="6621"/>
      <c r="AR87" s="6621"/>
      <c r="AS87" s="6622"/>
      <c r="AT87" s="6622"/>
      <c r="AU87" s="6622"/>
      <c r="AV87" s="6623"/>
      <c r="AW87" s="6623"/>
      <c r="AX87" s="6623"/>
      <c r="AY87" s="6623"/>
      <c r="AZ87" s="6623"/>
      <c r="BA87" s="6491"/>
    </row>
    <row r="88" spans="1:106" ht="25.5" customHeight="1" x14ac:dyDescent="0.2">
      <c r="A88" s="8695"/>
      <c r="B88" s="8689"/>
      <c r="C88" s="8658"/>
      <c r="D88" s="8659"/>
      <c r="E88" s="8660"/>
      <c r="F88" s="8734" t="s">
        <v>843</v>
      </c>
      <c r="G88" s="8744"/>
      <c r="H88" s="8734" t="s">
        <v>842</v>
      </c>
      <c r="I88" s="8744"/>
      <c r="J88" s="8734" t="s">
        <v>841</v>
      </c>
      <c r="K88" s="8744"/>
      <c r="L88" s="8734" t="s">
        <v>840</v>
      </c>
      <c r="M88" s="8744"/>
      <c r="N88" s="8734" t="s">
        <v>839</v>
      </c>
      <c r="O88" s="8744"/>
      <c r="P88" s="8734" t="s">
        <v>838</v>
      </c>
      <c r="Q88" s="8744"/>
      <c r="R88" s="8735" t="s">
        <v>850</v>
      </c>
      <c r="S88" s="8719"/>
      <c r="T88" s="8734" t="s">
        <v>849</v>
      </c>
      <c r="U88" s="8753"/>
      <c r="V88" s="8713" t="s">
        <v>837</v>
      </c>
      <c r="W88" s="8714"/>
      <c r="X88" s="8715"/>
      <c r="Y88" s="8764"/>
      <c r="Z88" s="8765"/>
      <c r="AA88" s="6626"/>
      <c r="AB88" s="6621"/>
      <c r="AC88" s="6621"/>
      <c r="AD88" s="6621"/>
      <c r="AE88" s="6621"/>
      <c r="AF88" s="6621"/>
      <c r="AG88" s="6621"/>
      <c r="AH88" s="4328"/>
      <c r="AI88" s="4328"/>
      <c r="AJ88" s="4328"/>
      <c r="AK88" s="4328"/>
      <c r="AL88" s="6621"/>
      <c r="AM88" s="6621"/>
      <c r="AN88" s="4328"/>
      <c r="AO88" s="6621"/>
      <c r="AP88" s="6621"/>
      <c r="AQ88" s="6621"/>
      <c r="AR88" s="6621"/>
      <c r="AS88" s="6622"/>
      <c r="AT88" s="6622"/>
      <c r="AU88" s="6622"/>
      <c r="AV88" s="6623"/>
      <c r="AW88" s="6623"/>
      <c r="AX88" s="6623"/>
      <c r="AY88" s="6623"/>
      <c r="AZ88" s="6623"/>
      <c r="BA88" s="6491"/>
    </row>
    <row r="89" spans="1:106" ht="35.25" customHeight="1" x14ac:dyDescent="0.2">
      <c r="A89" s="8665"/>
      <c r="B89" s="8666"/>
      <c r="C89" s="6494" t="s">
        <v>42</v>
      </c>
      <c r="D89" s="5620" t="s">
        <v>17</v>
      </c>
      <c r="E89" s="6405" t="s">
        <v>18</v>
      </c>
      <c r="F89" s="6627" t="s">
        <v>17</v>
      </c>
      <c r="G89" s="5316" t="s">
        <v>18</v>
      </c>
      <c r="H89" s="6627" t="s">
        <v>17</v>
      </c>
      <c r="I89" s="5316" t="s">
        <v>18</v>
      </c>
      <c r="J89" s="6627" t="s">
        <v>17</v>
      </c>
      <c r="K89" s="5316" t="s">
        <v>18</v>
      </c>
      <c r="L89" s="6627" t="s">
        <v>17</v>
      </c>
      <c r="M89" s="5316" t="s">
        <v>18</v>
      </c>
      <c r="N89" s="6627" t="s">
        <v>17</v>
      </c>
      <c r="O89" s="5316" t="s">
        <v>18</v>
      </c>
      <c r="P89" s="6627" t="s">
        <v>17</v>
      </c>
      <c r="Q89" s="5316" t="s">
        <v>18</v>
      </c>
      <c r="R89" s="6628" t="s">
        <v>17</v>
      </c>
      <c r="S89" s="6629" t="s">
        <v>18</v>
      </c>
      <c r="T89" s="6627" t="s">
        <v>17</v>
      </c>
      <c r="U89" s="6630" t="s">
        <v>18</v>
      </c>
      <c r="V89" s="5316" t="s">
        <v>835</v>
      </c>
      <c r="W89" s="5317" t="s">
        <v>135</v>
      </c>
      <c r="X89" s="5317" t="s">
        <v>2510</v>
      </c>
      <c r="Y89" s="5317" t="s">
        <v>834</v>
      </c>
      <c r="Z89" s="5317" t="s">
        <v>833</v>
      </c>
      <c r="AA89" s="6626"/>
      <c r="AB89" s="6621"/>
      <c r="AC89" s="6621"/>
      <c r="AD89" s="6621"/>
      <c r="AE89" s="6621"/>
      <c r="AF89" s="6621"/>
      <c r="AG89" s="6621"/>
      <c r="AH89" s="4328"/>
      <c r="AI89" s="4328"/>
      <c r="AJ89" s="4328"/>
      <c r="AK89" s="4328"/>
      <c r="AL89" s="6621"/>
      <c r="AM89" s="6621"/>
      <c r="AN89" s="4328"/>
      <c r="AO89" s="6621"/>
      <c r="AP89" s="6621"/>
      <c r="AQ89" s="6621"/>
      <c r="AR89" s="6621"/>
      <c r="AS89" s="6621"/>
      <c r="AT89" s="6621"/>
      <c r="AU89" s="6621"/>
      <c r="AV89" s="6621"/>
      <c r="AW89" s="6621"/>
      <c r="AX89" s="6631"/>
      <c r="AY89" s="6631"/>
      <c r="AZ89" s="6631"/>
      <c r="BA89" s="6491"/>
      <c r="DA89" s="6209">
        <v>0</v>
      </c>
      <c r="DB89" s="6209">
        <v>0</v>
      </c>
    </row>
    <row r="90" spans="1:106" ht="16.350000000000001" customHeight="1" x14ac:dyDescent="0.2">
      <c r="A90" s="8742" t="s">
        <v>832</v>
      </c>
      <c r="B90" s="8743"/>
      <c r="C90" s="6632">
        <f>SUM(D90:E90)</f>
        <v>0</v>
      </c>
      <c r="D90" s="6633">
        <f>SUM(F90+H90+J90+L90+N90+P90)</f>
        <v>0</v>
      </c>
      <c r="E90" s="6634">
        <f>SUM(G90+I90+K90+M90+O90+Q90)</f>
        <v>0</v>
      </c>
      <c r="F90" s="6533"/>
      <c r="G90" s="6635"/>
      <c r="H90" s="6533"/>
      <c r="I90" s="6635"/>
      <c r="J90" s="6533"/>
      <c r="K90" s="6635"/>
      <c r="L90" s="6533"/>
      <c r="M90" s="6635"/>
      <c r="N90" s="6533"/>
      <c r="O90" s="6635"/>
      <c r="P90" s="6533"/>
      <c r="Q90" s="6635"/>
      <c r="R90" s="6579"/>
      <c r="S90" s="6537"/>
      <c r="T90" s="6533"/>
      <c r="U90" s="6636"/>
      <c r="V90" s="6579"/>
      <c r="W90" s="6499"/>
      <c r="X90" s="6637"/>
      <c r="Y90" s="6637"/>
      <c r="Z90" s="6638"/>
      <c r="AA90" s="6509"/>
      <c r="AB90" s="6621"/>
      <c r="AC90" s="6621"/>
      <c r="AD90" s="6621"/>
      <c r="AE90" s="6621"/>
      <c r="AF90" s="6621"/>
      <c r="AG90" s="6621"/>
      <c r="AH90" s="4328"/>
      <c r="AI90" s="4328"/>
      <c r="AJ90" s="4328"/>
      <c r="AK90" s="4328"/>
      <c r="AL90" s="6621"/>
      <c r="AM90" s="6621"/>
      <c r="AN90" s="4328"/>
      <c r="AO90" s="6621"/>
      <c r="AP90" s="6621"/>
      <c r="AQ90" s="6621"/>
      <c r="AR90" s="6621"/>
      <c r="AS90" s="6621"/>
      <c r="AT90" s="6621"/>
      <c r="AU90" s="6621"/>
      <c r="AV90" s="6621"/>
      <c r="AW90" s="6621"/>
      <c r="AX90" s="6631"/>
      <c r="AY90" s="6631"/>
      <c r="AZ90" s="6631"/>
      <c r="BA90" s="6491"/>
      <c r="CG90" s="4688">
        <v>0</v>
      </c>
      <c r="CH90" s="4688">
        <v>0</v>
      </c>
      <c r="DA90" s="6209">
        <v>0</v>
      </c>
      <c r="DB90" s="6209">
        <v>0</v>
      </c>
    </row>
    <row r="91" spans="1:106" ht="16.350000000000001" customHeight="1" x14ac:dyDescent="0.2">
      <c r="A91" s="8672" t="s">
        <v>649</v>
      </c>
      <c r="B91" s="8670"/>
      <c r="C91" s="6639">
        <f>SUM(D91:E91)</f>
        <v>0</v>
      </c>
      <c r="D91" s="6640">
        <f t="shared" ref="D91:E93" si="6">SUM(F91+H91+J91+L91+N91+P91)</f>
        <v>0</v>
      </c>
      <c r="E91" s="6641">
        <f t="shared" si="6"/>
        <v>0</v>
      </c>
      <c r="F91" s="5335"/>
      <c r="G91" s="5336"/>
      <c r="H91" s="5335"/>
      <c r="I91" s="5336"/>
      <c r="J91" s="5335"/>
      <c r="K91" s="5336"/>
      <c r="L91" s="5335"/>
      <c r="M91" s="5336"/>
      <c r="N91" s="5335"/>
      <c r="O91" s="5336"/>
      <c r="P91" s="5335"/>
      <c r="Q91" s="5336"/>
      <c r="R91" s="5338"/>
      <c r="S91" s="5582"/>
      <c r="T91" s="5335"/>
      <c r="U91" s="5337"/>
      <c r="V91" s="5338"/>
      <c r="W91" s="4778"/>
      <c r="X91" s="4867"/>
      <c r="Y91" s="4867"/>
      <c r="Z91" s="4869"/>
      <c r="AA91" s="6509"/>
      <c r="AB91" s="6621"/>
      <c r="AC91" s="6621"/>
      <c r="AD91" s="6621"/>
      <c r="AE91" s="6621"/>
      <c r="AF91" s="6621"/>
      <c r="AG91" s="6621"/>
      <c r="AH91" s="4328"/>
      <c r="AI91" s="4328"/>
      <c r="AJ91" s="4328"/>
      <c r="AK91" s="4328"/>
      <c r="AL91" s="6621"/>
      <c r="AM91" s="6621"/>
      <c r="AN91" s="4328"/>
      <c r="AO91" s="6621"/>
      <c r="AP91" s="6621"/>
      <c r="AQ91" s="6621"/>
      <c r="AR91" s="6621"/>
      <c r="AS91" s="6621"/>
      <c r="AT91" s="6621"/>
      <c r="AU91" s="6621"/>
      <c r="AV91" s="6621"/>
      <c r="AW91" s="6621"/>
      <c r="AX91" s="6631"/>
      <c r="AY91" s="6631"/>
      <c r="AZ91" s="6631"/>
      <c r="BA91" s="6491"/>
      <c r="DA91" s="6209">
        <v>0</v>
      </c>
      <c r="DB91" s="6209">
        <v>0</v>
      </c>
    </row>
    <row r="92" spans="1:106" ht="15.75" customHeight="1" x14ac:dyDescent="0.2">
      <c r="A92" s="8672" t="s">
        <v>831</v>
      </c>
      <c r="B92" s="8670"/>
      <c r="C92" s="6639">
        <f>SUM(D92:E92)</f>
        <v>0</v>
      </c>
      <c r="D92" s="6640">
        <f t="shared" si="6"/>
        <v>0</v>
      </c>
      <c r="E92" s="6641">
        <f t="shared" si="6"/>
        <v>0</v>
      </c>
      <c r="F92" s="5335"/>
      <c r="G92" s="5336"/>
      <c r="H92" s="5335"/>
      <c r="I92" s="5336"/>
      <c r="J92" s="5335"/>
      <c r="K92" s="5336"/>
      <c r="L92" s="5335"/>
      <c r="M92" s="5336"/>
      <c r="N92" s="5335"/>
      <c r="O92" s="5336"/>
      <c r="P92" s="5335"/>
      <c r="Q92" s="5336"/>
      <c r="R92" s="5338"/>
      <c r="S92" s="5582"/>
      <c r="T92" s="5335"/>
      <c r="U92" s="5337"/>
      <c r="V92" s="5338"/>
      <c r="W92" s="4778"/>
      <c r="X92" s="4867"/>
      <c r="Y92" s="4867"/>
      <c r="Z92" s="4869"/>
      <c r="AA92" s="6509"/>
      <c r="AB92" s="6621"/>
      <c r="AC92" s="6621"/>
      <c r="AD92" s="6621"/>
      <c r="AE92" s="6621"/>
      <c r="AF92" s="6621"/>
      <c r="AG92" s="6621"/>
      <c r="AH92" s="4328"/>
      <c r="AI92" s="4328"/>
      <c r="AJ92" s="4328"/>
      <c r="AK92" s="4328"/>
      <c r="AL92" s="6621"/>
      <c r="AM92" s="6621"/>
      <c r="AN92" s="4328"/>
      <c r="AO92" s="6621"/>
      <c r="AP92" s="6621"/>
      <c r="AQ92" s="6621"/>
      <c r="AR92" s="6621"/>
      <c r="AS92" s="6621"/>
      <c r="AT92" s="6621"/>
      <c r="AU92" s="6621"/>
      <c r="AV92" s="6621"/>
      <c r="AW92" s="6621"/>
      <c r="AX92" s="6631"/>
      <c r="AY92" s="6631"/>
      <c r="AZ92" s="6631"/>
    </row>
    <row r="93" spans="1:106" ht="18" customHeight="1" x14ac:dyDescent="0.2">
      <c r="A93" s="8667" t="s">
        <v>830</v>
      </c>
      <c r="B93" s="8668"/>
      <c r="C93" s="6642">
        <f>SUM(D93:E93)</f>
        <v>0</v>
      </c>
      <c r="D93" s="6643">
        <f t="shared" si="6"/>
        <v>0</v>
      </c>
      <c r="E93" s="6644">
        <f t="shared" si="6"/>
        <v>0</v>
      </c>
      <c r="F93" s="5348"/>
      <c r="G93" s="4369"/>
      <c r="H93" s="5348"/>
      <c r="I93" s="4369"/>
      <c r="J93" s="5348"/>
      <c r="K93" s="4369"/>
      <c r="L93" s="5348"/>
      <c r="M93" s="4369"/>
      <c r="N93" s="5348"/>
      <c r="O93" s="4369"/>
      <c r="P93" s="5348"/>
      <c r="Q93" s="4369"/>
      <c r="R93" s="5350"/>
      <c r="S93" s="4888"/>
      <c r="T93" s="5348"/>
      <c r="U93" s="5349"/>
      <c r="V93" s="5350"/>
      <c r="W93" s="4796"/>
      <c r="X93" s="4875"/>
      <c r="Y93" s="6645"/>
      <c r="Z93" s="6645"/>
      <c r="AA93" s="6509"/>
      <c r="AB93" s="6621"/>
      <c r="AC93" s="6621"/>
      <c r="AD93" s="4328"/>
      <c r="AE93" s="4328"/>
      <c r="AF93" s="4328"/>
      <c r="AG93" s="4328"/>
      <c r="AH93" s="6621"/>
      <c r="AI93" s="6621"/>
      <c r="AJ93" s="4328"/>
      <c r="AK93" s="6621"/>
      <c r="AL93" s="6621"/>
      <c r="AM93" s="6621"/>
      <c r="AN93" s="6621"/>
      <c r="AO93" s="6621"/>
      <c r="AP93" s="6621"/>
      <c r="AQ93" s="6621"/>
      <c r="AR93" s="6621"/>
      <c r="AS93" s="6621"/>
      <c r="AT93" s="6621"/>
      <c r="AU93" s="6621"/>
      <c r="AV93" s="6621"/>
      <c r="AW93" s="6621"/>
      <c r="AX93" s="6631"/>
      <c r="AY93" s="6631"/>
      <c r="AZ93" s="6631"/>
    </row>
    <row r="94" spans="1:106" ht="22.5" customHeight="1" x14ac:dyDescent="0.2">
      <c r="A94" s="6619" t="s">
        <v>848</v>
      </c>
      <c r="W94" s="6621"/>
      <c r="X94" s="6621"/>
      <c r="Y94" s="6621"/>
      <c r="Z94" s="6621"/>
      <c r="AA94" s="4328"/>
      <c r="AB94" s="6621"/>
      <c r="AC94" s="6621"/>
      <c r="AD94" s="4328"/>
      <c r="AE94" s="4328"/>
      <c r="AF94" s="4328"/>
      <c r="AG94" s="4328"/>
      <c r="AH94" s="6621"/>
      <c r="AI94" s="6621"/>
      <c r="AJ94" s="4328"/>
      <c r="AK94" s="6621"/>
      <c r="AL94" s="6621"/>
      <c r="AM94" s="6621"/>
      <c r="AN94" s="6621"/>
      <c r="AO94" s="6621"/>
      <c r="AP94" s="6621"/>
      <c r="AQ94" s="6621"/>
      <c r="AR94" s="6621"/>
      <c r="AS94" s="6621"/>
      <c r="AT94" s="6621"/>
      <c r="AU94" s="6621"/>
      <c r="AV94" s="6621"/>
      <c r="AW94" s="6621"/>
      <c r="AX94" s="6631"/>
      <c r="AY94" s="6631"/>
      <c r="AZ94" s="6631"/>
    </row>
    <row r="95" spans="1:106" ht="28.5" customHeight="1" x14ac:dyDescent="0.2">
      <c r="A95" s="8663" t="s">
        <v>847</v>
      </c>
      <c r="B95" s="8664"/>
      <c r="C95" s="8739" t="s">
        <v>846</v>
      </c>
      <c r="D95" s="8740"/>
      <c r="E95" s="8741"/>
      <c r="F95" s="8716" t="s">
        <v>845</v>
      </c>
      <c r="G95" s="8717"/>
      <c r="H95" s="8717"/>
      <c r="I95" s="8717"/>
      <c r="J95" s="8717"/>
      <c r="K95" s="8717"/>
      <c r="L95" s="8717"/>
      <c r="M95" s="8717"/>
      <c r="N95" s="8717"/>
      <c r="O95" s="8717"/>
      <c r="P95" s="8717"/>
      <c r="Q95" s="8718"/>
      <c r="R95" s="8759" t="s">
        <v>844</v>
      </c>
      <c r="S95" s="8760"/>
      <c r="T95" s="8760"/>
      <c r="U95" s="8760"/>
      <c r="V95" s="8761"/>
      <c r="W95" s="6621"/>
      <c r="X95" s="6621"/>
      <c r="Y95" s="6621"/>
      <c r="Z95" s="6621"/>
      <c r="AA95" s="6621"/>
      <c r="AB95" s="6621"/>
      <c r="AC95" s="6621"/>
      <c r="AD95" s="4328"/>
      <c r="AE95" s="4328"/>
      <c r="AF95" s="4328"/>
      <c r="AG95" s="4328"/>
      <c r="AH95" s="6621"/>
      <c r="AI95" s="6621"/>
      <c r="AJ95" s="4328"/>
      <c r="AK95" s="6621"/>
      <c r="AL95" s="6621"/>
      <c r="AM95" s="6621"/>
      <c r="AN95" s="6621"/>
      <c r="AO95" s="6621"/>
      <c r="AP95" s="6621"/>
      <c r="AQ95" s="6621"/>
      <c r="AR95" s="6621"/>
      <c r="AS95" s="6621"/>
      <c r="AT95" s="6621"/>
      <c r="AU95" s="6621"/>
      <c r="AV95" s="6621"/>
      <c r="AW95" s="6621"/>
      <c r="AX95" s="6631"/>
      <c r="AY95" s="6631"/>
      <c r="AZ95" s="6631"/>
    </row>
    <row r="96" spans="1:106" ht="26.25" customHeight="1" x14ac:dyDescent="0.2">
      <c r="A96" s="8695"/>
      <c r="B96" s="8689"/>
      <c r="C96" s="8658"/>
      <c r="D96" s="8659"/>
      <c r="E96" s="8660"/>
      <c r="F96" s="8681" t="s">
        <v>843</v>
      </c>
      <c r="G96" s="8719"/>
      <c r="H96" s="8681" t="s">
        <v>842</v>
      </c>
      <c r="I96" s="8719"/>
      <c r="J96" s="8681" t="s">
        <v>841</v>
      </c>
      <c r="K96" s="8719"/>
      <c r="L96" s="8681" t="s">
        <v>840</v>
      </c>
      <c r="M96" s="8719"/>
      <c r="N96" s="8681" t="s">
        <v>839</v>
      </c>
      <c r="O96" s="8719"/>
      <c r="P96" s="8681" t="s">
        <v>838</v>
      </c>
      <c r="Q96" s="8682"/>
      <c r="R96" s="8713" t="s">
        <v>837</v>
      </c>
      <c r="S96" s="8714"/>
      <c r="T96" s="8715"/>
      <c r="U96" s="8681" t="s">
        <v>836</v>
      </c>
      <c r="V96" s="8719"/>
      <c r="W96" s="6621"/>
      <c r="X96" s="6621"/>
      <c r="Y96" s="6621"/>
      <c r="Z96" s="6621"/>
      <c r="AA96" s="6621"/>
      <c r="AB96" s="6621"/>
      <c r="AC96" s="6621"/>
      <c r="AD96" s="4328"/>
      <c r="AE96" s="4328"/>
      <c r="AF96" s="4328"/>
      <c r="AG96" s="4328"/>
      <c r="AH96" s="6621"/>
      <c r="AI96" s="6621"/>
      <c r="AJ96" s="4328"/>
      <c r="AK96" s="6621"/>
      <c r="AL96" s="6621"/>
      <c r="AM96" s="6621"/>
      <c r="AN96" s="6621"/>
      <c r="AO96" s="6621"/>
      <c r="AP96" s="6621"/>
      <c r="AQ96" s="6621"/>
      <c r="AR96" s="6621"/>
      <c r="AS96" s="6621"/>
      <c r="AT96" s="6621"/>
      <c r="AU96" s="6621"/>
      <c r="AV96" s="6621"/>
      <c r="AW96" s="6621"/>
      <c r="AX96" s="6631"/>
      <c r="AY96" s="6631"/>
      <c r="AZ96" s="6631"/>
    </row>
    <row r="97" spans="1:130" ht="32.25" customHeight="1" x14ac:dyDescent="0.2">
      <c r="A97" s="8665"/>
      <c r="B97" s="8666"/>
      <c r="C97" s="6494" t="s">
        <v>42</v>
      </c>
      <c r="D97" s="5620" t="s">
        <v>17</v>
      </c>
      <c r="E97" s="6405" t="s">
        <v>18</v>
      </c>
      <c r="F97" s="6149" t="s">
        <v>17</v>
      </c>
      <c r="G97" s="6629" t="s">
        <v>18</v>
      </c>
      <c r="H97" s="6149" t="s">
        <v>17</v>
      </c>
      <c r="I97" s="6629" t="s">
        <v>18</v>
      </c>
      <c r="J97" s="6149" t="s">
        <v>17</v>
      </c>
      <c r="K97" s="6629" t="s">
        <v>18</v>
      </c>
      <c r="L97" s="6149" t="s">
        <v>17</v>
      </c>
      <c r="M97" s="6629" t="s">
        <v>18</v>
      </c>
      <c r="N97" s="6149" t="s">
        <v>17</v>
      </c>
      <c r="O97" s="6629" t="s">
        <v>18</v>
      </c>
      <c r="P97" s="6149" t="s">
        <v>17</v>
      </c>
      <c r="Q97" s="6646" t="s">
        <v>18</v>
      </c>
      <c r="R97" s="6629" t="s">
        <v>835</v>
      </c>
      <c r="S97" s="6617" t="s">
        <v>135</v>
      </c>
      <c r="T97" s="4933" t="s">
        <v>2510</v>
      </c>
      <c r="U97" s="6647" t="s">
        <v>834</v>
      </c>
      <c r="V97" s="6617" t="s">
        <v>833</v>
      </c>
      <c r="W97" s="6621"/>
      <c r="X97" s="6621"/>
      <c r="Y97" s="6621"/>
      <c r="Z97" s="6621"/>
      <c r="AA97" s="6621"/>
      <c r="AB97" s="6621"/>
      <c r="AC97" s="6621"/>
      <c r="AD97" s="4328"/>
      <c r="AE97" s="4328"/>
      <c r="AF97" s="4328"/>
      <c r="AG97" s="4328"/>
      <c r="AH97" s="6621"/>
      <c r="AI97" s="6621"/>
      <c r="AJ97" s="4328"/>
      <c r="AK97" s="6621"/>
      <c r="AL97" s="6621"/>
      <c r="AM97" s="6621"/>
      <c r="AN97" s="6621"/>
      <c r="AO97" s="6621"/>
      <c r="AP97" s="6621"/>
      <c r="AQ97" s="6621"/>
      <c r="AR97" s="6621"/>
      <c r="AS97" s="6621"/>
      <c r="AT97" s="6621"/>
      <c r="AU97" s="6621"/>
      <c r="AV97" s="6621"/>
      <c r="AW97" s="6621"/>
      <c r="AX97" s="6631"/>
      <c r="AY97" s="6631"/>
      <c r="AZ97" s="6631"/>
    </row>
    <row r="98" spans="1:130" ht="16.350000000000001" customHeight="1" x14ac:dyDescent="0.2">
      <c r="A98" s="8742" t="s">
        <v>832</v>
      </c>
      <c r="B98" s="8743"/>
      <c r="C98" s="6632">
        <f>SUM(D98:E98)</f>
        <v>0</v>
      </c>
      <c r="D98" s="6633">
        <f>SUM(F98+H98+J98+L98+N98+P98)</f>
        <v>0</v>
      </c>
      <c r="E98" s="6634">
        <f>SUM(G98+I98+K98+M98+O98+Q98)</f>
        <v>0</v>
      </c>
      <c r="F98" s="6499"/>
      <c r="G98" s="6537"/>
      <c r="H98" s="6499"/>
      <c r="I98" s="6537"/>
      <c r="J98" s="6499"/>
      <c r="K98" s="6537"/>
      <c r="L98" s="6499"/>
      <c r="M98" s="6537"/>
      <c r="N98" s="6499"/>
      <c r="O98" s="6537"/>
      <c r="P98" s="6499"/>
      <c r="Q98" s="6648"/>
      <c r="R98" s="6649"/>
      <c r="S98" s="6499"/>
      <c r="T98" s="6637"/>
      <c r="U98" s="6637"/>
      <c r="V98" s="6638"/>
      <c r="W98" s="6626"/>
      <c r="X98" s="6621"/>
      <c r="Y98" s="6621"/>
      <c r="Z98" s="6621"/>
      <c r="AA98" s="6621"/>
      <c r="AB98" s="6621"/>
      <c r="AC98" s="6621"/>
      <c r="AD98" s="4328"/>
      <c r="AE98" s="4328"/>
      <c r="AF98" s="4328"/>
      <c r="AG98" s="4328"/>
      <c r="AH98" s="6621"/>
      <c r="AI98" s="6621"/>
      <c r="AJ98" s="4328"/>
      <c r="AK98" s="6621"/>
      <c r="AL98" s="6621"/>
      <c r="AM98" s="6621"/>
      <c r="AN98" s="6621"/>
      <c r="AO98" s="6621"/>
      <c r="AP98" s="6621"/>
      <c r="AQ98" s="6621"/>
      <c r="AR98" s="6621"/>
      <c r="AS98" s="6621"/>
      <c r="AT98" s="6621"/>
      <c r="AU98" s="6621"/>
      <c r="AV98" s="6621"/>
      <c r="AW98" s="6621"/>
      <c r="AX98" s="6631"/>
      <c r="AY98" s="6631"/>
      <c r="AZ98" s="6631"/>
    </row>
    <row r="99" spans="1:130" ht="17.25" customHeight="1" x14ac:dyDescent="0.2">
      <c r="A99" s="8672" t="s">
        <v>649</v>
      </c>
      <c r="B99" s="8670"/>
      <c r="C99" s="6639">
        <f>SUM(D99:E99)</f>
        <v>0</v>
      </c>
      <c r="D99" s="6640">
        <f t="shared" ref="D99:E101" si="7">SUM(F99+H99+J99+L99+N99+P99)</f>
        <v>0</v>
      </c>
      <c r="E99" s="6641">
        <f t="shared" si="7"/>
        <v>0</v>
      </c>
      <c r="F99" s="4778"/>
      <c r="G99" s="5582"/>
      <c r="H99" s="4778"/>
      <c r="I99" s="5582"/>
      <c r="J99" s="4778"/>
      <c r="K99" s="5582"/>
      <c r="L99" s="4778"/>
      <c r="M99" s="5582"/>
      <c r="N99" s="4778"/>
      <c r="O99" s="5582"/>
      <c r="P99" s="4778"/>
      <c r="Q99" s="6650"/>
      <c r="R99" s="6651"/>
      <c r="S99" s="4778"/>
      <c r="T99" s="4867"/>
      <c r="U99" s="4867"/>
      <c r="V99" s="4869"/>
      <c r="W99" s="6652"/>
      <c r="X99" s="6653"/>
      <c r="Y99" s="6653"/>
      <c r="Z99" s="6491"/>
      <c r="AR99" s="6621"/>
      <c r="AS99" s="6621"/>
      <c r="AT99" s="6621"/>
      <c r="AU99" s="6621"/>
      <c r="AV99" s="6621"/>
      <c r="AW99" s="6621"/>
      <c r="AX99" s="6631"/>
      <c r="AY99" s="6631"/>
      <c r="AZ99" s="6631"/>
    </row>
    <row r="100" spans="1:130" ht="16.350000000000001" customHeight="1" x14ac:dyDescent="0.2">
      <c r="A100" s="8672" t="s">
        <v>831</v>
      </c>
      <c r="B100" s="8670"/>
      <c r="C100" s="6639">
        <f>SUM(D100:E100)</f>
        <v>0</v>
      </c>
      <c r="D100" s="6640">
        <f>SUM(F100+H100+J100+L100+N100+P100)</f>
        <v>0</v>
      </c>
      <c r="E100" s="6641">
        <f t="shared" si="7"/>
        <v>0</v>
      </c>
      <c r="F100" s="4778"/>
      <c r="G100" s="5582"/>
      <c r="H100" s="4778"/>
      <c r="I100" s="5582"/>
      <c r="J100" s="4778"/>
      <c r="K100" s="5582"/>
      <c r="L100" s="4778"/>
      <c r="M100" s="5582"/>
      <c r="N100" s="4778"/>
      <c r="O100" s="5582"/>
      <c r="P100" s="4778"/>
      <c r="Q100" s="6650"/>
      <c r="R100" s="6651"/>
      <c r="S100" s="4778"/>
      <c r="T100" s="4867"/>
      <c r="U100" s="4867"/>
      <c r="V100" s="4869"/>
      <c r="W100" s="6652"/>
      <c r="X100" s="6653"/>
      <c r="Y100" s="6653"/>
      <c r="Z100" s="6491"/>
      <c r="AR100" s="6621"/>
      <c r="AS100" s="6621"/>
      <c r="AT100" s="6621"/>
      <c r="AU100" s="6621"/>
      <c r="AV100" s="6621"/>
      <c r="AW100" s="6621"/>
      <c r="AX100" s="6631"/>
      <c r="AY100" s="6631"/>
      <c r="AZ100" s="6631"/>
    </row>
    <row r="101" spans="1:130" ht="16.350000000000001" customHeight="1" x14ac:dyDescent="0.2">
      <c r="A101" s="8667" t="s">
        <v>830</v>
      </c>
      <c r="B101" s="8668"/>
      <c r="C101" s="6642">
        <f>SUM(D101:E101)</f>
        <v>0</v>
      </c>
      <c r="D101" s="6643">
        <f t="shared" si="7"/>
        <v>0</v>
      </c>
      <c r="E101" s="6644">
        <f t="shared" si="7"/>
        <v>0</v>
      </c>
      <c r="F101" s="4796"/>
      <c r="G101" s="4888"/>
      <c r="H101" s="4796"/>
      <c r="I101" s="4888"/>
      <c r="J101" s="4796"/>
      <c r="K101" s="4888"/>
      <c r="L101" s="4796"/>
      <c r="M101" s="4888"/>
      <c r="N101" s="4796"/>
      <c r="O101" s="4888"/>
      <c r="P101" s="4796"/>
      <c r="Q101" s="6654"/>
      <c r="R101" s="4798"/>
      <c r="S101" s="4796"/>
      <c r="T101" s="4875"/>
      <c r="U101" s="6645"/>
      <c r="V101" s="6645"/>
      <c r="W101" s="6652"/>
      <c r="X101" s="6653"/>
      <c r="Y101" s="6653"/>
      <c r="Z101" s="6491"/>
      <c r="AR101" s="6621"/>
      <c r="AS101" s="6621"/>
      <c r="AT101" s="6621"/>
      <c r="AU101" s="6621"/>
      <c r="AV101" s="6621"/>
      <c r="AW101" s="6621"/>
      <c r="AX101" s="6631"/>
      <c r="AY101" s="6631"/>
      <c r="AZ101" s="6631"/>
    </row>
    <row r="102" spans="1:130" ht="16.350000000000001" customHeight="1" x14ac:dyDescent="0.2">
      <c r="A102" s="6619" t="s">
        <v>3436</v>
      </c>
      <c r="B102" s="6621"/>
      <c r="P102" s="6621"/>
      <c r="Q102" s="6621"/>
      <c r="R102" s="6655"/>
      <c r="S102" s="6655"/>
      <c r="T102" s="6655"/>
      <c r="U102" s="6653"/>
      <c r="V102" s="6653"/>
      <c r="W102" s="6653"/>
      <c r="X102" s="6653"/>
      <c r="Y102" s="6653"/>
      <c r="Z102" s="6491"/>
    </row>
    <row r="103" spans="1:130" ht="16.350000000000001" customHeight="1" x14ac:dyDescent="0.2">
      <c r="A103" s="8663" t="s">
        <v>191</v>
      </c>
      <c r="B103" s="8664"/>
      <c r="C103" s="8739" t="s">
        <v>24</v>
      </c>
      <c r="D103" s="8740"/>
      <c r="E103" s="8741"/>
      <c r="F103" s="8685" t="s">
        <v>25</v>
      </c>
      <c r="G103" s="8686"/>
      <c r="H103" s="8686"/>
      <c r="I103" s="8686"/>
      <c r="J103" s="8686"/>
      <c r="K103" s="8686"/>
      <c r="L103" s="8686"/>
      <c r="M103" s="8747"/>
      <c r="N103" s="6621"/>
      <c r="O103" s="6621"/>
      <c r="P103" s="6655"/>
      <c r="Q103" s="6655"/>
      <c r="R103" s="6655"/>
      <c r="S103" s="6653"/>
      <c r="T103" s="6653"/>
      <c r="U103" s="6653"/>
      <c r="V103" s="6653"/>
      <c r="W103" s="6653"/>
      <c r="X103" s="6491"/>
      <c r="BX103" s="4652"/>
    </row>
    <row r="104" spans="1:130" ht="31.35" customHeight="1" x14ac:dyDescent="0.2">
      <c r="A104" s="8695"/>
      <c r="B104" s="8689"/>
      <c r="C104" s="8695"/>
      <c r="D104" s="8748"/>
      <c r="E104" s="8749"/>
      <c r="F104" s="8630" t="s">
        <v>3449</v>
      </c>
      <c r="G104" s="8631"/>
      <c r="H104" s="8630" t="s">
        <v>3450</v>
      </c>
      <c r="I104" s="8631"/>
      <c r="J104" s="8630" t="s">
        <v>3451</v>
      </c>
      <c r="K104" s="8631"/>
      <c r="L104" s="8630" t="s">
        <v>33</v>
      </c>
      <c r="M104" s="8631"/>
      <c r="N104" s="6656"/>
      <c r="O104" s="6656"/>
      <c r="P104" s="6656"/>
      <c r="Q104" s="6656"/>
      <c r="R104" s="6621"/>
      <c r="S104" s="6621"/>
      <c r="T104" s="6621"/>
      <c r="U104" s="6621"/>
      <c r="V104" s="4328"/>
      <c r="W104" s="4328"/>
      <c r="X104" s="4328"/>
      <c r="Y104" s="4328"/>
      <c r="Z104" s="6621"/>
      <c r="AA104" s="6621"/>
      <c r="AB104" s="4328"/>
      <c r="AC104" s="6621"/>
      <c r="AD104" s="6621"/>
      <c r="AE104" s="6621"/>
      <c r="AF104" s="6621"/>
      <c r="AG104" s="6621"/>
      <c r="AH104" s="6621"/>
      <c r="AI104" s="6621"/>
      <c r="AJ104" s="6631"/>
      <c r="AK104" s="6657"/>
      <c r="AL104" s="6658"/>
      <c r="AM104" s="6653"/>
      <c r="AN104" s="6653"/>
      <c r="AO104" s="6653"/>
      <c r="AP104" s="6653"/>
      <c r="AQ104" s="6653"/>
      <c r="AR104" s="6653"/>
      <c r="AS104" s="6653"/>
      <c r="AT104" s="6653"/>
      <c r="AU104" s="6491"/>
    </row>
    <row r="105" spans="1:130" ht="16.350000000000001" customHeight="1" x14ac:dyDescent="0.2">
      <c r="A105" s="8665"/>
      <c r="B105" s="8666"/>
      <c r="C105" s="6659" t="s">
        <v>42</v>
      </c>
      <c r="D105" s="5620" t="s">
        <v>17</v>
      </c>
      <c r="E105" s="6629" t="s">
        <v>18</v>
      </c>
      <c r="F105" s="6494" t="s">
        <v>17</v>
      </c>
      <c r="G105" s="6629" t="s">
        <v>18</v>
      </c>
      <c r="H105" s="6494" t="s">
        <v>17</v>
      </c>
      <c r="I105" s="6629" t="s">
        <v>18</v>
      </c>
      <c r="J105" s="6494" t="s">
        <v>17</v>
      </c>
      <c r="K105" s="6629" t="s">
        <v>18</v>
      </c>
      <c r="L105" s="6494" t="s">
        <v>17</v>
      </c>
      <c r="M105" s="6629" t="s">
        <v>18</v>
      </c>
      <c r="AF105" s="4328"/>
      <c r="AG105" s="4328"/>
      <c r="AH105" s="4328"/>
      <c r="AI105" s="4328"/>
      <c r="AJ105" s="6496"/>
      <c r="AK105" s="6496"/>
      <c r="AL105" s="6496"/>
      <c r="AM105" s="6496"/>
      <c r="AN105" s="6496"/>
      <c r="AO105" s="6496"/>
      <c r="AP105" s="6496"/>
      <c r="AQ105" s="6496"/>
      <c r="AR105" s="6496"/>
      <c r="AS105" s="6519"/>
      <c r="BX105" s="4652"/>
    </row>
    <row r="106" spans="1:130" ht="20.25" customHeight="1" x14ac:dyDescent="0.2">
      <c r="A106" s="8693" t="s">
        <v>29</v>
      </c>
      <c r="B106" s="8694"/>
      <c r="C106" s="6660">
        <f>SUM(D106:E106)</f>
        <v>0</v>
      </c>
      <c r="D106" s="6661">
        <f>+F106+H106+J106+L106</f>
        <v>0</v>
      </c>
      <c r="E106" s="6662">
        <f>+G106+I106+K106+M106</f>
        <v>0</v>
      </c>
      <c r="F106" s="6624"/>
      <c r="G106" s="6625"/>
      <c r="H106" s="6624"/>
      <c r="I106" s="6625"/>
      <c r="J106" s="6624"/>
      <c r="K106" s="6663"/>
      <c r="L106" s="6624"/>
      <c r="M106" s="6663"/>
      <c r="N106" s="4652"/>
      <c r="AF106" s="4328"/>
      <c r="AG106" s="4328"/>
      <c r="AH106" s="4328"/>
      <c r="AI106" s="4328"/>
      <c r="AJ106" s="6496"/>
      <c r="AK106" s="6496"/>
      <c r="AL106" s="6496"/>
      <c r="AM106" s="6496"/>
      <c r="AN106" s="6496"/>
      <c r="AO106" s="6496"/>
      <c r="AP106" s="6496"/>
      <c r="AQ106" s="6496"/>
      <c r="AR106" s="6496"/>
      <c r="AS106" s="6519"/>
      <c r="BX106" s="4652"/>
    </row>
    <row r="107" spans="1:130" ht="16.350000000000001" customHeight="1" x14ac:dyDescent="0.2">
      <c r="A107" s="6615" t="s">
        <v>829</v>
      </c>
      <c r="B107" s="6664"/>
      <c r="AH107" s="4328"/>
      <c r="AI107" s="4328"/>
      <c r="AJ107" s="4328"/>
      <c r="AK107" s="4627"/>
      <c r="AL107" s="6665"/>
      <c r="AM107" s="6665"/>
      <c r="AN107" s="6665"/>
      <c r="AO107" s="6665"/>
      <c r="AP107" s="6665"/>
      <c r="AQ107" s="6665"/>
      <c r="AR107" s="6665"/>
      <c r="AS107" s="6665"/>
      <c r="AT107" s="6665"/>
      <c r="AU107" s="6666"/>
      <c r="AV107" s="4657"/>
      <c r="AW107" s="4657"/>
    </row>
    <row r="108" spans="1:130" ht="16.350000000000001" customHeight="1" x14ac:dyDescent="0.2">
      <c r="A108" s="8663" t="s">
        <v>31</v>
      </c>
      <c r="B108" s="8664"/>
      <c r="C108" s="8739" t="s">
        <v>24</v>
      </c>
      <c r="D108" s="8740"/>
      <c r="E108" s="8741"/>
      <c r="F108" s="8756" t="s">
        <v>29</v>
      </c>
      <c r="G108" s="8757"/>
      <c r="H108" s="8757"/>
      <c r="I108" s="8757"/>
      <c r="J108" s="8757"/>
      <c r="K108" s="8757"/>
      <c r="L108" s="8757"/>
      <c r="M108" s="8757"/>
      <c r="N108" s="8757"/>
      <c r="O108" s="8757"/>
      <c r="P108" s="8757"/>
      <c r="Q108" s="8757"/>
      <c r="R108" s="8757"/>
      <c r="S108" s="8757"/>
      <c r="T108" s="8757"/>
      <c r="U108" s="8757"/>
      <c r="V108" s="8757"/>
      <c r="W108" s="8757"/>
      <c r="X108" s="8757"/>
      <c r="Y108" s="8757"/>
      <c r="Z108" s="8757"/>
      <c r="AA108" s="8757"/>
      <c r="AB108" s="8757"/>
      <c r="AC108" s="8757"/>
      <c r="AD108" s="8757"/>
      <c r="AE108" s="8757"/>
      <c r="AF108" s="8757"/>
      <c r="AG108" s="8758"/>
      <c r="AH108" s="8915" t="s">
        <v>360</v>
      </c>
      <c r="AI108" s="8917" t="s">
        <v>359</v>
      </c>
      <c r="AJ108" s="6665"/>
      <c r="AK108" s="6665"/>
      <c r="AL108" s="6665"/>
      <c r="AM108" s="6665"/>
      <c r="AN108" s="6665"/>
      <c r="AO108" s="6665"/>
      <c r="AP108" s="6665"/>
      <c r="AQ108" s="6665"/>
      <c r="AR108" s="6665"/>
      <c r="AS108" s="6666"/>
      <c r="AT108" s="4657"/>
      <c r="AU108" s="4657"/>
      <c r="AV108" s="4657"/>
      <c r="AW108" s="4657"/>
      <c r="BX108" s="4652"/>
      <c r="CY108" s="6209"/>
      <c r="CZ108" s="6209"/>
      <c r="DY108" s="4652"/>
      <c r="DZ108" s="4652"/>
    </row>
    <row r="109" spans="1:130" ht="16.350000000000001" customHeight="1" x14ac:dyDescent="0.2">
      <c r="A109" s="8695"/>
      <c r="B109" s="8689"/>
      <c r="C109" s="8695"/>
      <c r="D109" s="8748"/>
      <c r="E109" s="8749"/>
      <c r="F109" s="8754" t="s">
        <v>80</v>
      </c>
      <c r="G109" s="8755"/>
      <c r="H109" s="8709" t="s">
        <v>81</v>
      </c>
      <c r="I109" s="8709"/>
      <c r="J109" s="8709" t="s">
        <v>115</v>
      </c>
      <c r="K109" s="8709"/>
      <c r="L109" s="8709" t="s">
        <v>116</v>
      </c>
      <c r="M109" s="8709"/>
      <c r="N109" s="8709" t="s">
        <v>117</v>
      </c>
      <c r="O109" s="8709"/>
      <c r="P109" s="8709" t="s">
        <v>118</v>
      </c>
      <c r="Q109" s="8709"/>
      <c r="R109" s="8709" t="s">
        <v>119</v>
      </c>
      <c r="S109" s="8709"/>
      <c r="T109" s="8709" t="s">
        <v>120</v>
      </c>
      <c r="U109" s="8709"/>
      <c r="V109" s="8709" t="s">
        <v>1412</v>
      </c>
      <c r="W109" s="8709"/>
      <c r="X109" s="8709" t="s">
        <v>1404</v>
      </c>
      <c r="Y109" s="8709"/>
      <c r="Z109" s="8630" t="s">
        <v>1395</v>
      </c>
      <c r="AA109" s="8631"/>
      <c r="AB109" s="8630" t="s">
        <v>1394</v>
      </c>
      <c r="AC109" s="8631"/>
      <c r="AD109" s="8630" t="s">
        <v>1393</v>
      </c>
      <c r="AE109" s="8631"/>
      <c r="AF109" s="8630" t="s">
        <v>1403</v>
      </c>
      <c r="AG109" s="8633"/>
      <c r="AH109" s="8730"/>
      <c r="AI109" s="8918"/>
      <c r="AJ109" s="4302"/>
      <c r="AK109" s="6667"/>
      <c r="AL109" s="6665"/>
      <c r="AM109" s="6665"/>
      <c r="AN109" s="6665"/>
      <c r="AO109" s="6665"/>
      <c r="AP109" s="6665"/>
      <c r="AQ109" s="6665"/>
      <c r="AR109" s="6665"/>
      <c r="AS109" s="6665"/>
      <c r="AT109" s="6665"/>
      <c r="AU109" s="6666"/>
      <c r="AV109" s="4657"/>
      <c r="AW109" s="4657"/>
    </row>
    <row r="110" spans="1:130" ht="16.350000000000001" customHeight="1" x14ac:dyDescent="0.2">
      <c r="A110" s="8665"/>
      <c r="B110" s="8666"/>
      <c r="C110" s="6494" t="s">
        <v>42</v>
      </c>
      <c r="D110" s="5620" t="s">
        <v>17</v>
      </c>
      <c r="E110" s="6629" t="s">
        <v>18</v>
      </c>
      <c r="F110" s="6668" t="s">
        <v>17</v>
      </c>
      <c r="G110" s="6669" t="s">
        <v>18</v>
      </c>
      <c r="H110" s="6668" t="s">
        <v>17</v>
      </c>
      <c r="I110" s="6669" t="s">
        <v>18</v>
      </c>
      <c r="J110" s="6668" t="s">
        <v>17</v>
      </c>
      <c r="K110" s="6669" t="s">
        <v>18</v>
      </c>
      <c r="L110" s="6668" t="s">
        <v>17</v>
      </c>
      <c r="M110" s="6669" t="s">
        <v>18</v>
      </c>
      <c r="N110" s="6668" t="s">
        <v>17</v>
      </c>
      <c r="O110" s="6669" t="s">
        <v>18</v>
      </c>
      <c r="P110" s="6668" t="s">
        <v>17</v>
      </c>
      <c r="Q110" s="6669" t="s">
        <v>18</v>
      </c>
      <c r="R110" s="6668" t="s">
        <v>17</v>
      </c>
      <c r="S110" s="6669" t="s">
        <v>18</v>
      </c>
      <c r="T110" s="6668" t="s">
        <v>17</v>
      </c>
      <c r="U110" s="6669" t="s">
        <v>18</v>
      </c>
      <c r="V110" s="6668" t="s">
        <v>17</v>
      </c>
      <c r="W110" s="6669" t="s">
        <v>18</v>
      </c>
      <c r="X110" s="6668" t="s">
        <v>17</v>
      </c>
      <c r="Y110" s="6669" t="s">
        <v>18</v>
      </c>
      <c r="Z110" s="6668" t="s">
        <v>17</v>
      </c>
      <c r="AA110" s="6669" t="s">
        <v>18</v>
      </c>
      <c r="AB110" s="6668" t="s">
        <v>17</v>
      </c>
      <c r="AC110" s="6669" t="s">
        <v>18</v>
      </c>
      <c r="AD110" s="6668" t="s">
        <v>17</v>
      </c>
      <c r="AE110" s="6669" t="s">
        <v>18</v>
      </c>
      <c r="AF110" s="6668" t="s">
        <v>17</v>
      </c>
      <c r="AG110" s="6670" t="s">
        <v>18</v>
      </c>
      <c r="AH110" s="8916"/>
      <c r="AI110" s="8919"/>
      <c r="AJ110" s="6671"/>
      <c r="AK110" s="6665"/>
      <c r="AL110" s="6665"/>
      <c r="AM110" s="6665"/>
      <c r="AN110" s="6665"/>
      <c r="AO110" s="6665"/>
      <c r="AP110" s="6665"/>
      <c r="AQ110" s="6665"/>
      <c r="AR110" s="6665"/>
      <c r="AS110" s="6665"/>
      <c r="AT110" s="6665"/>
      <c r="AU110" s="6666"/>
      <c r="AV110" s="4657"/>
      <c r="AW110" s="4657"/>
    </row>
    <row r="111" spans="1:130" ht="16.350000000000001" customHeight="1" x14ac:dyDescent="0.2">
      <c r="A111" s="8745" t="s">
        <v>828</v>
      </c>
      <c r="B111" s="8746"/>
      <c r="C111" s="6528">
        <f>SUM(D111:E111)</f>
        <v>0</v>
      </c>
      <c r="D111" s="6529">
        <f>SUM(F111+H111+J111+L111+N111+P111+R111+T111+V111+X111+Z111+AB111+AD111+AF111)</f>
        <v>0</v>
      </c>
      <c r="E111" s="6672">
        <f>SUM(+G111+I111+K111+M111+O111+Q111+S111+U111+W111+Y111+AA111+AC111+AE111+AG111)</f>
        <v>0</v>
      </c>
      <c r="F111" s="6588"/>
      <c r="G111" s="6610"/>
      <c r="H111" s="6588"/>
      <c r="I111" s="6610"/>
      <c r="J111" s="6588"/>
      <c r="K111" s="6610"/>
      <c r="L111" s="6588"/>
      <c r="M111" s="6610"/>
      <c r="N111" s="6588"/>
      <c r="O111" s="6610"/>
      <c r="P111" s="6588"/>
      <c r="Q111" s="6610"/>
      <c r="R111" s="6588"/>
      <c r="S111" s="6610"/>
      <c r="T111" s="6588"/>
      <c r="U111" s="6610"/>
      <c r="V111" s="6588"/>
      <c r="W111" s="6610"/>
      <c r="X111" s="6588"/>
      <c r="Y111" s="6610"/>
      <c r="Z111" s="6588"/>
      <c r="AA111" s="6610"/>
      <c r="AB111" s="6588"/>
      <c r="AC111" s="6610"/>
      <c r="AD111" s="6588"/>
      <c r="AE111" s="6610"/>
      <c r="AF111" s="6588"/>
      <c r="AG111" s="6673"/>
      <c r="AH111" s="6674"/>
      <c r="AI111" s="6675"/>
      <c r="AJ111" s="7349"/>
      <c r="AK111" s="4627"/>
      <c r="AL111" s="6665"/>
      <c r="AM111" s="6665"/>
      <c r="AN111" s="6665"/>
      <c r="AO111" s="6665"/>
      <c r="AP111" s="6665"/>
      <c r="AQ111" s="6665"/>
      <c r="AR111" s="6665"/>
      <c r="AS111" s="6665"/>
      <c r="AT111" s="6665"/>
      <c r="AU111" s="6666"/>
      <c r="AV111" s="4657"/>
      <c r="AW111" s="4657"/>
      <c r="CZ111" s="4688">
        <v>0</v>
      </c>
      <c r="DB111" s="6209">
        <v>0</v>
      </c>
      <c r="DD111" s="6209">
        <v>0</v>
      </c>
    </row>
    <row r="112" spans="1:130" ht="25.35" customHeight="1" x14ac:dyDescent="0.2">
      <c r="A112" s="8661" t="s">
        <v>825</v>
      </c>
      <c r="B112" s="6532" t="s">
        <v>824</v>
      </c>
      <c r="C112" s="6676">
        <f t="shared" ref="C112:C119" si="8">SUM(D112:E112)</f>
        <v>0</v>
      </c>
      <c r="D112" s="6677">
        <f t="shared" ref="D112:D119" si="9">SUM(F112+H112+J112+L112+N112+P112+R112+T112+V112+X112+Z112+AB112+AD112+AF112)</f>
        <v>0</v>
      </c>
      <c r="E112" s="6678">
        <f t="shared" ref="E112:E119" si="10">SUM(+G112+I112+K112+M112+O112+Q112+S112+U112+W112+Y112+AA112+AC112+AE112+AG112)</f>
        <v>0</v>
      </c>
      <c r="F112" s="6588"/>
      <c r="G112" s="4803"/>
      <c r="H112" s="6588"/>
      <c r="I112" s="4803"/>
      <c r="J112" s="6588"/>
      <c r="K112" s="4803"/>
      <c r="L112" s="6588"/>
      <c r="M112" s="4803"/>
      <c r="N112" s="6588"/>
      <c r="O112" s="4803"/>
      <c r="P112" s="6588"/>
      <c r="Q112" s="4803"/>
      <c r="R112" s="6588"/>
      <c r="S112" s="4803"/>
      <c r="T112" s="6588"/>
      <c r="U112" s="4803"/>
      <c r="V112" s="6588"/>
      <c r="W112" s="4803"/>
      <c r="X112" s="6588"/>
      <c r="Y112" s="4803"/>
      <c r="Z112" s="6588"/>
      <c r="AA112" s="4803"/>
      <c r="AB112" s="6588"/>
      <c r="AC112" s="4803"/>
      <c r="AD112" s="6588"/>
      <c r="AE112" s="4803"/>
      <c r="AF112" s="6588"/>
      <c r="AG112" s="6673"/>
      <c r="AH112" s="6674"/>
      <c r="AI112" s="6675"/>
      <c r="AJ112" s="7349"/>
      <c r="AK112" s="6667"/>
      <c r="AL112" s="6665"/>
      <c r="AM112" s="6665"/>
      <c r="AN112" s="6665"/>
      <c r="AO112" s="6665"/>
      <c r="AP112" s="6665"/>
      <c r="AQ112" s="6665"/>
      <c r="AR112" s="6665"/>
      <c r="AS112" s="6665"/>
      <c r="AT112" s="6665"/>
      <c r="AU112" s="6666"/>
      <c r="AV112" s="4657"/>
      <c r="AW112" s="4657"/>
      <c r="CZ112" s="4688">
        <v>0</v>
      </c>
      <c r="DB112" s="6209">
        <v>0</v>
      </c>
      <c r="DD112" s="6209">
        <v>0</v>
      </c>
    </row>
    <row r="113" spans="1:108" ht="16.350000000000001" customHeight="1" x14ac:dyDescent="0.2">
      <c r="A113" s="8635"/>
      <c r="B113" s="5646" t="s">
        <v>72</v>
      </c>
      <c r="C113" s="6679">
        <f t="shared" si="8"/>
        <v>0</v>
      </c>
      <c r="D113" s="6680">
        <f t="shared" si="9"/>
        <v>0</v>
      </c>
      <c r="E113" s="5443">
        <f t="shared" si="10"/>
        <v>0</v>
      </c>
      <c r="F113" s="4622"/>
      <c r="G113" s="4776"/>
      <c r="H113" s="4622"/>
      <c r="I113" s="4776"/>
      <c r="J113" s="4622"/>
      <c r="K113" s="4776"/>
      <c r="L113" s="4622"/>
      <c r="M113" s="4776"/>
      <c r="N113" s="4622"/>
      <c r="O113" s="4776"/>
      <c r="P113" s="4622"/>
      <c r="Q113" s="4776"/>
      <c r="R113" s="4622"/>
      <c r="S113" s="4776"/>
      <c r="T113" s="4622"/>
      <c r="U113" s="4776"/>
      <c r="V113" s="4622"/>
      <c r="W113" s="4776"/>
      <c r="X113" s="4622"/>
      <c r="Y113" s="4776"/>
      <c r="Z113" s="4622"/>
      <c r="AA113" s="4776"/>
      <c r="AB113" s="4622"/>
      <c r="AC113" s="4776"/>
      <c r="AD113" s="4622"/>
      <c r="AE113" s="4776"/>
      <c r="AF113" s="4622"/>
      <c r="AG113" s="5388"/>
      <c r="AH113" s="6681"/>
      <c r="AI113" s="4207"/>
      <c r="AJ113" s="7349"/>
      <c r="AK113" s="6682"/>
      <c r="AL113" s="6665"/>
      <c r="AM113" s="6665"/>
      <c r="AN113" s="6665"/>
      <c r="AO113" s="6665"/>
      <c r="AP113" s="6665"/>
      <c r="AQ113" s="6665"/>
      <c r="AR113" s="6665"/>
      <c r="AS113" s="6665"/>
      <c r="AT113" s="6665"/>
      <c r="AU113" s="6666"/>
      <c r="AV113" s="4657"/>
      <c r="AW113" s="4657"/>
      <c r="DB113" s="6209">
        <v>0</v>
      </c>
      <c r="DD113" s="6209">
        <v>0</v>
      </c>
    </row>
    <row r="114" spans="1:108" ht="15.75" customHeight="1" x14ac:dyDescent="0.2">
      <c r="A114" s="8635"/>
      <c r="B114" s="5646" t="s">
        <v>823</v>
      </c>
      <c r="C114" s="6679">
        <f t="shared" si="8"/>
        <v>0</v>
      </c>
      <c r="D114" s="6680">
        <f t="shared" si="9"/>
        <v>0</v>
      </c>
      <c r="E114" s="5443">
        <f t="shared" si="10"/>
        <v>0</v>
      </c>
      <c r="F114" s="4622"/>
      <c r="G114" s="4776"/>
      <c r="H114" s="4622"/>
      <c r="I114" s="4776"/>
      <c r="J114" s="4622"/>
      <c r="K114" s="4776"/>
      <c r="L114" s="4622"/>
      <c r="M114" s="4776"/>
      <c r="N114" s="4622"/>
      <c r="O114" s="4776"/>
      <c r="P114" s="4622"/>
      <c r="Q114" s="4776"/>
      <c r="R114" s="4622"/>
      <c r="S114" s="4776"/>
      <c r="T114" s="4622"/>
      <c r="U114" s="4776"/>
      <c r="V114" s="4622"/>
      <c r="W114" s="4776"/>
      <c r="X114" s="4622"/>
      <c r="Y114" s="4776"/>
      <c r="Z114" s="4622"/>
      <c r="AA114" s="4776"/>
      <c r="AB114" s="4622"/>
      <c r="AC114" s="4776"/>
      <c r="AD114" s="4622"/>
      <c r="AE114" s="4776"/>
      <c r="AF114" s="4622"/>
      <c r="AG114" s="5388"/>
      <c r="AH114" s="6681"/>
      <c r="AI114" s="4207"/>
      <c r="AJ114" s="7349"/>
      <c r="AK114" s="5516"/>
      <c r="AL114" s="5516"/>
      <c r="AM114" s="5516"/>
      <c r="AN114" s="6683"/>
      <c r="AO114" s="6683"/>
      <c r="AP114" s="6683"/>
      <c r="AQ114" s="6683"/>
      <c r="AR114" s="6683"/>
      <c r="AS114" s="6683"/>
      <c r="AT114" s="6683"/>
      <c r="AU114" s="6683"/>
      <c r="AV114" s="6683"/>
      <c r="AW114" s="6666"/>
      <c r="DB114" s="6209">
        <v>0</v>
      </c>
      <c r="DD114" s="6209">
        <v>0</v>
      </c>
    </row>
    <row r="115" spans="1:108" ht="24.6" customHeight="1" x14ac:dyDescent="0.2">
      <c r="A115" s="8635"/>
      <c r="B115" s="5581" t="s">
        <v>3400</v>
      </c>
      <c r="C115" s="6679">
        <f t="shared" si="8"/>
        <v>0</v>
      </c>
      <c r="D115" s="6680">
        <f t="shared" si="9"/>
        <v>0</v>
      </c>
      <c r="E115" s="5443">
        <f t="shared" si="10"/>
        <v>0</v>
      </c>
      <c r="F115" s="4622"/>
      <c r="G115" s="4776"/>
      <c r="H115" s="4622"/>
      <c r="I115" s="4776"/>
      <c r="J115" s="4622"/>
      <c r="K115" s="4776"/>
      <c r="L115" s="4622"/>
      <c r="M115" s="4776"/>
      <c r="N115" s="4622"/>
      <c r="O115" s="4776"/>
      <c r="P115" s="4622"/>
      <c r="Q115" s="4776"/>
      <c r="R115" s="4622"/>
      <c r="S115" s="4776"/>
      <c r="T115" s="4622"/>
      <c r="U115" s="4776"/>
      <c r="V115" s="4622"/>
      <c r="W115" s="4776"/>
      <c r="X115" s="4622"/>
      <c r="Y115" s="4776"/>
      <c r="Z115" s="4622"/>
      <c r="AA115" s="4776"/>
      <c r="AB115" s="4622"/>
      <c r="AC115" s="4776"/>
      <c r="AD115" s="4622"/>
      <c r="AE115" s="4776"/>
      <c r="AF115" s="4622"/>
      <c r="AG115" s="5388"/>
      <c r="AH115" s="6681"/>
      <c r="AI115" s="4207"/>
      <c r="AJ115" s="7349"/>
      <c r="AL115" s="6665"/>
      <c r="AM115" s="6665"/>
      <c r="AN115" s="6665"/>
      <c r="AO115" s="6665"/>
      <c r="AP115" s="6665"/>
      <c r="AQ115" s="6665"/>
      <c r="AR115" s="6665"/>
      <c r="AS115" s="6665"/>
      <c r="AT115" s="6665"/>
      <c r="AU115" s="6666"/>
      <c r="AV115" s="4657"/>
      <c r="AW115" s="4657"/>
      <c r="DB115" s="6209">
        <v>0</v>
      </c>
      <c r="DD115" s="6209">
        <v>0</v>
      </c>
    </row>
    <row r="116" spans="1:108" ht="25.5" customHeight="1" x14ac:dyDescent="0.2">
      <c r="A116" s="8677"/>
      <c r="B116" s="5581" t="s">
        <v>3401</v>
      </c>
      <c r="C116" s="6679">
        <f t="shared" si="8"/>
        <v>0</v>
      </c>
      <c r="D116" s="6680">
        <f t="shared" si="9"/>
        <v>0</v>
      </c>
      <c r="E116" s="5443">
        <f t="shared" si="10"/>
        <v>0</v>
      </c>
      <c r="F116" s="5559"/>
      <c r="G116" s="5560"/>
      <c r="H116" s="5559"/>
      <c r="I116" s="5560"/>
      <c r="J116" s="5559"/>
      <c r="K116" s="5560"/>
      <c r="L116" s="5559"/>
      <c r="M116" s="5560"/>
      <c r="N116" s="5559"/>
      <c r="O116" s="5560"/>
      <c r="P116" s="5559"/>
      <c r="Q116" s="5560"/>
      <c r="R116" s="5559"/>
      <c r="S116" s="5560"/>
      <c r="T116" s="5559"/>
      <c r="U116" s="5560"/>
      <c r="V116" s="5559"/>
      <c r="W116" s="5560"/>
      <c r="X116" s="5559"/>
      <c r="Y116" s="5560"/>
      <c r="Z116" s="5559"/>
      <c r="AA116" s="5560"/>
      <c r="AB116" s="5559"/>
      <c r="AC116" s="5560"/>
      <c r="AD116" s="5559"/>
      <c r="AE116" s="5560"/>
      <c r="AF116" s="5559"/>
      <c r="AG116" s="5457"/>
      <c r="AH116" s="5458"/>
      <c r="AI116" s="6684"/>
      <c r="AJ116" s="7349"/>
      <c r="AL116" s="6685"/>
      <c r="AM116" s="6685"/>
      <c r="AN116" s="6685"/>
      <c r="AO116" s="6685"/>
      <c r="AP116" s="6685"/>
      <c r="AQ116" s="6685"/>
      <c r="AR116" s="6685"/>
      <c r="AS116" s="6685"/>
      <c r="AT116" s="6685"/>
      <c r="AU116" s="6686"/>
      <c r="AV116" s="4657"/>
      <c r="AW116" s="4657"/>
      <c r="DB116" s="6209">
        <v>0</v>
      </c>
      <c r="DD116" s="6209">
        <v>0</v>
      </c>
    </row>
    <row r="117" spans="1:108" ht="25.5" customHeight="1" x14ac:dyDescent="0.2">
      <c r="A117" s="8750"/>
      <c r="B117" s="6687" t="s">
        <v>3711</v>
      </c>
      <c r="C117" s="6679">
        <f t="shared" si="8"/>
        <v>0</v>
      </c>
      <c r="D117" s="6680">
        <f t="shared" si="9"/>
        <v>0</v>
      </c>
      <c r="E117" s="5443">
        <f t="shared" si="10"/>
        <v>0</v>
      </c>
      <c r="F117" s="5559"/>
      <c r="G117" s="5341"/>
      <c r="H117" s="5559"/>
      <c r="I117" s="5341"/>
      <c r="J117" s="5559"/>
      <c r="K117" s="5341"/>
      <c r="L117" s="5559"/>
      <c r="M117" s="5341"/>
      <c r="N117" s="5559"/>
      <c r="O117" s="5341"/>
      <c r="P117" s="5559"/>
      <c r="Q117" s="5341"/>
      <c r="R117" s="5559"/>
      <c r="S117" s="5341"/>
      <c r="T117" s="5559"/>
      <c r="U117" s="5341"/>
      <c r="V117" s="5559"/>
      <c r="W117" s="5341"/>
      <c r="X117" s="5559"/>
      <c r="Y117" s="5341"/>
      <c r="Z117" s="5559"/>
      <c r="AA117" s="5341"/>
      <c r="AB117" s="5559"/>
      <c r="AC117" s="5341"/>
      <c r="AD117" s="5559"/>
      <c r="AE117" s="5341"/>
      <c r="AF117" s="5559"/>
      <c r="AG117" s="5457"/>
      <c r="AH117" s="5458"/>
      <c r="AI117" s="6684"/>
      <c r="AJ117" s="7349"/>
      <c r="AL117" s="6688"/>
      <c r="AM117" s="6688"/>
      <c r="AN117" s="6688"/>
      <c r="AO117" s="6688"/>
      <c r="AP117" s="6688"/>
      <c r="AQ117" s="6688"/>
      <c r="AR117" s="6688"/>
      <c r="AS117" s="6688"/>
      <c r="AT117" s="6688"/>
      <c r="AU117" s="6689"/>
      <c r="AV117" s="4657"/>
      <c r="AW117" s="4657"/>
      <c r="DB117" s="6209">
        <v>0</v>
      </c>
      <c r="DD117" s="6209">
        <v>0</v>
      </c>
    </row>
    <row r="118" spans="1:108" ht="16.350000000000001" customHeight="1" x14ac:dyDescent="0.2">
      <c r="A118" s="8662"/>
      <c r="B118" s="5685" t="s">
        <v>822</v>
      </c>
      <c r="C118" s="6690">
        <f t="shared" si="8"/>
        <v>0</v>
      </c>
      <c r="D118" s="6691">
        <f t="shared" si="9"/>
        <v>0</v>
      </c>
      <c r="E118" s="6692">
        <f t="shared" si="10"/>
        <v>0</v>
      </c>
      <c r="F118" s="6593"/>
      <c r="G118" s="4787"/>
      <c r="H118" s="6593"/>
      <c r="I118" s="4787"/>
      <c r="J118" s="6593"/>
      <c r="K118" s="4787"/>
      <c r="L118" s="6593"/>
      <c r="M118" s="4787"/>
      <c r="N118" s="6593"/>
      <c r="O118" s="4787"/>
      <c r="P118" s="6593"/>
      <c r="Q118" s="4787"/>
      <c r="R118" s="6593"/>
      <c r="S118" s="4787"/>
      <c r="T118" s="6593"/>
      <c r="U118" s="4787"/>
      <c r="V118" s="6593"/>
      <c r="W118" s="4787"/>
      <c r="X118" s="6593"/>
      <c r="Y118" s="4787"/>
      <c r="Z118" s="6593"/>
      <c r="AA118" s="4787"/>
      <c r="AB118" s="6593"/>
      <c r="AC118" s="4787"/>
      <c r="AD118" s="6593"/>
      <c r="AE118" s="4787"/>
      <c r="AF118" s="6593"/>
      <c r="AG118" s="5589"/>
      <c r="AH118" s="5591"/>
      <c r="AI118" s="4315"/>
      <c r="AJ118" s="7349"/>
      <c r="AL118" s="6665"/>
      <c r="AM118" s="6665"/>
      <c r="AN118" s="6665"/>
      <c r="AO118" s="6665"/>
      <c r="AP118" s="6665"/>
      <c r="AQ118" s="6665"/>
      <c r="AR118" s="6665"/>
      <c r="AS118" s="6665"/>
      <c r="AT118" s="6665"/>
      <c r="AU118" s="6666"/>
      <c r="AV118" s="4657"/>
      <c r="AW118" s="4657"/>
      <c r="DB118" s="6209">
        <v>0</v>
      </c>
      <c r="DD118" s="6209">
        <v>0</v>
      </c>
    </row>
    <row r="119" spans="1:108" ht="16.350000000000001" customHeight="1" x14ac:dyDescent="0.2">
      <c r="A119" s="8752" t="s">
        <v>2657</v>
      </c>
      <c r="B119" s="8752"/>
      <c r="C119" s="6528">
        <f t="shared" si="8"/>
        <v>0</v>
      </c>
      <c r="D119" s="6529">
        <f t="shared" si="9"/>
        <v>0</v>
      </c>
      <c r="E119" s="6672">
        <f t="shared" si="10"/>
        <v>0</v>
      </c>
      <c r="F119" s="7352"/>
      <c r="G119" s="7353"/>
      <c r="H119" s="7352"/>
      <c r="I119" s="7353"/>
      <c r="J119" s="7352"/>
      <c r="K119" s="7353"/>
      <c r="L119" s="7352"/>
      <c r="M119" s="7353"/>
      <c r="N119" s="7352"/>
      <c r="O119" s="7353"/>
      <c r="P119" s="7352"/>
      <c r="Q119" s="7353"/>
      <c r="R119" s="7352"/>
      <c r="S119" s="7353"/>
      <c r="T119" s="7352"/>
      <c r="U119" s="7353"/>
      <c r="V119" s="7352"/>
      <c r="W119" s="7353"/>
      <c r="X119" s="7352"/>
      <c r="Y119" s="7353"/>
      <c r="Z119" s="7352"/>
      <c r="AA119" s="7353"/>
      <c r="AB119" s="7352"/>
      <c r="AC119" s="7353"/>
      <c r="AD119" s="7352"/>
      <c r="AE119" s="7353"/>
      <c r="AF119" s="7352"/>
      <c r="AG119" s="7351"/>
      <c r="AH119" s="7354"/>
      <c r="AI119" s="7355"/>
      <c r="AJ119" s="7349"/>
      <c r="AL119" s="6685"/>
      <c r="AM119" s="6685"/>
      <c r="AN119" s="6685"/>
      <c r="AO119" s="6685"/>
      <c r="AP119" s="6685"/>
      <c r="AQ119" s="6685"/>
      <c r="AR119" s="6685"/>
      <c r="AS119" s="6685"/>
      <c r="AT119" s="6685"/>
      <c r="AU119" s="6686"/>
      <c r="AV119" s="4657"/>
      <c r="AW119" s="4657"/>
      <c r="DB119" s="6209">
        <v>0</v>
      </c>
      <c r="DD119" s="6209">
        <v>0</v>
      </c>
    </row>
    <row r="120" spans="1:108" ht="23.25" customHeight="1" x14ac:dyDescent="0.2">
      <c r="A120" s="6615" t="s">
        <v>827</v>
      </c>
      <c r="B120" s="6615"/>
      <c r="AL120" s="6665"/>
      <c r="AM120" s="6665"/>
      <c r="AN120" s="6665"/>
      <c r="AO120" s="6665"/>
      <c r="AP120" s="6665"/>
      <c r="AQ120" s="6665"/>
      <c r="AR120" s="6665"/>
      <c r="AS120" s="6665"/>
      <c r="AT120" s="6665"/>
      <c r="AU120" s="6666"/>
      <c r="AV120" s="4657"/>
      <c r="AW120" s="4657"/>
    </row>
    <row r="121" spans="1:108" ht="16.350000000000001" customHeight="1" x14ac:dyDescent="0.2">
      <c r="A121" s="8663" t="s">
        <v>31</v>
      </c>
      <c r="B121" s="8664"/>
      <c r="C121" s="8652" t="s">
        <v>24</v>
      </c>
      <c r="D121" s="8652"/>
      <c r="E121" s="8652"/>
      <c r="F121" s="8845" t="s">
        <v>73</v>
      </c>
      <c r="G121" s="8846"/>
      <c r="H121" s="8846"/>
      <c r="I121" s="8846"/>
      <c r="J121" s="8846"/>
      <c r="K121" s="8846"/>
      <c r="L121" s="8846"/>
      <c r="M121" s="8846"/>
      <c r="N121" s="8846"/>
      <c r="O121" s="8846"/>
      <c r="P121" s="8846"/>
      <c r="Q121" s="8846"/>
      <c r="R121" s="8846"/>
      <c r="S121" s="8846"/>
      <c r="T121" s="8846"/>
      <c r="U121" s="8846"/>
      <c r="V121" s="8846"/>
      <c r="W121" s="8846"/>
      <c r="X121" s="8846"/>
      <c r="Y121" s="8846"/>
      <c r="Z121" s="8846"/>
      <c r="AA121" s="8846"/>
      <c r="AB121" s="8846"/>
      <c r="AC121" s="8846"/>
      <c r="AD121" s="8846"/>
      <c r="AE121" s="8846"/>
      <c r="AF121" s="8846"/>
      <c r="AG121" s="8847"/>
      <c r="AH121" s="8945" t="s">
        <v>812</v>
      </c>
      <c r="AI121" s="8946"/>
      <c r="AJ121" s="8946"/>
      <c r="AK121" s="8947"/>
      <c r="AL121" s="8928" t="s">
        <v>360</v>
      </c>
      <c r="AM121" s="8917" t="s">
        <v>359</v>
      </c>
      <c r="AN121" s="4684"/>
      <c r="AO121" s="4684"/>
      <c r="AP121" s="4684"/>
      <c r="AQ121" s="4684"/>
      <c r="AR121" s="4684"/>
      <c r="AS121" s="4684"/>
      <c r="AT121" s="4684"/>
      <c r="AU121" s="4684"/>
      <c r="AV121" s="4684"/>
      <c r="AW121" s="4657"/>
    </row>
    <row r="122" spans="1:108" ht="16.350000000000001" customHeight="1" x14ac:dyDescent="0.2">
      <c r="A122" s="8695"/>
      <c r="B122" s="8689"/>
      <c r="C122" s="8703"/>
      <c r="D122" s="8703"/>
      <c r="E122" s="8703"/>
      <c r="F122" s="8709" t="s">
        <v>80</v>
      </c>
      <c r="G122" s="8709"/>
      <c r="H122" s="8709" t="s">
        <v>81</v>
      </c>
      <c r="I122" s="8709"/>
      <c r="J122" s="8709" t="s">
        <v>115</v>
      </c>
      <c r="K122" s="8709"/>
      <c r="L122" s="8709" t="s">
        <v>116</v>
      </c>
      <c r="M122" s="8709"/>
      <c r="N122" s="8709" t="s">
        <v>117</v>
      </c>
      <c r="O122" s="8709"/>
      <c r="P122" s="8709" t="s">
        <v>118</v>
      </c>
      <c r="Q122" s="8709"/>
      <c r="R122" s="8709" t="s">
        <v>119</v>
      </c>
      <c r="S122" s="8709"/>
      <c r="T122" s="8709" t="s">
        <v>120</v>
      </c>
      <c r="U122" s="8709"/>
      <c r="V122" s="8709" t="s">
        <v>1412</v>
      </c>
      <c r="W122" s="8709"/>
      <c r="X122" s="8709" t="s">
        <v>1404</v>
      </c>
      <c r="Y122" s="8709"/>
      <c r="Z122" s="8630" t="s">
        <v>1395</v>
      </c>
      <c r="AA122" s="8631"/>
      <c r="AB122" s="8630" t="s">
        <v>1394</v>
      </c>
      <c r="AC122" s="8631"/>
      <c r="AD122" s="8630" t="s">
        <v>1393</v>
      </c>
      <c r="AE122" s="8631"/>
      <c r="AF122" s="8630" t="s">
        <v>1403</v>
      </c>
      <c r="AG122" s="8633"/>
      <c r="AH122" s="8679" t="s">
        <v>784</v>
      </c>
      <c r="AI122" s="8704" t="s">
        <v>782</v>
      </c>
      <c r="AJ122" s="8704" t="s">
        <v>783</v>
      </c>
      <c r="AK122" s="8852" t="s">
        <v>2568</v>
      </c>
      <c r="AL122" s="8929"/>
      <c r="AM122" s="8918"/>
      <c r="AN122" s="4683"/>
      <c r="AO122" s="4684"/>
      <c r="AP122" s="4684"/>
      <c r="AQ122" s="4684"/>
      <c r="AR122" s="4684"/>
      <c r="AS122" s="4684"/>
      <c r="AT122" s="4684"/>
      <c r="AU122" s="4684"/>
      <c r="AV122" s="4684"/>
      <c r="AW122" s="4657"/>
    </row>
    <row r="123" spans="1:108" ht="33" customHeight="1" x14ac:dyDescent="0.2">
      <c r="A123" s="8665"/>
      <c r="B123" s="8666"/>
      <c r="C123" s="6494" t="s">
        <v>42</v>
      </c>
      <c r="D123" s="5620" t="s">
        <v>17</v>
      </c>
      <c r="E123" s="6629" t="s">
        <v>18</v>
      </c>
      <c r="F123" s="6149" t="s">
        <v>17</v>
      </c>
      <c r="G123" s="5621" t="s">
        <v>18</v>
      </c>
      <c r="H123" s="6149" t="s">
        <v>17</v>
      </c>
      <c r="I123" s="5621" t="s">
        <v>18</v>
      </c>
      <c r="J123" s="6149" t="s">
        <v>17</v>
      </c>
      <c r="K123" s="5621" t="s">
        <v>18</v>
      </c>
      <c r="L123" s="6149" t="s">
        <v>17</v>
      </c>
      <c r="M123" s="5621" t="s">
        <v>18</v>
      </c>
      <c r="N123" s="6149" t="s">
        <v>17</v>
      </c>
      <c r="O123" s="5621" t="s">
        <v>18</v>
      </c>
      <c r="P123" s="6149" t="s">
        <v>17</v>
      </c>
      <c r="Q123" s="5621" t="s">
        <v>18</v>
      </c>
      <c r="R123" s="6149" t="s">
        <v>17</v>
      </c>
      <c r="S123" s="5621" t="s">
        <v>18</v>
      </c>
      <c r="T123" s="6149" t="s">
        <v>17</v>
      </c>
      <c r="U123" s="5621" t="s">
        <v>18</v>
      </c>
      <c r="V123" s="6149" t="s">
        <v>17</v>
      </c>
      <c r="W123" s="5621" t="s">
        <v>18</v>
      </c>
      <c r="X123" s="6149" t="s">
        <v>17</v>
      </c>
      <c r="Y123" s="5621" t="s">
        <v>18</v>
      </c>
      <c r="Z123" s="6149" t="s">
        <v>17</v>
      </c>
      <c r="AA123" s="5621" t="s">
        <v>18</v>
      </c>
      <c r="AB123" s="6149" t="s">
        <v>17</v>
      </c>
      <c r="AC123" s="5621" t="s">
        <v>18</v>
      </c>
      <c r="AD123" s="6149" t="s">
        <v>17</v>
      </c>
      <c r="AE123" s="5621" t="s">
        <v>18</v>
      </c>
      <c r="AF123" s="6149" t="s">
        <v>17</v>
      </c>
      <c r="AG123" s="4935" t="s">
        <v>18</v>
      </c>
      <c r="AH123" s="8844"/>
      <c r="AI123" s="8705"/>
      <c r="AJ123" s="8705"/>
      <c r="AK123" s="8853"/>
      <c r="AL123" s="8930"/>
      <c r="AM123" s="8919"/>
      <c r="AN123" s="4684"/>
      <c r="AO123" s="4684"/>
      <c r="AP123" s="4684"/>
      <c r="AQ123" s="4684"/>
      <c r="AR123" s="4684"/>
      <c r="AS123" s="4684"/>
      <c r="AT123" s="4684"/>
      <c r="AU123" s="4684"/>
      <c r="AV123" s="4684"/>
      <c r="AW123" s="4657"/>
    </row>
    <row r="124" spans="1:108" ht="16.350000000000001" customHeight="1" x14ac:dyDescent="0.2">
      <c r="A124" s="8745" t="s">
        <v>826</v>
      </c>
      <c r="B124" s="8746"/>
      <c r="C124" s="6528">
        <f>SUM(D124:E124)</f>
        <v>0</v>
      </c>
      <c r="D124" s="6529">
        <f>SUM(F124+H124+J124+L124+N124+P124+R124+T124+V124+X124+Z124+AB124+AD124+AF124)</f>
        <v>0</v>
      </c>
      <c r="E124" s="6672">
        <f>SUM(G124+I124+K124+M124+O124+Q124+S124+U124+W124+Y124+AA124+AC124+AE124+AG124)</f>
        <v>0</v>
      </c>
      <c r="F124" s="6499"/>
      <c r="G124" s="6537"/>
      <c r="H124" s="6499"/>
      <c r="I124" s="6537"/>
      <c r="J124" s="6499"/>
      <c r="K124" s="6537"/>
      <c r="L124" s="6499"/>
      <c r="M124" s="6537"/>
      <c r="N124" s="6499"/>
      <c r="O124" s="6537"/>
      <c r="P124" s="6499"/>
      <c r="Q124" s="6537"/>
      <c r="R124" s="6499"/>
      <c r="S124" s="6537"/>
      <c r="T124" s="6499"/>
      <c r="U124" s="6537"/>
      <c r="V124" s="6499"/>
      <c r="W124" s="6537"/>
      <c r="X124" s="6499"/>
      <c r="Y124" s="6537"/>
      <c r="Z124" s="6499"/>
      <c r="AA124" s="6537"/>
      <c r="AB124" s="6499"/>
      <c r="AC124" s="6537"/>
      <c r="AD124" s="6499"/>
      <c r="AE124" s="6537"/>
      <c r="AF124" s="6499"/>
      <c r="AG124" s="6648"/>
      <c r="AH124" s="4801"/>
      <c r="AI124" s="6693"/>
      <c r="AJ124" s="6693"/>
      <c r="AK124" s="4802"/>
      <c r="AL124" s="4803"/>
      <c r="AM124" s="6638"/>
      <c r="AN124" s="7349"/>
      <c r="AO124" s="4684"/>
      <c r="AP124" s="4684"/>
      <c r="AQ124" s="4684"/>
      <c r="AR124" s="4684"/>
      <c r="AS124" s="4684"/>
      <c r="AT124" s="4684"/>
      <c r="AU124" s="4684"/>
      <c r="AV124" s="4684"/>
      <c r="AW124" s="4657"/>
      <c r="DB124" s="6209">
        <v>0</v>
      </c>
      <c r="DC124" s="6209">
        <v>0</v>
      </c>
      <c r="DD124" s="6209">
        <v>0</v>
      </c>
    </row>
    <row r="125" spans="1:108" ht="25.35" customHeight="1" x14ac:dyDescent="0.2">
      <c r="A125" s="8661" t="s">
        <v>825</v>
      </c>
      <c r="B125" s="6532" t="s">
        <v>824</v>
      </c>
      <c r="C125" s="6676">
        <f t="shared" ref="C125:C131" si="11">SUM(D125:E125)</f>
        <v>0</v>
      </c>
      <c r="D125" s="6677">
        <f t="shared" ref="D125:D131" si="12">SUM(F125+H125+J125+L125+N125+P125+R125+T125+V125+X125+Z125+AB125+AD125+AF125)</f>
        <v>0</v>
      </c>
      <c r="E125" s="6678">
        <f t="shared" ref="E125:E131" si="13">SUM(G125+I125+K125+M125+O125+Q125+S125+U125+W125+Y125+AA125+AC125+AE125+AG125)</f>
        <v>0</v>
      </c>
      <c r="F125" s="6499"/>
      <c r="G125" s="6537"/>
      <c r="H125" s="6499"/>
      <c r="I125" s="6537"/>
      <c r="J125" s="6499"/>
      <c r="K125" s="6537"/>
      <c r="L125" s="6499"/>
      <c r="M125" s="6537"/>
      <c r="N125" s="6499"/>
      <c r="O125" s="6537"/>
      <c r="P125" s="6499"/>
      <c r="Q125" s="6537"/>
      <c r="R125" s="6499"/>
      <c r="S125" s="6537"/>
      <c r="T125" s="6499"/>
      <c r="U125" s="6537"/>
      <c r="V125" s="6499"/>
      <c r="W125" s="6537"/>
      <c r="X125" s="6499"/>
      <c r="Y125" s="6537"/>
      <c r="Z125" s="6499"/>
      <c r="AA125" s="6537"/>
      <c r="AB125" s="6499"/>
      <c r="AC125" s="6537"/>
      <c r="AD125" s="6499"/>
      <c r="AE125" s="6537"/>
      <c r="AF125" s="6499"/>
      <c r="AG125" s="6648"/>
      <c r="AH125" s="4801"/>
      <c r="AI125" s="6693"/>
      <c r="AJ125" s="6693"/>
      <c r="AK125" s="4802"/>
      <c r="AL125" s="4803"/>
      <c r="AM125" s="6638"/>
      <c r="AN125" s="7349"/>
      <c r="AO125" s="4684"/>
      <c r="AP125" s="4684"/>
      <c r="AQ125" s="4684"/>
      <c r="AR125" s="4684"/>
      <c r="AS125" s="4684"/>
      <c r="AT125" s="4684"/>
      <c r="AU125" s="4684"/>
      <c r="AV125" s="4684"/>
      <c r="AW125" s="4657"/>
      <c r="DB125" s="6209">
        <v>0</v>
      </c>
      <c r="DC125" s="6209">
        <v>0</v>
      </c>
      <c r="DD125" s="6209">
        <v>0</v>
      </c>
    </row>
    <row r="126" spans="1:108" ht="16.350000000000001" customHeight="1" x14ac:dyDescent="0.2">
      <c r="A126" s="8635"/>
      <c r="B126" s="5646" t="s">
        <v>72</v>
      </c>
      <c r="C126" s="6679">
        <f t="shared" si="11"/>
        <v>0</v>
      </c>
      <c r="D126" s="6680">
        <f t="shared" si="12"/>
        <v>0</v>
      </c>
      <c r="E126" s="5443">
        <f t="shared" si="13"/>
        <v>0</v>
      </c>
      <c r="F126" s="4778"/>
      <c r="G126" s="5582"/>
      <c r="H126" s="4778"/>
      <c r="I126" s="5582"/>
      <c r="J126" s="4778"/>
      <c r="K126" s="5582"/>
      <c r="L126" s="4778"/>
      <c r="M126" s="5582"/>
      <c r="N126" s="4778"/>
      <c r="O126" s="5582"/>
      <c r="P126" s="4778"/>
      <c r="Q126" s="5582"/>
      <c r="R126" s="4778"/>
      <c r="S126" s="5582"/>
      <c r="T126" s="4778"/>
      <c r="U126" s="5582"/>
      <c r="V126" s="4778"/>
      <c r="W126" s="5582"/>
      <c r="X126" s="4778"/>
      <c r="Y126" s="5582"/>
      <c r="Z126" s="4778"/>
      <c r="AA126" s="5582"/>
      <c r="AB126" s="4778"/>
      <c r="AC126" s="5582"/>
      <c r="AD126" s="4778"/>
      <c r="AE126" s="5582"/>
      <c r="AF126" s="4778"/>
      <c r="AG126" s="6650"/>
      <c r="AH126" s="4774"/>
      <c r="AI126" s="6694"/>
      <c r="AJ126" s="6694"/>
      <c r="AK126" s="4775"/>
      <c r="AL126" s="4776"/>
      <c r="AM126" s="4869"/>
      <c r="AN126" s="7349"/>
      <c r="AO126" s="4684"/>
      <c r="AP126" s="4684"/>
      <c r="AQ126" s="4684"/>
      <c r="AR126" s="4684"/>
      <c r="AS126" s="4684"/>
      <c r="AT126" s="4684"/>
      <c r="AU126" s="4684"/>
      <c r="AV126" s="4684"/>
      <c r="AW126" s="4657"/>
      <c r="DB126" s="6209">
        <v>0</v>
      </c>
      <c r="DC126" s="6209">
        <v>0</v>
      </c>
      <c r="DD126" s="6209">
        <v>0</v>
      </c>
    </row>
    <row r="127" spans="1:108" ht="18.75" customHeight="1" x14ac:dyDescent="0.2">
      <c r="A127" s="8635"/>
      <c r="B127" s="5646" t="s">
        <v>823</v>
      </c>
      <c r="C127" s="6679">
        <f t="shared" si="11"/>
        <v>0</v>
      </c>
      <c r="D127" s="6680">
        <f t="shared" si="12"/>
        <v>0</v>
      </c>
      <c r="E127" s="5443">
        <f t="shared" si="13"/>
        <v>0</v>
      </c>
      <c r="F127" s="4778"/>
      <c r="G127" s="5582"/>
      <c r="H127" s="4778"/>
      <c r="I127" s="5582"/>
      <c r="J127" s="4778"/>
      <c r="K127" s="5582"/>
      <c r="L127" s="4778"/>
      <c r="M127" s="5582"/>
      <c r="N127" s="4778"/>
      <c r="O127" s="5582"/>
      <c r="P127" s="4778"/>
      <c r="Q127" s="5582"/>
      <c r="R127" s="4778"/>
      <c r="S127" s="5582"/>
      <c r="T127" s="4778"/>
      <c r="U127" s="5582"/>
      <c r="V127" s="4778"/>
      <c r="W127" s="5582"/>
      <c r="X127" s="4778"/>
      <c r="Y127" s="5582"/>
      <c r="Z127" s="4778"/>
      <c r="AA127" s="5582"/>
      <c r="AB127" s="4778"/>
      <c r="AC127" s="5582"/>
      <c r="AD127" s="4778"/>
      <c r="AE127" s="5582"/>
      <c r="AF127" s="4778"/>
      <c r="AG127" s="6650"/>
      <c r="AH127" s="4774"/>
      <c r="AI127" s="6694"/>
      <c r="AJ127" s="6694"/>
      <c r="AK127" s="4775"/>
      <c r="AL127" s="4776"/>
      <c r="AM127" s="4869"/>
      <c r="AN127" s="7349"/>
      <c r="AO127" s="6683"/>
      <c r="AP127" s="6683"/>
      <c r="AQ127" s="6683"/>
      <c r="AR127" s="6683"/>
      <c r="AS127" s="6683"/>
      <c r="AT127" s="6683"/>
      <c r="AU127" s="6695"/>
      <c r="AV127" s="6695"/>
      <c r="AW127" s="4657"/>
      <c r="DB127" s="6209">
        <v>0</v>
      </c>
      <c r="DC127" s="6209">
        <v>0</v>
      </c>
      <c r="DD127" s="6209">
        <v>0</v>
      </c>
    </row>
    <row r="128" spans="1:108" ht="21.6" customHeight="1" x14ac:dyDescent="0.2">
      <c r="A128" s="8635"/>
      <c r="B128" s="5581" t="s">
        <v>3400</v>
      </c>
      <c r="C128" s="6679">
        <f t="shared" si="11"/>
        <v>0</v>
      </c>
      <c r="D128" s="6680">
        <f t="shared" si="12"/>
        <v>0</v>
      </c>
      <c r="E128" s="5443">
        <f t="shared" si="13"/>
        <v>0</v>
      </c>
      <c r="F128" s="4778"/>
      <c r="G128" s="5582"/>
      <c r="H128" s="4778"/>
      <c r="I128" s="5582"/>
      <c r="J128" s="4778"/>
      <c r="K128" s="5582"/>
      <c r="L128" s="4778"/>
      <c r="M128" s="5582"/>
      <c r="N128" s="4778"/>
      <c r="O128" s="5582"/>
      <c r="P128" s="4778"/>
      <c r="Q128" s="5582"/>
      <c r="R128" s="4778"/>
      <c r="S128" s="5582"/>
      <c r="T128" s="4778"/>
      <c r="U128" s="5582"/>
      <c r="V128" s="4778"/>
      <c r="W128" s="5582"/>
      <c r="X128" s="4778"/>
      <c r="Y128" s="5582"/>
      <c r="Z128" s="4778"/>
      <c r="AA128" s="5582"/>
      <c r="AB128" s="4778"/>
      <c r="AC128" s="5582"/>
      <c r="AD128" s="4778"/>
      <c r="AE128" s="5582"/>
      <c r="AF128" s="4778"/>
      <c r="AG128" s="6650"/>
      <c r="AH128" s="4774"/>
      <c r="AI128" s="6694"/>
      <c r="AJ128" s="6694"/>
      <c r="AK128" s="5562"/>
      <c r="AL128" s="4210"/>
      <c r="AM128" s="4869"/>
      <c r="AN128" s="7349"/>
      <c r="AO128" s="6683"/>
      <c r="AP128" s="6683"/>
      <c r="AQ128" s="6683"/>
      <c r="AR128" s="6696"/>
      <c r="AS128" s="6683"/>
      <c r="AT128" s="6683"/>
      <c r="AU128" s="6697"/>
      <c r="AV128" s="4657"/>
      <c r="AW128" s="4657"/>
      <c r="DB128" s="6209">
        <v>0</v>
      </c>
      <c r="DC128" s="6209">
        <v>0</v>
      </c>
      <c r="DD128" s="6209">
        <v>0</v>
      </c>
    </row>
    <row r="129" spans="1:108" ht="25.5" customHeight="1" x14ac:dyDescent="0.2">
      <c r="A129" s="8677"/>
      <c r="B129" s="5581" t="s">
        <v>3401</v>
      </c>
      <c r="C129" s="6679">
        <f t="shared" si="11"/>
        <v>0</v>
      </c>
      <c r="D129" s="6680">
        <f t="shared" si="12"/>
        <v>0</v>
      </c>
      <c r="E129" s="5443">
        <f t="shared" si="13"/>
        <v>0</v>
      </c>
      <c r="F129" s="5559"/>
      <c r="G129" s="5560"/>
      <c r="H129" s="5559"/>
      <c r="I129" s="5560"/>
      <c r="J129" s="5559"/>
      <c r="K129" s="5560"/>
      <c r="L129" s="5559"/>
      <c r="M129" s="5560"/>
      <c r="N129" s="5559"/>
      <c r="O129" s="5560"/>
      <c r="P129" s="5559"/>
      <c r="Q129" s="5560"/>
      <c r="R129" s="5559"/>
      <c r="S129" s="5560"/>
      <c r="T129" s="5559"/>
      <c r="U129" s="5560"/>
      <c r="V129" s="5559"/>
      <c r="W129" s="5560"/>
      <c r="X129" s="5559"/>
      <c r="Y129" s="5560"/>
      <c r="Z129" s="5559"/>
      <c r="AA129" s="5560"/>
      <c r="AB129" s="5559"/>
      <c r="AC129" s="5560"/>
      <c r="AD129" s="5559"/>
      <c r="AE129" s="5560"/>
      <c r="AF129" s="5559"/>
      <c r="AG129" s="5523"/>
      <c r="AH129" s="6698"/>
      <c r="AI129" s="6485"/>
      <c r="AJ129" s="6485"/>
      <c r="AK129" s="5523"/>
      <c r="AL129" s="5560"/>
      <c r="AM129" s="6485"/>
      <c r="AN129" s="7349"/>
      <c r="AO129" s="6699"/>
      <c r="AP129" s="6699"/>
      <c r="AQ129" s="6699"/>
      <c r="AR129" s="6700"/>
      <c r="AS129" s="6699"/>
      <c r="AT129" s="6699"/>
      <c r="AU129" s="6701"/>
      <c r="AV129" s="4657"/>
      <c r="AW129" s="4657"/>
      <c r="DB129" s="6209">
        <v>0</v>
      </c>
      <c r="DC129" s="6209">
        <v>0</v>
      </c>
      <c r="DD129" s="6209">
        <v>0</v>
      </c>
    </row>
    <row r="130" spans="1:108" ht="25.5" customHeight="1" x14ac:dyDescent="0.2">
      <c r="A130" s="8750"/>
      <c r="B130" s="6687" t="s">
        <v>3711</v>
      </c>
      <c r="C130" s="6679">
        <f t="shared" si="11"/>
        <v>0</v>
      </c>
      <c r="D130" s="6680">
        <f t="shared" si="12"/>
        <v>0</v>
      </c>
      <c r="E130" s="5443">
        <f t="shared" si="13"/>
        <v>0</v>
      </c>
      <c r="F130" s="5559"/>
      <c r="G130" s="5341"/>
      <c r="H130" s="5559"/>
      <c r="I130" s="5341"/>
      <c r="J130" s="5559"/>
      <c r="K130" s="5341"/>
      <c r="L130" s="5559"/>
      <c r="M130" s="5341"/>
      <c r="N130" s="5559"/>
      <c r="O130" s="5341"/>
      <c r="P130" s="5559"/>
      <c r="Q130" s="5341"/>
      <c r="R130" s="5559"/>
      <c r="S130" s="5341"/>
      <c r="T130" s="5559"/>
      <c r="U130" s="5341"/>
      <c r="V130" s="5559"/>
      <c r="W130" s="5341"/>
      <c r="X130" s="5559"/>
      <c r="Y130" s="5341"/>
      <c r="Z130" s="5559"/>
      <c r="AA130" s="5341"/>
      <c r="AB130" s="5559"/>
      <c r="AC130" s="5341"/>
      <c r="AD130" s="5559"/>
      <c r="AE130" s="5341"/>
      <c r="AF130" s="5559"/>
      <c r="AG130" s="5523"/>
      <c r="AH130" s="6698"/>
      <c r="AI130" s="6485"/>
      <c r="AJ130" s="6485"/>
      <c r="AK130" s="5523"/>
      <c r="AL130" s="5341"/>
      <c r="AM130" s="6485"/>
      <c r="AN130" s="7349"/>
      <c r="AO130" s="6702"/>
      <c r="AP130" s="6702"/>
      <c r="AQ130" s="6702"/>
      <c r="AR130" s="6703"/>
      <c r="AS130" s="6702"/>
      <c r="AT130" s="6702"/>
      <c r="AU130" s="6704"/>
      <c r="AV130" s="4657"/>
      <c r="AW130" s="4657"/>
      <c r="DB130" s="6209">
        <v>0</v>
      </c>
      <c r="DC130" s="6209">
        <v>0</v>
      </c>
      <c r="DD130" s="6209">
        <v>0</v>
      </c>
    </row>
    <row r="131" spans="1:108" ht="16.350000000000001" customHeight="1" x14ac:dyDescent="0.2">
      <c r="A131" s="8662"/>
      <c r="B131" s="5685" t="s">
        <v>822</v>
      </c>
      <c r="C131" s="7023">
        <f t="shared" si="11"/>
        <v>0</v>
      </c>
      <c r="D131" s="7024">
        <f t="shared" si="12"/>
        <v>0</v>
      </c>
      <c r="E131" s="7222">
        <f t="shared" si="13"/>
        <v>0</v>
      </c>
      <c r="F131" s="4796"/>
      <c r="G131" s="4888"/>
      <c r="H131" s="4796"/>
      <c r="I131" s="4888"/>
      <c r="J131" s="4796"/>
      <c r="K131" s="4888"/>
      <c r="L131" s="4796"/>
      <c r="M131" s="4888"/>
      <c r="N131" s="4796"/>
      <c r="O131" s="4888"/>
      <c r="P131" s="4796"/>
      <c r="Q131" s="4888"/>
      <c r="R131" s="4796"/>
      <c r="S131" s="4888"/>
      <c r="T131" s="4796"/>
      <c r="U131" s="4888"/>
      <c r="V131" s="4796"/>
      <c r="W131" s="4888"/>
      <c r="X131" s="4796"/>
      <c r="Y131" s="4888"/>
      <c r="Z131" s="4796"/>
      <c r="AA131" s="4888"/>
      <c r="AB131" s="4796"/>
      <c r="AC131" s="4888"/>
      <c r="AD131" s="4796"/>
      <c r="AE131" s="4888"/>
      <c r="AF131" s="4796"/>
      <c r="AG131" s="6654"/>
      <c r="AH131" s="4785"/>
      <c r="AI131" s="6705"/>
      <c r="AJ131" s="5596"/>
      <c r="AK131" s="6706"/>
      <c r="AL131" s="4787"/>
      <c r="AM131" s="5596"/>
      <c r="AN131" s="7349"/>
      <c r="AO131" s="6665"/>
      <c r="AP131" s="6665"/>
      <c r="AQ131" s="6665"/>
      <c r="AR131" s="6707"/>
      <c r="AS131" s="6665"/>
      <c r="AT131" s="6665"/>
      <c r="AU131" s="6697"/>
      <c r="AV131" s="4657"/>
      <c r="AW131" s="4657"/>
      <c r="DB131" s="6209">
        <v>0</v>
      </c>
      <c r="DC131" s="6209">
        <v>0</v>
      </c>
      <c r="DD131" s="6209">
        <v>0</v>
      </c>
    </row>
    <row r="132" spans="1:108" ht="27" customHeight="1" x14ac:dyDescent="0.2">
      <c r="A132" s="6615" t="s">
        <v>3923</v>
      </c>
      <c r="B132" s="6615"/>
      <c r="AK132" s="4627"/>
      <c r="AL132" s="4627"/>
      <c r="AM132" s="4627"/>
      <c r="AN132" s="4627"/>
      <c r="AO132" s="4627"/>
      <c r="AP132" s="4627"/>
      <c r="AQ132" s="4627"/>
      <c r="AR132" s="4627"/>
      <c r="AS132" s="6665"/>
      <c r="AT132" s="6665"/>
      <c r="AU132" s="6697"/>
      <c r="AV132" s="4657"/>
      <c r="AW132" s="4657"/>
      <c r="DC132" s="6209">
        <v>0</v>
      </c>
    </row>
    <row r="133" spans="1:108" ht="16.350000000000001" customHeight="1" x14ac:dyDescent="0.2">
      <c r="A133" s="8663" t="s">
        <v>31</v>
      </c>
      <c r="B133" s="8664"/>
      <c r="C133" s="8739" t="s">
        <v>24</v>
      </c>
      <c r="D133" s="8740"/>
      <c r="E133" s="8741"/>
      <c r="F133" s="8685" t="s">
        <v>29</v>
      </c>
      <c r="G133" s="8686"/>
      <c r="H133" s="8686"/>
      <c r="I133" s="8686"/>
      <c r="J133" s="8686"/>
      <c r="K133" s="8686"/>
      <c r="L133" s="8686"/>
      <c r="M133" s="8686"/>
      <c r="N133" s="8686"/>
      <c r="O133" s="8686"/>
      <c r="P133" s="8686"/>
      <c r="Q133" s="8686"/>
      <c r="R133" s="8686"/>
      <c r="S133" s="8686"/>
      <c r="T133" s="8686"/>
      <c r="U133" s="8686"/>
      <c r="V133" s="8686"/>
      <c r="W133" s="8686"/>
      <c r="X133" s="8686"/>
      <c r="Y133" s="8686"/>
      <c r="Z133" s="8686"/>
      <c r="AA133" s="8686"/>
      <c r="AB133" s="8686"/>
      <c r="AC133" s="8686"/>
      <c r="AD133" s="8686"/>
      <c r="AE133" s="8686"/>
      <c r="AF133" s="8686"/>
      <c r="AG133" s="8686"/>
      <c r="AH133" s="8686"/>
      <c r="AI133" s="8686"/>
      <c r="AJ133" s="8686"/>
      <c r="AK133" s="8686"/>
      <c r="AL133" s="8686"/>
      <c r="AM133" s="8687"/>
      <c r="AN133" s="8849" t="s">
        <v>812</v>
      </c>
      <c r="AO133" s="8850"/>
      <c r="AP133" s="8851"/>
      <c r="AQ133" s="8727" t="s">
        <v>360</v>
      </c>
      <c r="AR133" s="8724" t="s">
        <v>359</v>
      </c>
      <c r="AS133" s="4627"/>
      <c r="AT133" s="4627"/>
      <c r="AU133" s="4627"/>
      <c r="AV133" s="4627"/>
      <c r="AW133" s="4627"/>
      <c r="AX133" s="4302"/>
      <c r="AY133" s="6497"/>
      <c r="AZ133" s="6497"/>
      <c r="BA133" s="6697"/>
      <c r="BB133" s="4657"/>
      <c r="BC133" s="4657"/>
      <c r="BD133" s="4657"/>
      <c r="BE133" s="4657"/>
    </row>
    <row r="134" spans="1:108" ht="16.350000000000001" customHeight="1" x14ac:dyDescent="0.2">
      <c r="A134" s="8695"/>
      <c r="B134" s="8689"/>
      <c r="C134" s="8695"/>
      <c r="D134" s="8748"/>
      <c r="E134" s="8749"/>
      <c r="F134" s="8630" t="s">
        <v>3449</v>
      </c>
      <c r="G134" s="8631"/>
      <c r="H134" s="8630" t="s">
        <v>3450</v>
      </c>
      <c r="I134" s="8631"/>
      <c r="J134" s="8630" t="s">
        <v>3451</v>
      </c>
      <c r="K134" s="8631"/>
      <c r="L134" s="8630" t="s">
        <v>33</v>
      </c>
      <c r="M134" s="8631"/>
      <c r="N134" s="8709" t="s">
        <v>81</v>
      </c>
      <c r="O134" s="8709"/>
      <c r="P134" s="8709" t="s">
        <v>115</v>
      </c>
      <c r="Q134" s="8709"/>
      <c r="R134" s="8709" t="s">
        <v>116</v>
      </c>
      <c r="S134" s="8709"/>
      <c r="T134" s="8709" t="s">
        <v>117</v>
      </c>
      <c r="U134" s="8709"/>
      <c r="V134" s="8709" t="s">
        <v>118</v>
      </c>
      <c r="W134" s="8709"/>
      <c r="X134" s="8709" t="s">
        <v>119</v>
      </c>
      <c r="Y134" s="8709"/>
      <c r="Z134" s="8709" t="s">
        <v>120</v>
      </c>
      <c r="AA134" s="8709"/>
      <c r="AB134" s="8709" t="s">
        <v>1412</v>
      </c>
      <c r="AC134" s="8709"/>
      <c r="AD134" s="8709" t="s">
        <v>1404</v>
      </c>
      <c r="AE134" s="8709"/>
      <c r="AF134" s="8630" t="s">
        <v>1395</v>
      </c>
      <c r="AG134" s="8631"/>
      <c r="AH134" s="8630" t="s">
        <v>1394</v>
      </c>
      <c r="AI134" s="8631"/>
      <c r="AJ134" s="8630" t="s">
        <v>1393</v>
      </c>
      <c r="AK134" s="8631"/>
      <c r="AL134" s="8630" t="s">
        <v>1403</v>
      </c>
      <c r="AM134" s="8633"/>
      <c r="AN134" s="8679" t="s">
        <v>821</v>
      </c>
      <c r="AO134" s="8704" t="s">
        <v>820</v>
      </c>
      <c r="AP134" s="8852" t="s">
        <v>783</v>
      </c>
      <c r="AQ134" s="8730"/>
      <c r="AR134" s="8725"/>
      <c r="AS134" s="4627"/>
      <c r="AT134" s="4627"/>
      <c r="AU134" s="4627"/>
      <c r="AV134" s="4627"/>
      <c r="AW134" s="4627"/>
      <c r="AX134" s="4302"/>
      <c r="AY134" s="6497"/>
      <c r="AZ134" s="6497"/>
      <c r="BA134" s="6697"/>
      <c r="BB134" s="4657"/>
      <c r="BC134" s="4657"/>
      <c r="BD134" s="4657"/>
      <c r="BE134" s="4657"/>
    </row>
    <row r="135" spans="1:108" ht="27" customHeight="1" x14ac:dyDescent="0.2">
      <c r="A135" s="8665"/>
      <c r="B135" s="8666"/>
      <c r="C135" s="6494" t="s">
        <v>42</v>
      </c>
      <c r="D135" s="5620" t="s">
        <v>17</v>
      </c>
      <c r="E135" s="6629" t="s">
        <v>18</v>
      </c>
      <c r="F135" s="6149" t="s">
        <v>17</v>
      </c>
      <c r="G135" s="5621" t="s">
        <v>18</v>
      </c>
      <c r="H135" s="6149" t="s">
        <v>17</v>
      </c>
      <c r="I135" s="5621" t="s">
        <v>18</v>
      </c>
      <c r="J135" s="6149" t="s">
        <v>17</v>
      </c>
      <c r="K135" s="5621" t="s">
        <v>18</v>
      </c>
      <c r="L135" s="6149" t="s">
        <v>17</v>
      </c>
      <c r="M135" s="5621" t="s">
        <v>18</v>
      </c>
      <c r="N135" s="6149" t="s">
        <v>17</v>
      </c>
      <c r="O135" s="5621" t="s">
        <v>18</v>
      </c>
      <c r="P135" s="6149" t="s">
        <v>17</v>
      </c>
      <c r="Q135" s="5621" t="s">
        <v>18</v>
      </c>
      <c r="R135" s="6149" t="s">
        <v>17</v>
      </c>
      <c r="S135" s="5621" t="s">
        <v>18</v>
      </c>
      <c r="T135" s="6149" t="s">
        <v>17</v>
      </c>
      <c r="U135" s="5621" t="s">
        <v>18</v>
      </c>
      <c r="V135" s="6149" t="s">
        <v>17</v>
      </c>
      <c r="W135" s="5621" t="s">
        <v>18</v>
      </c>
      <c r="X135" s="6149" t="s">
        <v>17</v>
      </c>
      <c r="Y135" s="5621" t="s">
        <v>18</v>
      </c>
      <c r="Z135" s="6149" t="s">
        <v>17</v>
      </c>
      <c r="AA135" s="5621" t="s">
        <v>18</v>
      </c>
      <c r="AB135" s="6149" t="s">
        <v>17</v>
      </c>
      <c r="AC135" s="5621" t="s">
        <v>18</v>
      </c>
      <c r="AD135" s="6149" t="s">
        <v>17</v>
      </c>
      <c r="AE135" s="5621" t="s">
        <v>18</v>
      </c>
      <c r="AF135" s="6149" t="s">
        <v>17</v>
      </c>
      <c r="AG135" s="5621" t="s">
        <v>18</v>
      </c>
      <c r="AH135" s="6149" t="s">
        <v>17</v>
      </c>
      <c r="AI135" s="5621" t="s">
        <v>18</v>
      </c>
      <c r="AJ135" s="6149" t="s">
        <v>17</v>
      </c>
      <c r="AK135" s="5621" t="s">
        <v>18</v>
      </c>
      <c r="AL135" s="6149" t="s">
        <v>17</v>
      </c>
      <c r="AM135" s="4935" t="s">
        <v>18</v>
      </c>
      <c r="AN135" s="8844"/>
      <c r="AO135" s="8705"/>
      <c r="AP135" s="8853"/>
      <c r="AQ135" s="8728"/>
      <c r="AR135" s="8726"/>
      <c r="AS135" s="4627"/>
      <c r="AT135" s="4627"/>
      <c r="AU135" s="4627"/>
      <c r="AV135" s="4627"/>
      <c r="AW135" s="4627"/>
      <c r="AX135" s="4302"/>
      <c r="AY135" s="6497"/>
      <c r="AZ135" s="6497"/>
      <c r="BA135" s="6697"/>
      <c r="BB135" s="4657"/>
      <c r="BC135" s="4657"/>
      <c r="BD135" s="4657"/>
      <c r="BE135" s="4657"/>
    </row>
    <row r="136" spans="1:108" ht="16.350000000000001" customHeight="1" x14ac:dyDescent="0.2">
      <c r="A136" s="8742" t="s">
        <v>819</v>
      </c>
      <c r="B136" s="8743"/>
      <c r="C136" s="6632">
        <f>SUM(D136:E136)</f>
        <v>0</v>
      </c>
      <c r="D136" s="6633">
        <f>SUM(F136+H136+J136+L136+N136+P136+R136+T136+V136+X136+Z136+AB136+AD136+AF136+AH136+AJ136+AL136)</f>
        <v>0</v>
      </c>
      <c r="E136" s="6634">
        <f>SUM(G136+I136+K136+M136+O136+Q136+S136+U136+W136+Y136+AA136+AC136+AE136+AG136+AI136+AK136+AM136)</f>
        <v>0</v>
      </c>
      <c r="F136" s="6499"/>
      <c r="G136" s="6537"/>
      <c r="H136" s="6499"/>
      <c r="I136" s="6537"/>
      <c r="J136" s="6499"/>
      <c r="K136" s="6537"/>
      <c r="L136" s="6499"/>
      <c r="M136" s="6537"/>
      <c r="N136" s="6499"/>
      <c r="O136" s="6537"/>
      <c r="P136" s="6499"/>
      <c r="Q136" s="6537"/>
      <c r="R136" s="6499"/>
      <c r="S136" s="6537"/>
      <c r="T136" s="6499"/>
      <c r="U136" s="6537"/>
      <c r="V136" s="6499"/>
      <c r="W136" s="6537"/>
      <c r="X136" s="6499"/>
      <c r="Y136" s="6537"/>
      <c r="Z136" s="6499"/>
      <c r="AA136" s="6537"/>
      <c r="AB136" s="6499"/>
      <c r="AC136" s="6537"/>
      <c r="AD136" s="6499"/>
      <c r="AE136" s="6537"/>
      <c r="AF136" s="6499"/>
      <c r="AG136" s="6537"/>
      <c r="AH136" s="6499"/>
      <c r="AI136" s="6537"/>
      <c r="AJ136" s="6499"/>
      <c r="AK136" s="6537"/>
      <c r="AL136" s="6499"/>
      <c r="AM136" s="6648"/>
      <c r="AN136" s="4801"/>
      <c r="AO136" s="6693"/>
      <c r="AP136" s="4802"/>
      <c r="AQ136" s="4803"/>
      <c r="AR136" s="6638"/>
      <c r="AS136" s="6019"/>
      <c r="AT136" s="4627"/>
      <c r="AU136" s="4627"/>
      <c r="AV136" s="4627"/>
      <c r="AW136" s="4627"/>
      <c r="AX136" s="4302"/>
      <c r="AY136" s="6708"/>
      <c r="AZ136" s="6708"/>
      <c r="BA136" s="6697"/>
      <c r="BB136" s="4657"/>
      <c r="BC136" s="4657"/>
      <c r="BD136" s="4657"/>
      <c r="BE136" s="4657"/>
      <c r="DB136" s="6209">
        <v>0</v>
      </c>
      <c r="DD136" s="6209">
        <v>0</v>
      </c>
    </row>
    <row r="137" spans="1:108" ht="16.350000000000001" customHeight="1" x14ac:dyDescent="0.2">
      <c r="A137" s="8818" t="s">
        <v>818</v>
      </c>
      <c r="B137" s="8771"/>
      <c r="C137" s="6709">
        <f>SUM(D137:E137)</f>
        <v>0</v>
      </c>
      <c r="D137" s="6710">
        <f t="shared" ref="D137:D140" si="14">SUM(F137+H137+J137+L137+N137+P137+R137+T137+V137+X137+Z137+AB137+AD137+AF137+AH137+AJ137+AL137)</f>
        <v>0</v>
      </c>
      <c r="E137" s="5356">
        <f>SUM(G137+I137+K137+M137+O137+Q137+S137+U137+W137+Y137+AA137+AC137+AE137+AG137+AI137+AK137+AM137)</f>
        <v>0</v>
      </c>
      <c r="F137" s="6711"/>
      <c r="G137" s="5341"/>
      <c r="H137" s="6711"/>
      <c r="I137" s="5341"/>
      <c r="J137" s="6711"/>
      <c r="K137" s="5341"/>
      <c r="L137" s="6711"/>
      <c r="M137" s="5341"/>
      <c r="N137" s="6711"/>
      <c r="O137" s="5341"/>
      <c r="P137" s="6711"/>
      <c r="Q137" s="5341"/>
      <c r="R137" s="6711"/>
      <c r="S137" s="5341"/>
      <c r="T137" s="6711"/>
      <c r="U137" s="5341"/>
      <c r="V137" s="6711"/>
      <c r="W137" s="5341"/>
      <c r="X137" s="6711"/>
      <c r="Y137" s="5341"/>
      <c r="Z137" s="6711"/>
      <c r="AA137" s="5341"/>
      <c r="AB137" s="6711"/>
      <c r="AC137" s="5341"/>
      <c r="AD137" s="6711"/>
      <c r="AE137" s="5341"/>
      <c r="AF137" s="6711"/>
      <c r="AG137" s="5341"/>
      <c r="AH137" s="6711"/>
      <c r="AI137" s="5341"/>
      <c r="AJ137" s="6711"/>
      <c r="AK137" s="5341"/>
      <c r="AL137" s="6711"/>
      <c r="AM137" s="5342"/>
      <c r="AN137" s="6698"/>
      <c r="AO137" s="6485"/>
      <c r="AP137" s="6712"/>
      <c r="AQ137" s="5560"/>
      <c r="AR137" s="6713"/>
      <c r="AS137" s="6970"/>
      <c r="AT137" s="4684"/>
      <c r="AU137" s="4684"/>
      <c r="AV137" s="4684"/>
      <c r="AW137" s="4684"/>
      <c r="AX137" s="6714"/>
      <c r="AY137" s="6714"/>
      <c r="AZ137" s="6714"/>
      <c r="BA137" s="4684"/>
      <c r="BB137" s="4684"/>
      <c r="BC137" s="4657"/>
      <c r="BD137" s="4657"/>
      <c r="BE137" s="4657"/>
      <c r="DB137" s="6209">
        <v>0</v>
      </c>
      <c r="DD137" s="6209">
        <v>0</v>
      </c>
    </row>
    <row r="138" spans="1:108" ht="17.25" customHeight="1" x14ac:dyDescent="0.2">
      <c r="A138" s="8926" t="s">
        <v>3922</v>
      </c>
      <c r="B138" s="6532" t="s">
        <v>817</v>
      </c>
      <c r="C138" s="6632">
        <f>SUM(D138:E138)</f>
        <v>0</v>
      </c>
      <c r="D138" s="6633">
        <f t="shared" si="14"/>
        <v>0</v>
      </c>
      <c r="E138" s="6634">
        <f t="shared" ref="E138:E139" si="15">SUM(G138+I138+K138+M138+O138+Q138+S138+U138+W138+Y138+AA138+AC138+AE138+AG138+AI138+AK138+AM138)</f>
        <v>0</v>
      </c>
      <c r="F138" s="6499"/>
      <c r="G138" s="6537"/>
      <c r="H138" s="6499"/>
      <c r="I138" s="6537"/>
      <c r="J138" s="6499"/>
      <c r="K138" s="6537"/>
      <c r="L138" s="6499"/>
      <c r="M138" s="6537"/>
      <c r="N138" s="6499"/>
      <c r="O138" s="6537"/>
      <c r="P138" s="6499"/>
      <c r="Q138" s="6537"/>
      <c r="R138" s="6499"/>
      <c r="S138" s="6537"/>
      <c r="T138" s="6499"/>
      <c r="U138" s="6537"/>
      <c r="V138" s="6499"/>
      <c r="W138" s="6537"/>
      <c r="X138" s="6499"/>
      <c r="Y138" s="6537"/>
      <c r="Z138" s="6499"/>
      <c r="AA138" s="6537"/>
      <c r="AB138" s="6499"/>
      <c r="AC138" s="6537"/>
      <c r="AD138" s="6499"/>
      <c r="AE138" s="6537"/>
      <c r="AF138" s="6499"/>
      <c r="AG138" s="6537"/>
      <c r="AH138" s="6499"/>
      <c r="AI138" s="6537"/>
      <c r="AJ138" s="6499"/>
      <c r="AK138" s="6537"/>
      <c r="AL138" s="6499"/>
      <c r="AM138" s="6648"/>
      <c r="AN138" s="4801"/>
      <c r="AO138" s="6693"/>
      <c r="AP138" s="4802"/>
      <c r="AQ138" s="4803"/>
      <c r="AR138" s="6638"/>
      <c r="AS138" s="7350"/>
      <c r="AT138" s="6683"/>
      <c r="AU138" s="6683"/>
      <c r="AV138" s="6683"/>
      <c r="AW138" s="6683"/>
      <c r="AX138" s="6493"/>
      <c r="AY138" s="6493"/>
      <c r="AZ138" s="6493"/>
      <c r="BA138" s="6683"/>
      <c r="BB138" s="6683"/>
      <c r="BC138" s="6666"/>
      <c r="BD138" s="4657"/>
      <c r="BE138" s="4657"/>
      <c r="DB138" s="6209">
        <v>0</v>
      </c>
      <c r="DD138" s="6209">
        <v>0</v>
      </c>
    </row>
    <row r="139" spans="1:108" ht="16.350000000000001" customHeight="1" x14ac:dyDescent="0.2">
      <c r="A139" s="8927"/>
      <c r="B139" s="5685" t="s">
        <v>816</v>
      </c>
      <c r="C139" s="6715">
        <f>SUM(D139:E139)</f>
        <v>0</v>
      </c>
      <c r="D139" s="6716">
        <f>SUM(F139+H139+J139+L139+N139+P139+R139+T139+V139+X139+Z139+AB139+AD139+AF139+AH139+AJ139+AL139)</f>
        <v>0</v>
      </c>
      <c r="E139" s="6717">
        <f t="shared" si="15"/>
        <v>0</v>
      </c>
      <c r="F139" s="4796"/>
      <c r="G139" s="4888"/>
      <c r="H139" s="4796"/>
      <c r="I139" s="4888"/>
      <c r="J139" s="4796"/>
      <c r="K139" s="4888"/>
      <c r="L139" s="4796"/>
      <c r="M139" s="4888"/>
      <c r="N139" s="4796"/>
      <c r="O139" s="4888"/>
      <c r="P139" s="4796"/>
      <c r="Q139" s="4888"/>
      <c r="R139" s="4796"/>
      <c r="S139" s="4888"/>
      <c r="T139" s="4796"/>
      <c r="U139" s="4888"/>
      <c r="V139" s="4796"/>
      <c r="W139" s="4888"/>
      <c r="X139" s="4796"/>
      <c r="Y139" s="4888"/>
      <c r="Z139" s="4796"/>
      <c r="AA139" s="4888"/>
      <c r="AB139" s="4796"/>
      <c r="AC139" s="4888"/>
      <c r="AD139" s="4796"/>
      <c r="AE139" s="4888"/>
      <c r="AF139" s="4796"/>
      <c r="AG139" s="4888"/>
      <c r="AH139" s="4796"/>
      <c r="AI139" s="4888"/>
      <c r="AJ139" s="4796"/>
      <c r="AK139" s="4888"/>
      <c r="AL139" s="4796"/>
      <c r="AM139" s="6654"/>
      <c r="AN139" s="4785"/>
      <c r="AO139" s="6705"/>
      <c r="AP139" s="4786"/>
      <c r="AQ139" s="4787"/>
      <c r="AR139" s="4877"/>
      <c r="AS139" s="4653"/>
      <c r="AT139" s="4657"/>
      <c r="AU139" s="4657"/>
      <c r="AV139" s="4657"/>
      <c r="AW139" s="4657"/>
      <c r="BA139" s="4657"/>
      <c r="BB139" s="4657"/>
      <c r="BC139" s="4657"/>
      <c r="BD139" s="4657"/>
      <c r="BE139" s="4657"/>
      <c r="DB139" s="6209">
        <v>0</v>
      </c>
      <c r="DD139" s="6209">
        <v>0</v>
      </c>
    </row>
    <row r="140" spans="1:108" ht="16.350000000000001" customHeight="1" x14ac:dyDescent="0.2">
      <c r="A140" s="8833" t="s">
        <v>815</v>
      </c>
      <c r="B140" s="8834"/>
      <c r="C140" s="6642">
        <f>SUM(D140:E140)</f>
        <v>0</v>
      </c>
      <c r="D140" s="6643">
        <f t="shared" si="14"/>
        <v>0</v>
      </c>
      <c r="E140" s="6644">
        <f>SUM(G140+I140+K140+M140+O140+Q140+S140+U140+W140+Y140+AA140+AC140+AE140+AG140+AI140+AK140+AM140)</f>
        <v>0</v>
      </c>
      <c r="F140" s="6718"/>
      <c r="G140" s="6577"/>
      <c r="H140" s="6718"/>
      <c r="I140" s="6577"/>
      <c r="J140" s="6718"/>
      <c r="K140" s="6577"/>
      <c r="L140" s="6718"/>
      <c r="M140" s="6577"/>
      <c r="N140" s="6718"/>
      <c r="O140" s="6577"/>
      <c r="P140" s="6718"/>
      <c r="Q140" s="6577"/>
      <c r="R140" s="6718"/>
      <c r="S140" s="6577"/>
      <c r="T140" s="6718"/>
      <c r="U140" s="6577"/>
      <c r="V140" s="6718"/>
      <c r="W140" s="6577"/>
      <c r="X140" s="6718"/>
      <c r="Y140" s="6577"/>
      <c r="Z140" s="6718"/>
      <c r="AA140" s="6577"/>
      <c r="AB140" s="6718"/>
      <c r="AC140" s="6577"/>
      <c r="AD140" s="6718"/>
      <c r="AE140" s="6577"/>
      <c r="AF140" s="6718"/>
      <c r="AG140" s="6577"/>
      <c r="AH140" s="6718"/>
      <c r="AI140" s="6577"/>
      <c r="AJ140" s="6718"/>
      <c r="AK140" s="6577"/>
      <c r="AL140" s="6718"/>
      <c r="AM140" s="6719"/>
      <c r="AN140" s="6720"/>
      <c r="AO140" s="6721"/>
      <c r="AP140" s="6722"/>
      <c r="AQ140" s="6613"/>
      <c r="AR140" s="6723"/>
      <c r="AS140" s="4653"/>
      <c r="AT140" s="4657"/>
      <c r="AU140" s="4657"/>
      <c r="AV140" s="4657"/>
      <c r="AW140" s="4657"/>
      <c r="BA140" s="4657"/>
      <c r="BB140" s="4657"/>
      <c r="BC140" s="4657"/>
      <c r="BD140" s="4657"/>
      <c r="BE140" s="4657"/>
      <c r="DB140" s="6209">
        <v>0</v>
      </c>
      <c r="DD140" s="6209">
        <v>0</v>
      </c>
    </row>
    <row r="141" spans="1:108" ht="24" customHeight="1" x14ac:dyDescent="0.2">
      <c r="A141" s="6619" t="s">
        <v>814</v>
      </c>
      <c r="B141" s="6619"/>
      <c r="M141" s="6724"/>
      <c r="N141" s="6725"/>
      <c r="O141" s="6497"/>
      <c r="P141" s="6497"/>
      <c r="Q141" s="6497"/>
      <c r="R141" s="6497"/>
      <c r="S141" s="6497"/>
      <c r="T141" s="6497"/>
      <c r="U141" s="6497"/>
      <c r="V141" s="6725"/>
      <c r="W141" s="6497"/>
      <c r="X141" s="6497"/>
      <c r="Y141" s="6497"/>
      <c r="Z141" s="6493"/>
      <c r="AA141" s="6493"/>
      <c r="AB141" s="6491"/>
      <c r="AC141" s="6491"/>
      <c r="AK141" s="4657"/>
      <c r="AL141" s="4657"/>
      <c r="AM141" s="4657"/>
      <c r="AN141" s="4657"/>
      <c r="AO141" s="4657"/>
      <c r="AP141" s="4657"/>
      <c r="AQ141" s="4657"/>
      <c r="AR141" s="4657"/>
      <c r="AS141" s="4657"/>
      <c r="AT141" s="4657"/>
      <c r="AU141" s="4657"/>
      <c r="AV141" s="4657"/>
      <c r="AW141" s="4657"/>
    </row>
    <row r="142" spans="1:108" ht="16.350000000000001" customHeight="1" x14ac:dyDescent="0.2">
      <c r="A142" s="8663" t="s">
        <v>803</v>
      </c>
      <c r="B142" s="8664"/>
      <c r="C142" s="8681" t="s">
        <v>24</v>
      </c>
      <c r="D142" s="8786"/>
      <c r="E142" s="8719"/>
      <c r="F142" s="8630" t="s">
        <v>1395</v>
      </c>
      <c r="G142" s="8631"/>
      <c r="H142" s="8630" t="s">
        <v>1394</v>
      </c>
      <c r="I142" s="8631"/>
      <c r="J142" s="8630" t="s">
        <v>1393</v>
      </c>
      <c r="K142" s="8631"/>
      <c r="L142" s="8630" t="s">
        <v>1403</v>
      </c>
      <c r="M142" s="8633"/>
      <c r="N142" s="8951" t="s">
        <v>360</v>
      </c>
      <c r="O142" s="8727" t="s">
        <v>359</v>
      </c>
      <c r="P142" s="6497"/>
      <c r="Q142" s="6497"/>
      <c r="R142" s="6497"/>
      <c r="S142" s="6497"/>
      <c r="T142" s="6497"/>
      <c r="U142" s="6497"/>
      <c r="V142" s="6725"/>
      <c r="W142" s="6497"/>
      <c r="X142" s="6497"/>
      <c r="Y142" s="6497"/>
      <c r="Z142" s="6493"/>
      <c r="AA142" s="6493"/>
      <c r="AB142" s="6491"/>
      <c r="AC142" s="6491"/>
      <c r="AK142" s="4657"/>
      <c r="AL142" s="4657"/>
      <c r="AM142" s="4657"/>
      <c r="AN142" s="4657"/>
      <c r="AO142" s="4657"/>
      <c r="AP142" s="4657"/>
      <c r="AQ142" s="4657"/>
      <c r="AR142" s="4657"/>
      <c r="AS142" s="4657"/>
      <c r="AT142" s="4657"/>
      <c r="AU142" s="4657"/>
      <c r="AV142" s="4657"/>
      <c r="AW142" s="4657"/>
    </row>
    <row r="143" spans="1:108" ht="26.25" customHeight="1" x14ac:dyDescent="0.2">
      <c r="A143" s="8665"/>
      <c r="B143" s="8666"/>
      <c r="C143" s="6494" t="s">
        <v>42</v>
      </c>
      <c r="D143" s="5620" t="s">
        <v>17</v>
      </c>
      <c r="E143" s="6629" t="s">
        <v>18</v>
      </c>
      <c r="F143" s="6494" t="s">
        <v>17</v>
      </c>
      <c r="G143" s="6629" t="s">
        <v>18</v>
      </c>
      <c r="H143" s="6494" t="s">
        <v>17</v>
      </c>
      <c r="I143" s="6629" t="s">
        <v>18</v>
      </c>
      <c r="J143" s="6494" t="s">
        <v>17</v>
      </c>
      <c r="K143" s="6629" t="s">
        <v>18</v>
      </c>
      <c r="L143" s="6406" t="s">
        <v>17</v>
      </c>
      <c r="M143" s="6407" t="s">
        <v>18</v>
      </c>
      <c r="N143" s="8952"/>
      <c r="O143" s="8728"/>
      <c r="P143" s="6497"/>
      <c r="Q143" s="6497"/>
      <c r="R143" s="6497"/>
      <c r="S143" s="6497"/>
      <c r="T143" s="6497"/>
      <c r="U143" s="6497"/>
      <c r="V143" s="6725"/>
      <c r="W143" s="6497"/>
      <c r="X143" s="6497"/>
      <c r="Y143" s="6497"/>
      <c r="Z143" s="6493"/>
      <c r="AA143" s="6493"/>
      <c r="AB143" s="6491"/>
      <c r="AC143" s="6491"/>
    </row>
    <row r="144" spans="1:108" ht="16.350000000000001" customHeight="1" x14ac:dyDescent="0.2">
      <c r="A144" s="8661" t="s">
        <v>2569</v>
      </c>
      <c r="B144" s="6532" t="s">
        <v>802</v>
      </c>
      <c r="C144" s="6632">
        <f>SUM(D144:E144)</f>
        <v>0</v>
      </c>
      <c r="D144" s="6633">
        <f t="shared" ref="D144:E146" si="16">SUM(F144+H144+J144+L144)</f>
        <v>0</v>
      </c>
      <c r="E144" s="6634">
        <f t="shared" si="16"/>
        <v>0</v>
      </c>
      <c r="F144" s="6726"/>
      <c r="G144" s="6573"/>
      <c r="H144" s="6726"/>
      <c r="I144" s="6573"/>
      <c r="J144" s="6726"/>
      <c r="K144" s="6573"/>
      <c r="L144" s="6727"/>
      <c r="M144" s="6728"/>
      <c r="N144" s="4790"/>
      <c r="O144" s="4792"/>
      <c r="P144" s="7346"/>
      <c r="Q144" s="6497"/>
      <c r="R144" s="6497"/>
      <c r="S144" s="6497"/>
      <c r="T144" s="6497"/>
      <c r="U144" s="6497"/>
      <c r="V144" s="6725"/>
      <c r="W144" s="6497"/>
      <c r="X144" s="6497"/>
      <c r="Y144" s="6497"/>
      <c r="Z144" s="6493"/>
      <c r="AA144" s="6493"/>
      <c r="AB144" s="6491"/>
      <c r="AC144" s="6491"/>
      <c r="DB144" s="6209">
        <v>0</v>
      </c>
      <c r="DD144" s="6209">
        <v>0</v>
      </c>
    </row>
    <row r="145" spans="1:108" ht="16.350000000000001" customHeight="1" x14ac:dyDescent="0.2">
      <c r="A145" s="8635"/>
      <c r="B145" s="5646" t="s">
        <v>801</v>
      </c>
      <c r="C145" s="6639">
        <f>SUM(D145:E145)</f>
        <v>0</v>
      </c>
      <c r="D145" s="6640">
        <f t="shared" si="16"/>
        <v>0</v>
      </c>
      <c r="E145" s="6641">
        <f t="shared" si="16"/>
        <v>0</v>
      </c>
      <c r="F145" s="6726"/>
      <c r="G145" s="6573"/>
      <c r="H145" s="6726"/>
      <c r="I145" s="6573"/>
      <c r="J145" s="6726"/>
      <c r="K145" s="6573"/>
      <c r="L145" s="6727"/>
      <c r="M145" s="6728"/>
      <c r="N145" s="4790"/>
      <c r="O145" s="4792"/>
      <c r="P145" s="7346"/>
      <c r="Q145" s="6497"/>
      <c r="R145" s="6497"/>
      <c r="S145" s="6497"/>
      <c r="T145" s="6497"/>
      <c r="U145" s="6497"/>
      <c r="V145" s="6725"/>
      <c r="W145" s="6497"/>
      <c r="X145" s="6493"/>
      <c r="Y145" s="6493"/>
      <c r="Z145" s="6493"/>
      <c r="AA145" s="6493"/>
      <c r="AB145" s="6491"/>
      <c r="AC145" s="6491"/>
    </row>
    <row r="146" spans="1:108" ht="18.75" customHeight="1" x14ac:dyDescent="0.2">
      <c r="A146" s="8635"/>
      <c r="B146" s="6729" t="s">
        <v>800</v>
      </c>
      <c r="C146" s="6709">
        <f>SUM(D146:E146)</f>
        <v>0</v>
      </c>
      <c r="D146" s="6710">
        <f t="shared" si="16"/>
        <v>0</v>
      </c>
      <c r="E146" s="5356">
        <f t="shared" si="16"/>
        <v>0</v>
      </c>
      <c r="F146" s="6726"/>
      <c r="G146" s="6573"/>
      <c r="H146" s="6726"/>
      <c r="I146" s="6573"/>
      <c r="J146" s="6726"/>
      <c r="K146" s="6573"/>
      <c r="L146" s="6727"/>
      <c r="M146" s="6728"/>
      <c r="N146" s="4790"/>
      <c r="O146" s="4792"/>
      <c r="P146" s="6024"/>
      <c r="Q146" s="4328"/>
      <c r="R146" s="4328"/>
      <c r="S146" s="4328"/>
      <c r="T146" s="4328"/>
      <c r="U146" s="6725"/>
      <c r="V146" s="6497"/>
      <c r="W146" s="6497"/>
      <c r="X146" s="6497"/>
      <c r="Y146" s="6497"/>
      <c r="Z146" s="6497"/>
      <c r="AA146" s="6497"/>
      <c r="AB146" s="6497"/>
      <c r="AC146" s="6497"/>
      <c r="AD146" s="6497"/>
      <c r="AE146" s="6497"/>
      <c r="AF146" s="6497"/>
      <c r="AG146" s="6497"/>
      <c r="AH146" s="6725"/>
      <c r="AI146" s="6497"/>
      <c r="AJ146" s="6493"/>
      <c r="AK146" s="6493"/>
      <c r="AL146" s="6493"/>
      <c r="AM146" s="6493"/>
      <c r="AN146" s="6491"/>
      <c r="AO146" s="6491"/>
      <c r="DB146" s="6209">
        <v>0</v>
      </c>
      <c r="DD146" s="6209">
        <v>0</v>
      </c>
    </row>
    <row r="147" spans="1:108" ht="16.350000000000001" customHeight="1" x14ac:dyDescent="0.2">
      <c r="A147" s="8767" t="s">
        <v>806</v>
      </c>
      <c r="B147" s="8767"/>
      <c r="C147" s="6730">
        <f>SUM(C144:C146)</f>
        <v>0</v>
      </c>
      <c r="D147" s="6731">
        <f>SUM(D144:D146)</f>
        <v>0</v>
      </c>
      <c r="E147" s="6732">
        <f>SUM(E144:E146)</f>
        <v>0</v>
      </c>
      <c r="F147" s="6730">
        <f t="shared" ref="F147:M147" si="17">SUM(F144:F146)</f>
        <v>0</v>
      </c>
      <c r="G147" s="6732">
        <f t="shared" si="17"/>
        <v>0</v>
      </c>
      <c r="H147" s="6730">
        <f t="shared" si="17"/>
        <v>0</v>
      </c>
      <c r="I147" s="6732">
        <f t="shared" si="17"/>
        <v>0</v>
      </c>
      <c r="J147" s="6730">
        <f t="shared" si="17"/>
        <v>0</v>
      </c>
      <c r="K147" s="6732">
        <f t="shared" si="17"/>
        <v>0</v>
      </c>
      <c r="L147" s="6733">
        <f t="shared" si="17"/>
        <v>0</v>
      </c>
      <c r="M147" s="6734">
        <f t="shared" si="17"/>
        <v>0</v>
      </c>
      <c r="N147" s="6735">
        <f>SUM(N144:N146)</f>
        <v>0</v>
      </c>
      <c r="O147" s="6587">
        <f>SUM(O144:O146)</f>
        <v>0</v>
      </c>
      <c r="P147" s="6024"/>
      <c r="Q147" s="4328"/>
      <c r="R147" s="4328"/>
      <c r="S147" s="4328"/>
      <c r="T147" s="4328"/>
      <c r="U147" s="6725"/>
      <c r="V147" s="6497"/>
      <c r="W147" s="6497"/>
      <c r="X147" s="6497"/>
      <c r="Y147" s="6497"/>
      <c r="Z147" s="6497"/>
      <c r="AA147" s="6497"/>
      <c r="AB147" s="6497"/>
      <c r="AC147" s="6497"/>
      <c r="AD147" s="6497"/>
      <c r="AE147" s="6497"/>
      <c r="AF147" s="6497"/>
      <c r="AG147" s="6497"/>
      <c r="AH147" s="6725"/>
      <c r="AI147" s="6497"/>
      <c r="AJ147" s="6493"/>
      <c r="AK147" s="6493"/>
      <c r="AL147" s="6493"/>
      <c r="AM147" s="6493"/>
      <c r="AN147" s="6491"/>
      <c r="AO147" s="6491"/>
    </row>
    <row r="148" spans="1:108" ht="16.350000000000001" customHeight="1" x14ac:dyDescent="0.2">
      <c r="A148" s="8751" t="s">
        <v>811</v>
      </c>
      <c r="B148" s="5639" t="s">
        <v>810</v>
      </c>
      <c r="C148" s="6736">
        <f>SUM(D148:E148)</f>
        <v>0</v>
      </c>
      <c r="D148" s="6737">
        <f t="shared" ref="D148:E151" si="18">SUM(F148+H148+J148+L148)</f>
        <v>0</v>
      </c>
      <c r="E148" s="6738">
        <f t="shared" si="18"/>
        <v>0</v>
      </c>
      <c r="F148" s="6726"/>
      <c r="G148" s="6573"/>
      <c r="H148" s="6726"/>
      <c r="I148" s="6573"/>
      <c r="J148" s="6726"/>
      <c r="K148" s="6573"/>
      <c r="L148" s="6727"/>
      <c r="M148" s="6728"/>
      <c r="N148" s="4790"/>
      <c r="O148" s="4792"/>
      <c r="P148" s="6024"/>
      <c r="Q148" s="4328"/>
      <c r="R148" s="4328"/>
      <c r="S148" s="4328"/>
      <c r="T148" s="4328"/>
      <c r="U148" s="4302"/>
      <c r="V148" s="6497"/>
      <c r="W148" s="6497"/>
      <c r="X148" s="6497"/>
      <c r="Y148" s="6497"/>
      <c r="Z148" s="6497"/>
      <c r="AA148" s="6497"/>
      <c r="AB148" s="6497"/>
      <c r="AC148" s="6497"/>
      <c r="AD148" s="6497"/>
      <c r="AE148" s="6497"/>
      <c r="AF148" s="6497"/>
      <c r="AG148" s="6497"/>
      <c r="AH148" s="6725"/>
      <c r="AI148" s="6497"/>
      <c r="AJ148" s="6493"/>
      <c r="AK148" s="6493"/>
      <c r="AL148" s="6493"/>
      <c r="AM148" s="6493"/>
      <c r="AN148" s="6491"/>
      <c r="AO148" s="6491"/>
      <c r="DB148" s="6209">
        <v>0</v>
      </c>
      <c r="DD148" s="6209">
        <v>0</v>
      </c>
    </row>
    <row r="149" spans="1:108" ht="16.350000000000001" customHeight="1" x14ac:dyDescent="0.2">
      <c r="A149" s="8635"/>
      <c r="B149" s="5646" t="s">
        <v>809</v>
      </c>
      <c r="C149" s="6639">
        <f>SUM(D149:E149)</f>
        <v>0</v>
      </c>
      <c r="D149" s="6640">
        <f t="shared" si="18"/>
        <v>0</v>
      </c>
      <c r="E149" s="6641">
        <f t="shared" si="18"/>
        <v>0</v>
      </c>
      <c r="F149" s="4778"/>
      <c r="G149" s="5582"/>
      <c r="H149" s="4778"/>
      <c r="I149" s="5582"/>
      <c r="J149" s="4778"/>
      <c r="K149" s="5582"/>
      <c r="L149" s="4622"/>
      <c r="M149" s="4209"/>
      <c r="N149" s="4774"/>
      <c r="O149" s="4776"/>
      <c r="P149" s="6024"/>
      <c r="Q149" s="4328"/>
      <c r="R149" s="4328"/>
      <c r="S149" s="4328"/>
      <c r="T149" s="4328"/>
      <c r="U149" s="6739"/>
      <c r="V149" s="6497"/>
      <c r="W149" s="6497"/>
      <c r="X149" s="6497"/>
      <c r="Y149" s="6497"/>
      <c r="Z149" s="6497"/>
      <c r="AA149" s="6497"/>
      <c r="AB149" s="6497"/>
      <c r="AC149" s="6497"/>
      <c r="AD149" s="6497"/>
      <c r="AE149" s="6497"/>
      <c r="AF149" s="6497"/>
      <c r="AG149" s="6497"/>
      <c r="AH149" s="6725"/>
      <c r="AI149" s="6497"/>
      <c r="AJ149" s="6493"/>
      <c r="AK149" s="6493"/>
      <c r="AL149" s="6493"/>
      <c r="AM149" s="6493"/>
      <c r="AN149" s="6491"/>
      <c r="AO149" s="6491"/>
    </row>
    <row r="150" spans="1:108" ht="16.350000000000001" customHeight="1" x14ac:dyDescent="0.2">
      <c r="A150" s="8635"/>
      <c r="B150" s="5646" t="s">
        <v>808</v>
      </c>
      <c r="C150" s="6639">
        <f>SUM(D150:E150)</f>
        <v>0</v>
      </c>
      <c r="D150" s="6640">
        <f t="shared" si="18"/>
        <v>0</v>
      </c>
      <c r="E150" s="6641">
        <f t="shared" si="18"/>
        <v>0</v>
      </c>
      <c r="F150" s="4778"/>
      <c r="G150" s="5582"/>
      <c r="H150" s="4778"/>
      <c r="I150" s="5582"/>
      <c r="J150" s="4778"/>
      <c r="K150" s="5582"/>
      <c r="L150" s="4622"/>
      <c r="M150" s="4209"/>
      <c r="N150" s="4774"/>
      <c r="O150" s="4776"/>
      <c r="P150" s="6024"/>
      <c r="Q150" s="4328"/>
      <c r="R150" s="4328"/>
      <c r="S150" s="4328"/>
      <c r="T150" s="4328"/>
      <c r="U150" s="6739"/>
      <c r="V150" s="6497"/>
      <c r="W150" s="6497"/>
      <c r="X150" s="6497"/>
      <c r="Y150" s="6497"/>
      <c r="Z150" s="6497"/>
      <c r="AA150" s="6497"/>
      <c r="AB150" s="6497"/>
      <c r="AC150" s="6497"/>
      <c r="AD150" s="6497"/>
      <c r="AE150" s="6497"/>
      <c r="AF150" s="6497"/>
      <c r="AG150" s="6497"/>
      <c r="AH150" s="6725"/>
      <c r="AI150" s="6497"/>
      <c r="AJ150" s="6493"/>
      <c r="AK150" s="6493"/>
      <c r="AL150" s="6493"/>
      <c r="AM150" s="6493"/>
      <c r="AN150" s="6491"/>
      <c r="AO150" s="6491"/>
    </row>
    <row r="151" spans="1:108" ht="14.25" customHeight="1" x14ac:dyDescent="0.2">
      <c r="A151" s="8636"/>
      <c r="B151" s="5684" t="s">
        <v>807</v>
      </c>
      <c r="C151" s="6709">
        <f>SUM(D151:E151)</f>
        <v>0</v>
      </c>
      <c r="D151" s="6710">
        <f t="shared" si="18"/>
        <v>0</v>
      </c>
      <c r="E151" s="5356">
        <f t="shared" si="18"/>
        <v>0</v>
      </c>
      <c r="F151" s="6711"/>
      <c r="G151" s="5341"/>
      <c r="H151" s="6711"/>
      <c r="I151" s="5341"/>
      <c r="J151" s="6711"/>
      <c r="K151" s="5341"/>
      <c r="L151" s="5559"/>
      <c r="M151" s="5523"/>
      <c r="N151" s="6698"/>
      <c r="O151" s="5560"/>
      <c r="P151" s="7347"/>
      <c r="Q151" s="6740"/>
      <c r="R151" s="6740"/>
      <c r="S151" s="5516"/>
      <c r="T151" s="6741"/>
      <c r="U151" s="5516"/>
      <c r="V151" s="5516"/>
      <c r="W151" s="5516"/>
      <c r="X151" s="6683"/>
      <c r="Y151" s="6683"/>
      <c r="Z151" s="6683"/>
      <c r="AA151" s="6683"/>
      <c r="AB151" s="6683"/>
      <c r="AC151" s="6683"/>
      <c r="AD151" s="6683"/>
      <c r="AE151" s="6683"/>
      <c r="AF151" s="6492"/>
      <c r="AG151" s="6493"/>
      <c r="AH151" s="6493"/>
      <c r="AI151" s="6493"/>
      <c r="AJ151" s="6742"/>
      <c r="AK151" s="6493"/>
      <c r="AL151" s="6493"/>
      <c r="AM151" s="6493"/>
      <c r="AN151" s="6493"/>
      <c r="AO151" s="6493"/>
      <c r="AP151" s="6493"/>
      <c r="AQ151" s="6493"/>
    </row>
    <row r="152" spans="1:108" ht="16.350000000000001" customHeight="1" x14ac:dyDescent="0.2">
      <c r="A152" s="8766" t="s">
        <v>806</v>
      </c>
      <c r="B152" s="8767"/>
      <c r="C152" s="6730">
        <f>SUM(C148:C151)</f>
        <v>0</v>
      </c>
      <c r="D152" s="6731">
        <f>SUM(D148:D151)</f>
        <v>0</v>
      </c>
      <c r="E152" s="6732">
        <f>SUM(E148:E151)</f>
        <v>0</v>
      </c>
      <c r="F152" s="6730">
        <f>SUM(F148:F151)</f>
        <v>0</v>
      </c>
      <c r="G152" s="6732">
        <f t="shared" ref="G152:M152" si="19">SUM(G148:G151)</f>
        <v>0</v>
      </c>
      <c r="H152" s="6730">
        <f t="shared" si="19"/>
        <v>0</v>
      </c>
      <c r="I152" s="6732">
        <f t="shared" si="19"/>
        <v>0</v>
      </c>
      <c r="J152" s="6730">
        <f t="shared" si="19"/>
        <v>0</v>
      </c>
      <c r="K152" s="6732">
        <f t="shared" si="19"/>
        <v>0</v>
      </c>
      <c r="L152" s="6733">
        <f t="shared" si="19"/>
        <v>0</v>
      </c>
      <c r="M152" s="6734">
        <f t="shared" si="19"/>
        <v>0</v>
      </c>
      <c r="N152" s="6735">
        <f>SUM(N148:N151)</f>
        <v>0</v>
      </c>
      <c r="O152" s="6587">
        <f>SUM(O148:O151)</f>
        <v>0</v>
      </c>
      <c r="P152" s="4652"/>
      <c r="Q152" s="8831"/>
      <c r="R152" s="8832"/>
      <c r="S152" s="8729"/>
      <c r="T152" s="8729"/>
      <c r="U152" s="8729"/>
      <c r="V152" s="8729"/>
      <c r="W152" s="8729"/>
      <c r="X152" s="8729"/>
      <c r="Y152" s="8729"/>
      <c r="Z152" s="8729"/>
      <c r="AA152" s="6743"/>
      <c r="AB152" s="6665"/>
      <c r="AC152" s="6665"/>
      <c r="AD152" s="6665"/>
      <c r="AE152" s="6683"/>
      <c r="AF152" s="6493"/>
      <c r="AG152" s="6493"/>
      <c r="AH152" s="6493"/>
      <c r="AI152" s="6496"/>
      <c r="AJ152" s="6496"/>
      <c r="AK152" s="6496"/>
      <c r="AL152" s="6496"/>
      <c r="AM152" s="6744"/>
      <c r="AN152" s="6497"/>
      <c r="AO152" s="6497"/>
      <c r="AP152" s="6497"/>
      <c r="AQ152" s="6497"/>
      <c r="AR152" s="6497"/>
      <c r="AS152" s="6497"/>
      <c r="AT152" s="6497"/>
    </row>
    <row r="153" spans="1:108" ht="16.350000000000001" customHeight="1" x14ac:dyDescent="0.2">
      <c r="A153" s="8770" t="s">
        <v>805</v>
      </c>
      <c r="B153" s="8770"/>
      <c r="C153" s="6642">
        <f>SUM(C147+C152)</f>
        <v>0</v>
      </c>
      <c r="D153" s="6643">
        <f>SUM(D147+D152)</f>
        <v>0</v>
      </c>
      <c r="E153" s="6644">
        <f>SUM(E147+E152)</f>
        <v>0</v>
      </c>
      <c r="F153" s="6642">
        <f>SUM(F147+F152)</f>
        <v>0</v>
      </c>
      <c r="G153" s="6644">
        <f>SUM(G147+G152)</f>
        <v>0</v>
      </c>
      <c r="H153" s="6642">
        <f t="shared" ref="H153:M153" si="20">SUM(H147+H152)</f>
        <v>0</v>
      </c>
      <c r="I153" s="6644">
        <f t="shared" si="20"/>
        <v>0</v>
      </c>
      <c r="J153" s="6642">
        <f t="shared" si="20"/>
        <v>0</v>
      </c>
      <c r="K153" s="6644">
        <f t="shared" si="20"/>
        <v>0</v>
      </c>
      <c r="L153" s="6745">
        <f t="shared" si="20"/>
        <v>0</v>
      </c>
      <c r="M153" s="6746">
        <f t="shared" si="20"/>
        <v>0</v>
      </c>
      <c r="N153" s="6747">
        <f>SUM(N147+N152)</f>
        <v>0</v>
      </c>
      <c r="O153" s="6748">
        <f>SUM(O147+O152)</f>
        <v>0</v>
      </c>
      <c r="P153" s="4652"/>
      <c r="Q153" s="6749"/>
      <c r="R153" s="6750"/>
      <c r="S153" s="6750"/>
      <c r="T153" s="6750"/>
      <c r="U153" s="6750"/>
      <c r="V153" s="6750"/>
      <c r="W153" s="6750"/>
      <c r="X153" s="6750"/>
      <c r="Y153" s="6750"/>
      <c r="Z153" s="6750"/>
      <c r="AA153" s="6743"/>
      <c r="AB153" s="6665"/>
      <c r="AC153" s="6665"/>
      <c r="AD153" s="6665"/>
      <c r="AE153" s="6683"/>
      <c r="AF153" s="6493"/>
      <c r="AG153" s="6493"/>
      <c r="AH153" s="6493"/>
      <c r="AI153" s="6496"/>
      <c r="AJ153" s="6496"/>
      <c r="AK153" s="6496"/>
      <c r="AL153" s="6496"/>
      <c r="AM153" s="6744"/>
      <c r="AN153" s="6497"/>
      <c r="AO153" s="6497"/>
      <c r="AP153" s="6497"/>
      <c r="AQ153" s="6497"/>
      <c r="AR153" s="6497"/>
      <c r="AS153" s="6497"/>
      <c r="AT153" s="6497"/>
    </row>
    <row r="154" spans="1:108" ht="24" customHeight="1" x14ac:dyDescent="0.2">
      <c r="A154" s="6619" t="s">
        <v>813</v>
      </c>
      <c r="B154" s="6619"/>
      <c r="Q154" s="6743"/>
      <c r="R154" s="6665"/>
      <c r="S154" s="6665"/>
      <c r="T154" s="6665"/>
      <c r="U154" s="6665"/>
      <c r="V154" s="6665"/>
      <c r="W154" s="6665"/>
      <c r="X154" s="6665"/>
      <c r="Y154" s="6751"/>
      <c r="Z154" s="6751"/>
      <c r="AA154" s="6743"/>
      <c r="AB154" s="6665"/>
      <c r="AC154" s="6665"/>
      <c r="AD154" s="6665"/>
      <c r="AE154" s="6683"/>
      <c r="AF154" s="6493"/>
      <c r="AG154" s="6493"/>
      <c r="AH154" s="6493"/>
      <c r="AI154" s="6496"/>
      <c r="AJ154" s="6496"/>
      <c r="AK154" s="6496"/>
      <c r="AL154" s="6496"/>
      <c r="AM154" s="6496"/>
      <c r="AN154" s="6497"/>
      <c r="AO154" s="6497"/>
      <c r="AP154" s="6497"/>
      <c r="AQ154" s="6497"/>
      <c r="AR154" s="6497"/>
      <c r="AS154" s="6497"/>
      <c r="AT154" s="6497"/>
    </row>
    <row r="155" spans="1:108" ht="16.350000000000001" customHeight="1" x14ac:dyDescent="0.2">
      <c r="A155" s="8663" t="s">
        <v>803</v>
      </c>
      <c r="B155" s="8664"/>
      <c r="C155" s="8681" t="s">
        <v>24</v>
      </c>
      <c r="D155" s="8786"/>
      <c r="E155" s="8719"/>
      <c r="F155" s="8630" t="s">
        <v>1395</v>
      </c>
      <c r="G155" s="8631"/>
      <c r="H155" s="8630" t="s">
        <v>1394</v>
      </c>
      <c r="I155" s="8631"/>
      <c r="J155" s="8630" t="s">
        <v>1393</v>
      </c>
      <c r="K155" s="8631"/>
      <c r="L155" s="8630" t="s">
        <v>1403</v>
      </c>
      <c r="M155" s="8633"/>
      <c r="N155" s="8948" t="s">
        <v>812</v>
      </c>
      <c r="O155" s="8949"/>
      <c r="P155" s="8950"/>
      <c r="Q155" s="8727" t="s">
        <v>360</v>
      </c>
      <c r="R155" s="8727" t="s">
        <v>359</v>
      </c>
      <c r="S155" s="6665"/>
      <c r="T155" s="6665"/>
      <c r="U155" s="6665"/>
      <c r="V155" s="6665"/>
      <c r="W155" s="6665"/>
      <c r="X155" s="6665"/>
      <c r="Y155" s="6751"/>
      <c r="Z155" s="6752"/>
      <c r="AA155" s="6682"/>
      <c r="AB155" s="6667"/>
      <c r="AC155" s="6667"/>
      <c r="AD155" s="6667"/>
      <c r="AE155" s="6695"/>
      <c r="AF155" s="6753"/>
      <c r="AG155" s="6753"/>
      <c r="AH155" s="6753"/>
      <c r="AI155" s="6754"/>
      <c r="AJ155" s="6754"/>
      <c r="AK155" s="6754"/>
      <c r="AL155" s="6754"/>
      <c r="AM155" s="6496"/>
      <c r="AN155" s="6497"/>
      <c r="AO155" s="6497"/>
      <c r="AP155" s="6497"/>
      <c r="AQ155" s="6497"/>
      <c r="AR155" s="6497"/>
      <c r="AS155" s="6497"/>
      <c r="AT155" s="6497"/>
    </row>
    <row r="156" spans="1:108" ht="16.350000000000001" customHeight="1" x14ac:dyDescent="0.2">
      <c r="A156" s="8665"/>
      <c r="B156" s="8666"/>
      <c r="C156" s="6494" t="s">
        <v>42</v>
      </c>
      <c r="D156" s="5620" t="s">
        <v>17</v>
      </c>
      <c r="E156" s="6629" t="s">
        <v>18</v>
      </c>
      <c r="F156" s="6494" t="s">
        <v>17</v>
      </c>
      <c r="G156" s="6629" t="s">
        <v>18</v>
      </c>
      <c r="H156" s="6494" t="s">
        <v>17</v>
      </c>
      <c r="I156" s="6629" t="s">
        <v>18</v>
      </c>
      <c r="J156" s="6494" t="s">
        <v>17</v>
      </c>
      <c r="K156" s="6629" t="s">
        <v>18</v>
      </c>
      <c r="L156" s="6494" t="s">
        <v>17</v>
      </c>
      <c r="M156" s="6755" t="s">
        <v>18</v>
      </c>
      <c r="N156" s="6756" t="s">
        <v>784</v>
      </c>
      <c r="O156" s="6757" t="s">
        <v>782</v>
      </c>
      <c r="P156" s="6407" t="s">
        <v>783</v>
      </c>
      <c r="Q156" s="8728"/>
      <c r="R156" s="8728"/>
      <c r="S156" s="6665"/>
      <c r="T156" s="6665"/>
      <c r="U156" s="6665"/>
      <c r="V156" s="6665"/>
      <c r="W156" s="6665"/>
      <c r="X156" s="6665"/>
      <c r="Y156" s="6758"/>
      <c r="Z156" s="6751"/>
      <c r="AA156" s="6665"/>
      <c r="AB156" s="6665"/>
      <c r="AC156" s="6665"/>
      <c r="AD156" s="6665"/>
      <c r="AE156" s="6683"/>
      <c r="AF156" s="6493"/>
      <c r="AG156" s="6493"/>
      <c r="AH156" s="6493"/>
      <c r="AI156" s="6496"/>
      <c r="AJ156" s="6496"/>
      <c r="AK156" s="6496"/>
      <c r="AL156" s="6496"/>
      <c r="AM156" s="6496"/>
      <c r="AN156" s="6497"/>
      <c r="AO156" s="6497"/>
      <c r="AP156" s="6497"/>
      <c r="AQ156" s="6497"/>
      <c r="AR156" s="6497"/>
      <c r="AS156" s="6497"/>
      <c r="AT156" s="6497"/>
    </row>
    <row r="157" spans="1:108" ht="16.350000000000001" customHeight="1" x14ac:dyDescent="0.2">
      <c r="A157" s="8661" t="s">
        <v>2569</v>
      </c>
      <c r="B157" s="6532" t="s">
        <v>802</v>
      </c>
      <c r="C157" s="6759">
        <f>SUM(D157:E157)</f>
        <v>0</v>
      </c>
      <c r="D157" s="6760">
        <f t="shared" ref="D157:E159" si="21">SUM(F157+H157+J157+L157)</f>
        <v>0</v>
      </c>
      <c r="E157" s="6761">
        <f t="shared" si="21"/>
        <v>0</v>
      </c>
      <c r="F157" s="6499"/>
      <c r="G157" s="6537"/>
      <c r="H157" s="6499"/>
      <c r="I157" s="6537"/>
      <c r="J157" s="6499"/>
      <c r="K157" s="6537"/>
      <c r="L157" s="6499"/>
      <c r="M157" s="6762"/>
      <c r="N157" s="6763"/>
      <c r="O157" s="6764"/>
      <c r="P157" s="6765"/>
      <c r="Q157" s="4803"/>
      <c r="R157" s="6537"/>
      <c r="S157" s="6504"/>
      <c r="T157" s="4684"/>
      <c r="U157" s="4684"/>
      <c r="V157" s="4684"/>
      <c r="W157" s="4684"/>
      <c r="X157" s="4684"/>
      <c r="Y157" s="4684"/>
      <c r="Z157" s="4684"/>
      <c r="AA157" s="4684"/>
      <c r="AB157" s="4684"/>
      <c r="AC157" s="6665"/>
      <c r="AD157" s="6665"/>
      <c r="AE157" s="6683"/>
      <c r="AF157" s="6493"/>
      <c r="AG157" s="6493"/>
      <c r="AH157" s="6493"/>
      <c r="AI157" s="6496"/>
      <c r="AJ157" s="6496"/>
      <c r="AK157" s="6496"/>
      <c r="AL157" s="6496"/>
      <c r="AM157" s="6496"/>
      <c r="AN157" s="6497"/>
      <c r="AO157" s="6497"/>
      <c r="AP157" s="6497"/>
      <c r="AQ157" s="6497"/>
      <c r="AR157" s="6497"/>
      <c r="AS157" s="6497"/>
      <c r="AT157" s="6497"/>
      <c r="DB157" s="6209">
        <v>0</v>
      </c>
      <c r="DC157" s="6209">
        <v>0</v>
      </c>
      <c r="DD157" s="6209">
        <v>0</v>
      </c>
    </row>
    <row r="158" spans="1:108" ht="16.350000000000001" customHeight="1" x14ac:dyDescent="0.2">
      <c r="A158" s="8635"/>
      <c r="B158" s="5646" t="s">
        <v>801</v>
      </c>
      <c r="C158" s="6766">
        <f>SUM(D158:E158)</f>
        <v>0</v>
      </c>
      <c r="D158" s="6767">
        <f t="shared" si="21"/>
        <v>0</v>
      </c>
      <c r="E158" s="6164">
        <f t="shared" si="21"/>
        <v>0</v>
      </c>
      <c r="F158" s="4778"/>
      <c r="G158" s="5582"/>
      <c r="H158" s="4778"/>
      <c r="I158" s="5582"/>
      <c r="J158" s="4778"/>
      <c r="K158" s="5582"/>
      <c r="L158" s="4778"/>
      <c r="M158" s="5586"/>
      <c r="N158" s="6768"/>
      <c r="O158" s="4871"/>
      <c r="P158" s="4209"/>
      <c r="Q158" s="4776"/>
      <c r="R158" s="5582"/>
      <c r="S158" s="6751"/>
      <c r="T158" s="6665"/>
      <c r="U158" s="6665"/>
      <c r="V158" s="6665"/>
      <c r="W158" s="6665"/>
      <c r="X158" s="6665"/>
      <c r="Y158" s="6707"/>
      <c r="Z158" s="6665"/>
      <c r="AA158" s="6665"/>
      <c r="AB158" s="6665"/>
      <c r="AC158" s="6665"/>
      <c r="AD158" s="6665"/>
      <c r="AE158" s="6665"/>
      <c r="AF158" s="6497"/>
      <c r="AG158" s="6497"/>
      <c r="AH158" s="6497"/>
      <c r="AI158" s="6497"/>
      <c r="AJ158" s="6497"/>
      <c r="AK158" s="6497"/>
      <c r="AL158" s="6497"/>
      <c r="AM158" s="6497"/>
      <c r="AN158" s="6497"/>
      <c r="AO158" s="6493"/>
      <c r="AP158" s="6493"/>
      <c r="AQ158" s="6493"/>
      <c r="AR158" s="6493"/>
      <c r="AS158" s="6496"/>
      <c r="AT158" s="6496"/>
      <c r="DB158" s="6209">
        <v>0</v>
      </c>
      <c r="DC158" s="6209">
        <v>0</v>
      </c>
      <c r="DD158" s="6209">
        <v>0</v>
      </c>
    </row>
    <row r="159" spans="1:108" ht="16.350000000000001" customHeight="1" x14ac:dyDescent="0.2">
      <c r="A159" s="8635"/>
      <c r="B159" s="6729" t="s">
        <v>800</v>
      </c>
      <c r="C159" s="6769">
        <f>SUM(D159:E159)</f>
        <v>0</v>
      </c>
      <c r="D159" s="6770">
        <f t="shared" si="21"/>
        <v>0</v>
      </c>
      <c r="E159" s="6169">
        <f t="shared" si="21"/>
        <v>0</v>
      </c>
      <c r="F159" s="6711"/>
      <c r="G159" s="5341"/>
      <c r="H159" s="6711"/>
      <c r="I159" s="5341"/>
      <c r="J159" s="6711"/>
      <c r="K159" s="5341"/>
      <c r="L159" s="6711"/>
      <c r="M159" s="6771"/>
      <c r="N159" s="6772"/>
      <c r="O159" s="6773"/>
      <c r="P159" s="5523"/>
      <c r="Q159" s="5560"/>
      <c r="R159" s="5341"/>
      <c r="S159" s="6019"/>
      <c r="T159" s="4627"/>
      <c r="U159" s="4627"/>
      <c r="V159" s="4627"/>
      <c r="W159" s="4627"/>
      <c r="X159" s="4627"/>
      <c r="Y159" s="4627"/>
      <c r="Z159" s="6665"/>
      <c r="AA159" s="6665"/>
      <c r="AB159" s="6665"/>
      <c r="AC159" s="6665"/>
      <c r="AD159" s="6665"/>
      <c r="AE159" s="6665"/>
      <c r="AF159" s="6497"/>
      <c r="AG159" s="6497"/>
      <c r="AH159" s="6497"/>
      <c r="AI159" s="6497"/>
      <c r="AJ159" s="6497"/>
      <c r="AK159" s="6497"/>
      <c r="AL159" s="6497"/>
      <c r="AM159" s="6497"/>
      <c r="AN159" s="6497"/>
      <c r="AO159" s="6493"/>
      <c r="AP159" s="6493"/>
      <c r="AQ159" s="6493"/>
      <c r="AR159" s="6493"/>
      <c r="AS159" s="6496"/>
      <c r="AT159" s="6496"/>
    </row>
    <row r="160" spans="1:108" ht="16.350000000000001" customHeight="1" x14ac:dyDescent="0.2">
      <c r="A160" s="8767" t="s">
        <v>806</v>
      </c>
      <c r="B160" s="8767"/>
      <c r="C160" s="6774">
        <f>SUM(C157:C159)</f>
        <v>0</v>
      </c>
      <c r="D160" s="6775">
        <f>SUM(D157:D159)</f>
        <v>0</v>
      </c>
      <c r="E160" s="6776">
        <f>SUM(E157:E159)</f>
        <v>0</v>
      </c>
      <c r="F160" s="6774">
        <f>SUM(F157:F159)</f>
        <v>0</v>
      </c>
      <c r="G160" s="6776">
        <f t="shared" ref="G160:P160" si="22">SUM(G157:G159)</f>
        <v>0</v>
      </c>
      <c r="H160" s="6774">
        <f t="shared" si="22"/>
        <v>0</v>
      </c>
      <c r="I160" s="6776">
        <f t="shared" si="22"/>
        <v>0</v>
      </c>
      <c r="J160" s="6774">
        <f t="shared" si="22"/>
        <v>0</v>
      </c>
      <c r="K160" s="6776">
        <f t="shared" si="22"/>
        <v>0</v>
      </c>
      <c r="L160" s="6774">
        <f t="shared" si="22"/>
        <v>0</v>
      </c>
      <c r="M160" s="6777">
        <f t="shared" si="22"/>
        <v>0</v>
      </c>
      <c r="N160" s="6778">
        <f t="shared" si="22"/>
        <v>0</v>
      </c>
      <c r="O160" s="6779">
        <f t="shared" si="22"/>
        <v>0</v>
      </c>
      <c r="P160" s="6780">
        <f t="shared" si="22"/>
        <v>0</v>
      </c>
      <c r="Q160" s="4812">
        <f>SUM(Q157:Q159)</f>
        <v>0</v>
      </c>
      <c r="R160" s="6776">
        <f>SUM(R157:R159)</f>
        <v>0</v>
      </c>
      <c r="S160" s="6019"/>
      <c r="T160" s="4627"/>
      <c r="U160" s="4627"/>
      <c r="V160" s="4627"/>
      <c r="W160" s="4627"/>
      <c r="X160" s="4627"/>
      <c r="Y160" s="4627"/>
      <c r="Z160" s="6665"/>
      <c r="AA160" s="6665"/>
      <c r="AB160" s="6665"/>
      <c r="AC160" s="6665"/>
      <c r="AD160" s="6665"/>
      <c r="AE160" s="6665"/>
      <c r="AF160" s="6497"/>
      <c r="AG160" s="6497"/>
      <c r="AH160" s="6497"/>
      <c r="AI160" s="6497"/>
      <c r="AJ160" s="6497"/>
      <c r="AK160" s="6497"/>
      <c r="AL160" s="6497"/>
      <c r="AM160" s="6497"/>
      <c r="AN160" s="6497"/>
      <c r="AO160" s="6493"/>
      <c r="AP160" s="6493"/>
      <c r="AQ160" s="6493"/>
      <c r="AR160" s="6493"/>
      <c r="AS160" s="6496"/>
      <c r="AT160" s="6496"/>
    </row>
    <row r="161" spans="1:130" ht="16.350000000000001" customHeight="1" x14ac:dyDescent="0.2">
      <c r="A161" s="8751" t="s">
        <v>811</v>
      </c>
      <c r="B161" s="5639" t="s">
        <v>810</v>
      </c>
      <c r="C161" s="6781">
        <f>SUM(D161:E161)</f>
        <v>0</v>
      </c>
      <c r="D161" s="6782">
        <f>SUM(F161+H161+J161+L161)</f>
        <v>0</v>
      </c>
      <c r="E161" s="6783">
        <f>SUM(G161+I161+K161+M161)</f>
        <v>0</v>
      </c>
      <c r="F161" s="6726"/>
      <c r="G161" s="6573"/>
      <c r="H161" s="6726"/>
      <c r="I161" s="6573"/>
      <c r="J161" s="6726"/>
      <c r="K161" s="6573"/>
      <c r="L161" s="6726"/>
      <c r="M161" s="5403"/>
      <c r="N161" s="4429"/>
      <c r="O161" s="4294"/>
      <c r="P161" s="6728"/>
      <c r="Q161" s="4792"/>
      <c r="R161" s="6573"/>
      <c r="S161" s="6019"/>
      <c r="T161" s="4627"/>
      <c r="U161" s="4627"/>
      <c r="V161" s="4627"/>
      <c r="W161" s="4627"/>
      <c r="X161" s="4627"/>
      <c r="Y161" s="4627"/>
      <c r="Z161" s="6665"/>
      <c r="AA161" s="6665"/>
      <c r="AB161" s="6665"/>
      <c r="AC161" s="6665"/>
      <c r="AD161" s="6665"/>
      <c r="AE161" s="6665"/>
      <c r="AF161" s="6497"/>
      <c r="AG161" s="6497"/>
      <c r="AH161" s="6497"/>
      <c r="AI161" s="6497"/>
      <c r="AJ161" s="6497"/>
      <c r="AK161" s="6497"/>
      <c r="AL161" s="6497"/>
      <c r="AM161" s="6497"/>
      <c r="AN161" s="6497"/>
      <c r="AO161" s="6493"/>
      <c r="AP161" s="6493"/>
      <c r="AQ161" s="6493"/>
      <c r="AR161" s="6493"/>
      <c r="AS161" s="6496"/>
      <c r="AT161" s="6496"/>
      <c r="DB161" s="6209">
        <v>0</v>
      </c>
      <c r="DC161" s="6209">
        <v>0</v>
      </c>
      <c r="DD161" s="6209">
        <v>0</v>
      </c>
    </row>
    <row r="162" spans="1:130" ht="16.350000000000001" customHeight="1" x14ac:dyDescent="0.2">
      <c r="A162" s="8635"/>
      <c r="B162" s="5646" t="s">
        <v>809</v>
      </c>
      <c r="C162" s="6766">
        <f>SUM(D162:E162)</f>
        <v>0</v>
      </c>
      <c r="D162" s="6767">
        <f t="shared" ref="D162:E164" si="23">SUM(F162+H162+J162+L162)</f>
        <v>0</v>
      </c>
      <c r="E162" s="6164">
        <f t="shared" si="23"/>
        <v>0</v>
      </c>
      <c r="F162" s="4778"/>
      <c r="G162" s="5582"/>
      <c r="H162" s="4778"/>
      <c r="I162" s="5582"/>
      <c r="J162" s="4778"/>
      <c r="K162" s="5582"/>
      <c r="L162" s="4778"/>
      <c r="M162" s="5586"/>
      <c r="N162" s="6768"/>
      <c r="O162" s="4871"/>
      <c r="P162" s="4209"/>
      <c r="Q162" s="4776"/>
      <c r="R162" s="5582"/>
      <c r="S162" s="6970"/>
      <c r="T162" s="4684"/>
      <c r="U162" s="4684"/>
      <c r="V162" s="4684"/>
      <c r="W162" s="4684"/>
      <c r="X162" s="4684"/>
      <c r="Y162" s="4684"/>
      <c r="Z162" s="4684"/>
      <c r="AA162" s="4684"/>
      <c r="AB162" s="4684"/>
      <c r="AC162" s="6665"/>
      <c r="AD162" s="6665"/>
      <c r="AE162" s="6665"/>
      <c r="AF162" s="6497"/>
      <c r="AG162" s="6497"/>
      <c r="AH162" s="6497"/>
      <c r="AI162" s="6497"/>
      <c r="AJ162" s="6497"/>
      <c r="AK162" s="6497"/>
      <c r="AL162" s="6497"/>
      <c r="AM162" s="6497"/>
      <c r="AN162" s="6497"/>
      <c r="AO162" s="6493"/>
      <c r="AP162" s="6493"/>
      <c r="AQ162" s="6493"/>
      <c r="AR162" s="6493"/>
      <c r="AS162" s="6496"/>
      <c r="AT162" s="6496"/>
    </row>
    <row r="163" spans="1:130" ht="16.350000000000001" customHeight="1" x14ac:dyDescent="0.2">
      <c r="A163" s="8635"/>
      <c r="B163" s="5646" t="s">
        <v>808</v>
      </c>
      <c r="C163" s="6766">
        <f>SUM(D163:E163)</f>
        <v>0</v>
      </c>
      <c r="D163" s="6767">
        <f t="shared" si="23"/>
        <v>0</v>
      </c>
      <c r="E163" s="6164">
        <f t="shared" si="23"/>
        <v>0</v>
      </c>
      <c r="F163" s="4778"/>
      <c r="G163" s="5582"/>
      <c r="H163" s="4778"/>
      <c r="I163" s="5582"/>
      <c r="J163" s="4778"/>
      <c r="K163" s="5582"/>
      <c r="L163" s="4778"/>
      <c r="M163" s="5586"/>
      <c r="N163" s="6768"/>
      <c r="O163" s="4871"/>
      <c r="P163" s="4209"/>
      <c r="Q163" s="4776"/>
      <c r="R163" s="5582"/>
      <c r="S163" s="6019"/>
      <c r="T163" s="4627"/>
      <c r="U163" s="4627"/>
      <c r="V163" s="4627"/>
      <c r="W163" s="4627"/>
      <c r="X163" s="4627"/>
      <c r="Y163" s="4627"/>
      <c r="Z163" s="6665"/>
      <c r="AA163" s="6665"/>
      <c r="AB163" s="6665"/>
      <c r="AC163" s="6665"/>
      <c r="AD163" s="6665"/>
      <c r="AE163" s="6665"/>
      <c r="AF163" s="6497"/>
      <c r="AG163" s="6497"/>
      <c r="AH163" s="6497"/>
      <c r="AI163" s="6497"/>
      <c r="AJ163" s="6497"/>
      <c r="AK163" s="6497"/>
      <c r="AL163" s="6497"/>
      <c r="AM163" s="6497"/>
      <c r="AN163" s="6497"/>
      <c r="AO163" s="6497"/>
      <c r="AP163" s="6497"/>
      <c r="AQ163" s="6497"/>
      <c r="AR163" s="6497"/>
      <c r="AS163" s="6497"/>
      <c r="AT163" s="6497"/>
    </row>
    <row r="164" spans="1:130" ht="15.75" customHeight="1" x14ac:dyDescent="0.2">
      <c r="A164" s="8636"/>
      <c r="B164" s="5684" t="s">
        <v>807</v>
      </c>
      <c r="C164" s="6769">
        <f>SUM(D164:E164)</f>
        <v>0</v>
      </c>
      <c r="D164" s="6770">
        <f t="shared" si="23"/>
        <v>0</v>
      </c>
      <c r="E164" s="6169">
        <f t="shared" si="23"/>
        <v>0</v>
      </c>
      <c r="F164" s="6711"/>
      <c r="G164" s="5341"/>
      <c r="H164" s="6711"/>
      <c r="I164" s="5341"/>
      <c r="J164" s="6711"/>
      <c r="K164" s="5341"/>
      <c r="L164" s="6711"/>
      <c r="M164" s="6771"/>
      <c r="N164" s="6772"/>
      <c r="O164" s="6773"/>
      <c r="P164" s="5523"/>
      <c r="Q164" s="5560"/>
      <c r="R164" s="5341"/>
      <c r="S164" s="6019"/>
      <c r="T164" s="4627"/>
      <c r="U164" s="4627"/>
      <c r="V164" s="4627"/>
      <c r="W164" s="4627"/>
      <c r="X164" s="4627"/>
      <c r="Y164" s="4627"/>
      <c r="Z164" s="4627"/>
      <c r="AA164" s="4627"/>
      <c r="AB164" s="6665"/>
      <c r="AC164" s="6665"/>
      <c r="AD164" s="6665"/>
      <c r="AE164" s="6665"/>
      <c r="AF164" s="6497"/>
      <c r="AG164" s="6497"/>
      <c r="AH164" s="6497"/>
      <c r="AI164" s="6497"/>
      <c r="AJ164" s="6497"/>
      <c r="AK164" s="6497"/>
      <c r="AL164" s="6497"/>
      <c r="AM164" s="6497"/>
      <c r="AN164" s="6497"/>
      <c r="AO164" s="6497"/>
      <c r="AP164" s="6497"/>
      <c r="AQ164" s="6497"/>
      <c r="AR164" s="6497"/>
      <c r="AS164" s="6497"/>
      <c r="AT164" s="6497"/>
      <c r="AU164" s="6497"/>
      <c r="AV164" s="6497"/>
    </row>
    <row r="165" spans="1:130" ht="16.350000000000001" customHeight="1" x14ac:dyDescent="0.2">
      <c r="A165" s="8766" t="s">
        <v>806</v>
      </c>
      <c r="B165" s="8767"/>
      <c r="C165" s="6774">
        <f>SUM(C161:C164)</f>
        <v>0</v>
      </c>
      <c r="D165" s="6775">
        <f>SUM(D161:D164)</f>
        <v>0</v>
      </c>
      <c r="E165" s="6776">
        <f>SUM(E161:E164)</f>
        <v>0</v>
      </c>
      <c r="F165" s="6774">
        <f>SUM(F161:F164)</f>
        <v>0</v>
      </c>
      <c r="G165" s="6776">
        <f t="shared" ref="G165:P165" si="24">SUM(G161:G164)</f>
        <v>0</v>
      </c>
      <c r="H165" s="6774">
        <f t="shared" si="24"/>
        <v>0</v>
      </c>
      <c r="I165" s="6776">
        <f t="shared" si="24"/>
        <v>0</v>
      </c>
      <c r="J165" s="6774">
        <f t="shared" si="24"/>
        <v>0</v>
      </c>
      <c r="K165" s="6776">
        <f t="shared" si="24"/>
        <v>0</v>
      </c>
      <c r="L165" s="6774">
        <f t="shared" si="24"/>
        <v>0</v>
      </c>
      <c r="M165" s="6777">
        <f t="shared" si="24"/>
        <v>0</v>
      </c>
      <c r="N165" s="6778">
        <f t="shared" si="24"/>
        <v>0</v>
      </c>
      <c r="O165" s="6779">
        <f t="shared" si="24"/>
        <v>0</v>
      </c>
      <c r="P165" s="6780">
        <f t="shared" si="24"/>
        <v>0</v>
      </c>
      <c r="Q165" s="4812">
        <f>SUM(Q161:Q164)</f>
        <v>0</v>
      </c>
      <c r="R165" s="6776">
        <f>SUM(R161:R164)</f>
        <v>0</v>
      </c>
      <c r="S165" s="6019"/>
      <c r="T165" s="4627"/>
      <c r="U165" s="4627"/>
      <c r="V165" s="4627"/>
      <c r="W165" s="6665"/>
      <c r="X165" s="6665"/>
      <c r="Y165" s="6665"/>
      <c r="Z165" s="6665"/>
      <c r="AA165" s="6665"/>
      <c r="AB165" s="6665"/>
      <c r="AC165" s="6665"/>
      <c r="AD165" s="6665"/>
      <c r="AE165" s="6665"/>
      <c r="AF165" s="6497"/>
      <c r="AG165" s="6497"/>
      <c r="AH165" s="6497"/>
      <c r="AI165" s="6497"/>
      <c r="AJ165" s="6497"/>
      <c r="AK165" s="6497"/>
      <c r="AL165" s="6497"/>
      <c r="AM165" s="6497"/>
      <c r="AN165" s="6497"/>
      <c r="AO165" s="6497"/>
      <c r="AP165" s="6497"/>
      <c r="AQ165" s="6497"/>
    </row>
    <row r="166" spans="1:130" ht="16.350000000000001" customHeight="1" x14ac:dyDescent="0.2">
      <c r="A166" s="8770" t="s">
        <v>805</v>
      </c>
      <c r="B166" s="8770"/>
      <c r="C166" s="6784">
        <f>SUM(C160+C165)</f>
        <v>0</v>
      </c>
      <c r="D166" s="6785">
        <f t="shared" ref="D166:P166" si="25">SUM(D160+D165)</f>
        <v>0</v>
      </c>
      <c r="E166" s="6301">
        <f t="shared" si="25"/>
        <v>0</v>
      </c>
      <c r="F166" s="6784">
        <f t="shared" si="25"/>
        <v>0</v>
      </c>
      <c r="G166" s="6301">
        <f t="shared" si="25"/>
        <v>0</v>
      </c>
      <c r="H166" s="6784">
        <f t="shared" si="25"/>
        <v>0</v>
      </c>
      <c r="I166" s="6301">
        <f t="shared" si="25"/>
        <v>0</v>
      </c>
      <c r="J166" s="6784">
        <f t="shared" si="25"/>
        <v>0</v>
      </c>
      <c r="K166" s="6301">
        <f t="shared" si="25"/>
        <v>0</v>
      </c>
      <c r="L166" s="6784">
        <f t="shared" si="25"/>
        <v>0</v>
      </c>
      <c r="M166" s="6204">
        <f t="shared" si="25"/>
        <v>0</v>
      </c>
      <c r="N166" s="6786">
        <f t="shared" si="25"/>
        <v>0</v>
      </c>
      <c r="O166" s="6787">
        <f t="shared" si="25"/>
        <v>0</v>
      </c>
      <c r="P166" s="6788">
        <f t="shared" si="25"/>
        <v>0</v>
      </c>
      <c r="Q166" s="6789">
        <f>SUM(Q160+Q165)</f>
        <v>0</v>
      </c>
      <c r="R166" s="6301">
        <f>SUM(R160+R165)</f>
        <v>0</v>
      </c>
      <c r="S166" s="6019"/>
      <c r="T166" s="4627"/>
      <c r="U166" s="4627"/>
      <c r="V166" s="4627"/>
      <c r="W166" s="6665"/>
      <c r="X166" s="6665"/>
      <c r="Y166" s="6665"/>
      <c r="Z166" s="6665"/>
      <c r="AA166" s="6665"/>
      <c r="AB166" s="6665"/>
      <c r="AC166" s="6665"/>
      <c r="AD166" s="6665"/>
      <c r="AE166" s="6665"/>
      <c r="AF166" s="6497"/>
      <c r="AG166" s="6497"/>
      <c r="AH166" s="6497"/>
      <c r="AI166" s="6497"/>
      <c r="AJ166" s="6497"/>
      <c r="AK166" s="6497"/>
      <c r="AL166" s="6497"/>
      <c r="AM166" s="6497"/>
      <c r="AN166" s="6497"/>
      <c r="AO166" s="6497"/>
      <c r="AP166" s="6497"/>
      <c r="AQ166" s="6497"/>
    </row>
    <row r="167" spans="1:130" ht="21" customHeight="1" x14ac:dyDescent="0.2">
      <c r="A167" s="6619" t="s">
        <v>804</v>
      </c>
      <c r="B167" s="6619"/>
      <c r="P167" s="4627"/>
      <c r="Q167" s="4627"/>
      <c r="R167" s="4627"/>
      <c r="S167" s="4627"/>
      <c r="T167" s="4627"/>
      <c r="U167" s="4627"/>
      <c r="V167" s="4627"/>
      <c r="W167" s="6665"/>
      <c r="X167" s="6665"/>
      <c r="Y167" s="6665"/>
      <c r="Z167" s="6665"/>
      <c r="AA167" s="6665"/>
      <c r="AB167" s="6665"/>
      <c r="AC167" s="6665"/>
      <c r="AD167" s="6665"/>
      <c r="AE167" s="6665"/>
      <c r="AF167" s="6497"/>
      <c r="AG167" s="6497"/>
      <c r="AH167" s="6497"/>
      <c r="AI167" s="6497"/>
      <c r="AJ167" s="6497"/>
      <c r="AK167" s="6497"/>
      <c r="AL167" s="6497"/>
      <c r="AM167" s="6497"/>
      <c r="AN167" s="6497"/>
      <c r="AO167" s="6497"/>
      <c r="AP167" s="6497"/>
      <c r="AQ167" s="6497"/>
    </row>
    <row r="168" spans="1:130" ht="16.350000000000001" customHeight="1" x14ac:dyDescent="0.2">
      <c r="A168" s="8663" t="s">
        <v>803</v>
      </c>
      <c r="B168" s="8664"/>
      <c r="C168" s="8786" t="s">
        <v>24</v>
      </c>
      <c r="D168" s="8786"/>
      <c r="E168" s="8719"/>
      <c r="F168" s="8630" t="s">
        <v>1404</v>
      </c>
      <c r="G168" s="8631"/>
      <c r="H168" s="8630" t="s">
        <v>1395</v>
      </c>
      <c r="I168" s="8631"/>
      <c r="J168" s="8630" t="s">
        <v>1394</v>
      </c>
      <c r="K168" s="8631"/>
      <c r="L168" s="8630" t="s">
        <v>1393</v>
      </c>
      <c r="M168" s="8631"/>
      <c r="N168" s="8630" t="s">
        <v>1403</v>
      </c>
      <c r="O168" s="8633"/>
      <c r="P168" s="8727" t="s">
        <v>360</v>
      </c>
      <c r="Q168" s="8727" t="s">
        <v>359</v>
      </c>
      <c r="R168" s="4627"/>
      <c r="S168" s="4627"/>
      <c r="T168" s="4627"/>
      <c r="U168" s="4627"/>
      <c r="V168" s="4627"/>
      <c r="W168" s="6665"/>
      <c r="X168" s="6665"/>
      <c r="Y168" s="6665"/>
      <c r="Z168" s="6665"/>
      <c r="AA168" s="6665"/>
      <c r="AB168" s="6665"/>
      <c r="AC168" s="6665"/>
      <c r="AD168" s="6665"/>
      <c r="AE168" s="6665"/>
      <c r="AF168" s="6497"/>
      <c r="AG168" s="6497"/>
      <c r="AH168" s="6497"/>
      <c r="AI168" s="6497"/>
      <c r="AJ168" s="6497"/>
      <c r="AK168" s="6497"/>
      <c r="AL168" s="6497"/>
      <c r="AM168" s="6497"/>
      <c r="AN168" s="6497"/>
      <c r="AO168" s="6497"/>
      <c r="AP168" s="6497"/>
      <c r="AQ168" s="6790"/>
      <c r="AR168" s="6491"/>
      <c r="AS168" s="6491"/>
      <c r="AT168" s="6491"/>
      <c r="AU168" s="6491"/>
      <c r="AV168" s="6491"/>
      <c r="AW168" s="6491"/>
      <c r="AX168" s="6791"/>
      <c r="AY168" s="6791"/>
      <c r="AZ168" s="6791"/>
      <c r="BA168" s="6491"/>
      <c r="BB168" s="6491"/>
      <c r="BC168" s="6491"/>
    </row>
    <row r="169" spans="1:130" ht="31.5" customHeight="1" x14ac:dyDescent="0.2">
      <c r="A169" s="8665"/>
      <c r="B169" s="8666"/>
      <c r="C169" s="6494" t="s">
        <v>42</v>
      </c>
      <c r="D169" s="5620" t="s">
        <v>17</v>
      </c>
      <c r="E169" s="6629" t="s">
        <v>18</v>
      </c>
      <c r="F169" s="6494" t="s">
        <v>17</v>
      </c>
      <c r="G169" s="6629" t="s">
        <v>18</v>
      </c>
      <c r="H169" s="6494" t="s">
        <v>17</v>
      </c>
      <c r="I169" s="6629" t="s">
        <v>18</v>
      </c>
      <c r="J169" s="6494" t="s">
        <v>17</v>
      </c>
      <c r="K169" s="6629" t="s">
        <v>18</v>
      </c>
      <c r="L169" s="6494" t="s">
        <v>17</v>
      </c>
      <c r="M169" s="6629" t="s">
        <v>18</v>
      </c>
      <c r="N169" s="6406" t="s">
        <v>17</v>
      </c>
      <c r="O169" s="6792" t="s">
        <v>18</v>
      </c>
      <c r="P169" s="8728"/>
      <c r="Q169" s="8728"/>
      <c r="R169" s="4627"/>
      <c r="S169" s="4627"/>
      <c r="T169" s="4627"/>
      <c r="U169" s="4627"/>
      <c r="V169" s="4627"/>
      <c r="W169" s="6665"/>
      <c r="X169" s="6665"/>
      <c r="Y169" s="6665"/>
      <c r="Z169" s="6665"/>
      <c r="AA169" s="6665"/>
      <c r="AB169" s="6665"/>
      <c r="AC169" s="6665"/>
      <c r="AD169" s="6665"/>
      <c r="AE169" s="6665"/>
      <c r="AF169" s="6497"/>
      <c r="AG169" s="6497"/>
      <c r="AH169" s="6497"/>
      <c r="AI169" s="6497"/>
      <c r="AJ169" s="6497"/>
      <c r="AK169" s="6497"/>
      <c r="AL169" s="6497"/>
      <c r="AM169" s="6497"/>
      <c r="AN169" s="6497"/>
      <c r="AO169" s="6497"/>
      <c r="AP169" s="6497"/>
      <c r="AQ169" s="6671"/>
      <c r="AR169" s="6491"/>
      <c r="AS169" s="6491"/>
      <c r="AT169" s="6491"/>
      <c r="AU169" s="6491"/>
      <c r="AV169" s="6491"/>
      <c r="AW169" s="6491"/>
      <c r="AX169" s="6791"/>
      <c r="AY169" s="6791"/>
      <c r="AZ169" s="6791"/>
      <c r="BA169" s="6491"/>
      <c r="BB169" s="6491"/>
      <c r="BC169" s="6491"/>
    </row>
    <row r="170" spans="1:130" s="4879" customFormat="1" ht="16.350000000000001" customHeight="1" x14ac:dyDescent="0.2">
      <c r="A170" s="8661" t="s">
        <v>742</v>
      </c>
      <c r="B170" s="6793" t="s">
        <v>802</v>
      </c>
      <c r="C170" s="6736">
        <f>SUM(D170+E170)</f>
        <v>0</v>
      </c>
      <c r="D170" s="6737">
        <f>SUM(F170+H170+J170+L170+N170)</f>
        <v>0</v>
      </c>
      <c r="E170" s="6738">
        <f>SUM(G170+I170+K170+M170+O170)</f>
        <v>0</v>
      </c>
      <c r="F170" s="6499"/>
      <c r="G170" s="6537"/>
      <c r="H170" s="6499"/>
      <c r="I170" s="6573"/>
      <c r="J170" s="6726"/>
      <c r="K170" s="6573"/>
      <c r="L170" s="6726"/>
      <c r="M170" s="6573"/>
      <c r="N170" s="6727"/>
      <c r="O170" s="6794"/>
      <c r="P170" s="4803"/>
      <c r="Q170" s="4803"/>
      <c r="R170" s="6751"/>
      <c r="S170" s="6665"/>
      <c r="T170" s="6665"/>
      <c r="U170" s="6665"/>
      <c r="V170" s="6665"/>
      <c r="W170" s="6665"/>
      <c r="X170" s="6665"/>
      <c r="Y170" s="6665"/>
      <c r="Z170" s="6665"/>
      <c r="AA170" s="6665"/>
      <c r="AB170" s="6665"/>
      <c r="AC170" s="6665"/>
      <c r="AD170" s="6497"/>
      <c r="AE170" s="6497"/>
      <c r="AF170" s="6497"/>
      <c r="AG170" s="6497"/>
      <c r="AH170" s="6497"/>
      <c r="AI170" s="6725"/>
      <c r="AJ170" s="6791"/>
      <c r="AK170" s="6791"/>
      <c r="AL170" s="6791"/>
      <c r="AM170" s="6791"/>
      <c r="AN170" s="6791"/>
      <c r="AO170" s="6791"/>
      <c r="AP170" s="6791"/>
      <c r="AQ170" s="6791"/>
      <c r="AR170" s="6791"/>
      <c r="AS170" s="6791"/>
      <c r="AT170" s="6791"/>
      <c r="AU170" s="6791"/>
      <c r="AV170" s="6791"/>
      <c r="AW170" s="6791"/>
      <c r="AX170" s="6791"/>
      <c r="AY170" s="6791"/>
      <c r="AZ170" s="6791"/>
      <c r="BA170" s="6791"/>
      <c r="BB170" s="6791"/>
      <c r="BC170" s="6791"/>
      <c r="BD170" s="6791"/>
      <c r="BE170" s="6791"/>
      <c r="BF170" s="6791"/>
      <c r="BG170" s="6791"/>
      <c r="BH170" s="6791"/>
      <c r="BI170" s="6791"/>
      <c r="BJ170" s="6791"/>
      <c r="BK170" s="6791"/>
      <c r="BL170" s="6791"/>
      <c r="BM170" s="6791"/>
      <c r="BN170" s="6791"/>
      <c r="BO170" s="6791"/>
      <c r="BP170" s="6791"/>
      <c r="BQ170" s="6791"/>
      <c r="BR170" s="6791"/>
      <c r="BS170" s="6791"/>
      <c r="BT170" s="6791"/>
      <c r="BU170" s="6791"/>
      <c r="BV170" s="6791"/>
      <c r="BW170" s="6791"/>
      <c r="BX170" s="6791"/>
      <c r="BY170" s="6791"/>
      <c r="BZ170" s="6791"/>
      <c r="CA170" s="6795"/>
      <c r="CB170" s="6795"/>
      <c r="CC170" s="6795"/>
      <c r="CD170" s="6795"/>
      <c r="CE170" s="6795"/>
      <c r="CF170" s="6795"/>
      <c r="CG170" s="6795"/>
      <c r="CH170" s="6795"/>
      <c r="CI170" s="6795"/>
      <c r="CJ170" s="6795"/>
      <c r="CK170" s="6795"/>
      <c r="CL170" s="6795"/>
      <c r="CM170" s="6795"/>
      <c r="CN170" s="6795"/>
      <c r="CO170" s="6795"/>
      <c r="CP170" s="6795"/>
      <c r="CQ170" s="6795"/>
      <c r="CR170" s="6795"/>
      <c r="CS170" s="6795"/>
      <c r="CT170" s="6795"/>
      <c r="CU170" s="6795"/>
      <c r="CV170" s="6795"/>
      <c r="CW170" s="6795"/>
      <c r="CX170" s="6795"/>
      <c r="CY170" s="6795"/>
      <c r="CZ170" s="6795"/>
      <c r="DA170" s="6209"/>
      <c r="DB170" s="6209">
        <v>0</v>
      </c>
      <c r="DC170" s="6209"/>
      <c r="DD170" s="6209">
        <v>0</v>
      </c>
      <c r="DE170" s="6209"/>
      <c r="DF170" s="6209"/>
      <c r="DG170" s="6209"/>
      <c r="DH170" s="6209"/>
      <c r="DI170" s="6209"/>
      <c r="DJ170" s="6209"/>
      <c r="DK170" s="6209"/>
      <c r="DL170" s="6209"/>
      <c r="DM170" s="6209"/>
      <c r="DN170" s="6209"/>
      <c r="DO170" s="6209"/>
      <c r="DP170" s="6209"/>
      <c r="DQ170" s="6209"/>
      <c r="DR170" s="6209"/>
      <c r="DS170" s="6209"/>
      <c r="DT170" s="6209"/>
      <c r="DU170" s="6209"/>
      <c r="DV170" s="6209"/>
      <c r="DW170" s="6209"/>
      <c r="DX170" s="6209"/>
      <c r="DY170" s="6209"/>
      <c r="DZ170" s="6209"/>
    </row>
    <row r="171" spans="1:130" s="4879" customFormat="1" ht="16.350000000000001" customHeight="1" x14ac:dyDescent="0.2">
      <c r="A171" s="8635"/>
      <c r="B171" s="4532" t="s">
        <v>801</v>
      </c>
      <c r="C171" s="6639">
        <f>SUM(D171+E171)</f>
        <v>0</v>
      </c>
      <c r="D171" s="6640">
        <f>SUM(H171+J171+L171+N171)</f>
        <v>0</v>
      </c>
      <c r="E171" s="6641">
        <f>SUM(I171+K171+M171+O171)</f>
        <v>0</v>
      </c>
      <c r="F171" s="6796"/>
      <c r="G171" s="6797"/>
      <c r="H171" s="6726"/>
      <c r="I171" s="6573"/>
      <c r="J171" s="6726"/>
      <c r="K171" s="6573"/>
      <c r="L171" s="6726"/>
      <c r="M171" s="6573"/>
      <c r="N171" s="6727"/>
      <c r="O171" s="4295"/>
      <c r="P171" s="4792"/>
      <c r="Q171" s="4792"/>
      <c r="R171" s="6751"/>
      <c r="S171" s="6665"/>
      <c r="T171" s="6665"/>
      <c r="U171" s="6665"/>
      <c r="V171" s="6665"/>
      <c r="W171" s="6665"/>
      <c r="X171" s="6665"/>
      <c r="Y171" s="6665"/>
      <c r="Z171" s="6665"/>
      <c r="AA171" s="6665"/>
      <c r="AB171" s="6665"/>
      <c r="AC171" s="6665"/>
      <c r="AD171" s="6497"/>
      <c r="AE171" s="6497"/>
      <c r="AF171" s="6497"/>
      <c r="AG171" s="6497"/>
      <c r="AH171" s="6497"/>
      <c r="AI171" s="6725"/>
      <c r="AJ171" s="6791"/>
      <c r="AK171" s="6791"/>
      <c r="AL171" s="6791"/>
      <c r="AM171" s="6791"/>
      <c r="AN171" s="6791"/>
      <c r="AO171" s="6791"/>
      <c r="AP171" s="6791"/>
      <c r="AQ171" s="6791"/>
      <c r="AR171" s="6791"/>
      <c r="AS171" s="6791"/>
      <c r="AT171" s="6791"/>
      <c r="AU171" s="6791"/>
      <c r="AV171" s="6791"/>
      <c r="AW171" s="6791"/>
      <c r="AX171" s="6791"/>
      <c r="AY171" s="6791"/>
      <c r="AZ171" s="6791"/>
      <c r="BA171" s="6791"/>
      <c r="BB171" s="6791"/>
      <c r="BC171" s="6791"/>
      <c r="BD171" s="6791"/>
      <c r="BE171" s="6791"/>
      <c r="BF171" s="6791"/>
      <c r="BG171" s="6791"/>
      <c r="BH171" s="6791"/>
      <c r="BI171" s="6791"/>
      <c r="BJ171" s="6791"/>
      <c r="BK171" s="6791"/>
      <c r="BL171" s="6791"/>
      <c r="BM171" s="6791"/>
      <c r="BN171" s="6791"/>
      <c r="BO171" s="6791"/>
      <c r="BP171" s="6791"/>
      <c r="BQ171" s="6791"/>
      <c r="BR171" s="6791"/>
      <c r="BS171" s="6791"/>
      <c r="BT171" s="6791"/>
      <c r="BU171" s="6791"/>
      <c r="BV171" s="6791"/>
      <c r="BW171" s="6791"/>
      <c r="BX171" s="6791"/>
      <c r="BY171" s="6791"/>
      <c r="BZ171" s="6791"/>
      <c r="CA171" s="6795"/>
      <c r="CB171" s="6795"/>
      <c r="CC171" s="6795"/>
      <c r="CD171" s="6795"/>
      <c r="CE171" s="6795"/>
      <c r="CF171" s="6795"/>
      <c r="CG171" s="6795"/>
      <c r="CH171" s="6795"/>
      <c r="CI171" s="6795"/>
      <c r="CJ171" s="6795"/>
      <c r="CK171" s="6795"/>
      <c r="CL171" s="6795"/>
      <c r="CM171" s="6795"/>
      <c r="CN171" s="6795"/>
      <c r="CO171" s="6795"/>
      <c r="CP171" s="6795"/>
      <c r="CQ171" s="6795"/>
      <c r="CR171" s="6795"/>
      <c r="CS171" s="6795"/>
      <c r="CT171" s="6795"/>
      <c r="CU171" s="6795"/>
      <c r="CV171" s="6795"/>
      <c r="CW171" s="6795"/>
      <c r="CX171" s="6795"/>
      <c r="CY171" s="6795"/>
      <c r="CZ171" s="6795"/>
      <c r="DA171" s="6209"/>
      <c r="DB171" s="6209">
        <v>0</v>
      </c>
      <c r="DC171" s="6209"/>
      <c r="DD171" s="6209">
        <v>0</v>
      </c>
      <c r="DE171" s="6209"/>
      <c r="DF171" s="6209"/>
      <c r="DG171" s="6209"/>
      <c r="DH171" s="6209"/>
      <c r="DI171" s="6209"/>
      <c r="DJ171" s="6209"/>
      <c r="DK171" s="6209"/>
      <c r="DL171" s="6209"/>
      <c r="DM171" s="6209"/>
      <c r="DN171" s="6209"/>
      <c r="DO171" s="6209"/>
      <c r="DP171" s="6209"/>
      <c r="DQ171" s="6209"/>
      <c r="DR171" s="6209"/>
      <c r="DS171" s="6209"/>
      <c r="DT171" s="6209"/>
      <c r="DU171" s="6209"/>
      <c r="DV171" s="6209"/>
      <c r="DW171" s="6209"/>
      <c r="DX171" s="6209"/>
      <c r="DY171" s="6209"/>
      <c r="DZ171" s="6209"/>
    </row>
    <row r="172" spans="1:130" ht="16.350000000000001" customHeight="1" x14ac:dyDescent="0.2">
      <c r="A172" s="8635"/>
      <c r="B172" s="7585" t="s">
        <v>800</v>
      </c>
      <c r="C172" s="6715">
        <f>SUM(D172+E172)</f>
        <v>0</v>
      </c>
      <c r="D172" s="6716">
        <f>SUM(H172+J172+L172+N172)</f>
        <v>0</v>
      </c>
      <c r="E172" s="6717">
        <f>SUM(I172+K172+M172+O172)</f>
        <v>0</v>
      </c>
      <c r="F172" s="6798"/>
      <c r="G172" s="6799"/>
      <c r="H172" s="4796"/>
      <c r="I172" s="4888"/>
      <c r="J172" s="4796"/>
      <c r="K172" s="4888"/>
      <c r="L172" s="4796"/>
      <c r="M172" s="4888"/>
      <c r="N172" s="6593"/>
      <c r="O172" s="6800"/>
      <c r="P172" s="4787"/>
      <c r="Q172" s="4787"/>
      <c r="R172" s="6751"/>
      <c r="S172" s="6665"/>
      <c r="T172" s="6665"/>
      <c r="U172" s="6665"/>
      <c r="V172" s="6665"/>
      <c r="W172" s="6665"/>
      <c r="X172" s="6665"/>
      <c r="Y172" s="6665"/>
      <c r="Z172" s="6665"/>
      <c r="AA172" s="6665"/>
      <c r="AB172" s="6665"/>
      <c r="AC172" s="6665"/>
      <c r="AD172" s="6497"/>
      <c r="AE172" s="6497"/>
      <c r="AF172" s="6497"/>
      <c r="AG172" s="6497"/>
      <c r="AH172" s="6497"/>
      <c r="AI172" s="6725"/>
      <c r="AJ172" s="6491"/>
      <c r="AK172" s="6491"/>
      <c r="AL172" s="6491"/>
      <c r="AM172" s="6491"/>
      <c r="AN172" s="6491"/>
      <c r="AO172" s="6491"/>
      <c r="AP172" s="6491"/>
      <c r="AQ172" s="6491"/>
      <c r="AR172" s="6491"/>
      <c r="AS172" s="6491"/>
      <c r="AT172" s="6491"/>
      <c r="AU172" s="6491"/>
    </row>
    <row r="173" spans="1:130" ht="16.350000000000001" customHeight="1" thickBot="1" x14ac:dyDescent="0.25">
      <c r="A173" s="8848"/>
      <c r="B173" s="7586" t="s">
        <v>799</v>
      </c>
      <c r="C173" s="6802">
        <f>SUM(C170:C172)</f>
        <v>0</v>
      </c>
      <c r="D173" s="6803">
        <f>SUM(D170:D172)</f>
        <v>0</v>
      </c>
      <c r="E173" s="6804">
        <f>SUM(E170:E172)</f>
        <v>0</v>
      </c>
      <c r="F173" s="6802">
        <f>SUM(F170:F172)</f>
        <v>0</v>
      </c>
      <c r="G173" s="6804">
        <f t="shared" ref="G173:O173" si="26">SUM(G170:G172)</f>
        <v>0</v>
      </c>
      <c r="H173" s="6802">
        <f t="shared" si="26"/>
        <v>0</v>
      </c>
      <c r="I173" s="6804">
        <f t="shared" si="26"/>
        <v>0</v>
      </c>
      <c r="J173" s="6802">
        <f t="shared" si="26"/>
        <v>0</v>
      </c>
      <c r="K173" s="6804">
        <f t="shared" si="26"/>
        <v>0</v>
      </c>
      <c r="L173" s="6802">
        <f t="shared" si="26"/>
        <v>0</v>
      </c>
      <c r="M173" s="6804">
        <f t="shared" si="26"/>
        <v>0</v>
      </c>
      <c r="N173" s="6802">
        <f t="shared" si="26"/>
        <v>0</v>
      </c>
      <c r="O173" s="6805">
        <f t="shared" si="26"/>
        <v>0</v>
      </c>
      <c r="P173" s="6804">
        <f>SUM(P170:P172)</f>
        <v>0</v>
      </c>
      <c r="Q173" s="6804">
        <f>SUM(Q170:Q172)</f>
        <v>0</v>
      </c>
      <c r="R173" s="6019"/>
      <c r="S173" s="4627"/>
      <c r="T173" s="4627"/>
      <c r="U173" s="4627"/>
      <c r="V173" s="4627"/>
      <c r="W173" s="4627"/>
      <c r="X173" s="4627"/>
      <c r="Y173" s="6665"/>
      <c r="Z173" s="6665"/>
      <c r="AA173" s="6665"/>
      <c r="AB173" s="6665"/>
      <c r="AC173" s="6665"/>
      <c r="AD173" s="6497"/>
      <c r="AE173" s="6497"/>
      <c r="AF173" s="6497"/>
      <c r="AG173" s="6497"/>
      <c r="AH173" s="6497"/>
      <c r="AI173" s="6497"/>
      <c r="AJ173" s="6497"/>
      <c r="AK173" s="6497"/>
      <c r="AL173" s="6497"/>
      <c r="AM173" s="6497"/>
      <c r="AN173" s="6497"/>
      <c r="AO173" s="6790"/>
      <c r="AP173" s="6497"/>
      <c r="AQ173" s="6497"/>
      <c r="AR173" s="6519"/>
      <c r="AS173" s="6491"/>
      <c r="AT173" s="6697"/>
      <c r="AU173" s="6697"/>
      <c r="AV173" s="6697"/>
      <c r="AW173" s="6697"/>
      <c r="AX173" s="6791"/>
      <c r="AY173" s="6791"/>
      <c r="AZ173" s="6791"/>
      <c r="BA173" s="6697"/>
      <c r="BB173" s="6697"/>
      <c r="BC173" s="6697"/>
      <c r="BD173" s="4657"/>
      <c r="BE173" s="4657"/>
    </row>
    <row r="174" spans="1:130" ht="16.350000000000001" customHeight="1" thickTop="1" x14ac:dyDescent="0.2">
      <c r="A174" s="8678" t="s">
        <v>798</v>
      </c>
      <c r="B174" s="7584" t="s">
        <v>797</v>
      </c>
      <c r="C174" s="6806">
        <f>SUM(D174+E174)</f>
        <v>0</v>
      </c>
      <c r="D174" s="6807">
        <f>SUM(F174+H174+J174+L174+N174)</f>
        <v>0</v>
      </c>
      <c r="E174" s="6808">
        <f>SUM(G174+I174+K174+M174+O174)</f>
        <v>0</v>
      </c>
      <c r="F174" s="6809"/>
      <c r="G174" s="6810"/>
      <c r="H174" s="6811"/>
      <c r="I174" s="6810"/>
      <c r="J174" s="6812"/>
      <c r="K174" s="6573"/>
      <c r="L174" s="6812"/>
      <c r="M174" s="6573"/>
      <c r="N174" s="6813"/>
      <c r="O174" s="6814"/>
      <c r="P174" s="5460"/>
      <c r="Q174" s="6815"/>
      <c r="R174" s="6019"/>
      <c r="S174" s="4627"/>
      <c r="T174" s="4627"/>
      <c r="U174" s="4627"/>
      <c r="V174" s="4627"/>
      <c r="W174" s="4627"/>
      <c r="X174" s="4627"/>
      <c r="Y174" s="6682"/>
      <c r="Z174" s="6667"/>
      <c r="AA174" s="4627"/>
      <c r="AB174" s="6816"/>
      <c r="AC174" s="6667"/>
      <c r="AD174" s="4302"/>
      <c r="AE174" s="6817"/>
      <c r="AF174" s="6817"/>
      <c r="AG174" s="6817"/>
      <c r="AH174" s="6497"/>
      <c r="AI174" s="4302"/>
      <c r="AJ174" s="6790"/>
      <c r="AK174" s="6790"/>
      <c r="AL174" s="6790"/>
      <c r="AM174" s="6497"/>
      <c r="AN174" s="4302"/>
      <c r="AO174" s="6790"/>
      <c r="AP174" s="6497"/>
      <c r="AQ174" s="6497"/>
      <c r="AT174" s="4657"/>
      <c r="AU174" s="4657"/>
      <c r="AV174" s="4657"/>
      <c r="AW174" s="4657"/>
      <c r="BA174" s="4657"/>
      <c r="BB174" s="4657"/>
      <c r="BC174" s="4657"/>
      <c r="BD174" s="4657"/>
      <c r="BE174" s="4657"/>
      <c r="BF174" s="4657"/>
      <c r="BG174" s="4657"/>
      <c r="DB174" s="6209">
        <v>0</v>
      </c>
      <c r="DD174" s="6209">
        <v>0</v>
      </c>
    </row>
    <row r="175" spans="1:130" x14ac:dyDescent="0.2">
      <c r="A175" s="8635"/>
      <c r="B175" s="4532" t="s">
        <v>796</v>
      </c>
      <c r="C175" s="6818">
        <f>SUM(D175+E175)</f>
        <v>0</v>
      </c>
      <c r="D175" s="6819">
        <f t="shared" ref="D175:E177" si="27">SUM(F175+H175+J175+L175+N175)</f>
        <v>0</v>
      </c>
      <c r="E175" s="4373">
        <f t="shared" si="27"/>
        <v>0</v>
      </c>
      <c r="F175" s="6726"/>
      <c r="G175" s="6573"/>
      <c r="H175" s="4778"/>
      <c r="I175" s="6573"/>
      <c r="J175" s="4778"/>
      <c r="K175" s="6573"/>
      <c r="L175" s="6726"/>
      <c r="M175" s="6573"/>
      <c r="N175" s="4622"/>
      <c r="O175" s="4295"/>
      <c r="P175" s="4776"/>
      <c r="Q175" s="4792"/>
      <c r="R175" s="4652"/>
      <c r="AT175" s="4657"/>
      <c r="AU175" s="4657"/>
      <c r="AV175" s="4657"/>
      <c r="AW175" s="4657"/>
      <c r="BA175" s="4657"/>
      <c r="BB175" s="4657"/>
      <c r="BC175" s="4657"/>
      <c r="BD175" s="4657"/>
      <c r="BE175" s="4657"/>
      <c r="BF175" s="4657"/>
      <c r="BG175" s="4657"/>
    </row>
    <row r="176" spans="1:130" x14ac:dyDescent="0.2">
      <c r="A176" s="8635"/>
      <c r="B176" s="4532" t="s">
        <v>795</v>
      </c>
      <c r="C176" s="6766">
        <f>SUM(D176+E176)</f>
        <v>0</v>
      </c>
      <c r="D176" s="6767">
        <f t="shared" si="27"/>
        <v>0</v>
      </c>
      <c r="E176" s="6164">
        <f t="shared" si="27"/>
        <v>0</v>
      </c>
      <c r="F176" s="4778"/>
      <c r="G176" s="5582"/>
      <c r="H176" s="4778"/>
      <c r="I176" s="5582"/>
      <c r="J176" s="4778"/>
      <c r="K176" s="5582"/>
      <c r="L176" s="4778"/>
      <c r="M176" s="5582"/>
      <c r="N176" s="4622"/>
      <c r="O176" s="6820"/>
      <c r="P176" s="4776"/>
      <c r="Q176" s="4776"/>
      <c r="R176" s="4652"/>
      <c r="AT176" s="4657"/>
      <c r="AU176" s="4657"/>
      <c r="AV176" s="4657"/>
      <c r="AW176" s="4657"/>
      <c r="BA176" s="4657"/>
      <c r="BB176" s="4657"/>
      <c r="BC176" s="4657"/>
      <c r="BD176" s="4657"/>
      <c r="BE176" s="4657"/>
      <c r="BF176" s="4657"/>
      <c r="BG176" s="4657"/>
    </row>
    <row r="177" spans="1:126" ht="15" customHeight="1" x14ac:dyDescent="0.2">
      <c r="A177" s="8636"/>
      <c r="B177" s="6801" t="s">
        <v>794</v>
      </c>
      <c r="C177" s="6821">
        <f>SUM(D177+E177)</f>
        <v>0</v>
      </c>
      <c r="D177" s="6822">
        <f t="shared" si="27"/>
        <v>0</v>
      </c>
      <c r="E177" s="6322">
        <f t="shared" si="27"/>
        <v>0</v>
      </c>
      <c r="F177" s="4796"/>
      <c r="G177" s="4888"/>
      <c r="H177" s="4796"/>
      <c r="I177" s="4888"/>
      <c r="J177" s="4796"/>
      <c r="K177" s="4888"/>
      <c r="L177" s="4796"/>
      <c r="M177" s="4888"/>
      <c r="N177" s="6593"/>
      <c r="O177" s="6800"/>
      <c r="P177" s="4787"/>
      <c r="Q177" s="4787"/>
      <c r="R177" s="6024"/>
      <c r="S177" s="4328"/>
      <c r="T177" s="4328"/>
      <c r="U177" s="4328"/>
      <c r="V177" s="6146"/>
      <c r="W177" s="4328"/>
      <c r="X177" s="5427"/>
      <c r="Y177" s="5427"/>
      <c r="Z177" s="5427"/>
      <c r="AA177" s="5427"/>
      <c r="AB177" s="5427"/>
      <c r="AC177" s="5427"/>
      <c r="AD177" s="5427"/>
      <c r="AE177" s="5427"/>
      <c r="AF177" s="5427"/>
      <c r="AG177" s="5427"/>
      <c r="AH177" s="5427"/>
      <c r="AI177" s="5427"/>
      <c r="AJ177" s="5427"/>
      <c r="AK177" s="5427"/>
      <c r="AL177" s="6823"/>
      <c r="AM177" s="6824"/>
      <c r="AN177" s="6824"/>
      <c r="AO177" s="6825"/>
      <c r="AP177" s="6824"/>
      <c r="AQ177" s="6825"/>
      <c r="AR177" s="6826"/>
      <c r="AS177" s="6827"/>
      <c r="AT177" s="6683"/>
      <c r="AU177" s="6665"/>
      <c r="AV177" s="4657"/>
      <c r="AW177" s="4657"/>
      <c r="BA177" s="4657"/>
      <c r="BB177" s="4657"/>
      <c r="BC177" s="4657"/>
      <c r="BD177" s="4657"/>
      <c r="BE177" s="4657"/>
      <c r="BF177" s="4657"/>
      <c r="BG177" s="4657"/>
    </row>
    <row r="178" spans="1:126" ht="15.75" customHeight="1" x14ac:dyDescent="0.2">
      <c r="A178" s="4328" t="s">
        <v>793</v>
      </c>
      <c r="B178" s="4328"/>
      <c r="AT178" s="4657"/>
      <c r="AU178" s="4657"/>
      <c r="AV178" s="4657"/>
      <c r="AW178" s="4657"/>
      <c r="BA178" s="4657"/>
      <c r="BB178" s="4657"/>
      <c r="BC178" s="4657"/>
      <c r="BD178" s="4657"/>
      <c r="BE178" s="4657"/>
      <c r="BF178" s="4657"/>
      <c r="BY178" s="4652"/>
    </row>
    <row r="179" spans="1:126" ht="13.5" customHeight="1" x14ac:dyDescent="0.2">
      <c r="A179" s="4328" t="s">
        <v>792</v>
      </c>
      <c r="B179" s="4328"/>
      <c r="AT179" s="4657"/>
      <c r="AU179" s="4657"/>
      <c r="AV179" s="4657"/>
      <c r="AW179" s="4657"/>
      <c r="BA179" s="4657"/>
      <c r="BB179" s="4657"/>
      <c r="BC179" s="4657"/>
      <c r="BD179" s="4657"/>
      <c r="BE179" s="4657"/>
      <c r="BF179" s="4657"/>
      <c r="BY179" s="4652"/>
    </row>
    <row r="180" spans="1:126" ht="21.6" customHeight="1" x14ac:dyDescent="0.2">
      <c r="A180" s="6828" t="s">
        <v>791</v>
      </c>
      <c r="B180" s="6619"/>
      <c r="AU180" s="4684"/>
      <c r="AV180" s="4684"/>
      <c r="AW180" s="4684"/>
      <c r="AX180" s="6714"/>
      <c r="AY180" s="6714"/>
      <c r="AZ180" s="6714"/>
      <c r="BA180" s="4684"/>
      <c r="BB180" s="4684"/>
      <c r="BC180" s="4684"/>
      <c r="BD180" s="4684"/>
      <c r="BE180" s="4657"/>
      <c r="BF180" s="4657"/>
      <c r="BY180" s="4652"/>
    </row>
    <row r="181" spans="1:126" ht="22.5" customHeight="1" x14ac:dyDescent="0.2">
      <c r="A181" s="8663" t="s">
        <v>790</v>
      </c>
      <c r="B181" s="8664"/>
      <c r="C181" s="8733" t="s">
        <v>24</v>
      </c>
      <c r="D181" s="8733"/>
      <c r="E181" s="8733"/>
      <c r="F181" s="8709" t="s">
        <v>397</v>
      </c>
      <c r="G181" s="8709"/>
      <c r="H181" s="8709" t="s">
        <v>54</v>
      </c>
      <c r="I181" s="8709"/>
      <c r="J181" s="8709" t="s">
        <v>79</v>
      </c>
      <c r="K181" s="8709"/>
      <c r="L181" s="8709" t="s">
        <v>80</v>
      </c>
      <c r="M181" s="8709"/>
      <c r="N181" s="8787" t="s">
        <v>81</v>
      </c>
      <c r="O181" s="8788"/>
      <c r="P181" s="8684" t="s">
        <v>115</v>
      </c>
      <c r="Q181" s="8684"/>
      <c r="R181" s="8684" t="s">
        <v>116</v>
      </c>
      <c r="S181" s="8684"/>
      <c r="T181" s="8684" t="s">
        <v>117</v>
      </c>
      <c r="U181" s="8684"/>
      <c r="V181" s="8684" t="s">
        <v>118</v>
      </c>
      <c r="W181" s="8684"/>
      <c r="X181" s="8684" t="s">
        <v>119</v>
      </c>
      <c r="Y181" s="8684"/>
      <c r="Z181" s="8684" t="s">
        <v>120</v>
      </c>
      <c r="AA181" s="8684"/>
      <c r="AB181" s="8684" t="s">
        <v>1412</v>
      </c>
      <c r="AC181" s="8684"/>
      <c r="AD181" s="8684" t="s">
        <v>1404</v>
      </c>
      <c r="AE181" s="8684"/>
      <c r="AF181" s="8684" t="s">
        <v>1395</v>
      </c>
      <c r="AG181" s="8684"/>
      <c r="AH181" s="8684" t="s">
        <v>1394</v>
      </c>
      <c r="AI181" s="8684"/>
      <c r="AJ181" s="8684" t="s">
        <v>1393</v>
      </c>
      <c r="AK181" s="8684"/>
      <c r="AL181" s="8684" t="s">
        <v>1403</v>
      </c>
      <c r="AM181" s="8630"/>
      <c r="AN181" s="8931" t="s">
        <v>78</v>
      </c>
      <c r="AO181" s="8701" t="s">
        <v>3452</v>
      </c>
      <c r="AP181" s="8681" t="s">
        <v>360</v>
      </c>
      <c r="AQ181" s="8719"/>
      <c r="AR181" s="8652" t="s">
        <v>2948</v>
      </c>
      <c r="AS181" s="8652" t="s">
        <v>2610</v>
      </c>
      <c r="AT181" s="8938" t="s">
        <v>359</v>
      </c>
      <c r="AU181" s="8939"/>
      <c r="AV181" s="8828" t="s">
        <v>361</v>
      </c>
      <c r="AW181" s="8933" t="s">
        <v>2754</v>
      </c>
      <c r="BA181" s="4657"/>
      <c r="BB181" s="4657"/>
      <c r="BC181" s="4657"/>
      <c r="BD181" s="4657"/>
      <c r="BE181" s="4657"/>
      <c r="BF181" s="4657"/>
      <c r="BG181" s="4657"/>
      <c r="BH181" s="4657"/>
      <c r="CA181" s="4652"/>
      <c r="DA181" s="4688"/>
    </row>
    <row r="182" spans="1:126" ht="37.5" customHeight="1" x14ac:dyDescent="0.2">
      <c r="A182" s="8665"/>
      <c r="B182" s="8666"/>
      <c r="C182" s="5536" t="s">
        <v>42</v>
      </c>
      <c r="D182" s="5619" t="s">
        <v>17</v>
      </c>
      <c r="E182" s="4936" t="s">
        <v>18</v>
      </c>
      <c r="F182" s="5536" t="s">
        <v>17</v>
      </c>
      <c r="G182" s="4936" t="s">
        <v>18</v>
      </c>
      <c r="H182" s="5536" t="s">
        <v>17</v>
      </c>
      <c r="I182" s="4936" t="s">
        <v>18</v>
      </c>
      <c r="J182" s="5536" t="s">
        <v>17</v>
      </c>
      <c r="K182" s="4936" t="s">
        <v>18</v>
      </c>
      <c r="L182" s="5536" t="s">
        <v>17</v>
      </c>
      <c r="M182" s="4936" t="s">
        <v>18</v>
      </c>
      <c r="N182" s="5536" t="s">
        <v>17</v>
      </c>
      <c r="O182" s="4936" t="s">
        <v>18</v>
      </c>
      <c r="P182" s="5536" t="s">
        <v>17</v>
      </c>
      <c r="Q182" s="4936" t="s">
        <v>18</v>
      </c>
      <c r="R182" s="5536" t="s">
        <v>17</v>
      </c>
      <c r="S182" s="4936" t="s">
        <v>18</v>
      </c>
      <c r="T182" s="5536" t="s">
        <v>17</v>
      </c>
      <c r="U182" s="4936" t="s">
        <v>18</v>
      </c>
      <c r="V182" s="5536" t="s">
        <v>17</v>
      </c>
      <c r="W182" s="4936" t="s">
        <v>18</v>
      </c>
      <c r="X182" s="5536" t="s">
        <v>17</v>
      </c>
      <c r="Y182" s="4936" t="s">
        <v>18</v>
      </c>
      <c r="Z182" s="5536" t="s">
        <v>17</v>
      </c>
      <c r="AA182" s="4936" t="s">
        <v>18</v>
      </c>
      <c r="AB182" s="5536" t="s">
        <v>17</v>
      </c>
      <c r="AC182" s="4936" t="s">
        <v>18</v>
      </c>
      <c r="AD182" s="5536" t="s">
        <v>17</v>
      </c>
      <c r="AE182" s="4936" t="s">
        <v>18</v>
      </c>
      <c r="AF182" s="5536" t="s">
        <v>17</v>
      </c>
      <c r="AG182" s="4936" t="s">
        <v>18</v>
      </c>
      <c r="AH182" s="5536" t="s">
        <v>17</v>
      </c>
      <c r="AI182" s="4936" t="s">
        <v>18</v>
      </c>
      <c r="AJ182" s="5536" t="s">
        <v>17</v>
      </c>
      <c r="AK182" s="4936" t="s">
        <v>18</v>
      </c>
      <c r="AL182" s="5536" t="s">
        <v>17</v>
      </c>
      <c r="AM182" s="4934" t="s">
        <v>18</v>
      </c>
      <c r="AN182" s="8932"/>
      <c r="AO182" s="8702"/>
      <c r="AP182" s="5536" t="s">
        <v>17</v>
      </c>
      <c r="AQ182" s="4936" t="s">
        <v>18</v>
      </c>
      <c r="AR182" s="8653"/>
      <c r="AS182" s="8653"/>
      <c r="AT182" s="5536" t="s">
        <v>17</v>
      </c>
      <c r="AU182" s="4936" t="s">
        <v>18</v>
      </c>
      <c r="AV182" s="6829" t="s">
        <v>356</v>
      </c>
      <c r="AW182" s="6830" t="s">
        <v>357</v>
      </c>
      <c r="AX182" s="6714"/>
      <c r="AY182" s="6714"/>
      <c r="AZ182" s="6714"/>
      <c r="BA182" s="4684"/>
      <c r="BB182" s="4684"/>
      <c r="BC182" s="4684"/>
      <c r="BD182" s="4684"/>
      <c r="BE182" s="4684"/>
      <c r="BF182" s="4684"/>
      <c r="BG182" s="4657"/>
      <c r="BH182" s="4657"/>
      <c r="CA182" s="4652"/>
      <c r="DA182" s="4688"/>
    </row>
    <row r="183" spans="1:126" ht="20.25" customHeight="1" x14ac:dyDescent="0.2">
      <c r="A183" s="8773" t="s">
        <v>710</v>
      </c>
      <c r="B183" s="8692"/>
      <c r="C183" s="6831">
        <f>SUM(D183+E183)</f>
        <v>0</v>
      </c>
      <c r="D183" s="6832">
        <f>SUM(F183+H183+J183+L183+N183+P183+R183+T183+V183+X183+Z183+AB183+AD183+AF183+AH183+AJ183+AL183)</f>
        <v>0</v>
      </c>
      <c r="E183" s="6376">
        <f>SUM(G183+I183+K183+M183+O183+Q183+S183+U183+W183+Y183+AA183+AC183+AE183+AG183+AI183+AK183+AM183)</f>
        <v>0</v>
      </c>
      <c r="F183" s="6624"/>
      <c r="G183" s="6833"/>
      <c r="H183" s="6624"/>
      <c r="I183" s="6833"/>
      <c r="J183" s="6624"/>
      <c r="K183" s="6833"/>
      <c r="L183" s="6624"/>
      <c r="M183" s="6833"/>
      <c r="N183" s="6624"/>
      <c r="O183" s="6833"/>
      <c r="P183" s="6624"/>
      <c r="Q183" s="6833"/>
      <c r="R183" s="6624"/>
      <c r="S183" s="6833"/>
      <c r="T183" s="6624"/>
      <c r="U183" s="6833"/>
      <c r="V183" s="6624"/>
      <c r="W183" s="6833"/>
      <c r="X183" s="6624"/>
      <c r="Y183" s="6833"/>
      <c r="Z183" s="6624"/>
      <c r="AA183" s="6833"/>
      <c r="AB183" s="6624"/>
      <c r="AC183" s="6833"/>
      <c r="AD183" s="6718"/>
      <c r="AE183" s="6833"/>
      <c r="AF183" s="6718"/>
      <c r="AG183" s="6833"/>
      <c r="AH183" s="6718"/>
      <c r="AI183" s="6833"/>
      <c r="AJ183" s="6718"/>
      <c r="AK183" s="6833"/>
      <c r="AL183" s="6718"/>
      <c r="AM183" s="6811"/>
      <c r="AN183" s="6834"/>
      <c r="AO183" s="6835"/>
      <c r="AP183" s="6718"/>
      <c r="AQ183" s="6833"/>
      <c r="AR183" s="6625"/>
      <c r="AS183" s="6625"/>
      <c r="AT183" s="6836"/>
      <c r="AU183" s="6625"/>
      <c r="AV183" s="6625"/>
      <c r="AW183" s="6625"/>
      <c r="AX183" s="1452"/>
      <c r="AY183" s="6714"/>
      <c r="AZ183" s="6714"/>
      <c r="BA183" s="4684"/>
      <c r="BB183" s="4684"/>
      <c r="BC183" s="4684"/>
      <c r="BD183" s="4684"/>
      <c r="BE183" s="4684"/>
      <c r="BF183" s="4684"/>
      <c r="BG183" s="4657"/>
      <c r="BH183" s="4657"/>
      <c r="CA183" s="4652"/>
      <c r="CH183" s="6510"/>
      <c r="DA183" s="4688"/>
      <c r="DB183" s="6209">
        <v>0</v>
      </c>
      <c r="DC183" s="6209">
        <v>0</v>
      </c>
      <c r="DD183" s="6209">
        <v>0</v>
      </c>
      <c r="DE183" s="6209">
        <v>0</v>
      </c>
      <c r="DF183" s="6209">
        <v>0</v>
      </c>
      <c r="DG183" s="6209">
        <v>0</v>
      </c>
      <c r="DH183" s="6209">
        <v>0</v>
      </c>
      <c r="DI183" s="6209">
        <v>0</v>
      </c>
      <c r="DJ183" s="6209">
        <v>0</v>
      </c>
      <c r="DK183" s="6209">
        <v>0</v>
      </c>
      <c r="DL183" s="6209">
        <v>0</v>
      </c>
      <c r="DM183" s="6209">
        <v>0</v>
      </c>
      <c r="DN183" s="6209">
        <v>0</v>
      </c>
      <c r="DO183" s="6209">
        <v>0</v>
      </c>
      <c r="DP183" s="6209">
        <v>0</v>
      </c>
      <c r="DQ183" s="6209">
        <v>0</v>
      </c>
      <c r="DR183" s="6209">
        <v>0</v>
      </c>
      <c r="DT183" s="6209">
        <v>0</v>
      </c>
      <c r="DV183" s="6209">
        <v>0</v>
      </c>
    </row>
    <row r="184" spans="1:126" ht="26.25" customHeight="1" x14ac:dyDescent="0.2">
      <c r="A184" s="8768" t="s">
        <v>780</v>
      </c>
      <c r="B184" s="8769"/>
      <c r="C184" s="6837"/>
      <c r="D184" s="6838"/>
      <c r="E184" s="6838"/>
      <c r="F184" s="6838"/>
      <c r="G184" s="6838"/>
      <c r="H184" s="6838"/>
      <c r="I184" s="6838"/>
      <c r="J184" s="6838"/>
      <c r="K184" s="6838"/>
      <c r="L184" s="6838"/>
      <c r="M184" s="6838"/>
      <c r="N184" s="6838"/>
      <c r="O184" s="6838"/>
      <c r="P184" s="6838"/>
      <c r="Q184" s="6838"/>
      <c r="R184" s="6838"/>
      <c r="S184" s="6838"/>
      <c r="T184" s="6838"/>
      <c r="U184" s="6838"/>
      <c r="V184" s="6838"/>
      <c r="W184" s="6838"/>
      <c r="X184" s="6838"/>
      <c r="Y184" s="6838"/>
      <c r="Z184" s="6838"/>
      <c r="AA184" s="6838"/>
      <c r="AB184" s="6838"/>
      <c r="AC184" s="6838"/>
      <c r="AD184" s="6838"/>
      <c r="AE184" s="6838"/>
      <c r="AF184" s="6838"/>
      <c r="AG184" s="6838"/>
      <c r="AH184" s="6838"/>
      <c r="AI184" s="6838"/>
      <c r="AJ184" s="6838"/>
      <c r="AK184" s="6838"/>
      <c r="AL184" s="6838"/>
      <c r="AM184" s="6838"/>
      <c r="AN184" s="6838"/>
      <c r="AO184" s="6838"/>
      <c r="AP184" s="6838"/>
      <c r="AQ184" s="6838"/>
      <c r="AR184" s="6838"/>
      <c r="AS184" s="6838"/>
      <c r="AT184" s="7601"/>
      <c r="AU184" s="7601"/>
      <c r="AV184" s="7601"/>
      <c r="AW184" s="7602"/>
      <c r="AX184" s="1452"/>
      <c r="AY184" s="6714"/>
      <c r="AZ184" s="6714"/>
      <c r="BA184" s="4684"/>
      <c r="BB184" s="4684"/>
      <c r="BC184" s="4684"/>
      <c r="BD184" s="4684"/>
      <c r="BE184" s="4684"/>
      <c r="BF184" s="4684"/>
      <c r="BG184" s="4657"/>
      <c r="BH184" s="4657"/>
      <c r="CA184" s="4652"/>
      <c r="DA184" s="4688"/>
    </row>
    <row r="185" spans="1:126" ht="16.350000000000001" customHeight="1" x14ac:dyDescent="0.2">
      <c r="A185" s="8661" t="s">
        <v>789</v>
      </c>
      <c r="B185" s="6839" t="s">
        <v>788</v>
      </c>
      <c r="C185" s="6840">
        <f>SUM(D185+E185)</f>
        <v>0</v>
      </c>
      <c r="D185" s="6841">
        <f t="shared" ref="D185:D193" si="28">SUM(F185+H185+J185+L185+N185+P185+R185+T185+V185+X185+Z185+AB185+AD185+AF185+AH185+AJ185+AL185)</f>
        <v>0</v>
      </c>
      <c r="E185" s="6839">
        <f t="shared" ref="E185:E193" si="29">SUM(G185+I185+K185+M185+O185+Q185+S185+U185+W185+Y185+AA185+AC185+AE185+AG185+AI185+AK185+AM185)</f>
        <v>0</v>
      </c>
      <c r="F185" s="6499"/>
      <c r="G185" s="6537"/>
      <c r="H185" s="6499"/>
      <c r="I185" s="6537"/>
      <c r="J185" s="6499"/>
      <c r="K185" s="6537"/>
      <c r="L185" s="6499"/>
      <c r="M185" s="6537"/>
      <c r="N185" s="6499"/>
      <c r="O185" s="6537"/>
      <c r="P185" s="6499"/>
      <c r="Q185" s="6537"/>
      <c r="R185" s="6499"/>
      <c r="S185" s="6537"/>
      <c r="T185" s="6499"/>
      <c r="U185" s="6537"/>
      <c r="V185" s="6499"/>
      <c r="W185" s="6537"/>
      <c r="X185" s="6499"/>
      <c r="Y185" s="6537"/>
      <c r="Z185" s="6499"/>
      <c r="AA185" s="6537"/>
      <c r="AB185" s="6499"/>
      <c r="AC185" s="6537"/>
      <c r="AD185" s="6499"/>
      <c r="AE185" s="6537"/>
      <c r="AF185" s="6499"/>
      <c r="AG185" s="6537"/>
      <c r="AH185" s="6499"/>
      <c r="AI185" s="6537"/>
      <c r="AJ185" s="6499"/>
      <c r="AK185" s="6537"/>
      <c r="AL185" s="6499"/>
      <c r="AM185" s="6762"/>
      <c r="AN185" s="6842"/>
      <c r="AO185" s="6638"/>
      <c r="AP185" s="6499"/>
      <c r="AQ185" s="6537"/>
      <c r="AR185" s="6537"/>
      <c r="AS185" s="6537"/>
      <c r="AT185" s="6843"/>
      <c r="AU185" s="6537"/>
      <c r="AV185" s="6537"/>
      <c r="AW185" s="6537"/>
      <c r="AX185" s="1452"/>
      <c r="AY185" s="6714"/>
      <c r="AZ185" s="6714"/>
      <c r="BA185" s="4684"/>
      <c r="BB185" s="4684"/>
      <c r="BC185" s="4684"/>
      <c r="BD185" s="4684"/>
      <c r="BE185" s="4684"/>
      <c r="BF185" s="4684"/>
      <c r="BG185" s="4657"/>
      <c r="BH185" s="4657"/>
      <c r="CA185" s="4652"/>
      <c r="DA185" s="4688"/>
      <c r="DB185" s="6209">
        <v>0</v>
      </c>
      <c r="DD185" s="6209">
        <v>0</v>
      </c>
      <c r="DH185" s="6209">
        <v>0</v>
      </c>
      <c r="DJ185" s="6209">
        <v>0</v>
      </c>
      <c r="DL185" s="6209">
        <v>0</v>
      </c>
      <c r="DN185" s="6209">
        <v>0</v>
      </c>
      <c r="DP185" s="6209">
        <v>0</v>
      </c>
      <c r="DR185" s="6209">
        <v>0</v>
      </c>
      <c r="DT185" s="6209">
        <v>0</v>
      </c>
      <c r="DV185" s="6209">
        <v>0</v>
      </c>
    </row>
    <row r="186" spans="1:126" ht="16.350000000000001" customHeight="1" x14ac:dyDescent="0.2">
      <c r="A186" s="8662"/>
      <c r="B186" s="6844" t="s">
        <v>777</v>
      </c>
      <c r="C186" s="6845">
        <f>SUM(D186+E186)</f>
        <v>0</v>
      </c>
      <c r="D186" s="6846">
        <f t="shared" si="28"/>
        <v>0</v>
      </c>
      <c r="E186" s="6847">
        <f t="shared" si="29"/>
        <v>0</v>
      </c>
      <c r="F186" s="6718"/>
      <c r="G186" s="6577"/>
      <c r="H186" s="6718"/>
      <c r="I186" s="6577"/>
      <c r="J186" s="6718"/>
      <c r="K186" s="6577"/>
      <c r="L186" s="6718"/>
      <c r="M186" s="6577"/>
      <c r="N186" s="6718"/>
      <c r="O186" s="6577"/>
      <c r="P186" s="6718"/>
      <c r="Q186" s="6577"/>
      <c r="R186" s="6718"/>
      <c r="S186" s="6577"/>
      <c r="T186" s="6718"/>
      <c r="U186" s="6577"/>
      <c r="V186" s="6718"/>
      <c r="W186" s="6577"/>
      <c r="X186" s="6718"/>
      <c r="Y186" s="6577"/>
      <c r="Z186" s="6718"/>
      <c r="AA186" s="6577"/>
      <c r="AB186" s="6718"/>
      <c r="AC186" s="6577"/>
      <c r="AD186" s="6718"/>
      <c r="AE186" s="6577"/>
      <c r="AF186" s="6718"/>
      <c r="AG186" s="6577"/>
      <c r="AH186" s="6718"/>
      <c r="AI186" s="6577"/>
      <c r="AJ186" s="6718"/>
      <c r="AK186" s="6577"/>
      <c r="AL186" s="6718"/>
      <c r="AM186" s="6848"/>
      <c r="AN186" s="6849"/>
      <c r="AO186" s="6723"/>
      <c r="AP186" s="6718"/>
      <c r="AQ186" s="6577"/>
      <c r="AR186" s="6577"/>
      <c r="AS186" s="6577"/>
      <c r="AT186" s="6850"/>
      <c r="AU186" s="6577"/>
      <c r="AV186" s="6577"/>
      <c r="AW186" s="6577"/>
      <c r="AX186" s="1452"/>
      <c r="AY186" s="6714"/>
      <c r="AZ186" s="6714"/>
      <c r="BA186" s="4684"/>
      <c r="BB186" s="4684"/>
      <c r="BC186" s="4684"/>
      <c r="BD186" s="4684"/>
      <c r="BE186" s="4684"/>
      <c r="BF186" s="4684"/>
      <c r="BG186" s="4657"/>
      <c r="BH186" s="4657"/>
      <c r="CA186" s="4652"/>
      <c r="DA186" s="4688"/>
    </row>
    <row r="187" spans="1:126" ht="18" customHeight="1" x14ac:dyDescent="0.2">
      <c r="A187" s="8693" t="s">
        <v>776</v>
      </c>
      <c r="B187" s="8694"/>
      <c r="C187" s="6831">
        <f t="shared" ref="C187:C227" si="30">SUM(D187+E187)</f>
        <v>0</v>
      </c>
      <c r="D187" s="6832">
        <f t="shared" si="28"/>
        <v>0</v>
      </c>
      <c r="E187" s="6851">
        <f t="shared" si="29"/>
        <v>0</v>
      </c>
      <c r="F187" s="6624"/>
      <c r="G187" s="6625"/>
      <c r="H187" s="6624"/>
      <c r="I187" s="6625"/>
      <c r="J187" s="6624"/>
      <c r="K187" s="6625"/>
      <c r="L187" s="6624"/>
      <c r="M187" s="6625"/>
      <c r="N187" s="6624"/>
      <c r="O187" s="6625"/>
      <c r="P187" s="6624"/>
      <c r="Q187" s="6625"/>
      <c r="R187" s="6624"/>
      <c r="S187" s="6625"/>
      <c r="T187" s="6624"/>
      <c r="U187" s="6625"/>
      <c r="V187" s="6624"/>
      <c r="W187" s="6625"/>
      <c r="X187" s="6624"/>
      <c r="Y187" s="6625"/>
      <c r="Z187" s="6624"/>
      <c r="AA187" s="6625"/>
      <c r="AB187" s="6624"/>
      <c r="AC187" s="6625"/>
      <c r="AD187" s="6624"/>
      <c r="AE187" s="6625"/>
      <c r="AF187" s="6624"/>
      <c r="AG187" s="6625"/>
      <c r="AH187" s="6624"/>
      <c r="AI187" s="6625"/>
      <c r="AJ187" s="6624"/>
      <c r="AK187" s="6625"/>
      <c r="AL187" s="6624"/>
      <c r="AM187" s="6852"/>
      <c r="AN187" s="6834"/>
      <c r="AO187" s="6618"/>
      <c r="AP187" s="6624"/>
      <c r="AQ187" s="6625"/>
      <c r="AR187" s="6625"/>
      <c r="AS187" s="6625"/>
      <c r="AT187" s="6836"/>
      <c r="AU187" s="6625"/>
      <c r="AV187" s="6625"/>
      <c r="AW187" s="6625"/>
      <c r="AX187" s="1452"/>
      <c r="AY187" s="6714"/>
      <c r="AZ187" s="6714"/>
      <c r="BA187" s="4684"/>
      <c r="BB187" s="4684"/>
      <c r="BC187" s="4684"/>
      <c r="BD187" s="4684"/>
      <c r="BE187" s="4684"/>
      <c r="BF187" s="4684"/>
      <c r="BG187" s="4657"/>
      <c r="BH187" s="4657"/>
      <c r="CA187" s="4652"/>
      <c r="DA187" s="4688"/>
    </row>
    <row r="188" spans="1:126" ht="16.350000000000001" customHeight="1" x14ac:dyDescent="0.2">
      <c r="A188" s="8661" t="s">
        <v>775</v>
      </c>
      <c r="B188" s="6839" t="s">
        <v>774</v>
      </c>
      <c r="C188" s="6840">
        <f t="shared" si="30"/>
        <v>0</v>
      </c>
      <c r="D188" s="6841">
        <f t="shared" si="28"/>
        <v>0</v>
      </c>
      <c r="E188" s="6839">
        <f t="shared" si="29"/>
        <v>0</v>
      </c>
      <c r="F188" s="7495"/>
      <c r="G188" s="7496"/>
      <c r="H188" s="6499"/>
      <c r="I188" s="6537"/>
      <c r="J188" s="6499"/>
      <c r="K188" s="6537"/>
      <c r="L188" s="6499"/>
      <c r="M188" s="6537"/>
      <c r="N188" s="6499"/>
      <c r="O188" s="6537"/>
      <c r="P188" s="6499"/>
      <c r="Q188" s="6537"/>
      <c r="R188" s="6499"/>
      <c r="S188" s="6537"/>
      <c r="T188" s="6499"/>
      <c r="U188" s="6537"/>
      <c r="V188" s="6499"/>
      <c r="W188" s="6537"/>
      <c r="X188" s="6499"/>
      <c r="Y188" s="6537"/>
      <c r="Z188" s="6499"/>
      <c r="AA188" s="6537"/>
      <c r="AB188" s="6499"/>
      <c r="AC188" s="6537"/>
      <c r="AD188" s="6499"/>
      <c r="AE188" s="6537"/>
      <c r="AF188" s="6499"/>
      <c r="AG188" s="6537"/>
      <c r="AH188" s="6499"/>
      <c r="AI188" s="6537"/>
      <c r="AJ188" s="6499"/>
      <c r="AK188" s="6537"/>
      <c r="AL188" s="6499"/>
      <c r="AM188" s="6762"/>
      <c r="AN188" s="6842"/>
      <c r="AO188" s="6638"/>
      <c r="AP188" s="6499"/>
      <c r="AQ188" s="6537"/>
      <c r="AR188" s="6537"/>
      <c r="AS188" s="6537"/>
      <c r="AT188" s="6843"/>
      <c r="AU188" s="6537"/>
      <c r="AV188" s="6537"/>
      <c r="AW188" s="6537"/>
      <c r="AX188" s="1452"/>
      <c r="AY188" s="6714"/>
      <c r="AZ188" s="6714"/>
      <c r="BA188" s="4684"/>
      <c r="BB188" s="4684"/>
      <c r="BC188" s="4684"/>
      <c r="BD188" s="4684"/>
      <c r="BE188" s="4684"/>
      <c r="BF188" s="4684"/>
      <c r="BG188" s="4657"/>
      <c r="BH188" s="4657"/>
      <c r="CA188" s="4652"/>
      <c r="DA188" s="4688"/>
    </row>
    <row r="189" spans="1:126" ht="16.350000000000001" customHeight="1" x14ac:dyDescent="0.2">
      <c r="A189" s="8662"/>
      <c r="B189" s="6844" t="s">
        <v>773</v>
      </c>
      <c r="C189" s="6853">
        <f t="shared" si="30"/>
        <v>0</v>
      </c>
      <c r="D189" s="6854">
        <f t="shared" si="28"/>
        <v>0</v>
      </c>
      <c r="E189" s="6376">
        <f t="shared" si="29"/>
        <v>0</v>
      </c>
      <c r="F189" s="7497"/>
      <c r="G189" s="7498"/>
      <c r="H189" s="6855"/>
      <c r="I189" s="6833"/>
      <c r="J189" s="6855"/>
      <c r="K189" s="6833"/>
      <c r="L189" s="6718"/>
      <c r="M189" s="6577"/>
      <c r="N189" s="6855"/>
      <c r="O189" s="6833"/>
      <c r="P189" s="6855"/>
      <c r="Q189" s="6833"/>
      <c r="R189" s="6855"/>
      <c r="S189" s="6833"/>
      <c r="T189" s="6855"/>
      <c r="U189" s="6833"/>
      <c r="V189" s="6855"/>
      <c r="W189" s="6833"/>
      <c r="X189" s="6855"/>
      <c r="Y189" s="6833"/>
      <c r="Z189" s="6855"/>
      <c r="AA189" s="6833"/>
      <c r="AB189" s="6855"/>
      <c r="AC189" s="6833"/>
      <c r="AD189" s="6855"/>
      <c r="AE189" s="6833"/>
      <c r="AF189" s="6855"/>
      <c r="AG189" s="6833"/>
      <c r="AH189" s="6855"/>
      <c r="AI189" s="6833"/>
      <c r="AJ189" s="6855"/>
      <c r="AK189" s="6833"/>
      <c r="AL189" s="6855"/>
      <c r="AM189" s="6811"/>
      <c r="AN189" s="6849"/>
      <c r="AO189" s="6723"/>
      <c r="AP189" s="6718"/>
      <c r="AQ189" s="6577"/>
      <c r="AR189" s="6577"/>
      <c r="AS189" s="6577"/>
      <c r="AT189" s="6850"/>
      <c r="AU189" s="6577"/>
      <c r="AV189" s="6577"/>
      <c r="AW189" s="6577"/>
      <c r="AX189" s="1452"/>
      <c r="AY189" s="6714"/>
      <c r="AZ189" s="6714"/>
      <c r="BA189" s="4684"/>
      <c r="BB189" s="4684"/>
      <c r="BC189" s="4684"/>
      <c r="BD189" s="4684"/>
      <c r="BE189" s="4684"/>
      <c r="BF189" s="4684"/>
      <c r="BG189" s="4657"/>
      <c r="BH189" s="4657"/>
      <c r="CA189" s="4652"/>
      <c r="DA189" s="4688"/>
    </row>
    <row r="190" spans="1:126" ht="21.75" customHeight="1" x14ac:dyDescent="0.2">
      <c r="A190" s="6856" t="s">
        <v>772</v>
      </c>
      <c r="B190" s="6857"/>
      <c r="C190" s="6730">
        <f t="shared" si="30"/>
        <v>0</v>
      </c>
      <c r="D190" s="6731">
        <f t="shared" si="28"/>
        <v>0</v>
      </c>
      <c r="E190" s="6732">
        <f t="shared" si="29"/>
        <v>0</v>
      </c>
      <c r="F190" s="6624"/>
      <c r="G190" s="6625"/>
      <c r="H190" s="6624"/>
      <c r="I190" s="6625"/>
      <c r="J190" s="6624"/>
      <c r="K190" s="6625"/>
      <c r="L190" s="6624"/>
      <c r="M190" s="6625"/>
      <c r="N190" s="6624"/>
      <c r="O190" s="6625"/>
      <c r="P190" s="6624"/>
      <c r="Q190" s="6625"/>
      <c r="R190" s="6624"/>
      <c r="S190" s="6625"/>
      <c r="T190" s="6624"/>
      <c r="U190" s="6625"/>
      <c r="V190" s="6624"/>
      <c r="W190" s="6625"/>
      <c r="X190" s="6624"/>
      <c r="Y190" s="6625"/>
      <c r="Z190" s="6624"/>
      <c r="AA190" s="6625"/>
      <c r="AB190" s="6624"/>
      <c r="AC190" s="6625"/>
      <c r="AD190" s="6624"/>
      <c r="AE190" s="6625"/>
      <c r="AF190" s="6624"/>
      <c r="AG190" s="6625"/>
      <c r="AH190" s="6624"/>
      <c r="AI190" s="6625"/>
      <c r="AJ190" s="6624"/>
      <c r="AK190" s="6625"/>
      <c r="AL190" s="6624"/>
      <c r="AM190" s="6852"/>
      <c r="AN190" s="6834"/>
      <c r="AO190" s="6618"/>
      <c r="AP190" s="6718"/>
      <c r="AQ190" s="6625"/>
      <c r="AR190" s="6625"/>
      <c r="AS190" s="6625"/>
      <c r="AT190" s="6836"/>
      <c r="AU190" s="6625"/>
      <c r="AV190" s="6625"/>
      <c r="AW190" s="6625"/>
      <c r="AX190" s="1452"/>
      <c r="AY190" s="6714"/>
      <c r="AZ190" s="6714"/>
      <c r="BA190" s="4684"/>
      <c r="BB190" s="4684"/>
      <c r="BC190" s="4684"/>
      <c r="BD190" s="4684"/>
      <c r="BE190" s="4684"/>
      <c r="BF190" s="4684"/>
      <c r="BG190" s="4657"/>
      <c r="BH190" s="4657"/>
      <c r="CA190" s="4652"/>
      <c r="DA190" s="4688"/>
      <c r="DB190" s="6209">
        <v>0</v>
      </c>
      <c r="DD190" s="6209">
        <v>0</v>
      </c>
      <c r="DF190" s="6209">
        <v>0</v>
      </c>
      <c r="DH190" s="6209">
        <v>0</v>
      </c>
      <c r="DJ190" s="6209">
        <v>0</v>
      </c>
      <c r="DL190" s="6209">
        <v>0</v>
      </c>
      <c r="DN190" s="6209">
        <v>0</v>
      </c>
      <c r="DP190" s="6209">
        <v>0</v>
      </c>
    </row>
    <row r="191" spans="1:126" ht="16.350000000000001" customHeight="1" x14ac:dyDescent="0.2">
      <c r="A191" s="8661" t="s">
        <v>771</v>
      </c>
      <c r="B191" s="6858" t="s">
        <v>770</v>
      </c>
      <c r="C191" s="6859">
        <f t="shared" si="30"/>
        <v>0</v>
      </c>
      <c r="D191" s="6860">
        <f t="shared" si="28"/>
        <v>0</v>
      </c>
      <c r="E191" s="6858">
        <f t="shared" si="29"/>
        <v>0</v>
      </c>
      <c r="F191" s="6726"/>
      <c r="G191" s="6573"/>
      <c r="H191" s="6726"/>
      <c r="I191" s="6573"/>
      <c r="J191" s="6726"/>
      <c r="K191" s="6573"/>
      <c r="L191" s="6726"/>
      <c r="M191" s="6573"/>
      <c r="N191" s="6726"/>
      <c r="O191" s="6573"/>
      <c r="P191" s="6726"/>
      <c r="Q191" s="6573"/>
      <c r="R191" s="6726"/>
      <c r="S191" s="6573"/>
      <c r="T191" s="6726"/>
      <c r="U191" s="6573"/>
      <c r="V191" s="6726"/>
      <c r="W191" s="6573"/>
      <c r="X191" s="6726"/>
      <c r="Y191" s="6573"/>
      <c r="Z191" s="6726"/>
      <c r="AA191" s="6573"/>
      <c r="AB191" s="6726"/>
      <c r="AC191" s="6573"/>
      <c r="AD191" s="6726"/>
      <c r="AE191" s="6573"/>
      <c r="AF191" s="6726"/>
      <c r="AG191" s="6573"/>
      <c r="AH191" s="6726"/>
      <c r="AI191" s="6573"/>
      <c r="AJ191" s="6726"/>
      <c r="AK191" s="6573"/>
      <c r="AL191" s="6726"/>
      <c r="AM191" s="5403"/>
      <c r="AN191" s="6861"/>
      <c r="AO191" s="5552"/>
      <c r="AP191" s="6726"/>
      <c r="AQ191" s="6833"/>
      <c r="AR191" s="6833"/>
      <c r="AS191" s="6833"/>
      <c r="AT191" s="5460"/>
      <c r="AU191" s="6833"/>
      <c r="AV191" s="6833"/>
      <c r="AW191" s="6833"/>
      <c r="AX191" s="1452"/>
      <c r="AY191" s="6714"/>
      <c r="AZ191" s="6714"/>
      <c r="BA191" s="4684"/>
      <c r="BB191" s="4684"/>
      <c r="BC191" s="4684"/>
      <c r="BD191" s="4684"/>
      <c r="BE191" s="4684"/>
      <c r="BF191" s="4684"/>
      <c r="BG191" s="4657"/>
      <c r="BH191" s="4657"/>
      <c r="CA191" s="4652"/>
      <c r="DA191" s="4688"/>
    </row>
    <row r="192" spans="1:126" ht="16.350000000000001" customHeight="1" x14ac:dyDescent="0.2">
      <c r="A192" s="8635"/>
      <c r="B192" s="6862" t="s">
        <v>769</v>
      </c>
      <c r="C192" s="6863">
        <f t="shared" si="30"/>
        <v>0</v>
      </c>
      <c r="D192" s="6864">
        <f t="shared" si="28"/>
        <v>0</v>
      </c>
      <c r="E192" s="6862">
        <f t="shared" si="29"/>
        <v>0</v>
      </c>
      <c r="F192" s="4778"/>
      <c r="G192" s="5582"/>
      <c r="H192" s="4778"/>
      <c r="I192" s="5582"/>
      <c r="J192" s="4778"/>
      <c r="K192" s="5582"/>
      <c r="L192" s="4778"/>
      <c r="M192" s="5582"/>
      <c r="N192" s="4778"/>
      <c r="O192" s="5582"/>
      <c r="P192" s="4778"/>
      <c r="Q192" s="5582"/>
      <c r="R192" s="4778"/>
      <c r="S192" s="5582"/>
      <c r="T192" s="4778"/>
      <c r="U192" s="5582"/>
      <c r="V192" s="4778"/>
      <c r="W192" s="5582"/>
      <c r="X192" s="4778"/>
      <c r="Y192" s="5582"/>
      <c r="Z192" s="4778"/>
      <c r="AA192" s="5582"/>
      <c r="AB192" s="4778"/>
      <c r="AC192" s="5582"/>
      <c r="AD192" s="4778"/>
      <c r="AE192" s="5582"/>
      <c r="AF192" s="4778"/>
      <c r="AG192" s="5582"/>
      <c r="AH192" s="4778"/>
      <c r="AI192" s="5582"/>
      <c r="AJ192" s="4778"/>
      <c r="AK192" s="5582"/>
      <c r="AL192" s="4778"/>
      <c r="AM192" s="5586"/>
      <c r="AN192" s="4868"/>
      <c r="AO192" s="4869"/>
      <c r="AP192" s="4778"/>
      <c r="AQ192" s="5341"/>
      <c r="AR192" s="5341"/>
      <c r="AS192" s="5341"/>
      <c r="AT192" s="5341"/>
      <c r="AU192" s="5341"/>
      <c r="AV192" s="5341"/>
      <c r="AW192" s="5341"/>
      <c r="AX192" s="1452"/>
      <c r="AY192" s="6714"/>
      <c r="AZ192" s="6714"/>
      <c r="BA192" s="4684"/>
      <c r="BB192" s="4684"/>
      <c r="BC192" s="4684"/>
      <c r="BD192" s="4684"/>
      <c r="BE192" s="4684"/>
      <c r="BF192" s="4684"/>
      <c r="BG192" s="4657"/>
      <c r="BH192" s="4657"/>
      <c r="CA192" s="4652"/>
      <c r="DA192" s="4688"/>
    </row>
    <row r="193" spans="1:126" ht="16.350000000000001" customHeight="1" x14ac:dyDescent="0.2">
      <c r="A193" s="8635"/>
      <c r="B193" s="6862" t="s">
        <v>768</v>
      </c>
      <c r="C193" s="6863">
        <f t="shared" si="30"/>
        <v>0</v>
      </c>
      <c r="D193" s="6865">
        <f t="shared" si="28"/>
        <v>0</v>
      </c>
      <c r="E193" s="6862">
        <f t="shared" si="29"/>
        <v>0</v>
      </c>
      <c r="F193" s="5558"/>
      <c r="G193" s="5341"/>
      <c r="H193" s="5558"/>
      <c r="I193" s="5341"/>
      <c r="J193" s="5558"/>
      <c r="K193" s="5341"/>
      <c r="L193" s="5558"/>
      <c r="M193" s="5341"/>
      <c r="N193" s="5558"/>
      <c r="O193" s="5341"/>
      <c r="P193" s="5558"/>
      <c r="Q193" s="5341"/>
      <c r="R193" s="5558"/>
      <c r="S193" s="5341"/>
      <c r="T193" s="5558"/>
      <c r="U193" s="5341"/>
      <c r="V193" s="5558"/>
      <c r="W193" s="5341"/>
      <c r="X193" s="5558"/>
      <c r="Y193" s="5341"/>
      <c r="Z193" s="5558"/>
      <c r="AA193" s="5341"/>
      <c r="AB193" s="5558"/>
      <c r="AC193" s="5341"/>
      <c r="AD193" s="5558"/>
      <c r="AE193" s="5341"/>
      <c r="AF193" s="5558"/>
      <c r="AG193" s="5341"/>
      <c r="AH193" s="5558"/>
      <c r="AI193" s="5341"/>
      <c r="AJ193" s="5558"/>
      <c r="AK193" s="5341"/>
      <c r="AL193" s="5558"/>
      <c r="AM193" s="6771"/>
      <c r="AN193" s="6866"/>
      <c r="AO193" s="5561"/>
      <c r="AP193" s="5558"/>
      <c r="AQ193" s="5341"/>
      <c r="AR193" s="5341"/>
      <c r="AS193" s="5341"/>
      <c r="AT193" s="5341"/>
      <c r="AU193" s="5341"/>
      <c r="AV193" s="5341"/>
      <c r="AW193" s="5341"/>
      <c r="AX193" s="1452"/>
      <c r="AY193" s="6714"/>
      <c r="AZ193" s="6714"/>
      <c r="BA193" s="4684"/>
      <c r="BB193" s="4684"/>
      <c r="BC193" s="4684"/>
      <c r="BD193" s="4684"/>
      <c r="BE193" s="4684"/>
      <c r="BF193" s="4684"/>
      <c r="BG193" s="4657"/>
      <c r="BH193" s="4657"/>
      <c r="CA193" s="4652"/>
      <c r="DA193" s="4688"/>
    </row>
    <row r="194" spans="1:126" ht="16.350000000000001" customHeight="1" x14ac:dyDescent="0.2">
      <c r="A194" s="8635"/>
      <c r="B194" s="6867" t="s">
        <v>767</v>
      </c>
      <c r="C194" s="6863">
        <f t="shared" si="30"/>
        <v>0</v>
      </c>
      <c r="D194" s="6868"/>
      <c r="E194" s="6862">
        <f>SUM(K194+M194+O194+Q194+S194+U194+W194+Y194+AA194+AC194+AE194+AG194+AI194+AK194+AM194)</f>
        <v>0</v>
      </c>
      <c r="F194" s="6869"/>
      <c r="G194" s="6870"/>
      <c r="H194" s="6869"/>
      <c r="I194" s="6870"/>
      <c r="J194" s="6869"/>
      <c r="K194" s="5566"/>
      <c r="L194" s="6869"/>
      <c r="M194" s="5566"/>
      <c r="N194" s="6869"/>
      <c r="O194" s="5566"/>
      <c r="P194" s="6869"/>
      <c r="Q194" s="5566"/>
      <c r="R194" s="6869"/>
      <c r="S194" s="5566"/>
      <c r="T194" s="6869"/>
      <c r="U194" s="5566"/>
      <c r="V194" s="6869"/>
      <c r="W194" s="5566"/>
      <c r="X194" s="6869"/>
      <c r="Y194" s="5566"/>
      <c r="Z194" s="6869"/>
      <c r="AA194" s="5566"/>
      <c r="AB194" s="6869"/>
      <c r="AC194" s="5566"/>
      <c r="AD194" s="6869"/>
      <c r="AE194" s="5566"/>
      <c r="AF194" s="6869"/>
      <c r="AG194" s="5566"/>
      <c r="AH194" s="6869"/>
      <c r="AI194" s="5566"/>
      <c r="AJ194" s="6869"/>
      <c r="AK194" s="5566"/>
      <c r="AL194" s="6869"/>
      <c r="AM194" s="6871"/>
      <c r="AN194" s="6872"/>
      <c r="AO194" s="5567"/>
      <c r="AP194" s="6869"/>
      <c r="AQ194" s="5566"/>
      <c r="AR194" s="5566"/>
      <c r="AS194" s="5566"/>
      <c r="AT194" s="6165"/>
      <c r="AU194" s="5566"/>
      <c r="AV194" s="5566"/>
      <c r="AW194" s="5566"/>
      <c r="AX194" s="1452"/>
      <c r="AY194" s="6714"/>
      <c r="AZ194" s="6714"/>
      <c r="BA194" s="4684"/>
      <c r="BB194" s="4684"/>
      <c r="BC194" s="4684"/>
      <c r="BD194" s="4684"/>
      <c r="BE194" s="4684"/>
      <c r="BF194" s="4684"/>
      <c r="BG194" s="4657"/>
      <c r="BH194" s="4657"/>
      <c r="CA194" s="4652"/>
      <c r="DA194" s="4688"/>
      <c r="DB194" s="6209">
        <v>0</v>
      </c>
      <c r="DD194" s="6209">
        <v>0</v>
      </c>
      <c r="DH194" s="6209">
        <v>0</v>
      </c>
      <c r="DJ194" s="6209">
        <v>0</v>
      </c>
      <c r="DN194" s="6209">
        <v>0</v>
      </c>
      <c r="DP194" s="6209">
        <v>0</v>
      </c>
      <c r="DR194" s="6209">
        <v>0</v>
      </c>
      <c r="DT194" s="6209">
        <v>0</v>
      </c>
      <c r="DV194" s="6209">
        <v>0</v>
      </c>
    </row>
    <row r="195" spans="1:126" ht="16.350000000000001" customHeight="1" x14ac:dyDescent="0.2">
      <c r="A195" s="8635"/>
      <c r="B195" s="6862" t="s">
        <v>766</v>
      </c>
      <c r="C195" s="6863">
        <f t="shared" si="30"/>
        <v>0</v>
      </c>
      <c r="D195" s="6860">
        <f t="shared" ref="D195:E203" si="31">SUM(F195+H195+J195+L195+N195+P195+R195+T195+V195+X195+Z195+AB195+AD195+AF195+AH195+AJ195+AL195)</f>
        <v>0</v>
      </c>
      <c r="E195" s="6862">
        <f t="shared" si="31"/>
        <v>0</v>
      </c>
      <c r="F195" s="4407"/>
      <c r="G195" s="6573"/>
      <c r="H195" s="4407"/>
      <c r="I195" s="6573"/>
      <c r="J195" s="4407"/>
      <c r="K195" s="6573"/>
      <c r="L195" s="4407"/>
      <c r="M195" s="6573"/>
      <c r="N195" s="4407"/>
      <c r="O195" s="6573"/>
      <c r="P195" s="4407"/>
      <c r="Q195" s="6573"/>
      <c r="R195" s="4407"/>
      <c r="S195" s="6573"/>
      <c r="T195" s="4407"/>
      <c r="U195" s="6573"/>
      <c r="V195" s="4407"/>
      <c r="W195" s="6573"/>
      <c r="X195" s="4407"/>
      <c r="Y195" s="6573"/>
      <c r="Z195" s="4407"/>
      <c r="AA195" s="6573"/>
      <c r="AB195" s="4407"/>
      <c r="AC195" s="6573"/>
      <c r="AD195" s="4407"/>
      <c r="AE195" s="6573"/>
      <c r="AF195" s="4407"/>
      <c r="AG195" s="6573"/>
      <c r="AH195" s="4407"/>
      <c r="AI195" s="6573"/>
      <c r="AJ195" s="4407"/>
      <c r="AK195" s="6573"/>
      <c r="AL195" s="4407"/>
      <c r="AM195" s="5403"/>
      <c r="AN195" s="6873"/>
      <c r="AO195" s="4550"/>
      <c r="AP195" s="4407"/>
      <c r="AQ195" s="6573"/>
      <c r="AR195" s="6573"/>
      <c r="AS195" s="6573"/>
      <c r="AT195" s="4428"/>
      <c r="AU195" s="6573"/>
      <c r="AV195" s="6573"/>
      <c r="AW195" s="6573"/>
      <c r="AX195" s="1452"/>
      <c r="AY195" s="6714"/>
      <c r="AZ195" s="6714"/>
      <c r="BA195" s="4684"/>
      <c r="BB195" s="4684"/>
      <c r="BC195" s="4684"/>
      <c r="BD195" s="4684"/>
      <c r="BE195" s="4684"/>
      <c r="BF195" s="4684"/>
      <c r="BG195" s="4657"/>
      <c r="BH195" s="4657"/>
      <c r="CA195" s="4652"/>
      <c r="DA195" s="4688"/>
      <c r="DB195" s="6209">
        <v>0</v>
      </c>
      <c r="DD195" s="6209">
        <v>0</v>
      </c>
      <c r="DH195" s="6209">
        <v>0</v>
      </c>
      <c r="DJ195" s="6209">
        <v>0</v>
      </c>
      <c r="DL195" s="6209">
        <v>0</v>
      </c>
      <c r="DN195" s="6209">
        <v>0</v>
      </c>
      <c r="DP195" s="6209">
        <v>0</v>
      </c>
      <c r="DR195" s="6209">
        <v>0</v>
      </c>
      <c r="DT195" s="6209">
        <v>0</v>
      </c>
      <c r="DV195" s="6209">
        <v>0</v>
      </c>
    </row>
    <row r="196" spans="1:126" ht="16.350000000000001" customHeight="1" x14ac:dyDescent="0.2">
      <c r="A196" s="8635"/>
      <c r="B196" s="6874" t="s">
        <v>765</v>
      </c>
      <c r="C196" s="6863">
        <f t="shared" si="30"/>
        <v>0</v>
      </c>
      <c r="D196" s="6864">
        <f t="shared" si="31"/>
        <v>0</v>
      </c>
      <c r="E196" s="6862">
        <f t="shared" si="31"/>
        <v>0</v>
      </c>
      <c r="F196" s="4778"/>
      <c r="G196" s="5582"/>
      <c r="H196" s="4778"/>
      <c r="I196" s="5582"/>
      <c r="J196" s="4778"/>
      <c r="K196" s="5582"/>
      <c r="L196" s="4778"/>
      <c r="M196" s="5582"/>
      <c r="N196" s="4778"/>
      <c r="O196" s="5582"/>
      <c r="P196" s="4778"/>
      <c r="Q196" s="5582"/>
      <c r="R196" s="4778"/>
      <c r="S196" s="5582"/>
      <c r="T196" s="4778"/>
      <c r="U196" s="5582"/>
      <c r="V196" s="4778"/>
      <c r="W196" s="5582"/>
      <c r="X196" s="4778"/>
      <c r="Y196" s="5582"/>
      <c r="Z196" s="4778"/>
      <c r="AA196" s="5582"/>
      <c r="AB196" s="4778"/>
      <c r="AC196" s="5582"/>
      <c r="AD196" s="4778"/>
      <c r="AE196" s="5582"/>
      <c r="AF196" s="4778"/>
      <c r="AG196" s="5582"/>
      <c r="AH196" s="4778"/>
      <c r="AI196" s="5582"/>
      <c r="AJ196" s="4778"/>
      <c r="AK196" s="5582"/>
      <c r="AL196" s="4778"/>
      <c r="AM196" s="5586"/>
      <c r="AN196" s="4868"/>
      <c r="AO196" s="4869"/>
      <c r="AP196" s="4778"/>
      <c r="AQ196" s="6833"/>
      <c r="AR196" s="6833"/>
      <c r="AS196" s="6833"/>
      <c r="AT196" s="5460"/>
      <c r="AU196" s="6833"/>
      <c r="AV196" s="6833"/>
      <c r="AW196" s="6833"/>
      <c r="AX196" s="1452"/>
      <c r="AY196" s="6714"/>
      <c r="AZ196" s="6714"/>
      <c r="BA196" s="4684"/>
      <c r="BB196" s="4684"/>
      <c r="BC196" s="4684"/>
      <c r="BD196" s="4684"/>
      <c r="BE196" s="4684"/>
      <c r="BF196" s="4684"/>
      <c r="BG196" s="4657"/>
      <c r="BH196" s="4657"/>
      <c r="CA196" s="4652"/>
      <c r="DA196" s="4688"/>
    </row>
    <row r="197" spans="1:126" ht="20.25" customHeight="1" x14ac:dyDescent="0.2">
      <c r="A197" s="8635"/>
      <c r="B197" s="6875" t="s">
        <v>764</v>
      </c>
      <c r="C197" s="6863">
        <f t="shared" si="30"/>
        <v>0</v>
      </c>
      <c r="D197" s="6864">
        <f t="shared" si="31"/>
        <v>0</v>
      </c>
      <c r="E197" s="6862">
        <f t="shared" si="31"/>
        <v>0</v>
      </c>
      <c r="F197" s="4778"/>
      <c r="G197" s="5582"/>
      <c r="H197" s="4778"/>
      <c r="I197" s="5582"/>
      <c r="J197" s="4778"/>
      <c r="K197" s="5582"/>
      <c r="L197" s="4778"/>
      <c r="M197" s="5582"/>
      <c r="N197" s="4778"/>
      <c r="O197" s="5582"/>
      <c r="P197" s="4778"/>
      <c r="Q197" s="5582"/>
      <c r="R197" s="4778"/>
      <c r="S197" s="5582"/>
      <c r="T197" s="4778"/>
      <c r="U197" s="5582"/>
      <c r="V197" s="4778"/>
      <c r="W197" s="5582"/>
      <c r="X197" s="4778"/>
      <c r="Y197" s="5582"/>
      <c r="Z197" s="4778"/>
      <c r="AA197" s="5582"/>
      <c r="AB197" s="4778"/>
      <c r="AC197" s="5582"/>
      <c r="AD197" s="4778"/>
      <c r="AE197" s="5582"/>
      <c r="AF197" s="4778"/>
      <c r="AG197" s="5582"/>
      <c r="AH197" s="4778"/>
      <c r="AI197" s="5582"/>
      <c r="AJ197" s="4778"/>
      <c r="AK197" s="5582"/>
      <c r="AL197" s="4778"/>
      <c r="AM197" s="5586"/>
      <c r="AN197" s="4868"/>
      <c r="AO197" s="4869"/>
      <c r="AP197" s="4778"/>
      <c r="AQ197" s="5341"/>
      <c r="AR197" s="5341"/>
      <c r="AS197" s="5341"/>
      <c r="AT197" s="5341"/>
      <c r="AU197" s="5341"/>
      <c r="AV197" s="5341"/>
      <c r="AW197" s="5341"/>
      <c r="AX197" s="1452"/>
      <c r="AY197" s="6714"/>
      <c r="AZ197" s="6714"/>
      <c r="BA197" s="4684"/>
      <c r="BB197" s="4684"/>
      <c r="BC197" s="4684"/>
      <c r="BD197" s="4684"/>
      <c r="BE197" s="4684"/>
      <c r="BF197" s="4684"/>
      <c r="BG197" s="4657"/>
      <c r="BH197" s="4657"/>
      <c r="CA197" s="4652"/>
      <c r="DA197" s="4688"/>
    </row>
    <row r="198" spans="1:126" ht="23.25" customHeight="1" x14ac:dyDescent="0.2">
      <c r="A198" s="8662"/>
      <c r="B198" s="6876" t="s">
        <v>763</v>
      </c>
      <c r="C198" s="6877">
        <f t="shared" si="30"/>
        <v>0</v>
      </c>
      <c r="D198" s="6865">
        <f t="shared" si="31"/>
        <v>0</v>
      </c>
      <c r="E198" s="5557">
        <f t="shared" si="31"/>
        <v>0</v>
      </c>
      <c r="F198" s="6711"/>
      <c r="G198" s="5341"/>
      <c r="H198" s="6711"/>
      <c r="I198" s="5341"/>
      <c r="J198" s="6711"/>
      <c r="K198" s="5341"/>
      <c r="L198" s="6711"/>
      <c r="M198" s="5341"/>
      <c r="N198" s="6711"/>
      <c r="O198" s="5341"/>
      <c r="P198" s="6711"/>
      <c r="Q198" s="5341"/>
      <c r="R198" s="6711"/>
      <c r="S198" s="5341"/>
      <c r="T198" s="6711"/>
      <c r="U198" s="5341"/>
      <c r="V198" s="6711"/>
      <c r="W198" s="5341"/>
      <c r="X198" s="6711"/>
      <c r="Y198" s="5341"/>
      <c r="Z198" s="6711"/>
      <c r="AA198" s="5341"/>
      <c r="AB198" s="6711"/>
      <c r="AC198" s="5341"/>
      <c r="AD198" s="6711"/>
      <c r="AE198" s="5341"/>
      <c r="AF198" s="6711"/>
      <c r="AG198" s="5341"/>
      <c r="AH198" s="6711"/>
      <c r="AI198" s="5341"/>
      <c r="AJ198" s="6711"/>
      <c r="AK198" s="5341"/>
      <c r="AL198" s="6711"/>
      <c r="AM198" s="6771"/>
      <c r="AN198" s="6866"/>
      <c r="AO198" s="6713"/>
      <c r="AP198" s="6711"/>
      <c r="AQ198" s="4888"/>
      <c r="AR198" s="4888"/>
      <c r="AS198" s="4888"/>
      <c r="AT198" s="4787"/>
      <c r="AU198" s="4888"/>
      <c r="AV198" s="4888"/>
      <c r="AW198" s="4888"/>
      <c r="AX198" s="1452"/>
      <c r="AY198" s="6714"/>
      <c r="AZ198" s="6714"/>
      <c r="BA198" s="4684"/>
      <c r="BB198" s="4684"/>
      <c r="BC198" s="4684"/>
      <c r="BD198" s="4684"/>
      <c r="BE198" s="4684"/>
      <c r="BF198" s="4684"/>
      <c r="BG198" s="4657"/>
      <c r="BH198" s="4657"/>
      <c r="CA198" s="4652"/>
      <c r="DA198" s="4688"/>
    </row>
    <row r="199" spans="1:126" ht="20.25" customHeight="1" x14ac:dyDescent="0.2">
      <c r="A199" s="8661" t="s">
        <v>762</v>
      </c>
      <c r="B199" s="6878" t="s">
        <v>2794</v>
      </c>
      <c r="C199" s="6840">
        <f t="shared" si="30"/>
        <v>0</v>
      </c>
      <c r="D199" s="6841">
        <f t="shared" si="31"/>
        <v>0</v>
      </c>
      <c r="E199" s="6839">
        <f t="shared" si="31"/>
        <v>0</v>
      </c>
      <c r="F199" s="6499"/>
      <c r="G199" s="6537"/>
      <c r="H199" s="6499"/>
      <c r="I199" s="6537"/>
      <c r="J199" s="6499"/>
      <c r="K199" s="6537"/>
      <c r="L199" s="6499"/>
      <c r="M199" s="6537"/>
      <c r="N199" s="6499"/>
      <c r="O199" s="6537"/>
      <c r="P199" s="6499"/>
      <c r="Q199" s="6537"/>
      <c r="R199" s="6499"/>
      <c r="S199" s="6537"/>
      <c r="T199" s="6499"/>
      <c r="U199" s="6537"/>
      <c r="V199" s="6499"/>
      <c r="W199" s="6537"/>
      <c r="X199" s="6499"/>
      <c r="Y199" s="6537"/>
      <c r="Z199" s="6499"/>
      <c r="AA199" s="6537"/>
      <c r="AB199" s="6499"/>
      <c r="AC199" s="6537"/>
      <c r="AD199" s="6499"/>
      <c r="AE199" s="6537"/>
      <c r="AF199" s="6499"/>
      <c r="AG199" s="6537"/>
      <c r="AH199" s="6499"/>
      <c r="AI199" s="6537"/>
      <c r="AJ199" s="6499"/>
      <c r="AK199" s="6537"/>
      <c r="AL199" s="6499"/>
      <c r="AM199" s="6762"/>
      <c r="AN199" s="6842"/>
      <c r="AO199" s="6638"/>
      <c r="AP199" s="6499"/>
      <c r="AQ199" s="5601"/>
      <c r="AR199" s="5601"/>
      <c r="AS199" s="5601"/>
      <c r="AT199" s="6879"/>
      <c r="AU199" s="5601"/>
      <c r="AV199" s="5601"/>
      <c r="AW199" s="5601"/>
      <c r="AX199" s="1452"/>
      <c r="AY199" s="6714"/>
      <c r="AZ199" s="6714"/>
      <c r="BA199" s="4684"/>
      <c r="BB199" s="4684"/>
      <c r="BC199" s="4684"/>
      <c r="BD199" s="4684"/>
      <c r="BE199" s="4684"/>
      <c r="BF199" s="4684"/>
      <c r="BG199" s="4657"/>
      <c r="BH199" s="4657"/>
      <c r="CA199" s="4652"/>
      <c r="DA199" s="4688"/>
    </row>
    <row r="200" spans="1:126" ht="20.25" customHeight="1" x14ac:dyDescent="0.2">
      <c r="A200" s="8635"/>
      <c r="B200" s="6862" t="s">
        <v>2795</v>
      </c>
      <c r="C200" s="6863">
        <f t="shared" si="30"/>
        <v>0</v>
      </c>
      <c r="D200" s="6864">
        <f>SUM(F200+H200+J200+L200+N200+P200+R200+T200+V200+X200+Z200+AB200+AD200+AF200+AH200+AJ200+AL200)</f>
        <v>0</v>
      </c>
      <c r="E200" s="6862">
        <f t="shared" si="31"/>
        <v>0</v>
      </c>
      <c r="F200" s="4778"/>
      <c r="G200" s="5582"/>
      <c r="H200" s="4778"/>
      <c r="I200" s="5582"/>
      <c r="J200" s="4778"/>
      <c r="K200" s="5582"/>
      <c r="L200" s="4778"/>
      <c r="M200" s="5582"/>
      <c r="N200" s="4778"/>
      <c r="O200" s="5582"/>
      <c r="P200" s="4778"/>
      <c r="Q200" s="5582"/>
      <c r="R200" s="4778"/>
      <c r="S200" s="5582"/>
      <c r="T200" s="4778"/>
      <c r="U200" s="5582"/>
      <c r="V200" s="4778"/>
      <c r="W200" s="5582"/>
      <c r="X200" s="4778"/>
      <c r="Y200" s="5582"/>
      <c r="Z200" s="4778"/>
      <c r="AA200" s="5582"/>
      <c r="AB200" s="4778"/>
      <c r="AC200" s="5582"/>
      <c r="AD200" s="4778"/>
      <c r="AE200" s="5582"/>
      <c r="AF200" s="4778"/>
      <c r="AG200" s="5582"/>
      <c r="AH200" s="4778"/>
      <c r="AI200" s="5582"/>
      <c r="AJ200" s="4778"/>
      <c r="AK200" s="5582"/>
      <c r="AL200" s="4778"/>
      <c r="AM200" s="5586"/>
      <c r="AN200" s="4868"/>
      <c r="AO200" s="4869"/>
      <c r="AP200" s="4778"/>
      <c r="AQ200" s="5341"/>
      <c r="AR200" s="5341"/>
      <c r="AS200" s="5341"/>
      <c r="AT200" s="5341"/>
      <c r="AU200" s="5341"/>
      <c r="AV200" s="5341"/>
      <c r="AW200" s="5341"/>
      <c r="AX200" s="1452"/>
      <c r="AY200" s="6714"/>
      <c r="AZ200" s="6714"/>
      <c r="BA200" s="4684"/>
      <c r="BB200" s="4684"/>
      <c r="BC200" s="4684"/>
      <c r="BD200" s="4684"/>
      <c r="BE200" s="4684"/>
      <c r="BF200" s="4684"/>
      <c r="BG200" s="4657"/>
      <c r="BH200" s="4657"/>
      <c r="CA200" s="4652"/>
      <c r="DA200" s="4688"/>
    </row>
    <row r="201" spans="1:126" ht="20.25" customHeight="1" x14ac:dyDescent="0.2">
      <c r="A201" s="8677"/>
      <c r="B201" s="6880" t="s">
        <v>2796</v>
      </c>
      <c r="C201" s="6881">
        <f t="shared" si="30"/>
        <v>0</v>
      </c>
      <c r="D201" s="6882">
        <f>SUM(F201+H201+J201+L201+N201+P201+R201+T201+V201+X201+Z201+AB201+AD201+AF201+AH201+AJ201+AL201)</f>
        <v>0</v>
      </c>
      <c r="E201" s="6880">
        <f>SUM(G201+I201+K201+M201+O201+Q201+S201+U201+W201+Y201+AA201+AC201+AE201+AG201+AI201+AK201+AM201)</f>
        <v>0</v>
      </c>
      <c r="F201" s="5559"/>
      <c r="G201" s="5560"/>
      <c r="H201" s="5559"/>
      <c r="I201" s="5560"/>
      <c r="J201" s="5559"/>
      <c r="K201" s="5560"/>
      <c r="L201" s="5559"/>
      <c r="M201" s="5560"/>
      <c r="N201" s="5559"/>
      <c r="O201" s="5560"/>
      <c r="P201" s="5559"/>
      <c r="Q201" s="5560"/>
      <c r="R201" s="5559"/>
      <c r="S201" s="5560"/>
      <c r="T201" s="5559"/>
      <c r="U201" s="5560"/>
      <c r="V201" s="5559"/>
      <c r="W201" s="5560"/>
      <c r="X201" s="5559"/>
      <c r="Y201" s="5560"/>
      <c r="Z201" s="5559"/>
      <c r="AA201" s="5560"/>
      <c r="AB201" s="5559"/>
      <c r="AC201" s="5560"/>
      <c r="AD201" s="5559"/>
      <c r="AE201" s="5560"/>
      <c r="AF201" s="5559"/>
      <c r="AG201" s="5560"/>
      <c r="AH201" s="5559"/>
      <c r="AI201" s="5560"/>
      <c r="AJ201" s="5559"/>
      <c r="AK201" s="5560"/>
      <c r="AL201" s="5559"/>
      <c r="AM201" s="6771"/>
      <c r="AN201" s="6698"/>
      <c r="AO201" s="6485"/>
      <c r="AP201" s="5559"/>
      <c r="AQ201" s="5560"/>
      <c r="AR201" s="5560"/>
      <c r="AS201" s="5560"/>
      <c r="AT201" s="5341"/>
      <c r="AU201" s="5560"/>
      <c r="AV201" s="5560"/>
      <c r="AW201" s="5560"/>
      <c r="AX201" s="1452"/>
      <c r="AY201" s="6714"/>
      <c r="AZ201" s="6714"/>
      <c r="BA201" s="4684"/>
      <c r="BB201" s="4684"/>
      <c r="BC201" s="4684"/>
      <c r="BD201" s="4684"/>
      <c r="BE201" s="4684"/>
      <c r="BF201" s="4684"/>
      <c r="BG201" s="4657"/>
      <c r="BH201" s="4657"/>
      <c r="CA201" s="4652"/>
      <c r="DA201" s="4688"/>
    </row>
    <row r="202" spans="1:126" ht="20.25" customHeight="1" x14ac:dyDescent="0.2">
      <c r="A202" s="8677"/>
      <c r="B202" s="6880" t="s">
        <v>2797</v>
      </c>
      <c r="C202" s="6881">
        <f t="shared" si="30"/>
        <v>0</v>
      </c>
      <c r="D202" s="6882">
        <f>SUM(F202+H202+J202+L202+N202+P202+R202+T202+V202+X202+Z202+AB202+AD202+AF202+AH202+AJ202+AL202)</f>
        <v>0</v>
      </c>
      <c r="E202" s="6880">
        <f>SUM(G202+I202+K202+M202+O202+Q202+S202+U202+W202+Y202+AA202+AC202+AE202+AG202+AI202+AK202+AM202)</f>
        <v>0</v>
      </c>
      <c r="F202" s="5559"/>
      <c r="G202" s="5560"/>
      <c r="H202" s="5559"/>
      <c r="I202" s="5560"/>
      <c r="J202" s="5559"/>
      <c r="K202" s="5560"/>
      <c r="L202" s="5559"/>
      <c r="M202" s="5560"/>
      <c r="N202" s="5559"/>
      <c r="O202" s="5560"/>
      <c r="P202" s="5559"/>
      <c r="Q202" s="5560"/>
      <c r="R202" s="5559"/>
      <c r="S202" s="5560"/>
      <c r="T202" s="5559"/>
      <c r="U202" s="5560"/>
      <c r="V202" s="5559"/>
      <c r="W202" s="5560"/>
      <c r="X202" s="5559"/>
      <c r="Y202" s="5560"/>
      <c r="Z202" s="5559"/>
      <c r="AA202" s="5560"/>
      <c r="AB202" s="5559"/>
      <c r="AC202" s="5560"/>
      <c r="AD202" s="5559"/>
      <c r="AE202" s="5560"/>
      <c r="AF202" s="5559"/>
      <c r="AG202" s="5560"/>
      <c r="AH202" s="5559"/>
      <c r="AI202" s="5560"/>
      <c r="AJ202" s="5559"/>
      <c r="AK202" s="5560"/>
      <c r="AL202" s="5559"/>
      <c r="AM202" s="6771"/>
      <c r="AN202" s="6698"/>
      <c r="AO202" s="6485"/>
      <c r="AP202" s="5559"/>
      <c r="AQ202" s="5560"/>
      <c r="AR202" s="5560"/>
      <c r="AS202" s="5560"/>
      <c r="AT202" s="5341"/>
      <c r="AU202" s="5560"/>
      <c r="AV202" s="5560"/>
      <c r="AW202" s="5560"/>
      <c r="AX202" s="1452"/>
      <c r="AY202" s="6714"/>
      <c r="AZ202" s="6714"/>
      <c r="BA202" s="4684"/>
      <c r="BB202" s="4684"/>
      <c r="BC202" s="4684"/>
      <c r="BD202" s="4684"/>
      <c r="BE202" s="4684"/>
      <c r="BF202" s="4684"/>
      <c r="BG202" s="4657"/>
      <c r="BH202" s="4657"/>
      <c r="CA202" s="4652"/>
      <c r="DA202" s="4688"/>
    </row>
    <row r="203" spans="1:126" ht="20.25" customHeight="1" x14ac:dyDescent="0.2">
      <c r="A203" s="8635"/>
      <c r="B203" s="6844" t="s">
        <v>2798</v>
      </c>
      <c r="C203" s="6883">
        <f t="shared" si="30"/>
        <v>0</v>
      </c>
      <c r="D203" s="6884">
        <f>SUM(F203+H203+J203+L203+N203+P203+R203+T203+V203+X203+Z203+AB203+AD203+AF203+AH203+AJ203+AL203)</f>
        <v>0</v>
      </c>
      <c r="E203" s="6844">
        <f t="shared" si="31"/>
        <v>0</v>
      </c>
      <c r="F203" s="4796"/>
      <c r="G203" s="4888"/>
      <c r="H203" s="4796"/>
      <c r="I203" s="4888"/>
      <c r="J203" s="4796"/>
      <c r="K203" s="4888"/>
      <c r="L203" s="4796"/>
      <c r="M203" s="4888"/>
      <c r="N203" s="4796"/>
      <c r="O203" s="4888"/>
      <c r="P203" s="4796"/>
      <c r="Q203" s="4888"/>
      <c r="R203" s="4796"/>
      <c r="S203" s="4888"/>
      <c r="T203" s="4796"/>
      <c r="U203" s="4888"/>
      <c r="V203" s="4796"/>
      <c r="W203" s="4888"/>
      <c r="X203" s="4796"/>
      <c r="Y203" s="4888"/>
      <c r="Z203" s="4796"/>
      <c r="AA203" s="4888"/>
      <c r="AB203" s="4796"/>
      <c r="AC203" s="4888"/>
      <c r="AD203" s="4796"/>
      <c r="AE203" s="4888"/>
      <c r="AF203" s="4796"/>
      <c r="AG203" s="4888"/>
      <c r="AH203" s="4796"/>
      <c r="AI203" s="4888"/>
      <c r="AJ203" s="4796"/>
      <c r="AK203" s="4888"/>
      <c r="AL203" s="4796"/>
      <c r="AM203" s="6885"/>
      <c r="AN203" s="4876"/>
      <c r="AO203" s="4877"/>
      <c r="AP203" s="4796"/>
      <c r="AQ203" s="4888"/>
      <c r="AR203" s="4888"/>
      <c r="AS203" s="4888"/>
      <c r="AT203" s="4787"/>
      <c r="AU203" s="4888"/>
      <c r="AV203" s="4888"/>
      <c r="AW203" s="4888"/>
      <c r="AX203" s="1452"/>
      <c r="AY203" s="6714"/>
      <c r="AZ203" s="6714"/>
      <c r="BA203" s="4684"/>
      <c r="BB203" s="4684"/>
      <c r="BC203" s="4684"/>
      <c r="BD203" s="4684"/>
      <c r="BE203" s="4684"/>
      <c r="BF203" s="4684"/>
      <c r="BG203" s="4657"/>
      <c r="BH203" s="4657"/>
      <c r="CA203" s="4652"/>
      <c r="DA203" s="4688"/>
    </row>
    <row r="204" spans="1:126" ht="22.35" customHeight="1" x14ac:dyDescent="0.2">
      <c r="A204" s="8661" t="s">
        <v>761</v>
      </c>
      <c r="B204" s="6839" t="s">
        <v>760</v>
      </c>
      <c r="C204" s="6840">
        <f t="shared" si="30"/>
        <v>0</v>
      </c>
      <c r="D204" s="6841">
        <f>SUM(F204+H204+J204+L204+N204)</f>
        <v>0</v>
      </c>
      <c r="E204" s="6839">
        <f t="shared" ref="D204:E207" si="32">SUM(G204+I204+K204+M204+O204)</f>
        <v>0</v>
      </c>
      <c r="F204" s="6499"/>
      <c r="G204" s="6537"/>
      <c r="H204" s="6499"/>
      <c r="I204" s="6537"/>
      <c r="J204" s="6499"/>
      <c r="K204" s="6537"/>
      <c r="L204" s="6499"/>
      <c r="M204" s="6537"/>
      <c r="N204" s="6499"/>
      <c r="O204" s="6537"/>
      <c r="P204" s="7603"/>
      <c r="Q204" s="7604"/>
      <c r="R204" s="7604"/>
      <c r="S204" s="7604"/>
      <c r="T204" s="7604"/>
      <c r="U204" s="7604"/>
      <c r="V204" s="7604"/>
      <c r="W204" s="7604"/>
      <c r="X204" s="7604"/>
      <c r="Y204" s="7604"/>
      <c r="Z204" s="7604"/>
      <c r="AA204" s="7604"/>
      <c r="AB204" s="7604"/>
      <c r="AC204" s="7604"/>
      <c r="AD204" s="7604"/>
      <c r="AE204" s="7604"/>
      <c r="AF204" s="7604"/>
      <c r="AG204" s="7604"/>
      <c r="AH204" s="7604"/>
      <c r="AI204" s="7604"/>
      <c r="AJ204" s="7604"/>
      <c r="AK204" s="7604"/>
      <c r="AL204" s="7604"/>
      <c r="AM204" s="7605"/>
      <c r="AN204" s="6842"/>
      <c r="AO204" s="7612"/>
      <c r="AP204" s="6499"/>
      <c r="AQ204" s="5601"/>
      <c r="AR204" s="5601"/>
      <c r="AS204" s="5601"/>
      <c r="AT204" s="6879"/>
      <c r="AU204" s="5601"/>
      <c r="AV204" s="5601"/>
      <c r="AW204" s="5601"/>
      <c r="AX204" s="1452"/>
      <c r="AY204" s="6714"/>
      <c r="AZ204" s="6714"/>
      <c r="BA204" s="4684"/>
      <c r="BB204" s="4684"/>
      <c r="BC204" s="4684"/>
      <c r="BD204" s="4684"/>
      <c r="BE204" s="4684"/>
      <c r="BF204" s="4684"/>
      <c r="BG204" s="4657"/>
      <c r="BH204" s="4657"/>
      <c r="CA204" s="4652"/>
      <c r="DA204" s="4688"/>
    </row>
    <row r="205" spans="1:126" ht="27" customHeight="1" x14ac:dyDescent="0.2">
      <c r="A205" s="8635"/>
      <c r="B205" s="6862" t="s">
        <v>759</v>
      </c>
      <c r="C205" s="6863">
        <f t="shared" si="30"/>
        <v>0</v>
      </c>
      <c r="D205" s="6864">
        <f>SUM(F205+H205+J205+L205+N205)</f>
        <v>0</v>
      </c>
      <c r="E205" s="6862">
        <f t="shared" si="32"/>
        <v>0</v>
      </c>
      <c r="F205" s="4778"/>
      <c r="G205" s="5582"/>
      <c r="H205" s="4778"/>
      <c r="I205" s="5582"/>
      <c r="J205" s="4778"/>
      <c r="K205" s="5582"/>
      <c r="L205" s="4778"/>
      <c r="M205" s="5582"/>
      <c r="N205" s="4778"/>
      <c r="O205" s="5582"/>
      <c r="P205" s="7606"/>
      <c r="Q205" s="7607"/>
      <c r="R205" s="7607"/>
      <c r="S205" s="7607"/>
      <c r="T205" s="7607"/>
      <c r="U205" s="7607"/>
      <c r="V205" s="7607"/>
      <c r="W205" s="7607"/>
      <c r="X205" s="7607"/>
      <c r="Y205" s="7607"/>
      <c r="Z205" s="7607"/>
      <c r="AA205" s="7607"/>
      <c r="AB205" s="7607"/>
      <c r="AC205" s="7607"/>
      <c r="AD205" s="7607"/>
      <c r="AE205" s="7607"/>
      <c r="AF205" s="7607"/>
      <c r="AG205" s="7607"/>
      <c r="AH205" s="7607"/>
      <c r="AI205" s="7607"/>
      <c r="AJ205" s="7607"/>
      <c r="AK205" s="7607"/>
      <c r="AL205" s="7607"/>
      <c r="AM205" s="7608"/>
      <c r="AN205" s="4868"/>
      <c r="AO205" s="7613"/>
      <c r="AP205" s="4778"/>
      <c r="AQ205" s="5341"/>
      <c r="AR205" s="5341"/>
      <c r="AS205" s="5341"/>
      <c r="AT205" s="5341"/>
      <c r="AU205" s="5341"/>
      <c r="AV205" s="5341"/>
      <c r="AW205" s="5341"/>
      <c r="AX205" s="1452"/>
      <c r="AY205" s="6714"/>
      <c r="AZ205" s="6714"/>
      <c r="BA205" s="4684"/>
      <c r="BB205" s="4684"/>
      <c r="BC205" s="4684"/>
      <c r="BD205" s="4684"/>
      <c r="BE205" s="4684"/>
      <c r="BF205" s="4684"/>
      <c r="BG205" s="4657"/>
      <c r="BH205" s="4657"/>
      <c r="CA205" s="4652"/>
      <c r="DA205" s="4688"/>
    </row>
    <row r="206" spans="1:126" ht="25.5" customHeight="1" x14ac:dyDescent="0.2">
      <c r="A206" s="8635"/>
      <c r="B206" s="6862" t="s">
        <v>758</v>
      </c>
      <c r="C206" s="6863">
        <f t="shared" si="30"/>
        <v>0</v>
      </c>
      <c r="D206" s="6864">
        <f t="shared" si="32"/>
        <v>0</v>
      </c>
      <c r="E206" s="6862">
        <f t="shared" si="32"/>
        <v>0</v>
      </c>
      <c r="F206" s="4778"/>
      <c r="G206" s="5582"/>
      <c r="H206" s="4778"/>
      <c r="I206" s="5582"/>
      <c r="J206" s="4778"/>
      <c r="K206" s="5582"/>
      <c r="L206" s="4778"/>
      <c r="M206" s="5582"/>
      <c r="N206" s="4778"/>
      <c r="O206" s="5582"/>
      <c r="P206" s="7606"/>
      <c r="Q206" s="7607"/>
      <c r="R206" s="7607"/>
      <c r="S206" s="7607"/>
      <c r="T206" s="7607"/>
      <c r="U206" s="7607"/>
      <c r="V206" s="7607"/>
      <c r="W206" s="7607"/>
      <c r="X206" s="7607"/>
      <c r="Y206" s="7607"/>
      <c r="Z206" s="7607"/>
      <c r="AA206" s="7607"/>
      <c r="AB206" s="7607"/>
      <c r="AC206" s="7607"/>
      <c r="AD206" s="7607"/>
      <c r="AE206" s="7607"/>
      <c r="AF206" s="7607"/>
      <c r="AG206" s="7607"/>
      <c r="AH206" s="7607"/>
      <c r="AI206" s="7607"/>
      <c r="AJ206" s="7607"/>
      <c r="AK206" s="7607"/>
      <c r="AL206" s="7607"/>
      <c r="AM206" s="7608"/>
      <c r="AN206" s="4868"/>
      <c r="AO206" s="7613"/>
      <c r="AP206" s="4778"/>
      <c r="AQ206" s="5341"/>
      <c r="AR206" s="5341"/>
      <c r="AS206" s="5341"/>
      <c r="AT206" s="5341"/>
      <c r="AU206" s="5341"/>
      <c r="AV206" s="5341"/>
      <c r="AW206" s="5341"/>
      <c r="AX206" s="1452"/>
      <c r="AY206" s="6714"/>
      <c r="AZ206" s="6714"/>
      <c r="BA206" s="4684"/>
      <c r="BB206" s="4684"/>
      <c r="BC206" s="4684"/>
      <c r="BD206" s="4684"/>
      <c r="BE206" s="4684"/>
      <c r="BF206" s="4684"/>
      <c r="BG206" s="4657"/>
      <c r="BH206" s="4657"/>
      <c r="CA206" s="4652"/>
      <c r="DA206" s="4688"/>
    </row>
    <row r="207" spans="1:126" ht="46.5" customHeight="1" x14ac:dyDescent="0.2">
      <c r="A207" s="8662"/>
      <c r="B207" s="6844" t="s">
        <v>757</v>
      </c>
      <c r="C207" s="6883">
        <f t="shared" si="30"/>
        <v>0</v>
      </c>
      <c r="D207" s="6884">
        <f t="shared" si="32"/>
        <v>0</v>
      </c>
      <c r="E207" s="6844">
        <f t="shared" si="32"/>
        <v>0</v>
      </c>
      <c r="F207" s="4796"/>
      <c r="G207" s="4888"/>
      <c r="H207" s="4796"/>
      <c r="I207" s="4888"/>
      <c r="J207" s="4796"/>
      <c r="K207" s="4888"/>
      <c r="L207" s="4796"/>
      <c r="M207" s="4888"/>
      <c r="N207" s="4796"/>
      <c r="O207" s="4888"/>
      <c r="P207" s="7609"/>
      <c r="Q207" s="7610"/>
      <c r="R207" s="7610"/>
      <c r="S207" s="7610"/>
      <c r="T207" s="7610"/>
      <c r="U207" s="7610"/>
      <c r="V207" s="7610"/>
      <c r="W207" s="7610"/>
      <c r="X207" s="7610"/>
      <c r="Y207" s="7610"/>
      <c r="Z207" s="7610"/>
      <c r="AA207" s="7610"/>
      <c r="AB207" s="7610"/>
      <c r="AC207" s="7610"/>
      <c r="AD207" s="7610"/>
      <c r="AE207" s="7610"/>
      <c r="AF207" s="7610"/>
      <c r="AG207" s="7610"/>
      <c r="AH207" s="7610"/>
      <c r="AI207" s="7610"/>
      <c r="AJ207" s="7610"/>
      <c r="AK207" s="7610"/>
      <c r="AL207" s="7610"/>
      <c r="AM207" s="7611"/>
      <c r="AN207" s="4876"/>
      <c r="AO207" s="7614"/>
      <c r="AP207" s="4796"/>
      <c r="AQ207" s="4888"/>
      <c r="AR207" s="4888"/>
      <c r="AS207" s="4888"/>
      <c r="AT207" s="4787"/>
      <c r="AU207" s="4888"/>
      <c r="AV207" s="4888"/>
      <c r="AW207" s="4888"/>
      <c r="AX207" s="1452"/>
      <c r="AY207" s="6714"/>
      <c r="AZ207" s="6714"/>
      <c r="BA207" s="4684"/>
      <c r="BB207" s="4684"/>
      <c r="BC207" s="4684"/>
      <c r="BD207" s="4684"/>
      <c r="BE207" s="4684"/>
      <c r="BF207" s="4684"/>
      <c r="BG207" s="4657"/>
      <c r="BH207" s="4657"/>
      <c r="CA207" s="4652"/>
      <c r="DA207" s="4688"/>
    </row>
    <row r="208" spans="1:126" ht="24.75" customHeight="1" x14ac:dyDescent="0.2">
      <c r="A208" s="8661" t="s">
        <v>756</v>
      </c>
      <c r="B208" s="6886" t="s">
        <v>787</v>
      </c>
      <c r="C208" s="6859">
        <f t="shared" si="30"/>
        <v>0</v>
      </c>
      <c r="D208" s="6860">
        <f t="shared" ref="D208:D227" si="33">SUM(F208+H208+J208+L208+N208+P208+R208+T208+V208+X208+Z208+AB208+AD208+AF208+AH208+AJ208+AL208)</f>
        <v>0</v>
      </c>
      <c r="E208" s="6858">
        <f t="shared" ref="E208:E227" si="34">SUM(G208+I208+K208+M208+O208+Q208+S208+U208+W208+Y208+AA208+AC208+AE208+AG208+AI208+AK208+AM208)</f>
        <v>0</v>
      </c>
      <c r="F208" s="6726"/>
      <c r="G208" s="6573"/>
      <c r="H208" s="6726"/>
      <c r="I208" s="6573"/>
      <c r="J208" s="6726"/>
      <c r="K208" s="6573"/>
      <c r="L208" s="6726"/>
      <c r="M208" s="6573"/>
      <c r="N208" s="6726"/>
      <c r="O208" s="6573"/>
      <c r="P208" s="6726"/>
      <c r="Q208" s="6573"/>
      <c r="R208" s="6726"/>
      <c r="S208" s="6573"/>
      <c r="T208" s="6726"/>
      <c r="U208" s="6573"/>
      <c r="V208" s="6726"/>
      <c r="W208" s="6573"/>
      <c r="X208" s="6726"/>
      <c r="Y208" s="6573"/>
      <c r="Z208" s="6726"/>
      <c r="AA208" s="6573"/>
      <c r="AB208" s="6726"/>
      <c r="AC208" s="6573"/>
      <c r="AD208" s="6726"/>
      <c r="AE208" s="6573"/>
      <c r="AF208" s="6726"/>
      <c r="AG208" s="6573"/>
      <c r="AH208" s="6726"/>
      <c r="AI208" s="6573"/>
      <c r="AJ208" s="6726"/>
      <c r="AK208" s="6573"/>
      <c r="AL208" s="6726"/>
      <c r="AM208" s="6887"/>
      <c r="AN208" s="6573"/>
      <c r="AO208" s="6638"/>
      <c r="AP208" s="6649"/>
      <c r="AQ208" s="6573"/>
      <c r="AR208" s="6573"/>
      <c r="AS208" s="6573"/>
      <c r="AT208" s="4428"/>
      <c r="AU208" s="5552"/>
      <c r="AV208" s="5552"/>
      <c r="AW208" s="5552"/>
      <c r="AX208" s="1452"/>
      <c r="AY208" s="6714"/>
      <c r="AZ208" s="6714"/>
      <c r="BA208" s="4684"/>
      <c r="BB208" s="4684"/>
      <c r="BC208" s="4684"/>
      <c r="BD208" s="4684"/>
      <c r="BE208" s="4684"/>
      <c r="BF208" s="4684"/>
      <c r="BG208" s="4657"/>
      <c r="BH208" s="4657"/>
      <c r="CA208" s="4652"/>
      <c r="DA208" s="4688"/>
      <c r="DB208" s="6209">
        <v>0</v>
      </c>
      <c r="DD208" s="6209">
        <v>0</v>
      </c>
      <c r="DH208" s="6209">
        <v>0</v>
      </c>
      <c r="DJ208" s="6209">
        <v>0</v>
      </c>
      <c r="DL208" s="6209">
        <v>0</v>
      </c>
      <c r="DN208" s="6209">
        <v>0</v>
      </c>
      <c r="DP208" s="6209">
        <v>0</v>
      </c>
      <c r="DR208" s="6209">
        <v>0</v>
      </c>
      <c r="DT208" s="6209">
        <v>0</v>
      </c>
      <c r="DV208" s="6209">
        <v>0</v>
      </c>
    </row>
    <row r="209" spans="1:121" ht="20.25" customHeight="1" x14ac:dyDescent="0.2">
      <c r="A209" s="8635"/>
      <c r="B209" s="6888" t="s">
        <v>2658</v>
      </c>
      <c r="C209" s="6863">
        <f t="shared" si="30"/>
        <v>0</v>
      </c>
      <c r="D209" s="6864">
        <f t="shared" si="33"/>
        <v>0</v>
      </c>
      <c r="E209" s="6862">
        <f t="shared" si="34"/>
        <v>0</v>
      </c>
      <c r="F209" s="4778"/>
      <c r="G209" s="5582"/>
      <c r="H209" s="4778"/>
      <c r="I209" s="5582"/>
      <c r="J209" s="4778"/>
      <c r="K209" s="5582"/>
      <c r="L209" s="4778"/>
      <c r="M209" s="5582"/>
      <c r="N209" s="4778"/>
      <c r="O209" s="5582"/>
      <c r="P209" s="4778"/>
      <c r="Q209" s="5582"/>
      <c r="R209" s="4778"/>
      <c r="S209" s="5582"/>
      <c r="T209" s="4778"/>
      <c r="U209" s="5582"/>
      <c r="V209" s="4778"/>
      <c r="W209" s="5582"/>
      <c r="X209" s="4778"/>
      <c r="Y209" s="5582"/>
      <c r="Z209" s="4778"/>
      <c r="AA209" s="5582"/>
      <c r="AB209" s="4778"/>
      <c r="AC209" s="5582"/>
      <c r="AD209" s="4778"/>
      <c r="AE209" s="5582"/>
      <c r="AF209" s="4778"/>
      <c r="AG209" s="5582"/>
      <c r="AH209" s="4778"/>
      <c r="AI209" s="5582"/>
      <c r="AJ209" s="4778"/>
      <c r="AK209" s="5582"/>
      <c r="AL209" s="4778"/>
      <c r="AM209" s="6506"/>
      <c r="AN209" s="5582"/>
      <c r="AO209" s="4869"/>
      <c r="AP209" s="6651"/>
      <c r="AQ209" s="5582"/>
      <c r="AR209" s="5582"/>
      <c r="AS209" s="5582"/>
      <c r="AT209" s="6165"/>
      <c r="AU209" s="4869"/>
      <c r="AV209" s="4869"/>
      <c r="AW209" s="4869"/>
      <c r="AX209" s="1452"/>
      <c r="AY209" s="6714"/>
      <c r="AZ209" s="6714"/>
      <c r="BA209" s="4684"/>
      <c r="BB209" s="4684"/>
      <c r="BC209" s="4684"/>
      <c r="BD209" s="4684"/>
      <c r="BE209" s="4684"/>
      <c r="BF209" s="4684"/>
      <c r="BG209" s="4657"/>
      <c r="BH209" s="4657"/>
      <c r="CA209" s="4652"/>
      <c r="DA209" s="4688"/>
    </row>
    <row r="210" spans="1:121" ht="20.25" customHeight="1" x14ac:dyDescent="0.2">
      <c r="A210" s="8635"/>
      <c r="B210" s="6867" t="s">
        <v>754</v>
      </c>
      <c r="C210" s="6863">
        <f t="shared" si="30"/>
        <v>0</v>
      </c>
      <c r="D210" s="6864">
        <f t="shared" si="33"/>
        <v>0</v>
      </c>
      <c r="E210" s="6862">
        <f t="shared" si="34"/>
        <v>0</v>
      </c>
      <c r="F210" s="4778"/>
      <c r="G210" s="5582"/>
      <c r="H210" s="4778"/>
      <c r="I210" s="5582"/>
      <c r="J210" s="4778"/>
      <c r="K210" s="5582"/>
      <c r="L210" s="4778"/>
      <c r="M210" s="5582"/>
      <c r="N210" s="4778"/>
      <c r="O210" s="5582"/>
      <c r="P210" s="4778"/>
      <c r="Q210" s="5582"/>
      <c r="R210" s="4778"/>
      <c r="S210" s="5582"/>
      <c r="T210" s="4778"/>
      <c r="U210" s="5582"/>
      <c r="V210" s="4778"/>
      <c r="W210" s="5582"/>
      <c r="X210" s="4778"/>
      <c r="Y210" s="5582"/>
      <c r="Z210" s="4778"/>
      <c r="AA210" s="5582"/>
      <c r="AB210" s="4778"/>
      <c r="AC210" s="5582"/>
      <c r="AD210" s="4778"/>
      <c r="AE210" s="5582"/>
      <c r="AF210" s="4778"/>
      <c r="AG210" s="5582"/>
      <c r="AH210" s="4778"/>
      <c r="AI210" s="5582"/>
      <c r="AJ210" s="4778"/>
      <c r="AK210" s="5582"/>
      <c r="AL210" s="4778"/>
      <c r="AM210" s="6506"/>
      <c r="AN210" s="5582"/>
      <c r="AO210" s="4869"/>
      <c r="AP210" s="6651"/>
      <c r="AQ210" s="5582"/>
      <c r="AR210" s="5582"/>
      <c r="AS210" s="5582"/>
      <c r="AT210" s="6165"/>
      <c r="AU210" s="4869"/>
      <c r="AV210" s="4869"/>
      <c r="AW210" s="4869"/>
      <c r="AX210" s="1452"/>
      <c r="AY210" s="6714"/>
      <c r="AZ210" s="6714"/>
      <c r="BA210" s="4684"/>
      <c r="BB210" s="4684"/>
      <c r="BC210" s="4684"/>
      <c r="BD210" s="4684"/>
      <c r="BE210" s="4684"/>
      <c r="BF210" s="4684"/>
      <c r="BG210" s="4657"/>
      <c r="BH210" s="4657"/>
      <c r="CA210" s="4652"/>
      <c r="DA210" s="4688"/>
    </row>
    <row r="211" spans="1:121" ht="23.25" customHeight="1" x14ac:dyDescent="0.2">
      <c r="A211" s="8635"/>
      <c r="B211" s="6867" t="s">
        <v>753</v>
      </c>
      <c r="C211" s="6863">
        <f t="shared" si="30"/>
        <v>0</v>
      </c>
      <c r="D211" s="6864">
        <f t="shared" si="33"/>
        <v>0</v>
      </c>
      <c r="E211" s="6862">
        <f t="shared" si="34"/>
        <v>0</v>
      </c>
      <c r="F211" s="4778"/>
      <c r="G211" s="5582"/>
      <c r="H211" s="4778"/>
      <c r="I211" s="5582"/>
      <c r="J211" s="4778"/>
      <c r="K211" s="5582"/>
      <c r="L211" s="4778"/>
      <c r="M211" s="5582"/>
      <c r="N211" s="4778"/>
      <c r="O211" s="5582"/>
      <c r="P211" s="4778"/>
      <c r="Q211" s="5582"/>
      <c r="R211" s="4778"/>
      <c r="S211" s="5582"/>
      <c r="T211" s="4778"/>
      <c r="U211" s="5582"/>
      <c r="V211" s="4778"/>
      <c r="W211" s="5582"/>
      <c r="X211" s="4778"/>
      <c r="Y211" s="5582"/>
      <c r="Z211" s="4778"/>
      <c r="AA211" s="5582"/>
      <c r="AB211" s="4778"/>
      <c r="AC211" s="5582"/>
      <c r="AD211" s="4778"/>
      <c r="AE211" s="5582"/>
      <c r="AF211" s="4778"/>
      <c r="AG211" s="5582"/>
      <c r="AH211" s="4778"/>
      <c r="AI211" s="5582"/>
      <c r="AJ211" s="4778"/>
      <c r="AK211" s="5582"/>
      <c r="AL211" s="4778"/>
      <c r="AM211" s="6506"/>
      <c r="AN211" s="5582"/>
      <c r="AO211" s="4869"/>
      <c r="AP211" s="6651"/>
      <c r="AQ211" s="5582"/>
      <c r="AR211" s="5582"/>
      <c r="AS211" s="5582"/>
      <c r="AT211" s="6165"/>
      <c r="AU211" s="4869"/>
      <c r="AV211" s="4869"/>
      <c r="AW211" s="4869"/>
      <c r="AX211" s="1452"/>
      <c r="AY211" s="6714"/>
      <c r="AZ211" s="6714"/>
      <c r="BA211" s="4684"/>
      <c r="BB211" s="4684"/>
      <c r="BC211" s="4684"/>
      <c r="BD211" s="4684"/>
      <c r="BE211" s="4684"/>
      <c r="BF211" s="4684"/>
      <c r="BG211" s="4657"/>
      <c r="BH211" s="4657"/>
      <c r="CA211" s="4652"/>
      <c r="DA211" s="4688"/>
    </row>
    <row r="212" spans="1:121" ht="20.25" customHeight="1" x14ac:dyDescent="0.2">
      <c r="A212" s="8662"/>
      <c r="B212" s="6889" t="s">
        <v>752</v>
      </c>
      <c r="C212" s="6853">
        <f t="shared" si="30"/>
        <v>0</v>
      </c>
      <c r="D212" s="6854">
        <f t="shared" si="33"/>
        <v>0</v>
      </c>
      <c r="E212" s="6376">
        <f t="shared" si="34"/>
        <v>0</v>
      </c>
      <c r="F212" s="4778"/>
      <c r="G212" s="5582"/>
      <c r="H212" s="4778"/>
      <c r="I212" s="5582"/>
      <c r="J212" s="4778"/>
      <c r="K212" s="5582"/>
      <c r="L212" s="4778"/>
      <c r="M212" s="5582"/>
      <c r="N212" s="4778"/>
      <c r="O212" s="5582"/>
      <c r="P212" s="4778"/>
      <c r="Q212" s="5582"/>
      <c r="R212" s="4778"/>
      <c r="S212" s="5582"/>
      <c r="T212" s="4778"/>
      <c r="U212" s="5582"/>
      <c r="V212" s="4778"/>
      <c r="W212" s="5582"/>
      <c r="X212" s="4778"/>
      <c r="Y212" s="5582"/>
      <c r="Z212" s="4778"/>
      <c r="AA212" s="5582"/>
      <c r="AB212" s="4778"/>
      <c r="AC212" s="5582"/>
      <c r="AD212" s="4778"/>
      <c r="AE212" s="5582"/>
      <c r="AF212" s="4778"/>
      <c r="AG212" s="5582"/>
      <c r="AH212" s="4778"/>
      <c r="AI212" s="5582"/>
      <c r="AJ212" s="4778"/>
      <c r="AK212" s="5582"/>
      <c r="AL212" s="4796"/>
      <c r="AM212" s="6890"/>
      <c r="AN212" s="4888"/>
      <c r="AO212" s="4877"/>
      <c r="AP212" s="4798"/>
      <c r="AQ212" s="4888"/>
      <c r="AR212" s="4888"/>
      <c r="AS212" s="4888"/>
      <c r="AT212" s="4787"/>
      <c r="AU212" s="4877"/>
      <c r="AV212" s="4877"/>
      <c r="AW212" s="4877"/>
      <c r="AX212" s="1452"/>
      <c r="AY212" s="6714"/>
      <c r="AZ212" s="6714"/>
      <c r="BA212" s="4684"/>
      <c r="BB212" s="4684"/>
      <c r="BC212" s="4684"/>
      <c r="BD212" s="4684"/>
      <c r="BE212" s="4684"/>
      <c r="BF212" s="4684"/>
      <c r="BG212" s="4657"/>
      <c r="BH212" s="4657"/>
      <c r="CA212" s="4652"/>
      <c r="DA212" s="4688"/>
    </row>
    <row r="213" spans="1:121" ht="20.25" customHeight="1" x14ac:dyDescent="0.2">
      <c r="A213" s="8661" t="s">
        <v>751</v>
      </c>
      <c r="B213" s="6878" t="s">
        <v>750</v>
      </c>
      <c r="C213" s="6840">
        <f t="shared" si="30"/>
        <v>0</v>
      </c>
      <c r="D213" s="6841">
        <f t="shared" si="33"/>
        <v>0</v>
      </c>
      <c r="E213" s="6839">
        <f t="shared" si="34"/>
        <v>0</v>
      </c>
      <c r="F213" s="6499"/>
      <c r="G213" s="6537"/>
      <c r="H213" s="6499"/>
      <c r="I213" s="6537"/>
      <c r="J213" s="6499"/>
      <c r="K213" s="6537"/>
      <c r="L213" s="6499"/>
      <c r="M213" s="6537"/>
      <c r="N213" s="6499"/>
      <c r="O213" s="6537"/>
      <c r="P213" s="6499"/>
      <c r="Q213" s="6537"/>
      <c r="R213" s="6499"/>
      <c r="S213" s="6537"/>
      <c r="T213" s="6499"/>
      <c r="U213" s="6537"/>
      <c r="V213" s="6499"/>
      <c r="W213" s="6537"/>
      <c r="X213" s="6499"/>
      <c r="Y213" s="6537"/>
      <c r="Z213" s="6499"/>
      <c r="AA213" s="6537"/>
      <c r="AB213" s="6499"/>
      <c r="AC213" s="6537"/>
      <c r="AD213" s="6499"/>
      <c r="AE213" s="6537"/>
      <c r="AF213" s="6499"/>
      <c r="AG213" s="6537"/>
      <c r="AH213" s="6499"/>
      <c r="AI213" s="6537"/>
      <c r="AJ213" s="6499"/>
      <c r="AK213" s="6537"/>
      <c r="AL213" s="6499"/>
      <c r="AM213" s="6502"/>
      <c r="AN213" s="7615"/>
      <c r="AO213" s="7616"/>
      <c r="AP213" s="6649"/>
      <c r="AQ213" s="5601"/>
      <c r="AR213" s="5601"/>
      <c r="AS213" s="5601"/>
      <c r="AT213" s="6879"/>
      <c r="AU213" s="5601"/>
      <c r="AV213" s="5601"/>
      <c r="AW213" s="5601"/>
      <c r="AX213" s="1452"/>
      <c r="AY213" s="6714"/>
      <c r="AZ213" s="6714"/>
      <c r="BA213" s="4684"/>
      <c r="BB213" s="4684"/>
      <c r="BC213" s="4684"/>
      <c r="BD213" s="4684"/>
      <c r="BE213" s="4684"/>
      <c r="BF213" s="4684"/>
      <c r="BG213" s="4657"/>
      <c r="BH213" s="4657"/>
      <c r="CA213" s="4652"/>
      <c r="DA213" s="4688"/>
    </row>
    <row r="214" spans="1:121" ht="20.25" customHeight="1" x14ac:dyDescent="0.2">
      <c r="A214" s="8635"/>
      <c r="B214" s="6867" t="s">
        <v>749</v>
      </c>
      <c r="C214" s="6863">
        <f t="shared" si="30"/>
        <v>0</v>
      </c>
      <c r="D214" s="6864">
        <f>SUM(F214+H214+J214+L214+N214+P214+R214+T214+V214+X214+Z214+AB214+AD214+AF214+AH214+AJ214+AL214)</f>
        <v>0</v>
      </c>
      <c r="E214" s="6862">
        <f t="shared" si="34"/>
        <v>0</v>
      </c>
      <c r="F214" s="4778"/>
      <c r="G214" s="5582"/>
      <c r="H214" s="4778"/>
      <c r="I214" s="5582"/>
      <c r="J214" s="4778"/>
      <c r="K214" s="5582"/>
      <c r="L214" s="4778"/>
      <c r="M214" s="5582"/>
      <c r="N214" s="4778"/>
      <c r="O214" s="5582"/>
      <c r="P214" s="4778"/>
      <c r="Q214" s="5582"/>
      <c r="R214" s="4778"/>
      <c r="S214" s="5582"/>
      <c r="T214" s="4778"/>
      <c r="U214" s="5582"/>
      <c r="V214" s="4778"/>
      <c r="W214" s="5582"/>
      <c r="X214" s="4778"/>
      <c r="Y214" s="5582"/>
      <c r="Z214" s="4778"/>
      <c r="AA214" s="5582"/>
      <c r="AB214" s="4778"/>
      <c r="AC214" s="5582"/>
      <c r="AD214" s="4778"/>
      <c r="AE214" s="5582"/>
      <c r="AF214" s="4778"/>
      <c r="AG214" s="5582"/>
      <c r="AH214" s="4778"/>
      <c r="AI214" s="5582"/>
      <c r="AJ214" s="4778"/>
      <c r="AK214" s="5582"/>
      <c r="AL214" s="4778"/>
      <c r="AM214" s="6506"/>
      <c r="AN214" s="7617"/>
      <c r="AO214" s="7618"/>
      <c r="AP214" s="4778"/>
      <c r="AQ214" s="5341"/>
      <c r="AR214" s="5341"/>
      <c r="AS214" s="5341"/>
      <c r="AT214" s="5341"/>
      <c r="AU214" s="5341"/>
      <c r="AV214" s="5341"/>
      <c r="AW214" s="5341"/>
      <c r="AX214" s="1452"/>
      <c r="AY214" s="6714"/>
      <c r="AZ214" s="6714"/>
      <c r="BA214" s="4684"/>
      <c r="BB214" s="4684"/>
      <c r="BC214" s="4684"/>
      <c r="BD214" s="4684"/>
      <c r="BE214" s="4684"/>
      <c r="BF214" s="4684"/>
      <c r="BG214" s="4657"/>
      <c r="BH214" s="4657"/>
      <c r="CA214" s="4652"/>
      <c r="DA214" s="4688"/>
    </row>
    <row r="215" spans="1:121" ht="20.25" customHeight="1" x14ac:dyDescent="0.2">
      <c r="A215" s="8662"/>
      <c r="B215" s="6891" t="s">
        <v>748</v>
      </c>
      <c r="C215" s="6883">
        <f t="shared" si="30"/>
        <v>0</v>
      </c>
      <c r="D215" s="6884">
        <f t="shared" si="33"/>
        <v>0</v>
      </c>
      <c r="E215" s="6844">
        <f t="shared" si="34"/>
        <v>0</v>
      </c>
      <c r="F215" s="4796"/>
      <c r="G215" s="4888"/>
      <c r="H215" s="4796"/>
      <c r="I215" s="4888"/>
      <c r="J215" s="4796"/>
      <c r="K215" s="4888"/>
      <c r="L215" s="4796"/>
      <c r="M215" s="4888"/>
      <c r="N215" s="4796"/>
      <c r="O215" s="4888"/>
      <c r="P215" s="4796"/>
      <c r="Q215" s="4888"/>
      <c r="R215" s="4796"/>
      <c r="S215" s="4888"/>
      <c r="T215" s="4796"/>
      <c r="U215" s="4888"/>
      <c r="V215" s="4796"/>
      <c r="W215" s="4888"/>
      <c r="X215" s="4796"/>
      <c r="Y215" s="4888"/>
      <c r="Z215" s="4796"/>
      <c r="AA215" s="4888"/>
      <c r="AB215" s="4796"/>
      <c r="AC215" s="4888"/>
      <c r="AD215" s="4796"/>
      <c r="AE215" s="4888"/>
      <c r="AF215" s="4796"/>
      <c r="AG215" s="4888"/>
      <c r="AH215" s="4796"/>
      <c r="AI215" s="4888"/>
      <c r="AJ215" s="4796"/>
      <c r="AK215" s="4888"/>
      <c r="AL215" s="4796"/>
      <c r="AM215" s="6890"/>
      <c r="AN215" s="7619"/>
      <c r="AO215" s="7620"/>
      <c r="AP215" s="4796"/>
      <c r="AQ215" s="4888"/>
      <c r="AR215" s="4888"/>
      <c r="AS215" s="4888"/>
      <c r="AT215" s="4787"/>
      <c r="AU215" s="4888"/>
      <c r="AV215" s="4888"/>
      <c r="AW215" s="4888"/>
      <c r="AX215" s="1452"/>
      <c r="AY215" s="6714"/>
      <c r="AZ215" s="6714"/>
      <c r="BA215" s="4684"/>
      <c r="BB215" s="4684"/>
      <c r="BC215" s="4684"/>
      <c r="BD215" s="4684"/>
      <c r="BE215" s="4684"/>
      <c r="BF215" s="4684"/>
      <c r="BG215" s="4657"/>
      <c r="BH215" s="4657"/>
      <c r="CA215" s="4652"/>
      <c r="DA215" s="4688"/>
    </row>
    <row r="216" spans="1:121" ht="16.350000000000001" customHeight="1" x14ac:dyDescent="0.2">
      <c r="A216" s="8922" t="s">
        <v>3976</v>
      </c>
      <c r="B216" s="8923"/>
      <c r="C216" s="7089">
        <f>SUM(D216+E216)</f>
        <v>0</v>
      </c>
      <c r="D216" s="7090">
        <f>SUM(F216+H216+J216+L216+N216+P216+R216+T216+V216+X216+Z216+AB216+AD216+AF216+AH216+AJ216+AL216)</f>
        <v>0</v>
      </c>
      <c r="E216" s="7091">
        <f>SUM(G216+I216+K216+M216+O216+Q216+S216+U216+W216+Y216+AA216+AC216+AE216+AG216+AI216+AK216+AM216)</f>
        <v>0</v>
      </c>
      <c r="F216" s="6892"/>
      <c r="G216" s="6893"/>
      <c r="H216" s="6892"/>
      <c r="I216" s="6893"/>
      <c r="J216" s="6892"/>
      <c r="K216" s="6893"/>
      <c r="L216" s="6892"/>
      <c r="M216" s="6893"/>
      <c r="N216" s="6892"/>
      <c r="O216" s="6893"/>
      <c r="P216" s="6892"/>
      <c r="Q216" s="6893"/>
      <c r="R216" s="6892"/>
      <c r="S216" s="6893"/>
      <c r="T216" s="6892"/>
      <c r="U216" s="6893"/>
      <c r="V216" s="6892"/>
      <c r="W216" s="6893"/>
      <c r="X216" s="6892"/>
      <c r="Y216" s="6893"/>
      <c r="Z216" s="6892"/>
      <c r="AA216" s="6893"/>
      <c r="AB216" s="6892"/>
      <c r="AC216" s="6893"/>
      <c r="AD216" s="6892"/>
      <c r="AE216" s="6893"/>
      <c r="AF216" s="6892"/>
      <c r="AG216" s="6893"/>
      <c r="AH216" s="6892"/>
      <c r="AI216" s="6893"/>
      <c r="AJ216" s="6892"/>
      <c r="AK216" s="6893"/>
      <c r="AL216" s="6892"/>
      <c r="AM216" s="6894"/>
      <c r="AN216" s="4868"/>
      <c r="AO216" s="4869"/>
      <c r="AP216" s="6895"/>
      <c r="AQ216" s="6843"/>
      <c r="AR216" s="6843"/>
      <c r="AS216" s="6843"/>
      <c r="AT216" s="6843"/>
      <c r="AU216" s="6843"/>
      <c r="AV216" s="6843"/>
      <c r="AW216" s="6843"/>
      <c r="AX216" s="1452"/>
      <c r="AY216" s="6714"/>
      <c r="AZ216" s="6714"/>
      <c r="BA216" s="4684"/>
      <c r="BB216" s="4684"/>
      <c r="BC216" s="4684"/>
      <c r="BD216" s="4684"/>
      <c r="BE216" s="4684"/>
      <c r="BF216" s="4684"/>
      <c r="BG216" s="4657"/>
      <c r="BH216" s="4657"/>
      <c r="CA216" s="4652"/>
      <c r="DA216" s="4688"/>
    </row>
    <row r="217" spans="1:121" ht="16.350000000000001" customHeight="1" x14ac:dyDescent="0.2">
      <c r="A217" s="8920" t="s">
        <v>3713</v>
      </c>
      <c r="B217" s="8921"/>
      <c r="C217" s="7086">
        <f>SUM(D217+E217)</f>
        <v>0</v>
      </c>
      <c r="D217" s="7087">
        <f>SUM(F217+H217+J217+L217+N217+P217+R217+T217+V217+X217+Z217+AB217+AD217+AF217+AH217+AJ217+AL217)</f>
        <v>0</v>
      </c>
      <c r="E217" s="7088">
        <f>SUM(G217+I217+K217+M217+O217+Q217+S217+U217+W217+Y217+AA217+AC217+AE217+AG217+AI217+AK217+AM217)</f>
        <v>0</v>
      </c>
      <c r="F217" s="5439"/>
      <c r="G217" s="4428"/>
      <c r="H217" s="5439"/>
      <c r="I217" s="4428"/>
      <c r="J217" s="5439"/>
      <c r="K217" s="4428"/>
      <c r="L217" s="5439"/>
      <c r="M217" s="4428"/>
      <c r="N217" s="5439"/>
      <c r="O217" s="4428"/>
      <c r="P217" s="5439"/>
      <c r="Q217" s="4428"/>
      <c r="R217" s="5439"/>
      <c r="S217" s="4428"/>
      <c r="T217" s="5439"/>
      <c r="U217" s="4428"/>
      <c r="V217" s="5439"/>
      <c r="W217" s="4428"/>
      <c r="X217" s="5439"/>
      <c r="Y217" s="4428"/>
      <c r="Z217" s="5439"/>
      <c r="AA217" s="4428"/>
      <c r="AB217" s="5439"/>
      <c r="AC217" s="4428"/>
      <c r="AD217" s="5439"/>
      <c r="AE217" s="4428"/>
      <c r="AF217" s="5439"/>
      <c r="AG217" s="4428"/>
      <c r="AH217" s="5439"/>
      <c r="AI217" s="4428"/>
      <c r="AJ217" s="5439"/>
      <c r="AK217" s="4428"/>
      <c r="AL217" s="5439"/>
      <c r="AM217" s="5403"/>
      <c r="AN217" s="4868"/>
      <c r="AO217" s="4869"/>
      <c r="AP217" s="4196"/>
      <c r="AQ217" s="6165"/>
      <c r="AR217" s="6165"/>
      <c r="AS217" s="6165"/>
      <c r="AT217" s="6165"/>
      <c r="AU217" s="6165"/>
      <c r="AV217" s="6165"/>
      <c r="AW217" s="6165"/>
      <c r="AX217" s="1452"/>
      <c r="AY217" s="6714"/>
      <c r="AZ217" s="6714"/>
      <c r="BA217" s="4684"/>
      <c r="BB217" s="4684"/>
      <c r="BC217" s="4684"/>
      <c r="BD217" s="4684"/>
      <c r="BE217" s="4684"/>
      <c r="BF217" s="4684"/>
      <c r="BG217" s="4657"/>
      <c r="BH217" s="4657"/>
      <c r="CA217" s="4652"/>
      <c r="DA217" s="4688"/>
    </row>
    <row r="218" spans="1:121" ht="16.350000000000001" customHeight="1" x14ac:dyDescent="0.2">
      <c r="A218" s="8672" t="s">
        <v>747</v>
      </c>
      <c r="B218" s="8670"/>
      <c r="C218" s="6863">
        <f t="shared" si="30"/>
        <v>0</v>
      </c>
      <c r="D218" s="6864">
        <f t="shared" si="33"/>
        <v>0</v>
      </c>
      <c r="E218" s="6862">
        <f t="shared" si="34"/>
        <v>0</v>
      </c>
      <c r="F218" s="4778"/>
      <c r="G218" s="5582"/>
      <c r="H218" s="4778"/>
      <c r="I218" s="5582"/>
      <c r="J218" s="4778"/>
      <c r="K218" s="5582"/>
      <c r="L218" s="4778"/>
      <c r="M218" s="5582"/>
      <c r="N218" s="4778"/>
      <c r="O218" s="5582"/>
      <c r="P218" s="4778"/>
      <c r="Q218" s="5582"/>
      <c r="R218" s="4778"/>
      <c r="S218" s="5582"/>
      <c r="T218" s="4778"/>
      <c r="U218" s="5582"/>
      <c r="V218" s="4778"/>
      <c r="W218" s="5582"/>
      <c r="X218" s="4778"/>
      <c r="Y218" s="5582"/>
      <c r="Z218" s="4778"/>
      <c r="AA218" s="5582"/>
      <c r="AB218" s="4778"/>
      <c r="AC218" s="5582"/>
      <c r="AD218" s="4778"/>
      <c r="AE218" s="5582"/>
      <c r="AF218" s="4778"/>
      <c r="AG218" s="5582"/>
      <c r="AH218" s="4778"/>
      <c r="AI218" s="5582"/>
      <c r="AJ218" s="4778"/>
      <c r="AK218" s="5582"/>
      <c r="AL218" s="4778"/>
      <c r="AM218" s="5586"/>
      <c r="AN218" s="4868"/>
      <c r="AO218" s="4869"/>
      <c r="AP218" s="4196"/>
      <c r="AQ218" s="6165"/>
      <c r="AR218" s="6165"/>
      <c r="AS218" s="6165"/>
      <c r="AT218" s="6165"/>
      <c r="AU218" s="6165"/>
      <c r="AV218" s="6165"/>
      <c r="AW218" s="6165"/>
      <c r="AX218" s="1452"/>
      <c r="AY218" s="6714"/>
      <c r="AZ218" s="6714"/>
      <c r="BA218" s="4684"/>
      <c r="BB218" s="4684"/>
      <c r="BC218" s="4684"/>
      <c r="BD218" s="4684"/>
      <c r="BE218" s="4684"/>
      <c r="BF218" s="4684"/>
      <c r="BG218" s="4657"/>
      <c r="BH218" s="4657"/>
      <c r="BI218" s="4657"/>
      <c r="BJ218" s="4657"/>
      <c r="BK218" s="4657"/>
      <c r="CA218" s="4652"/>
      <c r="DA218" s="4688"/>
      <c r="DC218" s="6209">
        <v>0</v>
      </c>
      <c r="DE218" s="6209">
        <v>0</v>
      </c>
      <c r="DG218" s="6209">
        <v>0</v>
      </c>
      <c r="DI218" s="6209">
        <v>0</v>
      </c>
      <c r="DK218" s="6209">
        <v>0</v>
      </c>
      <c r="DM218" s="6209">
        <v>0</v>
      </c>
      <c r="DO218" s="6209">
        <v>0</v>
      </c>
      <c r="DQ218" s="6209">
        <v>0</v>
      </c>
    </row>
    <row r="219" spans="1:121" ht="16.350000000000001" customHeight="1" x14ac:dyDescent="0.2">
      <c r="A219" s="8672" t="s">
        <v>746</v>
      </c>
      <c r="B219" s="8670"/>
      <c r="C219" s="6863">
        <f t="shared" si="30"/>
        <v>0</v>
      </c>
      <c r="D219" s="6864">
        <f t="shared" si="33"/>
        <v>0</v>
      </c>
      <c r="E219" s="6862">
        <f t="shared" si="34"/>
        <v>0</v>
      </c>
      <c r="F219" s="4778"/>
      <c r="G219" s="5582"/>
      <c r="H219" s="4778"/>
      <c r="I219" s="5582"/>
      <c r="J219" s="4778"/>
      <c r="K219" s="5582"/>
      <c r="L219" s="4778"/>
      <c r="M219" s="5582"/>
      <c r="N219" s="4778"/>
      <c r="O219" s="5582"/>
      <c r="P219" s="4778"/>
      <c r="Q219" s="5582"/>
      <c r="R219" s="4778"/>
      <c r="S219" s="5582"/>
      <c r="T219" s="4778"/>
      <c r="U219" s="5582"/>
      <c r="V219" s="4778"/>
      <c r="W219" s="5582"/>
      <c r="X219" s="4778"/>
      <c r="Y219" s="5582"/>
      <c r="Z219" s="4778"/>
      <c r="AA219" s="5582"/>
      <c r="AB219" s="4778"/>
      <c r="AC219" s="5582"/>
      <c r="AD219" s="4778"/>
      <c r="AE219" s="5582"/>
      <c r="AF219" s="4778"/>
      <c r="AG219" s="5582"/>
      <c r="AH219" s="4778"/>
      <c r="AI219" s="5582"/>
      <c r="AJ219" s="4778"/>
      <c r="AK219" s="5582"/>
      <c r="AL219" s="4778"/>
      <c r="AM219" s="5586"/>
      <c r="AN219" s="4868"/>
      <c r="AO219" s="4869"/>
      <c r="AP219" s="4196"/>
      <c r="AQ219" s="6165"/>
      <c r="AR219" s="6165"/>
      <c r="AS219" s="6165"/>
      <c r="AT219" s="6165"/>
      <c r="AU219" s="6165"/>
      <c r="AV219" s="6165"/>
      <c r="AW219" s="6165"/>
      <c r="AX219" s="1452"/>
      <c r="AY219" s="6714"/>
      <c r="AZ219" s="6714"/>
      <c r="BA219" s="4684"/>
      <c r="BB219" s="4684"/>
      <c r="BC219" s="4684"/>
      <c r="BD219" s="4684"/>
      <c r="BE219" s="4684"/>
      <c r="BF219" s="4684"/>
      <c r="BG219" s="4657"/>
      <c r="BH219" s="4657"/>
      <c r="BI219" s="4657"/>
      <c r="BJ219" s="4657"/>
      <c r="BK219" s="4657"/>
      <c r="CA219" s="4652"/>
      <c r="DA219" s="4688"/>
    </row>
    <row r="220" spans="1:121" ht="16.350000000000001" customHeight="1" x14ac:dyDescent="0.2">
      <c r="A220" s="8671" t="s">
        <v>745</v>
      </c>
      <c r="B220" s="8771"/>
      <c r="C220" s="6896">
        <f t="shared" si="30"/>
        <v>0</v>
      </c>
      <c r="D220" s="6897">
        <f t="shared" si="33"/>
        <v>0</v>
      </c>
      <c r="E220" s="5557">
        <f t="shared" si="34"/>
        <v>0</v>
      </c>
      <c r="F220" s="5348"/>
      <c r="G220" s="4369"/>
      <c r="H220" s="5348"/>
      <c r="I220" s="4369"/>
      <c r="J220" s="5348"/>
      <c r="K220" s="4369"/>
      <c r="L220" s="5348"/>
      <c r="M220" s="4369"/>
      <c r="N220" s="5348"/>
      <c r="O220" s="4369"/>
      <c r="P220" s="5348"/>
      <c r="Q220" s="4369"/>
      <c r="R220" s="5348"/>
      <c r="S220" s="4369"/>
      <c r="T220" s="5348"/>
      <c r="U220" s="4369"/>
      <c r="V220" s="5348"/>
      <c r="W220" s="4369"/>
      <c r="X220" s="5348"/>
      <c r="Y220" s="4369"/>
      <c r="Z220" s="5348"/>
      <c r="AA220" s="4369"/>
      <c r="AB220" s="5348"/>
      <c r="AC220" s="4369"/>
      <c r="AD220" s="5348"/>
      <c r="AE220" s="4369"/>
      <c r="AF220" s="5348"/>
      <c r="AG220" s="4369"/>
      <c r="AH220" s="5348"/>
      <c r="AI220" s="4369"/>
      <c r="AJ220" s="5348"/>
      <c r="AK220" s="4369"/>
      <c r="AL220" s="5348"/>
      <c r="AM220" s="6898"/>
      <c r="AN220" s="6899"/>
      <c r="AO220" s="6228"/>
      <c r="AP220" s="4313"/>
      <c r="AQ220" s="4787"/>
      <c r="AR220" s="4787"/>
      <c r="AS220" s="4787"/>
      <c r="AT220" s="4787"/>
      <c r="AU220" s="4787"/>
      <c r="AV220" s="4787"/>
      <c r="AW220" s="4787"/>
      <c r="AX220" s="1452"/>
      <c r="AY220" s="6714"/>
      <c r="AZ220" s="6714"/>
      <c r="BA220" s="4684"/>
      <c r="BB220" s="4684"/>
      <c r="BC220" s="4684"/>
      <c r="BD220" s="4684"/>
      <c r="BE220" s="4684"/>
      <c r="BF220" s="4684"/>
      <c r="BG220" s="4657"/>
      <c r="BH220" s="4657"/>
      <c r="BI220" s="4657"/>
      <c r="BJ220" s="4657"/>
      <c r="BK220" s="4657"/>
      <c r="CA220" s="4652"/>
      <c r="DA220" s="4688"/>
    </row>
    <row r="221" spans="1:121" ht="18" customHeight="1" x14ac:dyDescent="0.2">
      <c r="A221" s="8661" t="s">
        <v>744</v>
      </c>
      <c r="B221" s="5687" t="s">
        <v>2151</v>
      </c>
      <c r="C221" s="6900">
        <f t="shared" si="30"/>
        <v>0</v>
      </c>
      <c r="D221" s="6901">
        <f t="shared" si="33"/>
        <v>0</v>
      </c>
      <c r="E221" s="6902">
        <f t="shared" si="34"/>
        <v>0</v>
      </c>
      <c r="F221" s="5444"/>
      <c r="G221" s="5460"/>
      <c r="H221" s="5444"/>
      <c r="I221" s="5460"/>
      <c r="J221" s="5444"/>
      <c r="K221" s="5460"/>
      <c r="L221" s="5444"/>
      <c r="M221" s="5460"/>
      <c r="N221" s="5444"/>
      <c r="O221" s="5460"/>
      <c r="P221" s="5444"/>
      <c r="Q221" s="5460"/>
      <c r="R221" s="5444"/>
      <c r="S221" s="5460"/>
      <c r="T221" s="5444"/>
      <c r="U221" s="5460"/>
      <c r="V221" s="5444"/>
      <c r="W221" s="5460"/>
      <c r="X221" s="5444"/>
      <c r="Y221" s="5460"/>
      <c r="Z221" s="5444"/>
      <c r="AA221" s="5460"/>
      <c r="AB221" s="5444"/>
      <c r="AC221" s="5460"/>
      <c r="AD221" s="5444"/>
      <c r="AE221" s="5460"/>
      <c r="AF221" s="5444"/>
      <c r="AG221" s="5460"/>
      <c r="AH221" s="5444"/>
      <c r="AI221" s="5460"/>
      <c r="AJ221" s="5444"/>
      <c r="AK221" s="5460"/>
      <c r="AL221" s="5444"/>
      <c r="AM221" s="6811"/>
      <c r="AN221" s="6903"/>
      <c r="AO221" s="6904"/>
      <c r="AP221" s="5444"/>
      <c r="AQ221" s="5460"/>
      <c r="AR221" s="5460"/>
      <c r="AS221" s="5460"/>
      <c r="AT221" s="5460"/>
      <c r="AU221" s="5460"/>
      <c r="AV221" s="5460"/>
      <c r="AW221" s="5460"/>
      <c r="AX221" s="1452"/>
      <c r="BA221" s="4657"/>
      <c r="BB221" s="4657"/>
      <c r="BC221" s="4657"/>
      <c r="BD221" s="4657"/>
      <c r="BE221" s="4657"/>
      <c r="BF221" s="4657"/>
      <c r="BG221" s="4657"/>
      <c r="BH221" s="4657"/>
      <c r="BI221" s="4657"/>
      <c r="BJ221" s="4657"/>
      <c r="BK221" s="4657"/>
      <c r="BL221" s="4657"/>
      <c r="CA221" s="4652"/>
      <c r="DA221" s="4688"/>
    </row>
    <row r="222" spans="1:121" ht="18" customHeight="1" x14ac:dyDescent="0.2">
      <c r="A222" s="8635"/>
      <c r="B222" s="5563" t="s">
        <v>2152</v>
      </c>
      <c r="C222" s="6905">
        <f t="shared" si="30"/>
        <v>0</v>
      </c>
      <c r="D222" s="6906">
        <f t="shared" si="33"/>
        <v>0</v>
      </c>
      <c r="E222" s="6907">
        <f t="shared" si="34"/>
        <v>0</v>
      </c>
      <c r="F222" s="5558"/>
      <c r="G222" s="5341"/>
      <c r="H222" s="5558"/>
      <c r="I222" s="5341"/>
      <c r="J222" s="5558"/>
      <c r="K222" s="5341"/>
      <c r="L222" s="5558"/>
      <c r="M222" s="5341"/>
      <c r="N222" s="5558"/>
      <c r="O222" s="5341"/>
      <c r="P222" s="5558"/>
      <c r="Q222" s="5341"/>
      <c r="R222" s="5558"/>
      <c r="S222" s="5341"/>
      <c r="T222" s="5558"/>
      <c r="U222" s="5341"/>
      <c r="V222" s="5558"/>
      <c r="W222" s="5341"/>
      <c r="X222" s="5558"/>
      <c r="Y222" s="5341"/>
      <c r="Z222" s="5558"/>
      <c r="AA222" s="5341"/>
      <c r="AB222" s="5558"/>
      <c r="AC222" s="5341"/>
      <c r="AD222" s="5558"/>
      <c r="AE222" s="5341"/>
      <c r="AF222" s="5558"/>
      <c r="AG222" s="5341"/>
      <c r="AH222" s="5558"/>
      <c r="AI222" s="5341"/>
      <c r="AJ222" s="5558"/>
      <c r="AK222" s="5341"/>
      <c r="AL222" s="5558"/>
      <c r="AM222" s="6771"/>
      <c r="AN222" s="6866"/>
      <c r="AO222" s="5561"/>
      <c r="AP222" s="5558"/>
      <c r="AQ222" s="5341"/>
      <c r="AR222" s="5341"/>
      <c r="AS222" s="5341"/>
      <c r="AT222" s="5341"/>
      <c r="AU222" s="5341"/>
      <c r="AV222" s="5341"/>
      <c r="AW222" s="5341"/>
      <c r="AX222" s="1452"/>
      <c r="BA222" s="4657"/>
      <c r="BB222" s="4657"/>
      <c r="BC222" s="4657"/>
      <c r="BD222" s="4657"/>
      <c r="BE222" s="4657"/>
      <c r="BF222" s="4657"/>
      <c r="BG222" s="4657"/>
      <c r="BH222" s="4657"/>
      <c r="BI222" s="4657"/>
      <c r="BJ222" s="4657"/>
      <c r="BK222" s="4657"/>
      <c r="BL222" s="4657"/>
      <c r="CA222" s="4652"/>
      <c r="DA222" s="4688"/>
    </row>
    <row r="223" spans="1:121" ht="18" customHeight="1" x14ac:dyDescent="0.2">
      <c r="A223" s="8635"/>
      <c r="B223" s="5563" t="s">
        <v>2153</v>
      </c>
      <c r="C223" s="6905">
        <f t="shared" si="30"/>
        <v>0</v>
      </c>
      <c r="D223" s="6906">
        <f t="shared" si="33"/>
        <v>0</v>
      </c>
      <c r="E223" s="6907">
        <f t="shared" si="34"/>
        <v>0</v>
      </c>
      <c r="F223" s="5558"/>
      <c r="G223" s="5341"/>
      <c r="H223" s="5558"/>
      <c r="I223" s="5341"/>
      <c r="J223" s="5558"/>
      <c r="K223" s="5341"/>
      <c r="L223" s="5558"/>
      <c r="M223" s="5341"/>
      <c r="N223" s="5558"/>
      <c r="O223" s="5341"/>
      <c r="P223" s="5558"/>
      <c r="Q223" s="5341"/>
      <c r="R223" s="5558"/>
      <c r="S223" s="5341"/>
      <c r="T223" s="5558"/>
      <c r="U223" s="5341"/>
      <c r="V223" s="5558"/>
      <c r="W223" s="5341"/>
      <c r="X223" s="5558"/>
      <c r="Y223" s="5341"/>
      <c r="Z223" s="5558"/>
      <c r="AA223" s="5341"/>
      <c r="AB223" s="5558"/>
      <c r="AC223" s="5341"/>
      <c r="AD223" s="5558"/>
      <c r="AE223" s="5341"/>
      <c r="AF223" s="5558"/>
      <c r="AG223" s="5341"/>
      <c r="AH223" s="5558"/>
      <c r="AI223" s="5341"/>
      <c r="AJ223" s="5558"/>
      <c r="AK223" s="5341"/>
      <c r="AL223" s="5558"/>
      <c r="AM223" s="6771"/>
      <c r="AN223" s="6866"/>
      <c r="AO223" s="5561"/>
      <c r="AP223" s="5558"/>
      <c r="AQ223" s="5341"/>
      <c r="AR223" s="5341"/>
      <c r="AS223" s="5341"/>
      <c r="AT223" s="5341"/>
      <c r="AU223" s="5341"/>
      <c r="AV223" s="5341"/>
      <c r="AW223" s="5341"/>
      <c r="AX223" s="1452"/>
      <c r="BA223" s="4657"/>
      <c r="BB223" s="4657"/>
      <c r="BC223" s="4657"/>
      <c r="BD223" s="4657"/>
      <c r="BE223" s="4657"/>
      <c r="BF223" s="4657"/>
      <c r="BG223" s="4657"/>
      <c r="BH223" s="4657"/>
      <c r="BI223" s="4657"/>
      <c r="BJ223" s="4657"/>
      <c r="BK223" s="4657"/>
      <c r="BL223" s="4657"/>
      <c r="CA223" s="4652"/>
      <c r="DA223" s="4688"/>
    </row>
    <row r="224" spans="1:121" ht="21" customHeight="1" x14ac:dyDescent="0.2">
      <c r="A224" s="8635"/>
      <c r="B224" s="5563" t="s">
        <v>2154</v>
      </c>
      <c r="C224" s="6905">
        <f t="shared" si="30"/>
        <v>0</v>
      </c>
      <c r="D224" s="6906">
        <f t="shared" si="33"/>
        <v>0</v>
      </c>
      <c r="E224" s="6907">
        <f t="shared" si="34"/>
        <v>0</v>
      </c>
      <c r="F224" s="5558"/>
      <c r="G224" s="5341"/>
      <c r="H224" s="5558"/>
      <c r="I224" s="5341"/>
      <c r="J224" s="5558"/>
      <c r="K224" s="5341"/>
      <c r="L224" s="5558"/>
      <c r="M224" s="5341"/>
      <c r="N224" s="5558"/>
      <c r="O224" s="5341"/>
      <c r="P224" s="5558"/>
      <c r="Q224" s="5341"/>
      <c r="R224" s="5558"/>
      <c r="S224" s="5341"/>
      <c r="T224" s="5558"/>
      <c r="U224" s="5341"/>
      <c r="V224" s="5558"/>
      <c r="W224" s="5341"/>
      <c r="X224" s="5558"/>
      <c r="Y224" s="5341"/>
      <c r="Z224" s="5558"/>
      <c r="AA224" s="5341"/>
      <c r="AB224" s="5558"/>
      <c r="AC224" s="5341"/>
      <c r="AD224" s="5558"/>
      <c r="AE224" s="5341"/>
      <c r="AF224" s="5558"/>
      <c r="AG224" s="5341"/>
      <c r="AH224" s="5558"/>
      <c r="AI224" s="5341"/>
      <c r="AJ224" s="5558"/>
      <c r="AK224" s="5341"/>
      <c r="AL224" s="5558"/>
      <c r="AM224" s="6771"/>
      <c r="AN224" s="6866"/>
      <c r="AO224" s="5561"/>
      <c r="AP224" s="5558"/>
      <c r="AQ224" s="5341"/>
      <c r="AR224" s="5341"/>
      <c r="AS224" s="5341"/>
      <c r="AT224" s="5341"/>
      <c r="AU224" s="5341"/>
      <c r="AV224" s="5341"/>
      <c r="AW224" s="5341"/>
      <c r="AX224" s="1452"/>
      <c r="BA224" s="4657"/>
      <c r="BB224" s="4657"/>
      <c r="BC224" s="4657"/>
      <c r="BD224" s="4657"/>
      <c r="BE224" s="4657"/>
      <c r="BF224" s="4657"/>
      <c r="BG224" s="4657"/>
      <c r="BH224" s="4657"/>
      <c r="BI224" s="4657"/>
      <c r="BJ224" s="4657"/>
      <c r="BK224" s="4657"/>
      <c r="BL224" s="4657"/>
      <c r="CA224" s="4652"/>
      <c r="DA224" s="4688"/>
    </row>
    <row r="225" spans="1:130" ht="27.75" customHeight="1" x14ac:dyDescent="0.2">
      <c r="A225" s="8662"/>
      <c r="B225" s="6908" t="s">
        <v>2155</v>
      </c>
      <c r="C225" s="6909">
        <f t="shared" si="30"/>
        <v>0</v>
      </c>
      <c r="D225" s="6910">
        <f t="shared" si="33"/>
        <v>0</v>
      </c>
      <c r="E225" s="6911">
        <f t="shared" si="34"/>
        <v>0</v>
      </c>
      <c r="F225" s="5348"/>
      <c r="G225" s="4369"/>
      <c r="H225" s="5348"/>
      <c r="I225" s="4369"/>
      <c r="J225" s="5348"/>
      <c r="K225" s="4369"/>
      <c r="L225" s="5348"/>
      <c r="M225" s="4369"/>
      <c r="N225" s="5348"/>
      <c r="O225" s="4369"/>
      <c r="P225" s="5348"/>
      <c r="Q225" s="4369"/>
      <c r="R225" s="5348"/>
      <c r="S225" s="4369"/>
      <c r="T225" s="5348"/>
      <c r="U225" s="4369"/>
      <c r="V225" s="5348"/>
      <c r="W225" s="4369"/>
      <c r="X225" s="5348"/>
      <c r="Y225" s="4369"/>
      <c r="Z225" s="5348"/>
      <c r="AA225" s="4369"/>
      <c r="AB225" s="5348"/>
      <c r="AC225" s="4369"/>
      <c r="AD225" s="5348"/>
      <c r="AE225" s="4369"/>
      <c r="AF225" s="5348"/>
      <c r="AG225" s="4369"/>
      <c r="AH225" s="5348"/>
      <c r="AI225" s="4369"/>
      <c r="AJ225" s="5348"/>
      <c r="AK225" s="4369"/>
      <c r="AL225" s="5348"/>
      <c r="AM225" s="6898"/>
      <c r="AN225" s="4876"/>
      <c r="AO225" s="6228"/>
      <c r="AP225" s="5348"/>
      <c r="AQ225" s="4369"/>
      <c r="AR225" s="4369"/>
      <c r="AS225" s="4369"/>
      <c r="AT225" s="4787"/>
      <c r="AU225" s="4369"/>
      <c r="AV225" s="4369"/>
      <c r="AW225" s="4369"/>
      <c r="AX225" s="1452"/>
      <c r="BA225" s="4657"/>
      <c r="BB225" s="4657"/>
      <c r="BC225" s="4657"/>
      <c r="BD225" s="4657"/>
      <c r="BE225" s="4657"/>
      <c r="BF225" s="4657"/>
      <c r="BG225" s="4657"/>
      <c r="BH225" s="4657"/>
      <c r="BI225" s="4657"/>
      <c r="BJ225" s="4657"/>
      <c r="BK225" s="4657"/>
      <c r="BL225" s="4657"/>
      <c r="CA225" s="4652"/>
      <c r="DA225" s="4688"/>
    </row>
    <row r="226" spans="1:130" ht="18" customHeight="1" x14ac:dyDescent="0.2">
      <c r="A226" s="8669" t="s">
        <v>743</v>
      </c>
      <c r="B226" s="8772"/>
      <c r="C226" s="6912">
        <f t="shared" si="30"/>
        <v>0</v>
      </c>
      <c r="D226" s="6913">
        <f t="shared" si="33"/>
        <v>0</v>
      </c>
      <c r="E226" s="6914">
        <f t="shared" si="34"/>
        <v>0</v>
      </c>
      <c r="F226" s="5444"/>
      <c r="G226" s="5460"/>
      <c r="H226" s="5444"/>
      <c r="I226" s="5460"/>
      <c r="J226" s="5444"/>
      <c r="K226" s="5460"/>
      <c r="L226" s="5444"/>
      <c r="M226" s="5460"/>
      <c r="N226" s="5444"/>
      <c r="O226" s="5460"/>
      <c r="P226" s="5444"/>
      <c r="Q226" s="5460"/>
      <c r="R226" s="5444"/>
      <c r="S226" s="5460"/>
      <c r="T226" s="5444"/>
      <c r="U226" s="5460"/>
      <c r="V226" s="5444"/>
      <c r="W226" s="5460"/>
      <c r="X226" s="5444"/>
      <c r="Y226" s="5460"/>
      <c r="Z226" s="5444"/>
      <c r="AA226" s="5460"/>
      <c r="AB226" s="5444"/>
      <c r="AC226" s="5460"/>
      <c r="AD226" s="5444"/>
      <c r="AE226" s="5460"/>
      <c r="AF226" s="5444"/>
      <c r="AG226" s="5460"/>
      <c r="AH226" s="5444"/>
      <c r="AI226" s="5460"/>
      <c r="AJ226" s="5444"/>
      <c r="AK226" s="5460"/>
      <c r="AL226" s="5444"/>
      <c r="AM226" s="6811"/>
      <c r="AN226" s="6903"/>
      <c r="AO226" s="6904"/>
      <c r="AP226" s="5444"/>
      <c r="AQ226" s="5460"/>
      <c r="AR226" s="5460"/>
      <c r="AS226" s="5460"/>
      <c r="AT226" s="5460"/>
      <c r="AU226" s="5460"/>
      <c r="AV226" s="5460"/>
      <c r="AW226" s="5460"/>
      <c r="AX226" s="1452"/>
      <c r="BA226" s="4657"/>
      <c r="BB226" s="4657"/>
      <c r="BC226" s="4657"/>
      <c r="BD226" s="4657"/>
      <c r="BE226" s="4657"/>
      <c r="BF226" s="4657"/>
      <c r="BG226" s="4657"/>
      <c r="BH226" s="4657"/>
      <c r="BI226" s="4657"/>
      <c r="BJ226" s="4657"/>
      <c r="BK226" s="4657"/>
      <c r="BL226" s="4657"/>
      <c r="CA226" s="4652"/>
      <c r="DA226" s="4688"/>
    </row>
    <row r="227" spans="1:130" ht="18" customHeight="1" x14ac:dyDescent="0.2">
      <c r="A227" s="8667" t="s">
        <v>28</v>
      </c>
      <c r="B227" s="8668"/>
      <c r="C227" s="6883">
        <f t="shared" si="30"/>
        <v>0</v>
      </c>
      <c r="D227" s="6884">
        <f t="shared" si="33"/>
        <v>0</v>
      </c>
      <c r="E227" s="6844">
        <f t="shared" si="34"/>
        <v>0</v>
      </c>
      <c r="F227" s="4796"/>
      <c r="G227" s="4888"/>
      <c r="H227" s="4796"/>
      <c r="I227" s="4888"/>
      <c r="J227" s="4796"/>
      <c r="K227" s="4888"/>
      <c r="L227" s="4796"/>
      <c r="M227" s="4888"/>
      <c r="N227" s="4796"/>
      <c r="O227" s="4888"/>
      <c r="P227" s="4796"/>
      <c r="Q227" s="4888"/>
      <c r="R227" s="4796"/>
      <c r="S227" s="4888"/>
      <c r="T227" s="4796"/>
      <c r="U227" s="4888"/>
      <c r="V227" s="4796"/>
      <c r="W227" s="4888"/>
      <c r="X227" s="4796"/>
      <c r="Y227" s="4888"/>
      <c r="Z227" s="4796"/>
      <c r="AA227" s="4888"/>
      <c r="AB227" s="4796"/>
      <c r="AC227" s="4888"/>
      <c r="AD227" s="4796"/>
      <c r="AE227" s="4888"/>
      <c r="AF227" s="4796"/>
      <c r="AG227" s="4888"/>
      <c r="AH227" s="4796"/>
      <c r="AI227" s="4888"/>
      <c r="AJ227" s="4796"/>
      <c r="AK227" s="4888"/>
      <c r="AL227" s="4796"/>
      <c r="AM227" s="6885"/>
      <c r="AN227" s="6915"/>
      <c r="AO227" s="6916"/>
      <c r="AP227" s="4796"/>
      <c r="AQ227" s="4888"/>
      <c r="AR227" s="4888"/>
      <c r="AS227" s="4888"/>
      <c r="AT227" s="4787"/>
      <c r="AU227" s="4888"/>
      <c r="AV227" s="4888"/>
      <c r="AW227" s="4888"/>
      <c r="AX227" s="1452"/>
      <c r="BA227" s="4657"/>
      <c r="BB227" s="4657"/>
      <c r="BC227" s="4657"/>
      <c r="BD227" s="4657"/>
      <c r="BE227" s="4657"/>
      <c r="BF227" s="4657"/>
      <c r="BG227" s="4657"/>
      <c r="BH227" s="4657"/>
      <c r="BI227" s="4657"/>
      <c r="BJ227" s="4657"/>
      <c r="BK227" s="4657"/>
      <c r="BL227" s="4657"/>
      <c r="CA227" s="4652"/>
      <c r="DA227" s="4688"/>
      <c r="DB227" s="6209">
        <v>0</v>
      </c>
      <c r="DD227" s="6209">
        <v>0</v>
      </c>
      <c r="DH227" s="6209">
        <v>0</v>
      </c>
      <c r="DJ227" s="6209">
        <v>0</v>
      </c>
      <c r="DL227" s="6209">
        <v>0</v>
      </c>
      <c r="DN227" s="6209">
        <v>0</v>
      </c>
      <c r="DP227" s="6209">
        <v>0</v>
      </c>
      <c r="DR227" s="6209">
        <v>0</v>
      </c>
      <c r="DT227" s="6209">
        <v>0</v>
      </c>
      <c r="DV227" s="6209">
        <v>0</v>
      </c>
    </row>
    <row r="228" spans="1:130" ht="27.75" customHeight="1" x14ac:dyDescent="0.2">
      <c r="A228" s="6828" t="s">
        <v>786</v>
      </c>
      <c r="B228" s="6619"/>
      <c r="AY228" s="6714"/>
      <c r="AZ228" s="6714"/>
      <c r="BA228" s="4684"/>
      <c r="BB228" s="4684"/>
      <c r="BC228" s="4684"/>
      <c r="BD228" s="4684"/>
      <c r="BE228" s="4684"/>
      <c r="BF228" s="4684"/>
      <c r="BG228" s="4684"/>
      <c r="BH228" s="4684"/>
      <c r="BI228" s="4657"/>
      <c r="BJ228" s="4657"/>
    </row>
    <row r="229" spans="1:130" ht="23.25" customHeight="1" x14ac:dyDescent="0.2">
      <c r="A229" s="8663" t="s">
        <v>785</v>
      </c>
      <c r="B229" s="8664"/>
      <c r="C229" s="8733" t="s">
        <v>24</v>
      </c>
      <c r="D229" s="8733"/>
      <c r="E229" s="8733"/>
      <c r="F229" s="8709" t="s">
        <v>397</v>
      </c>
      <c r="G229" s="8709"/>
      <c r="H229" s="8709" t="s">
        <v>54</v>
      </c>
      <c r="I229" s="8709"/>
      <c r="J229" s="8709" t="s">
        <v>79</v>
      </c>
      <c r="K229" s="8709"/>
      <c r="L229" s="8709" t="s">
        <v>80</v>
      </c>
      <c r="M229" s="8709"/>
      <c r="N229" s="8787" t="s">
        <v>81</v>
      </c>
      <c r="O229" s="8788"/>
      <c r="P229" s="8684" t="s">
        <v>115</v>
      </c>
      <c r="Q229" s="8684"/>
      <c r="R229" s="8684" t="s">
        <v>116</v>
      </c>
      <c r="S229" s="8684"/>
      <c r="T229" s="8684" t="s">
        <v>117</v>
      </c>
      <c r="U229" s="8684"/>
      <c r="V229" s="8684" t="s">
        <v>118</v>
      </c>
      <c r="W229" s="8684"/>
      <c r="X229" s="8684" t="s">
        <v>119</v>
      </c>
      <c r="Y229" s="8684"/>
      <c r="Z229" s="8684" t="s">
        <v>120</v>
      </c>
      <c r="AA229" s="8684"/>
      <c r="AB229" s="8684" t="s">
        <v>1412</v>
      </c>
      <c r="AC229" s="8684"/>
      <c r="AD229" s="8684" t="s">
        <v>1404</v>
      </c>
      <c r="AE229" s="8684"/>
      <c r="AF229" s="8684" t="s">
        <v>1395</v>
      </c>
      <c r="AG229" s="8684"/>
      <c r="AH229" s="8684" t="s">
        <v>1394</v>
      </c>
      <c r="AI229" s="8684"/>
      <c r="AJ229" s="8684" t="s">
        <v>1393</v>
      </c>
      <c r="AK229" s="8684"/>
      <c r="AL229" s="8684" t="s">
        <v>1403</v>
      </c>
      <c r="AM229" s="8630"/>
      <c r="AN229" s="8941" t="s">
        <v>73</v>
      </c>
      <c r="AO229" s="8942"/>
      <c r="AP229" s="8943"/>
      <c r="AQ229" s="8731" t="s">
        <v>78</v>
      </c>
      <c r="AR229" s="8701" t="s">
        <v>3452</v>
      </c>
      <c r="AS229" s="8940" t="s">
        <v>360</v>
      </c>
      <c r="AT229" s="8940"/>
      <c r="AU229" s="8652" t="s">
        <v>2948</v>
      </c>
      <c r="AV229" s="8652" t="s">
        <v>2607</v>
      </c>
      <c r="AW229" s="8955" t="s">
        <v>359</v>
      </c>
      <c r="AX229" s="8955" t="s">
        <v>2754</v>
      </c>
      <c r="AY229" s="4657"/>
      <c r="AZ229" s="4657"/>
      <c r="BA229" s="4657"/>
      <c r="BB229" s="4657"/>
      <c r="BC229" s="4657"/>
      <c r="BD229" s="4657"/>
      <c r="BE229" s="4657"/>
      <c r="BF229" s="4657"/>
      <c r="BG229" s="4657"/>
      <c r="BH229" s="4657"/>
      <c r="BI229" s="4657"/>
      <c r="BY229" s="4652"/>
      <c r="CZ229" s="6209"/>
      <c r="DZ229" s="4652"/>
    </row>
    <row r="230" spans="1:130" ht="37.5" customHeight="1" x14ac:dyDescent="0.2">
      <c r="A230" s="8665"/>
      <c r="B230" s="8666"/>
      <c r="C230" s="6494" t="s">
        <v>42</v>
      </c>
      <c r="D230" s="6917" t="s">
        <v>17</v>
      </c>
      <c r="E230" s="4936" t="s">
        <v>18</v>
      </c>
      <c r="F230" s="5536" t="s">
        <v>17</v>
      </c>
      <c r="G230" s="4936" t="s">
        <v>18</v>
      </c>
      <c r="H230" s="5536" t="s">
        <v>17</v>
      </c>
      <c r="I230" s="4936" t="s">
        <v>18</v>
      </c>
      <c r="J230" s="5536" t="s">
        <v>17</v>
      </c>
      <c r="K230" s="4936" t="s">
        <v>18</v>
      </c>
      <c r="L230" s="5536" t="s">
        <v>17</v>
      </c>
      <c r="M230" s="4936" t="s">
        <v>18</v>
      </c>
      <c r="N230" s="5536" t="s">
        <v>17</v>
      </c>
      <c r="O230" s="4936" t="s">
        <v>18</v>
      </c>
      <c r="P230" s="5536" t="s">
        <v>17</v>
      </c>
      <c r="Q230" s="4936" t="s">
        <v>18</v>
      </c>
      <c r="R230" s="5536" t="s">
        <v>17</v>
      </c>
      <c r="S230" s="4936" t="s">
        <v>18</v>
      </c>
      <c r="T230" s="5536" t="s">
        <v>17</v>
      </c>
      <c r="U230" s="4936" t="s">
        <v>18</v>
      </c>
      <c r="V230" s="5536" t="s">
        <v>17</v>
      </c>
      <c r="W230" s="4936" t="s">
        <v>18</v>
      </c>
      <c r="X230" s="5536" t="s">
        <v>17</v>
      </c>
      <c r="Y230" s="4936" t="s">
        <v>18</v>
      </c>
      <c r="Z230" s="5536" t="s">
        <v>17</v>
      </c>
      <c r="AA230" s="4936" t="s">
        <v>18</v>
      </c>
      <c r="AB230" s="5536" t="s">
        <v>17</v>
      </c>
      <c r="AC230" s="4936" t="s">
        <v>18</v>
      </c>
      <c r="AD230" s="5536" t="s">
        <v>17</v>
      </c>
      <c r="AE230" s="4936" t="s">
        <v>18</v>
      </c>
      <c r="AF230" s="5536" t="s">
        <v>17</v>
      </c>
      <c r="AG230" s="4936" t="s">
        <v>18</v>
      </c>
      <c r="AH230" s="5536" t="s">
        <v>17</v>
      </c>
      <c r="AI230" s="4936" t="s">
        <v>18</v>
      </c>
      <c r="AJ230" s="5536" t="s">
        <v>17</v>
      </c>
      <c r="AK230" s="4936" t="s">
        <v>18</v>
      </c>
      <c r="AL230" s="5536" t="s">
        <v>17</v>
      </c>
      <c r="AM230" s="4934" t="s">
        <v>18</v>
      </c>
      <c r="AN230" s="6918" t="s">
        <v>784</v>
      </c>
      <c r="AO230" s="6919" t="s">
        <v>783</v>
      </c>
      <c r="AP230" s="6920" t="s">
        <v>3402</v>
      </c>
      <c r="AQ230" s="8732"/>
      <c r="AR230" s="8702"/>
      <c r="AS230" s="5536" t="s">
        <v>17</v>
      </c>
      <c r="AT230" s="4936" t="s">
        <v>18</v>
      </c>
      <c r="AU230" s="8653"/>
      <c r="AV230" s="8653"/>
      <c r="AW230" s="8817"/>
      <c r="AX230" s="8817"/>
      <c r="AY230" s="4684"/>
      <c r="AZ230" s="4684"/>
      <c r="BA230" s="4684"/>
      <c r="BB230" s="4684"/>
      <c r="BC230" s="4684"/>
      <c r="BD230" s="4684"/>
      <c r="BE230" s="4684"/>
      <c r="BF230" s="4684"/>
      <c r="BG230" s="4684"/>
      <c r="BH230" s="4657"/>
      <c r="BI230" s="4657"/>
      <c r="BY230" s="4652"/>
      <c r="CZ230" s="6209"/>
      <c r="DZ230" s="4652"/>
    </row>
    <row r="231" spans="1:130" ht="18.75" customHeight="1" x14ac:dyDescent="0.2">
      <c r="A231" s="8691" t="s">
        <v>781</v>
      </c>
      <c r="B231" s="8692"/>
      <c r="C231" s="6831">
        <f>SUM(D231+E231)</f>
        <v>0</v>
      </c>
      <c r="D231" s="6832">
        <f>SUM(F231+H231+J231+L231+N231+P231+R231+T231+V231+X231+Z231+AB231+AD231+AF231+AH231+AJ231+AL231)</f>
        <v>0</v>
      </c>
      <c r="E231" s="6376">
        <f>SUM(G231+I231+K231+M231+O231+Q231+S231+U231+W231+Y231+AA231+AC231+AE231+AG231+AI231+AK231+AM231)</f>
        <v>0</v>
      </c>
      <c r="F231" s="6624"/>
      <c r="G231" s="6625"/>
      <c r="H231" s="6624"/>
      <c r="I231" s="6625"/>
      <c r="J231" s="6624"/>
      <c r="K231" s="6625"/>
      <c r="L231" s="6624"/>
      <c r="M231" s="6625"/>
      <c r="N231" s="6624"/>
      <c r="O231" s="6625"/>
      <c r="P231" s="6624"/>
      <c r="Q231" s="6625"/>
      <c r="R231" s="6624"/>
      <c r="S231" s="6625"/>
      <c r="T231" s="6624"/>
      <c r="U231" s="6625"/>
      <c r="V231" s="6624"/>
      <c r="W231" s="6625"/>
      <c r="X231" s="6624"/>
      <c r="Y231" s="6625"/>
      <c r="Z231" s="6624"/>
      <c r="AA231" s="6625"/>
      <c r="AB231" s="6624"/>
      <c r="AC231" s="6625"/>
      <c r="AD231" s="6624"/>
      <c r="AE231" s="6625"/>
      <c r="AF231" s="6624"/>
      <c r="AG231" s="6625"/>
      <c r="AH231" s="6624"/>
      <c r="AI231" s="6625"/>
      <c r="AJ231" s="6624"/>
      <c r="AK231" s="6625"/>
      <c r="AL231" s="6624"/>
      <c r="AM231" s="6852"/>
      <c r="AN231" s="6921"/>
      <c r="AO231" s="6922"/>
      <c r="AP231" s="4888"/>
      <c r="AQ231" s="6625"/>
      <c r="AR231" s="6618"/>
      <c r="AS231" s="6624"/>
      <c r="AT231" s="6625"/>
      <c r="AU231" s="6625"/>
      <c r="AV231" s="6625"/>
      <c r="AW231" s="6836"/>
      <c r="AX231" s="6836"/>
      <c r="AY231" s="6504"/>
      <c r="AZ231" s="4684"/>
      <c r="BA231" s="4684"/>
      <c r="BB231" s="4684"/>
      <c r="BC231" s="4684"/>
      <c r="BD231" s="4684"/>
      <c r="BE231" s="4684"/>
      <c r="BF231" s="4684"/>
      <c r="BG231" s="4684"/>
      <c r="BH231" s="4657"/>
      <c r="BI231" s="4657"/>
      <c r="BY231" s="4652"/>
      <c r="CG231" s="6510"/>
      <c r="CZ231" s="6209"/>
      <c r="DA231" s="6209">
        <v>0</v>
      </c>
      <c r="DB231" s="6209">
        <v>0</v>
      </c>
      <c r="DC231" s="6209">
        <v>0</v>
      </c>
      <c r="DD231" s="6209">
        <v>0</v>
      </c>
      <c r="DE231" s="6209">
        <v>0</v>
      </c>
      <c r="DF231" s="6209">
        <v>0</v>
      </c>
      <c r="DG231" s="6209">
        <v>0</v>
      </c>
      <c r="DH231" s="6209">
        <v>0</v>
      </c>
      <c r="DI231" s="6209">
        <v>0</v>
      </c>
      <c r="DJ231" s="6209">
        <v>0</v>
      </c>
      <c r="DK231" s="6209">
        <v>0</v>
      </c>
      <c r="DL231" s="6209">
        <v>0</v>
      </c>
      <c r="DM231" s="6209">
        <v>0</v>
      </c>
      <c r="DN231" s="6209">
        <v>0</v>
      </c>
      <c r="DO231" s="6209">
        <v>0</v>
      </c>
      <c r="DP231" s="6209">
        <v>0</v>
      </c>
      <c r="DZ231" s="4652"/>
    </row>
    <row r="232" spans="1:130" ht="29.25" customHeight="1" x14ac:dyDescent="0.2">
      <c r="A232" s="8768" t="s">
        <v>780</v>
      </c>
      <c r="B232" s="8769"/>
      <c r="C232" s="6923"/>
      <c r="D232" s="6924"/>
      <c r="E232" s="6924"/>
      <c r="F232" s="6924"/>
      <c r="G232" s="6924"/>
      <c r="H232" s="6924"/>
      <c r="I232" s="6924"/>
      <c r="J232" s="6924"/>
      <c r="K232" s="6924"/>
      <c r="L232" s="6924"/>
      <c r="M232" s="6924"/>
      <c r="N232" s="6924"/>
      <c r="O232" s="6924"/>
      <c r="P232" s="6924"/>
      <c r="Q232" s="6924"/>
      <c r="R232" s="6924"/>
      <c r="S232" s="6924"/>
      <c r="T232" s="6924"/>
      <c r="U232" s="6924"/>
      <c r="V232" s="6924"/>
      <c r="W232" s="6924"/>
      <c r="X232" s="6924"/>
      <c r="Y232" s="6924"/>
      <c r="Z232" s="6924"/>
      <c r="AA232" s="6924"/>
      <c r="AB232" s="6924"/>
      <c r="AC232" s="6924"/>
      <c r="AD232" s="6924"/>
      <c r="AE232" s="6924"/>
      <c r="AF232" s="6924"/>
      <c r="AG232" s="6924"/>
      <c r="AH232" s="6924"/>
      <c r="AI232" s="6924"/>
      <c r="AJ232" s="6924"/>
      <c r="AK232" s="6924"/>
      <c r="AL232" s="6924"/>
      <c r="AM232" s="7621"/>
      <c r="AN232" s="7621"/>
      <c r="AO232" s="7621"/>
      <c r="AP232" s="7621"/>
      <c r="AQ232" s="7621"/>
      <c r="AR232" s="7621"/>
      <c r="AS232" s="7621"/>
      <c r="AT232" s="7621"/>
      <c r="AU232" s="7621"/>
      <c r="AV232" s="7621"/>
      <c r="AW232" s="7621"/>
      <c r="AX232" s="7622"/>
      <c r="AY232" s="6970"/>
      <c r="AZ232" s="4684"/>
      <c r="BA232" s="4684"/>
      <c r="BB232" s="4684"/>
      <c r="BC232" s="4684"/>
      <c r="BD232" s="4684"/>
      <c r="BE232" s="4684"/>
      <c r="BF232" s="4684"/>
      <c r="BG232" s="4684"/>
      <c r="BH232" s="4657"/>
      <c r="BI232" s="4657"/>
      <c r="BY232" s="4652"/>
      <c r="CZ232" s="6209"/>
      <c r="DZ232" s="4652"/>
    </row>
    <row r="233" spans="1:130" ht="21" customHeight="1" x14ac:dyDescent="0.2">
      <c r="A233" s="8661" t="s">
        <v>779</v>
      </c>
      <c r="B233" s="6925" t="s">
        <v>778</v>
      </c>
      <c r="C233" s="6840">
        <f>SUM(D233+E233)</f>
        <v>0</v>
      </c>
      <c r="D233" s="6841">
        <f t="shared" ref="D233:D241" si="35">SUM(F233+H233+J233+L233+N233+P233+R233+T233+V233+X233+Z233+AB233+AD233+AF233+AH233+AJ233+AL233)</f>
        <v>0</v>
      </c>
      <c r="E233" s="6839">
        <f t="shared" ref="E233:E240" si="36">SUM(G233+I233+K233+M233+O233+Q233+S233+U233+W233+Y233+AA233+AC233+AE233+AG233+AI233+AK233+AM233)</f>
        <v>0</v>
      </c>
      <c r="F233" s="6499"/>
      <c r="G233" s="6537"/>
      <c r="H233" s="6499"/>
      <c r="I233" s="6537"/>
      <c r="J233" s="6499"/>
      <c r="K233" s="6537"/>
      <c r="L233" s="6499"/>
      <c r="M233" s="6537"/>
      <c r="N233" s="6499"/>
      <c r="O233" s="6537"/>
      <c r="P233" s="6499"/>
      <c r="Q233" s="6537"/>
      <c r="R233" s="6499"/>
      <c r="S233" s="6537"/>
      <c r="T233" s="6499"/>
      <c r="U233" s="6537"/>
      <c r="V233" s="6499"/>
      <c r="W233" s="6537"/>
      <c r="X233" s="6499"/>
      <c r="Y233" s="6537"/>
      <c r="Z233" s="6499"/>
      <c r="AA233" s="6537"/>
      <c r="AB233" s="6499"/>
      <c r="AC233" s="6537"/>
      <c r="AD233" s="6499"/>
      <c r="AE233" s="6537"/>
      <c r="AF233" s="6499"/>
      <c r="AG233" s="6537"/>
      <c r="AH233" s="6499"/>
      <c r="AI233" s="6537"/>
      <c r="AJ233" s="6499"/>
      <c r="AK233" s="6537"/>
      <c r="AL233" s="6499"/>
      <c r="AM233" s="6762"/>
      <c r="AN233" s="6926"/>
      <c r="AO233" s="6649"/>
      <c r="AP233" s="6537"/>
      <c r="AQ233" s="6537"/>
      <c r="AR233" s="6638"/>
      <c r="AS233" s="6499"/>
      <c r="AT233" s="6537"/>
      <c r="AU233" s="6537"/>
      <c r="AV233" s="6537"/>
      <c r="AW233" s="6843"/>
      <c r="AX233" s="6843"/>
      <c r="AY233" s="6970"/>
      <c r="AZ233" s="4684"/>
      <c r="BA233" s="4684"/>
      <c r="BB233" s="4684"/>
      <c r="BC233" s="4684"/>
      <c r="BD233" s="4684"/>
      <c r="BE233" s="4684"/>
      <c r="BF233" s="4684"/>
      <c r="BG233" s="4684"/>
      <c r="BH233" s="4657"/>
      <c r="BI233" s="4657"/>
      <c r="BY233" s="4652"/>
      <c r="CZ233" s="6209"/>
      <c r="DZ233" s="4652"/>
    </row>
    <row r="234" spans="1:130" ht="21.75" customHeight="1" x14ac:dyDescent="0.2">
      <c r="A234" s="8662"/>
      <c r="B234" s="5607" t="s">
        <v>777</v>
      </c>
      <c r="C234" s="6883">
        <f>SUM(D234+E234)</f>
        <v>0</v>
      </c>
      <c r="D234" s="6884">
        <f t="shared" si="35"/>
        <v>0</v>
      </c>
      <c r="E234" s="6844">
        <f t="shared" si="36"/>
        <v>0</v>
      </c>
      <c r="F234" s="4796"/>
      <c r="G234" s="4888"/>
      <c r="H234" s="4796"/>
      <c r="I234" s="4888"/>
      <c r="J234" s="4796"/>
      <c r="K234" s="4888"/>
      <c r="L234" s="4796"/>
      <c r="M234" s="4888"/>
      <c r="N234" s="4796"/>
      <c r="O234" s="4888"/>
      <c r="P234" s="4796"/>
      <c r="Q234" s="4888"/>
      <c r="R234" s="4796"/>
      <c r="S234" s="4888"/>
      <c r="T234" s="4796"/>
      <c r="U234" s="4888"/>
      <c r="V234" s="4796"/>
      <c r="W234" s="4888"/>
      <c r="X234" s="4796"/>
      <c r="Y234" s="4888"/>
      <c r="Z234" s="4796"/>
      <c r="AA234" s="4888"/>
      <c r="AB234" s="4796"/>
      <c r="AC234" s="4888"/>
      <c r="AD234" s="4796"/>
      <c r="AE234" s="4888"/>
      <c r="AF234" s="4796"/>
      <c r="AG234" s="4888"/>
      <c r="AH234" s="4796"/>
      <c r="AI234" s="4888"/>
      <c r="AJ234" s="6711"/>
      <c r="AK234" s="5341"/>
      <c r="AL234" s="4796"/>
      <c r="AM234" s="6885"/>
      <c r="AN234" s="6927"/>
      <c r="AO234" s="4798"/>
      <c r="AP234" s="4888"/>
      <c r="AQ234" s="4888"/>
      <c r="AR234" s="4877"/>
      <c r="AS234" s="4796"/>
      <c r="AT234" s="4888"/>
      <c r="AU234" s="4888"/>
      <c r="AV234" s="4888"/>
      <c r="AW234" s="4787"/>
      <c r="AX234" s="4787"/>
      <c r="AY234" s="6970"/>
      <c r="AZ234" s="4684"/>
      <c r="BA234" s="4684"/>
      <c r="BB234" s="4684"/>
      <c r="BC234" s="4684"/>
      <c r="BD234" s="4684"/>
      <c r="BE234" s="4684"/>
      <c r="BF234" s="4684"/>
      <c r="BG234" s="4684"/>
      <c r="BH234" s="4657"/>
      <c r="BI234" s="4657"/>
      <c r="BY234" s="4652"/>
      <c r="CZ234" s="6209"/>
      <c r="DZ234" s="4652"/>
    </row>
    <row r="235" spans="1:130" ht="18.75" customHeight="1" x14ac:dyDescent="0.2">
      <c r="A235" s="8693" t="s">
        <v>776</v>
      </c>
      <c r="B235" s="8694"/>
      <c r="C235" s="6928">
        <f t="shared" ref="C235:C274" si="37">SUM(D235+E235)</f>
        <v>0</v>
      </c>
      <c r="D235" s="6832">
        <f t="shared" si="35"/>
        <v>0</v>
      </c>
      <c r="E235" s="6851">
        <f t="shared" si="36"/>
        <v>0</v>
      </c>
      <c r="F235" s="6624"/>
      <c r="G235" s="6625"/>
      <c r="H235" s="6624"/>
      <c r="I235" s="6625"/>
      <c r="J235" s="6624"/>
      <c r="K235" s="6625"/>
      <c r="L235" s="6624"/>
      <c r="M235" s="6625"/>
      <c r="N235" s="6624"/>
      <c r="O235" s="6625"/>
      <c r="P235" s="6624"/>
      <c r="Q235" s="6625"/>
      <c r="R235" s="6624"/>
      <c r="S235" s="6625"/>
      <c r="T235" s="6624"/>
      <c r="U235" s="6625"/>
      <c r="V235" s="6624"/>
      <c r="W235" s="6625"/>
      <c r="X235" s="6624"/>
      <c r="Y235" s="6625"/>
      <c r="Z235" s="6624"/>
      <c r="AA235" s="6625"/>
      <c r="AB235" s="6624"/>
      <c r="AC235" s="6625"/>
      <c r="AD235" s="6624"/>
      <c r="AE235" s="6625"/>
      <c r="AF235" s="6624"/>
      <c r="AG235" s="6625"/>
      <c r="AH235" s="6624"/>
      <c r="AI235" s="6625"/>
      <c r="AJ235" s="6624"/>
      <c r="AK235" s="6625"/>
      <c r="AL235" s="6624"/>
      <c r="AM235" s="6852"/>
      <c r="AN235" s="6929"/>
      <c r="AO235" s="6930"/>
      <c r="AP235" s="6625"/>
      <c r="AQ235" s="6625"/>
      <c r="AR235" s="6618"/>
      <c r="AS235" s="6624"/>
      <c r="AT235" s="6625"/>
      <c r="AU235" s="6625"/>
      <c r="AV235" s="6625"/>
      <c r="AW235" s="6836"/>
      <c r="AX235" s="6836"/>
      <c r="AY235" s="6970"/>
      <c r="AZ235" s="4684"/>
      <c r="BA235" s="4684"/>
      <c r="BB235" s="4684"/>
      <c r="BC235" s="4684"/>
      <c r="BD235" s="4684"/>
      <c r="BE235" s="4684"/>
      <c r="BF235" s="4684"/>
      <c r="BG235" s="4684"/>
      <c r="BH235" s="4657"/>
      <c r="BI235" s="4657"/>
      <c r="BY235" s="4652"/>
      <c r="CZ235" s="6209"/>
      <c r="DZ235" s="4652"/>
    </row>
    <row r="236" spans="1:130" ht="13.5" customHeight="1" x14ac:dyDescent="0.2">
      <c r="A236" s="8661" t="s">
        <v>775</v>
      </c>
      <c r="B236" s="6839" t="s">
        <v>774</v>
      </c>
      <c r="C236" s="6840">
        <f t="shared" si="37"/>
        <v>0</v>
      </c>
      <c r="D236" s="6841">
        <f t="shared" si="35"/>
        <v>0</v>
      </c>
      <c r="E236" s="6839">
        <f t="shared" si="36"/>
        <v>0</v>
      </c>
      <c r="F236" s="7495"/>
      <c r="G236" s="7496"/>
      <c r="H236" s="6499"/>
      <c r="I236" s="6537"/>
      <c r="J236" s="6499"/>
      <c r="K236" s="6537"/>
      <c r="L236" s="6499"/>
      <c r="M236" s="6537"/>
      <c r="N236" s="6499"/>
      <c r="O236" s="6537"/>
      <c r="P236" s="6499"/>
      <c r="Q236" s="6537"/>
      <c r="R236" s="6499"/>
      <c r="S236" s="6537"/>
      <c r="T236" s="6499"/>
      <c r="U236" s="6537"/>
      <c r="V236" s="6499"/>
      <c r="W236" s="6537"/>
      <c r="X236" s="6499"/>
      <c r="Y236" s="6537"/>
      <c r="Z236" s="6499"/>
      <c r="AA236" s="6537"/>
      <c r="AB236" s="6499"/>
      <c r="AC236" s="6537"/>
      <c r="AD236" s="6499"/>
      <c r="AE236" s="6537"/>
      <c r="AF236" s="6499"/>
      <c r="AG236" s="6537"/>
      <c r="AH236" s="6499"/>
      <c r="AI236" s="6537"/>
      <c r="AJ236" s="6499"/>
      <c r="AK236" s="6537"/>
      <c r="AL236" s="6499"/>
      <c r="AM236" s="6762"/>
      <c r="AN236" s="6926"/>
      <c r="AO236" s="6649"/>
      <c r="AP236" s="6537"/>
      <c r="AQ236" s="6537"/>
      <c r="AR236" s="6638"/>
      <c r="AS236" s="6499"/>
      <c r="AT236" s="6537"/>
      <c r="AU236" s="6537"/>
      <c r="AV236" s="6537"/>
      <c r="AW236" s="6843"/>
      <c r="AX236" s="6843"/>
      <c r="AY236" s="6970"/>
      <c r="AZ236" s="4684"/>
      <c r="BA236" s="4684"/>
      <c r="BB236" s="4684"/>
      <c r="BC236" s="4684"/>
      <c r="BD236" s="4684"/>
      <c r="BE236" s="4684"/>
      <c r="BF236" s="4684"/>
      <c r="BG236" s="4684"/>
      <c r="BH236" s="4657"/>
      <c r="BI236" s="4657"/>
      <c r="BY236" s="4652"/>
      <c r="CZ236" s="6209"/>
      <c r="DZ236" s="4652"/>
    </row>
    <row r="237" spans="1:130" ht="15" customHeight="1" x14ac:dyDescent="0.2">
      <c r="A237" s="8662"/>
      <c r="B237" s="6847" t="s">
        <v>773</v>
      </c>
      <c r="C237" s="6853">
        <f t="shared" si="37"/>
        <v>0</v>
      </c>
      <c r="D237" s="6854">
        <f t="shared" si="35"/>
        <v>0</v>
      </c>
      <c r="E237" s="6376">
        <f t="shared" si="36"/>
        <v>0</v>
      </c>
      <c r="F237" s="7497"/>
      <c r="G237" s="7498"/>
      <c r="H237" s="6855"/>
      <c r="I237" s="6833"/>
      <c r="J237" s="6855"/>
      <c r="K237" s="6833"/>
      <c r="L237" s="6855"/>
      <c r="M237" s="6833"/>
      <c r="N237" s="6855"/>
      <c r="O237" s="6833"/>
      <c r="P237" s="6855"/>
      <c r="Q237" s="6833"/>
      <c r="R237" s="6855"/>
      <c r="S237" s="6833"/>
      <c r="T237" s="6855"/>
      <c r="U237" s="6833"/>
      <c r="V237" s="6855"/>
      <c r="W237" s="6833"/>
      <c r="X237" s="6855"/>
      <c r="Y237" s="6833"/>
      <c r="Z237" s="6855"/>
      <c r="AA237" s="6833"/>
      <c r="AB237" s="6855"/>
      <c r="AC237" s="6833"/>
      <c r="AD237" s="6855"/>
      <c r="AE237" s="6833"/>
      <c r="AF237" s="6855"/>
      <c r="AG237" s="6833"/>
      <c r="AH237" s="6855"/>
      <c r="AI237" s="6833"/>
      <c r="AJ237" s="6718"/>
      <c r="AK237" s="6577"/>
      <c r="AL237" s="6855"/>
      <c r="AM237" s="6811"/>
      <c r="AN237" s="6931"/>
      <c r="AO237" s="6932"/>
      <c r="AP237" s="6577"/>
      <c r="AQ237" s="6833"/>
      <c r="AR237" s="6835"/>
      <c r="AS237" s="6855"/>
      <c r="AT237" s="6833"/>
      <c r="AU237" s="6833"/>
      <c r="AV237" s="6833"/>
      <c r="AW237" s="5460"/>
      <c r="AX237" s="5460"/>
      <c r="AY237" s="6970"/>
      <c r="AZ237" s="4684"/>
      <c r="BA237" s="4684"/>
      <c r="BB237" s="4684"/>
      <c r="BC237" s="4684"/>
      <c r="BD237" s="4684"/>
      <c r="BE237" s="4684"/>
      <c r="BF237" s="4684"/>
      <c r="BG237" s="4684"/>
      <c r="BH237" s="4657"/>
      <c r="BI237" s="4657"/>
      <c r="BY237" s="4652"/>
      <c r="CZ237" s="6209"/>
      <c r="DZ237" s="4652"/>
    </row>
    <row r="238" spans="1:130" ht="20.25" customHeight="1" x14ac:dyDescent="0.2">
      <c r="A238" s="6856" t="s">
        <v>772</v>
      </c>
      <c r="B238" s="6857"/>
      <c r="C238" s="6730">
        <f t="shared" si="37"/>
        <v>0</v>
      </c>
      <c r="D238" s="6731">
        <f t="shared" si="35"/>
        <v>0</v>
      </c>
      <c r="E238" s="6732">
        <f t="shared" si="36"/>
        <v>0</v>
      </c>
      <c r="F238" s="6624"/>
      <c r="G238" s="6625"/>
      <c r="H238" s="6624"/>
      <c r="I238" s="6625"/>
      <c r="J238" s="6624"/>
      <c r="K238" s="6625"/>
      <c r="L238" s="6624"/>
      <c r="M238" s="6625"/>
      <c r="N238" s="6624"/>
      <c r="O238" s="6625"/>
      <c r="P238" s="6624"/>
      <c r="Q238" s="6625"/>
      <c r="R238" s="6624"/>
      <c r="S238" s="6625"/>
      <c r="T238" s="6624"/>
      <c r="U238" s="6625"/>
      <c r="V238" s="6624"/>
      <c r="W238" s="6625"/>
      <c r="X238" s="6624"/>
      <c r="Y238" s="6625"/>
      <c r="Z238" s="6624"/>
      <c r="AA238" s="6625"/>
      <c r="AB238" s="6624"/>
      <c r="AC238" s="6625"/>
      <c r="AD238" s="6624"/>
      <c r="AE238" s="6625"/>
      <c r="AF238" s="6624"/>
      <c r="AG238" s="6625"/>
      <c r="AH238" s="6624"/>
      <c r="AI238" s="6625"/>
      <c r="AJ238" s="6624"/>
      <c r="AK238" s="6625"/>
      <c r="AL238" s="6624"/>
      <c r="AM238" s="6852"/>
      <c r="AN238" s="6929"/>
      <c r="AO238" s="6930"/>
      <c r="AP238" s="6625"/>
      <c r="AQ238" s="6625"/>
      <c r="AR238" s="6618"/>
      <c r="AS238" s="6624"/>
      <c r="AT238" s="6625"/>
      <c r="AU238" s="6625"/>
      <c r="AV238" s="6625"/>
      <c r="AW238" s="6836"/>
      <c r="AX238" s="6836"/>
      <c r="AY238" s="6970"/>
      <c r="AZ238" s="4684"/>
      <c r="BA238" s="4684"/>
      <c r="BB238" s="4684"/>
      <c r="BC238" s="4684"/>
      <c r="BD238" s="4684"/>
      <c r="BE238" s="4684"/>
      <c r="BF238" s="4684"/>
      <c r="BG238" s="4684"/>
      <c r="BH238" s="4657"/>
      <c r="BI238" s="4657"/>
      <c r="BY238" s="4652"/>
      <c r="CZ238" s="6209"/>
      <c r="DZ238" s="4652"/>
    </row>
    <row r="239" spans="1:130" ht="16.350000000000001" customHeight="1" x14ac:dyDescent="0.2">
      <c r="A239" s="8661" t="s">
        <v>771</v>
      </c>
      <c r="B239" s="5640" t="s">
        <v>770</v>
      </c>
      <c r="C239" s="6859">
        <f t="shared" si="37"/>
        <v>0</v>
      </c>
      <c r="D239" s="6860">
        <f t="shared" si="35"/>
        <v>0</v>
      </c>
      <c r="E239" s="6858">
        <f t="shared" si="36"/>
        <v>0</v>
      </c>
      <c r="F239" s="6726"/>
      <c r="G239" s="6573"/>
      <c r="H239" s="6726"/>
      <c r="I239" s="6573"/>
      <c r="J239" s="6726"/>
      <c r="K239" s="6573"/>
      <c r="L239" s="6726"/>
      <c r="M239" s="6573"/>
      <c r="N239" s="6726"/>
      <c r="O239" s="6573"/>
      <c r="P239" s="6726"/>
      <c r="Q239" s="6573"/>
      <c r="R239" s="6726"/>
      <c r="S239" s="6573"/>
      <c r="T239" s="6726"/>
      <c r="U239" s="6573"/>
      <c r="V239" s="6726"/>
      <c r="W239" s="6573"/>
      <c r="X239" s="6726"/>
      <c r="Y239" s="6573"/>
      <c r="Z239" s="6726"/>
      <c r="AA239" s="6573"/>
      <c r="AB239" s="6726"/>
      <c r="AC239" s="6573"/>
      <c r="AD239" s="6726"/>
      <c r="AE239" s="6573"/>
      <c r="AF239" s="6726"/>
      <c r="AG239" s="6573"/>
      <c r="AH239" s="6726"/>
      <c r="AI239" s="6573"/>
      <c r="AJ239" s="6726"/>
      <c r="AK239" s="6573"/>
      <c r="AL239" s="6726"/>
      <c r="AM239" s="5403"/>
      <c r="AN239" s="6933"/>
      <c r="AO239" s="6934"/>
      <c r="AP239" s="6573"/>
      <c r="AQ239" s="6573"/>
      <c r="AR239" s="5552"/>
      <c r="AS239" s="6726"/>
      <c r="AT239" s="6573"/>
      <c r="AU239" s="6573"/>
      <c r="AV239" s="6573"/>
      <c r="AW239" s="4428"/>
      <c r="AX239" s="4428"/>
      <c r="AY239" s="6970"/>
      <c r="AZ239" s="4684"/>
      <c r="BA239" s="4684"/>
      <c r="BB239" s="4684"/>
      <c r="BC239" s="4684"/>
      <c r="BD239" s="4684"/>
      <c r="BE239" s="4684"/>
      <c r="BF239" s="4684"/>
      <c r="BG239" s="4684"/>
      <c r="BH239" s="4657"/>
      <c r="BI239" s="4657"/>
      <c r="BY239" s="4652"/>
      <c r="CZ239" s="6209"/>
      <c r="DZ239" s="4652"/>
    </row>
    <row r="240" spans="1:130" ht="16.350000000000001" customHeight="1" x14ac:dyDescent="0.2">
      <c r="A240" s="8635"/>
      <c r="B240" s="5581" t="s">
        <v>769</v>
      </c>
      <c r="C240" s="6863">
        <f t="shared" si="37"/>
        <v>0</v>
      </c>
      <c r="D240" s="6864">
        <f t="shared" si="35"/>
        <v>0</v>
      </c>
      <c r="E240" s="6862">
        <f t="shared" si="36"/>
        <v>0</v>
      </c>
      <c r="F240" s="4778"/>
      <c r="G240" s="5582"/>
      <c r="H240" s="4778"/>
      <c r="I240" s="5582"/>
      <c r="J240" s="4778"/>
      <c r="K240" s="5582"/>
      <c r="L240" s="4778"/>
      <c r="M240" s="5582"/>
      <c r="N240" s="4778"/>
      <c r="O240" s="5582"/>
      <c r="P240" s="4778"/>
      <c r="Q240" s="5582"/>
      <c r="R240" s="4778"/>
      <c r="S240" s="5582"/>
      <c r="T240" s="4778"/>
      <c r="U240" s="5582"/>
      <c r="V240" s="4778"/>
      <c r="W240" s="5582"/>
      <c r="X240" s="4778"/>
      <c r="Y240" s="5582"/>
      <c r="Z240" s="4778"/>
      <c r="AA240" s="5582"/>
      <c r="AB240" s="4778"/>
      <c r="AC240" s="5582"/>
      <c r="AD240" s="4778"/>
      <c r="AE240" s="5582"/>
      <c r="AF240" s="4778"/>
      <c r="AG240" s="5582"/>
      <c r="AH240" s="4778"/>
      <c r="AI240" s="5582"/>
      <c r="AJ240" s="4778"/>
      <c r="AK240" s="5582"/>
      <c r="AL240" s="4778"/>
      <c r="AM240" s="5586"/>
      <c r="AN240" s="6933"/>
      <c r="AO240" s="6934"/>
      <c r="AP240" s="6573"/>
      <c r="AQ240" s="5582"/>
      <c r="AR240" s="4869"/>
      <c r="AS240" s="4778"/>
      <c r="AT240" s="5582"/>
      <c r="AU240" s="5582"/>
      <c r="AV240" s="5582"/>
      <c r="AW240" s="6165"/>
      <c r="AX240" s="6165"/>
      <c r="AY240" s="6970"/>
      <c r="AZ240" s="4684"/>
      <c r="BA240" s="4684"/>
      <c r="BB240" s="4684"/>
      <c r="BC240" s="4684"/>
      <c r="BD240" s="4684"/>
      <c r="BE240" s="4684"/>
      <c r="BF240" s="4684"/>
      <c r="BG240" s="4684"/>
      <c r="BH240" s="4657"/>
      <c r="BI240" s="4657"/>
      <c r="BY240" s="4652"/>
      <c r="CZ240" s="6209"/>
      <c r="DZ240" s="4652"/>
    </row>
    <row r="241" spans="1:130" ht="16.350000000000001" customHeight="1" x14ac:dyDescent="0.2">
      <c r="A241" s="8635"/>
      <c r="B241" s="5581" t="s">
        <v>768</v>
      </c>
      <c r="C241" s="6863">
        <f t="shared" si="37"/>
        <v>0</v>
      </c>
      <c r="D241" s="6864">
        <f t="shared" si="35"/>
        <v>0</v>
      </c>
      <c r="E241" s="6862">
        <f>SUM(G241+I241+K241+M241+O241+Q241+S241+U241+W241+Y241+AA241+AC241+AE241+AG241+AI241+AK241+AM241)</f>
        <v>0</v>
      </c>
      <c r="F241" s="4778"/>
      <c r="G241" s="5582"/>
      <c r="H241" s="4778"/>
      <c r="I241" s="5582"/>
      <c r="J241" s="4778"/>
      <c r="K241" s="5582"/>
      <c r="L241" s="4778"/>
      <c r="M241" s="5582"/>
      <c r="N241" s="4778"/>
      <c r="O241" s="5582"/>
      <c r="P241" s="4778"/>
      <c r="Q241" s="5582"/>
      <c r="R241" s="4778"/>
      <c r="S241" s="5582"/>
      <c r="T241" s="4778"/>
      <c r="U241" s="5582"/>
      <c r="V241" s="4778"/>
      <c r="W241" s="5582"/>
      <c r="X241" s="4778"/>
      <c r="Y241" s="5582"/>
      <c r="Z241" s="4778"/>
      <c r="AA241" s="5582"/>
      <c r="AB241" s="4778"/>
      <c r="AC241" s="5582"/>
      <c r="AD241" s="4778"/>
      <c r="AE241" s="5582"/>
      <c r="AF241" s="4778"/>
      <c r="AG241" s="5582"/>
      <c r="AH241" s="4778"/>
      <c r="AI241" s="5582"/>
      <c r="AJ241" s="4778"/>
      <c r="AK241" s="5582"/>
      <c r="AL241" s="4778"/>
      <c r="AM241" s="5586"/>
      <c r="AN241" s="6933"/>
      <c r="AO241" s="6934"/>
      <c r="AP241" s="6573"/>
      <c r="AQ241" s="5582"/>
      <c r="AR241" s="4869"/>
      <c r="AS241" s="4306"/>
      <c r="AT241" s="5582"/>
      <c r="AU241" s="5582"/>
      <c r="AV241" s="5582"/>
      <c r="AW241" s="6165"/>
      <c r="AX241" s="6165"/>
      <c r="AY241" s="6970"/>
      <c r="AZ241" s="4684"/>
      <c r="BA241" s="4684"/>
      <c r="BB241" s="4684"/>
      <c r="BC241" s="4684"/>
      <c r="BD241" s="4684"/>
      <c r="BE241" s="4684"/>
      <c r="BF241" s="4684"/>
      <c r="BG241" s="4684"/>
      <c r="BH241" s="4657"/>
      <c r="BI241" s="4657"/>
      <c r="BY241" s="4652"/>
      <c r="CZ241" s="6209"/>
      <c r="DA241" s="6209">
        <v>0</v>
      </c>
      <c r="DC241" s="6209">
        <v>0</v>
      </c>
      <c r="DE241" s="6209">
        <v>0</v>
      </c>
      <c r="DG241" s="6209">
        <v>0</v>
      </c>
      <c r="DI241" s="6209">
        <v>0</v>
      </c>
      <c r="DK241" s="6209">
        <v>0</v>
      </c>
      <c r="DM241" s="6209">
        <v>0</v>
      </c>
      <c r="DO241" s="6209">
        <v>0</v>
      </c>
      <c r="DZ241" s="4652"/>
    </row>
    <row r="242" spans="1:130" ht="16.350000000000001" customHeight="1" x14ac:dyDescent="0.2">
      <c r="A242" s="8635"/>
      <c r="B242" s="6935" t="s">
        <v>767</v>
      </c>
      <c r="C242" s="6863">
        <f t="shared" si="37"/>
        <v>0</v>
      </c>
      <c r="D242" s="6936"/>
      <c r="E242" s="6862">
        <f>SUM(K242+M242+O242+Q242+S242+U242+W242+Y242+AA242+AC242+AE242+AG242+AI242+AK242+AM242)</f>
        <v>0</v>
      </c>
      <c r="F242" s="6796"/>
      <c r="G242" s="6797"/>
      <c r="H242" s="6796"/>
      <c r="I242" s="6797"/>
      <c r="J242" s="6796"/>
      <c r="K242" s="5582"/>
      <c r="L242" s="6796"/>
      <c r="M242" s="5582"/>
      <c r="N242" s="6796"/>
      <c r="O242" s="5582"/>
      <c r="P242" s="6796"/>
      <c r="Q242" s="5582"/>
      <c r="R242" s="6796"/>
      <c r="S242" s="5582"/>
      <c r="T242" s="6796"/>
      <c r="U242" s="5582"/>
      <c r="V242" s="6796"/>
      <c r="W242" s="5582"/>
      <c r="X242" s="6796"/>
      <c r="Y242" s="5582"/>
      <c r="Z242" s="6796"/>
      <c r="AA242" s="5582"/>
      <c r="AB242" s="6796"/>
      <c r="AC242" s="5582"/>
      <c r="AD242" s="6796"/>
      <c r="AE242" s="5582"/>
      <c r="AF242" s="6796"/>
      <c r="AG242" s="5582"/>
      <c r="AH242" s="6796"/>
      <c r="AI242" s="5582"/>
      <c r="AJ242" s="6796"/>
      <c r="AK242" s="5582"/>
      <c r="AL242" s="6796"/>
      <c r="AM242" s="5586"/>
      <c r="AN242" s="6933"/>
      <c r="AO242" s="6934"/>
      <c r="AP242" s="6573"/>
      <c r="AQ242" s="5582"/>
      <c r="AR242" s="4869"/>
      <c r="AS242" s="6937"/>
      <c r="AT242" s="5582"/>
      <c r="AU242" s="5582"/>
      <c r="AV242" s="5582"/>
      <c r="AW242" s="6165"/>
      <c r="AX242" s="6165"/>
      <c r="AY242" s="6970"/>
      <c r="AZ242" s="4684"/>
      <c r="BA242" s="4684"/>
      <c r="BB242" s="4684"/>
      <c r="BC242" s="4684"/>
      <c r="BD242" s="4684"/>
      <c r="BE242" s="4684"/>
      <c r="BF242" s="4684"/>
      <c r="BG242" s="4684"/>
      <c r="BH242" s="4657"/>
      <c r="BI242" s="4657"/>
      <c r="BY242" s="4652"/>
      <c r="CZ242" s="6209"/>
      <c r="DA242" s="6209">
        <v>0</v>
      </c>
      <c r="DC242" s="6209">
        <v>0</v>
      </c>
      <c r="DE242" s="6209">
        <v>0</v>
      </c>
      <c r="DG242" s="6209">
        <v>0</v>
      </c>
      <c r="DI242" s="6209">
        <v>0</v>
      </c>
      <c r="DM242" s="6209">
        <v>0</v>
      </c>
      <c r="DO242" s="6209">
        <v>0</v>
      </c>
      <c r="DZ242" s="4652"/>
    </row>
    <row r="243" spans="1:130" ht="16.350000000000001" customHeight="1" x14ac:dyDescent="0.2">
      <c r="A243" s="8635"/>
      <c r="B243" s="5581" t="s">
        <v>766</v>
      </c>
      <c r="C243" s="6863">
        <f t="shared" si="37"/>
        <v>0</v>
      </c>
      <c r="D243" s="6864">
        <f t="shared" ref="D243:E251" si="38">SUM(F243+H243+J243+L243+N243+P243+R243+T243+V243+X243+Z243+AB243+AD243+AF243+AH243+AJ243+AL243)</f>
        <v>0</v>
      </c>
      <c r="E243" s="6862">
        <f t="shared" si="38"/>
        <v>0</v>
      </c>
      <c r="F243" s="4778"/>
      <c r="G243" s="5582"/>
      <c r="H243" s="4778"/>
      <c r="I243" s="5582"/>
      <c r="J243" s="4778"/>
      <c r="K243" s="5582"/>
      <c r="L243" s="4778"/>
      <c r="M243" s="5582"/>
      <c r="N243" s="4778"/>
      <c r="O243" s="5582"/>
      <c r="P243" s="4778"/>
      <c r="Q243" s="5582"/>
      <c r="R243" s="4778"/>
      <c r="S243" s="5582"/>
      <c r="T243" s="4778"/>
      <c r="U243" s="5582"/>
      <c r="V243" s="4778"/>
      <c r="W243" s="5582"/>
      <c r="X243" s="4778"/>
      <c r="Y243" s="5582"/>
      <c r="Z243" s="4778"/>
      <c r="AA243" s="5582"/>
      <c r="AB243" s="4778"/>
      <c r="AC243" s="5582"/>
      <c r="AD243" s="4778"/>
      <c r="AE243" s="5582"/>
      <c r="AF243" s="4778"/>
      <c r="AG243" s="5582"/>
      <c r="AH243" s="4778"/>
      <c r="AI243" s="5582"/>
      <c r="AJ243" s="4778"/>
      <c r="AK243" s="5582"/>
      <c r="AL243" s="4778"/>
      <c r="AM243" s="5586"/>
      <c r="AN243" s="6933"/>
      <c r="AO243" s="6934"/>
      <c r="AP243" s="6573"/>
      <c r="AQ243" s="5582"/>
      <c r="AR243" s="4869"/>
      <c r="AS243" s="4778"/>
      <c r="AT243" s="5582"/>
      <c r="AU243" s="5582"/>
      <c r="AV243" s="5582"/>
      <c r="AW243" s="6165"/>
      <c r="AX243" s="6165"/>
      <c r="AY243" s="6970"/>
      <c r="AZ243" s="4684"/>
      <c r="BA243" s="4684"/>
      <c r="BB243" s="4684"/>
      <c r="BC243" s="4684"/>
      <c r="BD243" s="4684"/>
      <c r="BE243" s="4684"/>
      <c r="BF243" s="4684"/>
      <c r="BG243" s="4684"/>
      <c r="BH243" s="4657"/>
      <c r="BI243" s="4657"/>
      <c r="BY243" s="4652"/>
      <c r="CZ243" s="6209"/>
      <c r="DZ243" s="4652"/>
    </row>
    <row r="244" spans="1:130" ht="16.350000000000001" customHeight="1" x14ac:dyDescent="0.2">
      <c r="A244" s="8635"/>
      <c r="B244" s="6938" t="s">
        <v>765</v>
      </c>
      <c r="C244" s="6863">
        <f t="shared" si="37"/>
        <v>0</v>
      </c>
      <c r="D244" s="6864">
        <f t="shared" si="38"/>
        <v>0</v>
      </c>
      <c r="E244" s="6862">
        <f t="shared" si="38"/>
        <v>0</v>
      </c>
      <c r="F244" s="4778"/>
      <c r="G244" s="5582"/>
      <c r="H244" s="4778"/>
      <c r="I244" s="5582"/>
      <c r="J244" s="4778"/>
      <c r="K244" s="5582"/>
      <c r="L244" s="4778"/>
      <c r="M244" s="5582"/>
      <c r="N244" s="4778"/>
      <c r="O244" s="5582"/>
      <c r="P244" s="4778"/>
      <c r="Q244" s="5582"/>
      <c r="R244" s="4778"/>
      <c r="S244" s="5582"/>
      <c r="T244" s="4778"/>
      <c r="U244" s="5582"/>
      <c r="V244" s="4778"/>
      <c r="W244" s="5582"/>
      <c r="X244" s="4778"/>
      <c r="Y244" s="5582"/>
      <c r="Z244" s="4778"/>
      <c r="AA244" s="5582"/>
      <c r="AB244" s="4778"/>
      <c r="AC244" s="5582"/>
      <c r="AD244" s="4778"/>
      <c r="AE244" s="5582"/>
      <c r="AF244" s="4778"/>
      <c r="AG244" s="5582"/>
      <c r="AH244" s="4778"/>
      <c r="AI244" s="5582"/>
      <c r="AJ244" s="4778"/>
      <c r="AK244" s="5582"/>
      <c r="AL244" s="4778"/>
      <c r="AM244" s="5586"/>
      <c r="AN244" s="6933"/>
      <c r="AO244" s="6934"/>
      <c r="AP244" s="6573"/>
      <c r="AQ244" s="5582"/>
      <c r="AR244" s="4869"/>
      <c r="AS244" s="4778"/>
      <c r="AT244" s="5582"/>
      <c r="AU244" s="5582"/>
      <c r="AV244" s="5582"/>
      <c r="AW244" s="6165"/>
      <c r="AX244" s="6165"/>
      <c r="AY244" s="6970"/>
      <c r="AZ244" s="4684"/>
      <c r="BA244" s="4684"/>
      <c r="BB244" s="4684"/>
      <c r="BC244" s="4684"/>
      <c r="BD244" s="4684"/>
      <c r="BE244" s="4684"/>
      <c r="BF244" s="4684"/>
      <c r="BG244" s="4684"/>
      <c r="BH244" s="4657"/>
      <c r="BI244" s="4657"/>
      <c r="BY244" s="4652"/>
      <c r="CZ244" s="6209"/>
      <c r="DZ244" s="4652"/>
    </row>
    <row r="245" spans="1:130" ht="17.25" customHeight="1" x14ac:dyDescent="0.2">
      <c r="A245" s="8635"/>
      <c r="B245" s="6938" t="s">
        <v>764</v>
      </c>
      <c r="C245" s="6863">
        <f t="shared" si="37"/>
        <v>0</v>
      </c>
      <c r="D245" s="6864">
        <f t="shared" si="38"/>
        <v>0</v>
      </c>
      <c r="E245" s="6862">
        <f t="shared" si="38"/>
        <v>0</v>
      </c>
      <c r="F245" s="4778"/>
      <c r="G245" s="5582"/>
      <c r="H245" s="4778"/>
      <c r="I245" s="5582"/>
      <c r="J245" s="4778"/>
      <c r="K245" s="5582"/>
      <c r="L245" s="4778"/>
      <c r="M245" s="5582"/>
      <c r="N245" s="4778"/>
      <c r="O245" s="5582"/>
      <c r="P245" s="4778"/>
      <c r="Q245" s="5582"/>
      <c r="R245" s="4778"/>
      <c r="S245" s="5582"/>
      <c r="T245" s="4778"/>
      <c r="U245" s="5582"/>
      <c r="V245" s="4778"/>
      <c r="W245" s="5582"/>
      <c r="X245" s="4778"/>
      <c r="Y245" s="5582"/>
      <c r="Z245" s="4778"/>
      <c r="AA245" s="5582"/>
      <c r="AB245" s="4778"/>
      <c r="AC245" s="5582"/>
      <c r="AD245" s="4778"/>
      <c r="AE245" s="5582"/>
      <c r="AF245" s="4778"/>
      <c r="AG245" s="5582"/>
      <c r="AH245" s="4778"/>
      <c r="AI245" s="5582"/>
      <c r="AJ245" s="4778"/>
      <c r="AK245" s="5582"/>
      <c r="AL245" s="4778"/>
      <c r="AM245" s="5586"/>
      <c r="AN245" s="6933"/>
      <c r="AO245" s="6934"/>
      <c r="AP245" s="6573"/>
      <c r="AQ245" s="5582"/>
      <c r="AR245" s="4869"/>
      <c r="AS245" s="4778"/>
      <c r="AT245" s="5582"/>
      <c r="AU245" s="5582"/>
      <c r="AV245" s="5582"/>
      <c r="AW245" s="6165"/>
      <c r="AX245" s="6165"/>
      <c r="AY245" s="6970"/>
      <c r="AZ245" s="4684"/>
      <c r="BA245" s="4684"/>
      <c r="BB245" s="4684"/>
      <c r="BC245" s="4684"/>
      <c r="BD245" s="4684"/>
      <c r="BE245" s="4684"/>
      <c r="BF245" s="4684"/>
      <c r="BG245" s="4684"/>
      <c r="BH245" s="4657"/>
      <c r="BI245" s="4657"/>
      <c r="BY245" s="4652"/>
      <c r="CZ245" s="6209"/>
      <c r="DZ245" s="4652"/>
    </row>
    <row r="246" spans="1:130" ht="17.25" customHeight="1" x14ac:dyDescent="0.2">
      <c r="A246" s="8662"/>
      <c r="B246" s="6939" t="s">
        <v>763</v>
      </c>
      <c r="C246" s="6877">
        <f t="shared" si="37"/>
        <v>0</v>
      </c>
      <c r="D246" s="6865">
        <f t="shared" si="38"/>
        <v>0</v>
      </c>
      <c r="E246" s="5557">
        <f t="shared" si="38"/>
        <v>0</v>
      </c>
      <c r="F246" s="6711"/>
      <c r="G246" s="5341"/>
      <c r="H246" s="6711"/>
      <c r="I246" s="5341"/>
      <c r="J246" s="6711"/>
      <c r="K246" s="5341"/>
      <c r="L246" s="6711"/>
      <c r="M246" s="5341"/>
      <c r="N246" s="6711"/>
      <c r="O246" s="5341"/>
      <c r="P246" s="6711"/>
      <c r="Q246" s="5341"/>
      <c r="R246" s="6711"/>
      <c r="S246" s="5341"/>
      <c r="T246" s="6711"/>
      <c r="U246" s="5341"/>
      <c r="V246" s="6711"/>
      <c r="W246" s="5341"/>
      <c r="X246" s="6711"/>
      <c r="Y246" s="5341"/>
      <c r="Z246" s="6711"/>
      <c r="AA246" s="5341"/>
      <c r="AB246" s="6711"/>
      <c r="AC246" s="5341"/>
      <c r="AD246" s="6711"/>
      <c r="AE246" s="5341"/>
      <c r="AF246" s="6711"/>
      <c r="AG246" s="5341"/>
      <c r="AH246" s="6711"/>
      <c r="AI246" s="5341"/>
      <c r="AJ246" s="6711"/>
      <c r="AK246" s="5341"/>
      <c r="AL246" s="6711"/>
      <c r="AM246" s="6771"/>
      <c r="AN246" s="6927"/>
      <c r="AO246" s="4798"/>
      <c r="AP246" s="4888"/>
      <c r="AQ246" s="5341"/>
      <c r="AR246" s="6713"/>
      <c r="AS246" s="6711"/>
      <c r="AT246" s="5341"/>
      <c r="AU246" s="5341"/>
      <c r="AV246" s="5341"/>
      <c r="AW246" s="5341"/>
      <c r="AX246" s="5341"/>
      <c r="AY246" s="6970"/>
      <c r="AZ246" s="4684"/>
      <c r="BA246" s="4684"/>
      <c r="BB246" s="4684"/>
      <c r="BC246" s="4684"/>
      <c r="BD246" s="4684"/>
      <c r="BE246" s="4684"/>
      <c r="BF246" s="4684"/>
      <c r="BG246" s="4684"/>
      <c r="BH246" s="4657"/>
      <c r="BI246" s="4657"/>
      <c r="BY246" s="4652"/>
      <c r="CZ246" s="6209"/>
      <c r="DZ246" s="4652"/>
    </row>
    <row r="247" spans="1:130" ht="16.149999999999999" customHeight="1" x14ac:dyDescent="0.2">
      <c r="A247" s="8661" t="s">
        <v>762</v>
      </c>
      <c r="B247" s="6878" t="s">
        <v>2794</v>
      </c>
      <c r="C247" s="6840">
        <f t="shared" si="37"/>
        <v>0</v>
      </c>
      <c r="D247" s="6841">
        <f t="shared" si="38"/>
        <v>0</v>
      </c>
      <c r="E247" s="6839">
        <f t="shared" si="38"/>
        <v>0</v>
      </c>
      <c r="F247" s="6499"/>
      <c r="G247" s="6537"/>
      <c r="H247" s="6499"/>
      <c r="I247" s="6537"/>
      <c r="J247" s="6499"/>
      <c r="K247" s="6537"/>
      <c r="L247" s="6499"/>
      <c r="M247" s="6537"/>
      <c r="N247" s="6499"/>
      <c r="O247" s="6537"/>
      <c r="P247" s="6499"/>
      <c r="Q247" s="6537"/>
      <c r="R247" s="6499"/>
      <c r="S247" s="6537"/>
      <c r="T247" s="6499"/>
      <c r="U247" s="6537"/>
      <c r="V247" s="6499"/>
      <c r="W247" s="6537"/>
      <c r="X247" s="6499"/>
      <c r="Y247" s="6537"/>
      <c r="Z247" s="6499"/>
      <c r="AA247" s="6537"/>
      <c r="AB247" s="6499"/>
      <c r="AC247" s="6537"/>
      <c r="AD247" s="6499"/>
      <c r="AE247" s="6537"/>
      <c r="AF247" s="6499"/>
      <c r="AG247" s="6537"/>
      <c r="AH247" s="6499"/>
      <c r="AI247" s="6537"/>
      <c r="AJ247" s="5600"/>
      <c r="AK247" s="5601"/>
      <c r="AL247" s="6499"/>
      <c r="AM247" s="6762"/>
      <c r="AN247" s="6933"/>
      <c r="AO247" s="6934"/>
      <c r="AP247" s="6573"/>
      <c r="AQ247" s="6537"/>
      <c r="AR247" s="6638"/>
      <c r="AS247" s="6499"/>
      <c r="AT247" s="6537"/>
      <c r="AU247" s="6537"/>
      <c r="AV247" s="6537"/>
      <c r="AW247" s="6843"/>
      <c r="AX247" s="6843"/>
      <c r="AY247" s="6970"/>
      <c r="AZ247" s="4684"/>
      <c r="BA247" s="4684"/>
      <c r="BB247" s="4684"/>
      <c r="BC247" s="4684"/>
      <c r="BD247" s="4684"/>
      <c r="BE247" s="4684"/>
      <c r="BF247" s="4684"/>
      <c r="BG247" s="4684"/>
      <c r="BH247" s="4657"/>
      <c r="BI247" s="4657"/>
      <c r="BY247" s="4652"/>
      <c r="CZ247" s="6209"/>
      <c r="DZ247" s="4652"/>
    </row>
    <row r="248" spans="1:130" ht="16.149999999999999" customHeight="1" x14ac:dyDescent="0.2">
      <c r="A248" s="8635"/>
      <c r="B248" s="6862" t="s">
        <v>2795</v>
      </c>
      <c r="C248" s="6863">
        <f t="shared" si="37"/>
        <v>0</v>
      </c>
      <c r="D248" s="6864">
        <f t="shared" si="38"/>
        <v>0</v>
      </c>
      <c r="E248" s="6862">
        <f t="shared" si="38"/>
        <v>0</v>
      </c>
      <c r="F248" s="4778"/>
      <c r="G248" s="5582"/>
      <c r="H248" s="4778"/>
      <c r="I248" s="5582"/>
      <c r="J248" s="4778"/>
      <c r="K248" s="5582"/>
      <c r="L248" s="4778"/>
      <c r="M248" s="5582"/>
      <c r="N248" s="4778"/>
      <c r="O248" s="5582"/>
      <c r="P248" s="4778"/>
      <c r="Q248" s="5582"/>
      <c r="R248" s="4778"/>
      <c r="S248" s="5582"/>
      <c r="T248" s="4778"/>
      <c r="U248" s="5582"/>
      <c r="V248" s="4778"/>
      <c r="W248" s="5582"/>
      <c r="X248" s="4778"/>
      <c r="Y248" s="5582"/>
      <c r="Z248" s="4778"/>
      <c r="AA248" s="5582"/>
      <c r="AB248" s="4778"/>
      <c r="AC248" s="5582"/>
      <c r="AD248" s="4778"/>
      <c r="AE248" s="5582"/>
      <c r="AF248" s="4778"/>
      <c r="AG248" s="5582"/>
      <c r="AH248" s="4778"/>
      <c r="AI248" s="5582"/>
      <c r="AJ248" s="6711"/>
      <c r="AK248" s="5341"/>
      <c r="AL248" s="4778"/>
      <c r="AM248" s="5586"/>
      <c r="AN248" s="6933"/>
      <c r="AO248" s="6934"/>
      <c r="AP248" s="6573"/>
      <c r="AQ248" s="5582"/>
      <c r="AR248" s="4869"/>
      <c r="AS248" s="4778"/>
      <c r="AT248" s="5582"/>
      <c r="AU248" s="5582"/>
      <c r="AV248" s="5582"/>
      <c r="AW248" s="6165"/>
      <c r="AX248" s="6165"/>
      <c r="AY248" s="6970"/>
      <c r="AZ248" s="4684"/>
      <c r="BA248" s="4684"/>
      <c r="BB248" s="4684"/>
      <c r="BC248" s="4684"/>
      <c r="BD248" s="4684"/>
      <c r="BE248" s="4684"/>
      <c r="BF248" s="4684"/>
      <c r="BG248" s="4684"/>
      <c r="BH248" s="4657"/>
      <c r="BI248" s="4657"/>
      <c r="BY248" s="4652"/>
      <c r="CZ248" s="6209"/>
      <c r="DZ248" s="4652"/>
    </row>
    <row r="249" spans="1:130" ht="16.149999999999999" customHeight="1" x14ac:dyDescent="0.2">
      <c r="A249" s="8677"/>
      <c r="B249" s="6880" t="s">
        <v>2796</v>
      </c>
      <c r="C249" s="6881">
        <f>SUM(D249+E249)</f>
        <v>0</v>
      </c>
      <c r="D249" s="6882">
        <f>SUM(F249+H249+J249+L249+N249+P249+R249+T249+V249+X249+Z249+AB249+AD249+AF249+AH249+AJ249+AL249)</f>
        <v>0</v>
      </c>
      <c r="E249" s="6880">
        <f>SUM(G249+I249+K249+M249+O249+Q249+S249+U249+W249+Y249+AA249+AC249+AE249+AG249+AI249+AK249+AM249)</f>
        <v>0</v>
      </c>
      <c r="F249" s="5559"/>
      <c r="G249" s="5560"/>
      <c r="H249" s="5559"/>
      <c r="I249" s="5560"/>
      <c r="J249" s="5559"/>
      <c r="K249" s="5560"/>
      <c r="L249" s="5559"/>
      <c r="M249" s="5560"/>
      <c r="N249" s="5559"/>
      <c r="O249" s="5560"/>
      <c r="P249" s="5559"/>
      <c r="Q249" s="5560"/>
      <c r="R249" s="5559"/>
      <c r="S249" s="5560"/>
      <c r="T249" s="5559"/>
      <c r="U249" s="5560"/>
      <c r="V249" s="5559"/>
      <c r="W249" s="5560"/>
      <c r="X249" s="5559"/>
      <c r="Y249" s="5560"/>
      <c r="Z249" s="5559"/>
      <c r="AA249" s="5560"/>
      <c r="AB249" s="5559"/>
      <c r="AC249" s="5560"/>
      <c r="AD249" s="5559"/>
      <c r="AE249" s="5560"/>
      <c r="AF249" s="5559"/>
      <c r="AG249" s="5560"/>
      <c r="AH249" s="5559"/>
      <c r="AI249" s="5560"/>
      <c r="AJ249" s="5559"/>
      <c r="AK249" s="5560"/>
      <c r="AL249" s="5559"/>
      <c r="AM249" s="6771"/>
      <c r="AN249" s="6940"/>
      <c r="AO249" s="5338"/>
      <c r="AP249" s="5389"/>
      <c r="AQ249" s="5560"/>
      <c r="AR249" s="6485"/>
      <c r="AS249" s="5559"/>
      <c r="AT249" s="5560"/>
      <c r="AU249" s="5560"/>
      <c r="AV249" s="5560"/>
      <c r="AW249" s="5341"/>
      <c r="AX249" s="5341"/>
      <c r="AY249" s="6970"/>
      <c r="AZ249" s="4684"/>
      <c r="BA249" s="4684"/>
      <c r="BB249" s="4684"/>
      <c r="BC249" s="4684"/>
      <c r="BD249" s="4684"/>
      <c r="BE249" s="4684"/>
      <c r="BF249" s="4684"/>
      <c r="BG249" s="4684"/>
      <c r="BH249" s="4657"/>
      <c r="BI249" s="4657"/>
      <c r="BY249" s="4652"/>
      <c r="CZ249" s="6209"/>
      <c r="DZ249" s="4652"/>
    </row>
    <row r="250" spans="1:130" ht="16.149999999999999" customHeight="1" x14ac:dyDescent="0.2">
      <c r="A250" s="8677"/>
      <c r="B250" s="6880" t="s">
        <v>2797</v>
      </c>
      <c r="C250" s="6881">
        <f>SUM(D250+E250)</f>
        <v>0</v>
      </c>
      <c r="D250" s="6882">
        <f>SUM(F250+H250+J250+L250+N250+P250+R250+T250+V250+X250+Z250+AB250+AD250+AF250+AH250+AJ250+AL250)</f>
        <v>0</v>
      </c>
      <c r="E250" s="6880">
        <f>SUM(G250+I250+K250+M250+O250+Q250+S250+U250+W250+Y250+AA250+AC250+AE250+AG250+AI250+AK250+AM250)</f>
        <v>0</v>
      </c>
      <c r="F250" s="5559"/>
      <c r="G250" s="5560"/>
      <c r="H250" s="5559"/>
      <c r="I250" s="5560"/>
      <c r="J250" s="5559"/>
      <c r="K250" s="5560"/>
      <c r="L250" s="5559"/>
      <c r="M250" s="5560"/>
      <c r="N250" s="5559"/>
      <c r="O250" s="5560"/>
      <c r="P250" s="5559"/>
      <c r="Q250" s="5560"/>
      <c r="R250" s="5559"/>
      <c r="S250" s="5560"/>
      <c r="T250" s="5559"/>
      <c r="U250" s="5560"/>
      <c r="V250" s="5559"/>
      <c r="W250" s="5560"/>
      <c r="X250" s="5559"/>
      <c r="Y250" s="5560"/>
      <c r="Z250" s="5559"/>
      <c r="AA250" s="5560"/>
      <c r="AB250" s="5559"/>
      <c r="AC250" s="5560"/>
      <c r="AD250" s="5559"/>
      <c r="AE250" s="5560"/>
      <c r="AF250" s="5559"/>
      <c r="AG250" s="5560"/>
      <c r="AH250" s="5559"/>
      <c r="AI250" s="5560"/>
      <c r="AJ250" s="5559"/>
      <c r="AK250" s="5560"/>
      <c r="AL250" s="5559"/>
      <c r="AM250" s="6771"/>
      <c r="AN250" s="6931"/>
      <c r="AO250" s="5462"/>
      <c r="AP250" s="5460"/>
      <c r="AQ250" s="5560"/>
      <c r="AR250" s="6485"/>
      <c r="AS250" s="5559"/>
      <c r="AT250" s="5560"/>
      <c r="AU250" s="5560"/>
      <c r="AV250" s="5560"/>
      <c r="AW250" s="5341"/>
      <c r="AX250" s="5341"/>
      <c r="AY250" s="6970"/>
      <c r="AZ250" s="4684"/>
      <c r="BA250" s="4684"/>
      <c r="BB250" s="4684"/>
      <c r="BC250" s="4684"/>
      <c r="BD250" s="4684"/>
      <c r="BE250" s="4684"/>
      <c r="BF250" s="4684"/>
      <c r="BG250" s="4684"/>
      <c r="BH250" s="4657"/>
      <c r="BI250" s="4657"/>
      <c r="BY250" s="4652"/>
      <c r="CZ250" s="6209"/>
      <c r="DZ250" s="4652"/>
    </row>
    <row r="251" spans="1:130" ht="16.149999999999999" customHeight="1" x14ac:dyDescent="0.2">
      <c r="A251" s="8635"/>
      <c r="B251" s="6844" t="s">
        <v>2798</v>
      </c>
      <c r="C251" s="6883">
        <f t="shared" si="37"/>
        <v>0</v>
      </c>
      <c r="D251" s="6884">
        <f t="shared" si="38"/>
        <v>0</v>
      </c>
      <c r="E251" s="6844">
        <f t="shared" si="38"/>
        <v>0</v>
      </c>
      <c r="F251" s="4796"/>
      <c r="G251" s="4888"/>
      <c r="H251" s="4796"/>
      <c r="I251" s="4888"/>
      <c r="J251" s="4796"/>
      <c r="K251" s="4888"/>
      <c r="L251" s="4796"/>
      <c r="M251" s="4888"/>
      <c r="N251" s="4796"/>
      <c r="O251" s="4888"/>
      <c r="P251" s="4796"/>
      <c r="Q251" s="4888"/>
      <c r="R251" s="4796"/>
      <c r="S251" s="4888"/>
      <c r="T251" s="4796"/>
      <c r="U251" s="4888"/>
      <c r="V251" s="4796"/>
      <c r="W251" s="4888"/>
      <c r="X251" s="4796"/>
      <c r="Y251" s="4888"/>
      <c r="Z251" s="4796"/>
      <c r="AA251" s="4888"/>
      <c r="AB251" s="4796"/>
      <c r="AC251" s="4888"/>
      <c r="AD251" s="4796"/>
      <c r="AE251" s="4888"/>
      <c r="AF251" s="4796"/>
      <c r="AG251" s="4888"/>
      <c r="AH251" s="4796"/>
      <c r="AI251" s="4888"/>
      <c r="AJ251" s="4796"/>
      <c r="AK251" s="4888"/>
      <c r="AL251" s="4796"/>
      <c r="AM251" s="6885"/>
      <c r="AN251" s="6927"/>
      <c r="AO251" s="4798"/>
      <c r="AP251" s="4888"/>
      <c r="AQ251" s="4888"/>
      <c r="AR251" s="4877"/>
      <c r="AS251" s="4796"/>
      <c r="AT251" s="4888"/>
      <c r="AU251" s="4888"/>
      <c r="AV251" s="4888"/>
      <c r="AW251" s="4787"/>
      <c r="AX251" s="4787"/>
      <c r="AY251" s="6970"/>
      <c r="AZ251" s="4684"/>
      <c r="BA251" s="4684"/>
      <c r="BB251" s="4684"/>
      <c r="BC251" s="4684"/>
      <c r="BD251" s="4684"/>
      <c r="BE251" s="4684"/>
      <c r="BF251" s="4684"/>
      <c r="BG251" s="4684"/>
      <c r="BH251" s="4657"/>
      <c r="BI251" s="4657"/>
      <c r="BY251" s="4652"/>
      <c r="CZ251" s="6209"/>
      <c r="DZ251" s="4652"/>
    </row>
    <row r="252" spans="1:130" ht="18.75" customHeight="1" x14ac:dyDescent="0.2">
      <c r="A252" s="8661" t="s">
        <v>761</v>
      </c>
      <c r="B252" s="6925" t="s">
        <v>760</v>
      </c>
      <c r="C252" s="6840">
        <f t="shared" si="37"/>
        <v>0</v>
      </c>
      <c r="D252" s="6841">
        <f>SUM(F252+H252+J252+L252+N252)</f>
        <v>0</v>
      </c>
      <c r="E252" s="6839">
        <f>SUM(G252+I252+K252+M252+O252)</f>
        <v>0</v>
      </c>
      <c r="F252" s="6499"/>
      <c r="G252" s="6537"/>
      <c r="H252" s="6499"/>
      <c r="I252" s="6537"/>
      <c r="J252" s="6499"/>
      <c r="K252" s="6537"/>
      <c r="L252" s="6499"/>
      <c r="M252" s="6537"/>
      <c r="N252" s="6499"/>
      <c r="O252" s="6537"/>
      <c r="P252" s="7603"/>
      <c r="Q252" s="7604"/>
      <c r="R252" s="7604"/>
      <c r="S252" s="7604"/>
      <c r="T252" s="7604"/>
      <c r="U252" s="7604"/>
      <c r="V252" s="7604"/>
      <c r="W252" s="7604"/>
      <c r="X252" s="7604"/>
      <c r="Y252" s="7604"/>
      <c r="Z252" s="7604"/>
      <c r="AA252" s="7604"/>
      <c r="AB252" s="7604"/>
      <c r="AC252" s="7604"/>
      <c r="AD252" s="7604"/>
      <c r="AE252" s="7604"/>
      <c r="AF252" s="7604"/>
      <c r="AG252" s="7604"/>
      <c r="AH252" s="7604"/>
      <c r="AI252" s="7604"/>
      <c r="AJ252" s="7604"/>
      <c r="AK252" s="7604"/>
      <c r="AL252" s="7604"/>
      <c r="AM252" s="7605"/>
      <c r="AN252" s="6926"/>
      <c r="AO252" s="6649"/>
      <c r="AP252" s="6537"/>
      <c r="AQ252" s="6537"/>
      <c r="AR252" s="7612"/>
      <c r="AS252" s="6499"/>
      <c r="AT252" s="6537"/>
      <c r="AU252" s="6537"/>
      <c r="AV252" s="6537"/>
      <c r="AW252" s="6843"/>
      <c r="AX252" s="6843"/>
      <c r="AY252" s="6970"/>
      <c r="AZ252" s="4684"/>
      <c r="BA252" s="4684"/>
      <c r="BB252" s="4684"/>
      <c r="BC252" s="4684"/>
      <c r="BD252" s="4684"/>
      <c r="BE252" s="4684"/>
      <c r="BF252" s="4684"/>
      <c r="BG252" s="4684"/>
      <c r="BH252" s="4657"/>
      <c r="BI252" s="4657"/>
      <c r="BY252" s="4652"/>
      <c r="CZ252" s="6209"/>
      <c r="DZ252" s="4652"/>
    </row>
    <row r="253" spans="1:130" ht="26.25" customHeight="1" x14ac:dyDescent="0.2">
      <c r="A253" s="8635"/>
      <c r="B253" s="5581" t="s">
        <v>759</v>
      </c>
      <c r="C253" s="6863">
        <f t="shared" si="37"/>
        <v>0</v>
      </c>
      <c r="D253" s="6864">
        <f t="shared" ref="D253:E255" si="39">SUM(F253+H253+J253+L253+N253)</f>
        <v>0</v>
      </c>
      <c r="E253" s="6862">
        <f t="shared" si="39"/>
        <v>0</v>
      </c>
      <c r="F253" s="4778"/>
      <c r="G253" s="5582"/>
      <c r="H253" s="4778"/>
      <c r="I253" s="5582"/>
      <c r="J253" s="4778"/>
      <c r="K253" s="5582"/>
      <c r="L253" s="4778"/>
      <c r="M253" s="5582"/>
      <c r="N253" s="4778"/>
      <c r="O253" s="5582"/>
      <c r="P253" s="7606"/>
      <c r="Q253" s="7607"/>
      <c r="R253" s="7607"/>
      <c r="S253" s="7607"/>
      <c r="T253" s="7607"/>
      <c r="U253" s="7607"/>
      <c r="V253" s="7607"/>
      <c r="W253" s="7607"/>
      <c r="X253" s="7607"/>
      <c r="Y253" s="7607"/>
      <c r="Z253" s="7607"/>
      <c r="AA253" s="7607"/>
      <c r="AB253" s="7607"/>
      <c r="AC253" s="7607"/>
      <c r="AD253" s="7607"/>
      <c r="AE253" s="7607"/>
      <c r="AF253" s="7607"/>
      <c r="AG253" s="7607"/>
      <c r="AH253" s="7607"/>
      <c r="AI253" s="7607"/>
      <c r="AJ253" s="7607"/>
      <c r="AK253" s="7607"/>
      <c r="AL253" s="7607"/>
      <c r="AM253" s="7608"/>
      <c r="AN253" s="6933"/>
      <c r="AO253" s="6934"/>
      <c r="AP253" s="6573"/>
      <c r="AQ253" s="5582"/>
      <c r="AR253" s="7613"/>
      <c r="AS253" s="4778"/>
      <c r="AT253" s="5582"/>
      <c r="AU253" s="5582"/>
      <c r="AV253" s="5582"/>
      <c r="AW253" s="6165"/>
      <c r="AX253" s="6165"/>
      <c r="AY253" s="6970"/>
      <c r="AZ253" s="4684"/>
      <c r="BA253" s="4684"/>
      <c r="BB253" s="4684"/>
      <c r="BC253" s="4684"/>
      <c r="BD253" s="4684"/>
      <c r="BE253" s="4657"/>
      <c r="BF253" s="4657"/>
      <c r="BY253" s="4652"/>
      <c r="CZ253" s="6209"/>
      <c r="DZ253" s="4652"/>
    </row>
    <row r="254" spans="1:130" ht="27.75" customHeight="1" x14ac:dyDescent="0.2">
      <c r="A254" s="8635"/>
      <c r="B254" s="5581" t="s">
        <v>758</v>
      </c>
      <c r="C254" s="6863">
        <f t="shared" si="37"/>
        <v>0</v>
      </c>
      <c r="D254" s="6864">
        <f t="shared" si="39"/>
        <v>0</v>
      </c>
      <c r="E254" s="6862">
        <f t="shared" si="39"/>
        <v>0</v>
      </c>
      <c r="F254" s="4778"/>
      <c r="G254" s="5582"/>
      <c r="H254" s="4778"/>
      <c r="I254" s="5582"/>
      <c r="J254" s="4778"/>
      <c r="K254" s="5582"/>
      <c r="L254" s="4778"/>
      <c r="M254" s="5582"/>
      <c r="N254" s="4778"/>
      <c r="O254" s="5582"/>
      <c r="P254" s="7606"/>
      <c r="Q254" s="7607"/>
      <c r="R254" s="7607"/>
      <c r="S254" s="7607"/>
      <c r="T254" s="7607"/>
      <c r="U254" s="7607"/>
      <c r="V254" s="7607"/>
      <c r="W254" s="7607"/>
      <c r="X254" s="7607"/>
      <c r="Y254" s="7607"/>
      <c r="Z254" s="7607"/>
      <c r="AA254" s="7607"/>
      <c r="AB254" s="7607"/>
      <c r="AC254" s="7607"/>
      <c r="AD254" s="7607"/>
      <c r="AE254" s="7607"/>
      <c r="AF254" s="7607"/>
      <c r="AG254" s="7607"/>
      <c r="AH254" s="7607"/>
      <c r="AI254" s="7607"/>
      <c r="AJ254" s="7607"/>
      <c r="AK254" s="7607"/>
      <c r="AL254" s="7607"/>
      <c r="AM254" s="7608"/>
      <c r="AN254" s="6933"/>
      <c r="AO254" s="6934"/>
      <c r="AP254" s="6573"/>
      <c r="AQ254" s="5582"/>
      <c r="AR254" s="7613"/>
      <c r="AS254" s="4778"/>
      <c r="AT254" s="5582"/>
      <c r="AU254" s="5582"/>
      <c r="AV254" s="5582"/>
      <c r="AW254" s="6165"/>
      <c r="AX254" s="6165"/>
      <c r="AY254" s="6970"/>
      <c r="AZ254" s="4684"/>
      <c r="BA254" s="4684"/>
      <c r="BB254" s="4684"/>
      <c r="BC254" s="4684"/>
      <c r="BD254" s="4684"/>
      <c r="BE254" s="4657"/>
      <c r="BF254" s="4657"/>
      <c r="BY254" s="4652"/>
      <c r="CZ254" s="6209"/>
      <c r="DZ254" s="4652"/>
    </row>
    <row r="255" spans="1:130" ht="48" customHeight="1" x14ac:dyDescent="0.2">
      <c r="A255" s="8635"/>
      <c r="B255" s="5607" t="s">
        <v>757</v>
      </c>
      <c r="C255" s="6883">
        <f t="shared" si="37"/>
        <v>0</v>
      </c>
      <c r="D255" s="6884">
        <f t="shared" si="39"/>
        <v>0</v>
      </c>
      <c r="E255" s="6844">
        <f t="shared" si="39"/>
        <v>0</v>
      </c>
      <c r="F255" s="4796"/>
      <c r="G255" s="4888"/>
      <c r="H255" s="4796"/>
      <c r="I255" s="4888"/>
      <c r="J255" s="4796"/>
      <c r="K255" s="4888"/>
      <c r="L255" s="4796"/>
      <c r="M255" s="4888"/>
      <c r="N255" s="4796"/>
      <c r="O255" s="4888"/>
      <c r="P255" s="7609"/>
      <c r="Q255" s="7610"/>
      <c r="R255" s="7610"/>
      <c r="S255" s="7610"/>
      <c r="T255" s="7610"/>
      <c r="U255" s="7610"/>
      <c r="V255" s="7610"/>
      <c r="W255" s="7610"/>
      <c r="X255" s="7610"/>
      <c r="Y255" s="7610"/>
      <c r="Z255" s="7610"/>
      <c r="AA255" s="7610"/>
      <c r="AB255" s="7610"/>
      <c r="AC255" s="7610"/>
      <c r="AD255" s="7610"/>
      <c r="AE255" s="7610"/>
      <c r="AF255" s="7610"/>
      <c r="AG255" s="7610"/>
      <c r="AH255" s="7610"/>
      <c r="AI255" s="7610"/>
      <c r="AJ255" s="7610"/>
      <c r="AK255" s="7610"/>
      <c r="AL255" s="7610"/>
      <c r="AM255" s="7611"/>
      <c r="AN255" s="6933"/>
      <c r="AO255" s="6934"/>
      <c r="AP255" s="4874"/>
      <c r="AQ255" s="4796"/>
      <c r="AR255" s="7614"/>
      <c r="AS255" s="4796"/>
      <c r="AT255" s="4888"/>
      <c r="AU255" s="4888"/>
      <c r="AV255" s="4888"/>
      <c r="AW255" s="4787"/>
      <c r="AX255" s="4787"/>
      <c r="AY255" s="6970"/>
      <c r="AZ255" s="4684"/>
      <c r="BA255" s="4684"/>
      <c r="BB255" s="4684"/>
      <c r="BC255" s="4684"/>
      <c r="BD255" s="4684"/>
      <c r="BE255" s="4657"/>
      <c r="BF255" s="4657"/>
      <c r="BY255" s="4652"/>
      <c r="CZ255" s="6209"/>
      <c r="DZ255" s="4652"/>
    </row>
    <row r="256" spans="1:130" ht="22.5" customHeight="1" x14ac:dyDescent="0.2">
      <c r="A256" s="8661" t="s">
        <v>756</v>
      </c>
      <c r="B256" s="6941" t="s">
        <v>755</v>
      </c>
      <c r="C256" s="6859">
        <f t="shared" si="37"/>
        <v>0</v>
      </c>
      <c r="D256" s="6860">
        <f t="shared" ref="D256:D274" si="40">SUM(F256+H256+J256+L256+N256+P256+R256+T256+V256+X256+Z256+AB256+AD256+AF256+AH256+AJ256+AL256)</f>
        <v>0</v>
      </c>
      <c r="E256" s="6858">
        <f>SUM(G256+I256+K256+M256+O256+Q256+S256+U256+W256+Y256+AA256+AC256+AE256+AG256+AI256+AK256+AM256)</f>
        <v>0</v>
      </c>
      <c r="F256" s="6726"/>
      <c r="G256" s="6573"/>
      <c r="H256" s="6726"/>
      <c r="I256" s="6573"/>
      <c r="J256" s="6726"/>
      <c r="K256" s="6573"/>
      <c r="L256" s="6726"/>
      <c r="M256" s="6573"/>
      <c r="N256" s="6726"/>
      <c r="O256" s="6573"/>
      <c r="P256" s="6726"/>
      <c r="Q256" s="6573"/>
      <c r="R256" s="6726"/>
      <c r="S256" s="6573"/>
      <c r="T256" s="6726"/>
      <c r="U256" s="6573"/>
      <c r="V256" s="6726"/>
      <c r="W256" s="6573"/>
      <c r="X256" s="6726"/>
      <c r="Y256" s="6573"/>
      <c r="Z256" s="6726"/>
      <c r="AA256" s="6573"/>
      <c r="AB256" s="6726"/>
      <c r="AC256" s="6573"/>
      <c r="AD256" s="6726"/>
      <c r="AE256" s="6573"/>
      <c r="AF256" s="6726"/>
      <c r="AG256" s="6573"/>
      <c r="AH256" s="6726"/>
      <c r="AI256" s="6573"/>
      <c r="AJ256" s="6726"/>
      <c r="AK256" s="6573"/>
      <c r="AL256" s="6726"/>
      <c r="AM256" s="6502"/>
      <c r="AN256" s="6649"/>
      <c r="AO256" s="6500"/>
      <c r="AP256" s="6503"/>
      <c r="AQ256" s="6573"/>
      <c r="AR256" s="6573"/>
      <c r="AS256" s="6499"/>
      <c r="AT256" s="5582"/>
      <c r="AU256" s="5582"/>
      <c r="AV256" s="5582"/>
      <c r="AW256" s="6165"/>
      <c r="AX256" s="6165"/>
      <c r="AY256" s="6970"/>
      <c r="AZ256" s="4684"/>
      <c r="BA256" s="4684"/>
      <c r="BB256" s="4684"/>
      <c r="BC256" s="4684"/>
      <c r="BD256" s="4684"/>
      <c r="BE256" s="4657"/>
      <c r="BF256" s="4657"/>
      <c r="BY256" s="4652"/>
      <c r="CZ256" s="6209"/>
      <c r="DB256" s="6209">
        <v>0</v>
      </c>
      <c r="DD256" s="6209">
        <v>0</v>
      </c>
      <c r="DF256" s="6209">
        <v>0</v>
      </c>
      <c r="DH256" s="6209">
        <v>0</v>
      </c>
      <c r="DJ256" s="6209">
        <v>0</v>
      </c>
      <c r="DL256" s="6209">
        <v>0</v>
      </c>
      <c r="DN256" s="6209">
        <v>0</v>
      </c>
      <c r="DP256" s="6209">
        <v>0</v>
      </c>
      <c r="DZ256" s="4652"/>
    </row>
    <row r="257" spans="1:130" ht="19.149999999999999" customHeight="1" x14ac:dyDescent="0.2">
      <c r="A257" s="8635"/>
      <c r="B257" s="6888" t="s">
        <v>2658</v>
      </c>
      <c r="C257" s="6863">
        <f t="shared" si="37"/>
        <v>0</v>
      </c>
      <c r="D257" s="6864">
        <f t="shared" si="40"/>
        <v>0</v>
      </c>
      <c r="E257" s="6862">
        <f t="shared" ref="E257:E275" si="41">SUM(G257+I257+K257+M257+O257+Q257+S257+U257+W257+Y257+AA257+AC257+AE257+AG257+AI257+AK257+AM257)</f>
        <v>0</v>
      </c>
      <c r="F257" s="4778"/>
      <c r="G257" s="5582"/>
      <c r="H257" s="4778"/>
      <c r="I257" s="5582"/>
      <c r="J257" s="4778"/>
      <c r="K257" s="5582"/>
      <c r="L257" s="4778"/>
      <c r="M257" s="5582"/>
      <c r="N257" s="4778"/>
      <c r="O257" s="5582"/>
      <c r="P257" s="4778"/>
      <c r="Q257" s="5582"/>
      <c r="R257" s="4778"/>
      <c r="S257" s="5582"/>
      <c r="T257" s="4778"/>
      <c r="U257" s="5582"/>
      <c r="V257" s="4778"/>
      <c r="W257" s="5582"/>
      <c r="X257" s="4778"/>
      <c r="Y257" s="5582"/>
      <c r="Z257" s="4778"/>
      <c r="AA257" s="5582"/>
      <c r="AB257" s="4778"/>
      <c r="AC257" s="5582"/>
      <c r="AD257" s="4778"/>
      <c r="AE257" s="5582"/>
      <c r="AF257" s="4778"/>
      <c r="AG257" s="5582"/>
      <c r="AH257" s="4778"/>
      <c r="AI257" s="5582"/>
      <c r="AJ257" s="4778"/>
      <c r="AK257" s="5582"/>
      <c r="AL257" s="4778"/>
      <c r="AM257" s="6506"/>
      <c r="AN257" s="6651"/>
      <c r="AO257" s="4779"/>
      <c r="AP257" s="4866"/>
      <c r="AQ257" s="5582"/>
      <c r="AR257" s="5582"/>
      <c r="AS257" s="4778"/>
      <c r="AT257" s="5582"/>
      <c r="AU257" s="5582"/>
      <c r="AV257" s="5582"/>
      <c r="AW257" s="6165"/>
      <c r="AX257" s="6165"/>
      <c r="AY257" s="6970"/>
      <c r="AZ257" s="4684"/>
      <c r="BA257" s="4684"/>
      <c r="BB257" s="4684"/>
      <c r="BC257" s="4684"/>
      <c r="BD257" s="4684"/>
      <c r="BE257" s="4657"/>
      <c r="BF257" s="4657"/>
      <c r="BY257" s="4652"/>
      <c r="CZ257" s="6209"/>
      <c r="DZ257" s="4652"/>
    </row>
    <row r="258" spans="1:130" ht="18.75" customHeight="1" x14ac:dyDescent="0.2">
      <c r="A258" s="8635"/>
      <c r="B258" s="6888" t="s">
        <v>754</v>
      </c>
      <c r="C258" s="6863">
        <f t="shared" si="37"/>
        <v>0</v>
      </c>
      <c r="D258" s="6864">
        <f t="shared" si="40"/>
        <v>0</v>
      </c>
      <c r="E258" s="6862">
        <f t="shared" si="41"/>
        <v>0</v>
      </c>
      <c r="F258" s="4778"/>
      <c r="G258" s="5582"/>
      <c r="H258" s="4778"/>
      <c r="I258" s="5582"/>
      <c r="J258" s="4778"/>
      <c r="K258" s="5582"/>
      <c r="L258" s="4778"/>
      <c r="M258" s="5582"/>
      <c r="N258" s="4778"/>
      <c r="O258" s="5582"/>
      <c r="P258" s="4778"/>
      <c r="Q258" s="5582"/>
      <c r="R258" s="4778"/>
      <c r="S258" s="5582"/>
      <c r="T258" s="4778"/>
      <c r="U258" s="5582"/>
      <c r="V258" s="4778"/>
      <c r="W258" s="5582"/>
      <c r="X258" s="4778"/>
      <c r="Y258" s="5582"/>
      <c r="Z258" s="4778"/>
      <c r="AA258" s="5582"/>
      <c r="AB258" s="4778"/>
      <c r="AC258" s="5582"/>
      <c r="AD258" s="4778"/>
      <c r="AE258" s="5582"/>
      <c r="AF258" s="4778"/>
      <c r="AG258" s="5582"/>
      <c r="AH258" s="4778"/>
      <c r="AI258" s="5582"/>
      <c r="AJ258" s="4778"/>
      <c r="AK258" s="5582"/>
      <c r="AL258" s="4778"/>
      <c r="AM258" s="6506"/>
      <c r="AN258" s="6651"/>
      <c r="AO258" s="4779"/>
      <c r="AP258" s="4866"/>
      <c r="AQ258" s="5582"/>
      <c r="AR258" s="5582"/>
      <c r="AS258" s="4778"/>
      <c r="AT258" s="5582"/>
      <c r="AU258" s="5582"/>
      <c r="AV258" s="5582"/>
      <c r="AW258" s="6165"/>
      <c r="AX258" s="6165"/>
      <c r="AY258" s="6970"/>
      <c r="AZ258" s="4684"/>
      <c r="BA258" s="4684"/>
      <c r="BB258" s="4684"/>
      <c r="BC258" s="4684"/>
      <c r="BD258" s="4684"/>
      <c r="BE258" s="4684"/>
      <c r="BF258" s="4684"/>
      <c r="BG258" s="4684"/>
      <c r="BH258" s="4657"/>
      <c r="BI258" s="4657"/>
      <c r="BY258" s="4652"/>
      <c r="CZ258" s="6209"/>
      <c r="DZ258" s="4652"/>
    </row>
    <row r="259" spans="1:130" ht="24.75" customHeight="1" x14ac:dyDescent="0.2">
      <c r="A259" s="8635"/>
      <c r="B259" s="6888" t="s">
        <v>753</v>
      </c>
      <c r="C259" s="6859">
        <f t="shared" si="37"/>
        <v>0</v>
      </c>
      <c r="D259" s="6860">
        <f t="shared" si="40"/>
        <v>0</v>
      </c>
      <c r="E259" s="6858">
        <f t="shared" si="41"/>
        <v>0</v>
      </c>
      <c r="F259" s="4778"/>
      <c r="G259" s="5582"/>
      <c r="H259" s="4778"/>
      <c r="I259" s="5582"/>
      <c r="J259" s="4778"/>
      <c r="K259" s="5582"/>
      <c r="L259" s="4778"/>
      <c r="M259" s="5582"/>
      <c r="N259" s="4778"/>
      <c r="O259" s="5582"/>
      <c r="P259" s="4778"/>
      <c r="Q259" s="5582"/>
      <c r="R259" s="4778"/>
      <c r="S259" s="5582"/>
      <c r="T259" s="4778"/>
      <c r="U259" s="5582"/>
      <c r="V259" s="4778"/>
      <c r="W259" s="5582"/>
      <c r="X259" s="4778"/>
      <c r="Y259" s="5582"/>
      <c r="Z259" s="4778"/>
      <c r="AA259" s="5582"/>
      <c r="AB259" s="4778"/>
      <c r="AC259" s="5582"/>
      <c r="AD259" s="4778"/>
      <c r="AE259" s="5582"/>
      <c r="AF259" s="4778"/>
      <c r="AG259" s="5582"/>
      <c r="AH259" s="4778"/>
      <c r="AI259" s="5582"/>
      <c r="AJ259" s="4778"/>
      <c r="AK259" s="5582"/>
      <c r="AL259" s="4778"/>
      <c r="AM259" s="6506"/>
      <c r="AN259" s="6651"/>
      <c r="AO259" s="4779"/>
      <c r="AP259" s="4866"/>
      <c r="AQ259" s="5582"/>
      <c r="AR259" s="5582"/>
      <c r="AS259" s="4778"/>
      <c r="AT259" s="5582"/>
      <c r="AU259" s="5582"/>
      <c r="AV259" s="5582"/>
      <c r="AW259" s="6165"/>
      <c r="AX259" s="6165"/>
      <c r="AY259" s="6970"/>
      <c r="AZ259" s="4684"/>
      <c r="BA259" s="4684"/>
      <c r="BB259" s="4684"/>
      <c r="BC259" s="4684"/>
      <c r="BD259" s="4684"/>
      <c r="BE259" s="4684"/>
      <c r="BF259" s="4684"/>
      <c r="BG259" s="4684"/>
      <c r="BH259" s="4657"/>
      <c r="BI259" s="4657"/>
      <c r="BY259" s="4652"/>
      <c r="CZ259" s="6209"/>
      <c r="DZ259" s="4652"/>
    </row>
    <row r="260" spans="1:130" ht="18.75" customHeight="1" x14ac:dyDescent="0.2">
      <c r="A260" s="8662"/>
      <c r="B260" s="6889" t="s">
        <v>752</v>
      </c>
      <c r="C260" s="6853">
        <f t="shared" si="37"/>
        <v>0</v>
      </c>
      <c r="D260" s="6854">
        <f t="shared" si="40"/>
        <v>0</v>
      </c>
      <c r="E260" s="6376">
        <f t="shared" si="41"/>
        <v>0</v>
      </c>
      <c r="F260" s="4778"/>
      <c r="G260" s="5582"/>
      <c r="H260" s="4778"/>
      <c r="I260" s="5582"/>
      <c r="J260" s="4778"/>
      <c r="K260" s="5582"/>
      <c r="L260" s="4778"/>
      <c r="M260" s="5582"/>
      <c r="N260" s="4778"/>
      <c r="O260" s="5582"/>
      <c r="P260" s="4778"/>
      <c r="Q260" s="5582"/>
      <c r="R260" s="4778"/>
      <c r="S260" s="5582"/>
      <c r="T260" s="4778"/>
      <c r="U260" s="5582"/>
      <c r="V260" s="4778"/>
      <c r="W260" s="5582"/>
      <c r="X260" s="4778"/>
      <c r="Y260" s="5582"/>
      <c r="Z260" s="4778"/>
      <c r="AA260" s="5582"/>
      <c r="AB260" s="4778"/>
      <c r="AC260" s="5582"/>
      <c r="AD260" s="4778"/>
      <c r="AE260" s="5582"/>
      <c r="AF260" s="4778"/>
      <c r="AG260" s="5582"/>
      <c r="AH260" s="4778"/>
      <c r="AI260" s="5582"/>
      <c r="AJ260" s="4778"/>
      <c r="AK260" s="5582"/>
      <c r="AL260" s="4796"/>
      <c r="AM260" s="6890"/>
      <c r="AN260" s="4798"/>
      <c r="AO260" s="4797"/>
      <c r="AP260" s="4874"/>
      <c r="AQ260" s="4888"/>
      <c r="AR260" s="4888"/>
      <c r="AS260" s="4778"/>
      <c r="AT260" s="5582"/>
      <c r="AU260" s="5582"/>
      <c r="AV260" s="5582"/>
      <c r="AW260" s="6165"/>
      <c r="AX260" s="6165"/>
      <c r="AY260" s="6970"/>
      <c r="AZ260" s="4684"/>
      <c r="BA260" s="4684"/>
      <c r="BB260" s="4684"/>
      <c r="BC260" s="4684"/>
      <c r="BD260" s="4684"/>
      <c r="BE260" s="4684"/>
      <c r="BF260" s="4684"/>
      <c r="BG260" s="4684"/>
      <c r="BH260" s="4657"/>
      <c r="BI260" s="4657"/>
      <c r="BY260" s="4652"/>
      <c r="CZ260" s="6209"/>
      <c r="DZ260" s="4652"/>
    </row>
    <row r="261" spans="1:130" ht="16.350000000000001" customHeight="1" x14ac:dyDescent="0.2">
      <c r="A261" s="8661" t="s">
        <v>751</v>
      </c>
      <c r="B261" s="6941" t="s">
        <v>750</v>
      </c>
      <c r="C261" s="6840">
        <f t="shared" si="37"/>
        <v>0</v>
      </c>
      <c r="D261" s="6841">
        <f t="shared" si="40"/>
        <v>0</v>
      </c>
      <c r="E261" s="6839">
        <f t="shared" si="41"/>
        <v>0</v>
      </c>
      <c r="F261" s="6499"/>
      <c r="G261" s="6537"/>
      <c r="H261" s="6499"/>
      <c r="I261" s="6537"/>
      <c r="J261" s="6499"/>
      <c r="K261" s="6537"/>
      <c r="L261" s="6499"/>
      <c r="M261" s="6537"/>
      <c r="N261" s="6499"/>
      <c r="O261" s="6537"/>
      <c r="P261" s="6499"/>
      <c r="Q261" s="6537"/>
      <c r="R261" s="6499"/>
      <c r="S261" s="6537"/>
      <c r="T261" s="6499"/>
      <c r="U261" s="6537"/>
      <c r="V261" s="6499"/>
      <c r="W261" s="6537"/>
      <c r="X261" s="6499"/>
      <c r="Y261" s="6537"/>
      <c r="Z261" s="6499"/>
      <c r="AA261" s="6537"/>
      <c r="AB261" s="6499"/>
      <c r="AC261" s="6537"/>
      <c r="AD261" s="6499"/>
      <c r="AE261" s="6537"/>
      <c r="AF261" s="6499"/>
      <c r="AG261" s="6537"/>
      <c r="AH261" s="6499"/>
      <c r="AI261" s="6537"/>
      <c r="AJ261" s="6499"/>
      <c r="AK261" s="6537"/>
      <c r="AL261" s="6499"/>
      <c r="AM261" s="6762"/>
      <c r="AN261" s="6933"/>
      <c r="AO261" s="6934"/>
      <c r="AP261" s="6573"/>
      <c r="AQ261" s="7603"/>
      <c r="AR261" s="7616"/>
      <c r="AS261" s="6499"/>
      <c r="AT261" s="6537"/>
      <c r="AU261" s="6537"/>
      <c r="AV261" s="6537"/>
      <c r="AW261" s="6843"/>
      <c r="AX261" s="6843"/>
      <c r="AY261" s="6970"/>
      <c r="AZ261" s="4684"/>
      <c r="BA261" s="4684"/>
      <c r="BB261" s="4684"/>
      <c r="BC261" s="4684"/>
      <c r="BD261" s="4684"/>
      <c r="BE261" s="4684"/>
      <c r="BF261" s="4684"/>
      <c r="BG261" s="4684"/>
      <c r="BH261" s="4657"/>
      <c r="BI261" s="4657"/>
      <c r="BY261" s="4652"/>
      <c r="CZ261" s="6209"/>
      <c r="DZ261" s="4652"/>
    </row>
    <row r="262" spans="1:130" ht="16.350000000000001" customHeight="1" x14ac:dyDescent="0.2">
      <c r="A262" s="8635"/>
      <c r="B262" s="5585" t="s">
        <v>749</v>
      </c>
      <c r="C262" s="6859">
        <f t="shared" si="37"/>
        <v>0</v>
      </c>
      <c r="D262" s="6860">
        <f t="shared" si="40"/>
        <v>0</v>
      </c>
      <c r="E262" s="6858">
        <f t="shared" si="41"/>
        <v>0</v>
      </c>
      <c r="F262" s="6726"/>
      <c r="G262" s="6573"/>
      <c r="H262" s="6726"/>
      <c r="I262" s="6573"/>
      <c r="J262" s="6726"/>
      <c r="K262" s="6573"/>
      <c r="L262" s="6726"/>
      <c r="M262" s="6573"/>
      <c r="N262" s="6726"/>
      <c r="O262" s="6573"/>
      <c r="P262" s="6726"/>
      <c r="Q262" s="6573"/>
      <c r="R262" s="6726"/>
      <c r="S262" s="6573"/>
      <c r="T262" s="6726"/>
      <c r="U262" s="6573"/>
      <c r="V262" s="6726"/>
      <c r="W262" s="6573"/>
      <c r="X262" s="6726"/>
      <c r="Y262" s="6573"/>
      <c r="Z262" s="6726"/>
      <c r="AA262" s="6573"/>
      <c r="AB262" s="6726"/>
      <c r="AC262" s="6573"/>
      <c r="AD262" s="6726"/>
      <c r="AE262" s="6573"/>
      <c r="AF262" s="6726"/>
      <c r="AG262" s="6573"/>
      <c r="AH262" s="6726"/>
      <c r="AI262" s="6573"/>
      <c r="AJ262" s="6726"/>
      <c r="AK262" s="6573"/>
      <c r="AL262" s="6726"/>
      <c r="AM262" s="5403"/>
      <c r="AN262" s="6933"/>
      <c r="AO262" s="6934"/>
      <c r="AP262" s="6573"/>
      <c r="AQ262" s="7606"/>
      <c r="AR262" s="7618"/>
      <c r="AS262" s="6726"/>
      <c r="AT262" s="6573"/>
      <c r="AU262" s="6573"/>
      <c r="AV262" s="6573"/>
      <c r="AW262" s="4428"/>
      <c r="AX262" s="4428"/>
      <c r="AY262" s="6970"/>
      <c r="AZ262" s="4684"/>
      <c r="BA262" s="4684"/>
      <c r="BB262" s="4684"/>
      <c r="BC262" s="4684"/>
      <c r="BD262" s="4684"/>
      <c r="BE262" s="4684"/>
      <c r="BF262" s="4684"/>
      <c r="BG262" s="4684"/>
      <c r="BH262" s="4657"/>
      <c r="BI262" s="4657"/>
      <c r="BY262" s="4652"/>
      <c r="CZ262" s="6209"/>
      <c r="DZ262" s="4652"/>
    </row>
    <row r="263" spans="1:130" ht="16.350000000000001" customHeight="1" x14ac:dyDescent="0.2">
      <c r="A263" s="8662"/>
      <c r="B263" s="6942" t="s">
        <v>748</v>
      </c>
      <c r="C263" s="6845">
        <f t="shared" si="37"/>
        <v>0</v>
      </c>
      <c r="D263" s="6846">
        <f t="shared" si="40"/>
        <v>0</v>
      </c>
      <c r="E263" s="6847">
        <f t="shared" si="41"/>
        <v>0</v>
      </c>
      <c r="F263" s="6718"/>
      <c r="G263" s="6577"/>
      <c r="H263" s="6718"/>
      <c r="I263" s="6577"/>
      <c r="J263" s="6718"/>
      <c r="K263" s="6577"/>
      <c r="L263" s="6718"/>
      <c r="M263" s="6577"/>
      <c r="N263" s="6718"/>
      <c r="O263" s="6577"/>
      <c r="P263" s="6718"/>
      <c r="Q263" s="6577"/>
      <c r="R263" s="6718"/>
      <c r="S263" s="6577"/>
      <c r="T263" s="6718"/>
      <c r="U263" s="6577"/>
      <c r="V263" s="6718"/>
      <c r="W263" s="6577"/>
      <c r="X263" s="6718"/>
      <c r="Y263" s="6577"/>
      <c r="Z263" s="6718"/>
      <c r="AA263" s="6577"/>
      <c r="AB263" s="6718"/>
      <c r="AC263" s="6577"/>
      <c r="AD263" s="6718"/>
      <c r="AE263" s="6577"/>
      <c r="AF263" s="6718"/>
      <c r="AG263" s="6577"/>
      <c r="AH263" s="6718"/>
      <c r="AI263" s="6577"/>
      <c r="AJ263" s="6718"/>
      <c r="AK263" s="6577"/>
      <c r="AL263" s="6718"/>
      <c r="AM263" s="6848"/>
      <c r="AN263" s="6921"/>
      <c r="AO263" s="6922"/>
      <c r="AP263" s="6577"/>
      <c r="AQ263" s="7609"/>
      <c r="AR263" s="7620"/>
      <c r="AS263" s="6718"/>
      <c r="AT263" s="6577"/>
      <c r="AU263" s="6577"/>
      <c r="AV263" s="6577"/>
      <c r="AW263" s="6850"/>
      <c r="AX263" s="6850"/>
      <c r="AY263" s="6970"/>
      <c r="AZ263" s="4684"/>
      <c r="BA263" s="4684"/>
      <c r="BB263" s="4684"/>
      <c r="BC263" s="4684"/>
      <c r="BD263" s="4684"/>
      <c r="BE263" s="4684"/>
      <c r="BF263" s="4684"/>
      <c r="BG263" s="4684"/>
      <c r="BH263" s="4657"/>
      <c r="BI263" s="4657"/>
      <c r="BY263" s="4652"/>
      <c r="CZ263" s="6209"/>
      <c r="DZ263" s="4652"/>
    </row>
    <row r="264" spans="1:130" ht="16.350000000000001" customHeight="1" x14ac:dyDescent="0.2">
      <c r="A264" s="8924" t="s">
        <v>3976</v>
      </c>
      <c r="B264" s="8925"/>
      <c r="C264" s="6943">
        <f>SUM(D264+E264)</f>
        <v>0</v>
      </c>
      <c r="D264" s="6944">
        <f>SUM(F264+H264+J264+L264+N264+P264+R264+T264+V264+X264+Z264+AB264+AD264+AF264+AH264+AJ264+AL264)</f>
        <v>0</v>
      </c>
      <c r="E264" s="6945">
        <f>SUM(G264+I264+K264+M264+O264+Q264+S264+U264+W264+Y264+AA264+AC264+AE264+AG264+AI264+AK264+AM264)</f>
        <v>0</v>
      </c>
      <c r="F264" s="6892"/>
      <c r="G264" s="6893"/>
      <c r="H264" s="6892"/>
      <c r="I264" s="6893"/>
      <c r="J264" s="6892"/>
      <c r="K264" s="6893"/>
      <c r="L264" s="6892"/>
      <c r="M264" s="6893"/>
      <c r="N264" s="6892"/>
      <c r="O264" s="6893"/>
      <c r="P264" s="6892"/>
      <c r="Q264" s="6893"/>
      <c r="R264" s="6892"/>
      <c r="S264" s="6893"/>
      <c r="T264" s="6892"/>
      <c r="U264" s="6893"/>
      <c r="V264" s="6892"/>
      <c r="W264" s="6893"/>
      <c r="X264" s="6892"/>
      <c r="Y264" s="6893"/>
      <c r="Z264" s="6892"/>
      <c r="AA264" s="6893"/>
      <c r="AB264" s="6892"/>
      <c r="AC264" s="6893"/>
      <c r="AD264" s="6892"/>
      <c r="AE264" s="6893"/>
      <c r="AF264" s="6892"/>
      <c r="AG264" s="6893"/>
      <c r="AH264" s="6892"/>
      <c r="AI264" s="6893"/>
      <c r="AJ264" s="6892"/>
      <c r="AK264" s="6893"/>
      <c r="AL264" s="6892"/>
      <c r="AM264" s="6946"/>
      <c r="AN264" s="6947"/>
      <c r="AO264" s="6948"/>
      <c r="AP264" s="6893"/>
      <c r="AQ264" s="5823"/>
      <c r="AR264" s="6893"/>
      <c r="AS264" s="6892"/>
      <c r="AT264" s="6893"/>
      <c r="AU264" s="6893"/>
      <c r="AV264" s="6893"/>
      <c r="AW264" s="6843"/>
      <c r="AX264" s="6843"/>
      <c r="AY264" s="6970"/>
      <c r="AZ264" s="4684"/>
      <c r="BA264" s="4684"/>
      <c r="BB264" s="4684"/>
      <c r="BC264" s="4684"/>
      <c r="BD264" s="4684"/>
      <c r="BE264" s="4684"/>
      <c r="BF264" s="4684"/>
      <c r="BG264" s="4684"/>
      <c r="BH264" s="4657"/>
      <c r="BI264" s="4657"/>
      <c r="BY264" s="4652"/>
      <c r="CZ264" s="6209"/>
      <c r="DB264" s="6209">
        <v>0</v>
      </c>
      <c r="DD264" s="6209">
        <v>0</v>
      </c>
      <c r="DF264" s="6209">
        <v>0</v>
      </c>
      <c r="DH264" s="6209">
        <v>0</v>
      </c>
      <c r="DJ264" s="6209">
        <v>0</v>
      </c>
      <c r="DL264" s="6209">
        <v>0</v>
      </c>
      <c r="DN264" s="6209">
        <v>0</v>
      </c>
      <c r="DP264" s="6209">
        <v>0</v>
      </c>
      <c r="DZ264" s="4652"/>
    </row>
    <row r="265" spans="1:130" ht="16.350000000000001" customHeight="1" x14ac:dyDescent="0.2">
      <c r="A265" s="8920" t="s">
        <v>3713</v>
      </c>
      <c r="B265" s="8921"/>
      <c r="C265" s="6949">
        <f>SUM(D265+E265)</f>
        <v>0</v>
      </c>
      <c r="D265" s="6950">
        <f>SUM(F265+H265+J265+L265+N265+P265+R265+T265+V265+X265+Z265+AB265+AD265+AF265+AH265+AJ265+AL265)</f>
        <v>0</v>
      </c>
      <c r="E265" s="6951">
        <f>SUM(G265+I265+K265+M265+O265+Q265+S265+U265+W265+Y265+AA265+AC265+AE265+AG265+AI265+AK265+AM265)</f>
        <v>0</v>
      </c>
      <c r="F265" s="5439"/>
      <c r="G265" s="4428"/>
      <c r="H265" s="5439"/>
      <c r="I265" s="4428"/>
      <c r="J265" s="5439"/>
      <c r="K265" s="4428"/>
      <c r="L265" s="5439"/>
      <c r="M265" s="4428"/>
      <c r="N265" s="5439"/>
      <c r="O265" s="4428"/>
      <c r="P265" s="5439"/>
      <c r="Q265" s="4428"/>
      <c r="R265" s="5439"/>
      <c r="S265" s="4428"/>
      <c r="T265" s="5439"/>
      <c r="U265" s="4428"/>
      <c r="V265" s="5439"/>
      <c r="W265" s="4428"/>
      <c r="X265" s="5439"/>
      <c r="Y265" s="4428"/>
      <c r="Z265" s="5439"/>
      <c r="AA265" s="4428"/>
      <c r="AB265" s="5439"/>
      <c r="AC265" s="4428"/>
      <c r="AD265" s="5439"/>
      <c r="AE265" s="4428"/>
      <c r="AF265" s="5439"/>
      <c r="AG265" s="4428"/>
      <c r="AH265" s="5439"/>
      <c r="AI265" s="4428"/>
      <c r="AJ265" s="5439"/>
      <c r="AK265" s="4428"/>
      <c r="AL265" s="5439"/>
      <c r="AM265" s="5403"/>
      <c r="AN265" s="4429"/>
      <c r="AO265" s="6952"/>
      <c r="AP265" s="4428"/>
      <c r="AQ265" s="6953"/>
      <c r="AR265" s="4428"/>
      <c r="AS265" s="6954"/>
      <c r="AT265" s="4428"/>
      <c r="AU265" s="4428"/>
      <c r="AV265" s="4428"/>
      <c r="AW265" s="4428"/>
      <c r="AX265" s="4428"/>
      <c r="AY265" s="6970"/>
      <c r="AZ265" s="4684"/>
      <c r="BA265" s="4684"/>
      <c r="BB265" s="4684"/>
      <c r="BC265" s="4684"/>
      <c r="BD265" s="4684"/>
      <c r="BE265" s="4684"/>
      <c r="BF265" s="4684"/>
      <c r="BG265" s="4684"/>
      <c r="BH265" s="4657"/>
      <c r="BI265" s="4657"/>
      <c r="BY265" s="4652"/>
      <c r="CZ265" s="6209"/>
      <c r="DZ265" s="4652"/>
    </row>
    <row r="266" spans="1:130" ht="16.350000000000001" customHeight="1" x14ac:dyDescent="0.2">
      <c r="A266" s="8672" t="s">
        <v>747</v>
      </c>
      <c r="B266" s="8670"/>
      <c r="C266" s="6863">
        <f t="shared" si="37"/>
        <v>0</v>
      </c>
      <c r="D266" s="6864">
        <f t="shared" si="40"/>
        <v>0</v>
      </c>
      <c r="E266" s="6862">
        <f t="shared" si="41"/>
        <v>0</v>
      </c>
      <c r="F266" s="4778"/>
      <c r="G266" s="5582"/>
      <c r="H266" s="4778"/>
      <c r="I266" s="5582"/>
      <c r="J266" s="4778"/>
      <c r="K266" s="5582"/>
      <c r="L266" s="4778"/>
      <c r="M266" s="5582"/>
      <c r="N266" s="4778"/>
      <c r="O266" s="5582"/>
      <c r="P266" s="4778"/>
      <c r="Q266" s="5582"/>
      <c r="R266" s="4778"/>
      <c r="S266" s="5582"/>
      <c r="T266" s="4778"/>
      <c r="U266" s="5582"/>
      <c r="V266" s="4778"/>
      <c r="W266" s="5582"/>
      <c r="X266" s="4778"/>
      <c r="Y266" s="5582"/>
      <c r="Z266" s="4778"/>
      <c r="AA266" s="5582"/>
      <c r="AB266" s="4778"/>
      <c r="AC266" s="5582"/>
      <c r="AD266" s="4778"/>
      <c r="AE266" s="5582"/>
      <c r="AF266" s="4778"/>
      <c r="AG266" s="5582"/>
      <c r="AH266" s="4778"/>
      <c r="AI266" s="5582"/>
      <c r="AJ266" s="4778"/>
      <c r="AK266" s="5582"/>
      <c r="AL266" s="4778"/>
      <c r="AM266" s="5586"/>
      <c r="AN266" s="6933"/>
      <c r="AO266" s="6934"/>
      <c r="AP266" s="6573"/>
      <c r="AQ266" s="5582"/>
      <c r="AR266" s="4869"/>
      <c r="AS266" s="4778"/>
      <c r="AT266" s="5582"/>
      <c r="AU266" s="5582"/>
      <c r="AV266" s="5582"/>
      <c r="AW266" s="6165"/>
      <c r="AX266" s="6165"/>
      <c r="AY266" s="6970"/>
      <c r="AZ266" s="4684"/>
      <c r="BA266" s="4684"/>
      <c r="BB266" s="4684"/>
      <c r="BC266" s="4684"/>
      <c r="BD266" s="4684"/>
      <c r="BE266" s="4684"/>
      <c r="BF266" s="4684"/>
      <c r="BG266" s="4684"/>
      <c r="BH266" s="4657"/>
      <c r="BI266" s="4657"/>
      <c r="BY266" s="4652"/>
      <c r="CZ266" s="6209"/>
      <c r="DA266" s="6209">
        <v>0</v>
      </c>
      <c r="DC266" s="6209">
        <v>0</v>
      </c>
      <c r="DE266" s="6209">
        <v>0</v>
      </c>
      <c r="DG266" s="6209">
        <v>0</v>
      </c>
      <c r="DI266" s="6209">
        <v>0</v>
      </c>
      <c r="DK266" s="6209">
        <v>0</v>
      </c>
      <c r="DM266" s="6209">
        <v>0</v>
      </c>
      <c r="DO266" s="6209">
        <v>0</v>
      </c>
      <c r="DZ266" s="4652"/>
    </row>
    <row r="267" spans="1:130" ht="16.350000000000001" customHeight="1" x14ac:dyDescent="0.2">
      <c r="A267" s="8672" t="s">
        <v>746</v>
      </c>
      <c r="B267" s="8670"/>
      <c r="C267" s="6863">
        <f t="shared" si="37"/>
        <v>0</v>
      </c>
      <c r="D267" s="6864">
        <f t="shared" si="40"/>
        <v>0</v>
      </c>
      <c r="E267" s="6862">
        <f t="shared" si="41"/>
        <v>0</v>
      </c>
      <c r="F267" s="4778"/>
      <c r="G267" s="5582"/>
      <c r="H267" s="4778"/>
      <c r="I267" s="5582"/>
      <c r="J267" s="4778"/>
      <c r="K267" s="5582"/>
      <c r="L267" s="4778"/>
      <c r="M267" s="5582"/>
      <c r="N267" s="4778"/>
      <c r="O267" s="5582"/>
      <c r="P267" s="4778"/>
      <c r="Q267" s="5582"/>
      <c r="R267" s="4778"/>
      <c r="S267" s="5582"/>
      <c r="T267" s="4778"/>
      <c r="U267" s="5582"/>
      <c r="V267" s="4778"/>
      <c r="W267" s="5582"/>
      <c r="X267" s="4778"/>
      <c r="Y267" s="5582"/>
      <c r="Z267" s="4778"/>
      <c r="AA267" s="5582"/>
      <c r="AB267" s="4778"/>
      <c r="AC267" s="5582"/>
      <c r="AD267" s="4778"/>
      <c r="AE267" s="5582"/>
      <c r="AF267" s="4778"/>
      <c r="AG267" s="5582"/>
      <c r="AH267" s="4778"/>
      <c r="AI267" s="5582"/>
      <c r="AJ267" s="4778"/>
      <c r="AK267" s="5582"/>
      <c r="AL267" s="4778"/>
      <c r="AM267" s="5586"/>
      <c r="AN267" s="6933"/>
      <c r="AO267" s="6934"/>
      <c r="AP267" s="6573"/>
      <c r="AQ267" s="5582"/>
      <c r="AR267" s="4869"/>
      <c r="AS267" s="4778"/>
      <c r="AT267" s="5582"/>
      <c r="AU267" s="5582"/>
      <c r="AV267" s="5582"/>
      <c r="AW267" s="6165"/>
      <c r="AX267" s="6165"/>
      <c r="AY267" s="6970"/>
      <c r="AZ267" s="4684"/>
      <c r="BA267" s="4684"/>
      <c r="BB267" s="4684"/>
      <c r="BC267" s="4684"/>
      <c r="BD267" s="4684"/>
      <c r="BE267" s="4684"/>
      <c r="BF267" s="4684"/>
      <c r="BG267" s="4684"/>
      <c r="BH267" s="4657"/>
      <c r="BI267" s="4657"/>
      <c r="BY267" s="4652"/>
      <c r="CZ267" s="6209"/>
      <c r="DZ267" s="4652"/>
    </row>
    <row r="268" spans="1:130" ht="16.350000000000001" customHeight="1" x14ac:dyDescent="0.2">
      <c r="A268" s="8671" t="s">
        <v>745</v>
      </c>
      <c r="B268" s="8670"/>
      <c r="C268" s="5503">
        <f t="shared" si="37"/>
        <v>0</v>
      </c>
      <c r="D268" s="7092">
        <f t="shared" si="40"/>
        <v>0</v>
      </c>
      <c r="E268" s="5502">
        <f t="shared" si="41"/>
        <v>0</v>
      </c>
      <c r="F268" s="4778"/>
      <c r="G268" s="5582"/>
      <c r="H268" s="4778"/>
      <c r="I268" s="5582"/>
      <c r="J268" s="4778"/>
      <c r="K268" s="5582"/>
      <c r="L268" s="4778"/>
      <c r="M268" s="5582"/>
      <c r="N268" s="4778"/>
      <c r="O268" s="5582"/>
      <c r="P268" s="4778"/>
      <c r="Q268" s="5582"/>
      <c r="R268" s="4778"/>
      <c r="S268" s="5582"/>
      <c r="T268" s="4778"/>
      <c r="U268" s="5582"/>
      <c r="V268" s="4778"/>
      <c r="W268" s="5582"/>
      <c r="X268" s="4778"/>
      <c r="Y268" s="5582"/>
      <c r="Z268" s="4778"/>
      <c r="AA268" s="5582"/>
      <c r="AB268" s="4778"/>
      <c r="AC268" s="5582"/>
      <c r="AD268" s="4778"/>
      <c r="AE268" s="5582"/>
      <c r="AF268" s="4778"/>
      <c r="AG268" s="5582"/>
      <c r="AH268" s="4778"/>
      <c r="AI268" s="5582"/>
      <c r="AJ268" s="4778"/>
      <c r="AK268" s="5582"/>
      <c r="AL268" s="4778"/>
      <c r="AM268" s="5586"/>
      <c r="AN268" s="6933"/>
      <c r="AO268" s="6934"/>
      <c r="AP268" s="6573"/>
      <c r="AQ268" s="5582"/>
      <c r="AR268" s="4869"/>
      <c r="AS268" s="4778"/>
      <c r="AT268" s="5582"/>
      <c r="AU268" s="5582"/>
      <c r="AV268" s="5582"/>
      <c r="AW268" s="6165"/>
      <c r="AX268" s="6165"/>
      <c r="AY268" s="6970"/>
      <c r="AZ268" s="4684"/>
      <c r="BA268" s="4684"/>
      <c r="BB268" s="4684"/>
      <c r="BC268" s="4684"/>
      <c r="BD268" s="4684"/>
      <c r="BE268" s="4684"/>
      <c r="BF268" s="4684"/>
      <c r="BG268" s="4684"/>
      <c r="BH268" s="4657"/>
      <c r="BI268" s="4657"/>
      <c r="BY268" s="4652"/>
      <c r="CZ268" s="6209"/>
      <c r="DZ268" s="4652"/>
    </row>
    <row r="269" spans="1:130" ht="19.5" customHeight="1" x14ac:dyDescent="0.2">
      <c r="A269" s="8661" t="s">
        <v>744</v>
      </c>
      <c r="B269" s="5687" t="s">
        <v>2151</v>
      </c>
      <c r="C269" s="7086">
        <f t="shared" si="37"/>
        <v>0</v>
      </c>
      <c r="D269" s="7087">
        <f t="shared" si="40"/>
        <v>0</v>
      </c>
      <c r="E269" s="7088">
        <f t="shared" si="41"/>
        <v>0</v>
      </c>
      <c r="F269" s="6711"/>
      <c r="G269" s="5341"/>
      <c r="H269" s="6711"/>
      <c r="I269" s="5341"/>
      <c r="J269" s="6711"/>
      <c r="K269" s="5341"/>
      <c r="L269" s="6711"/>
      <c r="M269" s="5341"/>
      <c r="N269" s="6711"/>
      <c r="O269" s="5341"/>
      <c r="P269" s="6711"/>
      <c r="Q269" s="5341"/>
      <c r="R269" s="6711"/>
      <c r="S269" s="5341"/>
      <c r="T269" s="6711"/>
      <c r="U269" s="5341"/>
      <c r="V269" s="6711"/>
      <c r="W269" s="5341"/>
      <c r="X269" s="6711"/>
      <c r="Y269" s="5341"/>
      <c r="Z269" s="6711"/>
      <c r="AA269" s="5341"/>
      <c r="AB269" s="6711"/>
      <c r="AC269" s="5341"/>
      <c r="AD269" s="6711"/>
      <c r="AE269" s="5341"/>
      <c r="AF269" s="6711"/>
      <c r="AG269" s="5341"/>
      <c r="AH269" s="6711"/>
      <c r="AI269" s="5341"/>
      <c r="AJ269" s="6711"/>
      <c r="AK269" s="5341"/>
      <c r="AL269" s="6711"/>
      <c r="AM269" s="6771"/>
      <c r="AN269" s="6933"/>
      <c r="AO269" s="6934"/>
      <c r="AP269" s="6573"/>
      <c r="AQ269" s="5341"/>
      <c r="AR269" s="6713"/>
      <c r="AS269" s="6711"/>
      <c r="AT269" s="5341"/>
      <c r="AU269" s="5341"/>
      <c r="AV269" s="5341"/>
      <c r="AW269" s="5341"/>
      <c r="AX269" s="5341"/>
      <c r="AY269" s="4653"/>
      <c r="AZ269" s="4657"/>
      <c r="BA269" s="4657"/>
      <c r="BB269" s="4657"/>
      <c r="BC269" s="4657"/>
      <c r="BD269" s="4657"/>
      <c r="BE269" s="4657"/>
      <c r="BF269" s="4657"/>
      <c r="BG269" s="4657"/>
      <c r="BH269" s="4657"/>
      <c r="BI269" s="4657"/>
      <c r="CZ269" s="6209"/>
      <c r="DZ269" s="4652"/>
    </row>
    <row r="270" spans="1:130" ht="19.5" customHeight="1" x14ac:dyDescent="0.2">
      <c r="A270" s="8635"/>
      <c r="B270" s="5563" t="s">
        <v>2152</v>
      </c>
      <c r="C270" s="6863">
        <f t="shared" si="37"/>
        <v>0</v>
      </c>
      <c r="D270" s="6864">
        <f t="shared" si="40"/>
        <v>0</v>
      </c>
      <c r="E270" s="6862">
        <f t="shared" si="41"/>
        <v>0</v>
      </c>
      <c r="F270" s="5558"/>
      <c r="G270" s="5341"/>
      <c r="H270" s="5558"/>
      <c r="I270" s="5341"/>
      <c r="J270" s="5558"/>
      <c r="K270" s="5341"/>
      <c r="L270" s="5558"/>
      <c r="M270" s="5341"/>
      <c r="N270" s="5558"/>
      <c r="O270" s="5341"/>
      <c r="P270" s="5558"/>
      <c r="Q270" s="5341"/>
      <c r="R270" s="5558"/>
      <c r="S270" s="5341"/>
      <c r="T270" s="5558"/>
      <c r="U270" s="5341"/>
      <c r="V270" s="5558"/>
      <c r="W270" s="5341"/>
      <c r="X270" s="5558"/>
      <c r="Y270" s="5341"/>
      <c r="Z270" s="5558"/>
      <c r="AA270" s="5341"/>
      <c r="AB270" s="5558"/>
      <c r="AC270" s="5341"/>
      <c r="AD270" s="5558"/>
      <c r="AE270" s="5341"/>
      <c r="AF270" s="5558"/>
      <c r="AG270" s="5341"/>
      <c r="AH270" s="5558"/>
      <c r="AI270" s="5341"/>
      <c r="AJ270" s="5558"/>
      <c r="AK270" s="5341"/>
      <c r="AL270" s="5558"/>
      <c r="AM270" s="6771"/>
      <c r="AN270" s="4410"/>
      <c r="AO270" s="4349"/>
      <c r="AP270" s="6573"/>
      <c r="AQ270" s="5341"/>
      <c r="AR270" s="5561"/>
      <c r="AS270" s="5558"/>
      <c r="AT270" s="5341"/>
      <c r="AU270" s="5341"/>
      <c r="AV270" s="5341"/>
      <c r="AW270" s="5341"/>
      <c r="AX270" s="5341"/>
      <c r="AY270" s="4653"/>
      <c r="AZ270" s="4657"/>
      <c r="BA270" s="4657"/>
      <c r="BB270" s="4657"/>
      <c r="BC270" s="4657"/>
      <c r="BD270" s="4657"/>
      <c r="BE270" s="4657"/>
      <c r="BF270" s="4657"/>
      <c r="BG270" s="4657"/>
      <c r="BH270" s="4657"/>
      <c r="BI270" s="4657"/>
      <c r="CZ270" s="6209"/>
      <c r="DZ270" s="4652"/>
    </row>
    <row r="271" spans="1:130" ht="19.5" customHeight="1" x14ac:dyDescent="0.2">
      <c r="A271" s="8635"/>
      <c r="B271" s="5563" t="s">
        <v>2153</v>
      </c>
      <c r="C271" s="6863">
        <f t="shared" si="37"/>
        <v>0</v>
      </c>
      <c r="D271" s="6864">
        <f t="shared" si="40"/>
        <v>0</v>
      </c>
      <c r="E271" s="6862">
        <f t="shared" si="41"/>
        <v>0</v>
      </c>
      <c r="F271" s="5558"/>
      <c r="G271" s="5341"/>
      <c r="H271" s="5558"/>
      <c r="I271" s="5341"/>
      <c r="J271" s="5558"/>
      <c r="K271" s="5341"/>
      <c r="L271" s="5558"/>
      <c r="M271" s="5341"/>
      <c r="N271" s="5558"/>
      <c r="O271" s="5341"/>
      <c r="P271" s="5558"/>
      <c r="Q271" s="5341"/>
      <c r="R271" s="5558"/>
      <c r="S271" s="5341"/>
      <c r="T271" s="5558"/>
      <c r="U271" s="5341"/>
      <c r="V271" s="5558"/>
      <c r="W271" s="5341"/>
      <c r="X271" s="5558"/>
      <c r="Y271" s="5341"/>
      <c r="Z271" s="5558"/>
      <c r="AA271" s="5341"/>
      <c r="AB271" s="5558"/>
      <c r="AC271" s="5341"/>
      <c r="AD271" s="5558"/>
      <c r="AE271" s="5341"/>
      <c r="AF271" s="5558"/>
      <c r="AG271" s="5341"/>
      <c r="AH271" s="5558"/>
      <c r="AI271" s="5341"/>
      <c r="AJ271" s="5558"/>
      <c r="AK271" s="5341"/>
      <c r="AL271" s="5558"/>
      <c r="AM271" s="6771"/>
      <c r="AN271" s="4410"/>
      <c r="AO271" s="4349"/>
      <c r="AP271" s="6573"/>
      <c r="AQ271" s="5341"/>
      <c r="AR271" s="5561"/>
      <c r="AS271" s="5558"/>
      <c r="AT271" s="5341"/>
      <c r="AU271" s="5341"/>
      <c r="AV271" s="5341"/>
      <c r="AW271" s="5341"/>
      <c r="AX271" s="5341"/>
      <c r="AY271" s="4653"/>
      <c r="AZ271" s="4657"/>
      <c r="BA271" s="4657"/>
      <c r="BB271" s="4657"/>
      <c r="BC271" s="4657"/>
      <c r="BD271" s="4657"/>
      <c r="BE271" s="4657"/>
      <c r="BF271" s="4657"/>
      <c r="BG271" s="4657"/>
      <c r="BH271" s="4657"/>
      <c r="BI271" s="4657"/>
      <c r="CZ271" s="6209"/>
      <c r="DZ271" s="4652"/>
    </row>
    <row r="272" spans="1:130" ht="26.25" customHeight="1" x14ac:dyDescent="0.2">
      <c r="A272" s="8635"/>
      <c r="B272" s="5563" t="s">
        <v>2154</v>
      </c>
      <c r="C272" s="6863">
        <f t="shared" si="37"/>
        <v>0</v>
      </c>
      <c r="D272" s="6864">
        <f t="shared" si="40"/>
        <v>0</v>
      </c>
      <c r="E272" s="6862">
        <f t="shared" si="41"/>
        <v>0</v>
      </c>
      <c r="F272" s="5558"/>
      <c r="G272" s="5341"/>
      <c r="H272" s="5558"/>
      <c r="I272" s="5341"/>
      <c r="J272" s="5558"/>
      <c r="K272" s="5341"/>
      <c r="L272" s="5558"/>
      <c r="M272" s="5341"/>
      <c r="N272" s="5558"/>
      <c r="O272" s="5341"/>
      <c r="P272" s="5558"/>
      <c r="Q272" s="5341"/>
      <c r="R272" s="5558"/>
      <c r="S272" s="5341"/>
      <c r="T272" s="5558"/>
      <c r="U272" s="5341"/>
      <c r="V272" s="5558"/>
      <c r="W272" s="5341"/>
      <c r="X272" s="5558"/>
      <c r="Y272" s="5341"/>
      <c r="Z272" s="5558"/>
      <c r="AA272" s="5341"/>
      <c r="AB272" s="5558"/>
      <c r="AC272" s="5341"/>
      <c r="AD272" s="5558"/>
      <c r="AE272" s="5341"/>
      <c r="AF272" s="5558"/>
      <c r="AG272" s="5341"/>
      <c r="AH272" s="5558"/>
      <c r="AI272" s="5341"/>
      <c r="AJ272" s="5558"/>
      <c r="AK272" s="5341"/>
      <c r="AL272" s="5558"/>
      <c r="AM272" s="6771"/>
      <c r="AN272" s="4410"/>
      <c r="AO272" s="4349"/>
      <c r="AP272" s="6573"/>
      <c r="AQ272" s="5341"/>
      <c r="AR272" s="5561"/>
      <c r="AS272" s="5558"/>
      <c r="AT272" s="5341"/>
      <c r="AU272" s="5341"/>
      <c r="AV272" s="5341"/>
      <c r="AW272" s="5341"/>
      <c r="AX272" s="5341"/>
      <c r="AY272" s="4653"/>
      <c r="AZ272" s="4657"/>
      <c r="BA272" s="4657"/>
      <c r="BB272" s="4657"/>
      <c r="BC272" s="4657"/>
      <c r="BD272" s="4657"/>
      <c r="BE272" s="4657"/>
      <c r="BF272" s="4657"/>
      <c r="BG272" s="4657"/>
      <c r="BH272" s="4657"/>
      <c r="BI272" s="4657"/>
      <c r="CZ272" s="6209"/>
      <c r="DZ272" s="4652"/>
    </row>
    <row r="273" spans="1:130" ht="24.75" customHeight="1" x14ac:dyDescent="0.2">
      <c r="A273" s="8662"/>
      <c r="B273" s="6908" t="s">
        <v>2155</v>
      </c>
      <c r="C273" s="6955">
        <f t="shared" si="37"/>
        <v>0</v>
      </c>
      <c r="D273" s="6956">
        <f t="shared" si="40"/>
        <v>0</v>
      </c>
      <c r="E273" s="6957">
        <f t="shared" si="41"/>
        <v>0</v>
      </c>
      <c r="F273" s="5348"/>
      <c r="G273" s="4369"/>
      <c r="H273" s="5348"/>
      <c r="I273" s="4369"/>
      <c r="J273" s="5348"/>
      <c r="K273" s="4369"/>
      <c r="L273" s="5348"/>
      <c r="M273" s="4369"/>
      <c r="N273" s="5348"/>
      <c r="O273" s="4369"/>
      <c r="P273" s="5348"/>
      <c r="Q273" s="4369"/>
      <c r="R273" s="5348"/>
      <c r="S273" s="4369"/>
      <c r="T273" s="5348"/>
      <c r="U273" s="4369"/>
      <c r="V273" s="5348"/>
      <c r="W273" s="4369"/>
      <c r="X273" s="5348"/>
      <c r="Y273" s="4369"/>
      <c r="Z273" s="5348"/>
      <c r="AA273" s="4369"/>
      <c r="AB273" s="5348"/>
      <c r="AC273" s="4369"/>
      <c r="AD273" s="5348"/>
      <c r="AE273" s="4369"/>
      <c r="AF273" s="5348"/>
      <c r="AG273" s="4369"/>
      <c r="AH273" s="5348"/>
      <c r="AI273" s="4369"/>
      <c r="AJ273" s="5348"/>
      <c r="AK273" s="4369"/>
      <c r="AL273" s="5348"/>
      <c r="AM273" s="6898"/>
      <c r="AN273" s="6958"/>
      <c r="AO273" s="4798"/>
      <c r="AP273" s="4369"/>
      <c r="AQ273" s="4369"/>
      <c r="AR273" s="6228"/>
      <c r="AS273" s="5348"/>
      <c r="AT273" s="4369"/>
      <c r="AU273" s="4369"/>
      <c r="AV273" s="4369"/>
      <c r="AW273" s="4787"/>
      <c r="AX273" s="4787"/>
      <c r="AY273" s="4653"/>
      <c r="AZ273" s="4657"/>
      <c r="BA273" s="4657"/>
      <c r="BB273" s="4657"/>
      <c r="BC273" s="4657"/>
      <c r="BD273" s="4657"/>
      <c r="BE273" s="4657"/>
      <c r="BF273" s="4657"/>
      <c r="BG273" s="4657"/>
      <c r="BH273" s="4657"/>
      <c r="BI273" s="4657"/>
      <c r="CZ273" s="6209"/>
      <c r="DZ273" s="4652"/>
    </row>
    <row r="274" spans="1:130" ht="19.5" customHeight="1" x14ac:dyDescent="0.2">
      <c r="A274" s="8669" t="s">
        <v>743</v>
      </c>
      <c r="B274" s="8670"/>
      <c r="C274" s="6912">
        <f t="shared" si="37"/>
        <v>0</v>
      </c>
      <c r="D274" s="6913">
        <f t="shared" si="40"/>
        <v>0</v>
      </c>
      <c r="E274" s="6914">
        <f t="shared" si="41"/>
        <v>0</v>
      </c>
      <c r="F274" s="5444"/>
      <c r="G274" s="5460"/>
      <c r="H274" s="5444"/>
      <c r="I274" s="5460"/>
      <c r="J274" s="5444"/>
      <c r="K274" s="5460"/>
      <c r="L274" s="5444"/>
      <c r="M274" s="5460"/>
      <c r="N274" s="5444"/>
      <c r="O274" s="5460"/>
      <c r="P274" s="5444"/>
      <c r="Q274" s="5460"/>
      <c r="R274" s="5444"/>
      <c r="S274" s="5460"/>
      <c r="T274" s="5444"/>
      <c r="U274" s="5460"/>
      <c r="V274" s="5444"/>
      <c r="W274" s="5460"/>
      <c r="X274" s="5444"/>
      <c r="Y274" s="5460"/>
      <c r="Z274" s="5444"/>
      <c r="AA274" s="5460"/>
      <c r="AB274" s="5444"/>
      <c r="AC274" s="5460"/>
      <c r="AD274" s="5444"/>
      <c r="AE274" s="5460"/>
      <c r="AF274" s="5444"/>
      <c r="AG274" s="5460"/>
      <c r="AH274" s="5444"/>
      <c r="AI274" s="5460"/>
      <c r="AJ274" s="5444"/>
      <c r="AK274" s="5460"/>
      <c r="AL274" s="5444"/>
      <c r="AM274" s="6811"/>
      <c r="AN274" s="4410"/>
      <c r="AO274" s="4349"/>
      <c r="AP274" s="6573"/>
      <c r="AQ274" s="5460"/>
      <c r="AR274" s="6904"/>
      <c r="AS274" s="5444"/>
      <c r="AT274" s="5460"/>
      <c r="AU274" s="5460"/>
      <c r="AV274" s="5460"/>
      <c r="AW274" s="5460"/>
      <c r="AX274" s="5460"/>
      <c r="AY274" s="4653"/>
      <c r="AZ274" s="4657"/>
      <c r="BA274" s="4657"/>
      <c r="BB274" s="4657"/>
      <c r="BC274" s="4657"/>
      <c r="BD274" s="4657"/>
      <c r="BE274" s="4657"/>
      <c r="BF274" s="4657"/>
      <c r="BG274" s="4657"/>
      <c r="BH274" s="4657"/>
      <c r="BI274" s="4657"/>
      <c r="BY274" s="4652"/>
      <c r="CZ274" s="6209"/>
      <c r="DZ274" s="4652"/>
    </row>
    <row r="275" spans="1:130" ht="19.5" customHeight="1" x14ac:dyDescent="0.2">
      <c r="A275" s="8667" t="s">
        <v>28</v>
      </c>
      <c r="B275" s="8668"/>
      <c r="C275" s="6883">
        <f>SUM(D275+E275)</f>
        <v>0</v>
      </c>
      <c r="D275" s="6884">
        <f>SUM(F275+H275+J275+L275+N275+P275+R275+T275+V275+X275+Z275+AB275+AD275+AF275+AH275+AJ275+AL275)</f>
        <v>0</v>
      </c>
      <c r="E275" s="6844">
        <f t="shared" si="41"/>
        <v>0</v>
      </c>
      <c r="F275" s="4796"/>
      <c r="G275" s="4888"/>
      <c r="H275" s="4796"/>
      <c r="I275" s="4888"/>
      <c r="J275" s="4796"/>
      <c r="K275" s="4888"/>
      <c r="L275" s="4796"/>
      <c r="M275" s="4888"/>
      <c r="N275" s="4796"/>
      <c r="O275" s="4888"/>
      <c r="P275" s="4796"/>
      <c r="Q275" s="4888"/>
      <c r="R275" s="4796"/>
      <c r="S275" s="4888"/>
      <c r="T275" s="4796"/>
      <c r="U275" s="4888"/>
      <c r="V275" s="4796"/>
      <c r="W275" s="4888"/>
      <c r="X275" s="4796"/>
      <c r="Y275" s="4888"/>
      <c r="Z275" s="4796"/>
      <c r="AA275" s="4888"/>
      <c r="AB275" s="4796"/>
      <c r="AC275" s="4888"/>
      <c r="AD275" s="4796"/>
      <c r="AE275" s="4888"/>
      <c r="AF275" s="4796"/>
      <c r="AG275" s="4888"/>
      <c r="AH275" s="4796"/>
      <c r="AI275" s="4888"/>
      <c r="AJ275" s="4796"/>
      <c r="AK275" s="4888"/>
      <c r="AL275" s="4796"/>
      <c r="AM275" s="6885"/>
      <c r="AN275" s="6921"/>
      <c r="AO275" s="6922"/>
      <c r="AP275" s="6577"/>
      <c r="AQ275" s="6959"/>
      <c r="AR275" s="6916"/>
      <c r="AS275" s="4796"/>
      <c r="AT275" s="4888"/>
      <c r="AU275" s="4888"/>
      <c r="AV275" s="4888"/>
      <c r="AW275" s="4787"/>
      <c r="AX275" s="4787"/>
      <c r="AY275" s="4653"/>
      <c r="AZ275" s="4657"/>
      <c r="BA275" s="4657"/>
      <c r="BB275" s="4657"/>
      <c r="BC275" s="4657"/>
      <c r="BD275" s="4657"/>
      <c r="BE275" s="4657"/>
      <c r="BF275" s="4657"/>
      <c r="BG275" s="4657"/>
      <c r="BH275" s="4657"/>
      <c r="BI275" s="4657"/>
      <c r="BY275" s="4652"/>
      <c r="CZ275" s="6209"/>
      <c r="DZ275" s="4652"/>
    </row>
    <row r="276" spans="1:130" ht="22.5" customHeight="1" x14ac:dyDescent="0.2">
      <c r="A276" s="4878" t="s">
        <v>3148</v>
      </c>
      <c r="B276" s="5427"/>
      <c r="AM276" s="4627"/>
      <c r="AN276" s="4627"/>
      <c r="AO276" s="4627"/>
      <c r="AP276" s="4627"/>
      <c r="AQ276" s="4627"/>
      <c r="AR276" s="4627"/>
      <c r="AS276" s="4627"/>
      <c r="AT276" s="4627"/>
      <c r="AU276" s="4657"/>
      <c r="AV276" s="4657"/>
      <c r="AW276" s="4657"/>
      <c r="BA276" s="4657"/>
    </row>
    <row r="277" spans="1:130" ht="16.350000000000001" customHeight="1" x14ac:dyDescent="0.2">
      <c r="A277" s="8696" t="s">
        <v>741</v>
      </c>
      <c r="B277" s="8699" t="s">
        <v>740</v>
      </c>
      <c r="C277" s="8739" t="s">
        <v>1</v>
      </c>
      <c r="D277" s="8740"/>
      <c r="E277" s="8741"/>
      <c r="F277" s="8736" t="s">
        <v>84</v>
      </c>
      <c r="G277" s="8737"/>
      <c r="H277" s="8737"/>
      <c r="I277" s="8737"/>
      <c r="J277" s="8737"/>
      <c r="K277" s="8737"/>
      <c r="L277" s="8737"/>
      <c r="M277" s="8737"/>
      <c r="N277" s="8737"/>
      <c r="O277" s="8737"/>
      <c r="P277" s="8737"/>
      <c r="Q277" s="8737"/>
      <c r="R277" s="8737"/>
      <c r="S277" s="8737"/>
      <c r="T277" s="8737"/>
      <c r="U277" s="8737"/>
      <c r="V277" s="8737"/>
      <c r="W277" s="8737"/>
      <c r="X277" s="8737"/>
      <c r="Y277" s="8737"/>
      <c r="Z277" s="8737"/>
      <c r="AA277" s="8737"/>
      <c r="AB277" s="8737"/>
      <c r="AC277" s="8737"/>
      <c r="AD277" s="8737"/>
      <c r="AE277" s="8737"/>
      <c r="AF277" s="8737"/>
      <c r="AG277" s="8737"/>
      <c r="AH277" s="8737"/>
      <c r="AI277" s="8737"/>
      <c r="AJ277" s="8737"/>
      <c r="AK277" s="8738"/>
      <c r="AL277" s="8206" t="s">
        <v>360</v>
      </c>
      <c r="AM277" s="8206" t="s">
        <v>359</v>
      </c>
      <c r="AN277" s="8206" t="s">
        <v>2948</v>
      </c>
      <c r="AO277" s="8206" t="s">
        <v>2607</v>
      </c>
      <c r="AP277" s="4684"/>
      <c r="AQ277" s="4684"/>
      <c r="AR277" s="4684"/>
      <c r="AS277" s="4684"/>
      <c r="AT277" s="4684"/>
      <c r="AU277" s="4684"/>
      <c r="AV277" s="4684"/>
      <c r="AW277" s="4684"/>
      <c r="AX277" s="6714"/>
      <c r="AY277" s="6714"/>
      <c r="BA277" s="4657"/>
      <c r="BB277" s="4657"/>
    </row>
    <row r="278" spans="1:130" ht="16.350000000000001" customHeight="1" x14ac:dyDescent="0.2">
      <c r="A278" s="8697"/>
      <c r="B278" s="8814"/>
      <c r="C278" s="8658"/>
      <c r="D278" s="8659"/>
      <c r="E278" s="8660"/>
      <c r="F278" s="8709" t="s">
        <v>54</v>
      </c>
      <c r="G278" s="8709"/>
      <c r="H278" s="8709" t="s">
        <v>79</v>
      </c>
      <c r="I278" s="8709"/>
      <c r="J278" s="8709" t="s">
        <v>80</v>
      </c>
      <c r="K278" s="8709"/>
      <c r="L278" s="8787" t="s">
        <v>81</v>
      </c>
      <c r="M278" s="8788"/>
      <c r="N278" s="8684" t="s">
        <v>115</v>
      </c>
      <c r="O278" s="8684"/>
      <c r="P278" s="8684" t="s">
        <v>116</v>
      </c>
      <c r="Q278" s="8684"/>
      <c r="R278" s="8684" t="s">
        <v>117</v>
      </c>
      <c r="S278" s="8684"/>
      <c r="T278" s="8684" t="s">
        <v>118</v>
      </c>
      <c r="U278" s="8684"/>
      <c r="V278" s="8684" t="s">
        <v>119</v>
      </c>
      <c r="W278" s="8684"/>
      <c r="X278" s="8684" t="s">
        <v>120</v>
      </c>
      <c r="Y278" s="8684"/>
      <c r="Z278" s="8684" t="s">
        <v>1412</v>
      </c>
      <c r="AA278" s="8684"/>
      <c r="AB278" s="8684" t="s">
        <v>1404</v>
      </c>
      <c r="AC278" s="8684"/>
      <c r="AD278" s="8684" t="s">
        <v>1395</v>
      </c>
      <c r="AE278" s="8684"/>
      <c r="AF278" s="8684" t="s">
        <v>1394</v>
      </c>
      <c r="AG278" s="8684"/>
      <c r="AH278" s="8684" t="s">
        <v>1393</v>
      </c>
      <c r="AI278" s="8684"/>
      <c r="AJ278" s="8684" t="s">
        <v>1403</v>
      </c>
      <c r="AK278" s="8789"/>
      <c r="AL278" s="8689"/>
      <c r="AM278" s="8689"/>
      <c r="AN278" s="8689"/>
      <c r="AO278" s="8689"/>
      <c r="AP278" s="4684"/>
      <c r="AQ278" s="4684"/>
      <c r="AR278" s="4684"/>
      <c r="AS278" s="4684"/>
      <c r="AT278" s="4684"/>
      <c r="AU278" s="4684"/>
      <c r="AV278" s="4684"/>
      <c r="AW278" s="4684"/>
      <c r="AX278" s="6714"/>
      <c r="AY278" s="6714"/>
      <c r="BA278" s="4657"/>
      <c r="BB278" s="4657"/>
    </row>
    <row r="279" spans="1:130" ht="33" customHeight="1" x14ac:dyDescent="0.2">
      <c r="A279" s="8698"/>
      <c r="B279" s="8700"/>
      <c r="C279" s="6960" t="s">
        <v>42</v>
      </c>
      <c r="D279" s="6961" t="s">
        <v>17</v>
      </c>
      <c r="E279" s="6150" t="s">
        <v>18</v>
      </c>
      <c r="F279" s="6962" t="s">
        <v>17</v>
      </c>
      <c r="G279" s="6963" t="s">
        <v>18</v>
      </c>
      <c r="H279" s="6962" t="s">
        <v>17</v>
      </c>
      <c r="I279" s="6963" t="s">
        <v>18</v>
      </c>
      <c r="J279" s="6962" t="s">
        <v>17</v>
      </c>
      <c r="K279" s="6963" t="s">
        <v>18</v>
      </c>
      <c r="L279" s="6962" t="s">
        <v>17</v>
      </c>
      <c r="M279" s="6963" t="s">
        <v>18</v>
      </c>
      <c r="N279" s="6962" t="s">
        <v>17</v>
      </c>
      <c r="O279" s="6963" t="s">
        <v>18</v>
      </c>
      <c r="P279" s="6962" t="s">
        <v>17</v>
      </c>
      <c r="Q279" s="6963" t="s">
        <v>18</v>
      </c>
      <c r="R279" s="6962" t="s">
        <v>17</v>
      </c>
      <c r="S279" s="6963" t="s">
        <v>18</v>
      </c>
      <c r="T279" s="6964" t="s">
        <v>17</v>
      </c>
      <c r="U279" s="6964" t="s">
        <v>18</v>
      </c>
      <c r="V279" s="6965" t="s">
        <v>17</v>
      </c>
      <c r="W279" s="6963" t="s">
        <v>18</v>
      </c>
      <c r="X279" s="6962" t="s">
        <v>17</v>
      </c>
      <c r="Y279" s="6963" t="s">
        <v>18</v>
      </c>
      <c r="Z279" s="6962" t="s">
        <v>17</v>
      </c>
      <c r="AA279" s="6963" t="s">
        <v>18</v>
      </c>
      <c r="AB279" s="6962" t="s">
        <v>17</v>
      </c>
      <c r="AC279" s="6963" t="s">
        <v>18</v>
      </c>
      <c r="AD279" s="6962" t="s">
        <v>17</v>
      </c>
      <c r="AE279" s="6963" t="s">
        <v>18</v>
      </c>
      <c r="AF279" s="6962" t="s">
        <v>17</v>
      </c>
      <c r="AG279" s="6963" t="s">
        <v>18</v>
      </c>
      <c r="AH279" s="6962" t="s">
        <v>17</v>
      </c>
      <c r="AI279" s="6963" t="s">
        <v>18</v>
      </c>
      <c r="AJ279" s="6962" t="s">
        <v>17</v>
      </c>
      <c r="AK279" s="6966" t="s">
        <v>18</v>
      </c>
      <c r="AL279" s="8723"/>
      <c r="AM279" s="8723"/>
      <c r="AN279" s="8723"/>
      <c r="AO279" s="8723"/>
      <c r="AP279" s="4684"/>
      <c r="AQ279" s="4684"/>
      <c r="AR279" s="4684"/>
      <c r="AS279" s="4684"/>
      <c r="AT279" s="4684"/>
      <c r="AU279" s="4684"/>
      <c r="AV279" s="4684"/>
      <c r="AW279" s="4684"/>
      <c r="AX279" s="6714"/>
      <c r="AY279" s="6714"/>
      <c r="BA279" s="4657"/>
      <c r="BB279" s="4657"/>
    </row>
    <row r="280" spans="1:130" ht="16.350000000000001" customHeight="1" x14ac:dyDescent="0.2">
      <c r="A280" s="8699" t="s">
        <v>739</v>
      </c>
      <c r="B280" s="6967" t="s">
        <v>29</v>
      </c>
      <c r="C280" s="6192">
        <f>SUM(D280+E280)</f>
        <v>0</v>
      </c>
      <c r="D280" s="6968">
        <f>SUM(F280+H280+J280+L280+N280+P280+R280+T280+V280+X280+Z280+AB280+AD280+AF280+AH280+AJ280)</f>
        <v>0</v>
      </c>
      <c r="E280" s="6761">
        <f>SUM(G280+I280+K280+M280+O280+Q280+S280+U280+W280+Y280+AA280+AC280+AE280+AG280+AI280+AK280)</f>
        <v>0</v>
      </c>
      <c r="F280" s="4285"/>
      <c r="G280" s="4204"/>
      <c r="H280" s="4285"/>
      <c r="I280" s="4204"/>
      <c r="J280" s="4285"/>
      <c r="K280" s="4204"/>
      <c r="L280" s="4285"/>
      <c r="M280" s="4204"/>
      <c r="N280" s="4285"/>
      <c r="O280" s="4204"/>
      <c r="P280" s="4285"/>
      <c r="Q280" s="4204"/>
      <c r="R280" s="4285"/>
      <c r="S280" s="4204"/>
      <c r="T280" s="4285"/>
      <c r="U280" s="4204"/>
      <c r="V280" s="4285"/>
      <c r="W280" s="4204"/>
      <c r="X280" s="4285"/>
      <c r="Y280" s="4204"/>
      <c r="Z280" s="4285"/>
      <c r="AA280" s="4204"/>
      <c r="AB280" s="4285"/>
      <c r="AC280" s="4204"/>
      <c r="AD280" s="4285"/>
      <c r="AE280" s="4204"/>
      <c r="AF280" s="4285"/>
      <c r="AG280" s="4204"/>
      <c r="AH280" s="4285"/>
      <c r="AI280" s="4204"/>
      <c r="AJ280" s="4285"/>
      <c r="AK280" s="6969"/>
      <c r="AL280" s="4204"/>
      <c r="AM280" s="4204"/>
      <c r="AN280" s="4204"/>
      <c r="AO280" s="4204"/>
      <c r="AP280" s="4653"/>
      <c r="AQ280" s="4684"/>
      <c r="AR280" s="4684"/>
      <c r="AS280" s="4684"/>
      <c r="AT280" s="4684"/>
      <c r="AU280" s="4684"/>
      <c r="AV280" s="4684"/>
      <c r="AW280" s="4684"/>
      <c r="AX280" s="6714"/>
      <c r="AY280" s="6714"/>
      <c r="BA280" s="4657"/>
      <c r="BB280" s="4657"/>
      <c r="DB280" s="6209">
        <v>0</v>
      </c>
      <c r="DD280" s="6209">
        <v>0</v>
      </c>
      <c r="DF280" s="6209">
        <v>0</v>
      </c>
      <c r="DH280" s="6209">
        <v>0</v>
      </c>
    </row>
    <row r="281" spans="1:130" ht="16.5" customHeight="1" x14ac:dyDescent="0.2">
      <c r="A281" s="8700"/>
      <c r="B281" s="6560" t="s">
        <v>73</v>
      </c>
      <c r="C281" s="6321">
        <f>SUM(D281+E281)</f>
        <v>0</v>
      </c>
      <c r="D281" s="6173">
        <f t="shared" ref="D281:E283" si="42">SUM(F281+H281+J281+L281+N281+P281+R281+T281+V281+X281+Z281+AB281+AD281+AF281+AH281+AJ281)</f>
        <v>0</v>
      </c>
      <c r="E281" s="6322">
        <f t="shared" si="42"/>
        <v>0</v>
      </c>
      <c r="F281" s="4367"/>
      <c r="G281" s="4369"/>
      <c r="H281" s="4367"/>
      <c r="I281" s="4369"/>
      <c r="J281" s="4367"/>
      <c r="K281" s="4369"/>
      <c r="L281" s="4367"/>
      <c r="M281" s="4369"/>
      <c r="N281" s="4367"/>
      <c r="O281" s="4369"/>
      <c r="P281" s="4367"/>
      <c r="Q281" s="4369"/>
      <c r="R281" s="4367"/>
      <c r="S281" s="4369"/>
      <c r="T281" s="4367"/>
      <c r="U281" s="4369"/>
      <c r="V281" s="4367"/>
      <c r="W281" s="4369"/>
      <c r="X281" s="4367"/>
      <c r="Y281" s="4369"/>
      <c r="Z281" s="4367"/>
      <c r="AA281" s="4369"/>
      <c r="AB281" s="4367"/>
      <c r="AC281" s="4369"/>
      <c r="AD281" s="4367"/>
      <c r="AE281" s="4369"/>
      <c r="AF281" s="4367"/>
      <c r="AG281" s="4369"/>
      <c r="AH281" s="4367"/>
      <c r="AI281" s="4369"/>
      <c r="AJ281" s="4367"/>
      <c r="AK281" s="5349"/>
      <c r="AL281" s="4369"/>
      <c r="AM281" s="4369"/>
      <c r="AN281" s="4369"/>
      <c r="AO281" s="4369"/>
      <c r="AP281" s="4653"/>
      <c r="AQ281" s="5516"/>
      <c r="AR281" s="5516"/>
      <c r="AS281" s="5516"/>
      <c r="AT281" s="5516"/>
      <c r="AU281" s="5516"/>
      <c r="AV281" s="5516"/>
      <c r="AW281" s="5516"/>
      <c r="BA281" s="4657"/>
      <c r="BB281" s="4657"/>
      <c r="DB281" s="6209">
        <v>0</v>
      </c>
      <c r="DD281" s="6209">
        <v>0</v>
      </c>
      <c r="DF281" s="6209">
        <v>0</v>
      </c>
      <c r="DH281" s="6209">
        <v>0</v>
      </c>
    </row>
    <row r="282" spans="1:130" ht="18" customHeight="1" x14ac:dyDescent="0.2">
      <c r="A282" s="8699" t="s">
        <v>738</v>
      </c>
      <c r="B282" s="6971" t="s">
        <v>29</v>
      </c>
      <c r="C282" s="6972">
        <f>SUM(D282+E282)</f>
        <v>0</v>
      </c>
      <c r="D282" s="6973">
        <f t="shared" si="42"/>
        <v>0</v>
      </c>
      <c r="E282" s="6783">
        <f t="shared" si="42"/>
        <v>0</v>
      </c>
      <c r="F282" s="4374"/>
      <c r="G282" s="4351"/>
      <c r="H282" s="4374"/>
      <c r="I282" s="4351"/>
      <c r="J282" s="4374"/>
      <c r="K282" s="4351"/>
      <c r="L282" s="4374"/>
      <c r="M282" s="4351"/>
      <c r="N282" s="4374"/>
      <c r="O282" s="4351"/>
      <c r="P282" s="4374"/>
      <c r="Q282" s="4351"/>
      <c r="R282" s="4374"/>
      <c r="S282" s="4351"/>
      <c r="T282" s="4374"/>
      <c r="U282" s="4351"/>
      <c r="V282" s="4374"/>
      <c r="W282" s="4351"/>
      <c r="X282" s="4374"/>
      <c r="Y282" s="4351"/>
      <c r="Z282" s="4374"/>
      <c r="AA282" s="4351"/>
      <c r="AB282" s="4374"/>
      <c r="AC282" s="4351"/>
      <c r="AD282" s="4374"/>
      <c r="AE282" s="4351"/>
      <c r="AF282" s="4374"/>
      <c r="AG282" s="4351"/>
      <c r="AH282" s="4374"/>
      <c r="AI282" s="4351"/>
      <c r="AJ282" s="4374"/>
      <c r="AK282" s="5334"/>
      <c r="AL282" s="4351"/>
      <c r="AM282" s="4351"/>
      <c r="AN282" s="4351"/>
      <c r="AO282" s="4351"/>
      <c r="AP282" s="4653"/>
      <c r="AW282" s="6974"/>
      <c r="AX282" s="6497"/>
    </row>
    <row r="283" spans="1:130" ht="17.25" customHeight="1" x14ac:dyDescent="0.2">
      <c r="A283" s="8700"/>
      <c r="B283" s="6560" t="s">
        <v>73</v>
      </c>
      <c r="C283" s="6321">
        <f>SUM(D283+E283)</f>
        <v>0</v>
      </c>
      <c r="D283" s="6173">
        <f t="shared" si="42"/>
        <v>0</v>
      </c>
      <c r="E283" s="6322">
        <f t="shared" si="42"/>
        <v>0</v>
      </c>
      <c r="F283" s="4367"/>
      <c r="G283" s="4369"/>
      <c r="H283" s="4367"/>
      <c r="I283" s="4369"/>
      <c r="J283" s="4367"/>
      <c r="K283" s="4369"/>
      <c r="L283" s="4367"/>
      <c r="M283" s="4369"/>
      <c r="N283" s="4367"/>
      <c r="O283" s="4369"/>
      <c r="P283" s="4367"/>
      <c r="Q283" s="4369"/>
      <c r="R283" s="4367"/>
      <c r="S283" s="4369"/>
      <c r="T283" s="4367"/>
      <c r="U283" s="4369"/>
      <c r="V283" s="4367"/>
      <c r="W283" s="4369"/>
      <c r="X283" s="4367"/>
      <c r="Y283" s="4369"/>
      <c r="Z283" s="4367"/>
      <c r="AA283" s="4369"/>
      <c r="AB283" s="4367"/>
      <c r="AC283" s="4369"/>
      <c r="AD283" s="4367"/>
      <c r="AE283" s="4369"/>
      <c r="AF283" s="4367"/>
      <c r="AG283" s="4369"/>
      <c r="AH283" s="4367"/>
      <c r="AI283" s="4369"/>
      <c r="AJ283" s="4367"/>
      <c r="AK283" s="5349"/>
      <c r="AL283" s="4369"/>
      <c r="AM283" s="4369"/>
      <c r="AN283" s="4369"/>
      <c r="AO283" s="4369"/>
      <c r="AP283" s="4653"/>
      <c r="AW283" s="6975"/>
      <c r="AX283" s="6497"/>
      <c r="BA283" s="4657"/>
      <c r="BB283" s="4657"/>
      <c r="BC283" s="4657"/>
      <c r="BD283" s="4657"/>
      <c r="BE283" s="4657"/>
      <c r="BF283" s="4657"/>
      <c r="BG283" s="4657"/>
      <c r="BH283" s="4657"/>
      <c r="BI283" s="4657"/>
      <c r="BJ283" s="4657"/>
      <c r="DB283" s="6209">
        <v>0</v>
      </c>
      <c r="DD283" s="6209">
        <v>0</v>
      </c>
      <c r="DF283" s="6209">
        <v>0</v>
      </c>
      <c r="DH283" s="6209">
        <v>0</v>
      </c>
    </row>
    <row r="284" spans="1:130" ht="21.75" customHeight="1" x14ac:dyDescent="0.2">
      <c r="A284" s="4878" t="s">
        <v>3149</v>
      </c>
      <c r="B284" s="6615"/>
      <c r="AV284" s="6975"/>
      <c r="AW284" s="6665"/>
      <c r="BA284" s="4657"/>
      <c r="BB284" s="4657"/>
      <c r="BC284" s="4657"/>
      <c r="BD284" s="4657"/>
      <c r="BE284" s="4657"/>
      <c r="BF284" s="4657"/>
      <c r="BG284" s="4657"/>
      <c r="BH284" s="4657"/>
      <c r="BI284" s="4657"/>
    </row>
    <row r="285" spans="1:130" ht="16.350000000000001" customHeight="1" x14ac:dyDescent="0.2">
      <c r="A285" s="8663" t="s">
        <v>737</v>
      </c>
      <c r="B285" s="8664"/>
      <c r="C285" s="8733" t="s">
        <v>39</v>
      </c>
      <c r="D285" s="8733"/>
      <c r="E285" s="8733"/>
      <c r="F285" s="8828" t="s">
        <v>736</v>
      </c>
      <c r="G285" s="8829"/>
      <c r="H285" s="8829"/>
      <c r="I285" s="8829"/>
      <c r="J285" s="8829"/>
      <c r="K285" s="8829"/>
      <c r="L285" s="8829"/>
      <c r="M285" s="8829"/>
      <c r="N285" s="8829"/>
      <c r="O285" s="8829"/>
      <c r="P285" s="8829"/>
      <c r="Q285" s="8829"/>
      <c r="R285" s="8829"/>
      <c r="S285" s="8829"/>
      <c r="T285" s="8829"/>
      <c r="U285" s="8829"/>
      <c r="V285" s="8829"/>
      <c r="W285" s="8829"/>
      <c r="X285" s="8829"/>
      <c r="Y285" s="8829"/>
      <c r="Z285" s="8829"/>
      <c r="AA285" s="8829"/>
      <c r="AB285" s="8829"/>
      <c r="AC285" s="8829"/>
      <c r="AD285" s="8829"/>
      <c r="AE285" s="8829"/>
      <c r="AF285" s="8829"/>
      <c r="AG285" s="8829"/>
      <c r="AH285" s="8829"/>
      <c r="AI285" s="8829"/>
      <c r="AJ285" s="8829"/>
      <c r="AK285" s="8829"/>
      <c r="AL285" s="8829"/>
      <c r="AM285" s="8830"/>
      <c r="AN285" s="8786" t="s">
        <v>73</v>
      </c>
      <c r="AO285" s="8786"/>
      <c r="AP285" s="8719"/>
      <c r="AQ285" s="8774" t="s">
        <v>711</v>
      </c>
      <c r="AR285" s="8775"/>
      <c r="AS285" s="8652" t="s">
        <v>360</v>
      </c>
      <c r="AT285" s="8652" t="s">
        <v>359</v>
      </c>
      <c r="AU285" s="8741" t="s">
        <v>2947</v>
      </c>
      <c r="AV285" s="8741" t="s">
        <v>2607</v>
      </c>
      <c r="AW285" s="6665"/>
      <c r="BA285" s="4657"/>
      <c r="BB285" s="4657"/>
      <c r="BC285" s="4657"/>
      <c r="BD285" s="4657"/>
      <c r="BE285" s="4657"/>
      <c r="BF285" s="4657"/>
      <c r="BG285" s="4657"/>
      <c r="BH285" s="4657"/>
      <c r="BI285" s="4657"/>
      <c r="DI285" s="6209">
        <v>0</v>
      </c>
    </row>
    <row r="286" spans="1:130" ht="16.350000000000001" customHeight="1" x14ac:dyDescent="0.2">
      <c r="A286" s="8695"/>
      <c r="B286" s="8689"/>
      <c r="C286" s="8733"/>
      <c r="D286" s="8733"/>
      <c r="E286" s="8733"/>
      <c r="F286" s="8709" t="s">
        <v>397</v>
      </c>
      <c r="G286" s="8709"/>
      <c r="H286" s="8709" t="s">
        <v>54</v>
      </c>
      <c r="I286" s="8709"/>
      <c r="J286" s="8709" t="s">
        <v>79</v>
      </c>
      <c r="K286" s="8709"/>
      <c r="L286" s="8709" t="s">
        <v>80</v>
      </c>
      <c r="M286" s="8709"/>
      <c r="N286" s="8787" t="s">
        <v>81</v>
      </c>
      <c r="O286" s="8788"/>
      <c r="P286" s="8684" t="s">
        <v>115</v>
      </c>
      <c r="Q286" s="8684"/>
      <c r="R286" s="8684" t="s">
        <v>116</v>
      </c>
      <c r="S286" s="8684"/>
      <c r="T286" s="8684" t="s">
        <v>117</v>
      </c>
      <c r="U286" s="8684"/>
      <c r="V286" s="8684" t="s">
        <v>118</v>
      </c>
      <c r="W286" s="8684"/>
      <c r="X286" s="8684" t="s">
        <v>119</v>
      </c>
      <c r="Y286" s="8684"/>
      <c r="Z286" s="8684" t="s">
        <v>120</v>
      </c>
      <c r="AA286" s="8684"/>
      <c r="AB286" s="8684" t="s">
        <v>1412</v>
      </c>
      <c r="AC286" s="8684"/>
      <c r="AD286" s="8684" t="s">
        <v>1404</v>
      </c>
      <c r="AE286" s="8684"/>
      <c r="AF286" s="8684" t="s">
        <v>1395</v>
      </c>
      <c r="AG286" s="8684"/>
      <c r="AH286" s="8684" t="s">
        <v>1394</v>
      </c>
      <c r="AI286" s="8684"/>
      <c r="AJ286" s="8684" t="s">
        <v>1393</v>
      </c>
      <c r="AK286" s="8684"/>
      <c r="AL286" s="8684" t="s">
        <v>1403</v>
      </c>
      <c r="AM286" s="8789"/>
      <c r="AN286" s="8790" t="s">
        <v>44</v>
      </c>
      <c r="AO286" s="8790" t="s">
        <v>735</v>
      </c>
      <c r="AP286" s="8741" t="s">
        <v>734</v>
      </c>
      <c r="AQ286" s="8776"/>
      <c r="AR286" s="8777"/>
      <c r="AS286" s="8703"/>
      <c r="AT286" s="8703"/>
      <c r="AU286" s="8749"/>
      <c r="AV286" s="8749"/>
      <c r="AW286" s="4684"/>
      <c r="AX286" s="6714"/>
      <c r="AY286" s="6714"/>
      <c r="AZ286" s="6714"/>
      <c r="BA286" s="4684"/>
      <c r="BB286" s="4684"/>
      <c r="BC286" s="4684"/>
      <c r="BD286" s="4684"/>
      <c r="BE286" s="4684"/>
      <c r="BF286" s="4684"/>
      <c r="BG286" s="4657"/>
      <c r="BH286" s="4657"/>
      <c r="BI286" s="4657"/>
    </row>
    <row r="287" spans="1:130" ht="30" customHeight="1" x14ac:dyDescent="0.2">
      <c r="A287" s="8665"/>
      <c r="B287" s="8666"/>
      <c r="C287" s="6494" t="s">
        <v>42</v>
      </c>
      <c r="D287" s="5620" t="s">
        <v>17</v>
      </c>
      <c r="E287" s="5763" t="s">
        <v>18</v>
      </c>
      <c r="F287" s="6494" t="s">
        <v>706</v>
      </c>
      <c r="G287" s="6620" t="s">
        <v>18</v>
      </c>
      <c r="H287" s="6494" t="s">
        <v>706</v>
      </c>
      <c r="I287" s="6620" t="s">
        <v>18</v>
      </c>
      <c r="J287" s="6494" t="s">
        <v>706</v>
      </c>
      <c r="K287" s="6620" t="s">
        <v>18</v>
      </c>
      <c r="L287" s="6494" t="s">
        <v>706</v>
      </c>
      <c r="M287" s="6620" t="s">
        <v>18</v>
      </c>
      <c r="N287" s="6494" t="s">
        <v>706</v>
      </c>
      <c r="O287" s="6620" t="s">
        <v>18</v>
      </c>
      <c r="P287" s="6494" t="s">
        <v>706</v>
      </c>
      <c r="Q287" s="6620" t="s">
        <v>18</v>
      </c>
      <c r="R287" s="6494" t="s">
        <v>706</v>
      </c>
      <c r="S287" s="6620" t="s">
        <v>18</v>
      </c>
      <c r="T287" s="6494" t="s">
        <v>706</v>
      </c>
      <c r="U287" s="6620" t="s">
        <v>18</v>
      </c>
      <c r="V287" s="6494" t="s">
        <v>706</v>
      </c>
      <c r="W287" s="6620" t="s">
        <v>18</v>
      </c>
      <c r="X287" s="6494" t="s">
        <v>706</v>
      </c>
      <c r="Y287" s="6620" t="s">
        <v>18</v>
      </c>
      <c r="Z287" s="6494" t="s">
        <v>706</v>
      </c>
      <c r="AA287" s="6620" t="s">
        <v>18</v>
      </c>
      <c r="AB287" s="6494" t="s">
        <v>706</v>
      </c>
      <c r="AC287" s="6620" t="s">
        <v>18</v>
      </c>
      <c r="AD287" s="6494" t="s">
        <v>706</v>
      </c>
      <c r="AE287" s="6620" t="s">
        <v>18</v>
      </c>
      <c r="AF287" s="6494" t="s">
        <v>706</v>
      </c>
      <c r="AG287" s="6620" t="s">
        <v>18</v>
      </c>
      <c r="AH287" s="6494" t="s">
        <v>706</v>
      </c>
      <c r="AI287" s="6620" t="s">
        <v>18</v>
      </c>
      <c r="AJ287" s="6494" t="s">
        <v>706</v>
      </c>
      <c r="AK287" s="6620" t="s">
        <v>18</v>
      </c>
      <c r="AL287" s="6494" t="s">
        <v>706</v>
      </c>
      <c r="AM287" s="6976" t="s">
        <v>18</v>
      </c>
      <c r="AN287" s="8791"/>
      <c r="AO287" s="8791"/>
      <c r="AP287" s="8660"/>
      <c r="AQ287" s="6494" t="s">
        <v>356</v>
      </c>
      <c r="AR287" s="6405" t="s">
        <v>357</v>
      </c>
      <c r="AS287" s="8653"/>
      <c r="AT287" s="8653"/>
      <c r="AU287" s="8660"/>
      <c r="AV287" s="8660"/>
      <c r="AW287" s="4684"/>
      <c r="AX287" s="6714"/>
      <c r="AY287" s="6714"/>
      <c r="AZ287" s="6714"/>
      <c r="BA287" s="4684"/>
      <c r="BB287" s="4684"/>
      <c r="BC287" s="4684"/>
      <c r="BD287" s="4684"/>
      <c r="BE287" s="4684"/>
      <c r="BF287" s="4684"/>
      <c r="BG287" s="4657"/>
      <c r="BH287" s="4657"/>
      <c r="BI287" s="4657"/>
    </row>
    <row r="288" spans="1:130" ht="23.25" customHeight="1" x14ac:dyDescent="0.2">
      <c r="A288" s="8693" t="s">
        <v>733</v>
      </c>
      <c r="B288" s="8694"/>
      <c r="C288" s="6831">
        <f t="shared" ref="C288:C297" si="43">SUM(D288+E288)</f>
        <v>0</v>
      </c>
      <c r="D288" s="6832">
        <f>SUM(F288+H288+J288+L288+N288+P288+R288+T288+V288+X288+Z288+AB288+AD288+AF288+AH288+AJ288+AL288)</f>
        <v>0</v>
      </c>
      <c r="E288" s="6851">
        <f>SUM(G288+I288+K288+M288+O288+Q288+S288+U288+W288+Y288+AA288+AC288+AE288+AG288+AI288+AK288+AM288)</f>
        <v>0</v>
      </c>
      <c r="F288" s="6831">
        <f>SUM(F298:F306)</f>
        <v>0</v>
      </c>
      <c r="G288" s="6977">
        <f>SUM(G298:G306)</f>
        <v>0</v>
      </c>
      <c r="H288" s="6831">
        <f>SUM(H298:H306)</f>
        <v>0</v>
      </c>
      <c r="I288" s="6977">
        <f>SUM(I298:I306)</f>
        <v>0</v>
      </c>
      <c r="J288" s="6831">
        <f>SUM(J298:J306)</f>
        <v>0</v>
      </c>
      <c r="K288" s="6977">
        <f>SUM(K289:K306)</f>
        <v>0</v>
      </c>
      <c r="L288" s="6831">
        <f>SUM(L298:L306)</f>
        <v>0</v>
      </c>
      <c r="M288" s="6977">
        <f>SUM(M289:M306)</f>
        <v>0</v>
      </c>
      <c r="N288" s="6831">
        <f>SUM(N298:N306)</f>
        <v>0</v>
      </c>
      <c r="O288" s="6977">
        <f>SUM(O289:O306)</f>
        <v>0</v>
      </c>
      <c r="P288" s="6831">
        <f>SUM(P298:P306)</f>
        <v>0</v>
      </c>
      <c r="Q288" s="6977">
        <f>SUM(Q289:Q306)</f>
        <v>0</v>
      </c>
      <c r="R288" s="6831">
        <f>SUM(R298:R306)</f>
        <v>0</v>
      </c>
      <c r="S288" s="6977">
        <f>SUM(S289:S306)</f>
        <v>0</v>
      </c>
      <c r="T288" s="6831">
        <f>SUM(T298:T306)</f>
        <v>0</v>
      </c>
      <c r="U288" s="6977">
        <f>SUM(U289:U306)</f>
        <v>0</v>
      </c>
      <c r="V288" s="6831">
        <f>SUM(V298:V306)</f>
        <v>0</v>
      </c>
      <c r="W288" s="6977">
        <f>SUM(W289:W306)</f>
        <v>0</v>
      </c>
      <c r="X288" s="6831">
        <f>SUM(X298:X306)</f>
        <v>0</v>
      </c>
      <c r="Y288" s="6977">
        <f>SUM(Y289:Y306)</f>
        <v>0</v>
      </c>
      <c r="Z288" s="6831">
        <f>SUM(Z298:Z306)</f>
        <v>0</v>
      </c>
      <c r="AA288" s="6977">
        <f>SUM(AA289:AA306)</f>
        <v>0</v>
      </c>
      <c r="AB288" s="6831">
        <f t="shared" ref="AB288:AM288" si="44">SUM(AB298:AB306)</f>
        <v>0</v>
      </c>
      <c r="AC288" s="6977">
        <f>SUM(AC289:AC306)</f>
        <v>0</v>
      </c>
      <c r="AD288" s="6831">
        <f t="shared" si="44"/>
        <v>0</v>
      </c>
      <c r="AE288" s="6977">
        <f t="shared" si="44"/>
        <v>0</v>
      </c>
      <c r="AF288" s="6831">
        <f t="shared" si="44"/>
        <v>0</v>
      </c>
      <c r="AG288" s="6977">
        <f t="shared" si="44"/>
        <v>0</v>
      </c>
      <c r="AH288" s="6831">
        <f t="shared" si="44"/>
        <v>0</v>
      </c>
      <c r="AI288" s="6977">
        <f t="shared" si="44"/>
        <v>0</v>
      </c>
      <c r="AJ288" s="6831">
        <f t="shared" si="44"/>
        <v>0</v>
      </c>
      <c r="AK288" s="6977">
        <f t="shared" si="44"/>
        <v>0</v>
      </c>
      <c r="AL288" s="6831">
        <f>SUM(AL298:AL306)</f>
        <v>0</v>
      </c>
      <c r="AM288" s="6978">
        <f t="shared" si="44"/>
        <v>0</v>
      </c>
      <c r="AN288" s="6928">
        <f t="shared" ref="AN288:AU288" si="45">SUM(AN289:AN306)</f>
        <v>0</v>
      </c>
      <c r="AO288" s="6928">
        <f t="shared" si="45"/>
        <v>0</v>
      </c>
      <c r="AP288" s="6979">
        <f t="shared" si="45"/>
        <v>0</v>
      </c>
      <c r="AQ288" s="6831">
        <f t="shared" si="45"/>
        <v>0</v>
      </c>
      <c r="AR288" s="6979">
        <f t="shared" si="45"/>
        <v>0</v>
      </c>
      <c r="AS288" s="5625">
        <f t="shared" si="45"/>
        <v>0</v>
      </c>
      <c r="AT288" s="5625">
        <f t="shared" si="45"/>
        <v>0</v>
      </c>
      <c r="AU288" s="6851">
        <f t="shared" si="45"/>
        <v>0</v>
      </c>
      <c r="AV288" s="6851">
        <f>SUM(AV289:AV306)</f>
        <v>0</v>
      </c>
      <c r="AW288" s="6970"/>
      <c r="AX288" s="6714"/>
      <c r="AY288" s="6714"/>
      <c r="AZ288" s="6714"/>
      <c r="BA288" s="4684"/>
      <c r="BB288" s="4684"/>
      <c r="BC288" s="4684"/>
      <c r="BD288" s="4684"/>
      <c r="BE288" s="4684"/>
      <c r="BF288" s="4684"/>
      <c r="BG288" s="4657"/>
      <c r="BH288" s="4657"/>
      <c r="BI288" s="4657"/>
    </row>
    <row r="289" spans="1:113" ht="16.350000000000001" customHeight="1" x14ac:dyDescent="0.2">
      <c r="A289" s="8778" t="s">
        <v>85</v>
      </c>
      <c r="B289" s="6980" t="s">
        <v>732</v>
      </c>
      <c r="C289" s="6639">
        <f t="shared" si="43"/>
        <v>0</v>
      </c>
      <c r="D289" s="7629"/>
      <c r="E289" s="6839">
        <f t="shared" ref="E289:E297" si="46">SUM(K289+M289+O289+Q289+S289+U289+W289+Y289+AA289+AC289)</f>
        <v>0</v>
      </c>
      <c r="F289" s="7603"/>
      <c r="G289" s="7604"/>
      <c r="H289" s="7604"/>
      <c r="I289" s="7604"/>
      <c r="J289" s="7626"/>
      <c r="K289" s="6573"/>
      <c r="L289" s="7623"/>
      <c r="M289" s="6573"/>
      <c r="N289" s="7623"/>
      <c r="O289" s="6573"/>
      <c r="P289" s="7623"/>
      <c r="Q289" s="6573"/>
      <c r="R289" s="7623"/>
      <c r="S289" s="6573"/>
      <c r="T289" s="7623"/>
      <c r="U289" s="6573"/>
      <c r="V289" s="7623"/>
      <c r="W289" s="6573"/>
      <c r="X289" s="7623"/>
      <c r="Y289" s="6573"/>
      <c r="Z289" s="7623"/>
      <c r="AA289" s="6573"/>
      <c r="AB289" s="7623"/>
      <c r="AC289" s="6573"/>
      <c r="AD289" s="7603"/>
      <c r="AE289" s="7604"/>
      <c r="AF289" s="7604"/>
      <c r="AG289" s="7604"/>
      <c r="AH289" s="7604"/>
      <c r="AI289" s="7604"/>
      <c r="AJ289" s="7604"/>
      <c r="AK289" s="7604"/>
      <c r="AL289" s="7604"/>
      <c r="AM289" s="7605"/>
      <c r="AN289" s="6649"/>
      <c r="AO289" s="6934"/>
      <c r="AP289" s="6573"/>
      <c r="AQ289" s="6726"/>
      <c r="AR289" s="6573"/>
      <c r="AS289" s="5552"/>
      <c r="AT289" s="5552"/>
      <c r="AU289" s="6573"/>
      <c r="AV289" s="6573"/>
      <c r="AW289" s="4653"/>
      <c r="AX289" s="6714"/>
      <c r="AY289" s="6714"/>
      <c r="AZ289" s="6714"/>
      <c r="BA289" s="4684"/>
      <c r="BB289" s="4684"/>
      <c r="BC289" s="4684"/>
      <c r="BD289" s="4684"/>
      <c r="BE289" s="4684"/>
      <c r="BF289" s="4684"/>
      <c r="BG289" s="4657"/>
      <c r="BH289" s="4657"/>
      <c r="BI289" s="4657"/>
      <c r="CC289" s="6510"/>
      <c r="DB289" s="6209">
        <v>0</v>
      </c>
      <c r="DD289" s="6209">
        <v>0</v>
      </c>
      <c r="DF289" s="6209">
        <v>0</v>
      </c>
      <c r="DH289" s="6209">
        <v>0</v>
      </c>
      <c r="DI289" s="6209">
        <v>0</v>
      </c>
    </row>
    <row r="290" spans="1:113" ht="16.350000000000001" customHeight="1" x14ac:dyDescent="0.2">
      <c r="A290" s="8628"/>
      <c r="B290" s="6981" t="s">
        <v>731</v>
      </c>
      <c r="C290" s="6639">
        <f t="shared" si="43"/>
        <v>0</v>
      </c>
      <c r="D290" s="7630"/>
      <c r="E290" s="6858">
        <f t="shared" si="46"/>
        <v>0</v>
      </c>
      <c r="F290" s="7606"/>
      <c r="G290" s="7607"/>
      <c r="H290" s="7607"/>
      <c r="I290" s="7607"/>
      <c r="J290" s="7627"/>
      <c r="K290" s="6573"/>
      <c r="L290" s="7624"/>
      <c r="M290" s="6573"/>
      <c r="N290" s="7624"/>
      <c r="O290" s="6573"/>
      <c r="P290" s="7624"/>
      <c r="Q290" s="6573"/>
      <c r="R290" s="7624"/>
      <c r="S290" s="6573"/>
      <c r="T290" s="7624"/>
      <c r="U290" s="6573"/>
      <c r="V290" s="7624"/>
      <c r="W290" s="6573"/>
      <c r="X290" s="7624"/>
      <c r="Y290" s="6573"/>
      <c r="Z290" s="7624"/>
      <c r="AA290" s="6573"/>
      <c r="AB290" s="7624"/>
      <c r="AC290" s="6573"/>
      <c r="AD290" s="7606"/>
      <c r="AE290" s="7607"/>
      <c r="AF290" s="7607"/>
      <c r="AG290" s="7607"/>
      <c r="AH290" s="7607"/>
      <c r="AI290" s="7607"/>
      <c r="AJ290" s="7607"/>
      <c r="AK290" s="7607"/>
      <c r="AL290" s="7607"/>
      <c r="AM290" s="7608"/>
      <c r="AN290" s="6934"/>
      <c r="AO290" s="6934"/>
      <c r="AP290" s="6573"/>
      <c r="AQ290" s="6726"/>
      <c r="AR290" s="6573"/>
      <c r="AS290" s="5552"/>
      <c r="AT290" s="5552"/>
      <c r="AU290" s="6573"/>
      <c r="AV290" s="6573"/>
      <c r="AW290" s="4653"/>
      <c r="AX290" s="6714"/>
      <c r="AY290" s="6714"/>
      <c r="AZ290" s="6714"/>
      <c r="BA290" s="4684"/>
      <c r="BB290" s="4684"/>
      <c r="BC290" s="4684"/>
      <c r="BD290" s="4684"/>
      <c r="BE290" s="4684"/>
      <c r="BF290" s="4684"/>
      <c r="BG290" s="4657"/>
      <c r="BH290" s="4657"/>
      <c r="BI290" s="4657"/>
      <c r="CC290" s="6510"/>
    </row>
    <row r="291" spans="1:113" ht="16.350000000000001" customHeight="1" x14ac:dyDescent="0.2">
      <c r="A291" s="8628"/>
      <c r="B291" s="6479" t="s">
        <v>730</v>
      </c>
      <c r="C291" s="6639">
        <f t="shared" si="43"/>
        <v>0</v>
      </c>
      <c r="D291" s="7630"/>
      <c r="E291" s="6862">
        <f t="shared" si="46"/>
        <v>0</v>
      </c>
      <c r="F291" s="7606"/>
      <c r="G291" s="7607"/>
      <c r="H291" s="7607"/>
      <c r="I291" s="7607"/>
      <c r="J291" s="7627"/>
      <c r="K291" s="5582"/>
      <c r="L291" s="7624"/>
      <c r="M291" s="5582"/>
      <c r="N291" s="7624"/>
      <c r="O291" s="5582"/>
      <c r="P291" s="7624"/>
      <c r="Q291" s="5582"/>
      <c r="R291" s="7624"/>
      <c r="S291" s="5582"/>
      <c r="T291" s="7624"/>
      <c r="U291" s="5582"/>
      <c r="V291" s="7624"/>
      <c r="W291" s="5582"/>
      <c r="X291" s="7624"/>
      <c r="Y291" s="5582"/>
      <c r="Z291" s="7624"/>
      <c r="AA291" s="5582"/>
      <c r="AB291" s="7624"/>
      <c r="AC291" s="5582"/>
      <c r="AD291" s="7606"/>
      <c r="AE291" s="7607"/>
      <c r="AF291" s="7607"/>
      <c r="AG291" s="7607"/>
      <c r="AH291" s="7607"/>
      <c r="AI291" s="7607"/>
      <c r="AJ291" s="7607"/>
      <c r="AK291" s="7607"/>
      <c r="AL291" s="7607"/>
      <c r="AM291" s="7608"/>
      <c r="AN291" s="6651"/>
      <c r="AO291" s="6651"/>
      <c r="AP291" s="5582"/>
      <c r="AQ291" s="4778"/>
      <c r="AR291" s="5582"/>
      <c r="AS291" s="4869"/>
      <c r="AT291" s="4869"/>
      <c r="AU291" s="5582"/>
      <c r="AV291" s="5582"/>
      <c r="AW291" s="4653"/>
      <c r="AX291" s="6714"/>
      <c r="AY291" s="6714"/>
      <c r="AZ291" s="6714"/>
      <c r="BA291" s="4684"/>
      <c r="BB291" s="4684"/>
      <c r="BC291" s="4684"/>
      <c r="BD291" s="4684"/>
      <c r="BE291" s="4684"/>
      <c r="BF291" s="4684"/>
      <c r="BG291" s="4657"/>
      <c r="BH291" s="4657"/>
      <c r="BI291" s="4657"/>
      <c r="CC291" s="6510"/>
    </row>
    <row r="292" spans="1:113" ht="16.350000000000001" customHeight="1" x14ac:dyDescent="0.2">
      <c r="A292" s="8628"/>
      <c r="B292" s="6479" t="s">
        <v>729</v>
      </c>
      <c r="C292" s="6639">
        <f t="shared" si="43"/>
        <v>0</v>
      </c>
      <c r="D292" s="7630"/>
      <c r="E292" s="6862">
        <f t="shared" si="46"/>
        <v>0</v>
      </c>
      <c r="F292" s="7606"/>
      <c r="G292" s="7607"/>
      <c r="H292" s="7607"/>
      <c r="I292" s="7607"/>
      <c r="J292" s="7627"/>
      <c r="K292" s="5582"/>
      <c r="L292" s="7624"/>
      <c r="M292" s="5582"/>
      <c r="N292" s="7624"/>
      <c r="O292" s="5582"/>
      <c r="P292" s="7624"/>
      <c r="Q292" s="5582"/>
      <c r="R292" s="7624"/>
      <c r="S292" s="5582"/>
      <c r="T292" s="7624"/>
      <c r="U292" s="5582"/>
      <c r="V292" s="7624"/>
      <c r="W292" s="5582"/>
      <c r="X292" s="7624"/>
      <c r="Y292" s="5582"/>
      <c r="Z292" s="7624"/>
      <c r="AA292" s="5582"/>
      <c r="AB292" s="7624"/>
      <c r="AC292" s="5582"/>
      <c r="AD292" s="7606"/>
      <c r="AE292" s="7607"/>
      <c r="AF292" s="7607"/>
      <c r="AG292" s="7607"/>
      <c r="AH292" s="7607"/>
      <c r="AI292" s="7607"/>
      <c r="AJ292" s="7607"/>
      <c r="AK292" s="7607"/>
      <c r="AL292" s="7607"/>
      <c r="AM292" s="7608"/>
      <c r="AN292" s="6651"/>
      <c r="AO292" s="6651"/>
      <c r="AP292" s="5582"/>
      <c r="AQ292" s="4778"/>
      <c r="AR292" s="5582"/>
      <c r="AS292" s="4869"/>
      <c r="AT292" s="4869"/>
      <c r="AU292" s="5582"/>
      <c r="AV292" s="5582"/>
      <c r="AW292" s="4653"/>
      <c r="AX292" s="6714"/>
      <c r="AY292" s="6714"/>
      <c r="AZ292" s="6714"/>
      <c r="BA292" s="4684"/>
      <c r="BB292" s="4684"/>
      <c r="BC292" s="4684"/>
      <c r="BD292" s="4684"/>
      <c r="BE292" s="4684"/>
      <c r="BF292" s="4684"/>
      <c r="BG292" s="4657"/>
      <c r="BH292" s="4657"/>
      <c r="BI292" s="4657"/>
      <c r="CC292" s="6510"/>
    </row>
    <row r="293" spans="1:113" ht="16.350000000000001" customHeight="1" x14ac:dyDescent="0.2">
      <c r="A293" s="8628"/>
      <c r="B293" s="6479" t="s">
        <v>728</v>
      </c>
      <c r="C293" s="6639">
        <f t="shared" si="43"/>
        <v>0</v>
      </c>
      <c r="D293" s="7630"/>
      <c r="E293" s="6862">
        <f t="shared" si="46"/>
        <v>0</v>
      </c>
      <c r="F293" s="7606"/>
      <c r="G293" s="7607"/>
      <c r="H293" s="7607"/>
      <c r="I293" s="7607"/>
      <c r="J293" s="7627"/>
      <c r="K293" s="5582"/>
      <c r="L293" s="7624"/>
      <c r="M293" s="5582"/>
      <c r="N293" s="7624"/>
      <c r="O293" s="5582"/>
      <c r="P293" s="7624"/>
      <c r="Q293" s="5582"/>
      <c r="R293" s="7624"/>
      <c r="S293" s="5582"/>
      <c r="T293" s="7624"/>
      <c r="U293" s="5582"/>
      <c r="V293" s="7624"/>
      <c r="W293" s="5582"/>
      <c r="X293" s="7624"/>
      <c r="Y293" s="5582"/>
      <c r="Z293" s="7624"/>
      <c r="AA293" s="5582"/>
      <c r="AB293" s="7624"/>
      <c r="AC293" s="5582"/>
      <c r="AD293" s="7606"/>
      <c r="AE293" s="7607"/>
      <c r="AF293" s="7607"/>
      <c r="AG293" s="7607"/>
      <c r="AH293" s="7607"/>
      <c r="AI293" s="7607"/>
      <c r="AJ293" s="7607"/>
      <c r="AK293" s="7607"/>
      <c r="AL293" s="7607"/>
      <c r="AM293" s="7608"/>
      <c r="AN293" s="6651"/>
      <c r="AO293" s="6651"/>
      <c r="AP293" s="5582"/>
      <c r="AQ293" s="4778"/>
      <c r="AR293" s="5582"/>
      <c r="AS293" s="4869"/>
      <c r="AT293" s="4869"/>
      <c r="AU293" s="5582"/>
      <c r="AV293" s="5582"/>
      <c r="AW293" s="4653"/>
      <c r="AX293" s="6714"/>
      <c r="AY293" s="6714"/>
      <c r="AZ293" s="6714"/>
      <c r="BA293" s="4684"/>
      <c r="BB293" s="4684"/>
      <c r="BC293" s="4684"/>
      <c r="BD293" s="4684"/>
      <c r="BE293" s="4684"/>
      <c r="BF293" s="4684"/>
      <c r="BG293" s="4657"/>
      <c r="BH293" s="4657"/>
      <c r="BI293" s="4657"/>
      <c r="CC293" s="6510"/>
    </row>
    <row r="294" spans="1:113" ht="16.350000000000001" customHeight="1" x14ac:dyDescent="0.2">
      <c r="A294" s="8628"/>
      <c r="B294" s="6479" t="s">
        <v>727</v>
      </c>
      <c r="C294" s="6639">
        <f t="shared" si="43"/>
        <v>0</v>
      </c>
      <c r="D294" s="7630"/>
      <c r="E294" s="6862">
        <f t="shared" si="46"/>
        <v>0</v>
      </c>
      <c r="F294" s="7606"/>
      <c r="G294" s="7607"/>
      <c r="H294" s="7607"/>
      <c r="I294" s="7607"/>
      <c r="J294" s="7627"/>
      <c r="K294" s="5582"/>
      <c r="L294" s="7624"/>
      <c r="M294" s="5582"/>
      <c r="N294" s="7624"/>
      <c r="O294" s="5582"/>
      <c r="P294" s="7624"/>
      <c r="Q294" s="5582"/>
      <c r="R294" s="7624"/>
      <c r="S294" s="5582"/>
      <c r="T294" s="7624"/>
      <c r="U294" s="5582"/>
      <c r="V294" s="7624"/>
      <c r="W294" s="5582"/>
      <c r="X294" s="7624"/>
      <c r="Y294" s="5582"/>
      <c r="Z294" s="7624"/>
      <c r="AA294" s="5582"/>
      <c r="AB294" s="7624"/>
      <c r="AC294" s="5582"/>
      <c r="AD294" s="7606"/>
      <c r="AE294" s="7607"/>
      <c r="AF294" s="7607"/>
      <c r="AG294" s="7607"/>
      <c r="AH294" s="7607"/>
      <c r="AI294" s="7607"/>
      <c r="AJ294" s="7607"/>
      <c r="AK294" s="7607"/>
      <c r="AL294" s="7607"/>
      <c r="AM294" s="7608"/>
      <c r="AN294" s="6651"/>
      <c r="AO294" s="6651"/>
      <c r="AP294" s="5582"/>
      <c r="AQ294" s="4778"/>
      <c r="AR294" s="5582"/>
      <c r="AS294" s="4869"/>
      <c r="AT294" s="4869"/>
      <c r="AU294" s="5582"/>
      <c r="AV294" s="5582"/>
      <c r="AW294" s="4653"/>
      <c r="AX294" s="6714"/>
      <c r="AY294" s="6714"/>
      <c r="AZ294" s="6714"/>
      <c r="BA294" s="4684"/>
      <c r="BB294" s="4684"/>
      <c r="BC294" s="4684"/>
      <c r="BD294" s="4684"/>
      <c r="BE294" s="4684"/>
      <c r="BF294" s="4684"/>
      <c r="BG294" s="4657"/>
      <c r="BH294" s="4657"/>
      <c r="BI294" s="4657"/>
      <c r="CC294" s="6510"/>
    </row>
    <row r="295" spans="1:113" ht="16.350000000000001" customHeight="1" x14ac:dyDescent="0.2">
      <c r="A295" s="8628"/>
      <c r="B295" s="6479" t="s">
        <v>726</v>
      </c>
      <c r="C295" s="6639">
        <f t="shared" si="43"/>
        <v>0</v>
      </c>
      <c r="D295" s="7630"/>
      <c r="E295" s="6862">
        <f t="shared" si="46"/>
        <v>0</v>
      </c>
      <c r="F295" s="7606"/>
      <c r="G295" s="7607"/>
      <c r="H295" s="7607"/>
      <c r="I295" s="7607"/>
      <c r="J295" s="7627"/>
      <c r="K295" s="5582"/>
      <c r="L295" s="7624"/>
      <c r="M295" s="5582"/>
      <c r="N295" s="7624"/>
      <c r="O295" s="5582"/>
      <c r="P295" s="7624"/>
      <c r="Q295" s="5582"/>
      <c r="R295" s="7624"/>
      <c r="S295" s="5582"/>
      <c r="T295" s="7624"/>
      <c r="U295" s="5582"/>
      <c r="V295" s="7624"/>
      <c r="W295" s="5582"/>
      <c r="X295" s="7624"/>
      <c r="Y295" s="5582"/>
      <c r="Z295" s="7624"/>
      <c r="AA295" s="5582"/>
      <c r="AB295" s="7624"/>
      <c r="AC295" s="5582"/>
      <c r="AD295" s="7606"/>
      <c r="AE295" s="7607"/>
      <c r="AF295" s="7607"/>
      <c r="AG295" s="7607"/>
      <c r="AH295" s="7607"/>
      <c r="AI295" s="7607"/>
      <c r="AJ295" s="7607"/>
      <c r="AK295" s="7607"/>
      <c r="AL295" s="7607"/>
      <c r="AM295" s="7608"/>
      <c r="AN295" s="6651"/>
      <c r="AO295" s="6651"/>
      <c r="AP295" s="5582"/>
      <c r="AQ295" s="4778"/>
      <c r="AR295" s="5582"/>
      <c r="AS295" s="4869"/>
      <c r="AT295" s="4869"/>
      <c r="AU295" s="5582"/>
      <c r="AV295" s="5582"/>
      <c r="AW295" s="4653"/>
      <c r="AX295" s="6714"/>
      <c r="AY295" s="6714"/>
      <c r="AZ295" s="6714"/>
      <c r="BA295" s="4684"/>
      <c r="BB295" s="4684"/>
      <c r="BC295" s="4684"/>
      <c r="BD295" s="4684"/>
      <c r="BE295" s="4684"/>
      <c r="BF295" s="4684"/>
      <c r="BG295" s="4657"/>
      <c r="BH295" s="4657"/>
      <c r="BI295" s="4657"/>
      <c r="CC295" s="6510"/>
    </row>
    <row r="296" spans="1:113" ht="16.350000000000001" customHeight="1" x14ac:dyDescent="0.2">
      <c r="A296" s="8628"/>
      <c r="B296" s="6479" t="s">
        <v>725</v>
      </c>
      <c r="C296" s="6639">
        <f t="shared" si="43"/>
        <v>0</v>
      </c>
      <c r="D296" s="7630"/>
      <c r="E296" s="6862">
        <f t="shared" si="46"/>
        <v>0</v>
      </c>
      <c r="F296" s="7606"/>
      <c r="G296" s="7607"/>
      <c r="H296" s="7607"/>
      <c r="I296" s="7607"/>
      <c r="J296" s="7627"/>
      <c r="K296" s="5582"/>
      <c r="L296" s="7624"/>
      <c r="M296" s="5582"/>
      <c r="N296" s="7624"/>
      <c r="O296" s="5582"/>
      <c r="P296" s="7624"/>
      <c r="Q296" s="5582"/>
      <c r="R296" s="7624"/>
      <c r="S296" s="5582"/>
      <c r="T296" s="7624"/>
      <c r="U296" s="5582"/>
      <c r="V296" s="7624"/>
      <c r="W296" s="5582"/>
      <c r="X296" s="7624"/>
      <c r="Y296" s="5582"/>
      <c r="Z296" s="7624"/>
      <c r="AA296" s="5582"/>
      <c r="AB296" s="7624"/>
      <c r="AC296" s="5582"/>
      <c r="AD296" s="7606"/>
      <c r="AE296" s="7607"/>
      <c r="AF296" s="7607"/>
      <c r="AG296" s="7607"/>
      <c r="AH296" s="7607"/>
      <c r="AI296" s="7607"/>
      <c r="AJ296" s="7607"/>
      <c r="AK296" s="7607"/>
      <c r="AL296" s="7607"/>
      <c r="AM296" s="7608"/>
      <c r="AN296" s="6651"/>
      <c r="AO296" s="6651"/>
      <c r="AP296" s="5582"/>
      <c r="AQ296" s="4778"/>
      <c r="AR296" s="5582"/>
      <c r="AS296" s="4869"/>
      <c r="AT296" s="4869"/>
      <c r="AU296" s="5582"/>
      <c r="AV296" s="5582"/>
      <c r="AW296" s="4653"/>
      <c r="AX296" s="6714"/>
      <c r="AY296" s="6714"/>
      <c r="AZ296" s="6714"/>
      <c r="BA296" s="4684"/>
      <c r="BB296" s="4684"/>
      <c r="BC296" s="4684"/>
      <c r="BD296" s="4684"/>
      <c r="BE296" s="4684"/>
      <c r="BF296" s="4684"/>
      <c r="BG296" s="4657"/>
      <c r="BH296" s="4657"/>
      <c r="BI296" s="4657"/>
      <c r="CC296" s="6510"/>
    </row>
    <row r="297" spans="1:113" ht="16.350000000000001" customHeight="1" x14ac:dyDescent="0.2">
      <c r="A297" s="8779"/>
      <c r="B297" s="6982" t="s">
        <v>724</v>
      </c>
      <c r="C297" s="6715">
        <f t="shared" si="43"/>
        <v>0</v>
      </c>
      <c r="D297" s="7631"/>
      <c r="E297" s="6844">
        <f t="shared" si="46"/>
        <v>0</v>
      </c>
      <c r="F297" s="7609"/>
      <c r="G297" s="7610"/>
      <c r="H297" s="7610"/>
      <c r="I297" s="7610"/>
      <c r="J297" s="7628"/>
      <c r="K297" s="4888"/>
      <c r="L297" s="7625"/>
      <c r="M297" s="4888"/>
      <c r="N297" s="7625"/>
      <c r="O297" s="4888"/>
      <c r="P297" s="7625"/>
      <c r="Q297" s="4888"/>
      <c r="R297" s="7625"/>
      <c r="S297" s="4888"/>
      <c r="T297" s="7625"/>
      <c r="U297" s="4888"/>
      <c r="V297" s="7625"/>
      <c r="W297" s="4888"/>
      <c r="X297" s="7625"/>
      <c r="Y297" s="4888"/>
      <c r="Z297" s="7625"/>
      <c r="AA297" s="4888"/>
      <c r="AB297" s="7625"/>
      <c r="AC297" s="4888"/>
      <c r="AD297" s="7609"/>
      <c r="AE297" s="7610"/>
      <c r="AF297" s="7610"/>
      <c r="AG297" s="7610"/>
      <c r="AH297" s="7610"/>
      <c r="AI297" s="7610"/>
      <c r="AJ297" s="7610"/>
      <c r="AK297" s="7610"/>
      <c r="AL297" s="7610"/>
      <c r="AM297" s="7611"/>
      <c r="AN297" s="4798"/>
      <c r="AO297" s="4798"/>
      <c r="AP297" s="4888"/>
      <c r="AQ297" s="4796"/>
      <c r="AR297" s="4888"/>
      <c r="AS297" s="4877"/>
      <c r="AT297" s="4877"/>
      <c r="AU297" s="4888"/>
      <c r="AV297" s="4888"/>
      <c r="AW297" s="4653"/>
      <c r="AX297" s="6714"/>
      <c r="AY297" s="6714"/>
      <c r="AZ297" s="6714"/>
      <c r="BA297" s="4684"/>
      <c r="BB297" s="4684"/>
      <c r="BC297" s="4684"/>
      <c r="BD297" s="4684"/>
      <c r="BE297" s="4684"/>
      <c r="BF297" s="4684"/>
      <c r="BG297" s="4657"/>
      <c r="BH297" s="4657"/>
      <c r="BI297" s="4657"/>
      <c r="CC297" s="6510"/>
    </row>
    <row r="298" spans="1:113" ht="16.350000000000001" customHeight="1" x14ac:dyDescent="0.2">
      <c r="A298" s="8778" t="s">
        <v>718</v>
      </c>
      <c r="B298" s="6980" t="s">
        <v>732</v>
      </c>
      <c r="C298" s="6859">
        <f t="shared" ref="C298:C306" si="47">SUM(D298+E298)</f>
        <v>0</v>
      </c>
      <c r="D298" s="6860">
        <f>SUM(F298+H298+J298+L298+N298+P298+R298+T298+V298+X298+Z298+AB298+AD298+AF298+AH298+AJ298+AL298)</f>
        <v>0</v>
      </c>
      <c r="E298" s="6858">
        <f>SUM(G298+I298+K298+M298+O298+Q298+S298+U298+W298+Y298+AA298+AC298+AE298+AG298+AI298+AK298+AM298)</f>
        <v>0</v>
      </c>
      <c r="F298" s="6983"/>
      <c r="G298" s="6984"/>
      <c r="H298" s="6985"/>
      <c r="I298" s="6984"/>
      <c r="J298" s="6985"/>
      <c r="K298" s="6986"/>
      <c r="L298" s="6987"/>
      <c r="M298" s="6984"/>
      <c r="N298" s="6985"/>
      <c r="O298" s="6988"/>
      <c r="P298" s="6983"/>
      <c r="Q298" s="6984"/>
      <c r="R298" s="6985"/>
      <c r="S298" s="6988"/>
      <c r="T298" s="6983"/>
      <c r="U298" s="6984"/>
      <c r="V298" s="6985"/>
      <c r="W298" s="6988"/>
      <c r="X298" s="6983"/>
      <c r="Y298" s="6984"/>
      <c r="Z298" s="6985"/>
      <c r="AA298" s="6988"/>
      <c r="AB298" s="6983"/>
      <c r="AC298" s="6984"/>
      <c r="AD298" s="6985"/>
      <c r="AE298" s="6988"/>
      <c r="AF298" s="6983"/>
      <c r="AG298" s="6984"/>
      <c r="AH298" s="6985"/>
      <c r="AI298" s="6988"/>
      <c r="AJ298" s="6983"/>
      <c r="AK298" s="6984"/>
      <c r="AL298" s="6985"/>
      <c r="AM298" s="6989"/>
      <c r="AN298" s="6649"/>
      <c r="AO298" s="6934"/>
      <c r="AP298" s="6573"/>
      <c r="AQ298" s="6726"/>
      <c r="AR298" s="6573"/>
      <c r="AS298" s="5552"/>
      <c r="AT298" s="5552"/>
      <c r="AU298" s="6573"/>
      <c r="AV298" s="6573"/>
      <c r="AW298" s="4653"/>
      <c r="AX298" s="6714"/>
      <c r="AY298" s="6714"/>
      <c r="AZ298" s="6714"/>
      <c r="BA298" s="4684"/>
      <c r="BB298" s="4684"/>
      <c r="BC298" s="4684"/>
      <c r="BD298" s="4684"/>
      <c r="BE298" s="4684"/>
      <c r="BF298" s="4684"/>
      <c r="BG298" s="4657"/>
      <c r="BH298" s="4657"/>
      <c r="BI298" s="4657"/>
      <c r="CC298" s="6510"/>
    </row>
    <row r="299" spans="1:113" ht="16.350000000000001" customHeight="1" x14ac:dyDescent="0.2">
      <c r="A299" s="8628"/>
      <c r="B299" s="6981" t="s">
        <v>731</v>
      </c>
      <c r="C299" s="6736">
        <f t="shared" si="47"/>
        <v>0</v>
      </c>
      <c r="D299" s="6737">
        <f t="shared" ref="D299:D306" si="48">SUM(F299+H299+J299+L299+N299+P299+R299+T299+V299+X299+Z299+AB299+AD299+AF299+AH299+AJ299+AL299)</f>
        <v>0</v>
      </c>
      <c r="E299" s="6858">
        <f t="shared" ref="E299:E306" si="49">SUM(G299+I299+K299+M299+O299+Q299+S299+U299+W299+Y299+AA299+AC299+AE299+AG299+AI299+AK299+AM299)</f>
        <v>0</v>
      </c>
      <c r="F299" s="6726"/>
      <c r="G299" s="6986"/>
      <c r="H299" s="6726"/>
      <c r="I299" s="6986"/>
      <c r="J299" s="6726"/>
      <c r="K299" s="6986"/>
      <c r="L299" s="6726"/>
      <c r="M299" s="6986"/>
      <c r="N299" s="6934"/>
      <c r="O299" s="4549"/>
      <c r="P299" s="6726"/>
      <c r="Q299" s="6986"/>
      <c r="R299" s="6934"/>
      <c r="S299" s="4549"/>
      <c r="T299" s="6726"/>
      <c r="U299" s="6986"/>
      <c r="V299" s="6934"/>
      <c r="W299" s="4549"/>
      <c r="X299" s="6726"/>
      <c r="Y299" s="6986"/>
      <c r="Z299" s="6934"/>
      <c r="AA299" s="4549"/>
      <c r="AB299" s="6726"/>
      <c r="AC299" s="6986"/>
      <c r="AD299" s="6934"/>
      <c r="AE299" s="4549"/>
      <c r="AF299" s="6726"/>
      <c r="AG299" s="6986"/>
      <c r="AH299" s="6934"/>
      <c r="AI299" s="4549"/>
      <c r="AJ299" s="6726"/>
      <c r="AK299" s="6986"/>
      <c r="AL299" s="6934"/>
      <c r="AM299" s="6887"/>
      <c r="AN299" s="6934"/>
      <c r="AO299" s="6934"/>
      <c r="AP299" s="6573"/>
      <c r="AQ299" s="6726"/>
      <c r="AR299" s="6573"/>
      <c r="AS299" s="5552"/>
      <c r="AT299" s="5552"/>
      <c r="AU299" s="6573"/>
      <c r="AV299" s="6573"/>
      <c r="AW299" s="4653"/>
      <c r="AX299" s="6714"/>
      <c r="AY299" s="6714"/>
      <c r="AZ299" s="6714"/>
      <c r="BA299" s="4684"/>
      <c r="BB299" s="4684"/>
      <c r="BC299" s="4684"/>
      <c r="BD299" s="4684"/>
      <c r="BE299" s="4684"/>
      <c r="BF299" s="4684"/>
      <c r="BG299" s="4657"/>
      <c r="BH299" s="4657"/>
      <c r="BI299" s="4657"/>
      <c r="CC299" s="6510"/>
    </row>
    <row r="300" spans="1:113" ht="16.350000000000001" customHeight="1" x14ac:dyDescent="0.2">
      <c r="A300" s="8628"/>
      <c r="B300" s="6479" t="s">
        <v>730</v>
      </c>
      <c r="C300" s="6639">
        <f t="shared" si="47"/>
        <v>0</v>
      </c>
      <c r="D300" s="6640">
        <f t="shared" si="48"/>
        <v>0</v>
      </c>
      <c r="E300" s="6862">
        <f t="shared" si="49"/>
        <v>0</v>
      </c>
      <c r="F300" s="4778"/>
      <c r="G300" s="4866"/>
      <c r="H300" s="4778"/>
      <c r="I300" s="4866"/>
      <c r="J300" s="4778"/>
      <c r="K300" s="4866"/>
      <c r="L300" s="4778"/>
      <c r="M300" s="4866"/>
      <c r="N300" s="4778"/>
      <c r="O300" s="4780"/>
      <c r="P300" s="4778"/>
      <c r="Q300" s="4866"/>
      <c r="R300" s="6651"/>
      <c r="S300" s="4780"/>
      <c r="T300" s="4778"/>
      <c r="U300" s="4866"/>
      <c r="V300" s="6651"/>
      <c r="W300" s="4780"/>
      <c r="X300" s="4778"/>
      <c r="Y300" s="4866"/>
      <c r="Z300" s="6651"/>
      <c r="AA300" s="4780"/>
      <c r="AB300" s="4778"/>
      <c r="AC300" s="4866"/>
      <c r="AD300" s="6651"/>
      <c r="AE300" s="4780"/>
      <c r="AF300" s="4778"/>
      <c r="AG300" s="4866"/>
      <c r="AH300" s="6651"/>
      <c r="AI300" s="4780"/>
      <c r="AJ300" s="4778"/>
      <c r="AK300" s="4866"/>
      <c r="AL300" s="6651"/>
      <c r="AM300" s="6506"/>
      <c r="AN300" s="6651"/>
      <c r="AO300" s="6651"/>
      <c r="AP300" s="5582"/>
      <c r="AQ300" s="4778"/>
      <c r="AR300" s="5582"/>
      <c r="AS300" s="4869"/>
      <c r="AT300" s="4869"/>
      <c r="AU300" s="5582"/>
      <c r="AV300" s="5582"/>
      <c r="AW300" s="4653"/>
      <c r="AX300" s="6714"/>
      <c r="AY300" s="6714"/>
      <c r="AZ300" s="6714"/>
      <c r="BA300" s="4684"/>
      <c r="BB300" s="4684"/>
      <c r="BC300" s="4684"/>
      <c r="BD300" s="4684"/>
      <c r="BE300" s="4684"/>
      <c r="BF300" s="4684"/>
      <c r="BG300" s="4657"/>
      <c r="BH300" s="4657"/>
      <c r="BI300" s="4657"/>
      <c r="CC300" s="6510"/>
      <c r="DB300" s="6209">
        <v>0</v>
      </c>
      <c r="DD300" s="6209">
        <v>0</v>
      </c>
      <c r="DF300" s="6209">
        <v>0</v>
      </c>
      <c r="DH300" s="6209">
        <v>0</v>
      </c>
      <c r="DI300" s="6209">
        <v>0</v>
      </c>
    </row>
    <row r="301" spans="1:113" ht="16.350000000000001" customHeight="1" x14ac:dyDescent="0.2">
      <c r="A301" s="8628"/>
      <c r="B301" s="6479" t="s">
        <v>729</v>
      </c>
      <c r="C301" s="6639">
        <f t="shared" si="47"/>
        <v>0</v>
      </c>
      <c r="D301" s="6640">
        <f t="shared" si="48"/>
        <v>0</v>
      </c>
      <c r="E301" s="6862">
        <f t="shared" si="49"/>
        <v>0</v>
      </c>
      <c r="F301" s="4778"/>
      <c r="G301" s="4866"/>
      <c r="H301" s="4778"/>
      <c r="I301" s="4866"/>
      <c r="J301" s="4778"/>
      <c r="K301" s="4866"/>
      <c r="L301" s="4778"/>
      <c r="M301" s="4866"/>
      <c r="N301" s="4778"/>
      <c r="O301" s="4780"/>
      <c r="P301" s="4778"/>
      <c r="Q301" s="4866"/>
      <c r="R301" s="6651"/>
      <c r="S301" s="4780"/>
      <c r="T301" s="4778"/>
      <c r="U301" s="4866"/>
      <c r="V301" s="6651"/>
      <c r="W301" s="4780"/>
      <c r="X301" s="4778"/>
      <c r="Y301" s="4866"/>
      <c r="Z301" s="6651"/>
      <c r="AA301" s="4780"/>
      <c r="AB301" s="4778"/>
      <c r="AC301" s="4866"/>
      <c r="AD301" s="6651"/>
      <c r="AE301" s="4780"/>
      <c r="AF301" s="4778"/>
      <c r="AG301" s="4866"/>
      <c r="AH301" s="6651"/>
      <c r="AI301" s="4780"/>
      <c r="AJ301" s="4778"/>
      <c r="AK301" s="4866"/>
      <c r="AL301" s="6651"/>
      <c r="AM301" s="6506"/>
      <c r="AN301" s="6651"/>
      <c r="AO301" s="6651"/>
      <c r="AP301" s="5582"/>
      <c r="AQ301" s="4778"/>
      <c r="AR301" s="5582"/>
      <c r="AS301" s="4869"/>
      <c r="AT301" s="4869"/>
      <c r="AU301" s="5582"/>
      <c r="AV301" s="5582"/>
      <c r="AW301" s="4653"/>
      <c r="AX301" s="6714"/>
      <c r="AY301" s="6714"/>
      <c r="AZ301" s="6714"/>
      <c r="BA301" s="4684"/>
      <c r="BB301" s="4684"/>
      <c r="BC301" s="4684"/>
      <c r="BD301" s="4684"/>
      <c r="BE301" s="4684"/>
      <c r="BF301" s="4684"/>
      <c r="BG301" s="4657"/>
      <c r="BH301" s="4657"/>
      <c r="BI301" s="4657"/>
      <c r="CC301" s="6510"/>
    </row>
    <row r="302" spans="1:113" ht="16.350000000000001" customHeight="1" x14ac:dyDescent="0.2">
      <c r="A302" s="8628"/>
      <c r="B302" s="6479" t="s">
        <v>728</v>
      </c>
      <c r="C302" s="6639">
        <f t="shared" si="47"/>
        <v>0</v>
      </c>
      <c r="D302" s="6640">
        <f t="shared" si="48"/>
        <v>0</v>
      </c>
      <c r="E302" s="6862">
        <f t="shared" si="49"/>
        <v>0</v>
      </c>
      <c r="F302" s="4778"/>
      <c r="G302" s="4866"/>
      <c r="H302" s="4778"/>
      <c r="I302" s="4866"/>
      <c r="J302" s="4778"/>
      <c r="K302" s="4866"/>
      <c r="L302" s="4778"/>
      <c r="M302" s="4866"/>
      <c r="N302" s="4778"/>
      <c r="O302" s="4780"/>
      <c r="P302" s="4778"/>
      <c r="Q302" s="4866"/>
      <c r="R302" s="6651"/>
      <c r="S302" s="4780"/>
      <c r="T302" s="4778"/>
      <c r="U302" s="4866"/>
      <c r="V302" s="6651"/>
      <c r="W302" s="4780"/>
      <c r="X302" s="4778"/>
      <c r="Y302" s="4866"/>
      <c r="Z302" s="6651"/>
      <c r="AA302" s="4780"/>
      <c r="AB302" s="4778"/>
      <c r="AC302" s="4866"/>
      <c r="AD302" s="6651"/>
      <c r="AE302" s="4780"/>
      <c r="AF302" s="4778"/>
      <c r="AG302" s="4866"/>
      <c r="AH302" s="6651"/>
      <c r="AI302" s="4780"/>
      <c r="AJ302" s="4778"/>
      <c r="AK302" s="4866"/>
      <c r="AL302" s="6651"/>
      <c r="AM302" s="6506"/>
      <c r="AN302" s="6651"/>
      <c r="AO302" s="6651"/>
      <c r="AP302" s="5582"/>
      <c r="AQ302" s="4778"/>
      <c r="AR302" s="5582"/>
      <c r="AS302" s="4869"/>
      <c r="AT302" s="4869"/>
      <c r="AU302" s="5582"/>
      <c r="AV302" s="5582"/>
      <c r="AW302" s="4653"/>
      <c r="AX302" s="6714"/>
      <c r="AY302" s="6714"/>
      <c r="AZ302" s="6714"/>
      <c r="BA302" s="4684"/>
      <c r="BB302" s="4684"/>
      <c r="BC302" s="4684"/>
      <c r="BD302" s="4684"/>
      <c r="BE302" s="4684"/>
      <c r="BF302" s="4684"/>
      <c r="BG302" s="4657"/>
      <c r="BH302" s="4657"/>
      <c r="BI302" s="4657"/>
      <c r="CC302" s="6510"/>
    </row>
    <row r="303" spans="1:113" ht="16.350000000000001" customHeight="1" x14ac:dyDescent="0.2">
      <c r="A303" s="8628"/>
      <c r="B303" s="6479" t="s">
        <v>727</v>
      </c>
      <c r="C303" s="6639">
        <f t="shared" si="47"/>
        <v>0</v>
      </c>
      <c r="D303" s="6640">
        <f t="shared" si="48"/>
        <v>0</v>
      </c>
      <c r="E303" s="6862">
        <f t="shared" si="49"/>
        <v>0</v>
      </c>
      <c r="F303" s="4778"/>
      <c r="G303" s="4866"/>
      <c r="H303" s="4778"/>
      <c r="I303" s="4866"/>
      <c r="J303" s="4778"/>
      <c r="K303" s="4866"/>
      <c r="L303" s="4778"/>
      <c r="M303" s="4866"/>
      <c r="N303" s="4778"/>
      <c r="O303" s="4780"/>
      <c r="P303" s="4778"/>
      <c r="Q303" s="4866"/>
      <c r="R303" s="6651"/>
      <c r="S303" s="4780"/>
      <c r="T303" s="4778"/>
      <c r="U303" s="4866"/>
      <c r="V303" s="6651"/>
      <c r="W303" s="4780"/>
      <c r="X303" s="4778"/>
      <c r="Y303" s="4866"/>
      <c r="Z303" s="6651"/>
      <c r="AA303" s="4780"/>
      <c r="AB303" s="4778"/>
      <c r="AC303" s="4866"/>
      <c r="AD303" s="6651"/>
      <c r="AE303" s="4780"/>
      <c r="AF303" s="4778"/>
      <c r="AG303" s="4866"/>
      <c r="AH303" s="6651"/>
      <c r="AI303" s="4780"/>
      <c r="AJ303" s="4778"/>
      <c r="AK303" s="4866"/>
      <c r="AL303" s="6651"/>
      <c r="AM303" s="6506"/>
      <c r="AN303" s="6651"/>
      <c r="AO303" s="6651"/>
      <c r="AP303" s="5582"/>
      <c r="AQ303" s="4778"/>
      <c r="AR303" s="5582"/>
      <c r="AS303" s="4869"/>
      <c r="AT303" s="4869"/>
      <c r="AU303" s="5582"/>
      <c r="AV303" s="5582"/>
      <c r="AW303" s="4653"/>
      <c r="AX303" s="6714"/>
      <c r="AY303" s="6714"/>
      <c r="AZ303" s="6714"/>
      <c r="BA303" s="4684"/>
      <c r="BB303" s="4684"/>
      <c r="BC303" s="4684"/>
      <c r="BD303" s="4684"/>
      <c r="BE303" s="4684"/>
      <c r="BF303" s="4684"/>
      <c r="BG303" s="4657"/>
      <c r="BH303" s="4657"/>
      <c r="BI303" s="4657"/>
      <c r="CC303" s="6510"/>
    </row>
    <row r="304" spans="1:113" ht="15.75" customHeight="1" x14ac:dyDescent="0.2">
      <c r="A304" s="8628"/>
      <c r="B304" s="6479" t="s">
        <v>726</v>
      </c>
      <c r="C304" s="6639">
        <f t="shared" si="47"/>
        <v>0</v>
      </c>
      <c r="D304" s="6640">
        <f t="shared" si="48"/>
        <v>0</v>
      </c>
      <c r="E304" s="6862">
        <f t="shared" si="49"/>
        <v>0</v>
      </c>
      <c r="F304" s="4778"/>
      <c r="G304" s="4866"/>
      <c r="H304" s="4778"/>
      <c r="I304" s="4866"/>
      <c r="J304" s="4778"/>
      <c r="K304" s="4866"/>
      <c r="L304" s="4778"/>
      <c r="M304" s="4866"/>
      <c r="N304" s="4778"/>
      <c r="O304" s="4780"/>
      <c r="P304" s="4778"/>
      <c r="Q304" s="4866"/>
      <c r="R304" s="6651"/>
      <c r="S304" s="4780"/>
      <c r="T304" s="4778"/>
      <c r="U304" s="4866"/>
      <c r="V304" s="6651"/>
      <c r="W304" s="4780"/>
      <c r="X304" s="4778"/>
      <c r="Y304" s="4866"/>
      <c r="Z304" s="6651"/>
      <c r="AA304" s="4780"/>
      <c r="AB304" s="4778"/>
      <c r="AC304" s="4866"/>
      <c r="AD304" s="6651"/>
      <c r="AE304" s="4780"/>
      <c r="AF304" s="4778"/>
      <c r="AG304" s="4866"/>
      <c r="AH304" s="6651"/>
      <c r="AI304" s="4780"/>
      <c r="AJ304" s="4778"/>
      <c r="AK304" s="4866"/>
      <c r="AL304" s="6651"/>
      <c r="AM304" s="6506"/>
      <c r="AN304" s="6651"/>
      <c r="AO304" s="6651"/>
      <c r="AP304" s="5582"/>
      <c r="AQ304" s="4778"/>
      <c r="AR304" s="5582"/>
      <c r="AS304" s="4869"/>
      <c r="AT304" s="4869"/>
      <c r="AU304" s="5582"/>
      <c r="AV304" s="5582"/>
      <c r="AW304" s="4653"/>
      <c r="BA304" s="4657"/>
      <c r="BB304" s="4657"/>
      <c r="BC304" s="4657"/>
      <c r="BD304" s="4657"/>
      <c r="BE304" s="4657"/>
      <c r="BF304" s="4657"/>
      <c r="BG304" s="4657"/>
      <c r="BH304" s="4657"/>
      <c r="BI304" s="4657"/>
      <c r="BJ304" s="4657"/>
      <c r="BK304" s="4657"/>
      <c r="BL304" s="4657"/>
      <c r="BM304" s="4657"/>
      <c r="CC304" s="6510"/>
    </row>
    <row r="305" spans="1:115" ht="16.350000000000001" customHeight="1" x14ac:dyDescent="0.2">
      <c r="A305" s="8628"/>
      <c r="B305" s="6479" t="s">
        <v>725</v>
      </c>
      <c r="C305" s="6639">
        <f t="shared" si="47"/>
        <v>0</v>
      </c>
      <c r="D305" s="6640">
        <f t="shared" si="48"/>
        <v>0</v>
      </c>
      <c r="E305" s="6862">
        <f t="shared" si="49"/>
        <v>0</v>
      </c>
      <c r="F305" s="4778"/>
      <c r="G305" s="4866"/>
      <c r="H305" s="4778"/>
      <c r="I305" s="4866"/>
      <c r="J305" s="4778"/>
      <c r="K305" s="4866"/>
      <c r="L305" s="4778"/>
      <c r="M305" s="4866"/>
      <c r="N305" s="4778"/>
      <c r="O305" s="4780"/>
      <c r="P305" s="4778"/>
      <c r="Q305" s="4866"/>
      <c r="R305" s="6651"/>
      <c r="S305" s="4780"/>
      <c r="T305" s="4778"/>
      <c r="U305" s="4866"/>
      <c r="V305" s="6651"/>
      <c r="W305" s="4780"/>
      <c r="X305" s="4778"/>
      <c r="Y305" s="4866"/>
      <c r="Z305" s="6651"/>
      <c r="AA305" s="4780"/>
      <c r="AB305" s="4778"/>
      <c r="AC305" s="4866"/>
      <c r="AD305" s="6651"/>
      <c r="AE305" s="4780"/>
      <c r="AF305" s="4778"/>
      <c r="AG305" s="4866"/>
      <c r="AH305" s="6651"/>
      <c r="AI305" s="4780"/>
      <c r="AJ305" s="4778"/>
      <c r="AK305" s="4866"/>
      <c r="AL305" s="6651"/>
      <c r="AM305" s="6506"/>
      <c r="AN305" s="6651"/>
      <c r="AO305" s="6651"/>
      <c r="AP305" s="5582"/>
      <c r="AQ305" s="4778"/>
      <c r="AR305" s="5582"/>
      <c r="AS305" s="4869"/>
      <c r="AT305" s="4869"/>
      <c r="AU305" s="5582"/>
      <c r="AV305" s="5582"/>
      <c r="AW305" s="4653"/>
      <c r="BA305" s="4657"/>
      <c r="BB305" s="4657"/>
      <c r="BC305" s="4657"/>
      <c r="BD305" s="4657"/>
      <c r="BE305" s="4657"/>
      <c r="BF305" s="4657"/>
      <c r="BG305" s="4657"/>
      <c r="BH305" s="4657"/>
      <c r="BI305" s="4657"/>
      <c r="BJ305" s="4657"/>
      <c r="BK305" s="4657"/>
      <c r="BL305" s="4657"/>
      <c r="BY305" s="4652"/>
      <c r="CD305" s="6510"/>
    </row>
    <row r="306" spans="1:115" ht="16.350000000000001" customHeight="1" x14ac:dyDescent="0.2">
      <c r="A306" s="8779"/>
      <c r="B306" s="6982" t="s">
        <v>724</v>
      </c>
      <c r="C306" s="6715">
        <f t="shared" si="47"/>
        <v>0</v>
      </c>
      <c r="D306" s="6716">
        <f t="shared" si="48"/>
        <v>0</v>
      </c>
      <c r="E306" s="6844">
        <f t="shared" si="49"/>
        <v>0</v>
      </c>
      <c r="F306" s="4796"/>
      <c r="G306" s="4874"/>
      <c r="H306" s="4796"/>
      <c r="I306" s="4874"/>
      <c r="J306" s="4796"/>
      <c r="K306" s="4874"/>
      <c r="L306" s="4796"/>
      <c r="M306" s="4874"/>
      <c r="N306" s="4796"/>
      <c r="O306" s="4804"/>
      <c r="P306" s="4796"/>
      <c r="Q306" s="4874"/>
      <c r="R306" s="4798"/>
      <c r="S306" s="4804"/>
      <c r="T306" s="4796"/>
      <c r="U306" s="4874"/>
      <c r="V306" s="4798"/>
      <c r="W306" s="4804"/>
      <c r="X306" s="4796"/>
      <c r="Y306" s="4874"/>
      <c r="Z306" s="4798"/>
      <c r="AA306" s="4804"/>
      <c r="AB306" s="4796"/>
      <c r="AC306" s="4874"/>
      <c r="AD306" s="4798"/>
      <c r="AE306" s="4804"/>
      <c r="AF306" s="4796"/>
      <c r="AG306" s="4874"/>
      <c r="AH306" s="4798"/>
      <c r="AI306" s="4804"/>
      <c r="AJ306" s="4796"/>
      <c r="AK306" s="4874"/>
      <c r="AL306" s="4798"/>
      <c r="AM306" s="6890"/>
      <c r="AN306" s="4798"/>
      <c r="AO306" s="4798"/>
      <c r="AP306" s="4888"/>
      <c r="AQ306" s="4796"/>
      <c r="AR306" s="4888"/>
      <c r="AS306" s="4877"/>
      <c r="AT306" s="4888"/>
      <c r="AU306" s="4888"/>
      <c r="AV306" s="4888"/>
      <c r="AW306" s="4653"/>
      <c r="AX306" s="6974"/>
      <c r="AY306" s="6497"/>
      <c r="AZ306" s="6497"/>
      <c r="BA306" s="4657"/>
      <c r="BB306" s="4657"/>
      <c r="BC306" s="4657"/>
      <c r="BD306" s="4657"/>
      <c r="BE306" s="4657"/>
      <c r="BF306" s="4657"/>
      <c r="BG306" s="4657"/>
      <c r="BH306" s="4657"/>
      <c r="BI306" s="4657"/>
      <c r="BJ306" s="4657"/>
      <c r="BK306" s="4657"/>
      <c r="BL306" s="4657"/>
      <c r="CD306" s="6510"/>
      <c r="DB306" s="6209">
        <v>0</v>
      </c>
      <c r="DD306" s="6209">
        <v>0</v>
      </c>
      <c r="DF306" s="6209">
        <v>0</v>
      </c>
      <c r="DH306" s="6209">
        <v>0</v>
      </c>
      <c r="DI306" s="6209">
        <v>0</v>
      </c>
    </row>
    <row r="307" spans="1:115" ht="21" customHeight="1" x14ac:dyDescent="0.2">
      <c r="A307" s="4878" t="s">
        <v>3150</v>
      </c>
      <c r="B307" s="6621"/>
      <c r="AW307" s="5762"/>
      <c r="AX307" s="6974"/>
      <c r="AY307" s="6497"/>
      <c r="AZ307" s="6497"/>
      <c r="BA307" s="4657"/>
      <c r="BB307" s="4657"/>
      <c r="BC307" s="4657"/>
      <c r="BD307" s="4657"/>
      <c r="BE307" s="4657"/>
      <c r="BF307" s="4657"/>
      <c r="BG307" s="4657"/>
      <c r="BH307" s="4657"/>
      <c r="BI307" s="4657"/>
      <c r="BJ307" s="4657"/>
      <c r="BK307" s="4657"/>
      <c r="BL307" s="4657"/>
    </row>
    <row r="308" spans="1:115" ht="16.350000000000001" customHeight="1" x14ac:dyDescent="0.2">
      <c r="A308" s="8663" t="s">
        <v>31</v>
      </c>
      <c r="B308" s="8664"/>
      <c r="C308" s="8780" t="s">
        <v>39</v>
      </c>
      <c r="D308" s="8781"/>
      <c r="E308" s="8782"/>
      <c r="F308" s="8957" t="s">
        <v>723</v>
      </c>
      <c r="G308" s="8958"/>
      <c r="H308" s="8958"/>
      <c r="I308" s="8958"/>
      <c r="J308" s="8958"/>
      <c r="K308" s="8958"/>
      <c r="L308" s="8958"/>
      <c r="M308" s="8958"/>
      <c r="N308" s="8958"/>
      <c r="O308" s="8958"/>
      <c r="P308" s="8958"/>
      <c r="Q308" s="8958"/>
      <c r="R308" s="8958"/>
      <c r="S308" s="8958"/>
      <c r="T308" s="8958"/>
      <c r="U308" s="8958"/>
      <c r="V308" s="8958"/>
      <c r="W308" s="8958"/>
      <c r="X308" s="8958"/>
      <c r="Y308" s="8958"/>
      <c r="Z308" s="8958"/>
      <c r="AA308" s="8958"/>
      <c r="AB308" s="8958"/>
      <c r="AC308" s="8958"/>
      <c r="AD308" s="8958"/>
      <c r="AE308" s="8958"/>
      <c r="AF308" s="8958"/>
      <c r="AG308" s="8958"/>
      <c r="AH308" s="8958"/>
      <c r="AI308" s="8958"/>
      <c r="AJ308" s="8958"/>
      <c r="AK308" s="8958"/>
      <c r="AL308" s="8958"/>
      <c r="AM308" s="8958"/>
      <c r="AN308" s="8958"/>
      <c r="AO308" s="8958"/>
      <c r="AP308" s="8958"/>
      <c r="AQ308" s="8959"/>
      <c r="AR308" s="8960" t="s">
        <v>711</v>
      </c>
      <c r="AS308" s="8961"/>
      <c r="AT308" s="8956" t="s">
        <v>360</v>
      </c>
      <c r="AU308" s="8956" t="s">
        <v>359</v>
      </c>
      <c r="AV308" s="8956" t="s">
        <v>2947</v>
      </c>
      <c r="AW308" s="8956" t="s">
        <v>2607</v>
      </c>
      <c r="AX308" s="6714"/>
      <c r="AY308" s="4684"/>
      <c r="AZ308" s="4684"/>
      <c r="BA308" s="4684"/>
      <c r="BB308" s="4684"/>
      <c r="BC308" s="4684"/>
      <c r="BD308" s="4684"/>
      <c r="BE308" s="4657"/>
      <c r="BF308" s="4657"/>
      <c r="BG308" s="4657"/>
      <c r="BU308" s="4652"/>
      <c r="BX308" s="4652"/>
    </row>
    <row r="309" spans="1:115" ht="16.350000000000001" customHeight="1" x14ac:dyDescent="0.2">
      <c r="A309" s="8695"/>
      <c r="B309" s="8689"/>
      <c r="C309" s="8783"/>
      <c r="D309" s="8784"/>
      <c r="E309" s="8785"/>
      <c r="F309" s="8734" t="s">
        <v>722</v>
      </c>
      <c r="G309" s="8735"/>
      <c r="H309" s="8734" t="s">
        <v>721</v>
      </c>
      <c r="I309" s="8735"/>
      <c r="J309" s="8734" t="s">
        <v>720</v>
      </c>
      <c r="K309" s="8735"/>
      <c r="L309" s="8630" t="s">
        <v>1820</v>
      </c>
      <c r="M309" s="8632"/>
      <c r="N309" s="8630" t="s">
        <v>1413</v>
      </c>
      <c r="O309" s="8632"/>
      <c r="P309" s="8630" t="s">
        <v>79</v>
      </c>
      <c r="Q309" s="8632"/>
      <c r="R309" s="8630" t="s">
        <v>80</v>
      </c>
      <c r="S309" s="8632"/>
      <c r="T309" s="8630" t="s">
        <v>81</v>
      </c>
      <c r="U309" s="8632"/>
      <c r="V309" s="8630" t="s">
        <v>115</v>
      </c>
      <c r="W309" s="8631"/>
      <c r="X309" s="8630" t="s">
        <v>116</v>
      </c>
      <c r="Y309" s="8631"/>
      <c r="Z309" s="8630" t="s">
        <v>117</v>
      </c>
      <c r="AA309" s="8631"/>
      <c r="AB309" s="8630" t="s">
        <v>118</v>
      </c>
      <c r="AC309" s="8631"/>
      <c r="AD309" s="8630" t="s">
        <v>119</v>
      </c>
      <c r="AE309" s="8631"/>
      <c r="AF309" s="8630" t="s">
        <v>120</v>
      </c>
      <c r="AG309" s="8631"/>
      <c r="AH309" s="8630" t="s">
        <v>1412</v>
      </c>
      <c r="AI309" s="8631"/>
      <c r="AJ309" s="8630" t="s">
        <v>1404</v>
      </c>
      <c r="AK309" s="8631"/>
      <c r="AL309" s="8630" t="s">
        <v>1395</v>
      </c>
      <c r="AM309" s="8631"/>
      <c r="AN309" s="8630" t="s">
        <v>1394</v>
      </c>
      <c r="AO309" s="8631"/>
      <c r="AP309" s="8944" t="s">
        <v>2126</v>
      </c>
      <c r="AQ309" s="8758"/>
      <c r="AR309" s="8962"/>
      <c r="AS309" s="8963"/>
      <c r="AT309" s="8635"/>
      <c r="AU309" s="8635"/>
      <c r="AV309" s="8635"/>
      <c r="AW309" s="8635"/>
      <c r="AX309" s="6714"/>
      <c r="AY309" s="4684"/>
      <c r="AZ309" s="4684"/>
      <c r="BA309" s="4684"/>
      <c r="BB309" s="4684"/>
      <c r="BC309" s="4684"/>
      <c r="BD309" s="4684"/>
      <c r="BE309" s="4657"/>
      <c r="BF309" s="4657"/>
      <c r="BG309" s="4657"/>
      <c r="BU309" s="4652"/>
      <c r="BX309" s="4652"/>
    </row>
    <row r="310" spans="1:115" ht="32.25" customHeight="1" x14ac:dyDescent="0.2">
      <c r="A310" s="8665"/>
      <c r="B310" s="8666"/>
      <c r="C310" s="6990" t="s">
        <v>42</v>
      </c>
      <c r="D310" s="6991" t="s">
        <v>17</v>
      </c>
      <c r="E310" s="6992" t="s">
        <v>18</v>
      </c>
      <c r="F310" s="5318" t="s">
        <v>706</v>
      </c>
      <c r="G310" s="6993" t="s">
        <v>18</v>
      </c>
      <c r="H310" s="5318" t="s">
        <v>706</v>
      </c>
      <c r="I310" s="6993" t="s">
        <v>18</v>
      </c>
      <c r="J310" s="5318" t="s">
        <v>706</v>
      </c>
      <c r="K310" s="6993" t="s">
        <v>18</v>
      </c>
      <c r="L310" s="5318" t="s">
        <v>706</v>
      </c>
      <c r="M310" s="6993" t="s">
        <v>18</v>
      </c>
      <c r="N310" s="5318" t="s">
        <v>706</v>
      </c>
      <c r="O310" s="6993" t="s">
        <v>18</v>
      </c>
      <c r="P310" s="5318" t="s">
        <v>706</v>
      </c>
      <c r="Q310" s="6993" t="s">
        <v>18</v>
      </c>
      <c r="R310" s="5318" t="s">
        <v>706</v>
      </c>
      <c r="S310" s="6993" t="s">
        <v>18</v>
      </c>
      <c r="T310" s="5318" t="s">
        <v>706</v>
      </c>
      <c r="U310" s="6993" t="s">
        <v>18</v>
      </c>
      <c r="V310" s="5318" t="s">
        <v>706</v>
      </c>
      <c r="W310" s="6993" t="s">
        <v>18</v>
      </c>
      <c r="X310" s="5318" t="s">
        <v>706</v>
      </c>
      <c r="Y310" s="6993" t="s">
        <v>18</v>
      </c>
      <c r="Z310" s="5318" t="s">
        <v>706</v>
      </c>
      <c r="AA310" s="6993" t="s">
        <v>18</v>
      </c>
      <c r="AB310" s="5318" t="s">
        <v>706</v>
      </c>
      <c r="AC310" s="6993" t="s">
        <v>18</v>
      </c>
      <c r="AD310" s="5318" t="s">
        <v>706</v>
      </c>
      <c r="AE310" s="6993" t="s">
        <v>18</v>
      </c>
      <c r="AF310" s="5318" t="s">
        <v>706</v>
      </c>
      <c r="AG310" s="6993" t="s">
        <v>18</v>
      </c>
      <c r="AH310" s="5318" t="s">
        <v>706</v>
      </c>
      <c r="AI310" s="6993" t="s">
        <v>18</v>
      </c>
      <c r="AJ310" s="5318" t="s">
        <v>706</v>
      </c>
      <c r="AK310" s="6993" t="s">
        <v>18</v>
      </c>
      <c r="AL310" s="5318" t="s">
        <v>706</v>
      </c>
      <c r="AM310" s="6993" t="s">
        <v>18</v>
      </c>
      <c r="AN310" s="5318" t="s">
        <v>706</v>
      </c>
      <c r="AO310" s="6993" t="s">
        <v>18</v>
      </c>
      <c r="AP310" s="6994" t="s">
        <v>706</v>
      </c>
      <c r="AQ310" s="6995" t="s">
        <v>18</v>
      </c>
      <c r="AR310" s="6996" t="s">
        <v>356</v>
      </c>
      <c r="AS310" s="6997" t="s">
        <v>357</v>
      </c>
      <c r="AT310" s="8817"/>
      <c r="AU310" s="8817"/>
      <c r="AV310" s="8817"/>
      <c r="AW310" s="8817"/>
      <c r="AX310" s="6714"/>
      <c r="AY310" s="4684"/>
      <c r="AZ310" s="4684"/>
      <c r="BA310" s="4684"/>
      <c r="BB310" s="4684"/>
      <c r="BC310" s="4684"/>
      <c r="BD310" s="4684"/>
      <c r="BE310" s="4657"/>
      <c r="BF310" s="4657"/>
      <c r="BG310" s="4657"/>
      <c r="BU310" s="4652"/>
      <c r="BX310" s="4652"/>
    </row>
    <row r="311" spans="1:115" ht="16.350000000000001" customHeight="1" x14ac:dyDescent="0.2">
      <c r="A311" s="8794" t="s">
        <v>710</v>
      </c>
      <c r="B311" s="6998" t="s">
        <v>85</v>
      </c>
      <c r="C311" s="6999">
        <f t="shared" ref="C311:C321" si="50">SUM(D311+E311)</f>
        <v>0</v>
      </c>
      <c r="D311" s="7000"/>
      <c r="E311" s="7001">
        <f>+Q311+S311+U311+W311+Y311+AA311+AC311+AE311+AG311+AI311</f>
        <v>0</v>
      </c>
      <c r="F311" s="7632"/>
      <c r="G311" s="7633"/>
      <c r="H311" s="7633"/>
      <c r="I311" s="7633"/>
      <c r="J311" s="7633"/>
      <c r="K311" s="7633"/>
      <c r="L311" s="7633"/>
      <c r="M311" s="7633"/>
      <c r="N311" s="7633"/>
      <c r="O311" s="7633"/>
      <c r="P311" s="7634"/>
      <c r="Q311" s="6579"/>
      <c r="R311" s="7002"/>
      <c r="S311" s="6579"/>
      <c r="T311" s="7002"/>
      <c r="U311" s="6579"/>
      <c r="V311" s="7002"/>
      <c r="W311" s="6579"/>
      <c r="X311" s="7002"/>
      <c r="Y311" s="6579"/>
      <c r="Z311" s="7002"/>
      <c r="AA311" s="6579"/>
      <c r="AB311" s="7002"/>
      <c r="AC311" s="6579"/>
      <c r="AD311" s="7002"/>
      <c r="AE311" s="6579"/>
      <c r="AF311" s="7002"/>
      <c r="AG311" s="6579"/>
      <c r="AH311" s="7002"/>
      <c r="AI311" s="6579"/>
      <c r="AJ311" s="7002"/>
      <c r="AK311" s="6534"/>
      <c r="AL311" s="7002"/>
      <c r="AM311" s="6534"/>
      <c r="AN311" s="7002"/>
      <c r="AO311" s="6534"/>
      <c r="AP311" s="7003"/>
      <c r="AQ311" s="7004"/>
      <c r="AR311" s="7005"/>
      <c r="AS311" s="7006"/>
      <c r="AT311" s="7007"/>
      <c r="AU311" s="7006"/>
      <c r="AV311" s="7007"/>
      <c r="AW311" s="7006"/>
      <c r="AX311" s="4653"/>
      <c r="AY311" s="4684"/>
      <c r="AZ311" s="4683"/>
      <c r="BA311" s="4684"/>
      <c r="BB311" s="4684"/>
      <c r="BC311" s="4684"/>
      <c r="BD311" s="4684"/>
      <c r="BE311" s="4657"/>
      <c r="BF311" s="4657"/>
      <c r="BG311" s="4657"/>
      <c r="BX311" s="4652"/>
      <c r="DB311" s="6209">
        <v>0</v>
      </c>
      <c r="DD311" s="6209">
        <v>0</v>
      </c>
      <c r="DF311" s="6209">
        <v>0</v>
      </c>
      <c r="DH311" s="6209">
        <v>0</v>
      </c>
      <c r="DI311" s="6209">
        <v>0</v>
      </c>
      <c r="DJ311" s="6209">
        <v>0</v>
      </c>
      <c r="DK311" s="6209">
        <v>0</v>
      </c>
    </row>
    <row r="312" spans="1:115" ht="16.350000000000001" customHeight="1" x14ac:dyDescent="0.2">
      <c r="A312" s="8795"/>
      <c r="B312" s="6847" t="s">
        <v>718</v>
      </c>
      <c r="C312" s="6690">
        <f t="shared" si="50"/>
        <v>0</v>
      </c>
      <c r="D312" s="6691">
        <f t="shared" ref="D312:E315" si="51">SUM(F312+H312+J312+L312+N312+P312+R312+T312+V312+X312+Z312+AB312+AD312+AF312+AH312+AJ312+AL312+AN312+AP312)</f>
        <v>0</v>
      </c>
      <c r="E312" s="5531">
        <f t="shared" si="51"/>
        <v>0</v>
      </c>
      <c r="F312" s="5444"/>
      <c r="G312" s="5462"/>
      <c r="H312" s="5444"/>
      <c r="I312" s="5462"/>
      <c r="J312" s="5444"/>
      <c r="K312" s="5460"/>
      <c r="L312" s="5444"/>
      <c r="M312" s="6811"/>
      <c r="N312" s="5444"/>
      <c r="O312" s="5460"/>
      <c r="P312" s="5444"/>
      <c r="Q312" s="5462"/>
      <c r="R312" s="5444"/>
      <c r="S312" s="5462"/>
      <c r="T312" s="5444"/>
      <c r="U312" s="5462"/>
      <c r="V312" s="5444"/>
      <c r="W312" s="5462"/>
      <c r="X312" s="5444"/>
      <c r="Y312" s="5462"/>
      <c r="Z312" s="5444"/>
      <c r="AA312" s="5462"/>
      <c r="AB312" s="5444"/>
      <c r="AC312" s="5462"/>
      <c r="AD312" s="5444"/>
      <c r="AE312" s="5462"/>
      <c r="AF312" s="5444"/>
      <c r="AG312" s="5462"/>
      <c r="AH312" s="5444"/>
      <c r="AI312" s="5462"/>
      <c r="AJ312" s="5444"/>
      <c r="AK312" s="5462"/>
      <c r="AL312" s="5444"/>
      <c r="AM312" s="5462"/>
      <c r="AN312" s="5444"/>
      <c r="AO312" s="5462"/>
      <c r="AP312" s="6549"/>
      <c r="AQ312" s="5524"/>
      <c r="AR312" s="5462"/>
      <c r="AS312" s="5460"/>
      <c r="AT312" s="6904"/>
      <c r="AU312" s="5460"/>
      <c r="AV312" s="6904"/>
      <c r="AW312" s="5460"/>
      <c r="AX312" s="4653"/>
      <c r="AY312" s="4684"/>
      <c r="AZ312" s="4684"/>
      <c r="BA312" s="4684"/>
      <c r="BB312" s="4684"/>
      <c r="BC312" s="4684"/>
      <c r="BD312" s="4684"/>
      <c r="BE312" s="4657"/>
      <c r="BF312" s="4657"/>
      <c r="BG312" s="4657"/>
      <c r="BX312" s="4652"/>
      <c r="DB312" s="6209">
        <v>0</v>
      </c>
      <c r="DD312" s="6209">
        <v>0</v>
      </c>
      <c r="DF312" s="6209">
        <v>0</v>
      </c>
      <c r="DH312" s="6209">
        <v>0</v>
      </c>
      <c r="DI312" s="6209">
        <v>0</v>
      </c>
      <c r="DJ312" s="6209">
        <v>0</v>
      </c>
    </row>
    <row r="313" spans="1:115" ht="20.25" customHeight="1" x14ac:dyDescent="0.2">
      <c r="A313" s="8812" t="s">
        <v>2156</v>
      </c>
      <c r="B313" s="8813"/>
      <c r="C313" s="7017">
        <f t="shared" si="50"/>
        <v>0</v>
      </c>
      <c r="D313" s="7018">
        <f t="shared" si="51"/>
        <v>0</v>
      </c>
      <c r="E313" s="7019">
        <f t="shared" si="51"/>
        <v>0</v>
      </c>
      <c r="F313" s="7008"/>
      <c r="G313" s="7009"/>
      <c r="H313" s="7008"/>
      <c r="I313" s="7009"/>
      <c r="J313" s="7008"/>
      <c r="K313" s="7010"/>
      <c r="L313" s="7008"/>
      <c r="M313" s="7011"/>
      <c r="N313" s="7008"/>
      <c r="O313" s="7010"/>
      <c r="P313" s="7008"/>
      <c r="Q313" s="7009"/>
      <c r="R313" s="7008"/>
      <c r="S313" s="7009"/>
      <c r="T313" s="7008"/>
      <c r="U313" s="7009"/>
      <c r="V313" s="7008"/>
      <c r="W313" s="7009"/>
      <c r="X313" s="7008"/>
      <c r="Y313" s="7009"/>
      <c r="Z313" s="7008"/>
      <c r="AA313" s="7009"/>
      <c r="AB313" s="7008"/>
      <c r="AC313" s="7009"/>
      <c r="AD313" s="7008"/>
      <c r="AE313" s="7009"/>
      <c r="AF313" s="7008"/>
      <c r="AG313" s="7009"/>
      <c r="AH313" s="7008"/>
      <c r="AI313" s="7009"/>
      <c r="AJ313" s="7008"/>
      <c r="AK313" s="7009"/>
      <c r="AL313" s="7008"/>
      <c r="AM313" s="7009"/>
      <c r="AN313" s="7008"/>
      <c r="AO313" s="7009"/>
      <c r="AP313" s="7012"/>
      <c r="AQ313" s="7013"/>
      <c r="AR313" s="7014"/>
      <c r="AS313" s="7015"/>
      <c r="AT313" s="7016"/>
      <c r="AU313" s="7015"/>
      <c r="AV313" s="7016"/>
      <c r="AW313" s="7015"/>
      <c r="AX313" s="4653"/>
      <c r="AY313" s="4684"/>
      <c r="AZ313" s="4684"/>
      <c r="BA313" s="4684"/>
      <c r="BB313" s="4684"/>
      <c r="BC313" s="4684"/>
      <c r="BD313" s="4684"/>
      <c r="BE313" s="4657"/>
      <c r="BF313" s="4657"/>
      <c r="BG313" s="4657"/>
      <c r="BX313" s="4652"/>
    </row>
    <row r="314" spans="1:115" ht="21" customHeight="1" x14ac:dyDescent="0.2">
      <c r="A314" s="8815" t="s">
        <v>709</v>
      </c>
      <c r="B314" s="8815"/>
      <c r="C314" s="7017">
        <f t="shared" si="50"/>
        <v>0</v>
      </c>
      <c r="D314" s="7018">
        <f t="shared" si="51"/>
        <v>0</v>
      </c>
      <c r="E314" s="7019">
        <f t="shared" si="51"/>
        <v>0</v>
      </c>
      <c r="F314" s="7012"/>
      <c r="G314" s="7014"/>
      <c r="H314" s="7012"/>
      <c r="I314" s="7014"/>
      <c r="J314" s="7012"/>
      <c r="K314" s="7020"/>
      <c r="L314" s="7012"/>
      <c r="M314" s="7021"/>
      <c r="N314" s="7012"/>
      <c r="O314" s="7020"/>
      <c r="P314" s="7012"/>
      <c r="Q314" s="7014"/>
      <c r="R314" s="7012"/>
      <c r="S314" s="7014"/>
      <c r="T314" s="7012"/>
      <c r="U314" s="7014"/>
      <c r="V314" s="7012"/>
      <c r="W314" s="7014"/>
      <c r="X314" s="7012"/>
      <c r="Y314" s="7014"/>
      <c r="Z314" s="7012"/>
      <c r="AA314" s="7014"/>
      <c r="AB314" s="7012"/>
      <c r="AC314" s="7014"/>
      <c r="AD314" s="7012"/>
      <c r="AE314" s="7014"/>
      <c r="AF314" s="7012"/>
      <c r="AG314" s="7014"/>
      <c r="AH314" s="7012"/>
      <c r="AI314" s="7014"/>
      <c r="AJ314" s="7012"/>
      <c r="AK314" s="7014"/>
      <c r="AL314" s="7012"/>
      <c r="AM314" s="7014"/>
      <c r="AN314" s="7012"/>
      <c r="AO314" s="7014"/>
      <c r="AP314" s="7012"/>
      <c r="AQ314" s="7013"/>
      <c r="AR314" s="7014"/>
      <c r="AS314" s="7020"/>
      <c r="AT314" s="7022"/>
      <c r="AU314" s="7020"/>
      <c r="AV314" s="7022"/>
      <c r="AW314" s="7020"/>
      <c r="AX314" s="4653"/>
      <c r="AY314" s="4684"/>
      <c r="AZ314" s="4684"/>
      <c r="BA314" s="4684"/>
      <c r="BB314" s="4684"/>
      <c r="BC314" s="4684"/>
      <c r="BD314" s="4684"/>
      <c r="BE314" s="4657"/>
      <c r="BF314" s="4657"/>
      <c r="BG314" s="4657"/>
      <c r="BX314" s="4652"/>
    </row>
    <row r="315" spans="1:115" ht="18" customHeight="1" x14ac:dyDescent="0.2">
      <c r="A315" s="8810" t="s">
        <v>717</v>
      </c>
      <c r="B315" s="8811"/>
      <c r="C315" s="7093">
        <f t="shared" si="50"/>
        <v>0</v>
      </c>
      <c r="D315" s="6677">
        <f t="shared" si="51"/>
        <v>0</v>
      </c>
      <c r="E315" s="7027">
        <f t="shared" si="51"/>
        <v>0</v>
      </c>
      <c r="F315" s="5439"/>
      <c r="G315" s="6952"/>
      <c r="H315" s="5439"/>
      <c r="I315" s="6952"/>
      <c r="J315" s="5439"/>
      <c r="K315" s="4428"/>
      <c r="L315" s="5439"/>
      <c r="M315" s="5403"/>
      <c r="N315" s="5439"/>
      <c r="O315" s="4428"/>
      <c r="P315" s="5439"/>
      <c r="Q315" s="6952"/>
      <c r="R315" s="5439"/>
      <c r="S315" s="6952"/>
      <c r="T315" s="5439"/>
      <c r="U315" s="6952"/>
      <c r="V315" s="5439"/>
      <c r="W315" s="6952"/>
      <c r="X315" s="5439"/>
      <c r="Y315" s="6952"/>
      <c r="Z315" s="5439"/>
      <c r="AA315" s="6952"/>
      <c r="AB315" s="5439"/>
      <c r="AC315" s="6952"/>
      <c r="AD315" s="5439"/>
      <c r="AE315" s="6952"/>
      <c r="AF315" s="5439"/>
      <c r="AG315" s="6952"/>
      <c r="AH315" s="5439"/>
      <c r="AI315" s="6952"/>
      <c r="AJ315" s="5439"/>
      <c r="AK315" s="6952"/>
      <c r="AL315" s="5439"/>
      <c r="AM315" s="6952"/>
      <c r="AN315" s="5439"/>
      <c r="AO315" s="6952"/>
      <c r="AP315" s="5439"/>
      <c r="AQ315" s="6728"/>
      <c r="AR315" s="6952"/>
      <c r="AS315" s="4792"/>
      <c r="AT315" s="6953"/>
      <c r="AU315" s="4792"/>
      <c r="AV315" s="6953"/>
      <c r="AW315" s="4792"/>
      <c r="AX315" s="4653"/>
      <c r="AY315" s="4684"/>
      <c r="AZ315" s="4684"/>
      <c r="BA315" s="4684"/>
      <c r="BB315" s="4684"/>
      <c r="BC315" s="4684"/>
      <c r="BD315" s="4684"/>
      <c r="BE315" s="4657"/>
      <c r="BF315" s="4657"/>
      <c r="BG315" s="4657"/>
      <c r="BX315" s="4652"/>
    </row>
    <row r="316" spans="1:115" ht="28.5" customHeight="1" x14ac:dyDescent="0.2">
      <c r="A316" s="8825" t="s">
        <v>716</v>
      </c>
      <c r="B316" s="8826"/>
      <c r="C316" s="7023">
        <f t="shared" si="50"/>
        <v>0</v>
      </c>
      <c r="D316" s="7024">
        <f>SUM(F316+H316+J316+L316)</f>
        <v>0</v>
      </c>
      <c r="E316" s="5446">
        <f>SUM(G316+I316+K316+M316)</f>
        <v>0</v>
      </c>
      <c r="F316" s="5505"/>
      <c r="G316" s="5591"/>
      <c r="H316" s="5505"/>
      <c r="I316" s="5591"/>
      <c r="J316" s="5505"/>
      <c r="K316" s="5450"/>
      <c r="L316" s="5505"/>
      <c r="M316" s="5404"/>
      <c r="N316" s="7635"/>
      <c r="O316" s="7636"/>
      <c r="P316" s="7636"/>
      <c r="Q316" s="7636"/>
      <c r="R316" s="7636"/>
      <c r="S316" s="7636"/>
      <c r="T316" s="7636"/>
      <c r="U316" s="7636"/>
      <c r="V316" s="7636"/>
      <c r="W316" s="7636"/>
      <c r="X316" s="7636"/>
      <c r="Y316" s="7636"/>
      <c r="Z316" s="7636"/>
      <c r="AA316" s="7636"/>
      <c r="AB316" s="7636"/>
      <c r="AC316" s="7636"/>
      <c r="AD316" s="7636"/>
      <c r="AE316" s="7636"/>
      <c r="AF316" s="7636"/>
      <c r="AG316" s="7636"/>
      <c r="AH316" s="7636"/>
      <c r="AI316" s="7636"/>
      <c r="AJ316" s="7636"/>
      <c r="AK316" s="7636"/>
      <c r="AL316" s="7636"/>
      <c r="AM316" s="7636"/>
      <c r="AN316" s="7636"/>
      <c r="AO316" s="7636"/>
      <c r="AP316" s="7636"/>
      <c r="AQ316" s="7636"/>
      <c r="AR316" s="7636"/>
      <c r="AS316" s="7025"/>
      <c r="AT316" s="5448"/>
      <c r="AU316" s="5450"/>
      <c r="AV316" s="5448"/>
      <c r="AW316" s="5450"/>
      <c r="AX316" s="4653"/>
      <c r="AY316" s="4657"/>
      <c r="AZ316" s="4657"/>
      <c r="BA316" s="4657"/>
      <c r="BB316" s="4657"/>
      <c r="BC316" s="4657"/>
      <c r="BD316" s="4657"/>
      <c r="BE316" s="4657"/>
      <c r="BF316" s="4657"/>
      <c r="BG316" s="4657"/>
      <c r="BH316" s="4657"/>
      <c r="BX316" s="4652"/>
    </row>
    <row r="317" spans="1:115" ht="15" customHeight="1" x14ac:dyDescent="0.2">
      <c r="A317" s="8635" t="s">
        <v>715</v>
      </c>
      <c r="B317" s="7026" t="s">
        <v>714</v>
      </c>
      <c r="C317" s="6676">
        <f t="shared" si="50"/>
        <v>0</v>
      </c>
      <c r="D317" s="6677">
        <f t="shared" ref="D317:E321" si="52">SUM(F317+H317+J317+L317+N317+P317+R317+T317+V317+X317+Z317+AB317+AD317+AF317+AH317+AJ317+AL317+AN317+AP317)</f>
        <v>0</v>
      </c>
      <c r="E317" s="7027">
        <f t="shared" si="52"/>
        <v>0</v>
      </c>
      <c r="F317" s="5439"/>
      <c r="G317" s="6952"/>
      <c r="H317" s="5439"/>
      <c r="I317" s="6952"/>
      <c r="J317" s="5439"/>
      <c r="K317" s="4792"/>
      <c r="L317" s="5439"/>
      <c r="M317" s="5403"/>
      <c r="N317" s="5439"/>
      <c r="O317" s="4792"/>
      <c r="P317" s="5439"/>
      <c r="Q317" s="6952"/>
      <c r="R317" s="5439"/>
      <c r="S317" s="6952"/>
      <c r="T317" s="5439"/>
      <c r="U317" s="6952"/>
      <c r="V317" s="5439"/>
      <c r="W317" s="6952"/>
      <c r="X317" s="5439"/>
      <c r="Y317" s="6952"/>
      <c r="Z317" s="5439"/>
      <c r="AA317" s="6952"/>
      <c r="AB317" s="5439"/>
      <c r="AC317" s="6952"/>
      <c r="AD317" s="5439"/>
      <c r="AE317" s="6952"/>
      <c r="AF317" s="5439"/>
      <c r="AG317" s="6952"/>
      <c r="AH317" s="5439"/>
      <c r="AI317" s="6952"/>
      <c r="AJ317" s="5439"/>
      <c r="AK317" s="6952"/>
      <c r="AL317" s="5439"/>
      <c r="AM317" s="6952"/>
      <c r="AN317" s="5439"/>
      <c r="AO317" s="6952"/>
      <c r="AP317" s="5439"/>
      <c r="AQ317" s="6728"/>
      <c r="AR317" s="6952"/>
      <c r="AS317" s="4792"/>
      <c r="AT317" s="6953"/>
      <c r="AU317" s="4792"/>
      <c r="AV317" s="6953"/>
      <c r="AW317" s="4792"/>
      <c r="AX317" s="4653"/>
      <c r="AY317" s="4657"/>
      <c r="AZ317" s="4657"/>
      <c r="BA317" s="4657"/>
      <c r="BB317" s="4657"/>
      <c r="BC317" s="4657"/>
      <c r="BD317" s="4657"/>
      <c r="BE317" s="4657"/>
      <c r="BF317" s="4657"/>
      <c r="BG317" s="4657"/>
      <c r="BH317" s="4657"/>
      <c r="BX317" s="4652"/>
    </row>
    <row r="318" spans="1:115" x14ac:dyDescent="0.2">
      <c r="A318" s="8635"/>
      <c r="B318" s="7028" t="s">
        <v>713</v>
      </c>
      <c r="C318" s="6676">
        <f t="shared" si="50"/>
        <v>0</v>
      </c>
      <c r="D318" s="6677">
        <f t="shared" si="52"/>
        <v>0</v>
      </c>
      <c r="E318" s="7027">
        <f t="shared" si="52"/>
        <v>0</v>
      </c>
      <c r="F318" s="5335"/>
      <c r="G318" s="5338"/>
      <c r="H318" s="5335"/>
      <c r="I318" s="5338"/>
      <c r="J318" s="5335"/>
      <c r="K318" s="5336"/>
      <c r="L318" s="5335"/>
      <c r="M318" s="7029"/>
      <c r="N318" s="5335"/>
      <c r="O318" s="5336"/>
      <c r="P318" s="5335"/>
      <c r="Q318" s="5338"/>
      <c r="R318" s="5335"/>
      <c r="S318" s="5338"/>
      <c r="T318" s="5335"/>
      <c r="U318" s="5338"/>
      <c r="V318" s="5335"/>
      <c r="W318" s="5338"/>
      <c r="X318" s="5335"/>
      <c r="Y318" s="5338"/>
      <c r="Z318" s="5335"/>
      <c r="AA318" s="5338"/>
      <c r="AB318" s="5335"/>
      <c r="AC318" s="5338"/>
      <c r="AD318" s="5335"/>
      <c r="AE318" s="5338"/>
      <c r="AF318" s="5335"/>
      <c r="AG318" s="5338"/>
      <c r="AH318" s="5335"/>
      <c r="AI318" s="5338"/>
      <c r="AJ318" s="5335"/>
      <c r="AK318" s="5338"/>
      <c r="AL318" s="5335"/>
      <c r="AM318" s="5338"/>
      <c r="AN318" s="5335"/>
      <c r="AO318" s="5338"/>
      <c r="AP318" s="4306"/>
      <c r="AQ318" s="7030"/>
      <c r="AR318" s="6681"/>
      <c r="AS318" s="5566"/>
      <c r="AT318" s="5567"/>
      <c r="AU318" s="5566"/>
      <c r="AV318" s="5567"/>
      <c r="AW318" s="5566"/>
      <c r="AX318" s="4653"/>
      <c r="AY318" s="4657"/>
      <c r="AZ318" s="4657"/>
      <c r="BA318" s="4657"/>
      <c r="BB318" s="4657"/>
      <c r="BC318" s="4657"/>
      <c r="BD318" s="4657"/>
      <c r="BE318" s="4657"/>
      <c r="BF318" s="4657"/>
      <c r="BG318" s="4657"/>
      <c r="BH318" s="4657"/>
      <c r="BX318" s="4652"/>
    </row>
    <row r="319" spans="1:115" x14ac:dyDescent="0.2">
      <c r="A319" s="8635"/>
      <c r="B319" s="7031" t="s">
        <v>712</v>
      </c>
      <c r="C319" s="6676">
        <f t="shared" si="50"/>
        <v>0</v>
      </c>
      <c r="D319" s="6677">
        <f t="shared" si="52"/>
        <v>0</v>
      </c>
      <c r="E319" s="7027">
        <f t="shared" si="52"/>
        <v>0</v>
      </c>
      <c r="F319" s="5335"/>
      <c r="G319" s="5338"/>
      <c r="H319" s="5335"/>
      <c r="I319" s="5338"/>
      <c r="J319" s="5335"/>
      <c r="K319" s="5336"/>
      <c r="L319" s="5335"/>
      <c r="M319" s="7029"/>
      <c r="N319" s="5335"/>
      <c r="O319" s="5336"/>
      <c r="P319" s="5335"/>
      <c r="Q319" s="5338"/>
      <c r="R319" s="5335"/>
      <c r="S319" s="5338"/>
      <c r="T319" s="5335"/>
      <c r="U319" s="5338"/>
      <c r="V319" s="5335"/>
      <c r="W319" s="5338"/>
      <c r="X319" s="5335"/>
      <c r="Y319" s="5338"/>
      <c r="Z319" s="5335"/>
      <c r="AA319" s="5338"/>
      <c r="AB319" s="5335"/>
      <c r="AC319" s="5338"/>
      <c r="AD319" s="5335"/>
      <c r="AE319" s="5338"/>
      <c r="AF319" s="5335"/>
      <c r="AG319" s="5338"/>
      <c r="AH319" s="5335"/>
      <c r="AI319" s="5338"/>
      <c r="AJ319" s="5335"/>
      <c r="AK319" s="5338"/>
      <c r="AL319" s="5335"/>
      <c r="AM319" s="5338"/>
      <c r="AN319" s="5335"/>
      <c r="AO319" s="5338"/>
      <c r="AP319" s="4306"/>
      <c r="AQ319" s="7030"/>
      <c r="AR319" s="6681"/>
      <c r="AS319" s="5336"/>
      <c r="AT319" s="6489"/>
      <c r="AU319" s="5336"/>
      <c r="AV319" s="6489"/>
      <c r="AW319" s="5336"/>
      <c r="AX319" s="4653"/>
      <c r="AY319" s="4657"/>
      <c r="AZ319" s="4657"/>
      <c r="BA319" s="4657"/>
      <c r="BB319" s="4657"/>
      <c r="BC319" s="4657"/>
      <c r="BD319" s="4657"/>
      <c r="BE319" s="4657"/>
      <c r="BF319" s="4657"/>
      <c r="BG319" s="4657"/>
      <c r="BH319" s="4657"/>
      <c r="BX319" s="4652"/>
    </row>
    <row r="320" spans="1:115" x14ac:dyDescent="0.2">
      <c r="A320" s="8635"/>
      <c r="B320" s="5339" t="s">
        <v>2157</v>
      </c>
      <c r="C320" s="6676">
        <f t="shared" si="50"/>
        <v>0</v>
      </c>
      <c r="D320" s="6677">
        <f t="shared" si="52"/>
        <v>0</v>
      </c>
      <c r="E320" s="7027">
        <f t="shared" si="52"/>
        <v>0</v>
      </c>
      <c r="F320" s="5335"/>
      <c r="G320" s="5338"/>
      <c r="H320" s="5335"/>
      <c r="I320" s="5338"/>
      <c r="J320" s="5335"/>
      <c r="K320" s="5336"/>
      <c r="L320" s="5335"/>
      <c r="M320" s="7029"/>
      <c r="N320" s="5335"/>
      <c r="O320" s="5336"/>
      <c r="P320" s="5335"/>
      <c r="Q320" s="5338"/>
      <c r="R320" s="5335"/>
      <c r="S320" s="5338"/>
      <c r="T320" s="5335"/>
      <c r="U320" s="5338"/>
      <c r="V320" s="5335"/>
      <c r="W320" s="5338"/>
      <c r="X320" s="5335"/>
      <c r="Y320" s="5338"/>
      <c r="Z320" s="5335"/>
      <c r="AA320" s="5338"/>
      <c r="AB320" s="5335"/>
      <c r="AC320" s="5338"/>
      <c r="AD320" s="5335"/>
      <c r="AE320" s="5338"/>
      <c r="AF320" s="5335"/>
      <c r="AG320" s="5338"/>
      <c r="AH320" s="5335"/>
      <c r="AI320" s="5338"/>
      <c r="AJ320" s="5335"/>
      <c r="AK320" s="5338"/>
      <c r="AL320" s="5335"/>
      <c r="AM320" s="5338"/>
      <c r="AN320" s="5335"/>
      <c r="AO320" s="5338"/>
      <c r="AP320" s="4306"/>
      <c r="AQ320" s="7030"/>
      <c r="AR320" s="6681"/>
      <c r="AS320" s="5336"/>
      <c r="AT320" s="6489"/>
      <c r="AU320" s="5336"/>
      <c r="AV320" s="6489"/>
      <c r="AW320" s="5336"/>
      <c r="AX320" s="4653"/>
      <c r="AY320" s="4657"/>
      <c r="AZ320" s="4657"/>
      <c r="BA320" s="4657"/>
      <c r="BB320" s="4657"/>
      <c r="BC320" s="4657"/>
      <c r="BD320" s="4657"/>
      <c r="BE320" s="4657"/>
      <c r="BF320" s="4657"/>
      <c r="BG320" s="4657"/>
      <c r="BH320" s="4657"/>
      <c r="BX320" s="4652"/>
    </row>
    <row r="321" spans="1:114" x14ac:dyDescent="0.2">
      <c r="A321" s="8662"/>
      <c r="B321" s="7032" t="s">
        <v>2158</v>
      </c>
      <c r="C321" s="7023">
        <f t="shared" si="50"/>
        <v>0</v>
      </c>
      <c r="D321" s="7024">
        <f t="shared" si="52"/>
        <v>0</v>
      </c>
      <c r="E321" s="5446">
        <f t="shared" si="52"/>
        <v>0</v>
      </c>
      <c r="F321" s="6258"/>
      <c r="G321" s="6257"/>
      <c r="H321" s="6258"/>
      <c r="I321" s="6257"/>
      <c r="J321" s="6258"/>
      <c r="K321" s="5465"/>
      <c r="L321" s="6258"/>
      <c r="M321" s="6304"/>
      <c r="N321" s="6258"/>
      <c r="O321" s="5465"/>
      <c r="P321" s="6258"/>
      <c r="Q321" s="6257"/>
      <c r="R321" s="6258"/>
      <c r="S321" s="6257"/>
      <c r="T321" s="6258"/>
      <c r="U321" s="6257"/>
      <c r="V321" s="6258"/>
      <c r="W321" s="6257"/>
      <c r="X321" s="6258"/>
      <c r="Y321" s="6257"/>
      <c r="Z321" s="6258"/>
      <c r="AA321" s="6257"/>
      <c r="AB321" s="6258"/>
      <c r="AC321" s="6257"/>
      <c r="AD321" s="6258"/>
      <c r="AE321" s="6257"/>
      <c r="AF321" s="6258"/>
      <c r="AG321" s="6257"/>
      <c r="AH321" s="6258"/>
      <c r="AI321" s="6257"/>
      <c r="AJ321" s="6258"/>
      <c r="AK321" s="6257"/>
      <c r="AL321" s="6258"/>
      <c r="AM321" s="6257"/>
      <c r="AN321" s="6258"/>
      <c r="AO321" s="6257"/>
      <c r="AP321" s="7033"/>
      <c r="AQ321" s="7034"/>
      <c r="AR321" s="7035"/>
      <c r="AS321" s="7036"/>
      <c r="AT321" s="7037"/>
      <c r="AU321" s="7036"/>
      <c r="AV321" s="7037"/>
      <c r="AW321" s="7036"/>
      <c r="AX321" s="4653"/>
      <c r="AY321" s="4657"/>
      <c r="AZ321" s="4657"/>
      <c r="BA321" s="4657"/>
      <c r="BB321" s="4657"/>
      <c r="BC321" s="4657"/>
      <c r="BD321" s="4657"/>
      <c r="BE321" s="4657"/>
      <c r="BF321" s="4657"/>
      <c r="BG321" s="4657"/>
      <c r="BH321" s="4657"/>
      <c r="BX321" s="4652"/>
      <c r="DB321" s="6209">
        <v>0</v>
      </c>
      <c r="DD321" s="6209">
        <v>0</v>
      </c>
      <c r="DF321" s="6209">
        <v>0</v>
      </c>
      <c r="DH321" s="6209">
        <v>0</v>
      </c>
      <c r="DI321" s="6209">
        <v>0</v>
      </c>
      <c r="DJ321" s="6209">
        <v>0</v>
      </c>
    </row>
    <row r="322" spans="1:114" ht="19.5" customHeight="1" x14ac:dyDescent="0.2">
      <c r="A322" s="5466" t="s">
        <v>3151</v>
      </c>
      <c r="B322" s="6621"/>
      <c r="AL322" s="4627"/>
      <c r="AM322" s="7038"/>
      <c r="AN322" s="7038"/>
      <c r="AO322" s="7038"/>
      <c r="AP322" s="7038"/>
      <c r="AQ322" s="7038"/>
      <c r="AR322" s="7038"/>
      <c r="AS322" s="7038"/>
      <c r="AT322" s="7038"/>
      <c r="AU322" s="7038"/>
      <c r="AV322" s="6975"/>
      <c r="AW322" s="6975"/>
      <c r="AX322" s="6974"/>
      <c r="BA322" s="4657"/>
      <c r="BB322" s="4657"/>
      <c r="BC322" s="4657"/>
      <c r="BD322" s="4657"/>
      <c r="BE322" s="4657"/>
      <c r="BF322" s="4657"/>
      <c r="BG322" s="4657"/>
      <c r="BH322" s="4657"/>
      <c r="BI322" s="4657"/>
      <c r="BJ322" s="4657"/>
      <c r="BK322" s="4657"/>
      <c r="BL322" s="4657"/>
      <c r="BM322" s="4657"/>
    </row>
    <row r="323" spans="1:114" ht="16.350000000000001" customHeight="1" x14ac:dyDescent="0.2">
      <c r="A323" s="8663" t="s">
        <v>31</v>
      </c>
      <c r="B323" s="8664"/>
      <c r="C323" s="8827" t="s">
        <v>39</v>
      </c>
      <c r="D323" s="8827"/>
      <c r="E323" s="8827"/>
      <c r="F323" s="8828" t="s">
        <v>84</v>
      </c>
      <c r="G323" s="8829"/>
      <c r="H323" s="8829"/>
      <c r="I323" s="8829"/>
      <c r="J323" s="8829"/>
      <c r="K323" s="8829"/>
      <c r="L323" s="8829"/>
      <c r="M323" s="8829"/>
      <c r="N323" s="8829"/>
      <c r="O323" s="8829"/>
      <c r="P323" s="8829"/>
      <c r="Q323" s="8829"/>
      <c r="R323" s="8829"/>
      <c r="S323" s="8829"/>
      <c r="T323" s="8829"/>
      <c r="U323" s="8829"/>
      <c r="V323" s="8829"/>
      <c r="W323" s="8829"/>
      <c r="X323" s="8829"/>
      <c r="Y323" s="8829"/>
      <c r="Z323" s="8829"/>
      <c r="AA323" s="8829"/>
      <c r="AB323" s="8829"/>
      <c r="AC323" s="8829"/>
      <c r="AD323" s="8829"/>
      <c r="AE323" s="8829"/>
      <c r="AF323" s="8829"/>
      <c r="AG323" s="8830"/>
      <c r="AH323" s="8896" t="s">
        <v>711</v>
      </c>
      <c r="AI323" s="8775"/>
      <c r="AJ323" s="8964" t="s">
        <v>360</v>
      </c>
      <c r="AK323" s="8741" t="s">
        <v>359</v>
      </c>
      <c r="AL323" s="6509"/>
      <c r="AM323" s="4684"/>
      <c r="AN323" s="4684"/>
      <c r="AO323" s="4684"/>
      <c r="AP323" s="4684"/>
      <c r="AQ323" s="4684"/>
      <c r="AR323" s="4684"/>
      <c r="AS323" s="4684"/>
      <c r="AT323" s="4684"/>
      <c r="AU323" s="4684"/>
      <c r="AV323" s="4684"/>
      <c r="AW323" s="4684"/>
      <c r="AX323" s="6714"/>
      <c r="CB323" s="6510"/>
      <c r="CC323" s="6510"/>
    </row>
    <row r="324" spans="1:114" ht="16.350000000000001" customHeight="1" x14ac:dyDescent="0.2">
      <c r="A324" s="8695"/>
      <c r="B324" s="8689"/>
      <c r="C324" s="8827"/>
      <c r="D324" s="8827"/>
      <c r="E324" s="8827"/>
      <c r="F324" s="8709" t="s">
        <v>80</v>
      </c>
      <c r="G324" s="8709"/>
      <c r="H324" s="8787" t="s">
        <v>81</v>
      </c>
      <c r="I324" s="8788"/>
      <c r="J324" s="8684" t="s">
        <v>115</v>
      </c>
      <c r="K324" s="8684"/>
      <c r="L324" s="8684" t="s">
        <v>116</v>
      </c>
      <c r="M324" s="8684"/>
      <c r="N324" s="8684" t="s">
        <v>117</v>
      </c>
      <c r="O324" s="8684"/>
      <c r="P324" s="8684" t="s">
        <v>118</v>
      </c>
      <c r="Q324" s="8684"/>
      <c r="R324" s="8684" t="s">
        <v>119</v>
      </c>
      <c r="S324" s="8684"/>
      <c r="T324" s="8684" t="s">
        <v>120</v>
      </c>
      <c r="U324" s="8684"/>
      <c r="V324" s="8684" t="s">
        <v>1412</v>
      </c>
      <c r="W324" s="8684"/>
      <c r="X324" s="8684" t="s">
        <v>1404</v>
      </c>
      <c r="Y324" s="8684"/>
      <c r="Z324" s="8684" t="s">
        <v>1395</v>
      </c>
      <c r="AA324" s="8684"/>
      <c r="AB324" s="8684" t="s">
        <v>1394</v>
      </c>
      <c r="AC324" s="8684"/>
      <c r="AD324" s="8684" t="s">
        <v>1393</v>
      </c>
      <c r="AE324" s="8684"/>
      <c r="AF324" s="8684" t="s">
        <v>1403</v>
      </c>
      <c r="AG324" s="8789"/>
      <c r="AH324" s="8897"/>
      <c r="AI324" s="8777"/>
      <c r="AJ324" s="8965"/>
      <c r="AK324" s="8749"/>
      <c r="AL324" s="6509"/>
      <c r="AM324" s="4684"/>
      <c r="AN324" s="4684"/>
      <c r="AO324" s="4684"/>
      <c r="AP324" s="4684"/>
      <c r="AQ324" s="4684"/>
      <c r="AR324" s="4684"/>
      <c r="AS324" s="4684"/>
      <c r="AT324" s="4684"/>
      <c r="AU324" s="4684"/>
      <c r="AV324" s="4684"/>
      <c r="AW324" s="4684"/>
      <c r="AX324" s="6714"/>
      <c r="CB324" s="6510"/>
      <c r="CC324" s="6510"/>
    </row>
    <row r="325" spans="1:114" ht="16.350000000000001" customHeight="1" x14ac:dyDescent="0.2">
      <c r="A325" s="8665"/>
      <c r="B325" s="8666"/>
      <c r="C325" s="7039" t="s">
        <v>42</v>
      </c>
      <c r="D325" s="7040" t="s">
        <v>17</v>
      </c>
      <c r="E325" s="5763" t="s">
        <v>18</v>
      </c>
      <c r="F325" s="7039" t="s">
        <v>706</v>
      </c>
      <c r="G325" s="7041" t="s">
        <v>18</v>
      </c>
      <c r="H325" s="7039" t="s">
        <v>706</v>
      </c>
      <c r="I325" s="7041" t="s">
        <v>18</v>
      </c>
      <c r="J325" s="7039" t="s">
        <v>706</v>
      </c>
      <c r="K325" s="7041" t="s">
        <v>18</v>
      </c>
      <c r="L325" s="7039" t="s">
        <v>706</v>
      </c>
      <c r="M325" s="7041" t="s">
        <v>18</v>
      </c>
      <c r="N325" s="7039" t="s">
        <v>706</v>
      </c>
      <c r="O325" s="7041" t="s">
        <v>18</v>
      </c>
      <c r="P325" s="7039" t="s">
        <v>706</v>
      </c>
      <c r="Q325" s="7041" t="s">
        <v>18</v>
      </c>
      <c r="R325" s="7039" t="s">
        <v>706</v>
      </c>
      <c r="S325" s="7041" t="s">
        <v>18</v>
      </c>
      <c r="T325" s="7039" t="s">
        <v>706</v>
      </c>
      <c r="U325" s="7041" t="s">
        <v>18</v>
      </c>
      <c r="V325" s="7039" t="s">
        <v>706</v>
      </c>
      <c r="W325" s="7041" t="s">
        <v>18</v>
      </c>
      <c r="X325" s="7039" t="s">
        <v>706</v>
      </c>
      <c r="Y325" s="7041" t="s">
        <v>18</v>
      </c>
      <c r="Z325" s="7039" t="s">
        <v>706</v>
      </c>
      <c r="AA325" s="7041" t="s">
        <v>18</v>
      </c>
      <c r="AB325" s="7039" t="s">
        <v>706</v>
      </c>
      <c r="AC325" s="7041" t="s">
        <v>18</v>
      </c>
      <c r="AD325" s="7039" t="s">
        <v>706</v>
      </c>
      <c r="AE325" s="7041" t="s">
        <v>18</v>
      </c>
      <c r="AF325" s="7039" t="s">
        <v>706</v>
      </c>
      <c r="AG325" s="7042" t="s">
        <v>18</v>
      </c>
      <c r="AH325" s="7043" t="s">
        <v>356</v>
      </c>
      <c r="AI325" s="6405" t="s">
        <v>357</v>
      </c>
      <c r="AJ325" s="8966"/>
      <c r="AK325" s="8660"/>
      <c r="AL325" s="6509"/>
      <c r="AM325" s="4684"/>
      <c r="AN325" s="4684"/>
      <c r="AO325" s="4684"/>
      <c r="AP325" s="4684"/>
      <c r="AQ325" s="4684"/>
      <c r="AR325" s="4684"/>
      <c r="AS325" s="4684"/>
      <c r="AT325" s="4684"/>
      <c r="AU325" s="4684"/>
      <c r="AV325" s="4684"/>
      <c r="AW325" s="4684"/>
      <c r="AX325" s="6714"/>
      <c r="CB325" s="6510"/>
      <c r="CC325" s="6510"/>
    </row>
    <row r="326" spans="1:114" ht="20.25" customHeight="1" x14ac:dyDescent="0.2">
      <c r="A326" s="8654" t="s">
        <v>710</v>
      </c>
      <c r="B326" s="8654"/>
      <c r="C326" s="7017">
        <f>SUM(D326+E326)</f>
        <v>0</v>
      </c>
      <c r="D326" s="7018">
        <f t="shared" ref="D326:E328" si="53">SUM(F326+H326+J326+L326+N326+P326+R326+T326+V326+X326+Z326+AB326+AD326+AF326)</f>
        <v>0</v>
      </c>
      <c r="E326" s="7044">
        <f t="shared" si="53"/>
        <v>0</v>
      </c>
      <c r="F326" s="7012"/>
      <c r="G326" s="7014"/>
      <c r="H326" s="7012"/>
      <c r="I326" s="7014"/>
      <c r="J326" s="7012"/>
      <c r="K326" s="7014"/>
      <c r="L326" s="7012"/>
      <c r="M326" s="7014"/>
      <c r="N326" s="7012"/>
      <c r="O326" s="7014"/>
      <c r="P326" s="7012"/>
      <c r="Q326" s="7014"/>
      <c r="R326" s="7012"/>
      <c r="S326" s="7014"/>
      <c r="T326" s="7012"/>
      <c r="U326" s="7014"/>
      <c r="V326" s="7012"/>
      <c r="W326" s="7014"/>
      <c r="X326" s="7012"/>
      <c r="Y326" s="7014"/>
      <c r="Z326" s="7012"/>
      <c r="AA326" s="7014"/>
      <c r="AB326" s="7012"/>
      <c r="AC326" s="7014"/>
      <c r="AD326" s="7012"/>
      <c r="AE326" s="7014"/>
      <c r="AF326" s="7012"/>
      <c r="AG326" s="7013"/>
      <c r="AH326" s="7014"/>
      <c r="AI326" s="7020"/>
      <c r="AJ326" s="7012"/>
      <c r="AK326" s="7020"/>
      <c r="AL326" s="6509"/>
      <c r="AM326" s="5516"/>
      <c r="AN326" s="5516"/>
      <c r="AO326" s="5516"/>
      <c r="AP326" s="5516"/>
      <c r="AQ326" s="5516"/>
      <c r="AR326" s="6683"/>
      <c r="AS326" s="6683"/>
      <c r="AT326" s="6683"/>
      <c r="AU326" s="6683"/>
      <c r="AV326" s="6683"/>
      <c r="AW326" s="6683"/>
      <c r="AX326" s="6493"/>
      <c r="DB326" s="6209">
        <v>0</v>
      </c>
      <c r="DD326" s="6209">
        <v>0</v>
      </c>
      <c r="DH326" s="6209">
        <v>0</v>
      </c>
      <c r="DI326" s="6209">
        <v>0</v>
      </c>
    </row>
    <row r="327" spans="1:114" ht="22.5" customHeight="1" x14ac:dyDescent="0.2">
      <c r="A327" s="8654" t="s">
        <v>709</v>
      </c>
      <c r="B327" s="8654"/>
      <c r="C327" s="7017">
        <f>SUM(D327+E327)</f>
        <v>0</v>
      </c>
      <c r="D327" s="7018">
        <f t="shared" si="53"/>
        <v>0</v>
      </c>
      <c r="E327" s="7044">
        <f t="shared" si="53"/>
        <v>0</v>
      </c>
      <c r="F327" s="7012"/>
      <c r="G327" s="7014"/>
      <c r="H327" s="7012"/>
      <c r="I327" s="7014"/>
      <c r="J327" s="7012"/>
      <c r="K327" s="7014"/>
      <c r="L327" s="7012"/>
      <c r="M327" s="7014"/>
      <c r="N327" s="7012"/>
      <c r="O327" s="7014"/>
      <c r="P327" s="7012"/>
      <c r="Q327" s="7014"/>
      <c r="R327" s="7012"/>
      <c r="S327" s="7014"/>
      <c r="T327" s="7012"/>
      <c r="U327" s="7014"/>
      <c r="V327" s="7012"/>
      <c r="W327" s="7014"/>
      <c r="X327" s="7012"/>
      <c r="Y327" s="7014"/>
      <c r="Z327" s="7012"/>
      <c r="AA327" s="7014"/>
      <c r="AB327" s="7012"/>
      <c r="AC327" s="7014"/>
      <c r="AD327" s="7012"/>
      <c r="AE327" s="7014"/>
      <c r="AF327" s="7012"/>
      <c r="AG327" s="7013"/>
      <c r="AH327" s="7014"/>
      <c r="AI327" s="7020"/>
      <c r="AJ327" s="7012"/>
      <c r="AK327" s="7020"/>
      <c r="AL327" s="6509"/>
      <c r="AM327" s="5516"/>
      <c r="AN327" s="5516"/>
      <c r="AO327" s="5516"/>
      <c r="AP327" s="5516"/>
      <c r="AQ327" s="5516"/>
      <c r="AR327" s="6683"/>
      <c r="AS327" s="6683"/>
      <c r="AT327" s="6683"/>
      <c r="AU327" s="6683"/>
      <c r="AV327" s="6683"/>
      <c r="AW327" s="6683"/>
      <c r="AX327" s="6493"/>
    </row>
    <row r="328" spans="1:114" ht="18.75" customHeight="1" x14ac:dyDescent="0.2">
      <c r="A328" s="8654" t="s">
        <v>708</v>
      </c>
      <c r="B328" s="8654"/>
      <c r="C328" s="7017">
        <f>SUM(D328+E328)</f>
        <v>0</v>
      </c>
      <c r="D328" s="7018">
        <f t="shared" si="53"/>
        <v>0</v>
      </c>
      <c r="E328" s="7044">
        <f t="shared" si="53"/>
        <v>0</v>
      </c>
      <c r="F328" s="7012"/>
      <c r="G328" s="7014"/>
      <c r="H328" s="7012"/>
      <c r="I328" s="7014"/>
      <c r="J328" s="7012"/>
      <c r="K328" s="7014"/>
      <c r="L328" s="7012"/>
      <c r="M328" s="7014"/>
      <c r="N328" s="7012"/>
      <c r="O328" s="7014"/>
      <c r="P328" s="7012"/>
      <c r="Q328" s="7014"/>
      <c r="R328" s="7012"/>
      <c r="S328" s="7014"/>
      <c r="T328" s="7012"/>
      <c r="U328" s="7014"/>
      <c r="V328" s="7012"/>
      <c r="W328" s="7014"/>
      <c r="X328" s="7012"/>
      <c r="Y328" s="7014"/>
      <c r="Z328" s="7012"/>
      <c r="AA328" s="7014"/>
      <c r="AB328" s="7012"/>
      <c r="AC328" s="7014"/>
      <c r="AD328" s="7012"/>
      <c r="AE328" s="7014"/>
      <c r="AF328" s="7012"/>
      <c r="AG328" s="7013"/>
      <c r="AH328" s="7014"/>
      <c r="AI328" s="7020"/>
      <c r="AJ328" s="7012"/>
      <c r="AK328" s="7020"/>
      <c r="AL328" s="6509"/>
      <c r="AM328" s="5427"/>
      <c r="AN328" s="5427"/>
      <c r="AO328" s="5427"/>
      <c r="AP328" s="5427"/>
      <c r="AQ328" s="5427"/>
      <c r="AR328" s="5427"/>
      <c r="AS328" s="5427"/>
      <c r="AT328" s="5427"/>
      <c r="AU328" s="5427"/>
      <c r="AV328" s="5427"/>
      <c r="AW328" s="5427"/>
      <c r="AX328" s="5525"/>
      <c r="DB328" s="6209">
        <v>0</v>
      </c>
      <c r="DD328" s="6209">
        <v>0</v>
      </c>
      <c r="DI328" s="6209">
        <v>0</v>
      </c>
    </row>
    <row r="329" spans="1:114" ht="30" customHeight="1" x14ac:dyDescent="0.2">
      <c r="A329" s="7045" t="s">
        <v>3152</v>
      </c>
      <c r="B329" s="7046"/>
      <c r="C329" s="7047"/>
      <c r="D329" s="7047"/>
      <c r="E329" s="7047"/>
      <c r="F329" s="7047"/>
      <c r="G329" s="7047"/>
      <c r="H329" s="7047"/>
      <c r="I329" s="7047"/>
      <c r="J329" s="7047"/>
      <c r="K329" s="7047"/>
      <c r="L329" s="7047"/>
      <c r="M329" s="7047"/>
      <c r="N329" s="7047"/>
      <c r="O329" s="4328"/>
      <c r="P329" s="4328"/>
      <c r="Q329" s="4328"/>
      <c r="R329" s="4328"/>
      <c r="S329" s="4328"/>
      <c r="T329" s="4328"/>
      <c r="U329" s="4328"/>
      <c r="V329" s="4328"/>
      <c r="W329" s="4328"/>
      <c r="X329" s="4328"/>
      <c r="Y329" s="4328"/>
      <c r="Z329" s="4328"/>
      <c r="AA329" s="4328"/>
      <c r="AB329" s="4328"/>
      <c r="AC329" s="4328"/>
      <c r="AD329" s="4328"/>
      <c r="AE329" s="4328"/>
      <c r="AF329" s="4328"/>
      <c r="AG329" s="4328"/>
      <c r="AH329" s="5427"/>
      <c r="AI329" s="4328"/>
      <c r="AJ329" s="4328"/>
      <c r="AK329" s="4328"/>
      <c r="AL329" s="5427"/>
      <c r="AM329" s="5427"/>
      <c r="AN329" s="5427"/>
      <c r="AO329" s="5427"/>
      <c r="AP329" s="5427"/>
      <c r="AQ329" s="5427"/>
      <c r="AR329" s="5427"/>
      <c r="AS329" s="5427"/>
      <c r="AT329" s="5427"/>
      <c r="AU329" s="5427"/>
      <c r="AV329" s="5427"/>
      <c r="AW329" s="5427"/>
      <c r="AX329" s="5525"/>
    </row>
    <row r="330" spans="1:114" ht="16.350000000000001" customHeight="1" x14ac:dyDescent="0.2">
      <c r="A330" s="8661" t="s">
        <v>41</v>
      </c>
      <c r="B330" s="8655" t="s">
        <v>86</v>
      </c>
      <c r="C330" s="8656"/>
      <c r="D330" s="8657"/>
      <c r="E330" s="8902" t="s">
        <v>707</v>
      </c>
      <c r="F330" s="8903"/>
      <c r="G330" s="8903"/>
      <c r="H330" s="8903"/>
      <c r="I330" s="8903"/>
      <c r="J330" s="8903"/>
      <c r="K330" s="8903"/>
      <c r="L330" s="8903"/>
      <c r="M330" s="8903"/>
      <c r="N330" s="7048"/>
      <c r="O330" s="8206" t="s">
        <v>360</v>
      </c>
      <c r="P330" s="8206" t="s">
        <v>359</v>
      </c>
      <c r="Q330" s="8934" t="s">
        <v>361</v>
      </c>
      <c r="R330" s="8935"/>
      <c r="S330" s="4328"/>
      <c r="T330" s="4328"/>
      <c r="U330" s="4328"/>
      <c r="V330" s="4328"/>
      <c r="W330" s="4328"/>
      <c r="X330" s="4328"/>
      <c r="Y330" s="4328"/>
      <c r="Z330" s="4328"/>
      <c r="AA330" s="4328"/>
      <c r="AB330" s="4328"/>
      <c r="AC330" s="4328"/>
      <c r="AD330" s="4328"/>
      <c r="AE330" s="4328"/>
      <c r="AF330" s="4328"/>
      <c r="AG330" s="4328"/>
      <c r="AH330" s="4328"/>
      <c r="AI330" s="4328"/>
      <c r="AJ330" s="4328"/>
      <c r="AK330" s="5427"/>
      <c r="AL330" s="4302"/>
      <c r="AM330" s="5427"/>
      <c r="AN330" s="5427"/>
      <c r="AO330" s="5427"/>
      <c r="AP330" s="5427"/>
      <c r="AQ330" s="5427"/>
      <c r="AR330" s="5427"/>
      <c r="AS330" s="5427"/>
      <c r="AT330" s="5427"/>
      <c r="AU330" s="5427"/>
      <c r="AV330" s="5427"/>
      <c r="AW330" s="5427"/>
      <c r="BY330" s="4652"/>
    </row>
    <row r="331" spans="1:114" ht="16.350000000000001" customHeight="1" x14ac:dyDescent="0.2">
      <c r="A331" s="8635"/>
      <c r="B331" s="8658"/>
      <c r="C331" s="8659"/>
      <c r="D331" s="8660"/>
      <c r="E331" s="8630" t="s">
        <v>397</v>
      </c>
      <c r="F331" s="8631"/>
      <c r="G331" s="8630" t="s">
        <v>54</v>
      </c>
      <c r="H331" s="8631"/>
      <c r="I331" s="8630" t="s">
        <v>79</v>
      </c>
      <c r="J331" s="8631"/>
      <c r="K331" s="8630" t="s">
        <v>80</v>
      </c>
      <c r="L331" s="8631"/>
      <c r="M331" s="8630" t="s">
        <v>81</v>
      </c>
      <c r="N331" s="8633"/>
      <c r="O331" s="8689"/>
      <c r="P331" s="8689"/>
      <c r="Q331" s="8936"/>
      <c r="R331" s="8937"/>
      <c r="S331" s="4328"/>
      <c r="T331" s="4328"/>
      <c r="U331" s="4328"/>
      <c r="V331" s="4328"/>
      <c r="W331" s="4328"/>
      <c r="X331" s="4328"/>
      <c r="Y331" s="4328"/>
      <c r="Z331" s="4328"/>
      <c r="AA331" s="4328"/>
      <c r="AB331" s="4328"/>
      <c r="AC331" s="4328"/>
      <c r="AD331" s="4328"/>
      <c r="AE331" s="4328"/>
      <c r="AF331" s="4328"/>
      <c r="AG331" s="4328"/>
      <c r="AH331" s="4328"/>
      <c r="AI331" s="4328"/>
      <c r="AJ331" s="4328"/>
      <c r="AK331" s="5427"/>
      <c r="AL331" s="5427"/>
      <c r="AM331" s="5427"/>
      <c r="AN331" s="5427"/>
      <c r="AO331" s="5427"/>
      <c r="AP331" s="5427"/>
      <c r="AQ331" s="5427"/>
      <c r="AR331" s="5427"/>
      <c r="AS331" s="5427"/>
      <c r="AT331" s="5427"/>
      <c r="AU331" s="5427"/>
      <c r="AV331" s="5427"/>
      <c r="AW331" s="5427"/>
      <c r="BY331" s="4652"/>
    </row>
    <row r="332" spans="1:114" ht="19.5" customHeight="1" x14ac:dyDescent="0.2">
      <c r="A332" s="8662"/>
      <c r="B332" s="7049" t="s">
        <v>42</v>
      </c>
      <c r="C332" s="7050" t="s">
        <v>17</v>
      </c>
      <c r="D332" s="6405" t="s">
        <v>18</v>
      </c>
      <c r="E332" s="7051" t="s">
        <v>17</v>
      </c>
      <c r="F332" s="7052" t="s">
        <v>18</v>
      </c>
      <c r="G332" s="7051" t="s">
        <v>17</v>
      </c>
      <c r="H332" s="7052" t="s">
        <v>18</v>
      </c>
      <c r="I332" s="7051" t="s">
        <v>17</v>
      </c>
      <c r="J332" s="7052" t="s">
        <v>18</v>
      </c>
      <c r="K332" s="7051" t="s">
        <v>17</v>
      </c>
      <c r="L332" s="7052" t="s">
        <v>18</v>
      </c>
      <c r="M332" s="7051" t="s">
        <v>17</v>
      </c>
      <c r="N332" s="6407" t="s">
        <v>18</v>
      </c>
      <c r="O332" s="8207"/>
      <c r="P332" s="8690"/>
      <c r="Q332" s="7053" t="s">
        <v>356</v>
      </c>
      <c r="R332" s="7053" t="s">
        <v>357</v>
      </c>
      <c r="BY332" s="4652"/>
    </row>
    <row r="333" spans="1:114" ht="20.25" customHeight="1" x14ac:dyDescent="0.2">
      <c r="A333" s="7054" t="s">
        <v>29</v>
      </c>
      <c r="B333" s="7054">
        <f>SUM(C333+D333)</f>
        <v>0</v>
      </c>
      <c r="C333" s="7055">
        <f>SUM(E333+G333+I333+K333+M333)</f>
        <v>0</v>
      </c>
      <c r="D333" s="7056">
        <f>SUM(F333+H333+J333+L333+N333)</f>
        <v>0</v>
      </c>
      <c r="E333" s="6588"/>
      <c r="F333" s="4803"/>
      <c r="G333" s="6588"/>
      <c r="H333" s="4803"/>
      <c r="I333" s="6588"/>
      <c r="J333" s="7057"/>
      <c r="K333" s="6588"/>
      <c r="L333" s="7057"/>
      <c r="M333" s="7058"/>
      <c r="N333" s="6611"/>
      <c r="O333" s="4803"/>
      <c r="P333" s="4803"/>
      <c r="Q333" s="4803"/>
      <c r="R333" s="4803"/>
      <c r="S333" s="4652"/>
      <c r="BY333" s="4652"/>
      <c r="DB333" s="6209">
        <v>0</v>
      </c>
      <c r="DC333" s="6209">
        <v>0</v>
      </c>
      <c r="DD333" s="6209">
        <v>0</v>
      </c>
      <c r="DE333" s="6209">
        <v>0</v>
      </c>
      <c r="DF333" s="6209">
        <v>0</v>
      </c>
      <c r="DG333" s="6209">
        <v>0</v>
      </c>
      <c r="DH333" s="6209">
        <v>0</v>
      </c>
    </row>
    <row r="334" spans="1:114" ht="21.75" customHeight="1" x14ac:dyDescent="0.2">
      <c r="A334" s="7059" t="s">
        <v>73</v>
      </c>
      <c r="B334" s="7059">
        <f>SUM(C334+D334)</f>
        <v>0</v>
      </c>
      <c r="C334" s="7060">
        <f>SUM(E334+G334+I334+K334+M334)</f>
        <v>0</v>
      </c>
      <c r="D334" s="6301">
        <f>SUM(F334+H334+J334+L334+N334)</f>
        <v>0</v>
      </c>
      <c r="E334" s="6614"/>
      <c r="F334" s="7061"/>
      <c r="G334" s="6614"/>
      <c r="H334" s="4626"/>
      <c r="I334" s="6614"/>
      <c r="J334" s="7061"/>
      <c r="K334" s="6614"/>
      <c r="L334" s="7061"/>
      <c r="M334" s="7062"/>
      <c r="N334" s="6305"/>
      <c r="O334" s="7061"/>
      <c r="P334" s="6613"/>
      <c r="Q334" s="7061"/>
      <c r="R334" s="6613"/>
      <c r="S334" s="4652"/>
      <c r="BY334" s="4652"/>
      <c r="DB334" s="6209">
        <v>0</v>
      </c>
      <c r="DD334" s="6209">
        <v>0</v>
      </c>
      <c r="DF334" s="6209">
        <v>0</v>
      </c>
      <c r="DH334" s="6209">
        <v>0</v>
      </c>
    </row>
    <row r="335" spans="1:114" ht="22.5" customHeight="1" x14ac:dyDescent="0.2">
      <c r="A335" s="5466" t="s">
        <v>3153</v>
      </c>
      <c r="B335" s="4879"/>
    </row>
    <row r="336" spans="1:114" ht="14.25" customHeight="1" x14ac:dyDescent="0.2">
      <c r="A336" s="8661" t="s">
        <v>41</v>
      </c>
      <c r="B336" s="8661" t="s">
        <v>649</v>
      </c>
      <c r="C336" s="8673" t="s">
        <v>86</v>
      </c>
      <c r="D336" s="8673"/>
      <c r="E336" s="8673"/>
      <c r="F336" s="8845" t="s">
        <v>707</v>
      </c>
      <c r="G336" s="8846"/>
      <c r="H336" s="8846"/>
      <c r="I336" s="8846"/>
      <c r="J336" s="8846"/>
      <c r="K336" s="8846"/>
      <c r="L336" s="8846"/>
      <c r="M336" s="8846"/>
      <c r="N336" s="8846"/>
      <c r="O336" s="8846"/>
      <c r="P336" s="8846"/>
      <c r="Q336" s="8846"/>
      <c r="R336" s="8846"/>
      <c r="S336" s="8846"/>
      <c r="T336" s="8846"/>
      <c r="U336" s="8846"/>
      <c r="V336" s="8846"/>
      <c r="W336" s="8846"/>
      <c r="X336" s="8846"/>
      <c r="Y336" s="8846"/>
      <c r="Z336" s="8846"/>
      <c r="AA336" s="8846"/>
      <c r="AB336" s="8846"/>
      <c r="AC336" s="8846"/>
      <c r="AD336" s="8846"/>
      <c r="AE336" s="8846"/>
      <c r="AF336" s="8846"/>
      <c r="AG336" s="8854"/>
      <c r="AH336" s="8855" t="s">
        <v>360</v>
      </c>
      <c r="AI336" s="8898" t="s">
        <v>359</v>
      </c>
      <c r="AJ336" s="8899" t="s">
        <v>2561</v>
      </c>
      <c r="AK336" s="8900"/>
      <c r="AL336" s="8901"/>
      <c r="AM336" s="8794" t="s">
        <v>2563</v>
      </c>
      <c r="BS336" s="4652"/>
      <c r="BY336" s="4652"/>
    </row>
    <row r="337" spans="1:109" ht="30.6" customHeight="1" x14ac:dyDescent="0.2">
      <c r="A337" s="8635"/>
      <c r="B337" s="8635"/>
      <c r="C337" s="8673"/>
      <c r="D337" s="8673"/>
      <c r="E337" s="8673"/>
      <c r="F337" s="8630" t="s">
        <v>80</v>
      </c>
      <c r="G337" s="8631"/>
      <c r="H337" s="8630" t="s">
        <v>81</v>
      </c>
      <c r="I337" s="8631"/>
      <c r="J337" s="8630" t="s">
        <v>115</v>
      </c>
      <c r="K337" s="8631"/>
      <c r="L337" s="8630" t="s">
        <v>116</v>
      </c>
      <c r="M337" s="8631"/>
      <c r="N337" s="8630" t="s">
        <v>117</v>
      </c>
      <c r="O337" s="8631"/>
      <c r="P337" s="8630" t="s">
        <v>118</v>
      </c>
      <c r="Q337" s="8631"/>
      <c r="R337" s="8630" t="s">
        <v>119</v>
      </c>
      <c r="S337" s="8631"/>
      <c r="T337" s="8630" t="s">
        <v>120</v>
      </c>
      <c r="U337" s="8631"/>
      <c r="V337" s="8630" t="s">
        <v>1412</v>
      </c>
      <c r="W337" s="8631"/>
      <c r="X337" s="8630" t="s">
        <v>1404</v>
      </c>
      <c r="Y337" s="8631"/>
      <c r="Z337" s="8630" t="s">
        <v>1395</v>
      </c>
      <c r="AA337" s="8631"/>
      <c r="AB337" s="8630" t="s">
        <v>1394</v>
      </c>
      <c r="AC337" s="8631"/>
      <c r="AD337" s="8630" t="s">
        <v>1393</v>
      </c>
      <c r="AE337" s="8631"/>
      <c r="AF337" s="8630" t="s">
        <v>1403</v>
      </c>
      <c r="AG337" s="8633"/>
      <c r="AH337" s="8856"/>
      <c r="AI337" s="8689"/>
      <c r="AJ337" s="8893" t="s">
        <v>2565</v>
      </c>
      <c r="AK337" s="8822" t="s">
        <v>66</v>
      </c>
      <c r="AL337" s="8894" t="s">
        <v>2562</v>
      </c>
      <c r="AM337" s="8635"/>
      <c r="BS337" s="4652"/>
      <c r="BY337" s="4652"/>
    </row>
    <row r="338" spans="1:109" x14ac:dyDescent="0.2">
      <c r="A338" s="8662"/>
      <c r="B338" s="8662"/>
      <c r="C338" s="7063" t="s">
        <v>42</v>
      </c>
      <c r="D338" s="4620" t="s">
        <v>17</v>
      </c>
      <c r="E338" s="4621" t="s">
        <v>18</v>
      </c>
      <c r="F338" s="5318" t="s">
        <v>17</v>
      </c>
      <c r="G338" s="5316" t="s">
        <v>18</v>
      </c>
      <c r="H338" s="5318" t="s">
        <v>17</v>
      </c>
      <c r="I338" s="5316" t="s">
        <v>18</v>
      </c>
      <c r="J338" s="5318" t="s">
        <v>706</v>
      </c>
      <c r="K338" s="5316" t="s">
        <v>18</v>
      </c>
      <c r="L338" s="5318" t="s">
        <v>706</v>
      </c>
      <c r="M338" s="5316" t="s">
        <v>18</v>
      </c>
      <c r="N338" s="5318" t="s">
        <v>706</v>
      </c>
      <c r="O338" s="5316" t="s">
        <v>18</v>
      </c>
      <c r="P338" s="5318" t="s">
        <v>706</v>
      </c>
      <c r="Q338" s="5316" t="s">
        <v>18</v>
      </c>
      <c r="R338" s="5318" t="s">
        <v>706</v>
      </c>
      <c r="S338" s="5316" t="s">
        <v>18</v>
      </c>
      <c r="T338" s="5318" t="s">
        <v>706</v>
      </c>
      <c r="U338" s="5316" t="s">
        <v>18</v>
      </c>
      <c r="V338" s="5318" t="s">
        <v>706</v>
      </c>
      <c r="W338" s="5316" t="s">
        <v>18</v>
      </c>
      <c r="X338" s="5318" t="s">
        <v>706</v>
      </c>
      <c r="Y338" s="5316" t="s">
        <v>18</v>
      </c>
      <c r="Z338" s="5318" t="s">
        <v>706</v>
      </c>
      <c r="AA338" s="5316" t="s">
        <v>18</v>
      </c>
      <c r="AB338" s="5318" t="s">
        <v>706</v>
      </c>
      <c r="AC338" s="5316" t="s">
        <v>18</v>
      </c>
      <c r="AD338" s="5318" t="s">
        <v>706</v>
      </c>
      <c r="AE338" s="5316" t="s">
        <v>18</v>
      </c>
      <c r="AF338" s="5318" t="s">
        <v>706</v>
      </c>
      <c r="AG338" s="6630" t="s">
        <v>18</v>
      </c>
      <c r="AH338" s="8857"/>
      <c r="AI338" s="8666"/>
      <c r="AJ338" s="8821"/>
      <c r="AK338" s="8823"/>
      <c r="AL338" s="8895"/>
      <c r="AM338" s="8795"/>
      <c r="BS338" s="4652"/>
      <c r="BY338" s="4652"/>
    </row>
    <row r="339" spans="1:109" ht="20.25" customHeight="1" x14ac:dyDescent="0.2">
      <c r="A339" s="8661" t="s">
        <v>2782</v>
      </c>
      <c r="B339" s="7064" t="s">
        <v>648</v>
      </c>
      <c r="C339" s="7065">
        <f>SUM(D339+E339)</f>
        <v>0</v>
      </c>
      <c r="D339" s="7065">
        <f>SUM(F339+H339+J339+L339+N339+P339+R339+T339+V339+X339+Z339+AB339+AD339+AF339)</f>
        <v>0</v>
      </c>
      <c r="E339" s="7065">
        <f>SUM(G339+I339+K339+M339+O339+Q339+S339+U339+W339+Y339+AA339+AC339+AE339+AG339)</f>
        <v>0</v>
      </c>
      <c r="F339" s="6533"/>
      <c r="G339" s="6635"/>
      <c r="H339" s="6533"/>
      <c r="I339" s="6635"/>
      <c r="J339" s="6533"/>
      <c r="K339" s="6635"/>
      <c r="L339" s="6533"/>
      <c r="M339" s="6635"/>
      <c r="N339" s="6533"/>
      <c r="O339" s="6635"/>
      <c r="P339" s="6533"/>
      <c r="Q339" s="6635"/>
      <c r="R339" s="6533"/>
      <c r="S339" s="6635"/>
      <c r="T339" s="6533"/>
      <c r="U339" s="6635"/>
      <c r="V339" s="6533"/>
      <c r="W339" s="6635"/>
      <c r="X339" s="6533"/>
      <c r="Y339" s="6635"/>
      <c r="Z339" s="6533"/>
      <c r="AA339" s="6635"/>
      <c r="AB339" s="6533"/>
      <c r="AC339" s="6635"/>
      <c r="AD339" s="6533"/>
      <c r="AE339" s="6635"/>
      <c r="AF339" s="6533"/>
      <c r="AG339" s="6636"/>
      <c r="AH339" s="7066"/>
      <c r="AI339" s="7067"/>
      <c r="AJ339" s="6579"/>
      <c r="AK339" s="7066"/>
      <c r="AL339" s="7067"/>
      <c r="AM339" s="7067"/>
      <c r="AN339" s="4652"/>
      <c r="BS339" s="4652"/>
      <c r="BY339" s="4652"/>
      <c r="DA339" s="6209">
        <v>0</v>
      </c>
      <c r="DB339" s="6209">
        <v>0</v>
      </c>
      <c r="DC339" s="6209">
        <v>0</v>
      </c>
      <c r="DD339" s="6209">
        <v>0</v>
      </c>
      <c r="DE339" s="6209">
        <v>0</v>
      </c>
    </row>
    <row r="340" spans="1:109" ht="20.25" customHeight="1" x14ac:dyDescent="0.2">
      <c r="A340" s="8635"/>
      <c r="B340" s="5639" t="s">
        <v>647</v>
      </c>
      <c r="C340" s="7068">
        <f t="shared" ref="C340:C348" si="54">SUM(D340+E340)</f>
        <v>0</v>
      </c>
      <c r="D340" s="7068">
        <f t="shared" ref="D340:D348" si="55">SUM(F340+H340+J340+L340+N340+P340+R340+T340+V340+X340+Z340+AB340+AD340+AF340)</f>
        <v>0</v>
      </c>
      <c r="E340" s="7068">
        <f t="shared" ref="E340:E348" si="56">SUM(G340+I340+K340+M340+O340+Q340+S340+U340+W340+Y340+AA340+AC340+AE340+AG340)</f>
        <v>0</v>
      </c>
      <c r="F340" s="5335"/>
      <c r="G340" s="5336"/>
      <c r="H340" s="5335"/>
      <c r="I340" s="5336"/>
      <c r="J340" s="5335"/>
      <c r="K340" s="5336"/>
      <c r="L340" s="5335"/>
      <c r="M340" s="5336"/>
      <c r="N340" s="5335"/>
      <c r="O340" s="5336"/>
      <c r="P340" s="5335"/>
      <c r="Q340" s="5336"/>
      <c r="R340" s="5335"/>
      <c r="S340" s="5336"/>
      <c r="T340" s="5335"/>
      <c r="U340" s="5336"/>
      <c r="V340" s="5335"/>
      <c r="W340" s="5336"/>
      <c r="X340" s="5335"/>
      <c r="Y340" s="5336"/>
      <c r="Z340" s="5335"/>
      <c r="AA340" s="5336"/>
      <c r="AB340" s="5335"/>
      <c r="AC340" s="5336"/>
      <c r="AD340" s="5335"/>
      <c r="AE340" s="5336"/>
      <c r="AF340" s="5335"/>
      <c r="AG340" s="5337"/>
      <c r="AH340" s="4779"/>
      <c r="AI340" s="4866"/>
      <c r="AJ340" s="5338"/>
      <c r="AK340" s="4779"/>
      <c r="AL340" s="4866"/>
      <c r="AM340" s="4866"/>
      <c r="AN340" s="4652"/>
      <c r="BS340" s="4652"/>
      <c r="BY340" s="4652"/>
      <c r="DA340" s="6209">
        <v>0</v>
      </c>
      <c r="DC340" s="6209">
        <v>0</v>
      </c>
    </row>
    <row r="341" spans="1:109" ht="20.25" customHeight="1" x14ac:dyDescent="0.2">
      <c r="A341" s="8662"/>
      <c r="B341" s="4887" t="s">
        <v>646</v>
      </c>
      <c r="C341" s="7094">
        <f t="shared" si="54"/>
        <v>0</v>
      </c>
      <c r="D341" s="7094">
        <f t="shared" si="55"/>
        <v>0</v>
      </c>
      <c r="E341" s="7094">
        <f t="shared" si="56"/>
        <v>0</v>
      </c>
      <c r="F341" s="5348"/>
      <c r="G341" s="4369"/>
      <c r="H341" s="5348"/>
      <c r="I341" s="4369"/>
      <c r="J341" s="5348"/>
      <c r="K341" s="4369"/>
      <c r="L341" s="5348"/>
      <c r="M341" s="4369"/>
      <c r="N341" s="5348"/>
      <c r="O341" s="4369"/>
      <c r="P341" s="5348"/>
      <c r="Q341" s="4369"/>
      <c r="R341" s="5348"/>
      <c r="S341" s="4369"/>
      <c r="T341" s="5348"/>
      <c r="U341" s="4369"/>
      <c r="V341" s="5348"/>
      <c r="W341" s="4369"/>
      <c r="X341" s="5348"/>
      <c r="Y341" s="4369"/>
      <c r="Z341" s="5348"/>
      <c r="AA341" s="4369"/>
      <c r="AB341" s="5348"/>
      <c r="AC341" s="4369"/>
      <c r="AD341" s="5348"/>
      <c r="AE341" s="4369"/>
      <c r="AF341" s="5348"/>
      <c r="AG341" s="5349"/>
      <c r="AH341" s="7069"/>
      <c r="AI341" s="7070"/>
      <c r="AJ341" s="5350"/>
      <c r="AK341" s="7069"/>
      <c r="AL341" s="7070"/>
      <c r="AM341" s="7070"/>
      <c r="AN341" s="4652"/>
      <c r="BS341" s="4652"/>
      <c r="BY341" s="4652"/>
      <c r="DA341" s="6209">
        <v>0</v>
      </c>
      <c r="DC341" s="6209">
        <v>0</v>
      </c>
    </row>
    <row r="342" spans="1:109" ht="20.25" customHeight="1" x14ac:dyDescent="0.2">
      <c r="A342" s="8661" t="s">
        <v>705</v>
      </c>
      <c r="B342" s="7064" t="s">
        <v>648</v>
      </c>
      <c r="C342" s="7096">
        <f t="shared" si="54"/>
        <v>0</v>
      </c>
      <c r="D342" s="7096">
        <f t="shared" si="55"/>
        <v>0</v>
      </c>
      <c r="E342" s="7096">
        <f t="shared" si="56"/>
        <v>0</v>
      </c>
      <c r="F342" s="5333"/>
      <c r="G342" s="4351"/>
      <c r="H342" s="5333"/>
      <c r="I342" s="4351"/>
      <c r="J342" s="5333"/>
      <c r="K342" s="4351"/>
      <c r="L342" s="5333"/>
      <c r="M342" s="4351"/>
      <c r="N342" s="5333"/>
      <c r="O342" s="4351"/>
      <c r="P342" s="5333"/>
      <c r="Q342" s="4351"/>
      <c r="R342" s="5333"/>
      <c r="S342" s="4351"/>
      <c r="T342" s="5333"/>
      <c r="U342" s="4351"/>
      <c r="V342" s="5333"/>
      <c r="W342" s="4351"/>
      <c r="X342" s="5333"/>
      <c r="Y342" s="4351"/>
      <c r="Z342" s="5333"/>
      <c r="AA342" s="4351"/>
      <c r="AB342" s="5333"/>
      <c r="AC342" s="4351"/>
      <c r="AD342" s="5333"/>
      <c r="AE342" s="4351"/>
      <c r="AF342" s="5333"/>
      <c r="AG342" s="5334"/>
      <c r="AH342" s="4408"/>
      <c r="AI342" s="4548"/>
      <c r="AJ342" s="4349"/>
      <c r="AK342" s="4408"/>
      <c r="AL342" s="4548"/>
      <c r="AM342" s="4548"/>
      <c r="AN342" s="4652"/>
      <c r="BS342" s="4652"/>
      <c r="BY342" s="4652"/>
    </row>
    <row r="343" spans="1:109" ht="20.25" customHeight="1" x14ac:dyDescent="0.2">
      <c r="A343" s="8635"/>
      <c r="B343" s="5646" t="s">
        <v>647</v>
      </c>
      <c r="C343" s="7068">
        <f t="shared" si="54"/>
        <v>0</v>
      </c>
      <c r="D343" s="7068">
        <f t="shared" si="55"/>
        <v>0</v>
      </c>
      <c r="E343" s="7068">
        <f t="shared" si="56"/>
        <v>0</v>
      </c>
      <c r="F343" s="5335"/>
      <c r="G343" s="5336"/>
      <c r="H343" s="5335"/>
      <c r="I343" s="5336"/>
      <c r="J343" s="5335"/>
      <c r="K343" s="5336"/>
      <c r="L343" s="5335"/>
      <c r="M343" s="5336"/>
      <c r="N343" s="5335"/>
      <c r="O343" s="5336"/>
      <c r="P343" s="5335"/>
      <c r="Q343" s="5336"/>
      <c r="R343" s="5335"/>
      <c r="S343" s="5336"/>
      <c r="T343" s="5335"/>
      <c r="U343" s="5336"/>
      <c r="V343" s="5335"/>
      <c r="W343" s="5336"/>
      <c r="X343" s="5335"/>
      <c r="Y343" s="5336"/>
      <c r="Z343" s="5335"/>
      <c r="AA343" s="5336"/>
      <c r="AB343" s="5335"/>
      <c r="AC343" s="5336"/>
      <c r="AD343" s="5335"/>
      <c r="AE343" s="5336"/>
      <c r="AF343" s="5335"/>
      <c r="AG343" s="5337"/>
      <c r="AH343" s="4779"/>
      <c r="AI343" s="4866"/>
      <c r="AJ343" s="5338"/>
      <c r="AK343" s="4779"/>
      <c r="AL343" s="4866"/>
      <c r="AM343" s="4866"/>
      <c r="AN343" s="4652"/>
      <c r="BS343" s="4652"/>
      <c r="BY343" s="4652"/>
    </row>
    <row r="344" spans="1:109" ht="20.25" customHeight="1" x14ac:dyDescent="0.2">
      <c r="A344" s="8662"/>
      <c r="B344" s="4887" t="s">
        <v>646</v>
      </c>
      <c r="C344" s="7074">
        <f t="shared" si="54"/>
        <v>0</v>
      </c>
      <c r="D344" s="7074">
        <f t="shared" si="55"/>
        <v>0</v>
      </c>
      <c r="E344" s="7074">
        <f t="shared" si="56"/>
        <v>0</v>
      </c>
      <c r="F344" s="6258"/>
      <c r="G344" s="5465"/>
      <c r="H344" s="6258"/>
      <c r="I344" s="5465"/>
      <c r="J344" s="6258"/>
      <c r="K344" s="5465"/>
      <c r="L344" s="6258"/>
      <c r="M344" s="5465"/>
      <c r="N344" s="6258"/>
      <c r="O344" s="5465"/>
      <c r="P344" s="6258"/>
      <c r="Q344" s="5465"/>
      <c r="R344" s="6258"/>
      <c r="S344" s="5465"/>
      <c r="T344" s="6258"/>
      <c r="U344" s="5465"/>
      <c r="V344" s="6258"/>
      <c r="W344" s="5465"/>
      <c r="X344" s="6258"/>
      <c r="Y344" s="5465"/>
      <c r="Z344" s="6258"/>
      <c r="AA344" s="5465"/>
      <c r="AB344" s="6258"/>
      <c r="AC344" s="5465"/>
      <c r="AD344" s="6258"/>
      <c r="AE344" s="5465"/>
      <c r="AF344" s="6258"/>
      <c r="AG344" s="7071"/>
      <c r="AH344" s="4797"/>
      <c r="AI344" s="4874"/>
      <c r="AJ344" s="5350"/>
      <c r="AK344" s="4797"/>
      <c r="AL344" s="4874"/>
      <c r="AM344" s="4874"/>
      <c r="AN344" s="4652"/>
      <c r="BS344" s="4652"/>
      <c r="BY344" s="4652"/>
    </row>
    <row r="345" spans="1:109" ht="20.25" customHeight="1" x14ac:dyDescent="0.2">
      <c r="A345" s="8859" t="s">
        <v>2781</v>
      </c>
      <c r="B345" s="7064" t="s">
        <v>2783</v>
      </c>
      <c r="C345" s="7095">
        <f t="shared" si="54"/>
        <v>0</v>
      </c>
      <c r="D345" s="7095">
        <f t="shared" si="55"/>
        <v>0</v>
      </c>
      <c r="E345" s="7095">
        <f t="shared" si="56"/>
        <v>0</v>
      </c>
      <c r="F345" s="5333"/>
      <c r="G345" s="4351"/>
      <c r="H345" s="5333"/>
      <c r="I345" s="4351"/>
      <c r="J345" s="5333"/>
      <c r="K345" s="4351"/>
      <c r="L345" s="5333"/>
      <c r="M345" s="4351"/>
      <c r="N345" s="5333"/>
      <c r="O345" s="4351"/>
      <c r="P345" s="5333"/>
      <c r="Q345" s="4351"/>
      <c r="R345" s="5333"/>
      <c r="S345" s="4351"/>
      <c r="T345" s="5333"/>
      <c r="U345" s="4351"/>
      <c r="V345" s="5333"/>
      <c r="W345" s="4351"/>
      <c r="X345" s="5333"/>
      <c r="Y345" s="4351"/>
      <c r="Z345" s="5333"/>
      <c r="AA345" s="4351"/>
      <c r="AB345" s="5333"/>
      <c r="AC345" s="4351"/>
      <c r="AD345" s="5333"/>
      <c r="AE345" s="4351"/>
      <c r="AF345" s="5333"/>
      <c r="AG345" s="5334"/>
      <c r="AH345" s="4408"/>
      <c r="AI345" s="4548"/>
      <c r="AJ345" s="4349"/>
      <c r="AK345" s="4408"/>
      <c r="AL345" s="4548"/>
      <c r="AM345" s="4548"/>
      <c r="AN345" s="4652"/>
      <c r="BS345" s="4652"/>
      <c r="BY345" s="4652"/>
      <c r="DA345" s="6209">
        <v>0</v>
      </c>
      <c r="DC345" s="6209">
        <v>0</v>
      </c>
    </row>
    <row r="346" spans="1:109" ht="20.25" customHeight="1" x14ac:dyDescent="0.2">
      <c r="A346" s="8689"/>
      <c r="B346" s="5646" t="s">
        <v>3572</v>
      </c>
      <c r="C346" s="7068">
        <f t="shared" si="54"/>
        <v>0</v>
      </c>
      <c r="D346" s="7068">
        <f t="shared" si="55"/>
        <v>0</v>
      </c>
      <c r="E346" s="7068">
        <f t="shared" si="56"/>
        <v>0</v>
      </c>
      <c r="F346" s="5335"/>
      <c r="G346" s="5336"/>
      <c r="H346" s="5335"/>
      <c r="I346" s="5336"/>
      <c r="J346" s="5335"/>
      <c r="K346" s="5336"/>
      <c r="L346" s="5335"/>
      <c r="M346" s="5336"/>
      <c r="N346" s="5335"/>
      <c r="O346" s="5336"/>
      <c r="P346" s="5335"/>
      <c r="Q346" s="5336"/>
      <c r="R346" s="5335"/>
      <c r="S346" s="5336"/>
      <c r="T346" s="5335"/>
      <c r="U346" s="5336"/>
      <c r="V346" s="5335"/>
      <c r="W346" s="5336"/>
      <c r="X346" s="5335"/>
      <c r="Y346" s="5336"/>
      <c r="Z346" s="5335"/>
      <c r="AA346" s="5336"/>
      <c r="AB346" s="5335"/>
      <c r="AC346" s="5336"/>
      <c r="AD346" s="5335"/>
      <c r="AE346" s="5336"/>
      <c r="AF346" s="5335"/>
      <c r="AG346" s="5337"/>
      <c r="AH346" s="4779"/>
      <c r="AI346" s="4866"/>
      <c r="AJ346" s="5338"/>
      <c r="AK346" s="4779"/>
      <c r="AL346" s="4866"/>
      <c r="AM346" s="4866"/>
      <c r="AN346" s="4652"/>
      <c r="BS346" s="4652"/>
      <c r="BY346" s="4652"/>
    </row>
    <row r="347" spans="1:109" ht="20.25" customHeight="1" x14ac:dyDescent="0.2">
      <c r="A347" s="8689"/>
      <c r="B347" s="7072" t="s">
        <v>2784</v>
      </c>
      <c r="C347" s="7068">
        <f t="shared" si="54"/>
        <v>0</v>
      </c>
      <c r="D347" s="7068">
        <f t="shared" si="55"/>
        <v>0</v>
      </c>
      <c r="E347" s="7068">
        <f t="shared" si="56"/>
        <v>0</v>
      </c>
      <c r="F347" s="4306"/>
      <c r="G347" s="4296"/>
      <c r="H347" s="4306"/>
      <c r="I347" s="4296"/>
      <c r="J347" s="4306"/>
      <c r="K347" s="4296"/>
      <c r="L347" s="4306"/>
      <c r="M347" s="4296"/>
      <c r="N347" s="4306"/>
      <c r="O347" s="4296"/>
      <c r="P347" s="4306"/>
      <c r="Q347" s="4296"/>
      <c r="R347" s="4306"/>
      <c r="S347" s="4296"/>
      <c r="T347" s="4306"/>
      <c r="U347" s="4296"/>
      <c r="V347" s="4306"/>
      <c r="W347" s="4296"/>
      <c r="X347" s="4306"/>
      <c r="Y347" s="4296"/>
      <c r="Z347" s="4306"/>
      <c r="AA347" s="4296"/>
      <c r="AB347" s="4306"/>
      <c r="AC347" s="4296"/>
      <c r="AD347" s="4306"/>
      <c r="AE347" s="4296"/>
      <c r="AF347" s="4306"/>
      <c r="AG347" s="7030"/>
      <c r="AH347" s="4308"/>
      <c r="AI347" s="4307"/>
      <c r="AJ347" s="6681"/>
      <c r="AK347" s="4308"/>
      <c r="AL347" s="4307"/>
      <c r="AM347" s="4307"/>
      <c r="AN347" s="4652"/>
      <c r="BS347" s="4652"/>
      <c r="BY347" s="4652"/>
      <c r="DB347" s="6209">
        <v>0</v>
      </c>
      <c r="DD347" s="6209">
        <v>0</v>
      </c>
    </row>
    <row r="348" spans="1:109" ht="20.25" customHeight="1" x14ac:dyDescent="0.2">
      <c r="A348" s="8860"/>
      <c r="B348" s="7073" t="s">
        <v>3573</v>
      </c>
      <c r="C348" s="7074">
        <f t="shared" si="54"/>
        <v>0</v>
      </c>
      <c r="D348" s="7074">
        <f t="shared" si="55"/>
        <v>0</v>
      </c>
      <c r="E348" s="7074">
        <f t="shared" si="56"/>
        <v>0</v>
      </c>
      <c r="F348" s="7075"/>
      <c r="G348" s="7076"/>
      <c r="H348" s="7075"/>
      <c r="I348" s="7076"/>
      <c r="J348" s="7075"/>
      <c r="K348" s="7076"/>
      <c r="L348" s="7075"/>
      <c r="M348" s="7076"/>
      <c r="N348" s="7075"/>
      <c r="O348" s="7076"/>
      <c r="P348" s="7075"/>
      <c r="Q348" s="7076"/>
      <c r="R348" s="7075"/>
      <c r="S348" s="7076"/>
      <c r="T348" s="7075"/>
      <c r="U348" s="7076"/>
      <c r="V348" s="7075"/>
      <c r="W348" s="7076"/>
      <c r="X348" s="7075"/>
      <c r="Y348" s="7076"/>
      <c r="Z348" s="7075"/>
      <c r="AA348" s="7076"/>
      <c r="AB348" s="7075"/>
      <c r="AC348" s="7076"/>
      <c r="AD348" s="7075"/>
      <c r="AE348" s="7076"/>
      <c r="AF348" s="7075"/>
      <c r="AG348" s="7077"/>
      <c r="AH348" s="6606"/>
      <c r="AI348" s="4626"/>
      <c r="AJ348" s="7078"/>
      <c r="AK348" s="6606"/>
      <c r="AL348" s="4626"/>
      <c r="AM348" s="4626"/>
      <c r="AN348" s="4652"/>
      <c r="BS348" s="4652"/>
      <c r="BY348" s="4652"/>
    </row>
    <row r="349" spans="1:109" ht="22.9" customHeight="1" x14ac:dyDescent="0.2">
      <c r="A349" s="8953" t="s">
        <v>3770</v>
      </c>
      <c r="B349" s="8953"/>
      <c r="C349" s="8954"/>
      <c r="D349" s="8954"/>
      <c r="E349" s="8954"/>
      <c r="F349" s="8954"/>
      <c r="G349" s="8954"/>
      <c r="H349" s="8954"/>
      <c r="I349" s="8954"/>
      <c r="J349" s="8954"/>
      <c r="K349" s="8954"/>
      <c r="L349" s="8954"/>
      <c r="M349" s="8954"/>
      <c r="N349" s="8954"/>
      <c r="O349" s="8954"/>
      <c r="P349" s="8954"/>
      <c r="Q349" s="8954"/>
      <c r="R349" s="8954"/>
      <c r="S349" s="8954"/>
      <c r="T349" s="8954"/>
      <c r="U349" s="8954"/>
      <c r="V349" s="8954"/>
      <c r="W349" s="8954"/>
      <c r="X349" s="8954"/>
      <c r="Y349" s="8954"/>
      <c r="Z349" s="8954"/>
      <c r="AA349" s="8954"/>
      <c r="AB349" s="8954"/>
      <c r="AC349" s="8954"/>
      <c r="AD349" s="8954"/>
      <c r="AE349" s="8954"/>
      <c r="AF349" s="8954"/>
      <c r="AG349" s="8954"/>
      <c r="AH349" s="8954"/>
      <c r="AI349" s="8954"/>
      <c r="AJ349" s="8954"/>
      <c r="AK349" s="8954"/>
      <c r="AL349" s="8954"/>
      <c r="AM349" s="8954"/>
    </row>
    <row r="350" spans="1:109" ht="15" x14ac:dyDescent="0.25">
      <c r="A350" s="7958" t="s">
        <v>4006</v>
      </c>
      <c r="B350" s="7959"/>
      <c r="C350" s="6937"/>
      <c r="D350" s="6937"/>
      <c r="E350" s="6937"/>
      <c r="F350" s="7960"/>
      <c r="G350" s="7960"/>
      <c r="H350" s="7960"/>
      <c r="I350" s="7960"/>
      <c r="J350" s="7960"/>
      <c r="K350" s="7960"/>
      <c r="L350" s="7960"/>
      <c r="M350" s="7960"/>
      <c r="N350" s="7960"/>
      <c r="O350" s="7960"/>
      <c r="P350" s="7960"/>
    </row>
    <row r="351" spans="1:109" ht="14.25" customHeight="1" x14ac:dyDescent="0.2">
      <c r="A351" s="8688" t="s">
        <v>3114</v>
      </c>
      <c r="B351" s="8688" t="s">
        <v>940</v>
      </c>
      <c r="C351" s="8688" t="s">
        <v>3115</v>
      </c>
      <c r="D351" s="8688"/>
      <c r="E351" s="8688"/>
      <c r="F351" s="8688"/>
      <c r="G351" s="8688"/>
      <c r="H351" s="8688"/>
      <c r="I351" s="8688"/>
      <c r="J351" s="8688"/>
      <c r="K351" s="8914" t="s">
        <v>3116</v>
      </c>
      <c r="L351" s="8914"/>
      <c r="M351" s="8914"/>
      <c r="N351" s="8914"/>
      <c r="O351" s="8914"/>
      <c r="P351" s="8688" t="s">
        <v>3117</v>
      </c>
      <c r="Q351" s="4627"/>
      <c r="R351" s="4627"/>
      <c r="S351" s="4627"/>
      <c r="T351" s="4627"/>
      <c r="U351" s="4627"/>
      <c r="V351" s="4627"/>
      <c r="W351" s="4627"/>
      <c r="X351" s="4627"/>
      <c r="Y351" s="4627"/>
      <c r="Z351" s="4627"/>
      <c r="AA351" s="4627"/>
      <c r="AB351" s="4627"/>
      <c r="AC351" s="4627"/>
      <c r="AD351" s="4627"/>
      <c r="AE351" s="4627"/>
      <c r="AF351" s="4627"/>
      <c r="AG351" s="4627"/>
      <c r="AH351" s="4627"/>
      <c r="AI351" s="4627"/>
      <c r="AJ351" s="4627"/>
      <c r="AK351" s="4627"/>
      <c r="AL351" s="4627"/>
      <c r="AM351" s="4627"/>
      <c r="AN351" s="4627"/>
      <c r="AO351" s="4627"/>
      <c r="AP351" s="4627"/>
    </row>
    <row r="352" spans="1:109" x14ac:dyDescent="0.2">
      <c r="A352" s="8688"/>
      <c r="B352" s="8688"/>
      <c r="C352" s="8688" t="s">
        <v>3118</v>
      </c>
      <c r="D352" s="8688" t="s">
        <v>3119</v>
      </c>
      <c r="E352" s="8688" t="s">
        <v>3120</v>
      </c>
      <c r="F352" s="8688" t="s">
        <v>3121</v>
      </c>
      <c r="G352" s="8688" t="s">
        <v>3122</v>
      </c>
      <c r="H352" s="8688"/>
      <c r="I352" s="8688"/>
      <c r="J352" s="8688"/>
      <c r="K352" s="8688" t="s">
        <v>3123</v>
      </c>
      <c r="L352" s="8688" t="s">
        <v>3124</v>
      </c>
      <c r="M352" s="8688" t="s">
        <v>3125</v>
      </c>
      <c r="N352" s="8688" t="s">
        <v>3126</v>
      </c>
      <c r="O352" s="8688" t="s">
        <v>3127</v>
      </c>
      <c r="P352" s="8688"/>
      <c r="Q352" s="4627"/>
      <c r="R352" s="4627"/>
      <c r="S352" s="4627"/>
      <c r="T352" s="4627"/>
      <c r="U352" s="4627"/>
      <c r="V352" s="4627"/>
      <c r="W352" s="4627"/>
      <c r="X352" s="4627"/>
      <c r="Y352" s="4627"/>
      <c r="Z352" s="4627"/>
      <c r="AA352" s="4627"/>
      <c r="AB352" s="4627"/>
      <c r="AC352" s="4627"/>
      <c r="AD352" s="4627"/>
      <c r="AE352" s="4627"/>
      <c r="AF352" s="4627"/>
      <c r="AG352" s="4627"/>
      <c r="AH352" s="4627"/>
      <c r="AI352" s="4627"/>
      <c r="AJ352" s="4627"/>
      <c r="AK352" s="4627"/>
      <c r="AL352" s="4627"/>
      <c r="AM352" s="4627"/>
      <c r="AN352" s="4627"/>
      <c r="AO352" s="4627"/>
      <c r="AP352" s="4627"/>
    </row>
    <row r="353" spans="1:108" ht="41.45" customHeight="1" x14ac:dyDescent="0.2">
      <c r="A353" s="8688"/>
      <c r="B353" s="8688"/>
      <c r="C353" s="8688"/>
      <c r="D353" s="8688"/>
      <c r="E353" s="8688"/>
      <c r="F353" s="8688"/>
      <c r="G353" s="7961" t="s">
        <v>3124</v>
      </c>
      <c r="H353" s="7961" t="s">
        <v>3127</v>
      </c>
      <c r="I353" s="7961" t="s">
        <v>3128</v>
      </c>
      <c r="J353" s="7961" t="s">
        <v>135</v>
      </c>
      <c r="K353" s="8688"/>
      <c r="L353" s="8688"/>
      <c r="M353" s="8688"/>
      <c r="N353" s="8688"/>
      <c r="O353" s="8688"/>
      <c r="P353" s="8688"/>
      <c r="Q353" s="4627"/>
      <c r="R353" s="4627"/>
      <c r="S353" s="4627"/>
      <c r="T353" s="4627"/>
      <c r="U353" s="4627"/>
      <c r="V353" s="4627"/>
      <c r="W353" s="4627"/>
      <c r="X353" s="4627"/>
      <c r="Y353" s="4627"/>
      <c r="Z353" s="4627"/>
      <c r="AA353" s="4627"/>
      <c r="AB353" s="4627"/>
      <c r="AC353" s="4627"/>
      <c r="AD353" s="4627"/>
      <c r="AE353" s="4627"/>
      <c r="AF353" s="4627"/>
      <c r="AG353" s="4627"/>
      <c r="AH353" s="4627"/>
      <c r="AI353" s="4627"/>
      <c r="AJ353" s="4627"/>
      <c r="AK353" s="4627"/>
      <c r="AL353" s="4627"/>
      <c r="AM353" s="4627"/>
      <c r="AN353" s="4627"/>
      <c r="AO353" s="4627"/>
      <c r="AP353" s="4627"/>
    </row>
    <row r="354" spans="1:108" ht="20.25" customHeight="1" x14ac:dyDescent="0.2">
      <c r="A354" s="7962" t="s">
        <v>3129</v>
      </c>
      <c r="B354" s="7963"/>
      <c r="C354" s="5360"/>
      <c r="D354" s="7963"/>
      <c r="E354" s="7963"/>
      <c r="F354" s="7963"/>
      <c r="G354" s="7963"/>
      <c r="H354" s="7963"/>
      <c r="I354" s="7963"/>
      <c r="J354" s="7963"/>
      <c r="K354" s="7963"/>
      <c r="L354" s="7963"/>
      <c r="M354" s="7963"/>
      <c r="N354" s="7963"/>
      <c r="O354" s="7963"/>
      <c r="P354" s="7637"/>
      <c r="Q354" s="4627"/>
      <c r="R354" s="4627"/>
      <c r="S354" s="4627"/>
      <c r="T354" s="4627"/>
      <c r="U354" s="4627"/>
      <c r="V354" s="4627"/>
      <c r="W354" s="4627"/>
      <c r="X354" s="4627"/>
      <c r="Y354" s="4627"/>
      <c r="Z354" s="4627"/>
      <c r="AA354" s="4627"/>
      <c r="AB354" s="4627"/>
      <c r="AC354" s="4627"/>
      <c r="AD354" s="4627"/>
      <c r="AE354" s="4627"/>
      <c r="AF354" s="4627"/>
      <c r="AG354" s="4627"/>
      <c r="AH354" s="4627"/>
      <c r="AI354" s="4627"/>
      <c r="AJ354" s="4627"/>
      <c r="AK354" s="4627"/>
      <c r="AL354" s="4627"/>
      <c r="AM354" s="4627"/>
      <c r="AN354" s="4627"/>
      <c r="AO354" s="4627"/>
      <c r="AP354" s="4627"/>
    </row>
    <row r="355" spans="1:108" ht="20.25" customHeight="1" x14ac:dyDescent="0.2">
      <c r="A355" s="7964" t="s">
        <v>3130</v>
      </c>
      <c r="B355" s="7965"/>
      <c r="C355" s="7965"/>
      <c r="D355" s="7965"/>
      <c r="E355" s="7965"/>
      <c r="F355" s="7965"/>
      <c r="G355" s="7965"/>
      <c r="H355" s="7965"/>
      <c r="I355" s="7965"/>
      <c r="J355" s="7965"/>
      <c r="K355" s="7965"/>
      <c r="L355" s="7965"/>
      <c r="M355" s="7965"/>
      <c r="N355" s="7965"/>
      <c r="O355" s="7965"/>
      <c r="P355" s="7638"/>
      <c r="Q355" s="4627"/>
      <c r="R355" s="4627"/>
      <c r="S355" s="4627"/>
      <c r="T355" s="4627"/>
      <c r="U355" s="4627"/>
      <c r="V355" s="4627"/>
      <c r="W355" s="4627"/>
      <c r="X355" s="4627"/>
      <c r="Y355" s="4627"/>
      <c r="Z355" s="4627"/>
      <c r="AA355" s="4627"/>
      <c r="AB355" s="4627"/>
      <c r="AC355" s="4627"/>
      <c r="AD355" s="4627"/>
      <c r="AE355" s="4627"/>
      <c r="AF355" s="4627"/>
      <c r="AG355" s="4627"/>
      <c r="AH355" s="4627"/>
      <c r="AI355" s="4627"/>
      <c r="AJ355" s="4627"/>
      <c r="AK355" s="4627"/>
      <c r="AL355" s="4627"/>
      <c r="AM355" s="4627"/>
      <c r="AN355" s="4627"/>
      <c r="AO355" s="4627"/>
      <c r="AP355" s="4627"/>
    </row>
    <row r="356" spans="1:108" ht="20.25" customHeight="1" x14ac:dyDescent="0.2">
      <c r="A356" s="7964" t="s">
        <v>3131</v>
      </c>
      <c r="B356" s="7965"/>
      <c r="C356" s="7965"/>
      <c r="D356" s="7965"/>
      <c r="E356" s="7965"/>
      <c r="F356" s="7965"/>
      <c r="G356" s="7965"/>
      <c r="H356" s="7965"/>
      <c r="I356" s="7965"/>
      <c r="J356" s="7965"/>
      <c r="K356" s="7965"/>
      <c r="L356" s="7965"/>
      <c r="M356" s="7965"/>
      <c r="N356" s="7965"/>
      <c r="O356" s="7965"/>
      <c r="P356" s="7638"/>
      <c r="Q356" s="4627"/>
      <c r="R356" s="4627"/>
      <c r="S356" s="4627"/>
      <c r="T356" s="4627"/>
      <c r="U356" s="4627"/>
      <c r="V356" s="4627"/>
      <c r="W356" s="4627"/>
      <c r="X356" s="4627"/>
      <c r="Y356" s="4627"/>
      <c r="Z356" s="4627"/>
      <c r="AA356" s="4627"/>
      <c r="AB356" s="4627"/>
      <c r="AC356" s="4627"/>
      <c r="AD356" s="4627"/>
      <c r="AE356" s="4627"/>
      <c r="AF356" s="4627"/>
      <c r="AG356" s="4627"/>
      <c r="AH356" s="4627"/>
      <c r="AI356" s="4627"/>
      <c r="AJ356" s="4627"/>
      <c r="AK356" s="4627"/>
      <c r="AL356" s="4627"/>
      <c r="AM356" s="4627"/>
      <c r="AN356" s="4627"/>
      <c r="AO356" s="4627"/>
      <c r="AP356" s="4627"/>
    </row>
    <row r="357" spans="1:108" ht="20.25" customHeight="1" x14ac:dyDescent="0.2">
      <c r="A357" s="7964" t="s">
        <v>3132</v>
      </c>
      <c r="B357" s="7965"/>
      <c r="C357" s="7965"/>
      <c r="D357" s="7965"/>
      <c r="E357" s="7965"/>
      <c r="F357" s="7965"/>
      <c r="G357" s="7965"/>
      <c r="H357" s="7965"/>
      <c r="I357" s="7965"/>
      <c r="J357" s="7965"/>
      <c r="K357" s="7965"/>
      <c r="L357" s="7965"/>
      <c r="M357" s="7965"/>
      <c r="N357" s="7965"/>
      <c r="O357" s="7965"/>
      <c r="P357" s="7639"/>
      <c r="Q357" s="4627"/>
      <c r="R357" s="4627"/>
      <c r="S357" s="4627"/>
      <c r="T357" s="4627"/>
      <c r="U357" s="4627"/>
      <c r="V357" s="4627"/>
      <c r="W357" s="4627"/>
      <c r="X357" s="4627"/>
      <c r="Y357" s="4627"/>
      <c r="Z357" s="4627"/>
      <c r="AA357" s="4627"/>
      <c r="AB357" s="4627"/>
      <c r="AC357" s="4627"/>
      <c r="AD357" s="4627"/>
      <c r="AE357" s="4627"/>
      <c r="AF357" s="4627"/>
      <c r="AG357" s="4627"/>
      <c r="AH357" s="4627"/>
      <c r="AI357" s="4627"/>
      <c r="AJ357" s="4627"/>
      <c r="AK357" s="4627"/>
      <c r="AL357" s="4627"/>
      <c r="AM357" s="4627"/>
      <c r="AN357" s="4627"/>
      <c r="AO357" s="4627"/>
      <c r="AP357" s="4627"/>
    </row>
    <row r="358" spans="1:108" ht="20.25" customHeight="1" x14ac:dyDescent="0.2">
      <c r="A358" s="7964" t="s">
        <v>3133</v>
      </c>
      <c r="B358" s="7965"/>
      <c r="C358" s="7965"/>
      <c r="D358" s="7965"/>
      <c r="E358" s="7965"/>
      <c r="F358" s="7965"/>
      <c r="G358" s="7965"/>
      <c r="H358" s="7965"/>
      <c r="I358" s="7965"/>
      <c r="J358" s="7965"/>
      <c r="K358" s="7965"/>
      <c r="L358" s="7965"/>
      <c r="M358" s="7965"/>
      <c r="N358" s="7965"/>
      <c r="O358" s="7965"/>
      <c r="P358" s="7639"/>
      <c r="Q358" s="4627"/>
      <c r="R358" s="4627"/>
      <c r="S358" s="4627"/>
      <c r="T358" s="4627"/>
      <c r="U358" s="4627"/>
      <c r="V358" s="4627"/>
      <c r="W358" s="4627"/>
      <c r="X358" s="4627"/>
      <c r="Y358" s="4627"/>
      <c r="Z358" s="4627"/>
      <c r="AA358" s="4627"/>
      <c r="AB358" s="4627"/>
      <c r="AC358" s="4627"/>
      <c r="AD358" s="4627"/>
      <c r="AE358" s="4627"/>
      <c r="AF358" s="4627"/>
      <c r="AG358" s="4627"/>
      <c r="AH358" s="4627"/>
      <c r="AI358" s="4627"/>
      <c r="AJ358" s="4627"/>
      <c r="AK358" s="4627"/>
      <c r="AL358" s="4627"/>
      <c r="AM358" s="4627"/>
      <c r="AN358" s="4627"/>
      <c r="AO358" s="4627"/>
      <c r="AP358" s="4627"/>
    </row>
    <row r="359" spans="1:108" ht="20.25" customHeight="1" x14ac:dyDescent="0.2">
      <c r="A359" s="7966" t="s">
        <v>24</v>
      </c>
      <c r="B359" s="7967"/>
      <c r="C359" s="7967"/>
      <c r="D359" s="7967"/>
      <c r="E359" s="7967"/>
      <c r="F359" s="7967"/>
      <c r="G359" s="7967"/>
      <c r="H359" s="7967"/>
      <c r="I359" s="7967"/>
      <c r="J359" s="7967"/>
      <c r="K359" s="7967"/>
      <c r="L359" s="7967"/>
      <c r="M359" s="7967"/>
      <c r="N359" s="7967"/>
      <c r="O359" s="7967"/>
      <c r="P359" s="7967"/>
      <c r="Q359" s="4627"/>
      <c r="R359" s="4627"/>
      <c r="S359" s="4627"/>
      <c r="T359" s="4627"/>
      <c r="U359" s="4627"/>
      <c r="V359" s="4627"/>
      <c r="W359" s="4627"/>
      <c r="X359" s="4627"/>
      <c r="Y359" s="4627"/>
      <c r="Z359" s="4627"/>
      <c r="AA359" s="4627"/>
      <c r="AB359" s="4627"/>
      <c r="AC359" s="4627"/>
      <c r="AD359" s="4627"/>
      <c r="AE359" s="4627"/>
      <c r="AF359" s="4627"/>
      <c r="AG359" s="4627"/>
      <c r="AH359" s="4627"/>
      <c r="AI359" s="4627"/>
      <c r="AJ359" s="4627"/>
      <c r="AK359" s="4627"/>
      <c r="AL359" s="4627"/>
      <c r="AM359" s="4627"/>
      <c r="AN359" s="4627"/>
      <c r="AO359" s="4627"/>
      <c r="AP359" s="4627"/>
    </row>
    <row r="360" spans="1:108" ht="27" customHeight="1" x14ac:dyDescent="0.2">
      <c r="A360" s="7958" t="s">
        <v>3771</v>
      </c>
      <c r="B360" s="7968"/>
      <c r="C360" s="7969"/>
      <c r="D360" s="7969"/>
      <c r="E360" s="7969"/>
      <c r="F360" s="6937"/>
      <c r="G360" s="6937"/>
      <c r="H360" s="6937"/>
      <c r="I360" s="6937"/>
      <c r="J360" s="6937"/>
      <c r="K360" s="6937"/>
      <c r="L360" s="6937"/>
      <c r="M360" s="6937"/>
      <c r="N360" s="6937"/>
      <c r="O360" s="6937"/>
      <c r="P360" s="6937"/>
      <c r="Q360" s="6937"/>
      <c r="R360" s="6937"/>
      <c r="S360" s="6937"/>
      <c r="T360" s="6937"/>
      <c r="U360" s="6937"/>
      <c r="V360" s="6937"/>
      <c r="W360" s="6937"/>
      <c r="X360" s="6937"/>
      <c r="Y360" s="6937"/>
      <c r="Z360" s="6937"/>
      <c r="AA360" s="6937"/>
      <c r="AB360" s="6937"/>
      <c r="AC360" s="6937"/>
      <c r="AD360" s="6937"/>
      <c r="AE360" s="6937"/>
      <c r="AF360" s="6937"/>
      <c r="AG360" s="6937"/>
      <c r="AH360" s="6937"/>
      <c r="AI360" s="6937"/>
      <c r="AJ360" s="6937"/>
      <c r="AK360" s="6937"/>
      <c r="AL360" s="6937"/>
      <c r="AM360" s="6937"/>
      <c r="AN360" s="6937"/>
      <c r="AO360" s="4627"/>
      <c r="AP360" s="4627"/>
    </row>
    <row r="361" spans="1:108" x14ac:dyDescent="0.2">
      <c r="A361" s="8881" t="s">
        <v>3147</v>
      </c>
      <c r="B361" s="8884" t="s">
        <v>86</v>
      </c>
      <c r="C361" s="8885"/>
      <c r="D361" s="8886"/>
      <c r="E361" s="8890" t="s">
        <v>707</v>
      </c>
      <c r="F361" s="8891"/>
      <c r="G361" s="8891"/>
      <c r="H361" s="8891"/>
      <c r="I361" s="8891"/>
      <c r="J361" s="8891"/>
      <c r="K361" s="8891"/>
      <c r="L361" s="8891"/>
      <c r="M361" s="8891"/>
      <c r="N361" s="8891"/>
      <c r="O361" s="8891"/>
      <c r="P361" s="8891"/>
      <c r="Q361" s="8891"/>
      <c r="R361" s="8891"/>
      <c r="S361" s="8891"/>
      <c r="T361" s="8891"/>
      <c r="U361" s="8891"/>
      <c r="V361" s="8891"/>
      <c r="W361" s="8891"/>
      <c r="X361" s="8891"/>
      <c r="Y361" s="8891"/>
      <c r="Z361" s="8891"/>
      <c r="AA361" s="8891"/>
      <c r="AB361" s="8891"/>
      <c r="AC361" s="8891"/>
      <c r="AD361" s="8891"/>
      <c r="AE361" s="8891"/>
      <c r="AF361" s="8891"/>
      <c r="AG361" s="8891"/>
      <c r="AH361" s="8891"/>
      <c r="AI361" s="8891"/>
      <c r="AJ361" s="8891"/>
      <c r="AK361" s="8891"/>
      <c r="AL361" s="8892"/>
      <c r="AM361" s="8886" t="s">
        <v>2804</v>
      </c>
      <c r="AN361" s="8904" t="s">
        <v>360</v>
      </c>
      <c r="AO361" s="4627"/>
      <c r="AP361" s="4627"/>
    </row>
    <row r="362" spans="1:108" ht="22.9" customHeight="1" x14ac:dyDescent="0.2">
      <c r="A362" s="8882"/>
      <c r="B362" s="8887"/>
      <c r="C362" s="8888"/>
      <c r="D362" s="8889"/>
      <c r="E362" s="8907" t="s">
        <v>397</v>
      </c>
      <c r="F362" s="8908"/>
      <c r="G362" s="8907" t="s">
        <v>54</v>
      </c>
      <c r="H362" s="8908"/>
      <c r="I362" s="8907" t="s">
        <v>79</v>
      </c>
      <c r="J362" s="8908"/>
      <c r="K362" s="8907" t="s">
        <v>80</v>
      </c>
      <c r="L362" s="8908"/>
      <c r="M362" s="8907" t="s">
        <v>81</v>
      </c>
      <c r="N362" s="8908"/>
      <c r="O362" s="8909" t="s">
        <v>115</v>
      </c>
      <c r="P362" s="8908"/>
      <c r="Q362" s="8907" t="s">
        <v>116</v>
      </c>
      <c r="R362" s="8908"/>
      <c r="S362" s="8907" t="s">
        <v>117</v>
      </c>
      <c r="T362" s="8908"/>
      <c r="U362" s="8907" t="s">
        <v>118</v>
      </c>
      <c r="V362" s="8908"/>
      <c r="W362" s="8907" t="s">
        <v>119</v>
      </c>
      <c r="X362" s="8908"/>
      <c r="Y362" s="8907" t="s">
        <v>120</v>
      </c>
      <c r="Z362" s="8908"/>
      <c r="AA362" s="8907" t="s">
        <v>1412</v>
      </c>
      <c r="AB362" s="8908"/>
      <c r="AC362" s="8907" t="s">
        <v>1404</v>
      </c>
      <c r="AD362" s="8908"/>
      <c r="AE362" s="8907" t="s">
        <v>1395</v>
      </c>
      <c r="AF362" s="8908"/>
      <c r="AG362" s="8907" t="s">
        <v>1394</v>
      </c>
      <c r="AH362" s="8908"/>
      <c r="AI362" s="8907" t="s">
        <v>1393</v>
      </c>
      <c r="AJ362" s="8908"/>
      <c r="AK362" s="8907" t="s">
        <v>1403</v>
      </c>
      <c r="AL362" s="8910"/>
      <c r="AM362" s="8911"/>
      <c r="AN362" s="8905"/>
      <c r="AO362" s="4627"/>
      <c r="AP362" s="4627"/>
    </row>
    <row r="363" spans="1:108" ht="20.45" customHeight="1" x14ac:dyDescent="0.2">
      <c r="A363" s="8883"/>
      <c r="B363" s="7971" t="s">
        <v>42</v>
      </c>
      <c r="C363" s="7972" t="s">
        <v>17</v>
      </c>
      <c r="D363" s="7970" t="s">
        <v>18</v>
      </c>
      <c r="E363" s="7973" t="s">
        <v>17</v>
      </c>
      <c r="F363" s="7970" t="s">
        <v>18</v>
      </c>
      <c r="G363" s="7973" t="s">
        <v>17</v>
      </c>
      <c r="H363" s="7970" t="s">
        <v>18</v>
      </c>
      <c r="I363" s="7973" t="s">
        <v>17</v>
      </c>
      <c r="J363" s="7970" t="s">
        <v>18</v>
      </c>
      <c r="K363" s="7973" t="s">
        <v>17</v>
      </c>
      <c r="L363" s="7970" t="s">
        <v>18</v>
      </c>
      <c r="M363" s="7973" t="s">
        <v>17</v>
      </c>
      <c r="N363" s="7970" t="s">
        <v>18</v>
      </c>
      <c r="O363" s="7973" t="s">
        <v>17</v>
      </c>
      <c r="P363" s="7970" t="s">
        <v>18</v>
      </c>
      <c r="Q363" s="7973" t="s">
        <v>17</v>
      </c>
      <c r="R363" s="7970" t="s">
        <v>18</v>
      </c>
      <c r="S363" s="7973" t="s">
        <v>17</v>
      </c>
      <c r="T363" s="7970" t="s">
        <v>18</v>
      </c>
      <c r="U363" s="7973" t="s">
        <v>17</v>
      </c>
      <c r="V363" s="7970" t="s">
        <v>18</v>
      </c>
      <c r="W363" s="7973" t="s">
        <v>17</v>
      </c>
      <c r="X363" s="7970" t="s">
        <v>18</v>
      </c>
      <c r="Y363" s="7973" t="s">
        <v>17</v>
      </c>
      <c r="Z363" s="7970" t="s">
        <v>18</v>
      </c>
      <c r="AA363" s="7973" t="s">
        <v>17</v>
      </c>
      <c r="AB363" s="7970" t="s">
        <v>18</v>
      </c>
      <c r="AC363" s="7973" t="s">
        <v>17</v>
      </c>
      <c r="AD363" s="7970" t="s">
        <v>18</v>
      </c>
      <c r="AE363" s="7973" t="s">
        <v>17</v>
      </c>
      <c r="AF363" s="7970" t="s">
        <v>18</v>
      </c>
      <c r="AG363" s="7973" t="s">
        <v>17</v>
      </c>
      <c r="AH363" s="7970" t="s">
        <v>18</v>
      </c>
      <c r="AI363" s="7973" t="s">
        <v>17</v>
      </c>
      <c r="AJ363" s="7970" t="s">
        <v>18</v>
      </c>
      <c r="AK363" s="7973" t="s">
        <v>17</v>
      </c>
      <c r="AL363" s="7974" t="s">
        <v>18</v>
      </c>
      <c r="AM363" s="8889"/>
      <c r="AN363" s="8906"/>
      <c r="AO363" s="4627"/>
      <c r="AP363" s="4627"/>
    </row>
    <row r="364" spans="1:108" ht="23.45" customHeight="1" x14ac:dyDescent="0.2">
      <c r="A364" s="7975" t="s">
        <v>4004</v>
      </c>
      <c r="B364" s="7976"/>
      <c r="C364" s="7976"/>
      <c r="D364" s="7976"/>
      <c r="E364" s="7976"/>
      <c r="F364" s="7976"/>
      <c r="G364" s="7976"/>
      <c r="H364" s="7976"/>
      <c r="I364" s="7976"/>
      <c r="J364" s="7976"/>
      <c r="K364" s="7976"/>
      <c r="L364" s="7976"/>
      <c r="M364" s="7976"/>
      <c r="N364" s="7976"/>
      <c r="O364" s="7976"/>
      <c r="P364" s="7976"/>
      <c r="Q364" s="7976"/>
      <c r="R364" s="7976"/>
      <c r="S364" s="7976"/>
      <c r="T364" s="7976"/>
      <c r="U364" s="7976"/>
      <c r="V364" s="7976"/>
      <c r="W364" s="7976"/>
      <c r="X364" s="7976"/>
      <c r="Y364" s="7976"/>
      <c r="Z364" s="7976"/>
      <c r="AA364" s="7976"/>
      <c r="AB364" s="7976"/>
      <c r="AC364" s="7976"/>
      <c r="AD364" s="7976"/>
      <c r="AE364" s="7976"/>
      <c r="AF364" s="7976"/>
      <c r="AG364" s="7976"/>
      <c r="AH364" s="7976"/>
      <c r="AI364" s="7976"/>
      <c r="AJ364" s="7976"/>
      <c r="AK364" s="7976"/>
      <c r="AL364" s="7976"/>
      <c r="AM364" s="7976"/>
      <c r="AN364" s="7976"/>
      <c r="AO364" s="5368"/>
      <c r="AP364" s="5369"/>
      <c r="DB364" s="6209">
        <v>0</v>
      </c>
      <c r="DD364" s="6209">
        <v>0</v>
      </c>
    </row>
    <row r="365" spans="1:108" ht="25.9" customHeight="1" x14ac:dyDescent="0.2">
      <c r="A365" s="8861" t="s">
        <v>3772</v>
      </c>
      <c r="B365" s="8861"/>
      <c r="C365" s="8861"/>
      <c r="D365" s="8861"/>
      <c r="E365" s="8861"/>
      <c r="F365" s="8861"/>
      <c r="G365" s="8861"/>
      <c r="H365" s="8861"/>
      <c r="I365" s="8861"/>
      <c r="J365" s="8861"/>
      <c r="K365" s="8861"/>
      <c r="L365" s="8861"/>
      <c r="M365" s="8861"/>
      <c r="N365" s="8861"/>
      <c r="O365" s="8861"/>
      <c r="P365" s="8861"/>
      <c r="Q365" s="8861"/>
      <c r="R365" s="8861"/>
      <c r="S365" s="8861"/>
      <c r="T365" s="8861"/>
      <c r="U365" s="8861"/>
      <c r="V365" s="8861"/>
      <c r="W365" s="8861"/>
      <c r="X365" s="8861"/>
      <c r="Y365" s="8861"/>
      <c r="Z365" s="8861"/>
      <c r="AA365" s="8861"/>
      <c r="AB365" s="8861"/>
      <c r="AC365" s="8861"/>
      <c r="AD365" s="8861"/>
      <c r="AE365" s="8861"/>
      <c r="AF365" s="8861"/>
      <c r="AG365" s="8861"/>
      <c r="AH365" s="8861"/>
      <c r="AI365" s="8861"/>
      <c r="AJ365" s="8861"/>
      <c r="AK365" s="8861"/>
      <c r="AL365" s="8861"/>
      <c r="AM365" s="8861"/>
      <c r="AN365" s="8861"/>
      <c r="AO365" s="8861"/>
      <c r="AP365" s="8861"/>
    </row>
    <row r="366" spans="1:108" ht="15" x14ac:dyDescent="0.25">
      <c r="A366" s="4878" t="s">
        <v>3773</v>
      </c>
      <c r="B366"/>
      <c r="C366" s="4328"/>
      <c r="D366" s="4328"/>
      <c r="E366" s="4328"/>
    </row>
    <row r="367" spans="1:108" x14ac:dyDescent="0.2">
      <c r="A367" s="8862" t="s">
        <v>41</v>
      </c>
      <c r="B367" s="8862" t="s">
        <v>0</v>
      </c>
      <c r="C367" s="8865" t="s">
        <v>86</v>
      </c>
      <c r="D367" s="8866"/>
      <c r="E367" s="8867"/>
      <c r="F367" s="8871" t="s">
        <v>707</v>
      </c>
      <c r="G367" s="8872"/>
      <c r="H367" s="8872"/>
      <c r="I367" s="8872"/>
      <c r="J367" s="8872"/>
      <c r="K367" s="8872"/>
      <c r="L367" s="8872"/>
      <c r="M367" s="8872"/>
      <c r="N367" s="8872"/>
      <c r="O367" s="8872"/>
      <c r="P367" s="8872"/>
      <c r="Q367" s="8872"/>
      <c r="R367" s="8872"/>
      <c r="S367" s="8872"/>
      <c r="T367" s="8872"/>
      <c r="U367" s="8872"/>
      <c r="V367" s="8872"/>
      <c r="W367" s="8872"/>
      <c r="X367" s="8872"/>
      <c r="Y367" s="8872"/>
      <c r="Z367" s="8872"/>
      <c r="AA367" s="8872"/>
      <c r="AB367" s="8872"/>
      <c r="AC367" s="8872"/>
      <c r="AD367" s="8872"/>
      <c r="AE367" s="8872"/>
      <c r="AF367" s="8872"/>
      <c r="AG367" s="8872"/>
      <c r="AH367" s="8872"/>
      <c r="AI367" s="8872"/>
      <c r="AJ367" s="8872"/>
      <c r="AK367" s="8872"/>
      <c r="AL367" s="8872"/>
      <c r="AM367" s="8873"/>
      <c r="AN367" s="8867" t="s">
        <v>2804</v>
      </c>
      <c r="AO367" s="8874" t="s">
        <v>360</v>
      </c>
      <c r="BY367" s="4652"/>
    </row>
    <row r="368" spans="1:108" ht="27" customHeight="1" x14ac:dyDescent="0.2">
      <c r="A368" s="8863"/>
      <c r="B368" s="8863"/>
      <c r="C368" s="8868"/>
      <c r="D368" s="8869"/>
      <c r="E368" s="8870"/>
      <c r="F368" s="8630" t="s">
        <v>397</v>
      </c>
      <c r="G368" s="8631"/>
      <c r="H368" s="8630" t="s">
        <v>54</v>
      </c>
      <c r="I368" s="8631"/>
      <c r="J368" s="8630" t="s">
        <v>79</v>
      </c>
      <c r="K368" s="8631"/>
      <c r="L368" s="8630" t="s">
        <v>80</v>
      </c>
      <c r="M368" s="8631"/>
      <c r="N368" s="8630" t="s">
        <v>81</v>
      </c>
      <c r="O368" s="8631"/>
      <c r="P368" s="8632" t="s">
        <v>115</v>
      </c>
      <c r="Q368" s="8631"/>
      <c r="R368" s="8630" t="s">
        <v>116</v>
      </c>
      <c r="S368" s="8631"/>
      <c r="T368" s="8630" t="s">
        <v>117</v>
      </c>
      <c r="U368" s="8631"/>
      <c r="V368" s="8630" t="s">
        <v>118</v>
      </c>
      <c r="W368" s="8631"/>
      <c r="X368" s="8630" t="s">
        <v>119</v>
      </c>
      <c r="Y368" s="8631"/>
      <c r="Z368" s="8630" t="s">
        <v>120</v>
      </c>
      <c r="AA368" s="8631"/>
      <c r="AB368" s="8630" t="s">
        <v>1412</v>
      </c>
      <c r="AC368" s="8631"/>
      <c r="AD368" s="8630" t="s">
        <v>1404</v>
      </c>
      <c r="AE368" s="8631"/>
      <c r="AF368" s="8630" t="s">
        <v>1395</v>
      </c>
      <c r="AG368" s="8631"/>
      <c r="AH368" s="8630" t="s">
        <v>1394</v>
      </c>
      <c r="AI368" s="8631"/>
      <c r="AJ368" s="8630" t="s">
        <v>1393</v>
      </c>
      <c r="AK368" s="8631"/>
      <c r="AL368" s="8630" t="s">
        <v>1403</v>
      </c>
      <c r="AM368" s="8633"/>
      <c r="AN368" s="8689"/>
      <c r="AO368" s="8750"/>
      <c r="BY368" s="4652"/>
    </row>
    <row r="369" spans="1:108" x14ac:dyDescent="0.2">
      <c r="A369" s="8864"/>
      <c r="B369" s="8864"/>
      <c r="C369" s="5365" t="s">
        <v>42</v>
      </c>
      <c r="D369" s="5366" t="s">
        <v>17</v>
      </c>
      <c r="E369" s="4538" t="s">
        <v>18</v>
      </c>
      <c r="F369" s="4118" t="s">
        <v>17</v>
      </c>
      <c r="G369" s="4538" t="s">
        <v>18</v>
      </c>
      <c r="H369" s="4118" t="s">
        <v>17</v>
      </c>
      <c r="I369" s="4538" t="s">
        <v>18</v>
      </c>
      <c r="J369" s="4118" t="s">
        <v>17</v>
      </c>
      <c r="K369" s="4538" t="s">
        <v>18</v>
      </c>
      <c r="L369" s="4118" t="s">
        <v>17</v>
      </c>
      <c r="M369" s="4538" t="s">
        <v>18</v>
      </c>
      <c r="N369" s="4118" t="s">
        <v>17</v>
      </c>
      <c r="O369" s="4538" t="s">
        <v>18</v>
      </c>
      <c r="P369" s="4118" t="s">
        <v>17</v>
      </c>
      <c r="Q369" s="4538" t="s">
        <v>18</v>
      </c>
      <c r="R369" s="4118" t="s">
        <v>17</v>
      </c>
      <c r="S369" s="4538" t="s">
        <v>18</v>
      </c>
      <c r="T369" s="4118" t="s">
        <v>17</v>
      </c>
      <c r="U369" s="4538" t="s">
        <v>18</v>
      </c>
      <c r="V369" s="4118" t="s">
        <v>17</v>
      </c>
      <c r="W369" s="4538" t="s">
        <v>18</v>
      </c>
      <c r="X369" s="4118" t="s">
        <v>17</v>
      </c>
      <c r="Y369" s="4538" t="s">
        <v>18</v>
      </c>
      <c r="Z369" s="4118" t="s">
        <v>17</v>
      </c>
      <c r="AA369" s="4538" t="s">
        <v>18</v>
      </c>
      <c r="AB369" s="4118" t="s">
        <v>17</v>
      </c>
      <c r="AC369" s="4538" t="s">
        <v>18</v>
      </c>
      <c r="AD369" s="4118" t="s">
        <v>17</v>
      </c>
      <c r="AE369" s="4538" t="s">
        <v>18</v>
      </c>
      <c r="AF369" s="4118" t="s">
        <v>17</v>
      </c>
      <c r="AG369" s="4538" t="s">
        <v>18</v>
      </c>
      <c r="AH369" s="4118" t="s">
        <v>17</v>
      </c>
      <c r="AI369" s="4538" t="s">
        <v>18</v>
      </c>
      <c r="AJ369" s="4118" t="s">
        <v>17</v>
      </c>
      <c r="AK369" s="4538" t="s">
        <v>18</v>
      </c>
      <c r="AL369" s="4118" t="s">
        <v>17</v>
      </c>
      <c r="AM369" s="5367" t="s">
        <v>18</v>
      </c>
      <c r="AN369" s="8870"/>
      <c r="AO369" s="8875"/>
      <c r="BY369" s="4652"/>
    </row>
    <row r="370" spans="1:108" ht="20.25" customHeight="1" x14ac:dyDescent="0.2">
      <c r="A370" s="8876" t="s">
        <v>3111</v>
      </c>
      <c r="B370" s="5370" t="s">
        <v>3112</v>
      </c>
      <c r="C370" s="5371">
        <f>SUM(D370,E370)</f>
        <v>0</v>
      </c>
      <c r="D370" s="5372">
        <f t="shared" ref="D370:E373" si="57">SUM(F370,H370,J370,L370,N370,P370,R370,T370,V370,X370,Z370,AB370,AD370,AF370,AH370,AJ370,AL370)</f>
        <v>0</v>
      </c>
      <c r="E370" s="5373">
        <f t="shared" si="57"/>
        <v>0</v>
      </c>
      <c r="F370" s="5374"/>
      <c r="G370" s="5375"/>
      <c r="H370" s="5374"/>
      <c r="I370" s="5375"/>
      <c r="J370" s="5374"/>
      <c r="K370" s="5375"/>
      <c r="L370" s="5374"/>
      <c r="M370" s="5375"/>
      <c r="N370" s="5374"/>
      <c r="O370" s="5375"/>
      <c r="P370" s="5374"/>
      <c r="Q370" s="5375"/>
      <c r="R370" s="5374"/>
      <c r="S370" s="5375"/>
      <c r="T370" s="5374"/>
      <c r="U370" s="5375"/>
      <c r="V370" s="5374"/>
      <c r="W370" s="5375"/>
      <c r="X370" s="5374"/>
      <c r="Y370" s="5375"/>
      <c r="Z370" s="5374"/>
      <c r="AA370" s="5375"/>
      <c r="AB370" s="5374"/>
      <c r="AC370" s="5375"/>
      <c r="AD370" s="5374"/>
      <c r="AE370" s="5375"/>
      <c r="AF370" s="5374"/>
      <c r="AG370" s="5375"/>
      <c r="AH370" s="5374"/>
      <c r="AI370" s="5375"/>
      <c r="AJ370" s="5374"/>
      <c r="AK370" s="5375"/>
      <c r="AL370" s="5374"/>
      <c r="AM370" s="4824"/>
      <c r="AN370" s="5376"/>
      <c r="AO370" s="5361"/>
      <c r="AP370" s="4652"/>
      <c r="BY370" s="4652"/>
      <c r="DB370" s="6209">
        <v>0</v>
      </c>
      <c r="DD370" s="6209">
        <v>0</v>
      </c>
    </row>
    <row r="371" spans="1:108" ht="20.25" customHeight="1" x14ac:dyDescent="0.2">
      <c r="A371" s="8877"/>
      <c r="B371" s="5377" t="s">
        <v>60</v>
      </c>
      <c r="C371" s="5378">
        <f>SUM(D371,E371)</f>
        <v>0</v>
      </c>
      <c r="D371" s="5379">
        <f t="shared" si="57"/>
        <v>0</v>
      </c>
      <c r="E371" s="5380">
        <f t="shared" si="57"/>
        <v>0</v>
      </c>
      <c r="F371" s="4835"/>
      <c r="G371" s="5381"/>
      <c r="H371" s="4835"/>
      <c r="I371" s="5381"/>
      <c r="J371" s="4835"/>
      <c r="K371" s="5381"/>
      <c r="L371" s="4835"/>
      <c r="M371" s="5381"/>
      <c r="N371" s="4835"/>
      <c r="O371" s="5381"/>
      <c r="P371" s="4835"/>
      <c r="Q371" s="5381"/>
      <c r="R371" s="4835"/>
      <c r="S371" s="5381"/>
      <c r="T371" s="4835"/>
      <c r="U371" s="5381"/>
      <c r="V371" s="4835"/>
      <c r="W371" s="5381"/>
      <c r="X371" s="4835"/>
      <c r="Y371" s="5381"/>
      <c r="Z371" s="4835"/>
      <c r="AA371" s="5381"/>
      <c r="AB371" s="4835"/>
      <c r="AC371" s="5381"/>
      <c r="AD371" s="4835"/>
      <c r="AE371" s="5381"/>
      <c r="AF371" s="4835"/>
      <c r="AG371" s="5381"/>
      <c r="AH371" s="4835"/>
      <c r="AI371" s="5381"/>
      <c r="AJ371" s="4835"/>
      <c r="AK371" s="5381"/>
      <c r="AL371" s="4835"/>
      <c r="AM371" s="4295"/>
      <c r="AN371" s="4428"/>
      <c r="AO371" s="5382"/>
      <c r="AP371" s="4652"/>
      <c r="BY371" s="4652"/>
    </row>
    <row r="372" spans="1:108" ht="20.25" customHeight="1" x14ac:dyDescent="0.2">
      <c r="A372" s="8878"/>
      <c r="B372" s="5383" t="s">
        <v>3113</v>
      </c>
      <c r="C372" s="5384">
        <f>SUM(D372,E372)</f>
        <v>0</v>
      </c>
      <c r="D372" s="5385">
        <f t="shared" si="57"/>
        <v>0</v>
      </c>
      <c r="E372" s="5386">
        <f t="shared" si="57"/>
        <v>0</v>
      </c>
      <c r="F372" s="5387"/>
      <c r="G372" s="4307"/>
      <c r="H372" s="5387"/>
      <c r="I372" s="4307"/>
      <c r="J372" s="5387"/>
      <c r="K372" s="4307"/>
      <c r="L372" s="5387"/>
      <c r="M372" s="4307"/>
      <c r="N372" s="5387"/>
      <c r="O372" s="4307"/>
      <c r="P372" s="5387"/>
      <c r="Q372" s="4307"/>
      <c r="R372" s="5387"/>
      <c r="S372" s="4307"/>
      <c r="T372" s="5387"/>
      <c r="U372" s="4307"/>
      <c r="V372" s="5387"/>
      <c r="W372" s="4307"/>
      <c r="X372" s="5387"/>
      <c r="Y372" s="4307"/>
      <c r="Z372" s="5387"/>
      <c r="AA372" s="4307"/>
      <c r="AB372" s="5387"/>
      <c r="AC372" s="4307"/>
      <c r="AD372" s="5387"/>
      <c r="AE372" s="4307"/>
      <c r="AF372" s="5387"/>
      <c r="AG372" s="4307"/>
      <c r="AH372" s="5387"/>
      <c r="AI372" s="4307"/>
      <c r="AJ372" s="5387"/>
      <c r="AK372" s="4307"/>
      <c r="AL372" s="5387"/>
      <c r="AM372" s="5388"/>
      <c r="AN372" s="5389"/>
      <c r="AO372" s="5363"/>
      <c r="AP372" s="4652"/>
      <c r="BY372" s="4652"/>
    </row>
    <row r="373" spans="1:108" ht="14.45" customHeight="1" x14ac:dyDescent="0.2">
      <c r="A373" s="8879" t="s">
        <v>24</v>
      </c>
      <c r="B373" s="8880"/>
      <c r="C373" s="5390">
        <f>SUM(D373,E373)</f>
        <v>0</v>
      </c>
      <c r="D373" s="5391">
        <f t="shared" si="57"/>
        <v>0</v>
      </c>
      <c r="E373" s="5392">
        <f t="shared" si="57"/>
        <v>0</v>
      </c>
      <c r="F373" s="5393">
        <f t="shared" ref="F373:AO373" si="58">SUM(F370:F372)</f>
        <v>0</v>
      </c>
      <c r="G373" s="5394">
        <f t="shared" si="58"/>
        <v>0</v>
      </c>
      <c r="H373" s="5393">
        <f t="shared" si="58"/>
        <v>0</v>
      </c>
      <c r="I373" s="5394">
        <f t="shared" si="58"/>
        <v>0</v>
      </c>
      <c r="J373" s="5393">
        <f t="shared" si="58"/>
        <v>0</v>
      </c>
      <c r="K373" s="5395">
        <f t="shared" si="58"/>
        <v>0</v>
      </c>
      <c r="L373" s="5393">
        <f t="shared" si="58"/>
        <v>0</v>
      </c>
      <c r="M373" s="5395">
        <f t="shared" si="58"/>
        <v>0</v>
      </c>
      <c r="N373" s="5393">
        <f t="shared" si="58"/>
        <v>0</v>
      </c>
      <c r="O373" s="5395">
        <f t="shared" si="58"/>
        <v>0</v>
      </c>
      <c r="P373" s="5393">
        <f t="shared" si="58"/>
        <v>0</v>
      </c>
      <c r="Q373" s="5395">
        <f t="shared" si="58"/>
        <v>0</v>
      </c>
      <c r="R373" s="5393">
        <f t="shared" si="58"/>
        <v>0</v>
      </c>
      <c r="S373" s="5395">
        <f t="shared" si="58"/>
        <v>0</v>
      </c>
      <c r="T373" s="5393">
        <f t="shared" si="58"/>
        <v>0</v>
      </c>
      <c r="U373" s="5395">
        <f t="shared" si="58"/>
        <v>0</v>
      </c>
      <c r="V373" s="5393">
        <f t="shared" si="58"/>
        <v>0</v>
      </c>
      <c r="W373" s="5395">
        <f t="shared" si="58"/>
        <v>0</v>
      </c>
      <c r="X373" s="5393">
        <f t="shared" si="58"/>
        <v>0</v>
      </c>
      <c r="Y373" s="5395">
        <f t="shared" si="58"/>
        <v>0</v>
      </c>
      <c r="Z373" s="5393">
        <f t="shared" si="58"/>
        <v>0</v>
      </c>
      <c r="AA373" s="5395">
        <f t="shared" si="58"/>
        <v>0</v>
      </c>
      <c r="AB373" s="5393">
        <f t="shared" si="58"/>
        <v>0</v>
      </c>
      <c r="AC373" s="5395">
        <f t="shared" si="58"/>
        <v>0</v>
      </c>
      <c r="AD373" s="5393">
        <f t="shared" si="58"/>
        <v>0</v>
      </c>
      <c r="AE373" s="5395">
        <f t="shared" si="58"/>
        <v>0</v>
      </c>
      <c r="AF373" s="5393">
        <f t="shared" si="58"/>
        <v>0</v>
      </c>
      <c r="AG373" s="5395">
        <f t="shared" si="58"/>
        <v>0</v>
      </c>
      <c r="AH373" s="5393">
        <f t="shared" si="58"/>
        <v>0</v>
      </c>
      <c r="AI373" s="5395">
        <f t="shared" si="58"/>
        <v>0</v>
      </c>
      <c r="AJ373" s="5393">
        <f t="shared" si="58"/>
        <v>0</v>
      </c>
      <c r="AK373" s="5395">
        <f t="shared" si="58"/>
        <v>0</v>
      </c>
      <c r="AL373" s="5396">
        <f t="shared" si="58"/>
        <v>0</v>
      </c>
      <c r="AM373" s="5397">
        <f t="shared" si="58"/>
        <v>0</v>
      </c>
      <c r="AN373" s="5394">
        <f t="shared" si="58"/>
        <v>0</v>
      </c>
      <c r="AO373" s="5398">
        <f t="shared" si="58"/>
        <v>0</v>
      </c>
      <c r="BY373" s="4652"/>
    </row>
    <row r="374" spans="1:108" ht="21" customHeight="1" x14ac:dyDescent="0.25">
      <c r="A374" s="4878" t="s">
        <v>3774</v>
      </c>
      <c r="B374"/>
      <c r="C374" s="4328"/>
      <c r="D374" s="4328"/>
      <c r="E374" s="4328"/>
      <c r="Q374" s="4627"/>
      <c r="R374" s="4627"/>
      <c r="S374" s="4627"/>
      <c r="T374" s="4627"/>
      <c r="U374" s="4627"/>
      <c r="V374" s="4627"/>
      <c r="W374" s="4627"/>
      <c r="X374" s="4627"/>
      <c r="Y374" s="4627"/>
      <c r="Z374" s="4627"/>
      <c r="AA374" s="4627"/>
      <c r="AB374" s="4627"/>
      <c r="AC374" s="4627"/>
      <c r="AD374" s="4627"/>
      <c r="AE374" s="4627"/>
      <c r="AF374" s="4627"/>
      <c r="AG374" s="4627"/>
      <c r="AH374" s="4627"/>
      <c r="AI374" s="4627"/>
      <c r="AJ374" s="4627"/>
      <c r="AK374" s="4627"/>
      <c r="AL374" s="4627"/>
      <c r="AM374" s="4627"/>
      <c r="AN374" s="4627"/>
      <c r="AO374" s="4627"/>
      <c r="AP374" s="4627"/>
    </row>
    <row r="375" spans="1:108" x14ac:dyDescent="0.2">
      <c r="A375" s="8858" t="s">
        <v>3114</v>
      </c>
      <c r="B375" s="8858" t="s">
        <v>940</v>
      </c>
      <c r="C375" s="8912" t="s">
        <v>3115</v>
      </c>
      <c r="D375" s="8912"/>
      <c r="E375" s="8912"/>
      <c r="F375" s="8912"/>
      <c r="G375" s="8912"/>
      <c r="H375" s="8912"/>
      <c r="I375" s="8912"/>
      <c r="J375" s="8912"/>
      <c r="K375" s="8913" t="s">
        <v>3116</v>
      </c>
      <c r="L375" s="8913"/>
      <c r="M375" s="8913"/>
      <c r="N375" s="8913"/>
      <c r="O375" s="8913"/>
      <c r="P375" s="8912" t="s">
        <v>3117</v>
      </c>
      <c r="Q375" s="4627"/>
      <c r="R375" s="4627"/>
      <c r="S375" s="4627"/>
      <c r="T375" s="4627"/>
      <c r="U375" s="4627"/>
      <c r="V375" s="4627"/>
      <c r="W375" s="4627"/>
      <c r="X375" s="4627"/>
      <c r="Y375" s="4627"/>
      <c r="Z375" s="4627"/>
      <c r="AA375" s="4627"/>
      <c r="AB375" s="4627"/>
      <c r="AC375" s="4627"/>
      <c r="AD375" s="4627"/>
      <c r="AE375" s="4627"/>
      <c r="AF375" s="4627"/>
      <c r="AG375" s="4627"/>
      <c r="AH375" s="4627"/>
      <c r="AI375" s="4627"/>
      <c r="AJ375" s="4627"/>
      <c r="AK375" s="4627"/>
      <c r="AL375" s="4627"/>
      <c r="AM375" s="4627"/>
      <c r="AN375" s="4627"/>
      <c r="AO375" s="4627"/>
      <c r="AP375" s="4627"/>
    </row>
    <row r="376" spans="1:108" ht="35.450000000000003" customHeight="1" x14ac:dyDescent="0.2">
      <c r="A376" s="8858"/>
      <c r="B376" s="8858"/>
      <c r="C376" s="8912" t="s">
        <v>3118</v>
      </c>
      <c r="D376" s="8912" t="s">
        <v>3119</v>
      </c>
      <c r="E376" s="8912" t="s">
        <v>3120</v>
      </c>
      <c r="F376" s="8912" t="s">
        <v>3121</v>
      </c>
      <c r="G376" s="8912" t="s">
        <v>3122</v>
      </c>
      <c r="H376" s="8912"/>
      <c r="I376" s="8912"/>
      <c r="J376" s="8912"/>
      <c r="K376" s="8912" t="s">
        <v>3123</v>
      </c>
      <c r="L376" s="8912" t="s">
        <v>3124</v>
      </c>
      <c r="M376" s="8912" t="s">
        <v>3125</v>
      </c>
      <c r="N376" s="8912" t="s">
        <v>3126</v>
      </c>
      <c r="O376" s="8912" t="s">
        <v>3127</v>
      </c>
      <c r="P376" s="8912"/>
      <c r="Q376" s="4627"/>
      <c r="R376" s="4627"/>
      <c r="S376" s="4627"/>
      <c r="T376" s="4627"/>
      <c r="U376" s="4627"/>
      <c r="V376" s="4627"/>
      <c r="W376" s="4627"/>
      <c r="X376" s="4627"/>
      <c r="Y376" s="4627"/>
      <c r="Z376" s="4627"/>
      <c r="AA376" s="4627"/>
      <c r="AB376" s="4627"/>
      <c r="AC376" s="4627"/>
      <c r="AD376" s="4627"/>
      <c r="AE376" s="4627"/>
      <c r="AF376" s="4627"/>
      <c r="AG376" s="4627"/>
      <c r="AH376" s="4627"/>
      <c r="AI376" s="4627"/>
      <c r="AJ376" s="4627"/>
      <c r="AK376" s="4627"/>
      <c r="AL376" s="4627"/>
      <c r="AM376" s="4627"/>
      <c r="AN376" s="4627"/>
      <c r="AO376" s="4627"/>
      <c r="AP376" s="4627"/>
    </row>
    <row r="377" spans="1:108" ht="35.450000000000003" customHeight="1" x14ac:dyDescent="0.2">
      <c r="A377" s="8858"/>
      <c r="B377" s="8858"/>
      <c r="C377" s="8912"/>
      <c r="D377" s="8912"/>
      <c r="E377" s="8912"/>
      <c r="F377" s="8912"/>
      <c r="G377" s="5357" t="s">
        <v>3124</v>
      </c>
      <c r="H377" s="5357" t="s">
        <v>3127</v>
      </c>
      <c r="I377" s="5357" t="s">
        <v>3128</v>
      </c>
      <c r="J377" s="5357" t="s">
        <v>135</v>
      </c>
      <c r="K377" s="8912"/>
      <c r="L377" s="8912"/>
      <c r="M377" s="8912"/>
      <c r="N377" s="8912"/>
      <c r="O377" s="8912"/>
      <c r="P377" s="8912"/>
      <c r="Q377" s="4627"/>
      <c r="R377" s="4627"/>
      <c r="S377" s="4627"/>
      <c r="T377" s="4627"/>
      <c r="U377" s="4627"/>
      <c r="V377" s="4627"/>
      <c r="W377" s="4627"/>
      <c r="X377" s="4627"/>
      <c r="Y377" s="4627"/>
      <c r="Z377" s="4627"/>
      <c r="AA377" s="4627"/>
      <c r="AB377" s="4627"/>
      <c r="AC377" s="4627"/>
      <c r="AD377" s="4627"/>
      <c r="AE377" s="4627"/>
      <c r="AF377" s="4627"/>
      <c r="AG377" s="4627"/>
      <c r="AH377" s="4627"/>
      <c r="AI377" s="4627"/>
      <c r="AJ377" s="4627"/>
      <c r="AK377" s="4627"/>
      <c r="AL377" s="4627"/>
      <c r="AM377" s="4627"/>
      <c r="AN377" s="4627"/>
      <c r="AO377" s="4627"/>
      <c r="AP377" s="4627"/>
    </row>
    <row r="378" spans="1:108" ht="20.25" customHeight="1" x14ac:dyDescent="0.2">
      <c r="A378" s="5358" t="s">
        <v>3129</v>
      </c>
      <c r="B378" s="5359">
        <f>SUM(D378:O378)</f>
        <v>0</v>
      </c>
      <c r="C378" s="5360"/>
      <c r="D378" s="5361"/>
      <c r="E378" s="5361"/>
      <c r="F378" s="5361"/>
      <c r="G378" s="5361"/>
      <c r="H378" s="5361"/>
      <c r="I378" s="5361"/>
      <c r="J378" s="5361"/>
      <c r="K378" s="5361"/>
      <c r="L378" s="5361"/>
      <c r="M378" s="5361"/>
      <c r="N378" s="5361"/>
      <c r="O378" s="5361"/>
      <c r="P378" s="7637"/>
      <c r="Q378" s="4627"/>
      <c r="R378" s="4627"/>
      <c r="S378" s="4627"/>
      <c r="T378" s="4627"/>
      <c r="U378" s="4627"/>
      <c r="V378" s="4627"/>
      <c r="W378" s="4627"/>
      <c r="X378" s="4627"/>
      <c r="Y378" s="4627"/>
      <c r="Z378" s="4627"/>
      <c r="AA378" s="4627"/>
      <c r="AB378" s="4627"/>
      <c r="AC378" s="4627"/>
      <c r="AD378" s="4627"/>
      <c r="AE378" s="4627"/>
      <c r="AF378" s="4627"/>
      <c r="AG378" s="4627"/>
      <c r="AH378" s="4627"/>
      <c r="AI378" s="4627"/>
      <c r="AJ378" s="4627"/>
      <c r="AK378" s="4627"/>
      <c r="AL378" s="4627"/>
      <c r="AM378" s="4627"/>
      <c r="AN378" s="4627"/>
      <c r="AO378" s="4627"/>
      <c r="AP378" s="4627"/>
    </row>
    <row r="379" spans="1:108" ht="20.25" customHeight="1" x14ac:dyDescent="0.2">
      <c r="A379" s="5362" t="s">
        <v>3130</v>
      </c>
      <c r="B379" s="4841">
        <f>SUM(C379:O379)</f>
        <v>0</v>
      </c>
      <c r="C379" s="5363"/>
      <c r="D379" s="5363"/>
      <c r="E379" s="5363"/>
      <c r="F379" s="5363"/>
      <c r="G379" s="5363"/>
      <c r="H379" s="5363"/>
      <c r="I379" s="5363"/>
      <c r="J379" s="5363"/>
      <c r="K379" s="5363"/>
      <c r="L379" s="5363"/>
      <c r="M379" s="5363"/>
      <c r="N379" s="5363"/>
      <c r="O379" s="5363"/>
      <c r="P379" s="7638"/>
      <c r="Q379" s="4627"/>
      <c r="R379" s="4627"/>
      <c r="S379" s="4627"/>
      <c r="T379" s="4627"/>
      <c r="U379" s="4627"/>
      <c r="V379" s="4627"/>
      <c r="W379" s="4627"/>
      <c r="X379" s="4627"/>
      <c r="Y379" s="4627"/>
      <c r="Z379" s="4627"/>
      <c r="AA379" s="4627"/>
      <c r="AB379" s="4627"/>
      <c r="AC379" s="4627"/>
      <c r="AD379" s="4627"/>
      <c r="AE379" s="4627"/>
      <c r="AF379" s="4627"/>
      <c r="AG379" s="4627"/>
      <c r="AH379" s="4627"/>
      <c r="AI379" s="4627"/>
      <c r="AJ379" s="4627"/>
      <c r="AK379" s="4627"/>
      <c r="AL379" s="4627"/>
      <c r="AM379" s="4627"/>
      <c r="AN379" s="4627"/>
      <c r="AO379" s="4627"/>
      <c r="AP379" s="4627"/>
    </row>
    <row r="380" spans="1:108" ht="20.25" customHeight="1" x14ac:dyDescent="0.2">
      <c r="A380" s="5362" t="s">
        <v>3131</v>
      </c>
      <c r="B380" s="4841">
        <f>SUM(C380:O380)</f>
        <v>0</v>
      </c>
      <c r="C380" s="5363"/>
      <c r="D380" s="5363"/>
      <c r="E380" s="5363"/>
      <c r="F380" s="5363"/>
      <c r="G380" s="5363"/>
      <c r="H380" s="5363"/>
      <c r="I380" s="5363"/>
      <c r="J380" s="5363"/>
      <c r="K380" s="5363"/>
      <c r="L380" s="5363"/>
      <c r="M380" s="5363"/>
      <c r="N380" s="5363"/>
      <c r="O380" s="5363"/>
      <c r="P380" s="7638"/>
      <c r="Q380" s="4627"/>
      <c r="R380" s="4627"/>
      <c r="S380" s="4627"/>
      <c r="T380" s="4627"/>
      <c r="U380" s="4627"/>
      <c r="V380" s="4627"/>
      <c r="W380" s="4627"/>
      <c r="X380" s="4627"/>
      <c r="Y380" s="4627"/>
      <c r="Z380" s="4627"/>
      <c r="AA380" s="4627"/>
      <c r="AB380" s="4627"/>
      <c r="AC380" s="4627"/>
      <c r="AD380" s="4627"/>
      <c r="AE380" s="4627"/>
      <c r="AF380" s="4627"/>
      <c r="AG380" s="4627"/>
      <c r="AH380" s="4627"/>
      <c r="AI380" s="4627"/>
      <c r="AJ380" s="4627"/>
      <c r="AK380" s="4627"/>
      <c r="AL380" s="4627"/>
      <c r="AM380" s="4627"/>
      <c r="AN380" s="4627"/>
      <c r="AO380" s="4627"/>
      <c r="AP380" s="4627"/>
    </row>
    <row r="381" spans="1:108" ht="20.25" customHeight="1" x14ac:dyDescent="0.2">
      <c r="A381" s="5362" t="s">
        <v>3132</v>
      </c>
      <c r="B381" s="4841">
        <f>SUM(C381:O381)</f>
        <v>0</v>
      </c>
      <c r="C381" s="5363"/>
      <c r="D381" s="5363"/>
      <c r="E381" s="5363"/>
      <c r="F381" s="5363"/>
      <c r="G381" s="5363"/>
      <c r="H381" s="5363"/>
      <c r="I381" s="5363"/>
      <c r="J381" s="5363"/>
      <c r="K381" s="5363"/>
      <c r="L381" s="5363"/>
      <c r="M381" s="5363"/>
      <c r="N381" s="5363"/>
      <c r="O381" s="5363"/>
      <c r="P381" s="7639"/>
      <c r="Q381" s="4627"/>
      <c r="R381" s="4627"/>
      <c r="S381" s="4627"/>
      <c r="T381" s="4627"/>
      <c r="U381" s="4627"/>
      <c r="V381" s="4627"/>
      <c r="W381" s="4627"/>
      <c r="X381" s="4627"/>
      <c r="Y381" s="4627"/>
      <c r="Z381" s="4627"/>
      <c r="AA381" s="4627"/>
      <c r="AB381" s="4627"/>
      <c r="AC381" s="4627"/>
      <c r="AD381" s="4627"/>
      <c r="AE381" s="4627"/>
      <c r="AF381" s="4627"/>
      <c r="AG381" s="4627"/>
      <c r="AH381" s="4627"/>
      <c r="AI381" s="4627"/>
      <c r="AJ381" s="4627"/>
      <c r="AK381" s="4627"/>
      <c r="AL381" s="4627"/>
      <c r="AM381" s="4627"/>
      <c r="AN381" s="4627"/>
      <c r="AO381" s="4627"/>
      <c r="AP381" s="4627"/>
    </row>
    <row r="382" spans="1:108" ht="20.25" customHeight="1" x14ac:dyDescent="0.2">
      <c r="A382" s="5362" t="s">
        <v>3133</v>
      </c>
      <c r="B382" s="4841">
        <f>SUM(P382)</f>
        <v>0</v>
      </c>
      <c r="C382" s="7640"/>
      <c r="D382" s="7641"/>
      <c r="E382" s="7641"/>
      <c r="F382" s="7641"/>
      <c r="G382" s="7641"/>
      <c r="H382" s="7641"/>
      <c r="I382" s="7641"/>
      <c r="J382" s="7641"/>
      <c r="K382" s="7641"/>
      <c r="L382" s="7641"/>
      <c r="M382" s="7641"/>
      <c r="N382" s="7641"/>
      <c r="O382" s="7642"/>
      <c r="P382" s="5363"/>
      <c r="Q382" s="4627"/>
      <c r="R382" s="4627"/>
      <c r="S382" s="4627"/>
      <c r="T382" s="4627"/>
      <c r="U382" s="4627"/>
      <c r="V382" s="4627"/>
      <c r="W382" s="4627"/>
      <c r="X382" s="4627"/>
      <c r="Y382" s="4627"/>
      <c r="Z382" s="4627"/>
      <c r="AA382" s="4627"/>
      <c r="AB382" s="4627"/>
      <c r="AC382" s="4627"/>
      <c r="AD382" s="4627"/>
      <c r="AE382" s="4627"/>
      <c r="AF382" s="4627"/>
      <c r="AG382" s="4627"/>
      <c r="AH382" s="4627"/>
      <c r="AI382" s="4627"/>
      <c r="AJ382" s="4627"/>
      <c r="AK382" s="4627"/>
      <c r="AL382" s="4627"/>
      <c r="AM382" s="4627"/>
      <c r="AN382" s="4627"/>
      <c r="AO382" s="4627"/>
      <c r="AP382" s="4627"/>
    </row>
    <row r="383" spans="1:108" ht="20.25" customHeight="1" x14ac:dyDescent="0.2">
      <c r="A383" s="5399" t="s">
        <v>24</v>
      </c>
      <c r="B383" s="5364">
        <f>SUM(B378:B382)</f>
        <v>0</v>
      </c>
      <c r="C383" s="5364">
        <f>SUM(C379:C381)</f>
        <v>0</v>
      </c>
      <c r="D383" s="5364">
        <f>SUM(D378:D381)</f>
        <v>0</v>
      </c>
      <c r="E383" s="5364">
        <f t="shared" ref="E383:O383" si="59">SUM(E378:E381)</f>
        <v>0</v>
      </c>
      <c r="F383" s="5364">
        <f t="shared" si="59"/>
        <v>0</v>
      </c>
      <c r="G383" s="5364">
        <f t="shared" si="59"/>
        <v>0</v>
      </c>
      <c r="H383" s="5364">
        <f t="shared" si="59"/>
        <v>0</v>
      </c>
      <c r="I383" s="5364">
        <f t="shared" si="59"/>
        <v>0</v>
      </c>
      <c r="J383" s="5364">
        <f t="shared" si="59"/>
        <v>0</v>
      </c>
      <c r="K383" s="5364">
        <f t="shared" si="59"/>
        <v>0</v>
      </c>
      <c r="L383" s="5364">
        <f t="shared" si="59"/>
        <v>0</v>
      </c>
      <c r="M383" s="5364">
        <f t="shared" si="59"/>
        <v>0</v>
      </c>
      <c r="N383" s="5364">
        <f t="shared" si="59"/>
        <v>0</v>
      </c>
      <c r="O383" s="5364">
        <f t="shared" si="59"/>
        <v>0</v>
      </c>
      <c r="P383" s="5364">
        <f>SUM(P382)</f>
        <v>0</v>
      </c>
      <c r="Q383" s="4627"/>
      <c r="R383" s="4627"/>
      <c r="S383" s="4627"/>
      <c r="T383" s="4627"/>
      <c r="U383" s="4627"/>
      <c r="V383" s="4627"/>
      <c r="W383" s="4627"/>
      <c r="X383" s="4627"/>
      <c r="Y383" s="4627"/>
      <c r="Z383" s="4627"/>
      <c r="AA383" s="4627"/>
      <c r="AB383" s="4627"/>
      <c r="AC383" s="4627"/>
      <c r="AD383" s="4627"/>
      <c r="AE383" s="4627"/>
      <c r="AF383" s="4627"/>
      <c r="AG383" s="4627"/>
      <c r="AH383" s="4627"/>
      <c r="AI383" s="4627"/>
      <c r="AJ383" s="4627"/>
      <c r="AK383" s="4627"/>
      <c r="AL383" s="4627"/>
      <c r="AM383" s="4627"/>
      <c r="AN383" s="4627"/>
      <c r="AO383" s="4627"/>
      <c r="AP383" s="4627"/>
    </row>
    <row r="411" spans="1:130" s="5545" customFormat="1" hidden="1" x14ac:dyDescent="0.2">
      <c r="A411" s="5545">
        <f>SUM(C11:C14,C18:F31,C35,C59,B82,C85,C90:C93,C98:C101,C106,C111:C119,C124:C131,C136:C140,C153,C166,C173,C174:C177,C183,C185:C227,C231,C233:C275,C280:C283,C288,C311:C321,C326:C328,B333:B334,C339:C348,B359,B364,C373,B383)</f>
        <v>0</v>
      </c>
      <c r="B411" s="5545">
        <f>SUM(DA10:DZ383)</f>
        <v>0</v>
      </c>
      <c r="AX411" s="4879"/>
      <c r="AY411" s="4879"/>
      <c r="AZ411" s="4879"/>
      <c r="CA411" s="7079"/>
      <c r="CB411" s="7079"/>
      <c r="CC411" s="7079"/>
      <c r="CD411" s="7079"/>
      <c r="CE411" s="7079"/>
      <c r="CF411" s="7079"/>
      <c r="CG411" s="7079"/>
      <c r="CH411" s="7079"/>
      <c r="CI411" s="7079"/>
      <c r="CJ411" s="7079"/>
      <c r="CK411" s="7079"/>
      <c r="CL411" s="7079"/>
      <c r="CM411" s="7079"/>
      <c r="CN411" s="7079"/>
      <c r="CO411" s="7079"/>
      <c r="CP411" s="7079"/>
      <c r="CQ411" s="7079"/>
      <c r="CR411" s="7079"/>
      <c r="CS411" s="7079"/>
      <c r="CT411" s="7079"/>
      <c r="CU411" s="7079"/>
      <c r="CV411" s="7079"/>
      <c r="CW411" s="7079"/>
      <c r="CX411" s="7079"/>
      <c r="CY411" s="7079"/>
      <c r="CZ411" s="7079"/>
      <c r="DA411" s="7079"/>
      <c r="DB411" s="7079"/>
      <c r="DC411" s="7079"/>
      <c r="DD411" s="7079"/>
      <c r="DE411" s="7079"/>
      <c r="DF411" s="7079"/>
      <c r="DG411" s="7079"/>
      <c r="DH411" s="7079"/>
      <c r="DI411" s="7079"/>
      <c r="DJ411" s="7079"/>
      <c r="DK411" s="7079"/>
      <c r="DL411" s="7079"/>
      <c r="DM411" s="7079"/>
      <c r="DN411" s="7079"/>
      <c r="DO411" s="7079"/>
      <c r="DP411" s="7079"/>
      <c r="DQ411" s="7079"/>
      <c r="DR411" s="7079"/>
      <c r="DS411" s="7079"/>
      <c r="DT411" s="7079"/>
      <c r="DU411" s="7079"/>
      <c r="DV411" s="7079"/>
      <c r="DW411" s="7079"/>
      <c r="DX411" s="7079"/>
      <c r="DY411" s="7079"/>
      <c r="DZ411" s="7079"/>
    </row>
  </sheetData>
  <sheetProtection algorithmName="SHA-512" hashValue="FrRyjSkvIZRB8YdrPOOfcEcNkdHk/elda/E5zhi6CwQ/QJqFDpK/GGoQJJB8Qx/a9gB5kcs3f+9JcounSjcUNQ==" saltValue="bIQAqSOLLeu6Q1oFvkKnHw==" spinCount="100000" sheet="1" objects="1" scenarios="1"/>
  <protectedRanges>
    <protectedRange sqref="F370:AO372 E364:AN364" name="Rango1_2"/>
  </protectedRanges>
  <mergeCells count="556">
    <mergeCell ref="A349:B349"/>
    <mergeCell ref="C349:AM349"/>
    <mergeCell ref="AW229:AW230"/>
    <mergeCell ref="AX229:AX230"/>
    <mergeCell ref="AW308:AW310"/>
    <mergeCell ref="AV308:AV310"/>
    <mergeCell ref="AT308:AT310"/>
    <mergeCell ref="F308:AQ308"/>
    <mergeCell ref="AR308:AS309"/>
    <mergeCell ref="AU308:AU310"/>
    <mergeCell ref="AJ278:AK278"/>
    <mergeCell ref="AJ286:AK286"/>
    <mergeCell ref="AJ309:AK309"/>
    <mergeCell ref="AL309:AM309"/>
    <mergeCell ref="AJ323:AJ325"/>
    <mergeCell ref="V229:W229"/>
    <mergeCell ref="H278:I278"/>
    <mergeCell ref="L229:M229"/>
    <mergeCell ref="Z229:AA229"/>
    <mergeCell ref="H229:I229"/>
    <mergeCell ref="P278:Q278"/>
    <mergeCell ref="R278:S278"/>
    <mergeCell ref="T278:U278"/>
    <mergeCell ref="A330:A332"/>
    <mergeCell ref="AH121:AK121"/>
    <mergeCell ref="AF134:AG134"/>
    <mergeCell ref="N155:P155"/>
    <mergeCell ref="F155:G155"/>
    <mergeCell ref="AB134:AC134"/>
    <mergeCell ref="AD122:AE122"/>
    <mergeCell ref="X181:Y181"/>
    <mergeCell ref="N142:N143"/>
    <mergeCell ref="AB181:AC181"/>
    <mergeCell ref="AD181:AE181"/>
    <mergeCell ref="AF181:AG181"/>
    <mergeCell ref="O142:O143"/>
    <mergeCell ref="F168:G168"/>
    <mergeCell ref="N168:O168"/>
    <mergeCell ref="X134:Y134"/>
    <mergeCell ref="J155:K155"/>
    <mergeCell ref="Z122:AA122"/>
    <mergeCell ref="X122:Y122"/>
    <mergeCell ref="AK122:AK123"/>
    <mergeCell ref="AF122:AG122"/>
    <mergeCell ref="J181:K181"/>
    <mergeCell ref="L181:M181"/>
    <mergeCell ref="P181:Q181"/>
    <mergeCell ref="N181:O181"/>
    <mergeCell ref="AR181:AR182"/>
    <mergeCell ref="AP181:AQ181"/>
    <mergeCell ref="AN181:AN182"/>
    <mergeCell ref="U33:U34"/>
    <mergeCell ref="A79:B79"/>
    <mergeCell ref="AV181:AW181"/>
    <mergeCell ref="Q330:R331"/>
    <mergeCell ref="AT181:AU181"/>
    <mergeCell ref="AN277:AN279"/>
    <mergeCell ref="AN286:AN287"/>
    <mergeCell ref="AO277:AO279"/>
    <mergeCell ref="AU285:AU287"/>
    <mergeCell ref="AV285:AV287"/>
    <mergeCell ref="AU229:AU230"/>
    <mergeCell ref="AS229:AT229"/>
    <mergeCell ref="AN229:AP229"/>
    <mergeCell ref="J168:K168"/>
    <mergeCell ref="L168:M168"/>
    <mergeCell ref="AN309:AO309"/>
    <mergeCell ref="AP309:AQ309"/>
    <mergeCell ref="AB309:AC309"/>
    <mergeCell ref="AD309:AE309"/>
    <mergeCell ref="AF309:AG309"/>
    <mergeCell ref="AH309:AI309"/>
    <mergeCell ref="AH108:AH110"/>
    <mergeCell ref="AI108:AI110"/>
    <mergeCell ref="A217:B217"/>
    <mergeCell ref="A216:B216"/>
    <mergeCell ref="A264:B264"/>
    <mergeCell ref="A265:B265"/>
    <mergeCell ref="X286:Y286"/>
    <mergeCell ref="AB278:AC278"/>
    <mergeCell ref="AH229:AI229"/>
    <mergeCell ref="V278:W278"/>
    <mergeCell ref="AD278:AE278"/>
    <mergeCell ref="F285:AM285"/>
    <mergeCell ref="AH286:AI286"/>
    <mergeCell ref="AB286:AC286"/>
    <mergeCell ref="AD286:AE286"/>
    <mergeCell ref="AF286:AG286"/>
    <mergeCell ref="Z278:AA278"/>
    <mergeCell ref="H109:I109"/>
    <mergeCell ref="T286:U286"/>
    <mergeCell ref="V286:W286"/>
    <mergeCell ref="U152:V152"/>
    <mergeCell ref="A138:A139"/>
    <mergeCell ref="AM121:AM123"/>
    <mergeCell ref="AL121:AL123"/>
    <mergeCell ref="C351:J351"/>
    <mergeCell ref="K351:O351"/>
    <mergeCell ref="P351:P353"/>
    <mergeCell ref="C352:C353"/>
    <mergeCell ref="D352:D353"/>
    <mergeCell ref="E352:E353"/>
    <mergeCell ref="F352:F353"/>
    <mergeCell ref="G352:J352"/>
    <mergeCell ref="K352:K353"/>
    <mergeCell ref="L352:L353"/>
    <mergeCell ref="M352:M353"/>
    <mergeCell ref="N352:N353"/>
    <mergeCell ref="O352:O353"/>
    <mergeCell ref="C375:J375"/>
    <mergeCell ref="K375:O375"/>
    <mergeCell ref="P375:P377"/>
    <mergeCell ref="C376:C377"/>
    <mergeCell ref="D376:D377"/>
    <mergeCell ref="E376:E377"/>
    <mergeCell ref="F376:F377"/>
    <mergeCell ref="G376:J376"/>
    <mergeCell ref="K376:K377"/>
    <mergeCell ref="L376:L377"/>
    <mergeCell ref="M376:M377"/>
    <mergeCell ref="N376:N377"/>
    <mergeCell ref="O376:O377"/>
    <mergeCell ref="T368:U368"/>
    <mergeCell ref="V368:W368"/>
    <mergeCell ref="X368:Y368"/>
    <mergeCell ref="Z368:AA368"/>
    <mergeCell ref="AB368:AC368"/>
    <mergeCell ref="AD368:AE368"/>
    <mergeCell ref="AF368:AG368"/>
    <mergeCell ref="AH368:AI368"/>
    <mergeCell ref="AJ368:AK368"/>
    <mergeCell ref="AN361:AN363"/>
    <mergeCell ref="E362:F362"/>
    <mergeCell ref="G362:H362"/>
    <mergeCell ref="I362:J362"/>
    <mergeCell ref="K362:L362"/>
    <mergeCell ref="M362:N362"/>
    <mergeCell ref="O362:P362"/>
    <mergeCell ref="Q362:R362"/>
    <mergeCell ref="S362:T362"/>
    <mergeCell ref="U362:V362"/>
    <mergeCell ref="W362:X362"/>
    <mergeCell ref="Y362:Z362"/>
    <mergeCell ref="AA362:AB362"/>
    <mergeCell ref="AC362:AD362"/>
    <mergeCell ref="AE362:AF362"/>
    <mergeCell ref="AG362:AH362"/>
    <mergeCell ref="AI362:AJ362"/>
    <mergeCell ref="AK362:AL362"/>
    <mergeCell ref="AM361:AM363"/>
    <mergeCell ref="AJ337:AJ338"/>
    <mergeCell ref="AK337:AK338"/>
    <mergeCell ref="AL337:AL338"/>
    <mergeCell ref="AM336:AM338"/>
    <mergeCell ref="F324:G324"/>
    <mergeCell ref="H324:I324"/>
    <mergeCell ref="J324:K324"/>
    <mergeCell ref="AB324:AC324"/>
    <mergeCell ref="AD324:AE324"/>
    <mergeCell ref="AF324:AG324"/>
    <mergeCell ref="AH323:AI324"/>
    <mergeCell ref="AI336:AI338"/>
    <mergeCell ref="R324:S324"/>
    <mergeCell ref="AJ336:AL336"/>
    <mergeCell ref="E330:M330"/>
    <mergeCell ref="E331:F331"/>
    <mergeCell ref="G331:H331"/>
    <mergeCell ref="Z324:AA324"/>
    <mergeCell ref="I331:J331"/>
    <mergeCell ref="K331:L331"/>
    <mergeCell ref="M331:N331"/>
    <mergeCell ref="L337:M337"/>
    <mergeCell ref="R337:S337"/>
    <mergeCell ref="A375:A377"/>
    <mergeCell ref="B375:B377"/>
    <mergeCell ref="AL368:AM368"/>
    <mergeCell ref="A345:A348"/>
    <mergeCell ref="A365:AP365"/>
    <mergeCell ref="A367:A369"/>
    <mergeCell ref="B367:B369"/>
    <mergeCell ref="C367:E368"/>
    <mergeCell ref="F367:AM367"/>
    <mergeCell ref="AN367:AN369"/>
    <mergeCell ref="AO367:AO369"/>
    <mergeCell ref="F368:G368"/>
    <mergeCell ref="H368:I368"/>
    <mergeCell ref="J368:K368"/>
    <mergeCell ref="L368:M368"/>
    <mergeCell ref="N368:O368"/>
    <mergeCell ref="P368:Q368"/>
    <mergeCell ref="R368:S368"/>
    <mergeCell ref="A370:A372"/>
    <mergeCell ref="A373:B373"/>
    <mergeCell ref="A361:A363"/>
    <mergeCell ref="B361:D362"/>
    <mergeCell ref="E361:AL361"/>
    <mergeCell ref="A351:A353"/>
    <mergeCell ref="A311:A312"/>
    <mergeCell ref="C285:E286"/>
    <mergeCell ref="F286:G286"/>
    <mergeCell ref="H286:I286"/>
    <mergeCell ref="AK323:AK325"/>
    <mergeCell ref="F336:AG336"/>
    <mergeCell ref="L278:M278"/>
    <mergeCell ref="H309:I309"/>
    <mergeCell ref="N309:O309"/>
    <mergeCell ref="N278:O278"/>
    <mergeCell ref="X278:Y278"/>
    <mergeCell ref="X324:Y324"/>
    <mergeCell ref="T324:U324"/>
    <mergeCell ref="V324:W324"/>
    <mergeCell ref="N324:O324"/>
    <mergeCell ref="AH336:AH338"/>
    <mergeCell ref="T337:U337"/>
    <mergeCell ref="V337:W337"/>
    <mergeCell ref="X337:Y337"/>
    <mergeCell ref="Z337:AA337"/>
    <mergeCell ref="AB337:AC337"/>
    <mergeCell ref="AD337:AE337"/>
    <mergeCell ref="AF337:AG337"/>
    <mergeCell ref="P337:Q337"/>
    <mergeCell ref="C168:E168"/>
    <mergeCell ref="A170:A173"/>
    <mergeCell ref="AN134:AN135"/>
    <mergeCell ref="AN133:AP133"/>
    <mergeCell ref="AL134:AM134"/>
    <mergeCell ref="A155:B156"/>
    <mergeCell ref="H155:I155"/>
    <mergeCell ref="L155:M155"/>
    <mergeCell ref="A165:B165"/>
    <mergeCell ref="H168:I168"/>
    <mergeCell ref="C142:E142"/>
    <mergeCell ref="AO134:AO135"/>
    <mergeCell ref="AP134:AP135"/>
    <mergeCell ref="A24:B24"/>
    <mergeCell ref="F16:F17"/>
    <mergeCell ref="AH134:AI134"/>
    <mergeCell ref="AJ134:AK134"/>
    <mergeCell ref="AH122:AH123"/>
    <mergeCell ref="AI122:AI123"/>
    <mergeCell ref="AJ122:AJ123"/>
    <mergeCell ref="L134:M134"/>
    <mergeCell ref="R134:S134"/>
    <mergeCell ref="AD134:AE134"/>
    <mergeCell ref="C103:E104"/>
    <mergeCell ref="C133:E134"/>
    <mergeCell ref="H134:I134"/>
    <mergeCell ref="J134:K134"/>
    <mergeCell ref="AB122:AC122"/>
    <mergeCell ref="P134:Q134"/>
    <mergeCell ref="A112:A118"/>
    <mergeCell ref="R122:S122"/>
    <mergeCell ref="P122:Q122"/>
    <mergeCell ref="R109:S109"/>
    <mergeCell ref="T109:U109"/>
    <mergeCell ref="A133:B135"/>
    <mergeCell ref="T134:U134"/>
    <mergeCell ref="F121:AG121"/>
    <mergeCell ref="A25:B25"/>
    <mergeCell ref="A28:B28"/>
    <mergeCell ref="A49:B49"/>
    <mergeCell ref="A6:P6"/>
    <mergeCell ref="A9:B10"/>
    <mergeCell ref="C9:C10"/>
    <mergeCell ref="A11:B11"/>
    <mergeCell ref="A27:B27"/>
    <mergeCell ref="A33:B34"/>
    <mergeCell ref="A18:B18"/>
    <mergeCell ref="A12:B12"/>
    <mergeCell ref="A13:B13"/>
    <mergeCell ref="A20:B20"/>
    <mergeCell ref="A16:B17"/>
    <mergeCell ref="E16:E17"/>
    <mergeCell ref="D9:M9"/>
    <mergeCell ref="C33:C34"/>
    <mergeCell ref="A14:B14"/>
    <mergeCell ref="A19:B19"/>
    <mergeCell ref="P9:P10"/>
    <mergeCell ref="N9:N10"/>
    <mergeCell ref="O9:O10"/>
    <mergeCell ref="A23:B23"/>
    <mergeCell ref="A21:B21"/>
    <mergeCell ref="A22:B22"/>
    <mergeCell ref="A31:B31"/>
    <mergeCell ref="A26:B26"/>
    <mergeCell ref="C16:C17"/>
    <mergeCell ref="D16:D17"/>
    <mergeCell ref="A38:A44"/>
    <mergeCell ref="A316:B316"/>
    <mergeCell ref="C323:E324"/>
    <mergeCell ref="L324:M324"/>
    <mergeCell ref="A280:A281"/>
    <mergeCell ref="F323:AG323"/>
    <mergeCell ref="A247:A251"/>
    <mergeCell ref="A236:A237"/>
    <mergeCell ref="F278:G278"/>
    <mergeCell ref="P324:Q324"/>
    <mergeCell ref="A191:A198"/>
    <mergeCell ref="C181:E181"/>
    <mergeCell ref="N229:O229"/>
    <mergeCell ref="P229:Q229"/>
    <mergeCell ref="F181:G181"/>
    <mergeCell ref="H181:I181"/>
    <mergeCell ref="Q152:R152"/>
    <mergeCell ref="S152:T152"/>
    <mergeCell ref="A140:B140"/>
    <mergeCell ref="R57:R58"/>
    <mergeCell ref="L142:M142"/>
    <mergeCell ref="N134:O134"/>
    <mergeCell ref="A103:B105"/>
    <mergeCell ref="H104:I104"/>
    <mergeCell ref="J104:K104"/>
    <mergeCell ref="A315:B315"/>
    <mergeCell ref="A313:B313"/>
    <mergeCell ref="B277:B279"/>
    <mergeCell ref="A314:B314"/>
    <mergeCell ref="C277:E278"/>
    <mergeCell ref="A57:B58"/>
    <mergeCell ref="A142:B143"/>
    <mergeCell ref="F142:G142"/>
    <mergeCell ref="H142:I142"/>
    <mergeCell ref="A136:B136"/>
    <mergeCell ref="A62:A68"/>
    <mergeCell ref="J109:K109"/>
    <mergeCell ref="A137:B137"/>
    <mergeCell ref="A144:A146"/>
    <mergeCell ref="A147:B147"/>
    <mergeCell ref="C155:E155"/>
    <mergeCell ref="A157:A159"/>
    <mergeCell ref="J278:K278"/>
    <mergeCell ref="A29:B29"/>
    <mergeCell ref="A30:B30"/>
    <mergeCell ref="A77:A78"/>
    <mergeCell ref="C57:C58"/>
    <mergeCell ref="A60:B60"/>
    <mergeCell ref="A61:B61"/>
    <mergeCell ref="A73:B73"/>
    <mergeCell ref="A74:B74"/>
    <mergeCell ref="A55:B55"/>
    <mergeCell ref="A50:B50"/>
    <mergeCell ref="A53:A54"/>
    <mergeCell ref="A35:B35"/>
    <mergeCell ref="A36:B36"/>
    <mergeCell ref="A37:B37"/>
    <mergeCell ref="A45:A46"/>
    <mergeCell ref="A47:A48"/>
    <mergeCell ref="A69:A70"/>
    <mergeCell ref="A71:A72"/>
    <mergeCell ref="A59:B59"/>
    <mergeCell ref="A51:A52"/>
    <mergeCell ref="A75:A76"/>
    <mergeCell ref="AS285:AS287"/>
    <mergeCell ref="AQ285:AR286"/>
    <mergeCell ref="P286:Q286"/>
    <mergeCell ref="R286:S286"/>
    <mergeCell ref="A298:A306"/>
    <mergeCell ref="C308:E309"/>
    <mergeCell ref="AN285:AP285"/>
    <mergeCell ref="A288:B288"/>
    <mergeCell ref="N286:O286"/>
    <mergeCell ref="R309:S309"/>
    <mergeCell ref="J309:K309"/>
    <mergeCell ref="J286:K286"/>
    <mergeCell ref="L286:M286"/>
    <mergeCell ref="Z309:AA309"/>
    <mergeCell ref="V309:W309"/>
    <mergeCell ref="AL286:AM286"/>
    <mergeCell ref="Z286:AA286"/>
    <mergeCell ref="P309:Q309"/>
    <mergeCell ref="A285:B287"/>
    <mergeCell ref="A289:A297"/>
    <mergeCell ref="AO286:AO287"/>
    <mergeCell ref="AP286:AP287"/>
    <mergeCell ref="X309:Y309"/>
    <mergeCell ref="L309:M309"/>
    <mergeCell ref="A84:B84"/>
    <mergeCell ref="A85:B85"/>
    <mergeCell ref="A92:B92"/>
    <mergeCell ref="A93:B93"/>
    <mergeCell ref="A152:B152"/>
    <mergeCell ref="A187:B187"/>
    <mergeCell ref="A161:A164"/>
    <mergeCell ref="A232:B232"/>
    <mergeCell ref="A160:B160"/>
    <mergeCell ref="A181:B182"/>
    <mergeCell ref="A166:B166"/>
    <mergeCell ref="A220:B220"/>
    <mergeCell ref="A226:B226"/>
    <mergeCell ref="A227:B227"/>
    <mergeCell ref="A185:A186"/>
    <mergeCell ref="A183:B183"/>
    <mergeCell ref="A99:B99"/>
    <mergeCell ref="A100:B100"/>
    <mergeCell ref="A101:B101"/>
    <mergeCell ref="A208:A212"/>
    <mergeCell ref="A218:B218"/>
    <mergeCell ref="A188:A189"/>
    <mergeCell ref="A184:B184"/>
    <mergeCell ref="A153:B153"/>
    <mergeCell ref="AD109:AE109"/>
    <mergeCell ref="AF109:AG109"/>
    <mergeCell ref="AB109:AC109"/>
    <mergeCell ref="R87:S87"/>
    <mergeCell ref="T87:U87"/>
    <mergeCell ref="N96:O96"/>
    <mergeCell ref="U96:V96"/>
    <mergeCell ref="F104:G104"/>
    <mergeCell ref="R88:S88"/>
    <mergeCell ref="T88:U88"/>
    <mergeCell ref="L109:M109"/>
    <mergeCell ref="P109:Q109"/>
    <mergeCell ref="H88:I88"/>
    <mergeCell ref="L88:M88"/>
    <mergeCell ref="L96:M96"/>
    <mergeCell ref="N88:O88"/>
    <mergeCell ref="X109:Y109"/>
    <mergeCell ref="P88:Q88"/>
    <mergeCell ref="F109:G109"/>
    <mergeCell ref="Z109:AA109"/>
    <mergeCell ref="F108:AG108"/>
    <mergeCell ref="R95:V95"/>
    <mergeCell ref="Y87:Z88"/>
    <mergeCell ref="C87:E88"/>
    <mergeCell ref="F134:G134"/>
    <mergeCell ref="A91:B91"/>
    <mergeCell ref="A168:B169"/>
    <mergeCell ref="A106:B106"/>
    <mergeCell ref="A90:B90"/>
    <mergeCell ref="F88:G88"/>
    <mergeCell ref="A87:B89"/>
    <mergeCell ref="C95:E96"/>
    <mergeCell ref="A95:B97"/>
    <mergeCell ref="A124:B124"/>
    <mergeCell ref="F103:M103"/>
    <mergeCell ref="C108:E109"/>
    <mergeCell ref="A108:B110"/>
    <mergeCell ref="A111:B111"/>
    <mergeCell ref="A125:A131"/>
    <mergeCell ref="J88:K88"/>
    <mergeCell ref="J142:K142"/>
    <mergeCell ref="A148:A151"/>
    <mergeCell ref="A98:B98"/>
    <mergeCell ref="J96:K96"/>
    <mergeCell ref="A119:B119"/>
    <mergeCell ref="A121:B123"/>
    <mergeCell ref="C121:E122"/>
    <mergeCell ref="A256:A260"/>
    <mergeCell ref="J229:K229"/>
    <mergeCell ref="C229:E229"/>
    <mergeCell ref="F229:G229"/>
    <mergeCell ref="F309:G309"/>
    <mergeCell ref="F277:AK277"/>
    <mergeCell ref="AF278:AG278"/>
    <mergeCell ref="AH278:AI278"/>
    <mergeCell ref="AB229:AC229"/>
    <mergeCell ref="AD229:AE229"/>
    <mergeCell ref="AF229:AG229"/>
    <mergeCell ref="T229:U229"/>
    <mergeCell ref="T309:U309"/>
    <mergeCell ref="A308:B310"/>
    <mergeCell ref="AM277:AM279"/>
    <mergeCell ref="AR133:AR135"/>
    <mergeCell ref="R181:S181"/>
    <mergeCell ref="Z134:AA134"/>
    <mergeCell ref="P168:P169"/>
    <mergeCell ref="Q168:Q169"/>
    <mergeCell ref="Q155:Q156"/>
    <mergeCell ref="R155:R156"/>
    <mergeCell ref="V134:W134"/>
    <mergeCell ref="Y152:Z152"/>
    <mergeCell ref="AQ133:AQ135"/>
    <mergeCell ref="AH181:AI181"/>
    <mergeCell ref="AJ181:AK181"/>
    <mergeCell ref="V181:W181"/>
    <mergeCell ref="AL181:AM181"/>
    <mergeCell ref="AL229:AM229"/>
    <mergeCell ref="AQ229:AQ230"/>
    <mergeCell ref="AJ229:AK229"/>
    <mergeCell ref="AL277:AL279"/>
    <mergeCell ref="X229:Y229"/>
    <mergeCell ref="AO181:AO182"/>
    <mergeCell ref="Z181:AA181"/>
    <mergeCell ref="W152:X152"/>
    <mergeCell ref="T181:U181"/>
    <mergeCell ref="AV229:AV230"/>
    <mergeCell ref="AR229:AR230"/>
    <mergeCell ref="AT285:AT287"/>
    <mergeCell ref="R33:R34"/>
    <mergeCell ref="S33:S34"/>
    <mergeCell ref="T33:T34"/>
    <mergeCell ref="F87:Q87"/>
    <mergeCell ref="T122:U122"/>
    <mergeCell ref="V122:W122"/>
    <mergeCell ref="N109:O109"/>
    <mergeCell ref="F122:G122"/>
    <mergeCell ref="H122:I122"/>
    <mergeCell ref="J122:K122"/>
    <mergeCell ref="L122:M122"/>
    <mergeCell ref="N122:O122"/>
    <mergeCell ref="V109:W109"/>
    <mergeCell ref="V87:X87"/>
    <mergeCell ref="V88:X88"/>
    <mergeCell ref="R96:T96"/>
    <mergeCell ref="F95:Q95"/>
    <mergeCell ref="F96:G96"/>
    <mergeCell ref="H96:I96"/>
    <mergeCell ref="D33:P33"/>
    <mergeCell ref="AS181:AS182"/>
    <mergeCell ref="B351:B353"/>
    <mergeCell ref="O330:O332"/>
    <mergeCell ref="P330:P332"/>
    <mergeCell ref="A269:A273"/>
    <mergeCell ref="A261:A263"/>
    <mergeCell ref="A233:A234"/>
    <mergeCell ref="A204:A207"/>
    <mergeCell ref="A213:A215"/>
    <mergeCell ref="A239:A246"/>
    <mergeCell ref="A231:B231"/>
    <mergeCell ref="A235:B235"/>
    <mergeCell ref="A219:B219"/>
    <mergeCell ref="A221:A225"/>
    <mergeCell ref="A317:A321"/>
    <mergeCell ref="N337:O337"/>
    <mergeCell ref="F337:G337"/>
    <mergeCell ref="H337:I337"/>
    <mergeCell ref="J337:K337"/>
    <mergeCell ref="A327:B327"/>
    <mergeCell ref="A328:B328"/>
    <mergeCell ref="A323:B325"/>
    <mergeCell ref="A277:A279"/>
    <mergeCell ref="A282:A283"/>
    <mergeCell ref="A252:A255"/>
    <mergeCell ref="Q9:Q10"/>
    <mergeCell ref="R9:R10"/>
    <mergeCell ref="A326:B326"/>
    <mergeCell ref="B330:D331"/>
    <mergeCell ref="A339:A341"/>
    <mergeCell ref="A342:A344"/>
    <mergeCell ref="A229:B230"/>
    <mergeCell ref="A275:B275"/>
    <mergeCell ref="A274:B274"/>
    <mergeCell ref="A268:B268"/>
    <mergeCell ref="A267:B267"/>
    <mergeCell ref="A266:B266"/>
    <mergeCell ref="A336:A338"/>
    <mergeCell ref="C336:E337"/>
    <mergeCell ref="B336:B338"/>
    <mergeCell ref="D57:P57"/>
    <mergeCell ref="A199:A203"/>
    <mergeCell ref="A174:A177"/>
    <mergeCell ref="Q33:Q34"/>
    <mergeCell ref="P96:Q96"/>
    <mergeCell ref="Q57:Q58"/>
    <mergeCell ref="R229:S229"/>
    <mergeCell ref="L104:M104"/>
    <mergeCell ref="F133:AM133"/>
  </mergeCells>
  <dataValidations count="2">
    <dataValidation type="whole" allowBlank="1" showInputMessage="1" showErrorMessage="1" sqref="G352:G353 H353:J353 D352:F352 L352:O353 C360:AN360 K351:K352 P351 C351:C352 AM361:AN363 G376:G377 H377:J377 D376:F376 L376:O377 K375:K376 P375 C375:C376 Q374:AP383 Q351:AN359 AO351:AP364 B361:D364 E361:AL361 C367:E373 E363:AL363 F367:AM367 AN367:AO369 F369:AM369 F373:AO373" xr:uid="{EF468B84-7940-4E00-9A0B-38D2F62FA329}">
      <formula1>0</formula1>
      <formula2>1E+30</formula2>
    </dataValidation>
    <dataValidation type="whole" operator="greaterThanOrEqual" allowBlank="1" showInputMessage="1" showErrorMessage="1" sqref="F174:Q177 F231:AX275 F280:AO283 F289:AV306 F311:AW321 F326:AK328 E333:R334 D11:R14 C18:F31 D36:U55 D60:R79 B82 D85:E85 F90:Z93 F111:AI119 F124:AM131 F136:AR140 F144:O146 F148:O151 F183:AW227 F157:R159 F161:R164 F170:Q172 F98:V101 F106:M106 F339:AM348 C354:P358 E364:AN364 F370:AO372 C378:P382" xr:uid="{1F8C2520-A177-4CE2-A8EF-86C67BFE2D02}">
      <formula1>0</formula1>
    </dataValidation>
  </dataValidations>
  <pageMargins left="0.7" right="0.7" top="0.75" bottom="0.75" header="0.3" footer="0.3"/>
  <pageSetup paperSize="9" orientation="portrait" r:id="rId1"/>
  <ignoredErrors>
    <ignoredError sqref="E242 C147:E147 C160:E160 C173 C316 D316:E316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EB173"/>
  <sheetViews>
    <sheetView showGridLines="0" zoomScaleNormal="100" workbookViewId="0">
      <selection activeCell="A6" sqref="A6:W6"/>
    </sheetView>
  </sheetViews>
  <sheetFormatPr baseColWidth="10" defaultColWidth="11.42578125" defaultRowHeight="14.25" x14ac:dyDescent="0.2"/>
  <cols>
    <col min="1" max="1" width="48.140625" style="4651" customWidth="1"/>
    <col min="2" max="2" width="32.140625" style="4651" customWidth="1"/>
    <col min="3" max="4" width="18.85546875" style="4651" customWidth="1"/>
    <col min="5" max="5" width="17.140625" style="4651" customWidth="1"/>
    <col min="6" max="6" width="13.85546875" style="4651" customWidth="1"/>
    <col min="7" max="7" width="14.140625" style="4651" customWidth="1"/>
    <col min="8" max="8" width="13.42578125" style="4651" customWidth="1"/>
    <col min="9" max="9" width="12.140625" style="4651" customWidth="1"/>
    <col min="10" max="10" width="12.28515625" style="4651" customWidth="1"/>
    <col min="11" max="13" width="12" style="4651" customWidth="1"/>
    <col min="14" max="45" width="11.42578125" style="4651"/>
    <col min="46" max="46" width="11" style="4651" customWidth="1"/>
    <col min="47" max="73" width="11.42578125" style="4651"/>
    <col min="74" max="75" width="12.140625" style="4651" customWidth="1"/>
    <col min="76" max="77" width="12.140625" style="4652" customWidth="1"/>
    <col min="78" max="78" width="12.28515625" style="4652" customWidth="1"/>
    <col min="79" max="104" width="12.28515625" style="4688" hidden="1" customWidth="1"/>
    <col min="105" max="105" width="12.28515625" style="6142" hidden="1" customWidth="1"/>
    <col min="106" max="130" width="11.42578125" style="6142" hidden="1" customWidth="1"/>
    <col min="131" max="16384" width="11.42578125" style="4651"/>
  </cols>
  <sheetData>
    <row r="1" spans="1:122" ht="16.350000000000001" customHeight="1" x14ac:dyDescent="0.2">
      <c r="A1" s="4173" t="s">
        <v>206</v>
      </c>
    </row>
    <row r="2" spans="1:122" ht="16.350000000000001" customHeight="1" x14ac:dyDescent="0.2">
      <c r="A2" s="4173" t="str">
        <f>CONCATENATE("COMUNA: ",NOMBRE!B2," - ","( ",NOMBRE!C2,NOMBRE!D2,NOMBRE!E2,NOMBRE!F2,NOMBRE!G2," )")</f>
        <v>COMUNA:  - (  )</v>
      </c>
    </row>
    <row r="3" spans="1:122" ht="16.350000000000001" customHeight="1" x14ac:dyDescent="0.2">
      <c r="A3" s="4173" t="str">
        <f>CONCATENATE("ESTABLECIMIENTO/ESTRATEGIA: ",NOMBRE!B3," - ","( ",NOMBRE!C3,NOMBRE!D3,NOMBRE!E3,NOMBRE!F3,NOMBRE!G3,NOMBRE!H3," )")</f>
        <v>ESTABLECIMIENTO/ESTRATEGIA:  - (  )</v>
      </c>
    </row>
    <row r="4" spans="1:122" ht="16.350000000000001" customHeight="1" x14ac:dyDescent="0.2">
      <c r="A4" s="4173" t="str">
        <f>CONCATENATE("MES: ",NOMBRE!B6," - ","( ",NOMBRE!C6,NOMBRE!D6," )")</f>
        <v>MES:  - (  )</v>
      </c>
    </row>
    <row r="5" spans="1:122" ht="16.350000000000001" customHeight="1" x14ac:dyDescent="0.2">
      <c r="A5" s="4173" t="str">
        <f>CONCATENATE("AÑO: ",NOMBRE!B7)</f>
        <v>AÑO: 2023</v>
      </c>
    </row>
    <row r="6" spans="1:122" ht="15" x14ac:dyDescent="0.2">
      <c r="A6" s="8835" t="s">
        <v>1592</v>
      </c>
      <c r="B6" s="8835"/>
      <c r="C6" s="8835"/>
      <c r="D6" s="8835"/>
      <c r="E6" s="8835"/>
      <c r="F6" s="8835"/>
      <c r="G6" s="8835"/>
      <c r="H6" s="8835"/>
      <c r="I6" s="8835"/>
      <c r="J6" s="8835"/>
      <c r="K6" s="8835"/>
      <c r="L6" s="8835"/>
      <c r="M6" s="8835"/>
      <c r="N6" s="8835"/>
      <c r="O6" s="8835"/>
      <c r="P6" s="8835"/>
      <c r="Q6" s="8835"/>
      <c r="R6" s="8835"/>
      <c r="S6" s="8835"/>
      <c r="T6" s="8835"/>
      <c r="U6" s="8835"/>
      <c r="V6" s="8835"/>
      <c r="W6" s="8835"/>
      <c r="X6" s="4328"/>
      <c r="Y6" s="4328"/>
      <c r="Z6" s="4328"/>
      <c r="AA6" s="4328"/>
      <c r="AB6" s="4328"/>
      <c r="AC6" s="4328"/>
      <c r="AD6" s="4328"/>
      <c r="AE6" s="4328"/>
      <c r="AF6" s="4328"/>
      <c r="AG6" s="4328"/>
      <c r="AH6" s="4328"/>
      <c r="AI6" s="4328"/>
      <c r="AJ6" s="4328"/>
      <c r="AK6" s="4328"/>
      <c r="AL6" s="4328"/>
      <c r="AM6" s="4328"/>
      <c r="AN6" s="4328"/>
      <c r="AO6" s="4328"/>
      <c r="AP6" s="4328"/>
    </row>
    <row r="7" spans="1:122" ht="15" x14ac:dyDescent="0.2">
      <c r="A7" s="4078"/>
      <c r="B7" s="4078"/>
      <c r="C7" s="4078"/>
      <c r="D7" s="4078"/>
      <c r="E7" s="4078"/>
      <c r="F7" s="4078"/>
      <c r="G7" s="4078"/>
      <c r="H7" s="4078"/>
      <c r="I7" s="4078"/>
      <c r="J7" s="4078"/>
      <c r="K7" s="4078"/>
      <c r="L7" s="4078"/>
      <c r="M7" s="4078"/>
      <c r="N7" s="4078"/>
      <c r="O7" s="4078"/>
      <c r="P7" s="4078"/>
      <c r="Q7" s="4078"/>
      <c r="R7" s="4078"/>
      <c r="S7" s="4078"/>
      <c r="T7" s="4078"/>
      <c r="U7" s="4078"/>
      <c r="V7" s="4078"/>
      <c r="W7" s="4078"/>
      <c r="X7" s="4328"/>
      <c r="Y7" s="4328"/>
      <c r="Z7" s="4328"/>
      <c r="AA7" s="4328"/>
      <c r="AB7" s="4328"/>
      <c r="AC7" s="4328"/>
      <c r="AD7" s="4328"/>
      <c r="AE7" s="4328"/>
      <c r="AF7" s="4328"/>
      <c r="AG7" s="4328"/>
      <c r="AH7" s="4328"/>
      <c r="AI7" s="4328"/>
      <c r="AJ7" s="4328"/>
      <c r="AK7" s="4328"/>
      <c r="AL7" s="4328"/>
      <c r="AM7" s="4328"/>
      <c r="AN7" s="4328"/>
      <c r="AO7" s="4328"/>
      <c r="AP7" s="4328"/>
    </row>
    <row r="8" spans="1:122" ht="31.35" customHeight="1" x14ac:dyDescent="0.2">
      <c r="A8" s="6143"/>
      <c r="B8" s="4660"/>
      <c r="C8" s="4660"/>
      <c r="D8" s="4660"/>
      <c r="E8" s="4660"/>
      <c r="F8" s="4660"/>
      <c r="G8" s="4660"/>
      <c r="H8" s="4660"/>
      <c r="I8" s="6144"/>
      <c r="J8" s="4660"/>
      <c r="K8" s="6145"/>
      <c r="L8" s="4660"/>
      <c r="M8" s="4328"/>
      <c r="N8" s="4328"/>
      <c r="O8" s="4328"/>
      <c r="P8" s="4328"/>
      <c r="Q8" s="4328"/>
      <c r="R8" s="4328"/>
      <c r="S8" s="4328"/>
      <c r="T8" s="4328"/>
      <c r="U8" s="4328"/>
      <c r="V8" s="6146"/>
      <c r="W8" s="4328"/>
      <c r="X8" s="4328"/>
      <c r="Y8" s="4328"/>
      <c r="Z8" s="4328"/>
      <c r="AA8" s="4328"/>
      <c r="AB8" s="4328"/>
      <c r="AC8" s="4328"/>
      <c r="AD8" s="4328"/>
      <c r="AE8" s="4328"/>
      <c r="AF8" s="4328"/>
      <c r="AG8" s="4328"/>
      <c r="AH8" s="4328"/>
      <c r="AI8" s="4328"/>
      <c r="AJ8" s="4328"/>
      <c r="AK8" s="4328"/>
      <c r="AL8" s="4328"/>
      <c r="AM8" s="4328"/>
      <c r="AN8" s="4328"/>
      <c r="AO8" s="4328"/>
      <c r="AP8" s="4328"/>
    </row>
    <row r="9" spans="1:122" ht="31.35" customHeight="1" x14ac:dyDescent="0.2">
      <c r="A9" s="5506" t="s">
        <v>1591</v>
      </c>
      <c r="B9" s="6147"/>
      <c r="C9" s="6147"/>
      <c r="D9" s="6147"/>
      <c r="E9" s="6147"/>
      <c r="F9" s="6147"/>
      <c r="G9" s="6147"/>
      <c r="H9" s="6147"/>
      <c r="I9" s="6147"/>
      <c r="J9" s="6147"/>
      <c r="K9" s="6148"/>
      <c r="L9" s="6147"/>
      <c r="M9" s="4173"/>
      <c r="N9" s="4173"/>
      <c r="O9" s="4328"/>
      <c r="P9" s="4328"/>
      <c r="Q9" s="4328"/>
      <c r="R9" s="4328"/>
      <c r="S9" s="4328"/>
      <c r="T9" s="4328"/>
      <c r="U9" s="4328"/>
      <c r="V9" s="6146"/>
      <c r="W9" s="4328"/>
      <c r="X9" s="4328"/>
      <c r="Y9" s="4328"/>
      <c r="Z9" s="4328"/>
      <c r="AA9" s="4328"/>
      <c r="AB9" s="4328"/>
      <c r="AC9" s="4328"/>
      <c r="AD9" s="4328"/>
      <c r="AE9" s="4328"/>
      <c r="AF9" s="4328"/>
      <c r="AG9" s="4328"/>
      <c r="AH9" s="4328"/>
      <c r="AI9" s="4328"/>
      <c r="AJ9" s="4328"/>
      <c r="AK9" s="4328"/>
      <c r="AL9" s="4328"/>
      <c r="AM9" s="4328"/>
      <c r="AN9" s="4328"/>
      <c r="AO9" s="4328"/>
      <c r="AP9" s="4627"/>
      <c r="AQ9" s="4657"/>
      <c r="AR9" s="4657"/>
      <c r="AS9" s="4657"/>
      <c r="AT9" s="4657"/>
      <c r="AU9" s="4657"/>
      <c r="AV9" s="4657"/>
      <c r="AW9" s="4657"/>
      <c r="AX9" s="4657"/>
      <c r="AY9" s="4657"/>
      <c r="AZ9" s="4657"/>
      <c r="BA9" s="4657"/>
      <c r="BB9" s="4657"/>
      <c r="BC9" s="4657"/>
      <c r="BD9" s="4657"/>
    </row>
    <row r="10" spans="1:122" ht="25.35" customHeight="1" x14ac:dyDescent="0.2">
      <c r="A10" s="8974" t="s">
        <v>41</v>
      </c>
      <c r="B10" s="8974" t="s">
        <v>0</v>
      </c>
      <c r="C10" s="8739" t="s">
        <v>86</v>
      </c>
      <c r="D10" s="8740"/>
      <c r="E10" s="8741"/>
      <c r="F10" s="8977" t="s">
        <v>707</v>
      </c>
      <c r="G10" s="9006"/>
      <c r="H10" s="9006"/>
      <c r="I10" s="9006"/>
      <c r="J10" s="9006"/>
      <c r="K10" s="9006"/>
      <c r="L10" s="9006"/>
      <c r="M10" s="9006"/>
      <c r="N10" s="9006"/>
      <c r="O10" s="9006"/>
      <c r="P10" s="9006"/>
      <c r="Q10" s="9006"/>
      <c r="R10" s="9006"/>
      <c r="S10" s="9006"/>
      <c r="T10" s="9006"/>
      <c r="U10" s="9006"/>
      <c r="V10" s="9006"/>
      <c r="W10" s="9006"/>
      <c r="X10" s="9006"/>
      <c r="Y10" s="9006"/>
      <c r="Z10" s="9006"/>
      <c r="AA10" s="9006"/>
      <c r="AB10" s="9006"/>
      <c r="AC10" s="9006"/>
      <c r="AD10" s="9006"/>
      <c r="AE10" s="9006"/>
      <c r="AF10" s="9006"/>
      <c r="AG10" s="9006"/>
      <c r="AH10" s="9006"/>
      <c r="AI10" s="9006"/>
      <c r="AJ10" s="9006"/>
      <c r="AK10" s="9006"/>
      <c r="AL10" s="9006"/>
      <c r="AM10" s="9007"/>
      <c r="AN10" s="8741" t="s">
        <v>358</v>
      </c>
      <c r="AO10" s="8741" t="s">
        <v>2947</v>
      </c>
      <c r="AP10" s="8741" t="s">
        <v>2607</v>
      </c>
      <c r="AQ10" s="8741" t="s">
        <v>360</v>
      </c>
      <c r="AR10" s="8741" t="s">
        <v>359</v>
      </c>
      <c r="AS10" s="8741" t="s">
        <v>1590</v>
      </c>
      <c r="AT10" s="8741" t="s">
        <v>3687</v>
      </c>
      <c r="AU10" s="9034" t="s">
        <v>3689</v>
      </c>
      <c r="AV10" s="9035"/>
      <c r="AW10" s="4657"/>
      <c r="AX10" s="4657"/>
      <c r="AY10" s="4657"/>
      <c r="AZ10" s="4657"/>
      <c r="BA10" s="4657"/>
      <c r="BB10" s="4657"/>
      <c r="BC10" s="4657"/>
      <c r="BD10" s="4657"/>
      <c r="BE10" s="4657"/>
      <c r="BX10" s="4651"/>
    </row>
    <row r="11" spans="1:122" ht="19.5" customHeight="1" x14ac:dyDescent="0.2">
      <c r="A11" s="8981"/>
      <c r="B11" s="8981"/>
      <c r="C11" s="8658"/>
      <c r="D11" s="8659"/>
      <c r="E11" s="8660"/>
      <c r="F11" s="8977" t="s">
        <v>397</v>
      </c>
      <c r="G11" s="8978"/>
      <c r="H11" s="8977" t="s">
        <v>54</v>
      </c>
      <c r="I11" s="8978"/>
      <c r="J11" s="8977" t="s">
        <v>79</v>
      </c>
      <c r="K11" s="8978"/>
      <c r="L11" s="8977" t="s">
        <v>80</v>
      </c>
      <c r="M11" s="8978"/>
      <c r="N11" s="8977" t="s">
        <v>81</v>
      </c>
      <c r="O11" s="8978"/>
      <c r="P11" s="8979" t="s">
        <v>82</v>
      </c>
      <c r="Q11" s="8980"/>
      <c r="R11" s="8979" t="s">
        <v>83</v>
      </c>
      <c r="S11" s="8980"/>
      <c r="T11" s="8979" t="s">
        <v>398</v>
      </c>
      <c r="U11" s="8980"/>
      <c r="V11" s="8979" t="s">
        <v>124</v>
      </c>
      <c r="W11" s="8980"/>
      <c r="X11" s="8979" t="s">
        <v>125</v>
      </c>
      <c r="Y11" s="8980"/>
      <c r="Z11" s="8979" t="s">
        <v>126</v>
      </c>
      <c r="AA11" s="8980"/>
      <c r="AB11" s="8979" t="s">
        <v>127</v>
      </c>
      <c r="AC11" s="8980"/>
      <c r="AD11" s="8979" t="s">
        <v>128</v>
      </c>
      <c r="AE11" s="8980"/>
      <c r="AF11" s="8979" t="s">
        <v>129</v>
      </c>
      <c r="AG11" s="8980"/>
      <c r="AH11" s="8979" t="s">
        <v>130</v>
      </c>
      <c r="AI11" s="8980"/>
      <c r="AJ11" s="8979" t="s">
        <v>131</v>
      </c>
      <c r="AK11" s="8980"/>
      <c r="AL11" s="8979" t="s">
        <v>1916</v>
      </c>
      <c r="AM11" s="8986"/>
      <c r="AN11" s="8749"/>
      <c r="AO11" s="8749"/>
      <c r="AP11" s="8749"/>
      <c r="AQ11" s="8749"/>
      <c r="AR11" s="8749"/>
      <c r="AS11" s="8749"/>
      <c r="AT11" s="8749"/>
      <c r="AU11" s="9033" t="s">
        <v>356</v>
      </c>
      <c r="AV11" s="9033" t="s">
        <v>357</v>
      </c>
      <c r="AW11" s="4657"/>
      <c r="AX11" s="4657"/>
      <c r="AY11" s="4657"/>
      <c r="AZ11" s="4657"/>
      <c r="BA11" s="4657"/>
      <c r="BB11" s="4657"/>
      <c r="BC11" s="4657"/>
      <c r="BD11" s="4657"/>
      <c r="BE11" s="4657"/>
      <c r="BX11" s="4651"/>
    </row>
    <row r="12" spans="1:122" ht="19.5" customHeight="1" x14ac:dyDescent="0.2">
      <c r="A12" s="8975"/>
      <c r="B12" s="8975"/>
      <c r="C12" s="6149" t="s">
        <v>42</v>
      </c>
      <c r="D12" s="4766" t="s">
        <v>17</v>
      </c>
      <c r="E12" s="6150" t="s">
        <v>18</v>
      </c>
      <c r="F12" s="6151" t="s">
        <v>17</v>
      </c>
      <c r="G12" s="4538" t="s">
        <v>18</v>
      </c>
      <c r="H12" s="6151" t="s">
        <v>17</v>
      </c>
      <c r="I12" s="4538" t="s">
        <v>18</v>
      </c>
      <c r="J12" s="6151" t="s">
        <v>17</v>
      </c>
      <c r="K12" s="4538" t="s">
        <v>18</v>
      </c>
      <c r="L12" s="6151" t="s">
        <v>17</v>
      </c>
      <c r="M12" s="4538" t="s">
        <v>18</v>
      </c>
      <c r="N12" s="6151" t="s">
        <v>17</v>
      </c>
      <c r="O12" s="4538" t="s">
        <v>18</v>
      </c>
      <c r="P12" s="6151" t="s">
        <v>17</v>
      </c>
      <c r="Q12" s="4538" t="s">
        <v>18</v>
      </c>
      <c r="R12" s="6151" t="s">
        <v>17</v>
      </c>
      <c r="S12" s="4538" t="s">
        <v>18</v>
      </c>
      <c r="T12" s="6151" t="s">
        <v>17</v>
      </c>
      <c r="U12" s="4538" t="s">
        <v>18</v>
      </c>
      <c r="V12" s="6151" t="s">
        <v>17</v>
      </c>
      <c r="W12" s="4538" t="s">
        <v>18</v>
      </c>
      <c r="X12" s="6151" t="s">
        <v>17</v>
      </c>
      <c r="Y12" s="4538" t="s">
        <v>18</v>
      </c>
      <c r="Z12" s="6151" t="s">
        <v>17</v>
      </c>
      <c r="AA12" s="4538" t="s">
        <v>18</v>
      </c>
      <c r="AB12" s="6151" t="s">
        <v>17</v>
      </c>
      <c r="AC12" s="4538" t="s">
        <v>18</v>
      </c>
      <c r="AD12" s="6151" t="s">
        <v>17</v>
      </c>
      <c r="AE12" s="4538" t="s">
        <v>18</v>
      </c>
      <c r="AF12" s="6151" t="s">
        <v>17</v>
      </c>
      <c r="AG12" s="4538" t="s">
        <v>18</v>
      </c>
      <c r="AH12" s="6151" t="s">
        <v>17</v>
      </c>
      <c r="AI12" s="4538" t="s">
        <v>18</v>
      </c>
      <c r="AJ12" s="6151" t="s">
        <v>17</v>
      </c>
      <c r="AK12" s="4538" t="s">
        <v>18</v>
      </c>
      <c r="AL12" s="6151" t="s">
        <v>17</v>
      </c>
      <c r="AM12" s="5367" t="s">
        <v>18</v>
      </c>
      <c r="AN12" s="8660"/>
      <c r="AO12" s="8660"/>
      <c r="AP12" s="8660"/>
      <c r="AQ12" s="8660"/>
      <c r="AR12" s="8660"/>
      <c r="AS12" s="8660"/>
      <c r="AT12" s="8660"/>
      <c r="AU12" s="9033"/>
      <c r="AV12" s="9033"/>
      <c r="AW12" s="4657"/>
      <c r="AX12" s="4657"/>
      <c r="AY12" s="4657"/>
      <c r="AZ12" s="4657"/>
      <c r="BA12" s="4657"/>
      <c r="BB12" s="4657"/>
      <c r="BC12" s="4657"/>
      <c r="BD12" s="4657"/>
      <c r="BE12" s="4657"/>
      <c r="BX12" s="4651"/>
    </row>
    <row r="13" spans="1:122" ht="16.350000000000001" customHeight="1" x14ac:dyDescent="0.2">
      <c r="A13" s="8652" t="s">
        <v>1589</v>
      </c>
      <c r="B13" s="6152" t="s">
        <v>2583</v>
      </c>
      <c r="C13" s="6153">
        <f t="shared" ref="C13:C27" si="0">SUM(D13+E13)</f>
        <v>0</v>
      </c>
      <c r="D13" s="6154">
        <f>SUM(F13+H13+J13+L13+N13+P13+R13+T13+V13+X13+Z13+AB13+AD13+AF13+AH13+AJ13+AL13)</f>
        <v>0</v>
      </c>
      <c r="E13" s="6155">
        <f>SUM(G13+I13+K13+M13+O13+Q13+S13+U13+W13+Y13+AA13+AC13+AE13+AG13+AI13+AK13+AM13)</f>
        <v>0</v>
      </c>
      <c r="F13" s="6156"/>
      <c r="G13" s="6157"/>
      <c r="H13" s="6156"/>
      <c r="I13" s="6157"/>
      <c r="J13" s="6156"/>
      <c r="K13" s="6158"/>
      <c r="L13" s="6156"/>
      <c r="M13" s="6158"/>
      <c r="N13" s="6156"/>
      <c r="O13" s="6158"/>
      <c r="P13" s="6156"/>
      <c r="Q13" s="6158"/>
      <c r="R13" s="6156"/>
      <c r="S13" s="6158"/>
      <c r="T13" s="6156"/>
      <c r="U13" s="6158"/>
      <c r="V13" s="6156"/>
      <c r="W13" s="6158"/>
      <c r="X13" s="6156"/>
      <c r="Y13" s="6158"/>
      <c r="Z13" s="6156"/>
      <c r="AA13" s="6158"/>
      <c r="AB13" s="6156"/>
      <c r="AC13" s="6158"/>
      <c r="AD13" s="6156"/>
      <c r="AE13" s="6158"/>
      <c r="AF13" s="6156"/>
      <c r="AG13" s="6158"/>
      <c r="AH13" s="6156"/>
      <c r="AI13" s="6158"/>
      <c r="AJ13" s="6156"/>
      <c r="AK13" s="6158"/>
      <c r="AL13" s="6159"/>
      <c r="AM13" s="4526"/>
      <c r="AN13" s="4885"/>
      <c r="AO13" s="4885"/>
      <c r="AP13" s="4885"/>
      <c r="AQ13" s="4885"/>
      <c r="AR13" s="4885"/>
      <c r="AS13" s="4885"/>
      <c r="AT13" s="7513"/>
      <c r="AU13" s="4885"/>
      <c r="AV13" s="4885"/>
      <c r="AW13" s="4651" t="str">
        <f>CA13&amp;CB13&amp;CC13&amp;CD13&amp;CE13&amp;CF13&amp;CG13&amp;CH13&amp;CI13&amp;CJ13&amp;CK13&amp;CL13&amp;CM13&amp;CN13&amp;CO13&amp;CP13&amp;CQ13&amp;CR13</f>
        <v/>
      </c>
      <c r="AX13" s="4684"/>
      <c r="AY13" s="4684"/>
      <c r="AZ13" s="4684"/>
      <c r="BA13" s="4684"/>
      <c r="BB13" s="4684"/>
      <c r="BC13" s="4657"/>
      <c r="BD13" s="4657"/>
      <c r="BE13" s="4657"/>
      <c r="BX13" s="4651"/>
      <c r="CA13" s="4685" t="str">
        <f>IF(AND($C13&lt;&gt;0,AN13=""),"* No olvide agregar el campo "&amp;AN$10&amp;".","")</f>
        <v/>
      </c>
      <c r="CB13" s="4685" t="str">
        <f t="shared" ref="CB13:CF13" si="1">IF(AND($C13&lt;&gt;0,AO13=""),"* No olvide agregar el campo "&amp;AO$10&amp;".","")</f>
        <v/>
      </c>
      <c r="CC13" s="4685" t="str">
        <f t="shared" si="1"/>
        <v/>
      </c>
      <c r="CD13" s="4685" t="str">
        <f t="shared" si="1"/>
        <v/>
      </c>
      <c r="CE13" s="4685" t="str">
        <f t="shared" si="1"/>
        <v/>
      </c>
      <c r="CF13" s="4685" t="str">
        <f t="shared" si="1"/>
        <v/>
      </c>
      <c r="CG13" s="4685"/>
      <c r="CH13" s="4685" t="str">
        <f>IF(AND($C13&lt;&gt;0,AU13=""),"* No olvide agregar el campo "&amp;$AU$10&amp;" "&amp;AU$11&amp;".","")</f>
        <v/>
      </c>
      <c r="CI13" s="4685" t="str">
        <f>IF(AND($C13&lt;&gt;0,AV13=""),"* No olvide agregar el campo "&amp;$AU$10&amp;" "&amp;AV$11&amp;".","")</f>
        <v/>
      </c>
      <c r="CJ13" s="4685" t="str">
        <f>IF(DJ13=1,"* El campo "&amp;AN$10&amp;" no debe superar el Total.","")</f>
        <v/>
      </c>
      <c r="CK13" s="4685" t="str">
        <f t="shared" ref="CK13:CP13" si="2">IF(DK13=1,"* El campo "&amp;AO$10&amp;" no debe superar el Total.","")</f>
        <v/>
      </c>
      <c r="CL13" s="4685" t="str">
        <f t="shared" si="2"/>
        <v/>
      </c>
      <c r="CM13" s="4685" t="str">
        <f t="shared" si="2"/>
        <v/>
      </c>
      <c r="CN13" s="4685" t="str">
        <f t="shared" si="2"/>
        <v/>
      </c>
      <c r="CO13" s="4685" t="str">
        <f t="shared" si="2"/>
        <v/>
      </c>
      <c r="CP13" s="4685" t="str">
        <f t="shared" si="2"/>
        <v/>
      </c>
      <c r="CQ13" s="4685" t="str">
        <f>IF(DQ13=1,"* El campo "&amp;$AU$10&amp;" "&amp;AU$11&amp;" no debe superar el Total.","")</f>
        <v/>
      </c>
      <c r="CR13" s="4685" t="str">
        <f>IF(DR13=1,"* El campo "&amp;$AU$10&amp;" "&amp;AV$11&amp;" no debe superar el Total.","")</f>
        <v/>
      </c>
      <c r="DA13" s="5832"/>
      <c r="DB13" s="5832"/>
      <c r="DC13" s="5832"/>
      <c r="DD13" s="5832"/>
      <c r="DE13" s="5832"/>
      <c r="DF13" s="5832"/>
      <c r="DG13" s="5832"/>
      <c r="DH13" s="5832"/>
      <c r="DI13" s="5832"/>
      <c r="DJ13" s="5832">
        <f>IF(AN13&gt;$C13,1,0)</f>
        <v>0</v>
      </c>
      <c r="DK13" s="5832">
        <f t="shared" ref="DK13:DR13" si="3">IF(AO13&gt;$C13,1,0)</f>
        <v>0</v>
      </c>
      <c r="DL13" s="5832">
        <f t="shared" si="3"/>
        <v>0</v>
      </c>
      <c r="DM13" s="5832">
        <f t="shared" si="3"/>
        <v>0</v>
      </c>
      <c r="DN13" s="5832">
        <f t="shared" si="3"/>
        <v>0</v>
      </c>
      <c r="DO13" s="5832">
        <f t="shared" si="3"/>
        <v>0</v>
      </c>
      <c r="DP13" s="5832">
        <f t="shared" si="3"/>
        <v>0</v>
      </c>
      <c r="DQ13" s="5832">
        <f t="shared" si="3"/>
        <v>0</v>
      </c>
      <c r="DR13" s="5832">
        <f t="shared" si="3"/>
        <v>0</v>
      </c>
    </row>
    <row r="14" spans="1:122" ht="16.350000000000001" customHeight="1" x14ac:dyDescent="0.2">
      <c r="A14" s="8635"/>
      <c r="B14" s="6161" t="s">
        <v>60</v>
      </c>
      <c r="C14" s="6162">
        <f t="shared" si="0"/>
        <v>0</v>
      </c>
      <c r="D14" s="6163">
        <f t="shared" ref="D14:D27" si="4">SUM(F14+H14+J14+L14+N14+P14+R14+T14+V14+X14+Z14+AB14+AD14+AF14+AH14+AJ14+AL14)</f>
        <v>0</v>
      </c>
      <c r="E14" s="6164">
        <f t="shared" ref="E14:E27" si="5">SUM(G14+I14+K14+M14+O14+Q14+S14+U14+W14+Y14+AA14+AC14+AE14+AG14+AI14+AK14+AM14)</f>
        <v>0</v>
      </c>
      <c r="F14" s="4196"/>
      <c r="G14" s="6165"/>
      <c r="H14" s="4196"/>
      <c r="I14" s="6165"/>
      <c r="J14" s="4196"/>
      <c r="K14" s="4207"/>
      <c r="L14" s="4196"/>
      <c r="M14" s="4207"/>
      <c r="N14" s="4196"/>
      <c r="O14" s="4207"/>
      <c r="P14" s="4196"/>
      <c r="Q14" s="4207"/>
      <c r="R14" s="4196"/>
      <c r="S14" s="4207"/>
      <c r="T14" s="4196"/>
      <c r="U14" s="4207"/>
      <c r="V14" s="4196"/>
      <c r="W14" s="4207"/>
      <c r="X14" s="4196"/>
      <c r="Y14" s="4207"/>
      <c r="Z14" s="4196"/>
      <c r="AA14" s="4207"/>
      <c r="AB14" s="4196"/>
      <c r="AC14" s="4207"/>
      <c r="AD14" s="4196"/>
      <c r="AE14" s="4207"/>
      <c r="AF14" s="4196"/>
      <c r="AG14" s="4207"/>
      <c r="AH14" s="4196"/>
      <c r="AI14" s="4207"/>
      <c r="AJ14" s="4196"/>
      <c r="AK14" s="4207"/>
      <c r="AL14" s="6166"/>
      <c r="AM14" s="4304"/>
      <c r="AN14" s="5582"/>
      <c r="AO14" s="5582"/>
      <c r="AP14" s="5582"/>
      <c r="AQ14" s="5582"/>
      <c r="AR14" s="5582"/>
      <c r="AS14" s="5582"/>
      <c r="AT14" s="7514"/>
      <c r="AU14" s="5582"/>
      <c r="AV14" s="5582"/>
      <c r="AW14" s="4651" t="str">
        <f t="shared" ref="AW14:AW27" si="6">CA14&amp;CB14&amp;CC14&amp;CD14&amp;CE14&amp;CF14&amp;CG14&amp;CH14&amp;CI14&amp;CJ14&amp;CK14&amp;CL14&amp;CM14&amp;CN14&amp;CO14&amp;CP14&amp;CQ14&amp;CR14</f>
        <v/>
      </c>
      <c r="AX14" s="4684"/>
      <c r="AY14" s="4684"/>
      <c r="AZ14" s="4684"/>
      <c r="BA14" s="4684"/>
      <c r="BB14" s="4684"/>
      <c r="BC14" s="4657"/>
      <c r="BD14" s="4657"/>
      <c r="BE14" s="4657"/>
      <c r="BX14" s="4651"/>
      <c r="CA14" s="4685" t="str">
        <f t="shared" ref="CA14:CA22" si="7">IF(AND($C14&lt;&gt;0,AN14=""),"* No olvide agregar el campo "&amp;AN$10&amp;".","")</f>
        <v/>
      </c>
      <c r="CB14" s="4685" t="str">
        <f t="shared" ref="CB14:CB22" si="8">IF(AND($C14&lt;&gt;0,AO14=""),"* No olvide agregar el campo "&amp;AO$10&amp;".","")</f>
        <v/>
      </c>
      <c r="CC14" s="4685" t="str">
        <f t="shared" ref="CC14:CC22" si="9">IF(AND($C14&lt;&gt;0,AP14=""),"* No olvide agregar el campo "&amp;AP$10&amp;".","")</f>
        <v/>
      </c>
      <c r="CD14" s="4685" t="str">
        <f t="shared" ref="CD14:CD22" si="10">IF(AND($C14&lt;&gt;0,AQ14=""),"* No olvide agregar el campo "&amp;AQ$10&amp;".","")</f>
        <v/>
      </c>
      <c r="CE14" s="4685" t="str">
        <f t="shared" ref="CE14:CE22" si="11">IF(AND($C14&lt;&gt;0,AR14=""),"* No olvide agregar el campo "&amp;AR$10&amp;".","")</f>
        <v/>
      </c>
      <c r="CF14" s="4685" t="str">
        <f t="shared" ref="CF14:CF22" si="12">IF(AND($C14&lt;&gt;0,AS14=""),"* No olvide agregar el campo "&amp;AS$10&amp;".","")</f>
        <v/>
      </c>
      <c r="CG14" s="4685"/>
      <c r="CH14" s="4685" t="str">
        <f t="shared" ref="CH14:CH22" si="13">IF(AND($C14&lt;&gt;0,AU14=""),"* No olvide agregar el campo "&amp;$AU$10&amp;" "&amp;AU$11&amp;".","")</f>
        <v/>
      </c>
      <c r="CI14" s="4685" t="str">
        <f t="shared" ref="CI14:CI22" si="14">IF(AND($C14&lt;&gt;0,AV14=""),"* No olvide agregar el campo "&amp;$AU$10&amp;" "&amp;AV$11&amp;".","")</f>
        <v/>
      </c>
      <c r="CJ14" s="4685" t="str">
        <f t="shared" ref="CJ14:CJ22" si="15">IF(DJ14=1,"* El campo "&amp;AN$10&amp;" no debe superar el Total.","")</f>
        <v/>
      </c>
      <c r="CK14" s="4685" t="str">
        <f t="shared" ref="CK14:CK22" si="16">IF(DK14=1,"* El campo "&amp;AO$10&amp;" no debe superar el Total.","")</f>
        <v/>
      </c>
      <c r="CL14" s="4685" t="str">
        <f t="shared" ref="CL14:CL22" si="17">IF(DL14=1,"* El campo "&amp;AP$10&amp;" no debe superar el Total.","")</f>
        <v/>
      </c>
      <c r="CM14" s="4685" t="str">
        <f t="shared" ref="CM14:CM22" si="18">IF(DM14=1,"* El campo "&amp;AQ$10&amp;" no debe superar el Total.","")</f>
        <v/>
      </c>
      <c r="CN14" s="4685" t="str">
        <f t="shared" ref="CN14:CN22" si="19">IF(DN14=1,"* El campo "&amp;AR$10&amp;" no debe superar el Total.","")</f>
        <v/>
      </c>
      <c r="CO14" s="4685" t="str">
        <f t="shared" ref="CO14:CO22" si="20">IF(DO14=1,"* El campo "&amp;AS$10&amp;" no debe superar el Total.","")</f>
        <v/>
      </c>
      <c r="CP14" s="4685" t="str">
        <f t="shared" ref="CP14:CP22" si="21">IF(DP14=1,"* El campo "&amp;AT$10&amp;" no debe superar el Total.","")</f>
        <v/>
      </c>
      <c r="CQ14" s="4685" t="str">
        <f t="shared" ref="CQ14:CQ22" si="22">IF(DQ14=1,"* El campo "&amp;$AU$10&amp;" "&amp;AU$11&amp;" no debe superar el Total.","")</f>
        <v/>
      </c>
      <c r="CR14" s="4685" t="str">
        <f t="shared" ref="CR14:CR22" si="23">IF(DR14=1,"* El campo "&amp;$AU$10&amp;" "&amp;AV$11&amp;" no debe superar el Total.","")</f>
        <v/>
      </c>
      <c r="DA14" s="5832"/>
      <c r="DB14" s="5832"/>
      <c r="DC14" s="5832"/>
      <c r="DD14" s="5832"/>
      <c r="DE14" s="5832"/>
      <c r="DF14" s="5832"/>
      <c r="DG14" s="5832"/>
      <c r="DH14" s="5832"/>
      <c r="DI14" s="5832"/>
      <c r="DJ14" s="5832">
        <f t="shared" ref="DJ14:DJ22" si="24">IF(AN14&gt;$C14,1,0)</f>
        <v>0</v>
      </c>
      <c r="DK14" s="5832">
        <f t="shared" ref="DK14:DK22" si="25">IF(AO14&gt;$C14,1,0)</f>
        <v>0</v>
      </c>
      <c r="DL14" s="5832">
        <f t="shared" ref="DL14:DL22" si="26">IF(AP14&gt;$C14,1,0)</f>
        <v>0</v>
      </c>
      <c r="DM14" s="5832">
        <f t="shared" ref="DM14:DM22" si="27">IF(AQ14&gt;$C14,1,0)</f>
        <v>0</v>
      </c>
      <c r="DN14" s="5832">
        <f t="shared" ref="DN14:DN22" si="28">IF(AR14&gt;$C14,1,0)</f>
        <v>0</v>
      </c>
      <c r="DO14" s="5832">
        <f t="shared" ref="DO14:DO22" si="29">IF(AS14&gt;$C14,1,0)</f>
        <v>0</v>
      </c>
      <c r="DP14" s="5832">
        <f t="shared" ref="DP14:DP22" si="30">IF(AT14&gt;$C14,1,0)</f>
        <v>0</v>
      </c>
      <c r="DQ14" s="5832">
        <f t="shared" ref="DQ14:DQ22" si="31">IF(AU14&gt;$C14,1,0)</f>
        <v>0</v>
      </c>
      <c r="DR14" s="5832">
        <f t="shared" ref="DR14:DR22" si="32">IF(AV14&gt;$C14,1,0)</f>
        <v>0</v>
      </c>
    </row>
    <row r="15" spans="1:122" ht="16.350000000000001" customHeight="1" x14ac:dyDescent="0.2">
      <c r="A15" s="8635"/>
      <c r="B15" s="6161" t="s">
        <v>2585</v>
      </c>
      <c r="C15" s="6162">
        <f t="shared" si="0"/>
        <v>0</v>
      </c>
      <c r="D15" s="6163">
        <f t="shared" si="4"/>
        <v>0</v>
      </c>
      <c r="E15" s="6164">
        <f t="shared" si="5"/>
        <v>0</v>
      </c>
      <c r="F15" s="4196"/>
      <c r="G15" s="6165"/>
      <c r="H15" s="4196"/>
      <c r="I15" s="6165"/>
      <c r="J15" s="4196"/>
      <c r="K15" s="4207"/>
      <c r="L15" s="4196"/>
      <c r="M15" s="4207"/>
      <c r="N15" s="4196"/>
      <c r="O15" s="4207"/>
      <c r="P15" s="4196"/>
      <c r="Q15" s="4207"/>
      <c r="R15" s="4196"/>
      <c r="S15" s="4207"/>
      <c r="T15" s="4196"/>
      <c r="U15" s="4207"/>
      <c r="V15" s="4196"/>
      <c r="W15" s="4207"/>
      <c r="X15" s="4196"/>
      <c r="Y15" s="4207"/>
      <c r="Z15" s="4196"/>
      <c r="AA15" s="4207"/>
      <c r="AB15" s="4196"/>
      <c r="AC15" s="4207"/>
      <c r="AD15" s="4196"/>
      <c r="AE15" s="4207"/>
      <c r="AF15" s="4196"/>
      <c r="AG15" s="4207"/>
      <c r="AH15" s="4196"/>
      <c r="AI15" s="4207"/>
      <c r="AJ15" s="4196"/>
      <c r="AK15" s="4207"/>
      <c r="AL15" s="6166"/>
      <c r="AM15" s="4304"/>
      <c r="AN15" s="5582"/>
      <c r="AO15" s="5582"/>
      <c r="AP15" s="5582"/>
      <c r="AQ15" s="5582"/>
      <c r="AR15" s="5582"/>
      <c r="AS15" s="5582"/>
      <c r="AT15" s="7514"/>
      <c r="AU15" s="5582"/>
      <c r="AV15" s="5582"/>
      <c r="AW15" s="4651" t="str">
        <f t="shared" si="6"/>
        <v/>
      </c>
      <c r="AX15" s="4684"/>
      <c r="AY15" s="4684"/>
      <c r="AZ15" s="4684"/>
      <c r="BA15" s="4684"/>
      <c r="BB15" s="4684"/>
      <c r="BC15" s="4657"/>
      <c r="BD15" s="4657"/>
      <c r="BE15" s="4657"/>
      <c r="BX15" s="4651"/>
      <c r="CA15" s="4685" t="str">
        <f t="shared" si="7"/>
        <v/>
      </c>
      <c r="CB15" s="4685" t="str">
        <f t="shared" si="8"/>
        <v/>
      </c>
      <c r="CC15" s="4685" t="str">
        <f t="shared" si="9"/>
        <v/>
      </c>
      <c r="CD15" s="4685" t="str">
        <f t="shared" si="10"/>
        <v/>
      </c>
      <c r="CE15" s="4685" t="str">
        <f t="shared" si="11"/>
        <v/>
      </c>
      <c r="CF15" s="4685" t="str">
        <f t="shared" si="12"/>
        <v/>
      </c>
      <c r="CG15" s="4685"/>
      <c r="CH15" s="4685" t="str">
        <f t="shared" si="13"/>
        <v/>
      </c>
      <c r="CI15" s="4685" t="str">
        <f t="shared" si="14"/>
        <v/>
      </c>
      <c r="CJ15" s="4685" t="str">
        <f t="shared" si="15"/>
        <v/>
      </c>
      <c r="CK15" s="4685" t="str">
        <f t="shared" si="16"/>
        <v/>
      </c>
      <c r="CL15" s="4685" t="str">
        <f t="shared" si="17"/>
        <v/>
      </c>
      <c r="CM15" s="4685" t="str">
        <f t="shared" si="18"/>
        <v/>
      </c>
      <c r="CN15" s="4685" t="str">
        <f t="shared" si="19"/>
        <v/>
      </c>
      <c r="CO15" s="4685" t="str">
        <f t="shared" si="20"/>
        <v/>
      </c>
      <c r="CP15" s="4685" t="str">
        <f t="shared" si="21"/>
        <v/>
      </c>
      <c r="CQ15" s="4685" t="str">
        <f t="shared" si="22"/>
        <v/>
      </c>
      <c r="CR15" s="4685" t="str">
        <f t="shared" si="23"/>
        <v/>
      </c>
      <c r="DA15" s="5832"/>
      <c r="DB15" s="5832"/>
      <c r="DC15" s="5832"/>
      <c r="DD15" s="5832"/>
      <c r="DE15" s="5832"/>
      <c r="DF15" s="5832"/>
      <c r="DG15" s="5832"/>
      <c r="DH15" s="5832"/>
      <c r="DI15" s="5832"/>
      <c r="DJ15" s="5832">
        <f t="shared" si="24"/>
        <v>0</v>
      </c>
      <c r="DK15" s="5832">
        <f t="shared" si="25"/>
        <v>0</v>
      </c>
      <c r="DL15" s="5832">
        <f t="shared" si="26"/>
        <v>0</v>
      </c>
      <c r="DM15" s="5832">
        <f t="shared" si="27"/>
        <v>0</v>
      </c>
      <c r="DN15" s="5832">
        <f t="shared" si="28"/>
        <v>0</v>
      </c>
      <c r="DO15" s="5832">
        <f t="shared" si="29"/>
        <v>0</v>
      </c>
      <c r="DP15" s="5832">
        <f t="shared" si="30"/>
        <v>0</v>
      </c>
      <c r="DQ15" s="5832">
        <f t="shared" si="31"/>
        <v>0</v>
      </c>
      <c r="DR15" s="5832">
        <f t="shared" si="32"/>
        <v>0</v>
      </c>
    </row>
    <row r="16" spans="1:122" ht="16.350000000000001" customHeight="1" x14ac:dyDescent="0.2">
      <c r="A16" s="8635"/>
      <c r="B16" s="6161" t="s">
        <v>2584</v>
      </c>
      <c r="C16" s="6162">
        <f t="shared" si="0"/>
        <v>0</v>
      </c>
      <c r="D16" s="6163">
        <f t="shared" si="4"/>
        <v>0</v>
      </c>
      <c r="E16" s="6164">
        <f t="shared" si="5"/>
        <v>0</v>
      </c>
      <c r="F16" s="4196"/>
      <c r="G16" s="6165"/>
      <c r="H16" s="4196"/>
      <c r="I16" s="6165"/>
      <c r="J16" s="4196"/>
      <c r="K16" s="4207"/>
      <c r="L16" s="4196"/>
      <c r="M16" s="4207"/>
      <c r="N16" s="4196"/>
      <c r="O16" s="4207"/>
      <c r="P16" s="4196"/>
      <c r="Q16" s="4207"/>
      <c r="R16" s="4196"/>
      <c r="S16" s="4207"/>
      <c r="T16" s="4196"/>
      <c r="U16" s="4207"/>
      <c r="V16" s="4196"/>
      <c r="W16" s="4207"/>
      <c r="X16" s="4196"/>
      <c r="Y16" s="4207"/>
      <c r="Z16" s="4196"/>
      <c r="AA16" s="4207"/>
      <c r="AB16" s="4196"/>
      <c r="AC16" s="4207"/>
      <c r="AD16" s="4196"/>
      <c r="AE16" s="4207"/>
      <c r="AF16" s="4196"/>
      <c r="AG16" s="4207"/>
      <c r="AH16" s="4196"/>
      <c r="AI16" s="4207"/>
      <c r="AJ16" s="4196"/>
      <c r="AK16" s="4207"/>
      <c r="AL16" s="6166"/>
      <c r="AM16" s="4304"/>
      <c r="AN16" s="5582"/>
      <c r="AO16" s="5582"/>
      <c r="AP16" s="5582"/>
      <c r="AQ16" s="5582"/>
      <c r="AR16" s="5582"/>
      <c r="AS16" s="5582"/>
      <c r="AT16" s="7514"/>
      <c r="AU16" s="5582"/>
      <c r="AV16" s="5582"/>
      <c r="AW16" s="4651" t="str">
        <f t="shared" si="6"/>
        <v/>
      </c>
      <c r="AX16" s="4684"/>
      <c r="AY16" s="4684"/>
      <c r="AZ16" s="4684"/>
      <c r="BA16" s="4684"/>
      <c r="BB16" s="4684"/>
      <c r="BC16" s="4657"/>
      <c r="BD16" s="4657"/>
      <c r="BE16" s="4657"/>
      <c r="BX16" s="4651"/>
      <c r="CA16" s="4685" t="str">
        <f t="shared" si="7"/>
        <v/>
      </c>
      <c r="CB16" s="4685" t="str">
        <f t="shared" si="8"/>
        <v/>
      </c>
      <c r="CC16" s="4685" t="str">
        <f t="shared" si="9"/>
        <v/>
      </c>
      <c r="CD16" s="4685" t="str">
        <f t="shared" si="10"/>
        <v/>
      </c>
      <c r="CE16" s="4685" t="str">
        <f t="shared" si="11"/>
        <v/>
      </c>
      <c r="CF16" s="4685" t="str">
        <f t="shared" si="12"/>
        <v/>
      </c>
      <c r="CG16" s="4685"/>
      <c r="CH16" s="4685" t="str">
        <f t="shared" si="13"/>
        <v/>
      </c>
      <c r="CI16" s="4685" t="str">
        <f t="shared" si="14"/>
        <v/>
      </c>
      <c r="CJ16" s="4685" t="str">
        <f t="shared" si="15"/>
        <v/>
      </c>
      <c r="CK16" s="4685" t="str">
        <f t="shared" si="16"/>
        <v/>
      </c>
      <c r="CL16" s="4685" t="str">
        <f t="shared" si="17"/>
        <v/>
      </c>
      <c r="CM16" s="4685" t="str">
        <f t="shared" si="18"/>
        <v/>
      </c>
      <c r="CN16" s="4685" t="str">
        <f t="shared" si="19"/>
        <v/>
      </c>
      <c r="CO16" s="4685" t="str">
        <f t="shared" si="20"/>
        <v/>
      </c>
      <c r="CP16" s="4685" t="str">
        <f t="shared" si="21"/>
        <v/>
      </c>
      <c r="CQ16" s="4685" t="str">
        <f t="shared" si="22"/>
        <v/>
      </c>
      <c r="CR16" s="4685" t="str">
        <f t="shared" si="23"/>
        <v/>
      </c>
      <c r="DA16" s="5832"/>
      <c r="DB16" s="5832"/>
      <c r="DC16" s="5832"/>
      <c r="DD16" s="5832"/>
      <c r="DE16" s="5832"/>
      <c r="DF16" s="5832"/>
      <c r="DG16" s="5832"/>
      <c r="DH16" s="5832"/>
      <c r="DI16" s="5832"/>
      <c r="DJ16" s="5832">
        <f t="shared" si="24"/>
        <v>0</v>
      </c>
      <c r="DK16" s="5832">
        <f t="shared" si="25"/>
        <v>0</v>
      </c>
      <c r="DL16" s="5832">
        <f t="shared" si="26"/>
        <v>0</v>
      </c>
      <c r="DM16" s="5832">
        <f t="shared" si="27"/>
        <v>0</v>
      </c>
      <c r="DN16" s="5832">
        <f t="shared" si="28"/>
        <v>0</v>
      </c>
      <c r="DO16" s="5832">
        <f t="shared" si="29"/>
        <v>0</v>
      </c>
      <c r="DP16" s="5832">
        <f t="shared" si="30"/>
        <v>0</v>
      </c>
      <c r="DQ16" s="5832">
        <f t="shared" si="31"/>
        <v>0</v>
      </c>
      <c r="DR16" s="5832">
        <f t="shared" si="32"/>
        <v>0</v>
      </c>
    </row>
    <row r="17" spans="1:132" ht="16.350000000000001" customHeight="1" x14ac:dyDescent="0.2">
      <c r="A17" s="8635"/>
      <c r="B17" s="6161" t="s">
        <v>2590</v>
      </c>
      <c r="C17" s="6162">
        <f t="shared" si="0"/>
        <v>0</v>
      </c>
      <c r="D17" s="6163">
        <f t="shared" si="4"/>
        <v>0</v>
      </c>
      <c r="E17" s="6164">
        <f t="shared" si="5"/>
        <v>0</v>
      </c>
      <c r="F17" s="4196"/>
      <c r="G17" s="6165"/>
      <c r="H17" s="4196"/>
      <c r="I17" s="6165"/>
      <c r="J17" s="4196"/>
      <c r="K17" s="4207"/>
      <c r="L17" s="4196"/>
      <c r="M17" s="4207"/>
      <c r="N17" s="4196"/>
      <c r="O17" s="4207"/>
      <c r="P17" s="4196"/>
      <c r="Q17" s="4207"/>
      <c r="R17" s="4196"/>
      <c r="S17" s="4207"/>
      <c r="T17" s="4196"/>
      <c r="U17" s="4207"/>
      <c r="V17" s="4196"/>
      <c r="W17" s="4207"/>
      <c r="X17" s="4196"/>
      <c r="Y17" s="4207"/>
      <c r="Z17" s="4196"/>
      <c r="AA17" s="4207"/>
      <c r="AB17" s="4196"/>
      <c r="AC17" s="4207"/>
      <c r="AD17" s="4196"/>
      <c r="AE17" s="4207"/>
      <c r="AF17" s="4196"/>
      <c r="AG17" s="4207"/>
      <c r="AH17" s="4196"/>
      <c r="AI17" s="4207"/>
      <c r="AJ17" s="4196"/>
      <c r="AK17" s="4207"/>
      <c r="AL17" s="6166"/>
      <c r="AM17" s="4304"/>
      <c r="AN17" s="5582"/>
      <c r="AO17" s="5582"/>
      <c r="AP17" s="5582"/>
      <c r="AQ17" s="5582"/>
      <c r="AR17" s="5582"/>
      <c r="AS17" s="5582"/>
      <c r="AT17" s="7514"/>
      <c r="AU17" s="5582"/>
      <c r="AV17" s="5582"/>
      <c r="AW17" s="4651" t="str">
        <f t="shared" si="6"/>
        <v/>
      </c>
      <c r="AX17" s="4684"/>
      <c r="AY17" s="4684"/>
      <c r="AZ17" s="4684"/>
      <c r="BA17" s="4684"/>
      <c r="BB17" s="4684"/>
      <c r="BC17" s="4657"/>
      <c r="BD17" s="4657"/>
      <c r="BE17" s="4657"/>
      <c r="BX17" s="4651"/>
      <c r="CA17" s="4685" t="str">
        <f t="shared" si="7"/>
        <v/>
      </c>
      <c r="CB17" s="4685" t="str">
        <f t="shared" si="8"/>
        <v/>
      </c>
      <c r="CC17" s="4685" t="str">
        <f t="shared" si="9"/>
        <v/>
      </c>
      <c r="CD17" s="4685" t="str">
        <f t="shared" si="10"/>
        <v/>
      </c>
      <c r="CE17" s="4685" t="str">
        <f t="shared" si="11"/>
        <v/>
      </c>
      <c r="CF17" s="4685" t="str">
        <f t="shared" si="12"/>
        <v/>
      </c>
      <c r="CG17" s="4685"/>
      <c r="CH17" s="4685" t="str">
        <f t="shared" si="13"/>
        <v/>
      </c>
      <c r="CI17" s="4685" t="str">
        <f t="shared" si="14"/>
        <v/>
      </c>
      <c r="CJ17" s="4685" t="str">
        <f t="shared" si="15"/>
        <v/>
      </c>
      <c r="CK17" s="4685" t="str">
        <f t="shared" si="16"/>
        <v/>
      </c>
      <c r="CL17" s="4685" t="str">
        <f t="shared" si="17"/>
        <v/>
      </c>
      <c r="CM17" s="4685" t="str">
        <f t="shared" si="18"/>
        <v/>
      </c>
      <c r="CN17" s="4685" t="str">
        <f t="shared" si="19"/>
        <v/>
      </c>
      <c r="CO17" s="4685" t="str">
        <f t="shared" si="20"/>
        <v/>
      </c>
      <c r="CP17" s="4685" t="str">
        <f t="shared" si="21"/>
        <v/>
      </c>
      <c r="CQ17" s="4685" t="str">
        <f t="shared" si="22"/>
        <v/>
      </c>
      <c r="CR17" s="4685" t="str">
        <f t="shared" si="23"/>
        <v/>
      </c>
      <c r="DA17" s="5832"/>
      <c r="DB17" s="5832"/>
      <c r="DC17" s="5832"/>
      <c r="DD17" s="5832"/>
      <c r="DE17" s="5832"/>
      <c r="DF17" s="5832"/>
      <c r="DG17" s="5832"/>
      <c r="DH17" s="5832"/>
      <c r="DI17" s="5832"/>
      <c r="DJ17" s="5832">
        <f t="shared" si="24"/>
        <v>0</v>
      </c>
      <c r="DK17" s="5832">
        <f t="shared" si="25"/>
        <v>0</v>
      </c>
      <c r="DL17" s="5832">
        <f t="shared" si="26"/>
        <v>0</v>
      </c>
      <c r="DM17" s="5832">
        <f t="shared" si="27"/>
        <v>0</v>
      </c>
      <c r="DN17" s="5832">
        <f t="shared" si="28"/>
        <v>0</v>
      </c>
      <c r="DO17" s="5832">
        <f t="shared" si="29"/>
        <v>0</v>
      </c>
      <c r="DP17" s="5832">
        <f t="shared" si="30"/>
        <v>0</v>
      </c>
      <c r="DQ17" s="5832">
        <f t="shared" si="31"/>
        <v>0</v>
      </c>
      <c r="DR17" s="5832">
        <f t="shared" si="32"/>
        <v>0</v>
      </c>
    </row>
    <row r="18" spans="1:132" ht="23.25" customHeight="1" x14ac:dyDescent="0.2">
      <c r="A18" s="8635"/>
      <c r="B18" s="6161" t="s">
        <v>2788</v>
      </c>
      <c r="C18" s="6162">
        <f t="shared" si="0"/>
        <v>0</v>
      </c>
      <c r="D18" s="6163">
        <f t="shared" si="4"/>
        <v>0</v>
      </c>
      <c r="E18" s="6164">
        <f t="shared" si="5"/>
        <v>0</v>
      </c>
      <c r="F18" s="4196"/>
      <c r="G18" s="6165"/>
      <c r="H18" s="4196"/>
      <c r="I18" s="6165"/>
      <c r="J18" s="4196"/>
      <c r="K18" s="4207"/>
      <c r="L18" s="4196"/>
      <c r="M18" s="4207"/>
      <c r="N18" s="4196"/>
      <c r="O18" s="4207"/>
      <c r="P18" s="4196"/>
      <c r="Q18" s="4207"/>
      <c r="R18" s="4196"/>
      <c r="S18" s="4207"/>
      <c r="T18" s="4196"/>
      <c r="U18" s="4207"/>
      <c r="V18" s="4196"/>
      <c r="W18" s="4207"/>
      <c r="X18" s="4196"/>
      <c r="Y18" s="4207"/>
      <c r="Z18" s="4196"/>
      <c r="AA18" s="4207"/>
      <c r="AB18" s="4196"/>
      <c r="AC18" s="4207"/>
      <c r="AD18" s="4196"/>
      <c r="AE18" s="4207"/>
      <c r="AF18" s="4196"/>
      <c r="AG18" s="4207"/>
      <c r="AH18" s="4196"/>
      <c r="AI18" s="4207"/>
      <c r="AJ18" s="4196"/>
      <c r="AK18" s="4207"/>
      <c r="AL18" s="6166"/>
      <c r="AM18" s="4304"/>
      <c r="AN18" s="5582"/>
      <c r="AO18" s="5582"/>
      <c r="AP18" s="5582"/>
      <c r="AQ18" s="5582"/>
      <c r="AR18" s="5582"/>
      <c r="AS18" s="5582"/>
      <c r="AT18" s="7514"/>
      <c r="AU18" s="5582"/>
      <c r="AV18" s="5582"/>
      <c r="AW18" s="4651" t="str">
        <f t="shared" si="6"/>
        <v/>
      </c>
      <c r="AX18" s="4684"/>
      <c r="AY18" s="4684"/>
      <c r="AZ18" s="4684"/>
      <c r="BA18" s="4684"/>
      <c r="BB18" s="4684"/>
      <c r="BC18" s="4657"/>
      <c r="BD18" s="4657"/>
      <c r="BE18" s="4657"/>
      <c r="BX18" s="4651"/>
      <c r="CA18" s="4685" t="str">
        <f t="shared" si="7"/>
        <v/>
      </c>
      <c r="CB18" s="4685" t="str">
        <f t="shared" si="8"/>
        <v/>
      </c>
      <c r="CC18" s="4685" t="str">
        <f t="shared" si="9"/>
        <v/>
      </c>
      <c r="CD18" s="4685" t="str">
        <f t="shared" si="10"/>
        <v/>
      </c>
      <c r="CE18" s="4685" t="str">
        <f t="shared" si="11"/>
        <v/>
      </c>
      <c r="CF18" s="4685" t="str">
        <f t="shared" si="12"/>
        <v/>
      </c>
      <c r="CG18" s="4685"/>
      <c r="CH18" s="4685" t="str">
        <f t="shared" si="13"/>
        <v/>
      </c>
      <c r="CI18" s="4685" t="str">
        <f t="shared" si="14"/>
        <v/>
      </c>
      <c r="CJ18" s="4685" t="str">
        <f t="shared" si="15"/>
        <v/>
      </c>
      <c r="CK18" s="4685" t="str">
        <f t="shared" si="16"/>
        <v/>
      </c>
      <c r="CL18" s="4685" t="str">
        <f t="shared" si="17"/>
        <v/>
      </c>
      <c r="CM18" s="4685" t="str">
        <f t="shared" si="18"/>
        <v/>
      </c>
      <c r="CN18" s="4685" t="str">
        <f t="shared" si="19"/>
        <v/>
      </c>
      <c r="CO18" s="4685" t="str">
        <f t="shared" si="20"/>
        <v/>
      </c>
      <c r="CP18" s="4685" t="str">
        <f t="shared" si="21"/>
        <v/>
      </c>
      <c r="CQ18" s="4685" t="str">
        <f t="shared" si="22"/>
        <v/>
      </c>
      <c r="CR18" s="4685" t="str">
        <f t="shared" si="23"/>
        <v/>
      </c>
      <c r="DA18" s="5832"/>
      <c r="DB18" s="5832"/>
      <c r="DC18" s="5832"/>
      <c r="DD18" s="5832"/>
      <c r="DE18" s="5832"/>
      <c r="DF18" s="5832"/>
      <c r="DG18" s="5832"/>
      <c r="DH18" s="5832"/>
      <c r="DI18" s="5832"/>
      <c r="DJ18" s="5832">
        <f t="shared" si="24"/>
        <v>0</v>
      </c>
      <c r="DK18" s="5832">
        <f t="shared" si="25"/>
        <v>0</v>
      </c>
      <c r="DL18" s="5832">
        <f t="shared" si="26"/>
        <v>0</v>
      </c>
      <c r="DM18" s="5832">
        <f t="shared" si="27"/>
        <v>0</v>
      </c>
      <c r="DN18" s="5832">
        <f t="shared" si="28"/>
        <v>0</v>
      </c>
      <c r="DO18" s="5832">
        <f t="shared" si="29"/>
        <v>0</v>
      </c>
      <c r="DP18" s="5832">
        <f t="shared" si="30"/>
        <v>0</v>
      </c>
      <c r="DQ18" s="5832">
        <f t="shared" si="31"/>
        <v>0</v>
      </c>
      <c r="DR18" s="5832">
        <f t="shared" si="32"/>
        <v>0</v>
      </c>
    </row>
    <row r="19" spans="1:132" ht="16.350000000000001" customHeight="1" x14ac:dyDescent="0.2">
      <c r="A19" s="8635"/>
      <c r="B19" s="6161" t="s">
        <v>62</v>
      </c>
      <c r="C19" s="6167">
        <f t="shared" si="0"/>
        <v>0</v>
      </c>
      <c r="D19" s="6168">
        <f t="shared" si="4"/>
        <v>0</v>
      </c>
      <c r="E19" s="6169">
        <f t="shared" si="5"/>
        <v>0</v>
      </c>
      <c r="F19" s="5340"/>
      <c r="G19" s="5344"/>
      <c r="H19" s="5340"/>
      <c r="I19" s="5344"/>
      <c r="J19" s="5340"/>
      <c r="K19" s="6170"/>
      <c r="L19" s="5340"/>
      <c r="M19" s="6170"/>
      <c r="N19" s="5340"/>
      <c r="O19" s="6170"/>
      <c r="P19" s="5340"/>
      <c r="Q19" s="6170"/>
      <c r="R19" s="5340"/>
      <c r="S19" s="6170"/>
      <c r="T19" s="5340"/>
      <c r="U19" s="6170"/>
      <c r="V19" s="5340"/>
      <c r="W19" s="6170"/>
      <c r="X19" s="5340"/>
      <c r="Y19" s="6170"/>
      <c r="Z19" s="5340"/>
      <c r="AA19" s="6170"/>
      <c r="AB19" s="5340"/>
      <c r="AC19" s="6170"/>
      <c r="AD19" s="5340"/>
      <c r="AE19" s="6170"/>
      <c r="AF19" s="5340"/>
      <c r="AG19" s="6170"/>
      <c r="AH19" s="5340"/>
      <c r="AI19" s="6170"/>
      <c r="AJ19" s="5340"/>
      <c r="AK19" s="6170"/>
      <c r="AL19" s="6171"/>
      <c r="AM19" s="6172"/>
      <c r="AN19" s="5341"/>
      <c r="AO19" s="5341"/>
      <c r="AP19" s="5341"/>
      <c r="AQ19" s="5341"/>
      <c r="AR19" s="5341"/>
      <c r="AS19" s="5341"/>
      <c r="AT19" s="7515"/>
      <c r="AU19" s="5341"/>
      <c r="AV19" s="5341"/>
      <c r="AW19" s="4651" t="str">
        <f t="shared" si="6"/>
        <v/>
      </c>
      <c r="AX19" s="4684"/>
      <c r="AY19" s="4684"/>
      <c r="AZ19" s="4684"/>
      <c r="BA19" s="4684"/>
      <c r="BB19" s="4684"/>
      <c r="BC19" s="4657"/>
      <c r="BD19" s="4657"/>
      <c r="BE19" s="4657"/>
      <c r="BX19" s="4651"/>
      <c r="CA19" s="4685" t="str">
        <f t="shared" si="7"/>
        <v/>
      </c>
      <c r="CB19" s="4685" t="str">
        <f t="shared" si="8"/>
        <v/>
      </c>
      <c r="CC19" s="4685" t="str">
        <f t="shared" si="9"/>
        <v/>
      </c>
      <c r="CD19" s="4685" t="str">
        <f t="shared" si="10"/>
        <v/>
      </c>
      <c r="CE19" s="4685" t="str">
        <f t="shared" si="11"/>
        <v/>
      </c>
      <c r="CF19" s="4685" t="str">
        <f t="shared" si="12"/>
        <v/>
      </c>
      <c r="CG19" s="4685"/>
      <c r="CH19" s="4685" t="str">
        <f t="shared" si="13"/>
        <v/>
      </c>
      <c r="CI19" s="4685" t="str">
        <f t="shared" si="14"/>
        <v/>
      </c>
      <c r="CJ19" s="4685" t="str">
        <f t="shared" si="15"/>
        <v/>
      </c>
      <c r="CK19" s="4685" t="str">
        <f t="shared" si="16"/>
        <v/>
      </c>
      <c r="CL19" s="4685" t="str">
        <f t="shared" si="17"/>
        <v/>
      </c>
      <c r="CM19" s="4685" t="str">
        <f t="shared" si="18"/>
        <v/>
      </c>
      <c r="CN19" s="4685" t="str">
        <f t="shared" si="19"/>
        <v/>
      </c>
      <c r="CO19" s="4685" t="str">
        <f t="shared" si="20"/>
        <v/>
      </c>
      <c r="CP19" s="4685" t="str">
        <f t="shared" si="21"/>
        <v/>
      </c>
      <c r="CQ19" s="4685" t="str">
        <f t="shared" si="22"/>
        <v/>
      </c>
      <c r="CR19" s="4685" t="str">
        <f t="shared" si="23"/>
        <v/>
      </c>
      <c r="DA19" s="5832"/>
      <c r="DB19" s="5832"/>
      <c r="DC19" s="5832"/>
      <c r="DD19" s="5832"/>
      <c r="DE19" s="5832"/>
      <c r="DF19" s="5832"/>
      <c r="DG19" s="5832"/>
      <c r="DH19" s="5832"/>
      <c r="DI19" s="5832"/>
      <c r="DJ19" s="5832">
        <f t="shared" si="24"/>
        <v>0</v>
      </c>
      <c r="DK19" s="5832">
        <f t="shared" si="25"/>
        <v>0</v>
      </c>
      <c r="DL19" s="5832">
        <f t="shared" si="26"/>
        <v>0</v>
      </c>
      <c r="DM19" s="5832">
        <f t="shared" si="27"/>
        <v>0</v>
      </c>
      <c r="DN19" s="5832">
        <f t="shared" si="28"/>
        <v>0</v>
      </c>
      <c r="DO19" s="5832">
        <f t="shared" si="29"/>
        <v>0</v>
      </c>
      <c r="DP19" s="5832">
        <f t="shared" si="30"/>
        <v>0</v>
      </c>
      <c r="DQ19" s="5832">
        <f t="shared" si="31"/>
        <v>0</v>
      </c>
      <c r="DR19" s="5832">
        <f t="shared" si="32"/>
        <v>0</v>
      </c>
    </row>
    <row r="20" spans="1:132" ht="25.35" customHeight="1" x14ac:dyDescent="0.2">
      <c r="A20" s="8635"/>
      <c r="B20" s="6161" t="s">
        <v>3690</v>
      </c>
      <c r="C20" s="6167">
        <f t="shared" si="0"/>
        <v>0</v>
      </c>
      <c r="D20" s="6168">
        <f t="shared" si="4"/>
        <v>0</v>
      </c>
      <c r="E20" s="6169">
        <f t="shared" si="5"/>
        <v>0</v>
      </c>
      <c r="F20" s="5340"/>
      <c r="G20" s="5344"/>
      <c r="H20" s="5340"/>
      <c r="I20" s="5344"/>
      <c r="J20" s="5340"/>
      <c r="K20" s="6170"/>
      <c r="L20" s="5340"/>
      <c r="M20" s="6170"/>
      <c r="N20" s="5340"/>
      <c r="O20" s="6170"/>
      <c r="P20" s="5340"/>
      <c r="Q20" s="6170"/>
      <c r="R20" s="5340"/>
      <c r="S20" s="6170"/>
      <c r="T20" s="5340"/>
      <c r="U20" s="6170"/>
      <c r="V20" s="5340"/>
      <c r="W20" s="6170"/>
      <c r="X20" s="5340"/>
      <c r="Y20" s="6170"/>
      <c r="Z20" s="5340"/>
      <c r="AA20" s="6170"/>
      <c r="AB20" s="5340"/>
      <c r="AC20" s="6170"/>
      <c r="AD20" s="5340"/>
      <c r="AE20" s="6170"/>
      <c r="AF20" s="5340"/>
      <c r="AG20" s="6170"/>
      <c r="AH20" s="5340"/>
      <c r="AI20" s="6170"/>
      <c r="AJ20" s="5340"/>
      <c r="AK20" s="6170"/>
      <c r="AL20" s="6171"/>
      <c r="AM20" s="6172"/>
      <c r="AN20" s="5341"/>
      <c r="AO20" s="5341"/>
      <c r="AP20" s="5341"/>
      <c r="AQ20" s="5341"/>
      <c r="AR20" s="5341"/>
      <c r="AS20" s="5341"/>
      <c r="AT20" s="7515"/>
      <c r="AU20" s="5341"/>
      <c r="AV20" s="5341"/>
      <c r="AW20" s="4651" t="str">
        <f t="shared" si="6"/>
        <v/>
      </c>
      <c r="AX20" s="4684"/>
      <c r="AY20" s="4684"/>
      <c r="AZ20" s="4684"/>
      <c r="BA20" s="4684"/>
      <c r="BB20" s="4684"/>
      <c r="BC20" s="4657"/>
      <c r="BD20" s="4657"/>
      <c r="BE20" s="4657"/>
      <c r="BX20" s="4651"/>
      <c r="CA20" s="4685" t="str">
        <f t="shared" si="7"/>
        <v/>
      </c>
      <c r="CB20" s="4685" t="str">
        <f t="shared" si="8"/>
        <v/>
      </c>
      <c r="CC20" s="4685" t="str">
        <f t="shared" si="9"/>
        <v/>
      </c>
      <c r="CD20" s="4685" t="str">
        <f t="shared" si="10"/>
        <v/>
      </c>
      <c r="CE20" s="4685" t="str">
        <f t="shared" si="11"/>
        <v/>
      </c>
      <c r="CF20" s="4685" t="str">
        <f t="shared" si="12"/>
        <v/>
      </c>
      <c r="CG20" s="4685"/>
      <c r="CH20" s="4685" t="str">
        <f t="shared" si="13"/>
        <v/>
      </c>
      <c r="CI20" s="4685" t="str">
        <f t="shared" si="14"/>
        <v/>
      </c>
      <c r="CJ20" s="4685" t="str">
        <f t="shared" si="15"/>
        <v/>
      </c>
      <c r="CK20" s="4685" t="str">
        <f t="shared" si="16"/>
        <v/>
      </c>
      <c r="CL20" s="4685" t="str">
        <f t="shared" si="17"/>
        <v/>
      </c>
      <c r="CM20" s="4685" t="str">
        <f t="shared" si="18"/>
        <v/>
      </c>
      <c r="CN20" s="4685" t="str">
        <f t="shared" si="19"/>
        <v/>
      </c>
      <c r="CO20" s="4685" t="str">
        <f t="shared" si="20"/>
        <v/>
      </c>
      <c r="CP20" s="4685" t="str">
        <f t="shared" si="21"/>
        <v/>
      </c>
      <c r="CQ20" s="4685" t="str">
        <f t="shared" si="22"/>
        <v/>
      </c>
      <c r="CR20" s="4685" t="str">
        <f t="shared" si="23"/>
        <v/>
      </c>
      <c r="DA20" s="5832"/>
      <c r="DB20" s="5832"/>
      <c r="DC20" s="5832"/>
      <c r="DD20" s="5832"/>
      <c r="DE20" s="5832"/>
      <c r="DF20" s="5832"/>
      <c r="DG20" s="5832"/>
      <c r="DH20" s="5832"/>
      <c r="DI20" s="5832"/>
      <c r="DJ20" s="5832">
        <f t="shared" si="24"/>
        <v>0</v>
      </c>
      <c r="DK20" s="5832">
        <f t="shared" si="25"/>
        <v>0</v>
      </c>
      <c r="DL20" s="5832">
        <f t="shared" si="26"/>
        <v>0</v>
      </c>
      <c r="DM20" s="5832">
        <f t="shared" si="27"/>
        <v>0</v>
      </c>
      <c r="DN20" s="5832">
        <f t="shared" si="28"/>
        <v>0</v>
      </c>
      <c r="DO20" s="5832">
        <f t="shared" si="29"/>
        <v>0</v>
      </c>
      <c r="DP20" s="5832">
        <f t="shared" si="30"/>
        <v>0</v>
      </c>
      <c r="DQ20" s="5832">
        <f t="shared" si="31"/>
        <v>0</v>
      </c>
      <c r="DR20" s="5832">
        <f t="shared" si="32"/>
        <v>0</v>
      </c>
    </row>
    <row r="21" spans="1:132" ht="16.350000000000001" customHeight="1" x14ac:dyDescent="0.2">
      <c r="A21" s="8635"/>
      <c r="B21" s="6161" t="s">
        <v>1509</v>
      </c>
      <c r="C21" s="6167">
        <f t="shared" si="0"/>
        <v>0</v>
      </c>
      <c r="D21" s="6168">
        <f t="shared" si="4"/>
        <v>0</v>
      </c>
      <c r="E21" s="6169">
        <f t="shared" si="5"/>
        <v>0</v>
      </c>
      <c r="F21" s="5340"/>
      <c r="G21" s="5344"/>
      <c r="H21" s="5340"/>
      <c r="I21" s="5344"/>
      <c r="J21" s="5340"/>
      <c r="K21" s="6170"/>
      <c r="L21" s="5340"/>
      <c r="M21" s="6170"/>
      <c r="N21" s="5340"/>
      <c r="O21" s="6170"/>
      <c r="P21" s="5340"/>
      <c r="Q21" s="6170"/>
      <c r="R21" s="5340"/>
      <c r="S21" s="6170"/>
      <c r="T21" s="5340"/>
      <c r="U21" s="6170"/>
      <c r="V21" s="5340"/>
      <c r="W21" s="6170"/>
      <c r="X21" s="5340"/>
      <c r="Y21" s="6170"/>
      <c r="Z21" s="5340"/>
      <c r="AA21" s="6170"/>
      <c r="AB21" s="5340"/>
      <c r="AC21" s="6170"/>
      <c r="AD21" s="5340"/>
      <c r="AE21" s="6170"/>
      <c r="AF21" s="5340"/>
      <c r="AG21" s="6170"/>
      <c r="AH21" s="5340"/>
      <c r="AI21" s="6170"/>
      <c r="AJ21" s="5340"/>
      <c r="AK21" s="6170"/>
      <c r="AL21" s="6171"/>
      <c r="AM21" s="6172"/>
      <c r="AN21" s="5341"/>
      <c r="AO21" s="5341"/>
      <c r="AP21" s="5341"/>
      <c r="AQ21" s="5341"/>
      <c r="AR21" s="5341"/>
      <c r="AS21" s="5341"/>
      <c r="AT21" s="7515"/>
      <c r="AU21" s="5341"/>
      <c r="AV21" s="5341"/>
      <c r="AW21" s="4651" t="str">
        <f t="shared" si="6"/>
        <v/>
      </c>
      <c r="AX21" s="4684"/>
      <c r="AY21" s="4684"/>
      <c r="AZ21" s="4684"/>
      <c r="BA21" s="4684"/>
      <c r="BB21" s="4684"/>
      <c r="BC21" s="4657"/>
      <c r="BD21" s="4657"/>
      <c r="BE21" s="4657"/>
      <c r="BX21" s="4651"/>
      <c r="CA21" s="4685" t="str">
        <f t="shared" si="7"/>
        <v/>
      </c>
      <c r="CB21" s="4685" t="str">
        <f t="shared" si="8"/>
        <v/>
      </c>
      <c r="CC21" s="4685" t="str">
        <f t="shared" si="9"/>
        <v/>
      </c>
      <c r="CD21" s="4685" t="str">
        <f t="shared" si="10"/>
        <v/>
      </c>
      <c r="CE21" s="4685" t="str">
        <f t="shared" si="11"/>
        <v/>
      </c>
      <c r="CF21" s="4685" t="str">
        <f t="shared" si="12"/>
        <v/>
      </c>
      <c r="CG21" s="4685"/>
      <c r="CH21" s="4685" t="str">
        <f t="shared" si="13"/>
        <v/>
      </c>
      <c r="CI21" s="4685" t="str">
        <f t="shared" si="14"/>
        <v/>
      </c>
      <c r="CJ21" s="4685" t="str">
        <f t="shared" si="15"/>
        <v/>
      </c>
      <c r="CK21" s="4685" t="str">
        <f t="shared" si="16"/>
        <v/>
      </c>
      <c r="CL21" s="4685" t="str">
        <f t="shared" si="17"/>
        <v/>
      </c>
      <c r="CM21" s="4685" t="str">
        <f t="shared" si="18"/>
        <v/>
      </c>
      <c r="CN21" s="4685" t="str">
        <f t="shared" si="19"/>
        <v/>
      </c>
      <c r="CO21" s="4685" t="str">
        <f t="shared" si="20"/>
        <v/>
      </c>
      <c r="CP21" s="4685" t="str">
        <f t="shared" si="21"/>
        <v/>
      </c>
      <c r="CQ21" s="4685" t="str">
        <f t="shared" si="22"/>
        <v/>
      </c>
      <c r="CR21" s="4685" t="str">
        <f t="shared" si="23"/>
        <v/>
      </c>
      <c r="DA21" s="5832"/>
      <c r="DB21" s="5832"/>
      <c r="DC21" s="5832"/>
      <c r="DD21" s="5832"/>
      <c r="DE21" s="5832"/>
      <c r="DF21" s="5832"/>
      <c r="DG21" s="5832"/>
      <c r="DH21" s="5832"/>
      <c r="DI21" s="5832"/>
      <c r="DJ21" s="5832">
        <f t="shared" si="24"/>
        <v>0</v>
      </c>
      <c r="DK21" s="5832">
        <f t="shared" si="25"/>
        <v>0</v>
      </c>
      <c r="DL21" s="5832">
        <f t="shared" si="26"/>
        <v>0</v>
      </c>
      <c r="DM21" s="5832">
        <f t="shared" si="27"/>
        <v>0</v>
      </c>
      <c r="DN21" s="5832">
        <f t="shared" si="28"/>
        <v>0</v>
      </c>
      <c r="DO21" s="5832">
        <f t="shared" si="29"/>
        <v>0</v>
      </c>
      <c r="DP21" s="5832">
        <f t="shared" si="30"/>
        <v>0</v>
      </c>
      <c r="DQ21" s="5832">
        <f t="shared" si="31"/>
        <v>0</v>
      </c>
      <c r="DR21" s="5832">
        <f t="shared" si="32"/>
        <v>0</v>
      </c>
    </row>
    <row r="22" spans="1:132" ht="27" customHeight="1" x14ac:dyDescent="0.2">
      <c r="A22" s="8635"/>
      <c r="B22" s="6161" t="s">
        <v>1508</v>
      </c>
      <c r="C22" s="6167">
        <f t="shared" si="0"/>
        <v>0</v>
      </c>
      <c r="D22" s="6173">
        <f t="shared" si="4"/>
        <v>0</v>
      </c>
      <c r="E22" s="6169">
        <f t="shared" si="5"/>
        <v>0</v>
      </c>
      <c r="F22" s="5340"/>
      <c r="G22" s="5344"/>
      <c r="H22" s="5340"/>
      <c r="I22" s="5344"/>
      <c r="J22" s="5340"/>
      <c r="K22" s="6170"/>
      <c r="L22" s="5340"/>
      <c r="M22" s="6170"/>
      <c r="N22" s="5340"/>
      <c r="O22" s="6170"/>
      <c r="P22" s="5340"/>
      <c r="Q22" s="6170"/>
      <c r="R22" s="5340"/>
      <c r="S22" s="6170"/>
      <c r="T22" s="5340"/>
      <c r="U22" s="6170"/>
      <c r="V22" s="5340"/>
      <c r="W22" s="6170"/>
      <c r="X22" s="5340"/>
      <c r="Y22" s="6170"/>
      <c r="Z22" s="5340"/>
      <c r="AA22" s="6170"/>
      <c r="AB22" s="5340"/>
      <c r="AC22" s="6170"/>
      <c r="AD22" s="5340"/>
      <c r="AE22" s="6170"/>
      <c r="AF22" s="5340"/>
      <c r="AG22" s="6170"/>
      <c r="AH22" s="5340"/>
      <c r="AI22" s="6170"/>
      <c r="AJ22" s="5340"/>
      <c r="AK22" s="6170"/>
      <c r="AL22" s="6171"/>
      <c r="AM22" s="6172"/>
      <c r="AN22" s="5341"/>
      <c r="AO22" s="5341"/>
      <c r="AP22" s="5341"/>
      <c r="AQ22" s="5341"/>
      <c r="AR22" s="5341"/>
      <c r="AS22" s="5341"/>
      <c r="AT22" s="7515"/>
      <c r="AU22" s="5341"/>
      <c r="AV22" s="5341"/>
      <c r="AW22" s="4651" t="str">
        <f t="shared" si="6"/>
        <v/>
      </c>
      <c r="AX22" s="4684"/>
      <c r="AY22" s="4684"/>
      <c r="AZ22" s="4684"/>
      <c r="BA22" s="4684"/>
      <c r="BB22" s="4684"/>
      <c r="BC22" s="4657"/>
      <c r="BD22" s="4657"/>
      <c r="BE22" s="4657"/>
      <c r="BX22" s="4651"/>
      <c r="CA22" s="4685" t="str">
        <f t="shared" si="7"/>
        <v/>
      </c>
      <c r="CB22" s="4685" t="str">
        <f t="shared" si="8"/>
        <v/>
      </c>
      <c r="CC22" s="4685" t="str">
        <f t="shared" si="9"/>
        <v/>
      </c>
      <c r="CD22" s="4685" t="str">
        <f t="shared" si="10"/>
        <v/>
      </c>
      <c r="CE22" s="4685" t="str">
        <f t="shared" si="11"/>
        <v/>
      </c>
      <c r="CF22" s="4685" t="str">
        <f t="shared" si="12"/>
        <v/>
      </c>
      <c r="CG22" s="4685"/>
      <c r="CH22" s="4685" t="str">
        <f t="shared" si="13"/>
        <v/>
      </c>
      <c r="CI22" s="4685" t="str">
        <f t="shared" si="14"/>
        <v/>
      </c>
      <c r="CJ22" s="4685" t="str">
        <f t="shared" si="15"/>
        <v/>
      </c>
      <c r="CK22" s="4685" t="str">
        <f t="shared" si="16"/>
        <v/>
      </c>
      <c r="CL22" s="4685" t="str">
        <f t="shared" si="17"/>
        <v/>
      </c>
      <c r="CM22" s="4685" t="str">
        <f t="shared" si="18"/>
        <v/>
      </c>
      <c r="CN22" s="4685" t="str">
        <f t="shared" si="19"/>
        <v/>
      </c>
      <c r="CO22" s="4685" t="str">
        <f t="shared" si="20"/>
        <v/>
      </c>
      <c r="CP22" s="4685" t="str">
        <f t="shared" si="21"/>
        <v/>
      </c>
      <c r="CQ22" s="4685" t="str">
        <f t="shared" si="22"/>
        <v/>
      </c>
      <c r="CR22" s="4685" t="str">
        <f t="shared" si="23"/>
        <v/>
      </c>
      <c r="DA22" s="5832"/>
      <c r="DB22" s="5832"/>
      <c r="DC22" s="5832"/>
      <c r="DD22" s="5832"/>
      <c r="DE22" s="5832"/>
      <c r="DF22" s="5832"/>
      <c r="DG22" s="5832"/>
      <c r="DH22" s="5832"/>
      <c r="DI22" s="5832"/>
      <c r="DJ22" s="5832">
        <f t="shared" si="24"/>
        <v>0</v>
      </c>
      <c r="DK22" s="5832">
        <f t="shared" si="25"/>
        <v>0</v>
      </c>
      <c r="DL22" s="5832">
        <f t="shared" si="26"/>
        <v>0</v>
      </c>
      <c r="DM22" s="5832">
        <f t="shared" si="27"/>
        <v>0</v>
      </c>
      <c r="DN22" s="5832">
        <f t="shared" si="28"/>
        <v>0</v>
      </c>
      <c r="DO22" s="5832">
        <f t="shared" si="29"/>
        <v>0</v>
      </c>
      <c r="DP22" s="5832">
        <f t="shared" si="30"/>
        <v>0</v>
      </c>
      <c r="DQ22" s="5832">
        <f t="shared" si="31"/>
        <v>0</v>
      </c>
      <c r="DR22" s="5832">
        <f t="shared" si="32"/>
        <v>0</v>
      </c>
    </row>
    <row r="23" spans="1:132" ht="16.350000000000001" customHeight="1" x14ac:dyDescent="0.2">
      <c r="A23" s="8653"/>
      <c r="B23" s="6174" t="s">
        <v>24</v>
      </c>
      <c r="C23" s="4806">
        <f t="shared" si="0"/>
        <v>0</v>
      </c>
      <c r="D23" s="4807">
        <f t="shared" si="4"/>
        <v>0</v>
      </c>
      <c r="E23" s="6175">
        <f t="shared" si="5"/>
        <v>0</v>
      </c>
      <c r="F23" s="6176">
        <f>SUM(F13:F22)</f>
        <v>0</v>
      </c>
      <c r="G23" s="6177">
        <f t="shared" ref="G23:AS23" si="33">SUM(G13:G22)</f>
        <v>0</v>
      </c>
      <c r="H23" s="6176">
        <f t="shared" si="33"/>
        <v>0</v>
      </c>
      <c r="I23" s="6177">
        <f t="shared" si="33"/>
        <v>0</v>
      </c>
      <c r="J23" s="6176">
        <f t="shared" si="33"/>
        <v>0</v>
      </c>
      <c r="K23" s="6178">
        <f t="shared" si="33"/>
        <v>0</v>
      </c>
      <c r="L23" s="6176">
        <f t="shared" si="33"/>
        <v>0</v>
      </c>
      <c r="M23" s="6178">
        <f t="shared" si="33"/>
        <v>0</v>
      </c>
      <c r="N23" s="6176">
        <f t="shared" si="33"/>
        <v>0</v>
      </c>
      <c r="O23" s="6178">
        <f t="shared" si="33"/>
        <v>0</v>
      </c>
      <c r="P23" s="6176">
        <f t="shared" si="33"/>
        <v>0</v>
      </c>
      <c r="Q23" s="6178">
        <f t="shared" si="33"/>
        <v>0</v>
      </c>
      <c r="R23" s="6176">
        <f t="shared" si="33"/>
        <v>0</v>
      </c>
      <c r="S23" s="6178">
        <f t="shared" si="33"/>
        <v>0</v>
      </c>
      <c r="T23" s="6176">
        <f t="shared" si="33"/>
        <v>0</v>
      </c>
      <c r="U23" s="6178">
        <f t="shared" si="33"/>
        <v>0</v>
      </c>
      <c r="V23" s="6176">
        <f t="shared" si="33"/>
        <v>0</v>
      </c>
      <c r="W23" s="6178">
        <f t="shared" si="33"/>
        <v>0</v>
      </c>
      <c r="X23" s="6176">
        <f t="shared" si="33"/>
        <v>0</v>
      </c>
      <c r="Y23" s="6178">
        <f t="shared" si="33"/>
        <v>0</v>
      </c>
      <c r="Z23" s="6176">
        <f t="shared" si="33"/>
        <v>0</v>
      </c>
      <c r="AA23" s="6178">
        <f t="shared" si="33"/>
        <v>0</v>
      </c>
      <c r="AB23" s="6176">
        <f t="shared" si="33"/>
        <v>0</v>
      </c>
      <c r="AC23" s="6178">
        <f t="shared" si="33"/>
        <v>0</v>
      </c>
      <c r="AD23" s="6176">
        <f t="shared" si="33"/>
        <v>0</v>
      </c>
      <c r="AE23" s="6178">
        <f t="shared" si="33"/>
        <v>0</v>
      </c>
      <c r="AF23" s="6176">
        <f t="shared" si="33"/>
        <v>0</v>
      </c>
      <c r="AG23" s="6178">
        <f t="shared" si="33"/>
        <v>0</v>
      </c>
      <c r="AH23" s="6176">
        <f t="shared" si="33"/>
        <v>0</v>
      </c>
      <c r="AI23" s="6178">
        <f t="shared" si="33"/>
        <v>0</v>
      </c>
      <c r="AJ23" s="6176">
        <f t="shared" si="33"/>
        <v>0</v>
      </c>
      <c r="AK23" s="6178">
        <f t="shared" si="33"/>
        <v>0</v>
      </c>
      <c r="AL23" s="6179">
        <f t="shared" si="33"/>
        <v>0</v>
      </c>
      <c r="AM23" s="6180">
        <f t="shared" si="33"/>
        <v>0</v>
      </c>
      <c r="AN23" s="6181">
        <f t="shared" si="33"/>
        <v>0</v>
      </c>
      <c r="AO23" s="6181">
        <f t="shared" si="33"/>
        <v>0</v>
      </c>
      <c r="AP23" s="6181">
        <f>SUM(AP13:AP22)</f>
        <v>0</v>
      </c>
      <c r="AQ23" s="6181">
        <f t="shared" si="33"/>
        <v>0</v>
      </c>
      <c r="AR23" s="6181">
        <f t="shared" si="33"/>
        <v>0</v>
      </c>
      <c r="AS23" s="6181">
        <f t="shared" si="33"/>
        <v>0</v>
      </c>
      <c r="AT23" s="7516"/>
      <c r="AU23" s="6181">
        <f>SUM(AU13:AU22)</f>
        <v>0</v>
      </c>
      <c r="AV23" s="6181">
        <f>SUM(AV13:AV22)</f>
        <v>0</v>
      </c>
      <c r="AW23" s="4657"/>
      <c r="AX23" s="4657"/>
      <c r="AY23" s="4657"/>
      <c r="AZ23" s="4657"/>
      <c r="BA23" s="4657"/>
      <c r="BB23" s="4657"/>
      <c r="BC23" s="4657"/>
      <c r="BD23" s="4657"/>
      <c r="BE23" s="4657"/>
      <c r="BX23" s="4651"/>
      <c r="CA23" s="5437"/>
      <c r="CB23" s="5437"/>
      <c r="CC23" s="6182"/>
      <c r="CD23" s="6182"/>
      <c r="CE23" s="6182"/>
      <c r="CF23" s="6182"/>
      <c r="CG23" s="6182"/>
      <c r="CH23" s="6182"/>
      <c r="CI23" s="6182"/>
    </row>
    <row r="24" spans="1:132" ht="19.5" customHeight="1" x14ac:dyDescent="0.2">
      <c r="A24" s="9008" t="s">
        <v>3985</v>
      </c>
      <c r="B24" s="9009"/>
      <c r="C24" s="6183">
        <f t="shared" si="0"/>
        <v>0</v>
      </c>
      <c r="D24" s="6184">
        <f t="shared" si="4"/>
        <v>0</v>
      </c>
      <c r="E24" s="6175">
        <f t="shared" si="5"/>
        <v>0</v>
      </c>
      <c r="F24" s="6185"/>
      <c r="G24" s="6186"/>
      <c r="H24" s="6185"/>
      <c r="I24" s="6186"/>
      <c r="J24" s="6185"/>
      <c r="K24" s="6187"/>
      <c r="L24" s="6185"/>
      <c r="M24" s="6187"/>
      <c r="N24" s="6185"/>
      <c r="O24" s="6187"/>
      <c r="P24" s="6185"/>
      <c r="Q24" s="6187"/>
      <c r="R24" s="6185"/>
      <c r="S24" s="6187"/>
      <c r="T24" s="6185"/>
      <c r="U24" s="6187"/>
      <c r="V24" s="6185"/>
      <c r="W24" s="6187"/>
      <c r="X24" s="6185"/>
      <c r="Y24" s="6187"/>
      <c r="Z24" s="6185"/>
      <c r="AA24" s="6187"/>
      <c r="AB24" s="6185"/>
      <c r="AC24" s="6187"/>
      <c r="AD24" s="6185"/>
      <c r="AE24" s="6187"/>
      <c r="AF24" s="6185"/>
      <c r="AG24" s="6187"/>
      <c r="AH24" s="6185"/>
      <c r="AI24" s="6187"/>
      <c r="AJ24" s="6185"/>
      <c r="AK24" s="6187"/>
      <c r="AL24" s="6188"/>
      <c r="AM24" s="6189"/>
      <c r="AN24" s="6190"/>
      <c r="AO24" s="6190"/>
      <c r="AP24" s="6190"/>
      <c r="AQ24" s="6190"/>
      <c r="AR24" s="6190"/>
      <c r="AS24" s="6190"/>
      <c r="AT24" s="7516"/>
      <c r="AU24" s="6190"/>
      <c r="AV24" s="6190"/>
      <c r="AW24" s="4651" t="str">
        <f t="shared" si="6"/>
        <v/>
      </c>
      <c r="AX24" s="4684"/>
      <c r="AY24" s="4684"/>
      <c r="AZ24" s="4684"/>
      <c r="BA24" s="4684"/>
      <c r="BB24" s="4684"/>
      <c r="BC24" s="4657"/>
      <c r="BD24" s="4657"/>
      <c r="BE24" s="4657"/>
      <c r="BX24" s="4651"/>
      <c r="CA24" s="4685" t="str">
        <f t="shared" ref="CA24:CA27" si="34">IF(AND($C24&lt;&gt;0,AN24=""),"* No olvide agregar el campo "&amp;AN$10&amp;".","")</f>
        <v/>
      </c>
      <c r="CB24" s="4685" t="str">
        <f t="shared" ref="CB24:CB27" si="35">IF(AND($C24&lt;&gt;0,AO24=""),"* No olvide agregar el campo "&amp;AO$10&amp;".","")</f>
        <v/>
      </c>
      <c r="CC24" s="4685" t="str">
        <f t="shared" ref="CC24:CC27" si="36">IF(AND($C24&lt;&gt;0,AP24=""),"* No olvide agregar el campo "&amp;AP$10&amp;".","")</f>
        <v/>
      </c>
      <c r="CD24" s="4685" t="str">
        <f t="shared" ref="CD24:CD27" si="37">IF(AND($C24&lt;&gt;0,AQ24=""),"* No olvide agregar el campo "&amp;AQ$10&amp;".","")</f>
        <v/>
      </c>
      <c r="CE24" s="4685" t="str">
        <f t="shared" ref="CE24:CE27" si="38">IF(AND($C24&lt;&gt;0,AR24=""),"* No olvide agregar el campo "&amp;AR$10&amp;".","")</f>
        <v/>
      </c>
      <c r="CF24" s="4685" t="str">
        <f t="shared" ref="CF24:CF27" si="39">IF(AND($C24&lt;&gt;0,AS24=""),"* No olvide agregar el campo "&amp;AS$10&amp;".","")</f>
        <v/>
      </c>
      <c r="CG24" s="4685"/>
      <c r="CH24" s="4685" t="str">
        <f t="shared" ref="CH24:CH27" si="40">IF(AND($C24&lt;&gt;0,AU24=""),"* No olvide agregar el campo "&amp;$AU$10&amp;" "&amp;AU$11&amp;".","")</f>
        <v/>
      </c>
      <c r="CI24" s="4685" t="str">
        <f t="shared" ref="CI24:CI27" si="41">IF(AND($C24&lt;&gt;0,AV24=""),"* No olvide agregar el campo "&amp;$AU$10&amp;" "&amp;AV$11&amp;".","")</f>
        <v/>
      </c>
      <c r="CJ24" s="4685" t="str">
        <f t="shared" ref="CJ24:CJ27" si="42">IF(DJ24=1,"* El campo "&amp;AN$10&amp;" no debe superar el Total.","")</f>
        <v/>
      </c>
      <c r="CK24" s="4685" t="str">
        <f t="shared" ref="CK24:CK27" si="43">IF(DK24=1,"* El campo "&amp;AO$10&amp;" no debe superar el Total.","")</f>
        <v/>
      </c>
      <c r="CL24" s="4685" t="str">
        <f t="shared" ref="CL24:CL27" si="44">IF(DL24=1,"* El campo "&amp;AP$10&amp;" no debe superar el Total.","")</f>
        <v/>
      </c>
      <c r="CM24" s="4685" t="str">
        <f t="shared" ref="CM24:CM27" si="45">IF(DM24=1,"* El campo "&amp;AQ$10&amp;" no debe superar el Total.","")</f>
        <v/>
      </c>
      <c r="CN24" s="4685" t="str">
        <f t="shared" ref="CN24:CN27" si="46">IF(DN24=1,"* El campo "&amp;AR$10&amp;" no debe superar el Total.","")</f>
        <v/>
      </c>
      <c r="CO24" s="4685" t="str">
        <f t="shared" ref="CO24:CO27" si="47">IF(DO24=1,"* El campo "&amp;AS$10&amp;" no debe superar el Total.","")</f>
        <v/>
      </c>
      <c r="CP24" s="4685" t="str">
        <f t="shared" ref="CP24:CP27" si="48">IF(DP24=1,"* El campo "&amp;AT$10&amp;" no debe superar el Total.","")</f>
        <v/>
      </c>
      <c r="CQ24" s="4685" t="str">
        <f t="shared" ref="CQ24:CQ27" si="49">IF(DQ24=1,"* El campo "&amp;$AU$10&amp;" "&amp;AU$11&amp;" no debe superar el Total.","")</f>
        <v/>
      </c>
      <c r="CR24" s="4685" t="str">
        <f t="shared" ref="CR24:CR27" si="50">IF(DR24=1,"* El campo "&amp;$AU$10&amp;" "&amp;AV$11&amp;" no debe superar el Total.","")</f>
        <v/>
      </c>
      <c r="DA24" s="5832"/>
      <c r="DB24" s="5832"/>
      <c r="DC24" s="5832"/>
      <c r="DD24" s="5832"/>
      <c r="DE24" s="5832"/>
      <c r="DF24" s="5832"/>
      <c r="DG24" s="5832"/>
      <c r="DH24" s="5832"/>
      <c r="DI24" s="5832"/>
      <c r="DJ24" s="5832">
        <f t="shared" ref="DJ24:DJ27" si="51">IF(AN24&gt;$C24,1,0)</f>
        <v>0</v>
      </c>
      <c r="DK24" s="5832">
        <f t="shared" ref="DK24:DK27" si="52">IF(AO24&gt;$C24,1,0)</f>
        <v>0</v>
      </c>
      <c r="DL24" s="5832">
        <f t="shared" ref="DL24:DL27" si="53">IF(AP24&gt;$C24,1,0)</f>
        <v>0</v>
      </c>
      <c r="DM24" s="5832">
        <f t="shared" ref="DM24:DM27" si="54">IF(AQ24&gt;$C24,1,0)</f>
        <v>0</v>
      </c>
      <c r="DN24" s="5832">
        <f t="shared" ref="DN24:DN27" si="55">IF(AR24&gt;$C24,1,0)</f>
        <v>0</v>
      </c>
      <c r="DO24" s="5832">
        <f t="shared" ref="DO24:DO27" si="56">IF(AS24&gt;$C24,1,0)</f>
        <v>0</v>
      </c>
      <c r="DP24" s="5832">
        <f t="shared" ref="DP24:DP27" si="57">IF(AT24&gt;$C24,1,0)</f>
        <v>0</v>
      </c>
      <c r="DQ24" s="5832">
        <f t="shared" ref="DQ24:DQ27" si="58">IF(AU24&gt;$C24,1,0)</f>
        <v>0</v>
      </c>
      <c r="DR24" s="5832">
        <f t="shared" ref="DR24:DR27" si="59">IF(AV24&gt;$C24,1,0)</f>
        <v>0</v>
      </c>
    </row>
    <row r="25" spans="1:132" ht="19.5" customHeight="1" x14ac:dyDescent="0.2">
      <c r="A25" s="4640" t="s">
        <v>1588</v>
      </c>
      <c r="B25" s="6191" t="s">
        <v>60</v>
      </c>
      <c r="C25" s="6192">
        <f t="shared" si="0"/>
        <v>0</v>
      </c>
      <c r="D25" s="6193">
        <f t="shared" si="4"/>
        <v>0</v>
      </c>
      <c r="E25" s="6194">
        <f t="shared" si="5"/>
        <v>0</v>
      </c>
      <c r="F25" s="6195"/>
      <c r="G25" s="6196"/>
      <c r="H25" s="6195"/>
      <c r="I25" s="6196"/>
      <c r="J25" s="6195"/>
      <c r="K25" s="6197"/>
      <c r="L25" s="6195"/>
      <c r="M25" s="6197"/>
      <c r="N25" s="6195"/>
      <c r="O25" s="6197"/>
      <c r="P25" s="6195"/>
      <c r="Q25" s="6197"/>
      <c r="R25" s="6195"/>
      <c r="S25" s="6197"/>
      <c r="T25" s="6195"/>
      <c r="U25" s="6197"/>
      <c r="V25" s="6195"/>
      <c r="W25" s="6197"/>
      <c r="X25" s="6195"/>
      <c r="Y25" s="6197"/>
      <c r="Z25" s="6195"/>
      <c r="AA25" s="6197"/>
      <c r="AB25" s="6195"/>
      <c r="AC25" s="6197"/>
      <c r="AD25" s="6195"/>
      <c r="AE25" s="6197"/>
      <c r="AF25" s="6195"/>
      <c r="AG25" s="6197"/>
      <c r="AH25" s="6195"/>
      <c r="AI25" s="6197"/>
      <c r="AJ25" s="6195"/>
      <c r="AK25" s="6197"/>
      <c r="AL25" s="6198"/>
      <c r="AM25" s="6199"/>
      <c r="AN25" s="5601"/>
      <c r="AO25" s="5601"/>
      <c r="AP25" s="5601"/>
      <c r="AQ25" s="5601"/>
      <c r="AR25" s="5601"/>
      <c r="AS25" s="5601"/>
      <c r="AT25" s="7517"/>
      <c r="AU25" s="5601"/>
      <c r="AV25" s="5601"/>
      <c r="AW25" s="4651" t="str">
        <f t="shared" si="6"/>
        <v/>
      </c>
      <c r="AX25" s="4684"/>
      <c r="AY25" s="4684"/>
      <c r="AZ25" s="4684"/>
      <c r="BA25" s="4684"/>
      <c r="BB25" s="4684"/>
      <c r="BC25" s="4657"/>
      <c r="BD25" s="4657"/>
      <c r="BE25" s="4657"/>
      <c r="BX25" s="4651"/>
      <c r="CA25" s="4685" t="str">
        <f t="shared" si="34"/>
        <v/>
      </c>
      <c r="CB25" s="4685" t="str">
        <f t="shared" si="35"/>
        <v/>
      </c>
      <c r="CC25" s="4685" t="str">
        <f t="shared" si="36"/>
        <v/>
      </c>
      <c r="CD25" s="4685" t="str">
        <f t="shared" si="37"/>
        <v/>
      </c>
      <c r="CE25" s="4685" t="str">
        <f t="shared" si="38"/>
        <v/>
      </c>
      <c r="CF25" s="4685" t="str">
        <f t="shared" si="39"/>
        <v/>
      </c>
      <c r="CG25" s="4685"/>
      <c r="CH25" s="4685" t="str">
        <f t="shared" si="40"/>
        <v/>
      </c>
      <c r="CI25" s="4685" t="str">
        <f t="shared" si="41"/>
        <v/>
      </c>
      <c r="CJ25" s="4685" t="str">
        <f t="shared" si="42"/>
        <v/>
      </c>
      <c r="CK25" s="4685" t="str">
        <f t="shared" si="43"/>
        <v/>
      </c>
      <c r="CL25" s="4685" t="str">
        <f t="shared" si="44"/>
        <v/>
      </c>
      <c r="CM25" s="4685" t="str">
        <f t="shared" si="45"/>
        <v/>
      </c>
      <c r="CN25" s="4685" t="str">
        <f t="shared" si="46"/>
        <v/>
      </c>
      <c r="CO25" s="4685" t="str">
        <f t="shared" si="47"/>
        <v/>
      </c>
      <c r="CP25" s="4685" t="str">
        <f t="shared" si="48"/>
        <v/>
      </c>
      <c r="CQ25" s="4685" t="str">
        <f t="shared" si="49"/>
        <v/>
      </c>
      <c r="CR25" s="4685" t="str">
        <f t="shared" si="50"/>
        <v/>
      </c>
      <c r="DA25" s="5832"/>
      <c r="DB25" s="5832"/>
      <c r="DC25" s="5832"/>
      <c r="DD25" s="5832"/>
      <c r="DE25" s="5832"/>
      <c r="DF25" s="5832"/>
      <c r="DG25" s="5832"/>
      <c r="DH25" s="5832"/>
      <c r="DI25" s="5832"/>
      <c r="DJ25" s="5832">
        <f t="shared" si="51"/>
        <v>0</v>
      </c>
      <c r="DK25" s="5832">
        <f t="shared" si="52"/>
        <v>0</v>
      </c>
      <c r="DL25" s="5832">
        <f t="shared" si="53"/>
        <v>0</v>
      </c>
      <c r="DM25" s="5832">
        <f t="shared" si="54"/>
        <v>0</v>
      </c>
      <c r="DN25" s="5832">
        <f t="shared" si="55"/>
        <v>0</v>
      </c>
      <c r="DO25" s="5832">
        <f t="shared" si="56"/>
        <v>0</v>
      </c>
      <c r="DP25" s="5832">
        <f t="shared" si="57"/>
        <v>0</v>
      </c>
      <c r="DQ25" s="5832">
        <f t="shared" si="58"/>
        <v>0</v>
      </c>
      <c r="DR25" s="5832">
        <f t="shared" si="59"/>
        <v>0</v>
      </c>
    </row>
    <row r="26" spans="1:132" ht="19.5" customHeight="1" x14ac:dyDescent="0.2">
      <c r="A26" s="8652" t="s">
        <v>1587</v>
      </c>
      <c r="B26" s="6200" t="s">
        <v>60</v>
      </c>
      <c r="C26" s="6153">
        <f t="shared" si="0"/>
        <v>0</v>
      </c>
      <c r="D26" s="6154">
        <f t="shared" si="4"/>
        <v>0</v>
      </c>
      <c r="E26" s="6155">
        <f t="shared" si="5"/>
        <v>0</v>
      </c>
      <c r="F26" s="6156"/>
      <c r="G26" s="6157"/>
      <c r="H26" s="6156"/>
      <c r="I26" s="6157"/>
      <c r="J26" s="6156"/>
      <c r="K26" s="6158"/>
      <c r="L26" s="6156"/>
      <c r="M26" s="6158"/>
      <c r="N26" s="6156"/>
      <c r="O26" s="6158"/>
      <c r="P26" s="6156"/>
      <c r="Q26" s="6158"/>
      <c r="R26" s="6156"/>
      <c r="S26" s="6158"/>
      <c r="T26" s="6156"/>
      <c r="U26" s="6158"/>
      <c r="V26" s="6156"/>
      <c r="W26" s="6158"/>
      <c r="X26" s="6156"/>
      <c r="Y26" s="6158"/>
      <c r="Z26" s="6156"/>
      <c r="AA26" s="6158"/>
      <c r="AB26" s="6156"/>
      <c r="AC26" s="6158"/>
      <c r="AD26" s="6156"/>
      <c r="AE26" s="6158"/>
      <c r="AF26" s="6156"/>
      <c r="AG26" s="6158"/>
      <c r="AH26" s="6156"/>
      <c r="AI26" s="6158"/>
      <c r="AJ26" s="6156"/>
      <c r="AK26" s="6158"/>
      <c r="AL26" s="6159"/>
      <c r="AM26" s="4526"/>
      <c r="AN26" s="4885"/>
      <c r="AO26" s="4885"/>
      <c r="AP26" s="4885"/>
      <c r="AQ26" s="4885"/>
      <c r="AR26" s="4885"/>
      <c r="AS26" s="4885"/>
      <c r="AT26" s="7513"/>
      <c r="AU26" s="4885"/>
      <c r="AV26" s="4885"/>
      <c r="AW26" s="4651" t="str">
        <f t="shared" si="6"/>
        <v/>
      </c>
      <c r="AX26" s="4684"/>
      <c r="AY26" s="4684"/>
      <c r="AZ26" s="4684"/>
      <c r="BA26" s="4684"/>
      <c r="BB26" s="4684"/>
      <c r="BC26" s="4657"/>
      <c r="BD26" s="4657"/>
      <c r="BE26" s="4657"/>
      <c r="BX26" s="4651"/>
      <c r="CA26" s="4685" t="str">
        <f t="shared" si="34"/>
        <v/>
      </c>
      <c r="CB26" s="4685" t="str">
        <f t="shared" si="35"/>
        <v/>
      </c>
      <c r="CC26" s="4685" t="str">
        <f t="shared" si="36"/>
        <v/>
      </c>
      <c r="CD26" s="4685" t="str">
        <f t="shared" si="37"/>
        <v/>
      </c>
      <c r="CE26" s="4685" t="str">
        <f t="shared" si="38"/>
        <v/>
      </c>
      <c r="CF26" s="4685" t="str">
        <f t="shared" si="39"/>
        <v/>
      </c>
      <c r="CG26" s="4685"/>
      <c r="CH26" s="4685" t="str">
        <f t="shared" si="40"/>
        <v/>
      </c>
      <c r="CI26" s="4685" t="str">
        <f t="shared" si="41"/>
        <v/>
      </c>
      <c r="CJ26" s="4685" t="str">
        <f t="shared" si="42"/>
        <v/>
      </c>
      <c r="CK26" s="4685" t="str">
        <f t="shared" si="43"/>
        <v/>
      </c>
      <c r="CL26" s="4685" t="str">
        <f t="shared" si="44"/>
        <v/>
      </c>
      <c r="CM26" s="4685" t="str">
        <f t="shared" si="45"/>
        <v/>
      </c>
      <c r="CN26" s="4685" t="str">
        <f t="shared" si="46"/>
        <v/>
      </c>
      <c r="CO26" s="4685" t="str">
        <f t="shared" si="47"/>
        <v/>
      </c>
      <c r="CP26" s="4685" t="str">
        <f t="shared" si="48"/>
        <v/>
      </c>
      <c r="CQ26" s="4685" t="str">
        <f t="shared" si="49"/>
        <v/>
      </c>
      <c r="CR26" s="4685" t="str">
        <f t="shared" si="50"/>
        <v/>
      </c>
      <c r="DA26" s="5832"/>
      <c r="DB26" s="5832"/>
      <c r="DC26" s="5832"/>
      <c r="DD26" s="5832"/>
      <c r="DE26" s="5832"/>
      <c r="DF26" s="5832"/>
      <c r="DG26" s="5832"/>
      <c r="DH26" s="5832"/>
      <c r="DI26" s="5832"/>
      <c r="DJ26" s="5832">
        <f t="shared" si="51"/>
        <v>0</v>
      </c>
      <c r="DK26" s="5832">
        <f t="shared" si="52"/>
        <v>0</v>
      </c>
      <c r="DL26" s="5832">
        <f t="shared" si="53"/>
        <v>0</v>
      </c>
      <c r="DM26" s="5832">
        <f t="shared" si="54"/>
        <v>0</v>
      </c>
      <c r="DN26" s="5832">
        <f t="shared" si="55"/>
        <v>0</v>
      </c>
      <c r="DO26" s="5832">
        <f t="shared" si="56"/>
        <v>0</v>
      </c>
      <c r="DP26" s="5832">
        <f t="shared" si="57"/>
        <v>0</v>
      </c>
      <c r="DQ26" s="5832">
        <f t="shared" si="58"/>
        <v>0</v>
      </c>
      <c r="DR26" s="5832">
        <f t="shared" si="59"/>
        <v>0</v>
      </c>
    </row>
    <row r="27" spans="1:132" ht="19.5" customHeight="1" x14ac:dyDescent="0.2">
      <c r="A27" s="8653"/>
      <c r="B27" s="6201" t="s">
        <v>2594</v>
      </c>
      <c r="C27" s="6202">
        <f t="shared" si="0"/>
        <v>0</v>
      </c>
      <c r="D27" s="6203">
        <f t="shared" si="4"/>
        <v>0</v>
      </c>
      <c r="E27" s="6204">
        <f t="shared" si="5"/>
        <v>0</v>
      </c>
      <c r="F27" s="5348"/>
      <c r="G27" s="5465"/>
      <c r="H27" s="5348"/>
      <c r="I27" s="6205"/>
      <c r="J27" s="5348"/>
      <c r="K27" s="6205"/>
      <c r="L27" s="5348"/>
      <c r="M27" s="6205"/>
      <c r="N27" s="5348"/>
      <c r="O27" s="4369"/>
      <c r="P27" s="5348"/>
      <c r="Q27" s="5465"/>
      <c r="R27" s="6206"/>
      <c r="S27" s="6205"/>
      <c r="T27" s="5348"/>
      <c r="U27" s="6205"/>
      <c r="V27" s="5348"/>
      <c r="W27" s="6205"/>
      <c r="X27" s="5348"/>
      <c r="Y27" s="5465"/>
      <c r="Z27" s="5348"/>
      <c r="AA27" s="5465"/>
      <c r="AB27" s="5348"/>
      <c r="AC27" s="6205"/>
      <c r="AD27" s="5348"/>
      <c r="AE27" s="5465"/>
      <c r="AF27" s="5348"/>
      <c r="AG27" s="5465"/>
      <c r="AH27" s="5348"/>
      <c r="AI27" s="6205"/>
      <c r="AJ27" s="5348"/>
      <c r="AK27" s="6205"/>
      <c r="AL27" s="6207"/>
      <c r="AM27" s="4831"/>
      <c r="AN27" s="4888"/>
      <c r="AO27" s="4888"/>
      <c r="AP27" s="4888"/>
      <c r="AQ27" s="4888"/>
      <c r="AR27" s="4888"/>
      <c r="AS27" s="4888"/>
      <c r="AT27" s="7518"/>
      <c r="AU27" s="4888"/>
      <c r="AV27" s="4888"/>
      <c r="AW27" s="4651" t="str">
        <f t="shared" si="6"/>
        <v/>
      </c>
      <c r="AX27" s="4684"/>
      <c r="AY27" s="4684"/>
      <c r="AZ27" s="4684"/>
      <c r="BA27" s="4684"/>
      <c r="BB27" s="4684"/>
      <c r="BC27" s="4657"/>
      <c r="BD27" s="4657"/>
      <c r="BE27" s="4657"/>
      <c r="BX27" s="4651"/>
      <c r="CA27" s="4685" t="str">
        <f t="shared" si="34"/>
        <v/>
      </c>
      <c r="CB27" s="4685" t="str">
        <f t="shared" si="35"/>
        <v/>
      </c>
      <c r="CC27" s="4685" t="str">
        <f t="shared" si="36"/>
        <v/>
      </c>
      <c r="CD27" s="4685" t="str">
        <f t="shared" si="37"/>
        <v/>
      </c>
      <c r="CE27" s="4685" t="str">
        <f t="shared" si="38"/>
        <v/>
      </c>
      <c r="CF27" s="4685" t="str">
        <f t="shared" si="39"/>
        <v/>
      </c>
      <c r="CG27" s="4685"/>
      <c r="CH27" s="4685" t="str">
        <f t="shared" si="40"/>
        <v/>
      </c>
      <c r="CI27" s="4685" t="str">
        <f t="shared" si="41"/>
        <v/>
      </c>
      <c r="CJ27" s="4685" t="str">
        <f t="shared" si="42"/>
        <v/>
      </c>
      <c r="CK27" s="4685" t="str">
        <f t="shared" si="43"/>
        <v/>
      </c>
      <c r="CL27" s="4685" t="str">
        <f t="shared" si="44"/>
        <v/>
      </c>
      <c r="CM27" s="4685" t="str">
        <f t="shared" si="45"/>
        <v/>
      </c>
      <c r="CN27" s="4685" t="str">
        <f t="shared" si="46"/>
        <v/>
      </c>
      <c r="CO27" s="4685" t="str">
        <f t="shared" si="47"/>
        <v/>
      </c>
      <c r="CP27" s="4685" t="str">
        <f t="shared" si="48"/>
        <v/>
      </c>
      <c r="CQ27" s="4685" t="str">
        <f t="shared" si="49"/>
        <v/>
      </c>
      <c r="CR27" s="4685" t="str">
        <f t="shared" si="50"/>
        <v/>
      </c>
      <c r="DA27" s="5832"/>
      <c r="DB27" s="5832"/>
      <c r="DC27" s="5832"/>
      <c r="DD27" s="5832"/>
      <c r="DE27" s="5832"/>
      <c r="DF27" s="5832"/>
      <c r="DG27" s="5832"/>
      <c r="DH27" s="5832"/>
      <c r="DI27" s="5832"/>
      <c r="DJ27" s="5832">
        <f t="shared" si="51"/>
        <v>0</v>
      </c>
      <c r="DK27" s="5832">
        <f t="shared" si="52"/>
        <v>0</v>
      </c>
      <c r="DL27" s="5832">
        <f t="shared" si="53"/>
        <v>0</v>
      </c>
      <c r="DM27" s="5832">
        <f t="shared" si="54"/>
        <v>0</v>
      </c>
      <c r="DN27" s="5832">
        <f t="shared" si="55"/>
        <v>0</v>
      </c>
      <c r="DO27" s="5832">
        <f t="shared" si="56"/>
        <v>0</v>
      </c>
      <c r="DP27" s="5832">
        <f t="shared" si="57"/>
        <v>0</v>
      </c>
      <c r="DQ27" s="5832">
        <f t="shared" si="58"/>
        <v>0</v>
      </c>
      <c r="DR27" s="5832">
        <f t="shared" si="59"/>
        <v>0</v>
      </c>
    </row>
    <row r="28" spans="1:132" ht="21.6" customHeight="1" x14ac:dyDescent="0.2">
      <c r="A28" s="5466" t="s">
        <v>1586</v>
      </c>
      <c r="B28" s="6147"/>
      <c r="C28" s="6208"/>
      <c r="D28" s="6147"/>
      <c r="E28" s="6147"/>
      <c r="F28" s="6147"/>
      <c r="G28" s="6147"/>
      <c r="H28" s="6147"/>
      <c r="I28" s="6147"/>
      <c r="J28" s="6147"/>
      <c r="K28" s="6147"/>
      <c r="L28" s="6147"/>
      <c r="M28" s="4173"/>
      <c r="N28" s="4173"/>
      <c r="O28" s="4328"/>
      <c r="P28" s="4328"/>
      <c r="Q28" s="4328"/>
      <c r="R28" s="4328"/>
      <c r="S28" s="4328"/>
      <c r="T28" s="4328"/>
      <c r="U28" s="4328"/>
      <c r="V28" s="6146"/>
      <c r="W28" s="4328"/>
      <c r="X28" s="4328"/>
      <c r="Y28" s="4328"/>
      <c r="Z28" s="4328"/>
      <c r="AA28" s="4328"/>
      <c r="AB28" s="4328"/>
      <c r="AC28" s="4328"/>
      <c r="AD28" s="4328"/>
      <c r="AE28" s="4328"/>
      <c r="AF28" s="4328"/>
      <c r="AG28" s="4328"/>
      <c r="AH28" s="4328"/>
      <c r="AI28" s="4328"/>
      <c r="AJ28" s="4328"/>
      <c r="AK28" s="4328"/>
      <c r="AL28" s="4328"/>
      <c r="AM28" s="4328"/>
      <c r="AN28" s="4328"/>
      <c r="AO28" s="4328"/>
      <c r="AP28" s="4627"/>
      <c r="AQ28" s="4657"/>
      <c r="AR28" s="4657"/>
      <c r="AS28" s="4657"/>
      <c r="AT28" s="4657"/>
      <c r="AU28" s="4657"/>
      <c r="AV28" s="4657"/>
      <c r="AW28" s="4657"/>
      <c r="AX28" s="4657"/>
      <c r="AY28" s="4657"/>
      <c r="AZ28" s="4657"/>
      <c r="BA28" s="4657"/>
      <c r="BB28" s="4657"/>
      <c r="BC28" s="4657"/>
      <c r="BD28" s="4657"/>
      <c r="DA28" s="6209"/>
      <c r="DB28" s="6209"/>
      <c r="DC28" s="6209"/>
      <c r="DD28" s="6209"/>
      <c r="DE28" s="6209"/>
      <c r="DF28" s="6209"/>
      <c r="DG28" s="6209"/>
    </row>
    <row r="29" spans="1:132" ht="21" customHeight="1" x14ac:dyDescent="0.2">
      <c r="A29" s="8661" t="s">
        <v>41</v>
      </c>
      <c r="B29" s="8661" t="s">
        <v>2182</v>
      </c>
      <c r="C29" s="8998" t="s">
        <v>2183</v>
      </c>
      <c r="D29" s="9000"/>
      <c r="E29" s="8998" t="s">
        <v>1584</v>
      </c>
      <c r="F29" s="8999"/>
      <c r="G29" s="9000"/>
      <c r="H29" s="8977" t="s">
        <v>397</v>
      </c>
      <c r="I29" s="8978"/>
      <c r="J29" s="8977" t="s">
        <v>54</v>
      </c>
      <c r="K29" s="8978"/>
      <c r="L29" s="8977" t="s">
        <v>79</v>
      </c>
      <c r="M29" s="8978"/>
      <c r="N29" s="8977" t="s">
        <v>80</v>
      </c>
      <c r="O29" s="8978"/>
      <c r="P29" s="8977" t="s">
        <v>81</v>
      </c>
      <c r="Q29" s="8978"/>
      <c r="R29" s="8979" t="s">
        <v>82</v>
      </c>
      <c r="S29" s="8980"/>
      <c r="T29" s="8979" t="s">
        <v>83</v>
      </c>
      <c r="U29" s="8980"/>
      <c r="V29" s="8979" t="s">
        <v>398</v>
      </c>
      <c r="W29" s="8980"/>
      <c r="X29" s="8979" t="s">
        <v>124</v>
      </c>
      <c r="Y29" s="8980"/>
      <c r="Z29" s="8979" t="s">
        <v>125</v>
      </c>
      <c r="AA29" s="8980"/>
      <c r="AB29" s="8979" t="s">
        <v>126</v>
      </c>
      <c r="AC29" s="8980"/>
      <c r="AD29" s="8979" t="s">
        <v>127</v>
      </c>
      <c r="AE29" s="8980"/>
      <c r="AF29" s="8979" t="s">
        <v>128</v>
      </c>
      <c r="AG29" s="8980"/>
      <c r="AH29" s="8979" t="s">
        <v>129</v>
      </c>
      <c r="AI29" s="8980"/>
      <c r="AJ29" s="8979" t="s">
        <v>130</v>
      </c>
      <c r="AK29" s="8980"/>
      <c r="AL29" s="8979" t="s">
        <v>131</v>
      </c>
      <c r="AM29" s="8980"/>
      <c r="AN29" s="8979" t="s">
        <v>1916</v>
      </c>
      <c r="AO29" s="8986"/>
      <c r="AP29" s="9047" t="s">
        <v>360</v>
      </c>
      <c r="AQ29" s="8859" t="s">
        <v>359</v>
      </c>
      <c r="AR29" s="8859" t="s">
        <v>2947</v>
      </c>
      <c r="AS29" s="8859" t="s">
        <v>2607</v>
      </c>
      <c r="AT29" s="8967" t="s">
        <v>3987</v>
      </c>
      <c r="AU29" s="8967" t="s">
        <v>3988</v>
      </c>
      <c r="AV29" s="4657"/>
      <c r="AW29" s="4657"/>
      <c r="AX29" s="4657"/>
      <c r="AY29" s="4657"/>
      <c r="AZ29" s="4657"/>
      <c r="BA29" s="4657"/>
      <c r="BB29" s="4657"/>
      <c r="BC29" s="4657"/>
      <c r="BD29" s="4657"/>
      <c r="BE29" s="4657"/>
      <c r="BF29" s="4657"/>
      <c r="BG29" s="4657"/>
      <c r="BH29" s="4657"/>
      <c r="BI29" s="4657"/>
      <c r="BX29" s="4651"/>
      <c r="BY29" s="4651"/>
      <c r="BZ29" s="4651"/>
      <c r="CA29" s="4651"/>
      <c r="CB29" s="4651"/>
      <c r="DA29" s="4688"/>
      <c r="DB29" s="4688"/>
      <c r="EA29" s="6142"/>
      <c r="EB29" s="6142"/>
    </row>
    <row r="30" spans="1:132" ht="55.5" customHeight="1" x14ac:dyDescent="0.2">
      <c r="A30" s="8662"/>
      <c r="B30" s="8662"/>
      <c r="C30" s="4945" t="s">
        <v>2184</v>
      </c>
      <c r="D30" s="4945" t="s">
        <v>2185</v>
      </c>
      <c r="E30" s="6210" t="s">
        <v>42</v>
      </c>
      <c r="F30" s="6211" t="s">
        <v>17</v>
      </c>
      <c r="G30" s="6212" t="s">
        <v>18</v>
      </c>
      <c r="H30" s="6210" t="s">
        <v>17</v>
      </c>
      <c r="I30" s="6212" t="s">
        <v>18</v>
      </c>
      <c r="J30" s="6210" t="s">
        <v>17</v>
      </c>
      <c r="K30" s="6212" t="s">
        <v>18</v>
      </c>
      <c r="L30" s="6210" t="s">
        <v>17</v>
      </c>
      <c r="M30" s="6212" t="s">
        <v>18</v>
      </c>
      <c r="N30" s="6210" t="s">
        <v>17</v>
      </c>
      <c r="O30" s="6212" t="s">
        <v>18</v>
      </c>
      <c r="P30" s="6210" t="s">
        <v>17</v>
      </c>
      <c r="Q30" s="6212" t="s">
        <v>18</v>
      </c>
      <c r="R30" s="6210" t="s">
        <v>17</v>
      </c>
      <c r="S30" s="6212" t="s">
        <v>18</v>
      </c>
      <c r="T30" s="6210" t="s">
        <v>17</v>
      </c>
      <c r="U30" s="6213" t="s">
        <v>18</v>
      </c>
      <c r="V30" s="6210" t="s">
        <v>17</v>
      </c>
      <c r="W30" s="6212" t="s">
        <v>18</v>
      </c>
      <c r="X30" s="6210" t="s">
        <v>17</v>
      </c>
      <c r="Y30" s="6212" t="s">
        <v>18</v>
      </c>
      <c r="Z30" s="6210" t="s">
        <v>17</v>
      </c>
      <c r="AA30" s="6212" t="s">
        <v>18</v>
      </c>
      <c r="AB30" s="6210" t="s">
        <v>17</v>
      </c>
      <c r="AC30" s="6212" t="s">
        <v>18</v>
      </c>
      <c r="AD30" s="6210" t="s">
        <v>17</v>
      </c>
      <c r="AE30" s="6212" t="s">
        <v>18</v>
      </c>
      <c r="AF30" s="6210" t="s">
        <v>17</v>
      </c>
      <c r="AG30" s="6212" t="s">
        <v>18</v>
      </c>
      <c r="AH30" s="6210" t="s">
        <v>17</v>
      </c>
      <c r="AI30" s="6212" t="s">
        <v>18</v>
      </c>
      <c r="AJ30" s="6210" t="s">
        <v>17</v>
      </c>
      <c r="AK30" s="6212" t="s">
        <v>18</v>
      </c>
      <c r="AL30" s="6210" t="s">
        <v>17</v>
      </c>
      <c r="AM30" s="6212" t="s">
        <v>18</v>
      </c>
      <c r="AN30" s="6210" t="s">
        <v>17</v>
      </c>
      <c r="AO30" s="6212" t="s">
        <v>18</v>
      </c>
      <c r="AP30" s="9048"/>
      <c r="AQ30" s="8976"/>
      <c r="AR30" s="8976"/>
      <c r="AS30" s="8976"/>
      <c r="AT30" s="8968"/>
      <c r="AU30" s="8968"/>
      <c r="AV30" s="6214"/>
      <c r="AW30" s="4657"/>
      <c r="AX30" s="4657"/>
      <c r="AY30" s="4657"/>
      <c r="AZ30" s="4657"/>
      <c r="BA30" s="4657"/>
      <c r="BB30" s="4657"/>
      <c r="BC30" s="4657"/>
      <c r="BD30" s="4657"/>
      <c r="BE30" s="4657"/>
      <c r="BF30" s="4657"/>
      <c r="BG30" s="4657"/>
      <c r="BH30" s="4657"/>
      <c r="BI30" s="4657"/>
      <c r="BX30" s="4651"/>
      <c r="BY30" s="4651"/>
      <c r="BZ30" s="4651"/>
      <c r="CA30" s="4651"/>
      <c r="CB30" s="4651"/>
      <c r="DA30" s="4688"/>
      <c r="DB30" s="4688"/>
      <c r="EA30" s="6142"/>
      <c r="EB30" s="6142"/>
    </row>
    <row r="31" spans="1:132" ht="19.5" customHeight="1" x14ac:dyDescent="0.2">
      <c r="A31" s="6215" t="s">
        <v>1579</v>
      </c>
      <c r="B31" s="6216">
        <f>SUM(C31:D31)</f>
        <v>0</v>
      </c>
      <c r="C31" s="6157"/>
      <c r="D31" s="6217"/>
      <c r="E31" s="6218">
        <f>SUM(F31+G31)</f>
        <v>0</v>
      </c>
      <c r="F31" s="6219">
        <f>SUM(H31+J31+L31+N31+P31+R31+T31+V31+X31+Z31+AB31+AD31+AF31+AH31+AJ31+AL31+AN31)</f>
        <v>0</v>
      </c>
      <c r="G31" s="6220">
        <f>SUM(I31+K31+M31+O31+Q31+S31+U31+W31+Y31+AA31+AC31+AE31+AG31+AI31+AK31+AM31+AO31)</f>
        <v>0</v>
      </c>
      <c r="H31" s="6221"/>
      <c r="I31" s="6222"/>
      <c r="J31" s="6221"/>
      <c r="K31" s="6223"/>
      <c r="L31" s="6221"/>
      <c r="M31" s="6223"/>
      <c r="N31" s="6221"/>
      <c r="O31" s="6223"/>
      <c r="P31" s="6221"/>
      <c r="Q31" s="6222"/>
      <c r="R31" s="6221"/>
      <c r="S31" s="6222"/>
      <c r="T31" s="6224"/>
      <c r="U31" s="6223"/>
      <c r="V31" s="6221"/>
      <c r="W31" s="6223"/>
      <c r="X31" s="6221"/>
      <c r="Y31" s="6223"/>
      <c r="Z31" s="6221"/>
      <c r="AA31" s="6222"/>
      <c r="AB31" s="6221"/>
      <c r="AC31" s="6222"/>
      <c r="AD31" s="6221"/>
      <c r="AE31" s="6223"/>
      <c r="AF31" s="6221"/>
      <c r="AG31" s="6222"/>
      <c r="AH31" s="6221"/>
      <c r="AI31" s="6222"/>
      <c r="AJ31" s="6221"/>
      <c r="AK31" s="6223"/>
      <c r="AL31" s="6221"/>
      <c r="AM31" s="6223"/>
      <c r="AN31" s="6224"/>
      <c r="AO31" s="6223"/>
      <c r="AP31" s="5825"/>
      <c r="AQ31" s="6225"/>
      <c r="AR31" s="7643"/>
      <c r="AS31" s="7643"/>
      <c r="AT31" s="6225"/>
      <c r="AU31" s="6225"/>
      <c r="AV31" s="4651" t="str">
        <f>CC31&amp;CD31&amp;CE31&amp;CF31&amp;CG31&amp;CH31&amp;CI31&amp;CJ31&amp;CK31&amp;CL31&amp;CM31&amp;CN31&amp;CO31&amp;CP31&amp;CQ31&amp;CR31&amp;CS31&amp;CT31</f>
        <v/>
      </c>
      <c r="AW31" s="4657"/>
      <c r="AX31" s="4657"/>
      <c r="AZ31" s="4657"/>
      <c r="BA31" s="4657"/>
      <c r="BB31" s="4657"/>
      <c r="BC31" s="4657"/>
      <c r="BD31" s="4657"/>
      <c r="BE31" s="4657"/>
      <c r="BF31" s="4657"/>
      <c r="BG31" s="4657"/>
      <c r="BH31" s="4657"/>
      <c r="BI31" s="4657"/>
      <c r="BX31" s="4651"/>
      <c r="BY31" s="4651"/>
      <c r="BZ31" s="4651"/>
      <c r="CA31" s="4651"/>
      <c r="CB31" s="4651"/>
      <c r="CC31" s="4685" t="str">
        <f>IF(AND($C31&lt;&gt;0,AP31=""),"* No olvide agregar el campo "&amp;AP$29&amp;".","")</f>
        <v/>
      </c>
      <c r="CD31" s="4685" t="str">
        <f>IF(AND($C31&lt;&gt;0,AQ31=""),"* No olvide agregar el campo "&amp;AQ$29&amp;".","")</f>
        <v/>
      </c>
      <c r="CE31" s="4685" t="str">
        <f t="shared" ref="CE31:CF31" si="60">IF(AND($C31&lt;&gt;0,AT31=""),"* No olvide agregar el campo "&amp;AT$29&amp;".","")</f>
        <v/>
      </c>
      <c r="CF31" s="4685" t="str">
        <f t="shared" si="60"/>
        <v/>
      </c>
      <c r="CG31" s="4685" t="str">
        <f>IF(DD31=1,"* El número de Personas Pertenecientes a pueblos originarios NO DEBE ser mayor que el Total. ","")</f>
        <v/>
      </c>
      <c r="CH31" s="4685" t="str">
        <f>IF(DE31=1,"* El número de Personas Migrantes NO DEBE ser mayor que el Total. ","")</f>
        <v/>
      </c>
      <c r="CI31" s="6160" t="str">
        <f>IF(DF31=1,"* Los Niños, Niñas, Adolescentes y Jóvenes de Programa SENAME NO DEBE ser mayor que el Total. ","")</f>
        <v/>
      </c>
      <c r="CJ31" s="6160" t="str">
        <f>IF(DG31=1,"* Los Niños, Niñas, Adolescentes y Jóvenes de Programa Mejor Niñez NO DEBE ser mayor que el Total. ","")</f>
        <v/>
      </c>
      <c r="DA31" s="4688"/>
      <c r="DB31" s="4688"/>
      <c r="DC31" s="5832"/>
      <c r="DD31" s="5832">
        <f>IF($B31&lt;AP31,1,0)</f>
        <v>0</v>
      </c>
      <c r="DE31" s="5832">
        <f>IF($B31&lt;AQ31,1,0)</f>
        <v>0</v>
      </c>
      <c r="DF31" s="5832">
        <f t="shared" ref="DF31:DG32" si="61">IF($B31&lt;AT31,1,0)</f>
        <v>0</v>
      </c>
      <c r="DG31" s="5832">
        <f t="shared" si="61"/>
        <v>0</v>
      </c>
      <c r="EA31" s="6142"/>
      <c r="EB31" s="6142"/>
    </row>
    <row r="32" spans="1:132" ht="19.5" customHeight="1" x14ac:dyDescent="0.2">
      <c r="A32" s="6226" t="s">
        <v>2186</v>
      </c>
      <c r="B32" s="6227">
        <f>SUM(C32:D32)</f>
        <v>0</v>
      </c>
      <c r="C32" s="4369"/>
      <c r="D32" s="6228"/>
      <c r="E32" s="6229">
        <f>SUM(F32+G32)</f>
        <v>0</v>
      </c>
      <c r="F32" s="5346">
        <f>SUM(H32+J32+L32+N32+P32+R32+T32+V32+X32+Z32+AB32+AD32+AF32+AH32+AJ32+AL32+AN32)</f>
        <v>0</v>
      </c>
      <c r="G32" s="5347">
        <f>SUM(I32+K32+M32+O32+Q32+S32+U32+W32+Y32+AA32+AC32+AE32+AG32+AI32+AK32+AM32+AO32)</f>
        <v>0</v>
      </c>
      <c r="H32" s="5348"/>
      <c r="I32" s="4369"/>
      <c r="J32" s="5348"/>
      <c r="K32" s="6230"/>
      <c r="L32" s="5348"/>
      <c r="M32" s="6230"/>
      <c r="N32" s="5348"/>
      <c r="O32" s="6230"/>
      <c r="P32" s="5348"/>
      <c r="Q32" s="4369"/>
      <c r="R32" s="5348"/>
      <c r="S32" s="4369"/>
      <c r="T32" s="6207"/>
      <c r="U32" s="6230"/>
      <c r="V32" s="5348"/>
      <c r="W32" s="6230"/>
      <c r="X32" s="5348"/>
      <c r="Y32" s="6230"/>
      <c r="Z32" s="5348"/>
      <c r="AA32" s="4369"/>
      <c r="AB32" s="5348"/>
      <c r="AC32" s="4369"/>
      <c r="AD32" s="5348"/>
      <c r="AE32" s="6230"/>
      <c r="AF32" s="5348"/>
      <c r="AG32" s="4369"/>
      <c r="AH32" s="5348"/>
      <c r="AI32" s="4369"/>
      <c r="AJ32" s="5348"/>
      <c r="AK32" s="6230"/>
      <c r="AL32" s="5348"/>
      <c r="AM32" s="6230"/>
      <c r="AN32" s="6207"/>
      <c r="AO32" s="6230"/>
      <c r="AP32" s="6231"/>
      <c r="AQ32" s="4787"/>
      <c r="AR32" s="5450"/>
      <c r="AS32" s="5450"/>
      <c r="AT32" s="4787"/>
      <c r="AU32" s="4787"/>
      <c r="AV32" s="4651" t="str">
        <f>CC32&amp;CD32&amp;CE32&amp;CF32&amp;CG32&amp;CH32&amp;CI32&amp;CJ32&amp;CK32&amp;CL32&amp;CM32&amp;CN32&amp;CO32&amp;CP32&amp;CQ32&amp;CR32&amp;CS32&amp;CT32</f>
        <v/>
      </c>
      <c r="AW32" s="4657"/>
      <c r="AX32" s="4657"/>
      <c r="AY32" s="4657"/>
      <c r="AZ32" s="4657"/>
      <c r="BA32" s="4657"/>
      <c r="BB32" s="4657"/>
      <c r="BC32" s="4657"/>
      <c r="BD32" s="4657"/>
      <c r="BE32" s="4657"/>
      <c r="BF32" s="4657"/>
      <c r="BG32" s="4657"/>
      <c r="BH32" s="4657"/>
      <c r="BI32" s="4657"/>
      <c r="BX32" s="4651"/>
      <c r="BY32" s="4651"/>
      <c r="BZ32" s="4651"/>
      <c r="CA32" s="4651"/>
      <c r="CB32" s="4651"/>
      <c r="CC32" s="4685" t="str">
        <f>IF(AND($C32&lt;&gt;0,AP32=""),"* No olvide agregar el campo "&amp;AP$29&amp;".","")</f>
        <v/>
      </c>
      <c r="CD32" s="4685" t="str">
        <f>IF(AND($C32&lt;&gt;0,AQ32=""),"* No olvide agregar el campo "&amp;AQ$29&amp;".","")</f>
        <v/>
      </c>
      <c r="CE32" s="4685" t="str">
        <f t="shared" ref="CE32" si="62">IF(AND($C32&lt;&gt;0,AT32=""),"* No olvide agregar el campo "&amp;AT$29&amp;".","")</f>
        <v/>
      </c>
      <c r="CF32" s="4685" t="str">
        <f t="shared" ref="CF32" si="63">IF(AND($C32&lt;&gt;0,AU32=""),"* No olvide agregar el campo "&amp;AU$29&amp;".","")</f>
        <v/>
      </c>
      <c r="CG32" s="4685" t="str">
        <f>IF(DD32=1,"* El número de Personas Pertenecientes a pueblos originarios NO DEBE ser mayor que el Total. ","")</f>
        <v/>
      </c>
      <c r="CH32" s="4685" t="str">
        <f>IF(DE32=1,"* El número de Personas Migrantes NO DEBE ser mayor que el Total. ","")</f>
        <v/>
      </c>
      <c r="CI32" s="6160" t="str">
        <f>IF(DF32=1,"* Los Niños, Niñas, Adolescentes y Jóvenes de Programa SENAME NO DEBE ser mayor que el Total. ","")</f>
        <v/>
      </c>
      <c r="CJ32" s="6160" t="str">
        <f>IF(DG32=1,"* Los Niños, Niñas, Adolescentes y Jóvenes de Programa Mejor Niñez NO DEBE ser mayor que el Total. ","")</f>
        <v/>
      </c>
      <c r="DA32" s="4688"/>
      <c r="DB32" s="4688"/>
      <c r="DC32" s="5832"/>
      <c r="DD32" s="5832">
        <f>IF($B32&lt;AP32,1,0)</f>
        <v>0</v>
      </c>
      <c r="DE32" s="5832">
        <f>IF($B32&lt;AQ32,1,0)</f>
        <v>0</v>
      </c>
      <c r="DF32" s="5832">
        <f t="shared" si="61"/>
        <v>0</v>
      </c>
      <c r="DG32" s="5832">
        <f t="shared" si="61"/>
        <v>0</v>
      </c>
      <c r="EA32" s="6142"/>
      <c r="EB32" s="6142"/>
    </row>
    <row r="33" spans="1:132" ht="16.5" customHeight="1" x14ac:dyDescent="0.25">
      <c r="A33" s="6232" t="s">
        <v>24</v>
      </c>
      <c r="B33" s="6233">
        <f t="shared" ref="B33:H33" si="64">SUM(B31:B32)</f>
        <v>0</v>
      </c>
      <c r="C33" s="6234">
        <f t="shared" si="64"/>
        <v>0</v>
      </c>
      <c r="D33" s="6233">
        <f t="shared" si="64"/>
        <v>0</v>
      </c>
      <c r="E33" s="6235">
        <f t="shared" si="64"/>
        <v>0</v>
      </c>
      <c r="F33" s="6236">
        <f t="shared" si="64"/>
        <v>0</v>
      </c>
      <c r="G33" s="6236">
        <f t="shared" si="64"/>
        <v>0</v>
      </c>
      <c r="H33" s="6237">
        <f t="shared" si="64"/>
        <v>0</v>
      </c>
      <c r="I33" s="6238">
        <f t="shared" ref="I33:AO33" si="65">SUM(I31:I32)</f>
        <v>0</v>
      </c>
      <c r="J33" s="6237">
        <f t="shared" si="65"/>
        <v>0</v>
      </c>
      <c r="K33" s="6238">
        <f t="shared" si="65"/>
        <v>0</v>
      </c>
      <c r="L33" s="6237">
        <f t="shared" si="65"/>
        <v>0</v>
      </c>
      <c r="M33" s="6238">
        <f t="shared" si="65"/>
        <v>0</v>
      </c>
      <c r="N33" s="6237">
        <f t="shared" si="65"/>
        <v>0</v>
      </c>
      <c r="O33" s="6238">
        <f t="shared" si="65"/>
        <v>0</v>
      </c>
      <c r="P33" s="6237">
        <f t="shared" si="65"/>
        <v>0</v>
      </c>
      <c r="Q33" s="6238">
        <f t="shared" si="65"/>
        <v>0</v>
      </c>
      <c r="R33" s="6237">
        <f t="shared" si="65"/>
        <v>0</v>
      </c>
      <c r="S33" s="6238">
        <f t="shared" si="65"/>
        <v>0</v>
      </c>
      <c r="T33" s="6237">
        <f t="shared" si="65"/>
        <v>0</v>
      </c>
      <c r="U33" s="6238">
        <f t="shared" si="65"/>
        <v>0</v>
      </c>
      <c r="V33" s="6237">
        <f t="shared" si="65"/>
        <v>0</v>
      </c>
      <c r="W33" s="6238">
        <f t="shared" si="65"/>
        <v>0</v>
      </c>
      <c r="X33" s="6237">
        <f t="shared" si="65"/>
        <v>0</v>
      </c>
      <c r="Y33" s="6238">
        <f t="shared" si="65"/>
        <v>0</v>
      </c>
      <c r="Z33" s="6237">
        <f t="shared" si="65"/>
        <v>0</v>
      </c>
      <c r="AA33" s="6238">
        <f t="shared" si="65"/>
        <v>0</v>
      </c>
      <c r="AB33" s="6237">
        <f t="shared" si="65"/>
        <v>0</v>
      </c>
      <c r="AC33" s="6238">
        <f t="shared" si="65"/>
        <v>0</v>
      </c>
      <c r="AD33" s="6237">
        <f t="shared" si="65"/>
        <v>0</v>
      </c>
      <c r="AE33" s="6238">
        <f t="shared" si="65"/>
        <v>0</v>
      </c>
      <c r="AF33" s="6237">
        <f t="shared" si="65"/>
        <v>0</v>
      </c>
      <c r="AG33" s="6238">
        <f t="shared" si="65"/>
        <v>0</v>
      </c>
      <c r="AH33" s="6237">
        <f t="shared" si="65"/>
        <v>0</v>
      </c>
      <c r="AI33" s="6238">
        <f t="shared" si="65"/>
        <v>0</v>
      </c>
      <c r="AJ33" s="6237">
        <f t="shared" si="65"/>
        <v>0</v>
      </c>
      <c r="AK33" s="6238">
        <f t="shared" si="65"/>
        <v>0</v>
      </c>
      <c r="AL33" s="6237">
        <f t="shared" si="65"/>
        <v>0</v>
      </c>
      <c r="AM33" s="6238">
        <f t="shared" si="65"/>
        <v>0</v>
      </c>
      <c r="AN33" s="6237">
        <f t="shared" si="65"/>
        <v>0</v>
      </c>
      <c r="AO33" s="6239">
        <f t="shared" si="65"/>
        <v>0</v>
      </c>
      <c r="AP33" s="6240">
        <f>SUM(AP31:AP32)</f>
        <v>0</v>
      </c>
      <c r="AQ33" s="6241">
        <f>SUM(AQ31:AQ32)</f>
        <v>0</v>
      </c>
      <c r="AR33" s="7644"/>
      <c r="AS33" s="7644"/>
      <c r="AT33" s="6241">
        <f>SUM(AT31:AT32)</f>
        <v>0</v>
      </c>
      <c r="AU33" s="6241">
        <f>SUM(AU31:AU32)</f>
        <v>0</v>
      </c>
      <c r="AV33" s="6242"/>
      <c r="AW33" s="4657"/>
      <c r="AX33" s="4657"/>
      <c r="AY33" s="4657"/>
      <c r="AZ33" s="4657"/>
      <c r="BA33" s="4657"/>
      <c r="BB33" s="4657"/>
      <c r="BC33" s="4657"/>
      <c r="BD33" s="4657"/>
      <c r="BE33" s="4657"/>
      <c r="BF33" s="4657"/>
      <c r="BG33" s="4657"/>
      <c r="BH33" s="4657"/>
      <c r="BI33" s="4657"/>
      <c r="BX33" s="4651"/>
      <c r="BY33" s="4651"/>
      <c r="BZ33" s="4651"/>
      <c r="CA33" s="4651"/>
      <c r="CB33" s="4651"/>
      <c r="DA33" s="4688"/>
      <c r="DB33" s="4688"/>
      <c r="EA33" s="6142"/>
      <c r="EB33" s="6142"/>
    </row>
    <row r="34" spans="1:132" ht="27" customHeight="1" x14ac:dyDescent="0.2">
      <c r="A34" s="5466" t="s">
        <v>1585</v>
      </c>
      <c r="B34" s="6147"/>
      <c r="C34" s="6208"/>
      <c r="D34" s="6147"/>
      <c r="E34" s="6147"/>
      <c r="F34" s="6147"/>
      <c r="G34" s="6147"/>
      <c r="H34" s="6147"/>
      <c r="I34" s="6147"/>
      <c r="J34" s="6147"/>
      <c r="K34" s="6147"/>
      <c r="L34" s="6147"/>
      <c r="M34" s="4173"/>
      <c r="N34" s="4328"/>
      <c r="O34" s="4328"/>
      <c r="P34" s="4328"/>
      <c r="Q34" s="4328"/>
      <c r="R34" s="4328"/>
      <c r="S34" s="4328"/>
      <c r="T34" s="4328"/>
      <c r="U34" s="4328"/>
      <c r="V34" s="4328"/>
      <c r="W34" s="4328"/>
      <c r="X34" s="4328"/>
      <c r="Y34" s="4328"/>
      <c r="Z34" s="4328"/>
      <c r="AA34" s="4328"/>
      <c r="AB34" s="4328"/>
      <c r="AC34" s="4328"/>
      <c r="AD34" s="4328"/>
      <c r="AE34" s="4328"/>
      <c r="AF34" s="4328"/>
      <c r="AG34" s="4328"/>
      <c r="AH34" s="4328"/>
      <c r="AI34" s="4328"/>
      <c r="AJ34" s="4328"/>
      <c r="AK34" s="4328"/>
      <c r="AL34" s="4328"/>
      <c r="AM34" s="4328"/>
      <c r="AN34" s="4328"/>
      <c r="AO34" s="4328"/>
      <c r="AP34" s="6243"/>
      <c r="AQ34" s="4328"/>
      <c r="AR34" s="4328"/>
      <c r="AS34" s="4657"/>
      <c r="AT34" s="4657"/>
      <c r="AU34" s="4657"/>
      <c r="AV34" s="4657"/>
      <c r="AW34" s="4657"/>
      <c r="AX34" s="4657"/>
      <c r="AY34" s="4657"/>
      <c r="AZ34" s="4657"/>
      <c r="BA34" s="4657"/>
      <c r="BB34" s="4657"/>
      <c r="BC34" s="4657"/>
      <c r="BD34" s="4657"/>
    </row>
    <row r="35" spans="1:132" ht="23.25" customHeight="1" x14ac:dyDescent="0.2">
      <c r="A35" s="8634" t="s">
        <v>41</v>
      </c>
      <c r="B35" s="8634" t="s">
        <v>2218</v>
      </c>
      <c r="C35" s="8734" t="s">
        <v>2219</v>
      </c>
      <c r="D35" s="8744"/>
      <c r="E35" s="8734" t="s">
        <v>1584</v>
      </c>
      <c r="F35" s="8735"/>
      <c r="G35" s="8744"/>
      <c r="H35" s="8991" t="s">
        <v>2220</v>
      </c>
      <c r="I35" s="8992"/>
      <c r="J35" s="8992"/>
      <c r="K35" s="8992"/>
      <c r="L35" s="8992"/>
      <c r="M35" s="8993"/>
      <c r="N35" s="4328"/>
      <c r="O35" s="4328"/>
      <c r="P35" s="4328"/>
      <c r="Q35" s="4328"/>
      <c r="R35" s="4328"/>
      <c r="S35" s="4328"/>
      <c r="T35" s="4328"/>
      <c r="U35" s="4328"/>
      <c r="V35" s="4328"/>
      <c r="W35" s="4328"/>
      <c r="X35" s="4328"/>
      <c r="Y35" s="4328"/>
      <c r="Z35" s="4328"/>
      <c r="AA35" s="4328"/>
      <c r="AB35" s="4328"/>
      <c r="AC35" s="4328"/>
      <c r="AD35" s="4328"/>
      <c r="AE35" s="4328"/>
      <c r="AF35" s="4328"/>
      <c r="AG35" s="4328"/>
      <c r="AH35" s="4328"/>
      <c r="AI35" s="4328"/>
      <c r="AJ35" s="4328"/>
      <c r="AK35" s="4328"/>
      <c r="AL35" s="4328"/>
      <c r="AM35" s="4328"/>
      <c r="AN35" s="4328"/>
      <c r="AO35" s="4328"/>
      <c r="AP35" s="4328"/>
      <c r="AQ35" s="4328"/>
      <c r="AR35" s="4328"/>
      <c r="AS35" s="4657"/>
      <c r="AT35" s="4657"/>
      <c r="AU35" s="4657"/>
      <c r="AV35" s="4657"/>
      <c r="AW35" s="4657"/>
      <c r="AX35" s="4657"/>
      <c r="AY35" s="4657"/>
      <c r="AZ35" s="4657"/>
      <c r="BA35" s="4657"/>
      <c r="BB35" s="4657"/>
      <c r="BC35" s="4657"/>
      <c r="BD35" s="4657"/>
    </row>
    <row r="36" spans="1:132" ht="62.25" customHeight="1" x14ac:dyDescent="0.2">
      <c r="A36" s="8636"/>
      <c r="B36" s="8636"/>
      <c r="C36" s="6244" t="s">
        <v>2184</v>
      </c>
      <c r="D36" s="6244" t="s">
        <v>2185</v>
      </c>
      <c r="E36" s="5318" t="s">
        <v>42</v>
      </c>
      <c r="F36" s="6245" t="s">
        <v>17</v>
      </c>
      <c r="G36" s="6246" t="s">
        <v>18</v>
      </c>
      <c r="H36" s="6247" t="s">
        <v>2221</v>
      </c>
      <c r="I36" s="6248" t="s">
        <v>1582</v>
      </c>
      <c r="J36" s="6248" t="s">
        <v>1581</v>
      </c>
      <c r="K36" s="6248" t="s">
        <v>2222</v>
      </c>
      <c r="L36" s="6248" t="s">
        <v>1580</v>
      </c>
      <c r="M36" s="6249" t="s">
        <v>2223</v>
      </c>
      <c r="N36" s="4328"/>
      <c r="O36" s="4328"/>
      <c r="P36" s="4328"/>
      <c r="Q36" s="4328"/>
      <c r="R36" s="4328"/>
      <c r="S36" s="4328"/>
      <c r="T36" s="4328"/>
      <c r="U36" s="4328"/>
      <c r="V36" s="4328"/>
      <c r="W36" s="4328"/>
      <c r="X36" s="4328"/>
      <c r="Y36" s="4328"/>
      <c r="Z36" s="4328"/>
      <c r="AA36" s="4328"/>
      <c r="AB36" s="4328"/>
      <c r="AC36" s="4328"/>
      <c r="AD36" s="4328"/>
      <c r="AE36" s="4328"/>
      <c r="AF36" s="4328"/>
      <c r="AG36" s="4328"/>
      <c r="AH36" s="4328"/>
      <c r="AI36" s="4328"/>
      <c r="AJ36" s="4328"/>
      <c r="AK36" s="4328"/>
      <c r="AL36" s="4328"/>
      <c r="AM36" s="4328"/>
      <c r="AN36" s="4328"/>
      <c r="AO36" s="4328"/>
      <c r="AP36" s="4328"/>
      <c r="AQ36" s="4328"/>
      <c r="AR36" s="4328"/>
      <c r="AS36" s="4657"/>
      <c r="AT36" s="4657"/>
      <c r="AU36" s="4657"/>
      <c r="AV36" s="4657"/>
      <c r="AW36" s="4657"/>
      <c r="AX36" s="4657"/>
      <c r="AY36" s="4657"/>
      <c r="AZ36" s="4657"/>
      <c r="BA36" s="4657"/>
      <c r="BB36" s="4657"/>
      <c r="BC36" s="4657"/>
      <c r="BD36" s="4657"/>
    </row>
    <row r="37" spans="1:132" ht="18.75" customHeight="1" x14ac:dyDescent="0.2">
      <c r="A37" s="6250" t="s">
        <v>1579</v>
      </c>
      <c r="B37" s="6216">
        <f>SUM(C37:D37)</f>
        <v>0</v>
      </c>
      <c r="C37" s="6157"/>
      <c r="D37" s="6157"/>
      <c r="E37" s="6251">
        <f>SUM(F37:G37)</f>
        <v>0</v>
      </c>
      <c r="F37" s="6252"/>
      <c r="G37" s="6157"/>
      <c r="H37" s="6156"/>
      <c r="I37" s="6253"/>
      <c r="J37" s="6253"/>
      <c r="K37" s="6253"/>
      <c r="L37" s="6253"/>
      <c r="M37" s="6158"/>
      <c r="N37" s="4328"/>
      <c r="O37" s="4328"/>
      <c r="P37" s="4328"/>
      <c r="Q37" s="4328"/>
      <c r="R37" s="4328"/>
      <c r="S37" s="4328"/>
      <c r="T37" s="4328"/>
      <c r="U37" s="4328"/>
      <c r="V37" s="4328"/>
      <c r="W37" s="4328"/>
      <c r="X37" s="4328"/>
      <c r="Y37" s="4328"/>
      <c r="Z37" s="4328"/>
      <c r="AA37" s="4328"/>
      <c r="AB37" s="4328"/>
      <c r="AC37" s="4328"/>
      <c r="AD37" s="4328"/>
      <c r="AE37" s="4328"/>
      <c r="AF37" s="4328"/>
      <c r="AG37" s="4328"/>
      <c r="AH37" s="4328"/>
      <c r="AI37" s="4328"/>
      <c r="AJ37" s="4328"/>
      <c r="AK37" s="4328"/>
      <c r="AL37" s="4328"/>
      <c r="AM37" s="4328"/>
      <c r="AN37" s="4328"/>
      <c r="AO37" s="4328"/>
      <c r="AP37" s="4328"/>
      <c r="AQ37" s="4328"/>
      <c r="AR37" s="4328"/>
      <c r="AS37" s="4657"/>
      <c r="AT37" s="4657"/>
      <c r="AU37" s="4657"/>
      <c r="AV37" s="4657"/>
      <c r="AW37" s="4657"/>
      <c r="AX37" s="4657"/>
      <c r="AY37" s="4657"/>
      <c r="AZ37" s="4657"/>
      <c r="BA37" s="4657"/>
      <c r="BB37" s="4657"/>
      <c r="BC37" s="4657"/>
      <c r="BD37" s="4657"/>
    </row>
    <row r="38" spans="1:132" ht="18.75" customHeight="1" x14ac:dyDescent="0.2">
      <c r="A38" s="6254" t="s">
        <v>2186</v>
      </c>
      <c r="B38" s="6255">
        <f>SUM(C38:D38)</f>
        <v>0</v>
      </c>
      <c r="C38" s="5465"/>
      <c r="D38" s="5465"/>
      <c r="E38" s="6256">
        <f>SUM(F38:G38)</f>
        <v>0</v>
      </c>
      <c r="F38" s="6257"/>
      <c r="G38" s="5465"/>
      <c r="H38" s="6258"/>
      <c r="I38" s="6259"/>
      <c r="J38" s="6259"/>
      <c r="K38" s="6259"/>
      <c r="L38" s="6259"/>
      <c r="M38" s="6260"/>
      <c r="N38" s="4328"/>
      <c r="O38" s="4328"/>
      <c r="P38" s="4328"/>
      <c r="Q38" s="4328"/>
      <c r="R38" s="4328"/>
      <c r="S38" s="4328"/>
      <c r="T38" s="4328"/>
      <c r="U38" s="4328"/>
      <c r="V38" s="4328"/>
      <c r="W38" s="4328"/>
      <c r="X38" s="4328"/>
      <c r="Y38" s="4328"/>
      <c r="Z38" s="4328"/>
      <c r="AA38" s="4328"/>
      <c r="AB38" s="4328"/>
      <c r="AC38" s="4328"/>
      <c r="AD38" s="4328"/>
      <c r="AE38" s="4328"/>
      <c r="AF38" s="4328"/>
      <c r="AG38" s="4328"/>
      <c r="AH38" s="4328"/>
      <c r="AI38" s="4328"/>
      <c r="AJ38" s="4328"/>
      <c r="AK38" s="4328"/>
      <c r="AL38" s="4328"/>
      <c r="AM38" s="4328"/>
      <c r="AN38" s="4328"/>
      <c r="AO38" s="4328"/>
      <c r="AP38" s="4328"/>
      <c r="AQ38" s="4328"/>
      <c r="AR38" s="4328"/>
      <c r="AS38" s="4657"/>
      <c r="AT38" s="4657"/>
      <c r="AU38" s="4657"/>
      <c r="AV38" s="4657"/>
      <c r="AW38" s="4657"/>
      <c r="AX38" s="4657"/>
      <c r="AY38" s="4657"/>
      <c r="AZ38" s="4657"/>
      <c r="BA38" s="4657"/>
      <c r="BB38" s="4657"/>
      <c r="BC38" s="4657"/>
      <c r="BD38" s="4657"/>
    </row>
    <row r="39" spans="1:132" ht="14.25" customHeight="1" x14ac:dyDescent="0.25">
      <c r="A39" s="6261" t="s">
        <v>24</v>
      </c>
      <c r="B39" s="6262">
        <f t="shared" ref="B39:M39" si="66">SUM(B37:B38)</f>
        <v>0</v>
      </c>
      <c r="C39" s="6263">
        <f t="shared" si="66"/>
        <v>0</v>
      </c>
      <c r="D39" s="6264">
        <f t="shared" si="66"/>
        <v>0</v>
      </c>
      <c r="E39" s="6265">
        <f t="shared" si="66"/>
        <v>0</v>
      </c>
      <c r="F39" s="6266">
        <f t="shared" si="66"/>
        <v>0</v>
      </c>
      <c r="G39" s="6266">
        <f t="shared" si="66"/>
        <v>0</v>
      </c>
      <c r="H39" s="6263">
        <f t="shared" si="66"/>
        <v>0</v>
      </c>
      <c r="I39" s="6267">
        <f t="shared" si="66"/>
        <v>0</v>
      </c>
      <c r="J39" s="6267">
        <f t="shared" si="66"/>
        <v>0</v>
      </c>
      <c r="K39" s="6267">
        <f t="shared" si="66"/>
        <v>0</v>
      </c>
      <c r="L39" s="6267">
        <f t="shared" si="66"/>
        <v>0</v>
      </c>
      <c r="M39" s="6268">
        <f t="shared" si="66"/>
        <v>0</v>
      </c>
      <c r="N39" s="4328"/>
      <c r="O39" s="4328"/>
      <c r="P39" s="4328"/>
      <c r="Q39" s="4328"/>
      <c r="R39" s="4328"/>
      <c r="S39" s="4328"/>
      <c r="T39" s="4328"/>
      <c r="U39" s="4328"/>
      <c r="V39" s="4328"/>
      <c r="W39" s="4328"/>
      <c r="X39" s="4328"/>
      <c r="Y39" s="4328"/>
      <c r="Z39" s="4328"/>
      <c r="AA39" s="4328"/>
      <c r="AB39" s="4328"/>
      <c r="AC39" s="4328"/>
      <c r="AD39" s="4328"/>
      <c r="AE39" s="4328"/>
      <c r="AF39" s="4328"/>
      <c r="AG39" s="4328"/>
      <c r="AH39" s="4328"/>
      <c r="AI39" s="4328"/>
      <c r="AJ39" s="4328"/>
      <c r="AK39" s="4328"/>
      <c r="AL39" s="4328"/>
      <c r="AM39" s="4328"/>
      <c r="AN39" s="4328"/>
      <c r="AO39" s="4328"/>
      <c r="AP39" s="4328"/>
      <c r="AQ39" s="4328"/>
      <c r="AR39" s="4328"/>
      <c r="AS39" s="4657"/>
      <c r="AT39" s="4657"/>
      <c r="AU39" s="4657"/>
      <c r="AV39" s="4657"/>
      <c r="AW39" s="4657"/>
      <c r="AX39" s="4657"/>
      <c r="AY39" s="4657"/>
      <c r="AZ39" s="4657"/>
      <c r="BA39" s="4657"/>
      <c r="BB39" s="4657"/>
      <c r="BC39" s="4657"/>
      <c r="BD39" s="4657"/>
    </row>
    <row r="40" spans="1:132" ht="31.35" customHeight="1" x14ac:dyDescent="0.2">
      <c r="A40" s="5510" t="s">
        <v>1578</v>
      </c>
      <c r="B40" s="6147"/>
      <c r="C40" s="6147"/>
      <c r="D40" s="4660"/>
      <c r="E40" s="4660"/>
      <c r="F40" s="4660"/>
      <c r="G40" s="4660"/>
      <c r="H40" s="4660"/>
      <c r="I40" s="4660"/>
      <c r="J40" s="4660"/>
      <c r="K40" s="4660"/>
      <c r="L40" s="6269"/>
      <c r="M40" s="4328"/>
      <c r="N40" s="4328"/>
      <c r="O40" s="4328"/>
      <c r="P40" s="4328"/>
      <c r="Q40" s="4328"/>
      <c r="R40" s="4328"/>
      <c r="S40" s="4328"/>
      <c r="T40" s="4328"/>
      <c r="U40" s="4328"/>
      <c r="V40" s="6146"/>
      <c r="W40" s="4328"/>
      <c r="X40" s="4328"/>
      <c r="Y40" s="4328"/>
      <c r="Z40" s="4328"/>
      <c r="AA40" s="4328"/>
      <c r="AB40" s="4328"/>
      <c r="AC40" s="4328"/>
      <c r="AD40" s="4328"/>
      <c r="AE40" s="4328"/>
      <c r="AF40" s="4328"/>
      <c r="AG40" s="4328"/>
      <c r="AH40" s="4328"/>
      <c r="AI40" s="4328"/>
      <c r="AJ40" s="4328"/>
      <c r="AK40" s="4328"/>
      <c r="AL40" s="4328"/>
      <c r="AM40" s="4328"/>
      <c r="AN40" s="4328"/>
      <c r="AO40" s="4328"/>
      <c r="AP40" s="4627"/>
      <c r="AQ40" s="4657"/>
      <c r="AR40" s="4657"/>
      <c r="AS40" s="4657"/>
      <c r="AT40" s="4657"/>
      <c r="AU40" s="4657"/>
      <c r="AV40" s="4657"/>
      <c r="AW40" s="4657"/>
      <c r="AX40" s="4657"/>
      <c r="AY40" s="4657"/>
      <c r="AZ40" s="4657"/>
      <c r="BA40" s="4657"/>
      <c r="BB40" s="4657"/>
      <c r="BC40" s="4657"/>
      <c r="BD40" s="4657"/>
    </row>
    <row r="41" spans="1:132" ht="16.350000000000001" customHeight="1" x14ac:dyDescent="0.2">
      <c r="A41" s="8974" t="s">
        <v>41</v>
      </c>
      <c r="B41" s="8652" t="s">
        <v>0</v>
      </c>
      <c r="C41" s="8652" t="s">
        <v>86</v>
      </c>
      <c r="D41" s="5427"/>
      <c r="E41" s="5427"/>
      <c r="F41" s="5427"/>
      <c r="G41" s="5427"/>
      <c r="H41" s="5427"/>
      <c r="I41" s="5427"/>
      <c r="J41" s="5427"/>
      <c r="K41" s="5427"/>
      <c r="L41" s="6270"/>
      <c r="M41" s="6271"/>
      <c r="N41" s="4328"/>
      <c r="O41" s="4328"/>
      <c r="P41" s="4328"/>
      <c r="Q41" s="4328"/>
      <c r="R41" s="4328"/>
      <c r="S41" s="4328"/>
      <c r="T41" s="4328"/>
      <c r="U41" s="4328"/>
      <c r="V41" s="6146"/>
      <c r="W41" s="4328"/>
      <c r="X41" s="6272"/>
      <c r="Y41" s="6273"/>
      <c r="Z41" s="6273"/>
      <c r="AA41" s="6273"/>
      <c r="AB41" s="6273"/>
      <c r="AC41" s="6273"/>
      <c r="AD41" s="4328"/>
      <c r="AE41" s="4328"/>
      <c r="AF41" s="4328"/>
      <c r="AG41" s="4328"/>
      <c r="AH41" s="4328"/>
      <c r="AI41" s="4328"/>
      <c r="AJ41" s="4328"/>
      <c r="AK41" s="4328"/>
      <c r="AL41" s="4328"/>
      <c r="AM41" s="4328"/>
      <c r="AN41" s="4328"/>
      <c r="AO41" s="4328"/>
      <c r="AP41" s="4627"/>
      <c r="AQ41" s="4657"/>
      <c r="AR41" s="4657"/>
      <c r="AS41" s="4657"/>
      <c r="AT41" s="4657"/>
      <c r="AU41" s="4657"/>
      <c r="AV41" s="4657"/>
      <c r="AW41" s="4657"/>
      <c r="AX41" s="4657"/>
      <c r="AY41" s="4657"/>
      <c r="AZ41" s="4657"/>
      <c r="BA41" s="4657"/>
      <c r="BB41" s="4657"/>
      <c r="BC41" s="4657"/>
      <c r="BD41" s="4657"/>
    </row>
    <row r="42" spans="1:132" ht="16.350000000000001" customHeight="1" x14ac:dyDescent="0.2">
      <c r="A42" s="8975"/>
      <c r="B42" s="8653"/>
      <c r="C42" s="8653"/>
      <c r="D42" s="6274"/>
      <c r="E42" s="5427"/>
      <c r="F42" s="5427"/>
      <c r="G42" s="5427"/>
      <c r="H42" s="5427"/>
      <c r="I42" s="5427"/>
      <c r="J42" s="5427"/>
      <c r="K42" s="5427"/>
      <c r="L42" s="6270"/>
      <c r="M42" s="6271"/>
      <c r="N42" s="4328"/>
      <c r="O42" s="4328"/>
      <c r="P42" s="4328"/>
      <c r="Q42" s="4328"/>
      <c r="R42" s="4328"/>
      <c r="S42" s="4328"/>
      <c r="T42" s="4328"/>
      <c r="U42" s="4328"/>
      <c r="V42" s="6146"/>
      <c r="W42" s="4328"/>
      <c r="X42" s="6272"/>
      <c r="Y42" s="6273"/>
      <c r="Z42" s="6273"/>
      <c r="AA42" s="6273"/>
      <c r="AB42" s="6273"/>
      <c r="AC42" s="6273"/>
      <c r="AD42" s="4328"/>
      <c r="AE42" s="4328"/>
      <c r="AF42" s="4328"/>
      <c r="AG42" s="4328"/>
      <c r="AH42" s="4328"/>
      <c r="AI42" s="4328"/>
      <c r="AJ42" s="4328"/>
      <c r="AK42" s="4328"/>
      <c r="AL42" s="4328"/>
      <c r="AM42" s="4328"/>
      <c r="AN42" s="4328"/>
      <c r="AO42" s="4328"/>
      <c r="AP42" s="4328"/>
    </row>
    <row r="43" spans="1:132" ht="16.350000000000001" customHeight="1" x14ac:dyDescent="0.2">
      <c r="A43" s="8652" t="s">
        <v>1577</v>
      </c>
      <c r="B43" s="6191" t="s">
        <v>2594</v>
      </c>
      <c r="C43" s="6275"/>
      <c r="D43" s="6274"/>
      <c r="E43" s="5427"/>
      <c r="F43" s="5427"/>
      <c r="G43" s="5427"/>
      <c r="H43" s="4328"/>
      <c r="I43" s="5427"/>
      <c r="J43" s="5427"/>
      <c r="K43" s="4328"/>
      <c r="L43" s="6270"/>
      <c r="M43" s="6271"/>
      <c r="N43" s="4328"/>
      <c r="O43" s="4328"/>
      <c r="P43" s="4328"/>
      <c r="Q43" s="4328"/>
      <c r="R43" s="4328"/>
      <c r="S43" s="4328"/>
      <c r="T43" s="4328"/>
      <c r="U43" s="4328"/>
      <c r="V43" s="6146"/>
      <c r="W43" s="4328"/>
      <c r="X43" s="6272"/>
      <c r="Y43" s="6273"/>
      <c r="Z43" s="6273"/>
      <c r="AA43" s="6273"/>
      <c r="AB43" s="6273"/>
      <c r="AC43" s="6273"/>
      <c r="AD43" s="4328"/>
      <c r="AE43" s="4328"/>
      <c r="AF43" s="4328"/>
      <c r="AG43" s="4328"/>
      <c r="AH43" s="4328"/>
      <c r="AI43" s="4328"/>
      <c r="AJ43" s="4328"/>
      <c r="AK43" s="4328"/>
      <c r="AL43" s="4328"/>
      <c r="AM43" s="4328"/>
      <c r="AN43" s="4328"/>
      <c r="AO43" s="4328"/>
      <c r="AP43" s="4328"/>
    </row>
    <row r="44" spans="1:132" ht="16.350000000000001" customHeight="1" x14ac:dyDescent="0.2">
      <c r="A44" s="8653"/>
      <c r="B44" s="4938" t="s">
        <v>60</v>
      </c>
      <c r="C44" s="4869"/>
      <c r="D44" s="6274"/>
      <c r="E44" s="5427"/>
      <c r="F44" s="5427"/>
      <c r="G44" s="5427"/>
      <c r="H44" s="5427"/>
      <c r="I44" s="5427"/>
      <c r="J44" s="5427"/>
      <c r="K44" s="5427"/>
      <c r="L44" s="6270"/>
      <c r="M44" s="6271"/>
      <c r="N44" s="4328"/>
      <c r="O44" s="4328"/>
      <c r="P44" s="4328"/>
      <c r="Q44" s="4328"/>
      <c r="R44" s="4328"/>
      <c r="S44" s="4328"/>
      <c r="T44" s="4328"/>
      <c r="U44" s="4328"/>
      <c r="V44" s="6146"/>
      <c r="W44" s="4328"/>
      <c r="X44" s="6272"/>
      <c r="Y44" s="6273"/>
      <c r="Z44" s="6273"/>
      <c r="AA44" s="6273"/>
      <c r="AB44" s="6273"/>
      <c r="AC44" s="6273"/>
      <c r="AD44" s="4328"/>
      <c r="AE44" s="4328"/>
      <c r="AF44" s="4328"/>
      <c r="AG44" s="4328"/>
      <c r="AH44" s="4328"/>
      <c r="AI44" s="4328"/>
      <c r="AJ44" s="4328"/>
      <c r="AK44" s="4328"/>
      <c r="AL44" s="4328"/>
      <c r="AM44" s="4328"/>
      <c r="AN44" s="4328"/>
      <c r="AO44" s="4328"/>
      <c r="AP44" s="4328"/>
    </row>
    <row r="45" spans="1:132" ht="16.350000000000001" customHeight="1" x14ac:dyDescent="0.2">
      <c r="A45" s="8652" t="s">
        <v>1576</v>
      </c>
      <c r="B45" s="6191" t="s">
        <v>2594</v>
      </c>
      <c r="C45" s="6275"/>
      <c r="D45" s="6274"/>
      <c r="E45" s="5427"/>
      <c r="F45" s="5427"/>
      <c r="G45" s="5427"/>
      <c r="H45" s="5427"/>
      <c r="I45" s="5427"/>
      <c r="J45" s="5427"/>
      <c r="K45" s="5427"/>
      <c r="L45" s="6270"/>
      <c r="M45" s="6271"/>
      <c r="N45" s="4328"/>
      <c r="O45" s="4328"/>
      <c r="P45" s="4328"/>
      <c r="Q45" s="4328"/>
      <c r="R45" s="4328"/>
      <c r="S45" s="4328"/>
      <c r="T45" s="4328"/>
      <c r="U45" s="4328"/>
      <c r="V45" s="6146"/>
      <c r="W45" s="4328"/>
      <c r="X45" s="6272"/>
      <c r="Y45" s="6273"/>
      <c r="Z45" s="6273"/>
      <c r="AA45" s="6273"/>
      <c r="AB45" s="6273"/>
      <c r="AC45" s="6273"/>
      <c r="AD45" s="4328"/>
      <c r="AE45" s="4328"/>
      <c r="AF45" s="4328"/>
      <c r="AG45" s="4328"/>
      <c r="AH45" s="4328"/>
      <c r="AI45" s="4328"/>
      <c r="AJ45" s="4328"/>
      <c r="AK45" s="4328"/>
      <c r="AL45" s="4328"/>
      <c r="AM45" s="4328"/>
      <c r="AN45" s="4328"/>
      <c r="AO45" s="4328"/>
      <c r="AP45" s="4328"/>
    </row>
    <row r="46" spans="1:132" ht="16.350000000000001" customHeight="1" x14ac:dyDescent="0.2">
      <c r="A46" s="8653"/>
      <c r="B46" s="6276" t="s">
        <v>60</v>
      </c>
      <c r="C46" s="4877"/>
      <c r="D46" s="6277"/>
      <c r="E46" s="5427"/>
      <c r="F46" s="5427"/>
      <c r="G46" s="5427"/>
      <c r="H46" s="5427"/>
      <c r="I46" s="5427"/>
      <c r="J46" s="5427"/>
      <c r="K46" s="5427"/>
      <c r="L46" s="6270"/>
      <c r="M46" s="6271"/>
      <c r="N46" s="4328"/>
      <c r="O46" s="4328"/>
      <c r="P46" s="4328"/>
      <c r="Q46" s="4328"/>
      <c r="R46" s="4328"/>
      <c r="S46" s="4328"/>
      <c r="T46" s="4328"/>
      <c r="U46" s="4328"/>
      <c r="V46" s="6146"/>
      <c r="W46" s="4328"/>
      <c r="X46" s="6272"/>
      <c r="Y46" s="6273"/>
      <c r="Z46" s="6273"/>
      <c r="AA46" s="6273"/>
      <c r="AB46" s="6273"/>
      <c r="AC46" s="6273"/>
      <c r="AD46" s="4328"/>
      <c r="AE46" s="4328"/>
      <c r="AF46" s="4328"/>
      <c r="AG46" s="4328"/>
      <c r="AH46" s="4328"/>
      <c r="AI46" s="4328"/>
      <c r="AJ46" s="4328"/>
      <c r="AK46" s="4328"/>
      <c r="AL46" s="4328"/>
      <c r="AM46" s="4328"/>
      <c r="AN46" s="4328"/>
      <c r="AO46" s="4328"/>
      <c r="AP46" s="4328"/>
    </row>
    <row r="47" spans="1:132" ht="31.35" customHeight="1" x14ac:dyDescent="0.2">
      <c r="A47" s="4878" t="s">
        <v>1575</v>
      </c>
      <c r="B47" s="6278"/>
      <c r="C47" s="6278"/>
      <c r="D47" s="6279"/>
      <c r="E47" s="6279"/>
      <c r="F47" s="6279"/>
      <c r="G47" s="6279"/>
      <c r="H47" s="6279"/>
      <c r="I47" s="6279"/>
      <c r="J47" s="6279"/>
      <c r="K47" s="6279"/>
      <c r="L47" s="6280"/>
      <c r="M47" s="6281"/>
      <c r="N47" s="6282"/>
      <c r="O47" s="6283"/>
      <c r="P47" s="6283"/>
      <c r="Q47" s="6283"/>
      <c r="R47" s="6283"/>
      <c r="S47" s="6283"/>
      <c r="T47" s="6283"/>
      <c r="U47" s="6283"/>
      <c r="V47" s="6284"/>
      <c r="W47" s="6283"/>
      <c r="X47" s="6283"/>
      <c r="Y47" s="6283"/>
      <c r="Z47" s="6283"/>
      <c r="AA47" s="6283"/>
      <c r="AB47" s="6283"/>
      <c r="AC47" s="6283"/>
      <c r="AD47" s="6283"/>
      <c r="AE47" s="6283"/>
      <c r="AF47" s="6283"/>
      <c r="AG47" s="6283"/>
      <c r="AH47" s="6283"/>
      <c r="AI47" s="6283"/>
      <c r="AJ47" s="6283"/>
      <c r="AK47" s="6283"/>
      <c r="AL47" s="6283"/>
      <c r="AM47" s="6283"/>
      <c r="AN47" s="6285"/>
      <c r="AO47" s="6286"/>
      <c r="AP47" s="6286"/>
      <c r="AQ47" s="4657"/>
      <c r="AR47" s="4657"/>
      <c r="AS47" s="4657"/>
      <c r="AT47" s="4657"/>
      <c r="AU47" s="4657"/>
      <c r="AV47" s="4657"/>
      <c r="AW47" s="4657"/>
      <c r="AX47" s="4657"/>
      <c r="AY47" s="4657"/>
      <c r="AZ47" s="4657"/>
      <c r="BA47" s="4657"/>
      <c r="BB47" s="4657"/>
    </row>
    <row r="48" spans="1:132" ht="16.350000000000001" customHeight="1" x14ac:dyDescent="0.2">
      <c r="A48" s="9010" t="s">
        <v>47</v>
      </c>
      <c r="B48" s="9011"/>
      <c r="C48" s="9016" t="s">
        <v>86</v>
      </c>
      <c r="D48" s="8987"/>
      <c r="E48" s="8988"/>
      <c r="F48" s="8899" t="s">
        <v>84</v>
      </c>
      <c r="G48" s="8994"/>
      <c r="H48" s="8994"/>
      <c r="I48" s="8994"/>
      <c r="J48" s="8994"/>
      <c r="K48" s="8994"/>
      <c r="L48" s="8994"/>
      <c r="M48" s="8994"/>
      <c r="N48" s="8994"/>
      <c r="O48" s="8994"/>
      <c r="P48" s="8994"/>
      <c r="Q48" s="8994"/>
      <c r="R48" s="8994"/>
      <c r="S48" s="8994"/>
      <c r="T48" s="8994"/>
      <c r="U48" s="8994"/>
      <c r="V48" s="8994"/>
      <c r="W48" s="8994"/>
      <c r="X48" s="8994"/>
      <c r="Y48" s="8994"/>
      <c r="Z48" s="8994"/>
      <c r="AA48" s="8994"/>
      <c r="AB48" s="8994"/>
      <c r="AC48" s="8994"/>
      <c r="AD48" s="8994"/>
      <c r="AE48" s="8994"/>
      <c r="AF48" s="8994"/>
      <c r="AG48" s="8994"/>
      <c r="AH48" s="8994"/>
      <c r="AI48" s="8994"/>
      <c r="AJ48" s="8994"/>
      <c r="AK48" s="8994"/>
      <c r="AL48" s="8994"/>
      <c r="AM48" s="8995"/>
      <c r="AN48" s="8741" t="s">
        <v>358</v>
      </c>
      <c r="AO48" s="8741" t="s">
        <v>360</v>
      </c>
      <c r="AP48" s="8741" t="s">
        <v>359</v>
      </c>
      <c r="AQ48" s="4657"/>
      <c r="AR48" s="4657"/>
      <c r="AS48" s="4657"/>
      <c r="AT48" s="4657"/>
      <c r="AU48" s="4657"/>
      <c r="AV48" s="4657"/>
      <c r="AW48" s="4657"/>
      <c r="AX48" s="4657"/>
      <c r="AY48" s="4657"/>
      <c r="AZ48" s="4657"/>
      <c r="BA48" s="4657"/>
      <c r="BB48" s="4657"/>
    </row>
    <row r="49" spans="1:108" ht="16.350000000000001" customHeight="1" x14ac:dyDescent="0.2">
      <c r="A49" s="9012"/>
      <c r="B49" s="9013"/>
      <c r="C49" s="9017"/>
      <c r="D49" s="8989"/>
      <c r="E49" s="8990"/>
      <c r="F49" s="8977" t="s">
        <v>397</v>
      </c>
      <c r="G49" s="8978"/>
      <c r="H49" s="8977" t="s">
        <v>54</v>
      </c>
      <c r="I49" s="8978"/>
      <c r="J49" s="8977" t="s">
        <v>79</v>
      </c>
      <c r="K49" s="8978"/>
      <c r="L49" s="8977" t="s">
        <v>80</v>
      </c>
      <c r="M49" s="8978"/>
      <c r="N49" s="8977" t="s">
        <v>81</v>
      </c>
      <c r="O49" s="8978"/>
      <c r="P49" s="8979" t="s">
        <v>82</v>
      </c>
      <c r="Q49" s="8980"/>
      <c r="R49" s="8979" t="s">
        <v>83</v>
      </c>
      <c r="S49" s="8980"/>
      <c r="T49" s="8979" t="s">
        <v>398</v>
      </c>
      <c r="U49" s="8980"/>
      <c r="V49" s="8979" t="s">
        <v>124</v>
      </c>
      <c r="W49" s="8980"/>
      <c r="X49" s="8979" t="s">
        <v>125</v>
      </c>
      <c r="Y49" s="8980"/>
      <c r="Z49" s="8979" t="s">
        <v>126</v>
      </c>
      <c r="AA49" s="8980"/>
      <c r="AB49" s="8979" t="s">
        <v>127</v>
      </c>
      <c r="AC49" s="8980"/>
      <c r="AD49" s="8979" t="s">
        <v>128</v>
      </c>
      <c r="AE49" s="8980"/>
      <c r="AF49" s="8979" t="s">
        <v>129</v>
      </c>
      <c r="AG49" s="8980"/>
      <c r="AH49" s="8979" t="s">
        <v>130</v>
      </c>
      <c r="AI49" s="8980"/>
      <c r="AJ49" s="8979" t="s">
        <v>131</v>
      </c>
      <c r="AK49" s="8980"/>
      <c r="AL49" s="8979" t="s">
        <v>1916</v>
      </c>
      <c r="AM49" s="8986"/>
      <c r="AN49" s="8749"/>
      <c r="AO49" s="8749"/>
      <c r="AP49" s="8749"/>
      <c r="AQ49" s="4657"/>
      <c r="AR49" s="4657"/>
      <c r="AS49" s="4657"/>
      <c r="AT49" s="4657"/>
      <c r="AU49" s="4657"/>
      <c r="AV49" s="4657"/>
      <c r="AW49" s="4657"/>
      <c r="AX49" s="4657"/>
      <c r="AY49" s="4657"/>
      <c r="AZ49" s="4657"/>
      <c r="BA49" s="4657"/>
      <c r="BB49" s="4657"/>
    </row>
    <row r="50" spans="1:108" ht="16.350000000000001" customHeight="1" x14ac:dyDescent="0.2">
      <c r="A50" s="9014"/>
      <c r="B50" s="9015"/>
      <c r="C50" s="6287" t="s">
        <v>42</v>
      </c>
      <c r="D50" s="6288" t="s">
        <v>17</v>
      </c>
      <c r="E50" s="6289" t="s">
        <v>18</v>
      </c>
      <c r="F50" s="6290" t="s">
        <v>17</v>
      </c>
      <c r="G50" s="4521" t="s">
        <v>18</v>
      </c>
      <c r="H50" s="6290" t="s">
        <v>17</v>
      </c>
      <c r="I50" s="4521" t="s">
        <v>18</v>
      </c>
      <c r="J50" s="6290" t="s">
        <v>17</v>
      </c>
      <c r="K50" s="4521" t="s">
        <v>18</v>
      </c>
      <c r="L50" s="6290" t="s">
        <v>17</v>
      </c>
      <c r="M50" s="4521" t="s">
        <v>18</v>
      </c>
      <c r="N50" s="6290" t="s">
        <v>17</v>
      </c>
      <c r="O50" s="4521" t="s">
        <v>18</v>
      </c>
      <c r="P50" s="6290" t="s">
        <v>17</v>
      </c>
      <c r="Q50" s="4521" t="s">
        <v>18</v>
      </c>
      <c r="R50" s="6290" t="s">
        <v>17</v>
      </c>
      <c r="S50" s="4521" t="s">
        <v>18</v>
      </c>
      <c r="T50" s="6290" t="s">
        <v>17</v>
      </c>
      <c r="U50" s="4521" t="s">
        <v>18</v>
      </c>
      <c r="V50" s="6290" t="s">
        <v>17</v>
      </c>
      <c r="W50" s="4521" t="s">
        <v>18</v>
      </c>
      <c r="X50" s="6290" t="s">
        <v>17</v>
      </c>
      <c r="Y50" s="4521" t="s">
        <v>18</v>
      </c>
      <c r="Z50" s="6290" t="s">
        <v>17</v>
      </c>
      <c r="AA50" s="4521" t="s">
        <v>18</v>
      </c>
      <c r="AB50" s="6290" t="s">
        <v>17</v>
      </c>
      <c r="AC50" s="4521" t="s">
        <v>18</v>
      </c>
      <c r="AD50" s="6290" t="s">
        <v>17</v>
      </c>
      <c r="AE50" s="4521" t="s">
        <v>18</v>
      </c>
      <c r="AF50" s="6290" t="s">
        <v>17</v>
      </c>
      <c r="AG50" s="4521" t="s">
        <v>18</v>
      </c>
      <c r="AH50" s="6290" t="s">
        <v>17</v>
      </c>
      <c r="AI50" s="4521" t="s">
        <v>18</v>
      </c>
      <c r="AJ50" s="6290" t="s">
        <v>17</v>
      </c>
      <c r="AK50" s="4521" t="s">
        <v>18</v>
      </c>
      <c r="AL50" s="6291" t="s">
        <v>17</v>
      </c>
      <c r="AM50" s="4522" t="s">
        <v>18</v>
      </c>
      <c r="AN50" s="8660"/>
      <c r="AO50" s="8660"/>
      <c r="AP50" s="8660"/>
      <c r="AQ50" s="4657"/>
      <c r="AR50" s="4657"/>
      <c r="AS50" s="4657"/>
      <c r="AT50" s="4657"/>
      <c r="AU50" s="4657"/>
      <c r="AV50" s="4657"/>
      <c r="AW50" s="4657"/>
      <c r="AX50" s="4657"/>
      <c r="AY50" s="4657"/>
      <c r="AZ50" s="4657"/>
      <c r="BA50" s="4657"/>
      <c r="BB50" s="4657"/>
    </row>
    <row r="51" spans="1:108" ht="20.25" customHeight="1" x14ac:dyDescent="0.2">
      <c r="A51" s="4932" t="s">
        <v>739</v>
      </c>
      <c r="B51" s="6292" t="s">
        <v>1574</v>
      </c>
      <c r="C51" s="6183">
        <f>SUM(D51+E51)</f>
        <v>0</v>
      </c>
      <c r="D51" s="6184">
        <f>SUM(L51+N51+P51+R51+T51+V51+X51+Z51+AB51+AD51+AF51+AH51+AJ51+AL51)</f>
        <v>0</v>
      </c>
      <c r="E51" s="6175">
        <f>SUM(M51+O51+Q51+S51+U51+W51+Y51+AA51+AC51+AE51+AG51+AI51+AK51+AM51)</f>
        <v>0</v>
      </c>
      <c r="F51" s="7499"/>
      <c r="G51" s="7500"/>
      <c r="H51" s="7499"/>
      <c r="I51" s="7500"/>
      <c r="J51" s="7499"/>
      <c r="K51" s="7500"/>
      <c r="L51" s="6293"/>
      <c r="M51" s="6294"/>
      <c r="N51" s="6293"/>
      <c r="O51" s="6294"/>
      <c r="P51" s="6295"/>
      <c r="Q51" s="6294"/>
      <c r="R51" s="6295"/>
      <c r="S51" s="6294"/>
      <c r="T51" s="6295"/>
      <c r="U51" s="6294"/>
      <c r="V51" s="6295"/>
      <c r="W51" s="6294"/>
      <c r="X51" s="6295"/>
      <c r="Y51" s="6294"/>
      <c r="Z51" s="6295"/>
      <c r="AA51" s="6294"/>
      <c r="AB51" s="6295"/>
      <c r="AC51" s="6294"/>
      <c r="AD51" s="6295"/>
      <c r="AE51" s="6294"/>
      <c r="AF51" s="6295"/>
      <c r="AG51" s="6294"/>
      <c r="AH51" s="6295"/>
      <c r="AI51" s="6294"/>
      <c r="AJ51" s="6295"/>
      <c r="AK51" s="6294"/>
      <c r="AL51" s="6296"/>
      <c r="AM51" s="6297"/>
      <c r="AN51" s="6298"/>
      <c r="AO51" s="6298"/>
      <c r="AP51" s="6298"/>
      <c r="AQ51" s="5469" t="str">
        <f>CA51&amp;CB51&amp;CC51&amp;CD51</f>
        <v/>
      </c>
      <c r="AR51" s="4684"/>
      <c r="AS51" s="4684"/>
      <c r="AT51" s="4684"/>
      <c r="AU51" s="4684"/>
      <c r="AV51" s="4684"/>
      <c r="AW51" s="4684"/>
      <c r="AX51" s="4684"/>
      <c r="AY51" s="4684"/>
      <c r="AZ51" s="4684"/>
      <c r="BA51" s="4657"/>
      <c r="BB51" s="4657"/>
      <c r="CA51" s="4685" t="str">
        <f>IF(DA51=1,"* No olvide digitar la columna Beneficiarios y/o Pueblos Originarios y/o Migrantes. ","")</f>
        <v/>
      </c>
      <c r="CB51" s="4685" t="str">
        <f>IF(DB51=1,"* El número de Beneficiarios NO DEBE ser mayor que el total. ","")</f>
        <v/>
      </c>
      <c r="CC51" s="4685" t="str">
        <f>IF(DC51=1,"* El número de Personas pertenecientes a Pueblos Originarios NO DEBE ser mayor que el total. ","")</f>
        <v/>
      </c>
      <c r="CD51" s="4685" t="str">
        <f>IF(DD51=1,"* El número de Personas Migrantes NO DEBE ser mayor que el total. ","")</f>
        <v/>
      </c>
      <c r="CE51" s="5437"/>
      <c r="CF51" s="5437"/>
      <c r="CG51" s="5437"/>
      <c r="CH51" s="5437"/>
      <c r="DA51" s="5832">
        <f>IF(AND(C51&lt;&gt;0,OR(AP51="",AN51="",AO51="")),1,0)</f>
        <v>0</v>
      </c>
      <c r="DB51" s="5832">
        <f t="shared" ref="DB51:DD52" si="67">IF($C51&lt;AN51,1,0)</f>
        <v>0</v>
      </c>
      <c r="DC51" s="5832">
        <f t="shared" si="67"/>
        <v>0</v>
      </c>
      <c r="DD51" s="5832">
        <f t="shared" si="67"/>
        <v>0</v>
      </c>
    </row>
    <row r="52" spans="1:108" ht="20.25" customHeight="1" x14ac:dyDescent="0.2">
      <c r="A52" s="6299" t="s">
        <v>738</v>
      </c>
      <c r="B52" s="6300" t="s">
        <v>1574</v>
      </c>
      <c r="C52" s="6202">
        <f>SUM(D52+E52)</f>
        <v>0</v>
      </c>
      <c r="D52" s="6203">
        <f>SUM(L52+N52+P52+R52+T52+V52+X52+Z52+AB52+AD52+AF52+AH52+AJ52+AL52)</f>
        <v>0</v>
      </c>
      <c r="E52" s="6301">
        <f>SUM(M52+O52+Q52+S52+U52+W52+Y52+AA52+AC52+AE52+AG52+AI52+AK52+AM52)</f>
        <v>0</v>
      </c>
      <c r="F52" s="7501"/>
      <c r="G52" s="7502"/>
      <c r="H52" s="7501"/>
      <c r="I52" s="7502"/>
      <c r="J52" s="7501"/>
      <c r="K52" s="7502"/>
      <c r="L52" s="6302"/>
      <c r="M52" s="6303"/>
      <c r="N52" s="6302"/>
      <c r="O52" s="6303"/>
      <c r="P52" s="6206"/>
      <c r="Q52" s="6303"/>
      <c r="R52" s="6206"/>
      <c r="S52" s="6303"/>
      <c r="T52" s="6206"/>
      <c r="U52" s="6303"/>
      <c r="V52" s="6206"/>
      <c r="W52" s="6303"/>
      <c r="X52" s="6206"/>
      <c r="Y52" s="6303"/>
      <c r="Z52" s="6206"/>
      <c r="AA52" s="6303"/>
      <c r="AB52" s="6206"/>
      <c r="AC52" s="6303"/>
      <c r="AD52" s="6206"/>
      <c r="AE52" s="6303"/>
      <c r="AF52" s="6206"/>
      <c r="AG52" s="6303"/>
      <c r="AH52" s="6206"/>
      <c r="AI52" s="6303"/>
      <c r="AJ52" s="6206"/>
      <c r="AK52" s="6303"/>
      <c r="AL52" s="6304"/>
      <c r="AM52" s="6305"/>
      <c r="AN52" s="6306"/>
      <c r="AO52" s="6306"/>
      <c r="AP52" s="6306"/>
      <c r="AQ52" s="5469" t="str">
        <f>CA52&amp;CB52&amp;CC52&amp;CD52</f>
        <v/>
      </c>
      <c r="AR52" s="4684"/>
      <c r="AS52" s="4684"/>
      <c r="AT52" s="4684"/>
      <c r="AU52" s="4684"/>
      <c r="AV52" s="4684"/>
      <c r="AW52" s="4684"/>
      <c r="AX52" s="4684"/>
      <c r="AY52" s="4684"/>
      <c r="AZ52" s="4684"/>
      <c r="BA52" s="4657"/>
      <c r="BB52" s="4657"/>
      <c r="CA52" s="4685" t="str">
        <f>IF(DA52=1,"* No olvide digitar la columna Beneficiarios y/o Pueblos Originarios y/o Migrantes. ","")</f>
        <v/>
      </c>
      <c r="CB52" s="4685" t="str">
        <f>IF(DB52=1,"* El número de Beneficiarios NO DEBE ser mayor que el total. ","")</f>
        <v/>
      </c>
      <c r="CC52" s="4685" t="str">
        <f>IF(DC52=1,"* El número de Personas pertenecientes a Pueblos Originarios NO DEBE ser mayor que el total. ","")</f>
        <v/>
      </c>
      <c r="CD52" s="4685" t="str">
        <f>IF(DD52=1,"* El número de Personas Migrantes NO DEBE ser mayor que el total. ","")</f>
        <v/>
      </c>
      <c r="CE52" s="5437"/>
      <c r="CF52" s="5437"/>
      <c r="CG52" s="5437"/>
      <c r="CH52" s="5437"/>
      <c r="DA52" s="5832">
        <f>IF(AND(C52&lt;&gt;0,OR(AP52="",AN52="",AO52="")),1,0)</f>
        <v>0</v>
      </c>
      <c r="DB52" s="5832">
        <f t="shared" si="67"/>
        <v>0</v>
      </c>
      <c r="DC52" s="5832">
        <f t="shared" si="67"/>
        <v>0</v>
      </c>
      <c r="DD52" s="5832">
        <f t="shared" si="67"/>
        <v>0</v>
      </c>
    </row>
    <row r="53" spans="1:108" ht="31.35" customHeight="1" x14ac:dyDescent="0.2">
      <c r="A53" s="9027" t="s">
        <v>1573</v>
      </c>
      <c r="B53" s="9027"/>
      <c r="C53" s="9027"/>
      <c r="D53" s="9027"/>
      <c r="E53" s="9027"/>
      <c r="F53" s="9027"/>
      <c r="G53" s="9027"/>
      <c r="H53" s="9027"/>
      <c r="I53" s="9027"/>
      <c r="J53" s="9027"/>
      <c r="K53" s="9027"/>
      <c r="L53" s="9027"/>
      <c r="M53" s="9027"/>
      <c r="N53" s="6307"/>
      <c r="O53" s="6285"/>
      <c r="P53" s="6285"/>
      <c r="Q53" s="6285"/>
      <c r="R53" s="6285"/>
      <c r="S53" s="6285"/>
      <c r="T53" s="6285"/>
      <c r="U53" s="6285"/>
      <c r="V53" s="6308"/>
      <c r="W53" s="6285"/>
      <c r="X53" s="6285"/>
      <c r="Y53" s="6285"/>
      <c r="Z53" s="6285"/>
      <c r="AA53" s="6285"/>
      <c r="AB53" s="6285"/>
      <c r="AC53" s="6285"/>
      <c r="AD53" s="6285"/>
      <c r="AE53" s="6285"/>
      <c r="AF53" s="6285"/>
      <c r="AG53" s="6285"/>
      <c r="AH53" s="6285"/>
      <c r="AI53" s="6285"/>
      <c r="AJ53" s="6285"/>
      <c r="AK53" s="6285"/>
      <c r="AL53" s="6285"/>
      <c r="AM53" s="6285"/>
      <c r="AN53" s="6285"/>
      <c r="AO53" s="6019"/>
      <c r="AP53" s="6286"/>
      <c r="AQ53" s="4657"/>
      <c r="AR53" s="4657"/>
      <c r="AS53" s="4657"/>
      <c r="AT53" s="4657"/>
      <c r="AU53" s="4657"/>
      <c r="AV53" s="4657"/>
      <c r="AW53" s="4657"/>
      <c r="AX53" s="4657"/>
      <c r="AY53" s="4657"/>
      <c r="AZ53" s="4657"/>
      <c r="BA53" s="4657"/>
      <c r="BB53" s="4657"/>
    </row>
    <row r="54" spans="1:108" ht="16.350000000000001" customHeight="1" x14ac:dyDescent="0.2">
      <c r="A54" s="9010" t="s">
        <v>41</v>
      </c>
      <c r="B54" s="9011"/>
      <c r="C54" s="8987" t="s">
        <v>86</v>
      </c>
      <c r="D54" s="8987"/>
      <c r="E54" s="8988"/>
      <c r="F54" s="9030" t="s">
        <v>84</v>
      </c>
      <c r="G54" s="9031"/>
      <c r="H54" s="9031"/>
      <c r="I54" s="9031"/>
      <c r="J54" s="9031"/>
      <c r="K54" s="9031"/>
      <c r="L54" s="9031"/>
      <c r="M54" s="9031"/>
      <c r="N54" s="9031"/>
      <c r="O54" s="9031"/>
      <c r="P54" s="9031"/>
      <c r="Q54" s="9031"/>
      <c r="R54" s="9031"/>
      <c r="S54" s="9031"/>
      <c r="T54" s="9031"/>
      <c r="U54" s="9031"/>
      <c r="V54" s="9031"/>
      <c r="W54" s="9031"/>
      <c r="X54" s="9031"/>
      <c r="Y54" s="9031"/>
      <c r="Z54" s="9031"/>
      <c r="AA54" s="9031"/>
      <c r="AB54" s="9031"/>
      <c r="AC54" s="9031"/>
      <c r="AD54" s="9031"/>
      <c r="AE54" s="9031"/>
      <c r="AF54" s="9031"/>
      <c r="AG54" s="9031"/>
      <c r="AH54" s="9031"/>
      <c r="AI54" s="9031"/>
      <c r="AJ54" s="9031"/>
      <c r="AK54" s="9031"/>
      <c r="AL54" s="9031"/>
      <c r="AM54" s="9032"/>
      <c r="AN54" s="8741" t="s">
        <v>360</v>
      </c>
      <c r="AO54" s="8741" t="s">
        <v>359</v>
      </c>
      <c r="AP54" s="4657"/>
      <c r="AQ54" s="4657"/>
      <c r="AR54" s="4657"/>
      <c r="AS54" s="4657"/>
      <c r="AT54" s="4657"/>
      <c r="AU54" s="4657"/>
      <c r="AV54" s="4657"/>
      <c r="AW54" s="4657"/>
      <c r="AX54" s="4657"/>
      <c r="AY54" s="4657"/>
      <c r="AZ54" s="4657"/>
      <c r="BA54" s="4657"/>
      <c r="BW54" s="4652"/>
    </row>
    <row r="55" spans="1:108" ht="16.350000000000001" customHeight="1" x14ac:dyDescent="0.2">
      <c r="A55" s="9012"/>
      <c r="B55" s="9013"/>
      <c r="C55" s="8989"/>
      <c r="D55" s="8989"/>
      <c r="E55" s="8990"/>
      <c r="F55" s="8977" t="s">
        <v>397</v>
      </c>
      <c r="G55" s="8978"/>
      <c r="H55" s="8977" t="s">
        <v>54</v>
      </c>
      <c r="I55" s="8978"/>
      <c r="J55" s="8977" t="s">
        <v>79</v>
      </c>
      <c r="K55" s="8978"/>
      <c r="L55" s="8977" t="s">
        <v>80</v>
      </c>
      <c r="M55" s="8978"/>
      <c r="N55" s="8977" t="s">
        <v>81</v>
      </c>
      <c r="O55" s="8978"/>
      <c r="P55" s="8979" t="s">
        <v>82</v>
      </c>
      <c r="Q55" s="8980"/>
      <c r="R55" s="8979" t="s">
        <v>83</v>
      </c>
      <c r="S55" s="8980"/>
      <c r="T55" s="8979" t="s">
        <v>398</v>
      </c>
      <c r="U55" s="8980"/>
      <c r="V55" s="8979" t="s">
        <v>124</v>
      </c>
      <c r="W55" s="8980"/>
      <c r="X55" s="8979" t="s">
        <v>125</v>
      </c>
      <c r="Y55" s="8980"/>
      <c r="Z55" s="8979" t="s">
        <v>126</v>
      </c>
      <c r="AA55" s="8980"/>
      <c r="AB55" s="8979" t="s">
        <v>127</v>
      </c>
      <c r="AC55" s="8980"/>
      <c r="AD55" s="8979" t="s">
        <v>128</v>
      </c>
      <c r="AE55" s="8980"/>
      <c r="AF55" s="8979" t="s">
        <v>129</v>
      </c>
      <c r="AG55" s="8980"/>
      <c r="AH55" s="8979" t="s">
        <v>130</v>
      </c>
      <c r="AI55" s="8980"/>
      <c r="AJ55" s="8979" t="s">
        <v>131</v>
      </c>
      <c r="AK55" s="8980"/>
      <c r="AL55" s="8979" t="s">
        <v>1916</v>
      </c>
      <c r="AM55" s="8986"/>
      <c r="AN55" s="8749"/>
      <c r="AO55" s="8749"/>
      <c r="AP55" s="4657"/>
      <c r="AQ55" s="4657"/>
      <c r="AR55" s="4657"/>
      <c r="AS55" s="4657"/>
      <c r="AT55" s="4657"/>
      <c r="AU55" s="4657"/>
      <c r="AV55" s="4657"/>
      <c r="AW55" s="4657"/>
      <c r="AX55" s="4657"/>
      <c r="AY55" s="4657"/>
      <c r="AZ55" s="4657"/>
      <c r="BA55" s="4657"/>
      <c r="BW55" s="4652"/>
    </row>
    <row r="56" spans="1:108" ht="16.350000000000001" customHeight="1" x14ac:dyDescent="0.2">
      <c r="A56" s="9014"/>
      <c r="B56" s="9015"/>
      <c r="C56" s="6309" t="s">
        <v>42</v>
      </c>
      <c r="D56" s="6310" t="s">
        <v>17</v>
      </c>
      <c r="E56" s="6311" t="s">
        <v>18</v>
      </c>
      <c r="F56" s="4332" t="s">
        <v>17</v>
      </c>
      <c r="G56" s="4333" t="s">
        <v>18</v>
      </c>
      <c r="H56" s="4332" t="s">
        <v>17</v>
      </c>
      <c r="I56" s="4333" t="s">
        <v>18</v>
      </c>
      <c r="J56" s="4332" t="s">
        <v>17</v>
      </c>
      <c r="K56" s="4333" t="s">
        <v>18</v>
      </c>
      <c r="L56" s="4332" t="s">
        <v>17</v>
      </c>
      <c r="M56" s="4333" t="s">
        <v>18</v>
      </c>
      <c r="N56" s="4332" t="s">
        <v>17</v>
      </c>
      <c r="O56" s="4333" t="s">
        <v>18</v>
      </c>
      <c r="P56" s="4332" t="s">
        <v>17</v>
      </c>
      <c r="Q56" s="4333" t="s">
        <v>18</v>
      </c>
      <c r="R56" s="4332" t="s">
        <v>17</v>
      </c>
      <c r="S56" s="4333" t="s">
        <v>18</v>
      </c>
      <c r="T56" s="4332" t="s">
        <v>17</v>
      </c>
      <c r="U56" s="4333" t="s">
        <v>18</v>
      </c>
      <c r="V56" s="4332" t="s">
        <v>17</v>
      </c>
      <c r="W56" s="4333" t="s">
        <v>18</v>
      </c>
      <c r="X56" s="4332" t="s">
        <v>17</v>
      </c>
      <c r="Y56" s="4333" t="s">
        <v>18</v>
      </c>
      <c r="Z56" s="4332" t="s">
        <v>17</v>
      </c>
      <c r="AA56" s="4333" t="s">
        <v>18</v>
      </c>
      <c r="AB56" s="4332" t="s">
        <v>17</v>
      </c>
      <c r="AC56" s="4333" t="s">
        <v>18</v>
      </c>
      <c r="AD56" s="4332" t="s">
        <v>17</v>
      </c>
      <c r="AE56" s="4333" t="s">
        <v>18</v>
      </c>
      <c r="AF56" s="4332" t="s">
        <v>17</v>
      </c>
      <c r="AG56" s="4333" t="s">
        <v>18</v>
      </c>
      <c r="AH56" s="4332" t="s">
        <v>17</v>
      </c>
      <c r="AI56" s="4333" t="s">
        <v>18</v>
      </c>
      <c r="AJ56" s="4332" t="s">
        <v>17</v>
      </c>
      <c r="AK56" s="4333" t="s">
        <v>18</v>
      </c>
      <c r="AL56" s="4081" t="s">
        <v>17</v>
      </c>
      <c r="AM56" s="6312" t="s">
        <v>18</v>
      </c>
      <c r="AN56" s="8660"/>
      <c r="AO56" s="8660"/>
      <c r="AP56" s="4657"/>
      <c r="AQ56" s="4657"/>
      <c r="AR56" s="4657"/>
      <c r="AS56" s="4657"/>
      <c r="AT56" s="4657"/>
      <c r="AU56" s="4657"/>
      <c r="AV56" s="4657"/>
      <c r="AW56" s="4657"/>
      <c r="AX56" s="4657"/>
      <c r="AY56" s="4657"/>
      <c r="AZ56" s="4657"/>
      <c r="BA56" s="4657"/>
      <c r="BW56" s="4652"/>
    </row>
    <row r="57" spans="1:108" ht="16.350000000000001" customHeight="1" x14ac:dyDescent="0.2">
      <c r="A57" s="8996" t="s">
        <v>1572</v>
      </c>
      <c r="B57" s="6313" t="s">
        <v>2583</v>
      </c>
      <c r="C57" s="6153">
        <f>SUM(D57+E57)</f>
        <v>0</v>
      </c>
      <c r="D57" s="6154">
        <f t="shared" ref="D57:E62" si="68">SUM(H57+J57+L57+N57+P57+R57+T57+V57+X57+Z57+AB57+AD57+AF57+AH57+AJ57+AL57)</f>
        <v>0</v>
      </c>
      <c r="E57" s="6155">
        <f t="shared" si="68"/>
        <v>0</v>
      </c>
      <c r="F57" s="4347"/>
      <c r="G57" s="4348"/>
      <c r="H57" s="4285"/>
      <c r="I57" s="4204"/>
      <c r="J57" s="4285"/>
      <c r="K57" s="4200"/>
      <c r="L57" s="4285"/>
      <c r="M57" s="4200"/>
      <c r="N57" s="4285"/>
      <c r="O57" s="4200"/>
      <c r="P57" s="6314"/>
      <c r="Q57" s="4200"/>
      <c r="R57" s="6314"/>
      <c r="S57" s="4200"/>
      <c r="T57" s="6314"/>
      <c r="U57" s="4200"/>
      <c r="V57" s="6314"/>
      <c r="W57" s="4200"/>
      <c r="X57" s="6314"/>
      <c r="Y57" s="4200"/>
      <c r="Z57" s="6314"/>
      <c r="AA57" s="4200"/>
      <c r="AB57" s="6314"/>
      <c r="AC57" s="4200"/>
      <c r="AD57" s="6314"/>
      <c r="AE57" s="4200"/>
      <c r="AF57" s="6314"/>
      <c r="AG57" s="4200"/>
      <c r="AH57" s="6314"/>
      <c r="AI57" s="4200"/>
      <c r="AJ57" s="6314"/>
      <c r="AK57" s="4200"/>
      <c r="AL57" s="6314"/>
      <c r="AM57" s="4287"/>
      <c r="AN57" s="6315"/>
      <c r="AO57" s="6315"/>
      <c r="AP57" s="5469" t="str">
        <f t="shared" ref="AP57:AP78" si="69">CA57&amp;CB57&amp;CC57&amp;CD57</f>
        <v/>
      </c>
      <c r="AR57" s="4684"/>
      <c r="AS57" s="4684"/>
      <c r="AT57" s="4684"/>
      <c r="AU57" s="4684"/>
      <c r="AV57" s="4684"/>
      <c r="AW57" s="4684"/>
      <c r="AX57" s="4684"/>
      <c r="AY57" s="4684"/>
      <c r="AZ57" s="4657"/>
      <c r="BA57" s="4657"/>
      <c r="BW57" s="4652"/>
      <c r="CA57" s="4685" t="str">
        <f>IF(DA57=1,"* No olvide digitar la columna Pueblos Originarios y/o Migrantes. ","")</f>
        <v/>
      </c>
      <c r="CB57" s="4685" t="str">
        <f t="shared" ref="CB57:CB78" si="70">IF(DB57=1,"* El número de Personas pertenecientes a Pueblos Originarios NO DEBE ser mayor que el total. ","")</f>
        <v/>
      </c>
      <c r="CC57" s="4685" t="str">
        <f t="shared" ref="CC57:CC78" si="71">IF(DC57=1,"* El número de Personas Migrantes NO DEBE ser mayor que el total. ","")</f>
        <v/>
      </c>
      <c r="CG57" s="5437"/>
      <c r="CH57" s="5437"/>
      <c r="DA57" s="5832">
        <f>IF(AND(C57&lt;&gt;0,OR(AN57="",AO57="")),1,0)</f>
        <v>0</v>
      </c>
      <c r="DB57" s="5832">
        <f t="shared" ref="DB57:DB78" si="72">IF($C57&lt;AN57,1,0)</f>
        <v>0</v>
      </c>
      <c r="DC57" s="5832">
        <f t="shared" ref="DC57:DC78" si="73">IF($C57&lt;AO57,1,0)</f>
        <v>0</v>
      </c>
    </row>
    <row r="58" spans="1:108" ht="16.350000000000001" customHeight="1" x14ac:dyDescent="0.2">
      <c r="A58" s="8814"/>
      <c r="B58" s="6316" t="s">
        <v>2594</v>
      </c>
      <c r="C58" s="6162">
        <f t="shared" ref="C58:C78" si="74">SUM(D58+E58)</f>
        <v>0</v>
      </c>
      <c r="D58" s="6163">
        <f t="shared" si="68"/>
        <v>0</v>
      </c>
      <c r="E58" s="6164">
        <f t="shared" si="68"/>
        <v>0</v>
      </c>
      <c r="F58" s="6317"/>
      <c r="G58" s="6318"/>
      <c r="H58" s="4356"/>
      <c r="I58" s="4288"/>
      <c r="J58" s="4356"/>
      <c r="K58" s="4357"/>
      <c r="L58" s="4356"/>
      <c r="M58" s="4357"/>
      <c r="N58" s="4356"/>
      <c r="O58" s="4357"/>
      <c r="P58" s="4358"/>
      <c r="Q58" s="4357"/>
      <c r="R58" s="4358"/>
      <c r="S58" s="4357"/>
      <c r="T58" s="4358"/>
      <c r="U58" s="4357"/>
      <c r="V58" s="4358"/>
      <c r="W58" s="4357"/>
      <c r="X58" s="4358"/>
      <c r="Y58" s="4357"/>
      <c r="Z58" s="4358"/>
      <c r="AA58" s="4357"/>
      <c r="AB58" s="4358"/>
      <c r="AC58" s="4357"/>
      <c r="AD58" s="4358"/>
      <c r="AE58" s="4357"/>
      <c r="AF58" s="4358"/>
      <c r="AG58" s="4357"/>
      <c r="AH58" s="4358"/>
      <c r="AI58" s="4357"/>
      <c r="AJ58" s="4358"/>
      <c r="AK58" s="4357"/>
      <c r="AL58" s="4358"/>
      <c r="AM58" s="4531"/>
      <c r="AN58" s="6319"/>
      <c r="AO58" s="6319"/>
      <c r="AP58" s="5469" t="str">
        <f t="shared" si="69"/>
        <v/>
      </c>
      <c r="AR58" s="4684"/>
      <c r="AS58" s="4684"/>
      <c r="AT58" s="4684"/>
      <c r="AU58" s="4684"/>
      <c r="AV58" s="4684"/>
      <c r="AW58" s="4684"/>
      <c r="AX58" s="4684"/>
      <c r="AY58" s="4684"/>
      <c r="AZ58" s="4657"/>
      <c r="BA58" s="4657"/>
      <c r="BW58" s="4652"/>
      <c r="CA58" s="4685" t="str">
        <f t="shared" ref="CA58:CA78" si="75">IF(DA58=1,"* No olvide digitar la columna Pueblos Originarios y/o Migrantes. ","")</f>
        <v/>
      </c>
      <c r="CB58" s="4685" t="str">
        <f t="shared" si="70"/>
        <v/>
      </c>
      <c r="CC58" s="4685" t="str">
        <f t="shared" si="71"/>
        <v/>
      </c>
      <c r="CG58" s="5437"/>
      <c r="CH58" s="5437"/>
      <c r="DA58" s="5832">
        <f t="shared" ref="DA58:DA78" si="76">IF(AND(C58&lt;&gt;0,OR(AN58="",AO58="")),1,0)</f>
        <v>0</v>
      </c>
      <c r="DB58" s="5832">
        <f t="shared" si="72"/>
        <v>0</v>
      </c>
      <c r="DC58" s="5832">
        <f t="shared" si="73"/>
        <v>0</v>
      </c>
    </row>
    <row r="59" spans="1:108" ht="16.350000000000001" customHeight="1" x14ac:dyDescent="0.2">
      <c r="A59" s="8814"/>
      <c r="B59" s="6316" t="s">
        <v>60</v>
      </c>
      <c r="C59" s="6162">
        <f t="shared" si="74"/>
        <v>0</v>
      </c>
      <c r="D59" s="6163">
        <f t="shared" si="68"/>
        <v>0</v>
      </c>
      <c r="E59" s="6164">
        <f t="shared" si="68"/>
        <v>0</v>
      </c>
      <c r="F59" s="6317"/>
      <c r="G59" s="6318"/>
      <c r="H59" s="4356"/>
      <c r="I59" s="4288"/>
      <c r="J59" s="4356"/>
      <c r="K59" s="4357"/>
      <c r="L59" s="4356"/>
      <c r="M59" s="4357"/>
      <c r="N59" s="4356"/>
      <c r="O59" s="4357"/>
      <c r="P59" s="4358"/>
      <c r="Q59" s="4357"/>
      <c r="R59" s="4358"/>
      <c r="S59" s="4357"/>
      <c r="T59" s="4358"/>
      <c r="U59" s="4357"/>
      <c r="V59" s="4358"/>
      <c r="W59" s="4357"/>
      <c r="X59" s="4358"/>
      <c r="Y59" s="4357"/>
      <c r="Z59" s="4358"/>
      <c r="AA59" s="4357"/>
      <c r="AB59" s="4358"/>
      <c r="AC59" s="4357"/>
      <c r="AD59" s="4358"/>
      <c r="AE59" s="4357"/>
      <c r="AF59" s="4358"/>
      <c r="AG59" s="4357"/>
      <c r="AH59" s="4358"/>
      <c r="AI59" s="4357"/>
      <c r="AJ59" s="4358"/>
      <c r="AK59" s="4357"/>
      <c r="AL59" s="4358"/>
      <c r="AM59" s="4531"/>
      <c r="AN59" s="6319"/>
      <c r="AO59" s="6319"/>
      <c r="AP59" s="5469" t="str">
        <f t="shared" si="69"/>
        <v/>
      </c>
      <c r="AR59" s="4684"/>
      <c r="AS59" s="4684"/>
      <c r="AT59" s="4684"/>
      <c r="AU59" s="4684"/>
      <c r="AV59" s="4684"/>
      <c r="AW59" s="4684"/>
      <c r="AX59" s="4684"/>
      <c r="AY59" s="4684"/>
      <c r="AZ59" s="4657"/>
      <c r="BA59" s="4657"/>
      <c r="BW59" s="4652"/>
      <c r="CA59" s="4685" t="str">
        <f t="shared" si="75"/>
        <v/>
      </c>
      <c r="CB59" s="4685" t="str">
        <f t="shared" si="70"/>
        <v/>
      </c>
      <c r="CC59" s="4685" t="str">
        <f t="shared" si="71"/>
        <v/>
      </c>
      <c r="CG59" s="5437"/>
      <c r="CH59" s="5437"/>
      <c r="DA59" s="5832">
        <f t="shared" si="76"/>
        <v>0</v>
      </c>
      <c r="DB59" s="5832">
        <f t="shared" si="72"/>
        <v>0</v>
      </c>
      <c r="DC59" s="5832">
        <f t="shared" si="73"/>
        <v>0</v>
      </c>
    </row>
    <row r="60" spans="1:108" ht="16.350000000000001" customHeight="1" x14ac:dyDescent="0.2">
      <c r="A60" s="8814"/>
      <c r="B60" s="6316" t="s">
        <v>1566</v>
      </c>
      <c r="C60" s="6162">
        <f t="shared" si="74"/>
        <v>0</v>
      </c>
      <c r="D60" s="6163">
        <f t="shared" si="68"/>
        <v>0</v>
      </c>
      <c r="E60" s="6164">
        <f t="shared" si="68"/>
        <v>0</v>
      </c>
      <c r="F60" s="6317"/>
      <c r="G60" s="6318"/>
      <c r="H60" s="4356"/>
      <c r="I60" s="4288"/>
      <c r="J60" s="4356"/>
      <c r="K60" s="4357"/>
      <c r="L60" s="4356"/>
      <c r="M60" s="4357"/>
      <c r="N60" s="4356"/>
      <c r="O60" s="4357"/>
      <c r="P60" s="4358"/>
      <c r="Q60" s="4357"/>
      <c r="R60" s="4358"/>
      <c r="S60" s="4357"/>
      <c r="T60" s="4358"/>
      <c r="U60" s="4357"/>
      <c r="V60" s="4358"/>
      <c r="W60" s="4357"/>
      <c r="X60" s="4358"/>
      <c r="Y60" s="4357"/>
      <c r="Z60" s="4358"/>
      <c r="AA60" s="4357"/>
      <c r="AB60" s="4358"/>
      <c r="AC60" s="4357"/>
      <c r="AD60" s="4358"/>
      <c r="AE60" s="4357"/>
      <c r="AF60" s="4358"/>
      <c r="AG60" s="4357"/>
      <c r="AH60" s="4358"/>
      <c r="AI60" s="4357"/>
      <c r="AJ60" s="4358"/>
      <c r="AK60" s="4357"/>
      <c r="AL60" s="4358"/>
      <c r="AM60" s="4531"/>
      <c r="AN60" s="6319"/>
      <c r="AO60" s="6319"/>
      <c r="AP60" s="5469" t="str">
        <f t="shared" si="69"/>
        <v/>
      </c>
      <c r="AR60" s="4684"/>
      <c r="AS60" s="4684"/>
      <c r="AT60" s="4684"/>
      <c r="AU60" s="4684"/>
      <c r="AV60" s="4684"/>
      <c r="AW60" s="4684"/>
      <c r="AX60" s="4684"/>
      <c r="AY60" s="4684"/>
      <c r="AZ60" s="4657"/>
      <c r="BA60" s="4657"/>
      <c r="BW60" s="4652"/>
      <c r="CA60" s="4685" t="str">
        <f t="shared" si="75"/>
        <v/>
      </c>
      <c r="CB60" s="4685" t="str">
        <f t="shared" si="70"/>
        <v/>
      </c>
      <c r="CC60" s="4685" t="str">
        <f t="shared" si="71"/>
        <v/>
      </c>
      <c r="CG60" s="5437"/>
      <c r="CH60" s="5437"/>
      <c r="DA60" s="5832">
        <f t="shared" si="76"/>
        <v>0</v>
      </c>
      <c r="DB60" s="5832">
        <f t="shared" si="72"/>
        <v>0</v>
      </c>
      <c r="DC60" s="5832">
        <f t="shared" si="73"/>
        <v>0</v>
      </c>
    </row>
    <row r="61" spans="1:108" ht="16.350000000000001" customHeight="1" x14ac:dyDescent="0.2">
      <c r="A61" s="8814"/>
      <c r="B61" s="6316" t="s">
        <v>2590</v>
      </c>
      <c r="C61" s="6162">
        <f t="shared" si="74"/>
        <v>0</v>
      </c>
      <c r="D61" s="6163">
        <f t="shared" si="68"/>
        <v>0</v>
      </c>
      <c r="E61" s="6164">
        <f t="shared" si="68"/>
        <v>0</v>
      </c>
      <c r="F61" s="6317"/>
      <c r="G61" s="6318"/>
      <c r="H61" s="4356"/>
      <c r="I61" s="4288"/>
      <c r="J61" s="4356"/>
      <c r="K61" s="4357"/>
      <c r="L61" s="4356"/>
      <c r="M61" s="4357"/>
      <c r="N61" s="4356"/>
      <c r="O61" s="4357"/>
      <c r="P61" s="4358"/>
      <c r="Q61" s="4357"/>
      <c r="R61" s="4358"/>
      <c r="S61" s="4357"/>
      <c r="T61" s="4358"/>
      <c r="U61" s="4357"/>
      <c r="V61" s="4358"/>
      <c r="W61" s="4357"/>
      <c r="X61" s="4358"/>
      <c r="Y61" s="4357"/>
      <c r="Z61" s="4358"/>
      <c r="AA61" s="4357"/>
      <c r="AB61" s="4358"/>
      <c r="AC61" s="4357"/>
      <c r="AD61" s="4358"/>
      <c r="AE61" s="4357"/>
      <c r="AF61" s="4358"/>
      <c r="AG61" s="4357"/>
      <c r="AH61" s="4358"/>
      <c r="AI61" s="4357"/>
      <c r="AJ61" s="4358"/>
      <c r="AK61" s="4357"/>
      <c r="AL61" s="4358"/>
      <c r="AM61" s="4531"/>
      <c r="AN61" s="6319"/>
      <c r="AO61" s="6319"/>
      <c r="AP61" s="5469" t="str">
        <f t="shared" si="69"/>
        <v/>
      </c>
      <c r="AR61" s="4684"/>
      <c r="AS61" s="4684"/>
      <c r="AT61" s="4684"/>
      <c r="AU61" s="4684"/>
      <c r="AV61" s="4684"/>
      <c r="AW61" s="4684"/>
      <c r="AX61" s="4684"/>
      <c r="AY61" s="4684"/>
      <c r="AZ61" s="4657"/>
      <c r="BA61" s="4657"/>
      <c r="BW61" s="4652"/>
      <c r="CA61" s="4685" t="str">
        <f t="shared" si="75"/>
        <v/>
      </c>
      <c r="CB61" s="4685" t="str">
        <f t="shared" si="70"/>
        <v/>
      </c>
      <c r="CC61" s="4685" t="str">
        <f t="shared" si="71"/>
        <v/>
      </c>
      <c r="CG61" s="5437"/>
      <c r="CH61" s="5437"/>
      <c r="DA61" s="5832">
        <f t="shared" si="76"/>
        <v>0</v>
      </c>
      <c r="DB61" s="5832">
        <f t="shared" si="72"/>
        <v>0</v>
      </c>
      <c r="DC61" s="5832">
        <f t="shared" si="73"/>
        <v>0</v>
      </c>
    </row>
    <row r="62" spans="1:108" ht="16.350000000000001" customHeight="1" x14ac:dyDescent="0.2">
      <c r="A62" s="8997"/>
      <c r="B62" s="6320" t="s">
        <v>63</v>
      </c>
      <c r="C62" s="6321">
        <f t="shared" si="74"/>
        <v>0</v>
      </c>
      <c r="D62" s="6173">
        <f t="shared" si="68"/>
        <v>0</v>
      </c>
      <c r="E62" s="6322">
        <f t="shared" si="68"/>
        <v>0</v>
      </c>
      <c r="F62" s="4365"/>
      <c r="G62" s="4366"/>
      <c r="H62" s="4367"/>
      <c r="I62" s="4369"/>
      <c r="J62" s="4367"/>
      <c r="K62" s="4368"/>
      <c r="L62" s="4367"/>
      <c r="M62" s="4368"/>
      <c r="N62" s="4367"/>
      <c r="O62" s="4368"/>
      <c r="P62" s="4383"/>
      <c r="Q62" s="4368"/>
      <c r="R62" s="4383"/>
      <c r="S62" s="4368"/>
      <c r="T62" s="4383"/>
      <c r="U62" s="4368"/>
      <c r="V62" s="4383"/>
      <c r="W62" s="4368"/>
      <c r="X62" s="4383"/>
      <c r="Y62" s="4368"/>
      <c r="Z62" s="4383"/>
      <c r="AA62" s="4368"/>
      <c r="AB62" s="4383"/>
      <c r="AC62" s="4368"/>
      <c r="AD62" s="4383"/>
      <c r="AE62" s="4368"/>
      <c r="AF62" s="4383"/>
      <c r="AG62" s="4368"/>
      <c r="AH62" s="4383"/>
      <c r="AI62" s="4368"/>
      <c r="AJ62" s="4383"/>
      <c r="AK62" s="4368"/>
      <c r="AL62" s="4383"/>
      <c r="AM62" s="4384"/>
      <c r="AN62" s="6323"/>
      <c r="AO62" s="6323"/>
      <c r="AP62" s="5469" t="str">
        <f t="shared" si="69"/>
        <v/>
      </c>
      <c r="AR62" s="4684"/>
      <c r="AS62" s="4684"/>
      <c r="AT62" s="4684"/>
      <c r="AU62" s="4684"/>
      <c r="AV62" s="4684"/>
      <c r="AW62" s="4684"/>
      <c r="AX62" s="4684"/>
      <c r="AY62" s="4684"/>
      <c r="AZ62" s="4657"/>
      <c r="BA62" s="4657"/>
      <c r="BW62" s="4652"/>
      <c r="CA62" s="4685" t="str">
        <f t="shared" si="75"/>
        <v/>
      </c>
      <c r="CB62" s="4685" t="str">
        <f t="shared" si="70"/>
        <v/>
      </c>
      <c r="CC62" s="4685" t="str">
        <f t="shared" si="71"/>
        <v/>
      </c>
      <c r="CG62" s="5437"/>
      <c r="CH62" s="5437"/>
      <c r="DA62" s="5832">
        <f t="shared" si="76"/>
        <v>0</v>
      </c>
      <c r="DB62" s="5832">
        <f t="shared" si="72"/>
        <v>0</v>
      </c>
      <c r="DC62" s="5832">
        <f t="shared" si="73"/>
        <v>0</v>
      </c>
    </row>
    <row r="63" spans="1:108" ht="16.350000000000001" customHeight="1" x14ac:dyDescent="0.2">
      <c r="A63" s="8996" t="s">
        <v>1571</v>
      </c>
      <c r="B63" s="6313" t="s">
        <v>60</v>
      </c>
      <c r="C63" s="6153">
        <f t="shared" si="74"/>
        <v>0</v>
      </c>
      <c r="D63" s="6154">
        <f t="shared" ref="D63:E68" si="77">SUM(J63+L63+N63)</f>
        <v>0</v>
      </c>
      <c r="E63" s="6155">
        <f t="shared" si="77"/>
        <v>0</v>
      </c>
      <c r="F63" s="4347"/>
      <c r="G63" s="4348"/>
      <c r="H63" s="4347"/>
      <c r="I63" s="4348"/>
      <c r="J63" s="4285"/>
      <c r="K63" s="4200"/>
      <c r="L63" s="4285"/>
      <c r="M63" s="4200"/>
      <c r="N63" s="4285"/>
      <c r="O63" s="4200"/>
      <c r="P63" s="6324"/>
      <c r="Q63" s="6325"/>
      <c r="R63" s="6324"/>
      <c r="S63" s="6325"/>
      <c r="T63" s="6324"/>
      <c r="U63" s="6325"/>
      <c r="V63" s="6324"/>
      <c r="W63" s="6325"/>
      <c r="X63" s="6324"/>
      <c r="Y63" s="6325"/>
      <c r="Z63" s="6324"/>
      <c r="AA63" s="6325"/>
      <c r="AB63" s="6324"/>
      <c r="AC63" s="6325"/>
      <c r="AD63" s="6324"/>
      <c r="AE63" s="6325"/>
      <c r="AF63" s="6324"/>
      <c r="AG63" s="6325"/>
      <c r="AH63" s="6324"/>
      <c r="AI63" s="6325"/>
      <c r="AJ63" s="4347"/>
      <c r="AK63" s="6325"/>
      <c r="AL63" s="6324"/>
      <c r="AM63" s="6326"/>
      <c r="AN63" s="6315"/>
      <c r="AO63" s="6315"/>
      <c r="AP63" s="5469" t="str">
        <f t="shared" si="69"/>
        <v/>
      </c>
      <c r="AR63" s="4684"/>
      <c r="AS63" s="4684"/>
      <c r="AT63" s="4684"/>
      <c r="AU63" s="4684"/>
      <c r="AV63" s="4684"/>
      <c r="AW63" s="4684"/>
      <c r="AX63" s="4684"/>
      <c r="AY63" s="4684"/>
      <c r="AZ63" s="4657"/>
      <c r="BA63" s="4657"/>
      <c r="BW63" s="4652"/>
      <c r="CA63" s="4685" t="str">
        <f t="shared" si="75"/>
        <v/>
      </c>
      <c r="CB63" s="4685" t="str">
        <f t="shared" si="70"/>
        <v/>
      </c>
      <c r="CC63" s="4685" t="str">
        <f t="shared" si="71"/>
        <v/>
      </c>
      <c r="CG63" s="5437"/>
      <c r="CH63" s="5437"/>
      <c r="DA63" s="5832">
        <f t="shared" si="76"/>
        <v>0</v>
      </c>
      <c r="DB63" s="5832">
        <f t="shared" si="72"/>
        <v>0</v>
      </c>
      <c r="DC63" s="5832">
        <f t="shared" si="73"/>
        <v>0</v>
      </c>
    </row>
    <row r="64" spans="1:108" ht="16.350000000000001" customHeight="1" x14ac:dyDescent="0.2">
      <c r="A64" s="8997"/>
      <c r="B64" s="6316" t="s">
        <v>2590</v>
      </c>
      <c r="C64" s="6321">
        <f t="shared" si="74"/>
        <v>0</v>
      </c>
      <c r="D64" s="6173">
        <f t="shared" si="77"/>
        <v>0</v>
      </c>
      <c r="E64" s="6322">
        <f t="shared" si="77"/>
        <v>0</v>
      </c>
      <c r="F64" s="4365"/>
      <c r="G64" s="4366"/>
      <c r="H64" s="4365"/>
      <c r="I64" s="4366"/>
      <c r="J64" s="4367"/>
      <c r="K64" s="4368"/>
      <c r="L64" s="4367"/>
      <c r="M64" s="4368"/>
      <c r="N64" s="4367"/>
      <c r="O64" s="4368"/>
      <c r="P64" s="6327"/>
      <c r="Q64" s="6328"/>
      <c r="R64" s="6327"/>
      <c r="S64" s="6328"/>
      <c r="T64" s="6327"/>
      <c r="U64" s="6328"/>
      <c r="V64" s="6327"/>
      <c r="W64" s="6328"/>
      <c r="X64" s="6327"/>
      <c r="Y64" s="6328"/>
      <c r="Z64" s="6327"/>
      <c r="AA64" s="6328"/>
      <c r="AB64" s="6327"/>
      <c r="AC64" s="6328"/>
      <c r="AD64" s="6327"/>
      <c r="AE64" s="6328"/>
      <c r="AF64" s="6327"/>
      <c r="AG64" s="6328"/>
      <c r="AH64" s="6327"/>
      <c r="AI64" s="6328"/>
      <c r="AJ64" s="4365"/>
      <c r="AK64" s="6328"/>
      <c r="AL64" s="6327"/>
      <c r="AM64" s="6329"/>
      <c r="AN64" s="6323"/>
      <c r="AO64" s="6323"/>
      <c r="AP64" s="5469" t="str">
        <f t="shared" si="69"/>
        <v/>
      </c>
      <c r="AR64" s="4684"/>
      <c r="AS64" s="4684"/>
      <c r="AT64" s="4684"/>
      <c r="AU64" s="4684"/>
      <c r="AV64" s="4684"/>
      <c r="AW64" s="4684"/>
      <c r="AX64" s="4684"/>
      <c r="AY64" s="4684"/>
      <c r="AZ64" s="4657"/>
      <c r="BA64" s="4657"/>
      <c r="BW64" s="4652"/>
      <c r="CA64" s="4685" t="str">
        <f t="shared" si="75"/>
        <v/>
      </c>
      <c r="CB64" s="4685" t="str">
        <f t="shared" si="70"/>
        <v/>
      </c>
      <c r="CC64" s="4685" t="str">
        <f t="shared" si="71"/>
        <v/>
      </c>
      <c r="CG64" s="5437"/>
      <c r="CH64" s="5437"/>
      <c r="DA64" s="5832">
        <f t="shared" si="76"/>
        <v>0</v>
      </c>
      <c r="DB64" s="5832">
        <f t="shared" si="72"/>
        <v>0</v>
      </c>
      <c r="DC64" s="5832">
        <f t="shared" si="73"/>
        <v>0</v>
      </c>
    </row>
    <row r="65" spans="1:107" ht="16.350000000000001" customHeight="1" x14ac:dyDescent="0.2">
      <c r="A65" s="8996" t="s">
        <v>1570</v>
      </c>
      <c r="B65" s="6313" t="s">
        <v>2583</v>
      </c>
      <c r="C65" s="6153">
        <f t="shared" si="74"/>
        <v>0</v>
      </c>
      <c r="D65" s="6154">
        <f t="shared" si="77"/>
        <v>0</v>
      </c>
      <c r="E65" s="6155">
        <f t="shared" si="77"/>
        <v>0</v>
      </c>
      <c r="F65" s="4347"/>
      <c r="G65" s="4348"/>
      <c r="H65" s="4347"/>
      <c r="I65" s="4348"/>
      <c r="J65" s="4285"/>
      <c r="K65" s="4200"/>
      <c r="L65" s="4285"/>
      <c r="M65" s="4200"/>
      <c r="N65" s="4285"/>
      <c r="O65" s="4200"/>
      <c r="P65" s="6324"/>
      <c r="Q65" s="6325"/>
      <c r="R65" s="6324"/>
      <c r="S65" s="6325"/>
      <c r="T65" s="6324"/>
      <c r="U65" s="6325"/>
      <c r="V65" s="6324"/>
      <c r="W65" s="6325"/>
      <c r="X65" s="6324"/>
      <c r="Y65" s="6325"/>
      <c r="Z65" s="6324"/>
      <c r="AA65" s="6325"/>
      <c r="AB65" s="6324"/>
      <c r="AC65" s="6325"/>
      <c r="AD65" s="6324"/>
      <c r="AE65" s="6325"/>
      <c r="AF65" s="6324"/>
      <c r="AG65" s="6325"/>
      <c r="AH65" s="6324"/>
      <c r="AI65" s="6325"/>
      <c r="AJ65" s="4347"/>
      <c r="AK65" s="6325"/>
      <c r="AL65" s="6324"/>
      <c r="AM65" s="6326"/>
      <c r="AN65" s="6315"/>
      <c r="AO65" s="6315"/>
      <c r="AP65" s="5469" t="str">
        <f t="shared" si="69"/>
        <v/>
      </c>
      <c r="AR65" s="4684"/>
      <c r="AS65" s="4684"/>
      <c r="AT65" s="4684"/>
      <c r="AU65" s="4684"/>
      <c r="AV65" s="4684"/>
      <c r="AW65" s="4684"/>
      <c r="AX65" s="4684"/>
      <c r="AY65" s="4684"/>
      <c r="AZ65" s="4657"/>
      <c r="BA65" s="4657"/>
      <c r="BW65" s="4652"/>
      <c r="CA65" s="4685" t="str">
        <f t="shared" si="75"/>
        <v/>
      </c>
      <c r="CB65" s="4685" t="str">
        <f t="shared" si="70"/>
        <v/>
      </c>
      <c r="CC65" s="4685" t="str">
        <f t="shared" si="71"/>
        <v/>
      </c>
      <c r="CG65" s="5437"/>
      <c r="CH65" s="5437"/>
      <c r="DA65" s="5832">
        <f t="shared" si="76"/>
        <v>0</v>
      </c>
      <c r="DB65" s="5832">
        <f t="shared" si="72"/>
        <v>0</v>
      </c>
      <c r="DC65" s="5832">
        <f t="shared" si="73"/>
        <v>0</v>
      </c>
    </row>
    <row r="66" spans="1:107" ht="16.350000000000001" customHeight="1" x14ac:dyDescent="0.2">
      <c r="A66" s="8814"/>
      <c r="B66" s="6316" t="s">
        <v>2594</v>
      </c>
      <c r="C66" s="6162">
        <f t="shared" si="74"/>
        <v>0</v>
      </c>
      <c r="D66" s="6163">
        <f t="shared" si="77"/>
        <v>0</v>
      </c>
      <c r="E66" s="6164">
        <f t="shared" si="77"/>
        <v>0</v>
      </c>
      <c r="F66" s="6317"/>
      <c r="G66" s="6318"/>
      <c r="H66" s="6317"/>
      <c r="I66" s="6318"/>
      <c r="J66" s="4356"/>
      <c r="K66" s="4357"/>
      <c r="L66" s="4356"/>
      <c r="M66" s="4357"/>
      <c r="N66" s="4356"/>
      <c r="O66" s="4357"/>
      <c r="P66" s="6330"/>
      <c r="Q66" s="6331"/>
      <c r="R66" s="6330"/>
      <c r="S66" s="6331"/>
      <c r="T66" s="6330"/>
      <c r="U66" s="6331"/>
      <c r="V66" s="6330"/>
      <c r="W66" s="6331"/>
      <c r="X66" s="6330"/>
      <c r="Y66" s="6331"/>
      <c r="Z66" s="6330"/>
      <c r="AA66" s="6331"/>
      <c r="AB66" s="6330"/>
      <c r="AC66" s="6331"/>
      <c r="AD66" s="6330"/>
      <c r="AE66" s="6331"/>
      <c r="AF66" s="6330"/>
      <c r="AG66" s="6331"/>
      <c r="AH66" s="6330"/>
      <c r="AI66" s="6331"/>
      <c r="AJ66" s="6317"/>
      <c r="AK66" s="6331"/>
      <c r="AL66" s="6330"/>
      <c r="AM66" s="6332"/>
      <c r="AN66" s="6319"/>
      <c r="AO66" s="6319"/>
      <c r="AP66" s="5469" t="str">
        <f t="shared" si="69"/>
        <v/>
      </c>
      <c r="AR66" s="4684"/>
      <c r="AS66" s="4684"/>
      <c r="AT66" s="4684"/>
      <c r="AU66" s="4684"/>
      <c r="AV66" s="4684"/>
      <c r="AW66" s="4684"/>
      <c r="AX66" s="4684"/>
      <c r="AY66" s="4684"/>
      <c r="AZ66" s="4657"/>
      <c r="BA66" s="4657"/>
      <c r="BW66" s="4652"/>
      <c r="CA66" s="4685" t="str">
        <f t="shared" si="75"/>
        <v/>
      </c>
      <c r="CB66" s="4685" t="str">
        <f t="shared" si="70"/>
        <v/>
      </c>
      <c r="CC66" s="4685" t="str">
        <f t="shared" si="71"/>
        <v/>
      </c>
      <c r="CG66" s="5437"/>
      <c r="CH66" s="5437"/>
      <c r="DA66" s="5832">
        <f t="shared" si="76"/>
        <v>0</v>
      </c>
      <c r="DB66" s="5832">
        <f t="shared" si="72"/>
        <v>0</v>
      </c>
      <c r="DC66" s="5832">
        <f t="shared" si="73"/>
        <v>0</v>
      </c>
    </row>
    <row r="67" spans="1:107" ht="16.350000000000001" customHeight="1" x14ac:dyDescent="0.2">
      <c r="A67" s="8814"/>
      <c r="B67" s="6316" t="s">
        <v>60</v>
      </c>
      <c r="C67" s="6162">
        <f t="shared" si="74"/>
        <v>0</v>
      </c>
      <c r="D67" s="6163">
        <f t="shared" si="77"/>
        <v>0</v>
      </c>
      <c r="E67" s="6164">
        <f t="shared" si="77"/>
        <v>0</v>
      </c>
      <c r="F67" s="6317"/>
      <c r="G67" s="6318"/>
      <c r="H67" s="6317"/>
      <c r="I67" s="6318"/>
      <c r="J67" s="4356"/>
      <c r="K67" s="4357"/>
      <c r="L67" s="4356"/>
      <c r="M67" s="4357"/>
      <c r="N67" s="4356"/>
      <c r="O67" s="4357"/>
      <c r="P67" s="6330"/>
      <c r="Q67" s="6331"/>
      <c r="R67" s="6330"/>
      <c r="S67" s="6331"/>
      <c r="T67" s="6330"/>
      <c r="U67" s="6331"/>
      <c r="V67" s="6330"/>
      <c r="W67" s="6331"/>
      <c r="X67" s="6330"/>
      <c r="Y67" s="6331"/>
      <c r="Z67" s="6330"/>
      <c r="AA67" s="6331"/>
      <c r="AB67" s="6330"/>
      <c r="AC67" s="6331"/>
      <c r="AD67" s="6330"/>
      <c r="AE67" s="6331"/>
      <c r="AF67" s="6330"/>
      <c r="AG67" s="6331"/>
      <c r="AH67" s="6330"/>
      <c r="AI67" s="6331"/>
      <c r="AJ67" s="6317"/>
      <c r="AK67" s="6331"/>
      <c r="AL67" s="6330"/>
      <c r="AM67" s="6332"/>
      <c r="AN67" s="6319"/>
      <c r="AO67" s="6319"/>
      <c r="AP67" s="5469" t="str">
        <f t="shared" si="69"/>
        <v/>
      </c>
      <c r="AR67" s="4684"/>
      <c r="AS67" s="4684"/>
      <c r="AT67" s="4684"/>
      <c r="AU67" s="4684"/>
      <c r="AV67" s="4684"/>
      <c r="AW67" s="4684"/>
      <c r="AX67" s="4684"/>
      <c r="AY67" s="4684"/>
      <c r="AZ67" s="4657"/>
      <c r="BA67" s="4657"/>
      <c r="BW67" s="4652"/>
      <c r="CA67" s="4685" t="str">
        <f t="shared" si="75"/>
        <v/>
      </c>
      <c r="CB67" s="4685" t="str">
        <f t="shared" si="70"/>
        <v/>
      </c>
      <c r="CC67" s="4685" t="str">
        <f t="shared" si="71"/>
        <v/>
      </c>
      <c r="CG67" s="5437"/>
      <c r="CH67" s="5437"/>
      <c r="DA67" s="5832">
        <f t="shared" si="76"/>
        <v>0</v>
      </c>
      <c r="DB67" s="5832">
        <f t="shared" si="72"/>
        <v>0</v>
      </c>
      <c r="DC67" s="5832">
        <f t="shared" si="73"/>
        <v>0</v>
      </c>
    </row>
    <row r="68" spans="1:107" ht="16.350000000000001" customHeight="1" x14ac:dyDescent="0.2">
      <c r="A68" s="8997"/>
      <c r="B68" s="6316" t="s">
        <v>2590</v>
      </c>
      <c r="C68" s="6321">
        <f t="shared" si="74"/>
        <v>0</v>
      </c>
      <c r="D68" s="6173">
        <f t="shared" si="77"/>
        <v>0</v>
      </c>
      <c r="E68" s="6322">
        <f t="shared" si="77"/>
        <v>0</v>
      </c>
      <c r="F68" s="4365"/>
      <c r="G68" s="4366"/>
      <c r="H68" s="4365"/>
      <c r="I68" s="4366"/>
      <c r="J68" s="4367"/>
      <c r="K68" s="4368"/>
      <c r="L68" s="4367"/>
      <c r="M68" s="4368"/>
      <c r="N68" s="4367"/>
      <c r="O68" s="4368"/>
      <c r="P68" s="6327"/>
      <c r="Q68" s="6328"/>
      <c r="R68" s="6327"/>
      <c r="S68" s="6328"/>
      <c r="T68" s="6327"/>
      <c r="U68" s="6328"/>
      <c r="V68" s="6327"/>
      <c r="W68" s="6328"/>
      <c r="X68" s="6327"/>
      <c r="Y68" s="6328"/>
      <c r="Z68" s="6327"/>
      <c r="AA68" s="6328"/>
      <c r="AB68" s="6327"/>
      <c r="AC68" s="6328"/>
      <c r="AD68" s="6327"/>
      <c r="AE68" s="6328"/>
      <c r="AF68" s="6327"/>
      <c r="AG68" s="6328"/>
      <c r="AH68" s="6327"/>
      <c r="AI68" s="6328"/>
      <c r="AJ68" s="4365"/>
      <c r="AK68" s="6328"/>
      <c r="AL68" s="6327"/>
      <c r="AM68" s="6329"/>
      <c r="AN68" s="6323"/>
      <c r="AO68" s="6323"/>
      <c r="AP68" s="5469" t="str">
        <f t="shared" si="69"/>
        <v/>
      </c>
      <c r="AR68" s="4684"/>
      <c r="AS68" s="4684"/>
      <c r="AT68" s="4684"/>
      <c r="AU68" s="4684"/>
      <c r="AV68" s="4684"/>
      <c r="AW68" s="4684"/>
      <c r="AX68" s="4684"/>
      <c r="AY68" s="4684"/>
      <c r="AZ68" s="4657"/>
      <c r="BA68" s="4657"/>
      <c r="BW68" s="4652"/>
      <c r="CA68" s="4685" t="str">
        <f t="shared" si="75"/>
        <v/>
      </c>
      <c r="CB68" s="4685" t="str">
        <f t="shared" si="70"/>
        <v/>
      </c>
      <c r="CC68" s="4685" t="str">
        <f t="shared" si="71"/>
        <v/>
      </c>
      <c r="CG68" s="5437"/>
      <c r="CH68" s="5437"/>
      <c r="DA68" s="5832">
        <f t="shared" si="76"/>
        <v>0</v>
      </c>
      <c r="DB68" s="5832">
        <f t="shared" si="72"/>
        <v>0</v>
      </c>
      <c r="DC68" s="5832">
        <f t="shared" si="73"/>
        <v>0</v>
      </c>
    </row>
    <row r="69" spans="1:107" ht="16.350000000000001" customHeight="1" x14ac:dyDescent="0.2">
      <c r="A69" s="8996" t="s">
        <v>1569</v>
      </c>
      <c r="B69" s="6313" t="s">
        <v>2583</v>
      </c>
      <c r="C69" s="6153">
        <f t="shared" si="74"/>
        <v>0</v>
      </c>
      <c r="D69" s="6154">
        <f>SUM(J69+L69+N69+P69+R69+T69+V69+X69+Z69+AB69+AD69+AF69+AH69+AJ69+AL69)</f>
        <v>0</v>
      </c>
      <c r="E69" s="6155">
        <f>SUM(K69+M69+O69+Q69+S69+U69+W69+Y69+AA69+AC69+AE69+AG69+AI69+AK69+AM69)</f>
        <v>0</v>
      </c>
      <c r="F69" s="4347"/>
      <c r="G69" s="4348"/>
      <c r="H69" s="4347"/>
      <c r="I69" s="6325"/>
      <c r="J69" s="4285"/>
      <c r="K69" s="4200"/>
      <c r="L69" s="4285"/>
      <c r="M69" s="4200"/>
      <c r="N69" s="4285"/>
      <c r="O69" s="4200"/>
      <c r="P69" s="4285"/>
      <c r="Q69" s="4200"/>
      <c r="R69" s="4285"/>
      <c r="S69" s="4200"/>
      <c r="T69" s="4285"/>
      <c r="U69" s="4200"/>
      <c r="V69" s="4285"/>
      <c r="W69" s="4200"/>
      <c r="X69" s="4285"/>
      <c r="Y69" s="4200"/>
      <c r="Z69" s="4285"/>
      <c r="AA69" s="4200"/>
      <c r="AB69" s="4285"/>
      <c r="AC69" s="4200"/>
      <c r="AD69" s="4285"/>
      <c r="AE69" s="4200"/>
      <c r="AF69" s="4285"/>
      <c r="AG69" s="4200"/>
      <c r="AH69" s="4285"/>
      <c r="AI69" s="4200"/>
      <c r="AJ69" s="4285"/>
      <c r="AK69" s="4200"/>
      <c r="AL69" s="4285"/>
      <c r="AM69" s="4287"/>
      <c r="AN69" s="6315"/>
      <c r="AO69" s="6315"/>
      <c r="AP69" s="5469" t="str">
        <f t="shared" si="69"/>
        <v/>
      </c>
      <c r="AR69" s="4684"/>
      <c r="AS69" s="4684"/>
      <c r="AT69" s="4684"/>
      <c r="AU69" s="4684"/>
      <c r="AV69" s="4684"/>
      <c r="AW69" s="4684"/>
      <c r="AX69" s="4684"/>
      <c r="AY69" s="4684"/>
      <c r="AZ69" s="4657"/>
      <c r="BA69" s="4657"/>
      <c r="BW69" s="4652"/>
      <c r="CA69" s="4685" t="str">
        <f t="shared" si="75"/>
        <v/>
      </c>
      <c r="CB69" s="4685" t="str">
        <f t="shared" si="70"/>
        <v/>
      </c>
      <c r="CC69" s="4685" t="str">
        <f t="shared" si="71"/>
        <v/>
      </c>
      <c r="CG69" s="5437"/>
      <c r="CH69" s="5437"/>
      <c r="DA69" s="5832">
        <f t="shared" si="76"/>
        <v>0</v>
      </c>
      <c r="DB69" s="5832">
        <f t="shared" si="72"/>
        <v>0</v>
      </c>
      <c r="DC69" s="5832">
        <f t="shared" si="73"/>
        <v>0</v>
      </c>
    </row>
    <row r="70" spans="1:107" ht="16.350000000000001" customHeight="1" x14ac:dyDescent="0.2">
      <c r="A70" s="8997"/>
      <c r="B70" s="6316" t="s">
        <v>2594</v>
      </c>
      <c r="C70" s="6167">
        <f t="shared" si="74"/>
        <v>0</v>
      </c>
      <c r="D70" s="6168">
        <f t="shared" ref="D70:D78" si="78">SUM(J70+L70+N70+P70+R70+T70+V70+X70+Z70+AB70+AD70+AF70+AH70+AJ70+AL70)</f>
        <v>0</v>
      </c>
      <c r="E70" s="6322">
        <f t="shared" ref="E70:E78" si="79">SUM(K70+M70+O70+Q70+S70+U70+W70+Y70+AA70+AC70+AE70+AG70+AI70+AK70+AM70)</f>
        <v>0</v>
      </c>
      <c r="F70" s="4365"/>
      <c r="G70" s="4366"/>
      <c r="H70" s="4365"/>
      <c r="I70" s="6328"/>
      <c r="J70" s="4367"/>
      <c r="K70" s="4368"/>
      <c r="L70" s="4367"/>
      <c r="M70" s="4368"/>
      <c r="N70" s="4367"/>
      <c r="O70" s="4368"/>
      <c r="P70" s="4367"/>
      <c r="Q70" s="4368"/>
      <c r="R70" s="4367"/>
      <c r="S70" s="4368"/>
      <c r="T70" s="4367"/>
      <c r="U70" s="4368"/>
      <c r="V70" s="4367"/>
      <c r="W70" s="4368"/>
      <c r="X70" s="4367"/>
      <c r="Y70" s="4368"/>
      <c r="Z70" s="4367"/>
      <c r="AA70" s="4368"/>
      <c r="AB70" s="4367"/>
      <c r="AC70" s="4368"/>
      <c r="AD70" s="4367"/>
      <c r="AE70" s="4368"/>
      <c r="AF70" s="4367"/>
      <c r="AG70" s="4368"/>
      <c r="AH70" s="4367"/>
      <c r="AI70" s="4368"/>
      <c r="AJ70" s="4367"/>
      <c r="AK70" s="4368"/>
      <c r="AL70" s="4367"/>
      <c r="AM70" s="4384"/>
      <c r="AN70" s="6323"/>
      <c r="AO70" s="6323"/>
      <c r="AP70" s="5469" t="str">
        <f t="shared" si="69"/>
        <v/>
      </c>
      <c r="AR70" s="4684"/>
      <c r="AS70" s="4684"/>
      <c r="AT70" s="4684"/>
      <c r="AU70" s="4684"/>
      <c r="AV70" s="4684"/>
      <c r="AW70" s="4684"/>
      <c r="AX70" s="4684"/>
      <c r="AY70" s="4684"/>
      <c r="AZ70" s="4657"/>
      <c r="BA70" s="4657"/>
      <c r="BW70" s="4652"/>
      <c r="CA70" s="4685" t="str">
        <f t="shared" si="75"/>
        <v/>
      </c>
      <c r="CB70" s="4685" t="str">
        <f t="shared" si="70"/>
        <v/>
      </c>
      <c r="CC70" s="4685" t="str">
        <f t="shared" si="71"/>
        <v/>
      </c>
      <c r="CG70" s="5437"/>
      <c r="CH70" s="5437"/>
      <c r="DA70" s="5832">
        <f t="shared" si="76"/>
        <v>0</v>
      </c>
      <c r="DB70" s="5832">
        <f t="shared" si="72"/>
        <v>0</v>
      </c>
      <c r="DC70" s="5832">
        <f t="shared" si="73"/>
        <v>0</v>
      </c>
    </row>
    <row r="71" spans="1:107" ht="16.350000000000001" customHeight="1" x14ac:dyDescent="0.2">
      <c r="A71" s="8996" t="s">
        <v>1568</v>
      </c>
      <c r="B71" s="6313" t="s">
        <v>2583</v>
      </c>
      <c r="C71" s="6153">
        <f t="shared" si="74"/>
        <v>0</v>
      </c>
      <c r="D71" s="6154">
        <f t="shared" si="78"/>
        <v>0</v>
      </c>
      <c r="E71" s="6155">
        <f t="shared" si="79"/>
        <v>0</v>
      </c>
      <c r="F71" s="4347"/>
      <c r="G71" s="4348"/>
      <c r="H71" s="4347"/>
      <c r="I71" s="4348"/>
      <c r="J71" s="4285"/>
      <c r="K71" s="4200"/>
      <c r="L71" s="4285"/>
      <c r="M71" s="4200"/>
      <c r="N71" s="4285"/>
      <c r="O71" s="4200"/>
      <c r="P71" s="4285"/>
      <c r="Q71" s="4200"/>
      <c r="R71" s="4285"/>
      <c r="S71" s="4200"/>
      <c r="T71" s="4285"/>
      <c r="U71" s="4200"/>
      <c r="V71" s="4285"/>
      <c r="W71" s="4200"/>
      <c r="X71" s="4285"/>
      <c r="Y71" s="4200"/>
      <c r="Z71" s="4285"/>
      <c r="AA71" s="4200"/>
      <c r="AB71" s="4285"/>
      <c r="AC71" s="4200"/>
      <c r="AD71" s="4285"/>
      <c r="AE71" s="4200"/>
      <c r="AF71" s="4285"/>
      <c r="AG71" s="4200"/>
      <c r="AH71" s="4285"/>
      <c r="AI71" s="4200"/>
      <c r="AJ71" s="4285"/>
      <c r="AK71" s="4200"/>
      <c r="AL71" s="4285"/>
      <c r="AM71" s="4287"/>
      <c r="AN71" s="6315"/>
      <c r="AO71" s="6315"/>
      <c r="AP71" s="5469" t="str">
        <f t="shared" si="69"/>
        <v/>
      </c>
      <c r="AR71" s="4684"/>
      <c r="AS71" s="4684"/>
      <c r="AT71" s="4684"/>
      <c r="AU71" s="4684"/>
      <c r="AV71" s="4684"/>
      <c r="AW71" s="4684"/>
      <c r="AX71" s="4684"/>
      <c r="AY71" s="4684"/>
      <c r="AZ71" s="4657"/>
      <c r="BA71" s="4657"/>
      <c r="BW71" s="4652"/>
      <c r="CA71" s="4685" t="str">
        <f t="shared" si="75"/>
        <v/>
      </c>
      <c r="CB71" s="4685" t="str">
        <f t="shared" si="70"/>
        <v/>
      </c>
      <c r="CC71" s="4685" t="str">
        <f t="shared" si="71"/>
        <v/>
      </c>
      <c r="CG71" s="5437"/>
      <c r="CH71" s="5437"/>
      <c r="DA71" s="5832">
        <f t="shared" si="76"/>
        <v>0</v>
      </c>
      <c r="DB71" s="5832">
        <f t="shared" si="72"/>
        <v>0</v>
      </c>
      <c r="DC71" s="5832">
        <f t="shared" si="73"/>
        <v>0</v>
      </c>
    </row>
    <row r="72" spans="1:107" ht="16.350000000000001" customHeight="1" x14ac:dyDescent="0.2">
      <c r="A72" s="8997"/>
      <c r="B72" s="6316" t="s">
        <v>2594</v>
      </c>
      <c r="C72" s="6321">
        <f t="shared" si="74"/>
        <v>0</v>
      </c>
      <c r="D72" s="6173">
        <f t="shared" si="78"/>
        <v>0</v>
      </c>
      <c r="E72" s="6322">
        <f t="shared" si="79"/>
        <v>0</v>
      </c>
      <c r="F72" s="4365"/>
      <c r="G72" s="4366"/>
      <c r="H72" s="4365"/>
      <c r="I72" s="4366"/>
      <c r="J72" s="4367"/>
      <c r="K72" s="4368"/>
      <c r="L72" s="4367"/>
      <c r="M72" s="4368"/>
      <c r="N72" s="4367"/>
      <c r="O72" s="4368"/>
      <c r="P72" s="4367"/>
      <c r="Q72" s="4368"/>
      <c r="R72" s="4367"/>
      <c r="S72" s="4368"/>
      <c r="T72" s="4367"/>
      <c r="U72" s="4368"/>
      <c r="V72" s="4367"/>
      <c r="W72" s="4368"/>
      <c r="X72" s="4367"/>
      <c r="Y72" s="4368"/>
      <c r="Z72" s="4367"/>
      <c r="AA72" s="4368"/>
      <c r="AB72" s="4367"/>
      <c r="AC72" s="4368"/>
      <c r="AD72" s="4367"/>
      <c r="AE72" s="4368"/>
      <c r="AF72" s="4367"/>
      <c r="AG72" s="4368"/>
      <c r="AH72" s="4367"/>
      <c r="AI72" s="4368"/>
      <c r="AJ72" s="4367"/>
      <c r="AK72" s="4368"/>
      <c r="AL72" s="4367"/>
      <c r="AM72" s="4384"/>
      <c r="AN72" s="6323"/>
      <c r="AO72" s="6323"/>
      <c r="AP72" s="5469" t="str">
        <f t="shared" si="69"/>
        <v/>
      </c>
      <c r="AR72" s="4684"/>
      <c r="AS72" s="4684"/>
      <c r="AT72" s="4684"/>
      <c r="AU72" s="4684"/>
      <c r="AV72" s="4684"/>
      <c r="AW72" s="4684"/>
      <c r="AX72" s="4684"/>
      <c r="AY72" s="4684"/>
      <c r="AZ72" s="4657"/>
      <c r="BA72" s="4657"/>
      <c r="BW72" s="4652"/>
      <c r="CA72" s="4685" t="str">
        <f t="shared" si="75"/>
        <v/>
      </c>
      <c r="CB72" s="4685" t="str">
        <f t="shared" si="70"/>
        <v/>
      </c>
      <c r="CC72" s="4685" t="str">
        <f t="shared" si="71"/>
        <v/>
      </c>
      <c r="CG72" s="5437"/>
      <c r="CH72" s="5437"/>
      <c r="DA72" s="5832">
        <f t="shared" si="76"/>
        <v>0</v>
      </c>
      <c r="DB72" s="5832">
        <f t="shared" si="72"/>
        <v>0</v>
      </c>
      <c r="DC72" s="5832">
        <f t="shared" si="73"/>
        <v>0</v>
      </c>
    </row>
    <row r="73" spans="1:107" ht="16.350000000000001" customHeight="1" x14ac:dyDescent="0.2">
      <c r="A73" s="8996" t="s">
        <v>1567</v>
      </c>
      <c r="B73" s="6313" t="s">
        <v>2583</v>
      </c>
      <c r="C73" s="6153">
        <f t="shared" si="74"/>
        <v>0</v>
      </c>
      <c r="D73" s="6154">
        <f t="shared" si="78"/>
        <v>0</v>
      </c>
      <c r="E73" s="6155">
        <f t="shared" si="79"/>
        <v>0</v>
      </c>
      <c r="F73" s="4347"/>
      <c r="G73" s="4348"/>
      <c r="H73" s="4347"/>
      <c r="I73" s="4348"/>
      <c r="J73" s="4285"/>
      <c r="K73" s="4200"/>
      <c r="L73" s="4285"/>
      <c r="M73" s="4200"/>
      <c r="N73" s="4285"/>
      <c r="O73" s="4200"/>
      <c r="P73" s="4285"/>
      <c r="Q73" s="4200"/>
      <c r="R73" s="4285"/>
      <c r="S73" s="4200"/>
      <c r="T73" s="4285"/>
      <c r="U73" s="4200"/>
      <c r="V73" s="4285"/>
      <c r="W73" s="4200"/>
      <c r="X73" s="4285"/>
      <c r="Y73" s="4200"/>
      <c r="Z73" s="4285"/>
      <c r="AA73" s="4200"/>
      <c r="AB73" s="4285"/>
      <c r="AC73" s="4200"/>
      <c r="AD73" s="4285"/>
      <c r="AE73" s="4200"/>
      <c r="AF73" s="4285"/>
      <c r="AG73" s="4200"/>
      <c r="AH73" s="4285"/>
      <c r="AI73" s="4200"/>
      <c r="AJ73" s="4285"/>
      <c r="AK73" s="4200"/>
      <c r="AL73" s="4285"/>
      <c r="AM73" s="4287"/>
      <c r="AN73" s="6315"/>
      <c r="AO73" s="6315"/>
      <c r="AP73" s="5469" t="str">
        <f t="shared" si="69"/>
        <v/>
      </c>
      <c r="AR73" s="4684"/>
      <c r="AS73" s="4684"/>
      <c r="AT73" s="4684"/>
      <c r="AU73" s="4684"/>
      <c r="AV73" s="4684"/>
      <c r="AW73" s="4684"/>
      <c r="AX73" s="4684"/>
      <c r="AY73" s="4684"/>
      <c r="AZ73" s="4657"/>
      <c r="BA73" s="4657"/>
      <c r="BW73" s="4652"/>
      <c r="CA73" s="4685" t="str">
        <f t="shared" si="75"/>
        <v/>
      </c>
      <c r="CB73" s="4685" t="str">
        <f t="shared" si="70"/>
        <v/>
      </c>
      <c r="CC73" s="4685" t="str">
        <f t="shared" si="71"/>
        <v/>
      </c>
      <c r="CG73" s="5437"/>
      <c r="CH73" s="5437"/>
      <c r="DA73" s="5832">
        <f t="shared" si="76"/>
        <v>0</v>
      </c>
      <c r="DB73" s="5832">
        <f t="shared" si="72"/>
        <v>0</v>
      </c>
      <c r="DC73" s="5832">
        <f t="shared" si="73"/>
        <v>0</v>
      </c>
    </row>
    <row r="74" spans="1:107" ht="16.350000000000001" customHeight="1" x14ac:dyDescent="0.2">
      <c r="A74" s="8814"/>
      <c r="B74" s="6316" t="s">
        <v>2594</v>
      </c>
      <c r="C74" s="6162">
        <f t="shared" si="74"/>
        <v>0</v>
      </c>
      <c r="D74" s="6163">
        <f t="shared" si="78"/>
        <v>0</v>
      </c>
      <c r="E74" s="6164">
        <f t="shared" si="79"/>
        <v>0</v>
      </c>
      <c r="F74" s="6317"/>
      <c r="G74" s="6318"/>
      <c r="H74" s="6317"/>
      <c r="I74" s="6318"/>
      <c r="J74" s="4356"/>
      <c r="K74" s="4357"/>
      <c r="L74" s="4356"/>
      <c r="M74" s="4357"/>
      <c r="N74" s="4356"/>
      <c r="O74" s="4357"/>
      <c r="P74" s="4356"/>
      <c r="Q74" s="4357"/>
      <c r="R74" s="4356"/>
      <c r="S74" s="4357"/>
      <c r="T74" s="4356"/>
      <c r="U74" s="4357"/>
      <c r="V74" s="4356"/>
      <c r="W74" s="4357"/>
      <c r="X74" s="4356"/>
      <c r="Y74" s="4357"/>
      <c r="Z74" s="4356"/>
      <c r="AA74" s="4357"/>
      <c r="AB74" s="4356"/>
      <c r="AC74" s="4357"/>
      <c r="AD74" s="4356"/>
      <c r="AE74" s="4357"/>
      <c r="AF74" s="4356"/>
      <c r="AG74" s="4357"/>
      <c r="AH74" s="4356"/>
      <c r="AI74" s="4357"/>
      <c r="AJ74" s="4356"/>
      <c r="AK74" s="4357"/>
      <c r="AL74" s="4356"/>
      <c r="AM74" s="4531"/>
      <c r="AN74" s="6319"/>
      <c r="AO74" s="6319"/>
      <c r="AP74" s="5469" t="str">
        <f t="shared" si="69"/>
        <v/>
      </c>
      <c r="AR74" s="4684"/>
      <c r="AS74" s="4684"/>
      <c r="AT74" s="4684"/>
      <c r="AU74" s="4684"/>
      <c r="AV74" s="4684"/>
      <c r="AW74" s="4684"/>
      <c r="AX74" s="4684"/>
      <c r="AY74" s="4684"/>
      <c r="AZ74" s="4657"/>
      <c r="BA74" s="4657"/>
      <c r="BW74" s="4652"/>
      <c r="CA74" s="4685" t="str">
        <f t="shared" si="75"/>
        <v/>
      </c>
      <c r="CB74" s="4685" t="str">
        <f t="shared" si="70"/>
        <v/>
      </c>
      <c r="CC74" s="4685" t="str">
        <f t="shared" si="71"/>
        <v/>
      </c>
      <c r="CG74" s="5437"/>
      <c r="CH74" s="5437"/>
      <c r="DA74" s="5832">
        <f t="shared" si="76"/>
        <v>0</v>
      </c>
      <c r="DB74" s="5832">
        <f t="shared" si="72"/>
        <v>0</v>
      </c>
      <c r="DC74" s="5832">
        <f t="shared" si="73"/>
        <v>0</v>
      </c>
    </row>
    <row r="75" spans="1:107" ht="16.350000000000001" customHeight="1" x14ac:dyDescent="0.2">
      <c r="A75" s="8814"/>
      <c r="B75" s="6316" t="s">
        <v>60</v>
      </c>
      <c r="C75" s="6162">
        <f t="shared" si="74"/>
        <v>0</v>
      </c>
      <c r="D75" s="6163">
        <f t="shared" si="78"/>
        <v>0</v>
      </c>
      <c r="E75" s="6164">
        <f t="shared" si="79"/>
        <v>0</v>
      </c>
      <c r="F75" s="6317"/>
      <c r="G75" s="6318"/>
      <c r="H75" s="6317"/>
      <c r="I75" s="6318"/>
      <c r="J75" s="4356"/>
      <c r="K75" s="4357"/>
      <c r="L75" s="4356"/>
      <c r="M75" s="4357"/>
      <c r="N75" s="4356"/>
      <c r="O75" s="4357"/>
      <c r="P75" s="4356"/>
      <c r="Q75" s="4357"/>
      <c r="R75" s="4356"/>
      <c r="S75" s="4357"/>
      <c r="T75" s="4356"/>
      <c r="U75" s="4357"/>
      <c r="V75" s="4356"/>
      <c r="W75" s="4357"/>
      <c r="X75" s="4356"/>
      <c r="Y75" s="4357"/>
      <c r="Z75" s="4356"/>
      <c r="AA75" s="4357"/>
      <c r="AB75" s="4356"/>
      <c r="AC75" s="4357"/>
      <c r="AD75" s="4356"/>
      <c r="AE75" s="4357"/>
      <c r="AF75" s="4356"/>
      <c r="AG75" s="4357"/>
      <c r="AH75" s="4356"/>
      <c r="AI75" s="4357"/>
      <c r="AJ75" s="4356"/>
      <c r="AK75" s="4357"/>
      <c r="AL75" s="4356"/>
      <c r="AM75" s="4531"/>
      <c r="AN75" s="6319"/>
      <c r="AO75" s="6319"/>
      <c r="AP75" s="5469" t="str">
        <f t="shared" si="69"/>
        <v/>
      </c>
      <c r="AR75" s="4684"/>
      <c r="AS75" s="4684"/>
      <c r="AT75" s="4684"/>
      <c r="AU75" s="4684"/>
      <c r="AV75" s="4684"/>
      <c r="AW75" s="4684"/>
      <c r="AX75" s="4684"/>
      <c r="AY75" s="4684"/>
      <c r="AZ75" s="4657"/>
      <c r="BA75" s="4657"/>
      <c r="BW75" s="4652"/>
      <c r="CA75" s="4685" t="str">
        <f t="shared" si="75"/>
        <v/>
      </c>
      <c r="CB75" s="4685" t="str">
        <f t="shared" si="70"/>
        <v/>
      </c>
      <c r="CC75" s="4685" t="str">
        <f t="shared" si="71"/>
        <v/>
      </c>
      <c r="CG75" s="5437"/>
      <c r="CH75" s="5437"/>
      <c r="DA75" s="5832">
        <f t="shared" si="76"/>
        <v>0</v>
      </c>
      <c r="DB75" s="5832">
        <f t="shared" si="72"/>
        <v>0</v>
      </c>
      <c r="DC75" s="5832">
        <f t="shared" si="73"/>
        <v>0</v>
      </c>
    </row>
    <row r="76" spans="1:107" ht="16.350000000000001" customHeight="1" x14ac:dyDescent="0.2">
      <c r="A76" s="8814"/>
      <c r="B76" s="6316" t="s">
        <v>1566</v>
      </c>
      <c r="C76" s="6162">
        <f t="shared" si="74"/>
        <v>0</v>
      </c>
      <c r="D76" s="6163">
        <f t="shared" si="78"/>
        <v>0</v>
      </c>
      <c r="E76" s="6164">
        <f t="shared" si="79"/>
        <v>0</v>
      </c>
      <c r="F76" s="6317"/>
      <c r="G76" s="6318"/>
      <c r="H76" s="6317"/>
      <c r="I76" s="6318"/>
      <c r="J76" s="4356"/>
      <c r="K76" s="4357"/>
      <c r="L76" s="4356"/>
      <c r="M76" s="4357"/>
      <c r="N76" s="4356"/>
      <c r="O76" s="4357"/>
      <c r="P76" s="4356"/>
      <c r="Q76" s="4357"/>
      <c r="R76" s="4356"/>
      <c r="S76" s="4357"/>
      <c r="T76" s="4356"/>
      <c r="U76" s="4357"/>
      <c r="V76" s="4356"/>
      <c r="W76" s="4357"/>
      <c r="X76" s="4356"/>
      <c r="Y76" s="4357"/>
      <c r="Z76" s="4356"/>
      <c r="AA76" s="4357"/>
      <c r="AB76" s="4356"/>
      <c r="AC76" s="4357"/>
      <c r="AD76" s="4356"/>
      <c r="AE76" s="4357"/>
      <c r="AF76" s="4356"/>
      <c r="AG76" s="4357"/>
      <c r="AH76" s="4356"/>
      <c r="AI76" s="4357"/>
      <c r="AJ76" s="4356"/>
      <c r="AK76" s="4357"/>
      <c r="AL76" s="4356"/>
      <c r="AM76" s="4531"/>
      <c r="AN76" s="6319"/>
      <c r="AO76" s="6319"/>
      <c r="AP76" s="5469" t="str">
        <f t="shared" si="69"/>
        <v/>
      </c>
      <c r="AR76" s="4684"/>
      <c r="AS76" s="4684"/>
      <c r="AT76" s="4684"/>
      <c r="AU76" s="4684"/>
      <c r="AV76" s="4684"/>
      <c r="AW76" s="4684"/>
      <c r="AX76" s="4684"/>
      <c r="AY76" s="4684"/>
      <c r="AZ76" s="4657"/>
      <c r="BA76" s="4657"/>
      <c r="BW76" s="4652"/>
      <c r="CA76" s="4685" t="str">
        <f t="shared" si="75"/>
        <v/>
      </c>
      <c r="CB76" s="4685" t="str">
        <f t="shared" si="70"/>
        <v/>
      </c>
      <c r="CC76" s="4685" t="str">
        <f t="shared" si="71"/>
        <v/>
      </c>
      <c r="CG76" s="5437"/>
      <c r="CH76" s="5437"/>
      <c r="DA76" s="5832">
        <f t="shared" si="76"/>
        <v>0</v>
      </c>
      <c r="DB76" s="5832">
        <f t="shared" si="72"/>
        <v>0</v>
      </c>
      <c r="DC76" s="5832">
        <f t="shared" si="73"/>
        <v>0</v>
      </c>
    </row>
    <row r="77" spans="1:107" ht="16.350000000000001" customHeight="1" x14ac:dyDescent="0.2">
      <c r="A77" s="8814"/>
      <c r="B77" s="6316" t="s">
        <v>2590</v>
      </c>
      <c r="C77" s="6162">
        <f t="shared" si="74"/>
        <v>0</v>
      </c>
      <c r="D77" s="6163">
        <f t="shared" si="78"/>
        <v>0</v>
      </c>
      <c r="E77" s="6164">
        <f t="shared" si="79"/>
        <v>0</v>
      </c>
      <c r="F77" s="6317"/>
      <c r="G77" s="6318"/>
      <c r="H77" s="6317"/>
      <c r="I77" s="6318"/>
      <c r="J77" s="4356"/>
      <c r="K77" s="4357"/>
      <c r="L77" s="4356"/>
      <c r="M77" s="4357"/>
      <c r="N77" s="4356"/>
      <c r="O77" s="4357"/>
      <c r="P77" s="4356"/>
      <c r="Q77" s="4357"/>
      <c r="R77" s="4356"/>
      <c r="S77" s="4357"/>
      <c r="T77" s="4356"/>
      <c r="U77" s="4357"/>
      <c r="V77" s="4356"/>
      <c r="W77" s="4357"/>
      <c r="X77" s="4356"/>
      <c r="Y77" s="4357"/>
      <c r="Z77" s="4356"/>
      <c r="AA77" s="4357"/>
      <c r="AB77" s="4356"/>
      <c r="AC77" s="4357"/>
      <c r="AD77" s="4356"/>
      <c r="AE77" s="4357"/>
      <c r="AF77" s="4356"/>
      <c r="AG77" s="4357"/>
      <c r="AH77" s="4356"/>
      <c r="AI77" s="4357"/>
      <c r="AJ77" s="4356"/>
      <c r="AK77" s="4357"/>
      <c r="AL77" s="4356"/>
      <c r="AM77" s="4531"/>
      <c r="AN77" s="6319"/>
      <c r="AO77" s="6319"/>
      <c r="AP77" s="5469" t="str">
        <f t="shared" si="69"/>
        <v/>
      </c>
      <c r="AR77" s="4684"/>
      <c r="AS77" s="4684"/>
      <c r="AT77" s="4684"/>
      <c r="AU77" s="4684"/>
      <c r="AV77" s="4684"/>
      <c r="AW77" s="4684"/>
      <c r="AX77" s="4684"/>
      <c r="AY77" s="4684"/>
      <c r="AZ77" s="4657"/>
      <c r="BA77" s="4657"/>
      <c r="BW77" s="4652"/>
      <c r="CA77" s="4685" t="str">
        <f t="shared" si="75"/>
        <v/>
      </c>
      <c r="CB77" s="4685" t="str">
        <f t="shared" si="70"/>
        <v/>
      </c>
      <c r="CC77" s="4685" t="str">
        <f t="shared" si="71"/>
        <v/>
      </c>
      <c r="CG77" s="5437"/>
      <c r="CH77" s="5437"/>
      <c r="DA77" s="5832">
        <f t="shared" si="76"/>
        <v>0</v>
      </c>
      <c r="DB77" s="5832">
        <f t="shared" si="72"/>
        <v>0</v>
      </c>
      <c r="DC77" s="5832">
        <f t="shared" si="73"/>
        <v>0</v>
      </c>
    </row>
    <row r="78" spans="1:107" ht="16.350000000000001" customHeight="1" x14ac:dyDescent="0.2">
      <c r="A78" s="8997"/>
      <c r="B78" s="6320" t="s">
        <v>63</v>
      </c>
      <c r="C78" s="6321">
        <f t="shared" si="74"/>
        <v>0</v>
      </c>
      <c r="D78" s="6173">
        <f t="shared" si="78"/>
        <v>0</v>
      </c>
      <c r="E78" s="6322">
        <f t="shared" si="79"/>
        <v>0</v>
      </c>
      <c r="F78" s="4365"/>
      <c r="G78" s="4366"/>
      <c r="H78" s="4365"/>
      <c r="I78" s="4366"/>
      <c r="J78" s="4367"/>
      <c r="K78" s="4368"/>
      <c r="L78" s="4367"/>
      <c r="M78" s="4368"/>
      <c r="N78" s="4367"/>
      <c r="O78" s="4368"/>
      <c r="P78" s="4367"/>
      <c r="Q78" s="4368"/>
      <c r="R78" s="4367"/>
      <c r="S78" s="4368"/>
      <c r="T78" s="4367"/>
      <c r="U78" s="4368"/>
      <c r="V78" s="4367"/>
      <c r="W78" s="4368"/>
      <c r="X78" s="4367"/>
      <c r="Y78" s="4368"/>
      <c r="Z78" s="4367"/>
      <c r="AA78" s="4368"/>
      <c r="AB78" s="4367"/>
      <c r="AC78" s="4368"/>
      <c r="AD78" s="4367"/>
      <c r="AE78" s="4368"/>
      <c r="AF78" s="4367"/>
      <c r="AG78" s="4368"/>
      <c r="AH78" s="4367"/>
      <c r="AI78" s="4368"/>
      <c r="AJ78" s="4367"/>
      <c r="AK78" s="4368"/>
      <c r="AL78" s="4367"/>
      <c r="AM78" s="4384"/>
      <c r="AN78" s="6323"/>
      <c r="AO78" s="6323"/>
      <c r="AP78" s="5469" t="str">
        <f t="shared" si="69"/>
        <v/>
      </c>
      <c r="AR78" s="4684"/>
      <c r="AS78" s="4684"/>
      <c r="AT78" s="4684"/>
      <c r="AU78" s="4684"/>
      <c r="AV78" s="4684"/>
      <c r="AW78" s="4684"/>
      <c r="AX78" s="4684"/>
      <c r="AY78" s="4684"/>
      <c r="AZ78" s="4657"/>
      <c r="BA78" s="4657"/>
      <c r="BW78" s="4652"/>
      <c r="CA78" s="4685" t="str">
        <f t="shared" si="75"/>
        <v/>
      </c>
      <c r="CB78" s="4685" t="str">
        <f t="shared" si="70"/>
        <v/>
      </c>
      <c r="CC78" s="4685" t="str">
        <f t="shared" si="71"/>
        <v/>
      </c>
      <c r="CG78" s="5437"/>
      <c r="CH78" s="5437"/>
      <c r="DA78" s="5832">
        <f t="shared" si="76"/>
        <v>0</v>
      </c>
      <c r="DB78" s="5832">
        <f t="shared" si="72"/>
        <v>0</v>
      </c>
      <c r="DC78" s="5832">
        <f t="shared" si="73"/>
        <v>0</v>
      </c>
    </row>
    <row r="79" spans="1:107" ht="31.35" customHeight="1" x14ac:dyDescent="0.2">
      <c r="A79" s="6333" t="s">
        <v>1565</v>
      </c>
      <c r="B79" s="6334"/>
      <c r="C79" s="6334"/>
      <c r="D79" s="6335"/>
      <c r="E79" s="6335"/>
      <c r="F79" s="6335"/>
      <c r="G79" s="6336"/>
      <c r="H79" s="6336"/>
      <c r="I79" s="6336"/>
      <c r="J79" s="6336"/>
      <c r="K79" s="6337"/>
      <c r="L79" s="6337"/>
      <c r="M79" s="6285"/>
      <c r="N79" s="6308"/>
      <c r="O79" s="6285"/>
      <c r="P79" s="6285"/>
      <c r="Q79" s="6285"/>
      <c r="R79" s="6285"/>
      <c r="S79" s="6285"/>
      <c r="T79" s="6285"/>
      <c r="U79" s="6285"/>
      <c r="V79" s="6308"/>
      <c r="W79" s="6285"/>
      <c r="X79" s="6285"/>
      <c r="Y79" s="6285"/>
      <c r="Z79" s="6285"/>
      <c r="AA79" s="6285"/>
      <c r="AB79" s="6285"/>
      <c r="AC79" s="6285"/>
      <c r="AD79" s="6285"/>
      <c r="AE79" s="6285"/>
      <c r="AF79" s="6285"/>
      <c r="AG79" s="6285"/>
      <c r="AH79" s="6285"/>
      <c r="AI79" s="6285"/>
      <c r="AJ79" s="6285"/>
      <c r="AK79" s="6285"/>
      <c r="AL79" s="6285"/>
      <c r="AM79" s="6285"/>
      <c r="AN79" s="6285"/>
      <c r="AO79" s="6286"/>
      <c r="AP79" s="6286"/>
      <c r="AQ79" s="4657"/>
      <c r="AR79" s="4657"/>
      <c r="AS79" s="4657"/>
      <c r="AT79" s="4657"/>
      <c r="AU79" s="4657"/>
      <c r="AV79" s="4657"/>
      <c r="AW79" s="4657"/>
      <c r="AX79" s="4657"/>
      <c r="AY79" s="4657"/>
      <c r="AZ79" s="4657"/>
      <c r="BA79" s="4657"/>
      <c r="BB79" s="4657"/>
    </row>
    <row r="80" spans="1:107" ht="31.35" customHeight="1" x14ac:dyDescent="0.2">
      <c r="A80" s="9028" t="s">
        <v>1564</v>
      </c>
      <c r="B80" s="8970" t="s">
        <v>1563</v>
      </c>
      <c r="C80" s="8970"/>
      <c r="D80" s="8970" t="s">
        <v>1562</v>
      </c>
      <c r="E80" s="9020"/>
      <c r="F80" s="8969" t="s">
        <v>1561</v>
      </c>
      <c r="G80" s="8970"/>
      <c r="H80" s="8969" t="s">
        <v>1560</v>
      </c>
      <c r="I80" s="8970"/>
      <c r="J80" s="6024"/>
      <c r="K80" s="6285"/>
      <c r="L80" s="6285"/>
      <c r="M80" s="6285"/>
      <c r="N80" s="6285"/>
      <c r="O80" s="6285"/>
      <c r="P80" s="6285"/>
      <c r="Q80" s="6285"/>
      <c r="R80" s="6285"/>
      <c r="S80" s="6285"/>
      <c r="T80" s="6285"/>
      <c r="U80" s="6285"/>
      <c r="V80" s="6285"/>
      <c r="W80" s="6338"/>
      <c r="X80" s="6339"/>
      <c r="Y80" s="6339"/>
      <c r="Z80" s="6339"/>
      <c r="AA80" s="6339"/>
      <c r="AB80" s="6339"/>
      <c r="AC80" s="6285"/>
      <c r="AD80" s="6285"/>
      <c r="AE80" s="6285"/>
      <c r="AF80" s="6285"/>
      <c r="AG80" s="6285"/>
      <c r="AH80" s="6285"/>
      <c r="AI80" s="6285"/>
      <c r="AJ80" s="6285"/>
      <c r="AK80" s="6285"/>
      <c r="AL80" s="6285"/>
      <c r="AM80" s="6285"/>
      <c r="AN80" s="6286"/>
      <c r="AO80" s="6286"/>
      <c r="AP80" s="4657"/>
      <c r="AQ80" s="4657"/>
      <c r="AR80" s="4657"/>
      <c r="AS80" s="4657"/>
      <c r="AT80" s="4657"/>
      <c r="AU80" s="4657"/>
      <c r="AV80" s="4657"/>
      <c r="AW80" s="4657"/>
      <c r="AX80" s="4657"/>
      <c r="AY80" s="4657"/>
      <c r="AZ80" s="4657"/>
      <c r="BA80" s="4657"/>
      <c r="BW80" s="4652"/>
    </row>
    <row r="81" spans="1:75" ht="31.35" customHeight="1" x14ac:dyDescent="0.2">
      <c r="A81" s="9029"/>
      <c r="B81" s="6340" t="s">
        <v>1559</v>
      </c>
      <c r="C81" s="6341" t="s">
        <v>1558</v>
      </c>
      <c r="D81" s="6340" t="s">
        <v>1559</v>
      </c>
      <c r="E81" s="6342" t="s">
        <v>1558</v>
      </c>
      <c r="F81" s="6343" t="s">
        <v>1559</v>
      </c>
      <c r="G81" s="6341" t="s">
        <v>1558</v>
      </c>
      <c r="H81" s="6343" t="s">
        <v>1559</v>
      </c>
      <c r="I81" s="6341" t="s">
        <v>1558</v>
      </c>
      <c r="J81" s="6024"/>
      <c r="K81" s="6285"/>
      <c r="L81" s="6285"/>
      <c r="M81" s="6285"/>
      <c r="N81" s="6285"/>
      <c r="O81" s="6285"/>
      <c r="P81" s="6285"/>
      <c r="Q81" s="6285"/>
      <c r="R81" s="6285"/>
      <c r="S81" s="6285"/>
      <c r="T81" s="6285"/>
      <c r="U81" s="6285"/>
      <c r="V81" s="6285"/>
      <c r="W81" s="6338"/>
      <c r="X81" s="6339"/>
      <c r="Y81" s="6339"/>
      <c r="Z81" s="6339"/>
      <c r="AA81" s="6339"/>
      <c r="AB81" s="6339"/>
      <c r="AC81" s="6285"/>
      <c r="AD81" s="6285"/>
      <c r="AE81" s="6285"/>
      <c r="AF81" s="6285"/>
      <c r="AG81" s="6285"/>
      <c r="AH81" s="6285"/>
      <c r="AI81" s="6285"/>
      <c r="AJ81" s="6285"/>
      <c r="AK81" s="6285"/>
      <c r="AL81" s="6285"/>
      <c r="AM81" s="6285"/>
      <c r="AN81" s="6286"/>
      <c r="AO81" s="6286"/>
      <c r="AP81" s="4657"/>
      <c r="AQ81" s="4657"/>
      <c r="AR81" s="4657"/>
      <c r="AS81" s="4657"/>
      <c r="AT81" s="4657"/>
      <c r="AU81" s="4657"/>
      <c r="AV81" s="4657"/>
      <c r="AW81" s="4657"/>
      <c r="AX81" s="4657"/>
      <c r="AY81" s="4657"/>
      <c r="AZ81" s="4657"/>
      <c r="BA81" s="4657"/>
      <c r="BW81" s="4652"/>
    </row>
    <row r="82" spans="1:75" ht="16.350000000000001" customHeight="1" x14ac:dyDescent="0.2">
      <c r="A82" s="6344" t="s">
        <v>1557</v>
      </c>
      <c r="B82" s="6345"/>
      <c r="C82" s="6346"/>
      <c r="D82" s="6345"/>
      <c r="E82" s="6347"/>
      <c r="F82" s="6348"/>
      <c r="G82" s="6346"/>
      <c r="H82" s="6348"/>
      <c r="I82" s="6346"/>
      <c r="J82" s="6024"/>
      <c r="K82" s="6285"/>
      <c r="L82" s="6285"/>
      <c r="M82" s="6285"/>
      <c r="N82" s="6285"/>
      <c r="O82" s="6285"/>
      <c r="P82" s="6285"/>
      <c r="Q82" s="6285"/>
      <c r="R82" s="6285"/>
      <c r="S82" s="6285"/>
      <c r="T82" s="6285"/>
      <c r="U82" s="6285"/>
      <c r="V82" s="6285"/>
      <c r="W82" s="6338"/>
      <c r="X82" s="6339"/>
      <c r="Y82" s="6339"/>
      <c r="Z82" s="6339"/>
      <c r="AA82" s="6339"/>
      <c r="AB82" s="6339"/>
      <c r="AC82" s="6285"/>
      <c r="AD82" s="6285"/>
      <c r="AE82" s="6285"/>
      <c r="AF82" s="6285"/>
      <c r="AG82" s="6285"/>
      <c r="AH82" s="6285"/>
      <c r="AI82" s="6285"/>
      <c r="AJ82" s="6285"/>
      <c r="AK82" s="6285"/>
      <c r="AL82" s="6285"/>
      <c r="AM82" s="6285"/>
      <c r="AN82" s="6286"/>
      <c r="AO82" s="6286"/>
      <c r="AP82" s="4657"/>
      <c r="AQ82" s="4657"/>
      <c r="AR82" s="4657"/>
      <c r="AS82" s="4657"/>
      <c r="AT82" s="4657"/>
      <c r="AU82" s="4657"/>
      <c r="AV82" s="4657"/>
      <c r="AW82" s="4657"/>
      <c r="AX82" s="4657"/>
      <c r="AY82" s="4657"/>
      <c r="AZ82" s="4657"/>
      <c r="BA82" s="4657"/>
      <c r="BW82" s="4652"/>
    </row>
    <row r="83" spans="1:75" ht="16.350000000000001" customHeight="1" x14ac:dyDescent="0.2">
      <c r="A83" s="6349" t="s">
        <v>1556</v>
      </c>
      <c r="B83" s="6350"/>
      <c r="C83" s="6351"/>
      <c r="D83" s="6350"/>
      <c r="E83" s="6352"/>
      <c r="F83" s="6353"/>
      <c r="G83" s="6351"/>
      <c r="H83" s="6353"/>
      <c r="I83" s="6351"/>
      <c r="J83" s="6024"/>
      <c r="K83" s="6285"/>
      <c r="L83" s="6285"/>
      <c r="M83" s="6285"/>
      <c r="N83" s="6285"/>
      <c r="O83" s="6285"/>
      <c r="P83" s="6285"/>
      <c r="Q83" s="6285"/>
      <c r="R83" s="6285"/>
      <c r="S83" s="6285"/>
      <c r="T83" s="6285"/>
      <c r="U83" s="6285"/>
      <c r="V83" s="6285"/>
      <c r="W83" s="6338"/>
      <c r="X83" s="6339"/>
      <c r="Y83" s="6339"/>
      <c r="Z83" s="6339"/>
      <c r="AA83" s="6339"/>
      <c r="AB83" s="6339"/>
      <c r="AC83" s="6285"/>
      <c r="AD83" s="6285"/>
      <c r="AE83" s="6285"/>
      <c r="AF83" s="6285"/>
      <c r="AG83" s="6285"/>
      <c r="AH83" s="6285"/>
      <c r="AI83" s="6285"/>
      <c r="AJ83" s="6285"/>
      <c r="AK83" s="6285"/>
      <c r="AL83" s="6285"/>
      <c r="AM83" s="6285"/>
      <c r="AN83" s="6286"/>
      <c r="AO83" s="6286"/>
      <c r="AP83" s="4657"/>
      <c r="AQ83" s="4657"/>
      <c r="AR83" s="4657"/>
      <c r="AS83" s="4657"/>
      <c r="AT83" s="4657"/>
      <c r="AU83" s="4657"/>
      <c r="AV83" s="4657"/>
      <c r="AW83" s="4657"/>
      <c r="AX83" s="4657"/>
      <c r="AY83" s="4657"/>
      <c r="AZ83" s="4657"/>
      <c r="BA83" s="4657"/>
      <c r="BW83" s="4652"/>
    </row>
    <row r="84" spans="1:75" ht="16.350000000000001" customHeight="1" x14ac:dyDescent="0.2">
      <c r="A84" s="6349" t="s">
        <v>1555</v>
      </c>
      <c r="B84" s="6350"/>
      <c r="C84" s="6351"/>
      <c r="D84" s="6350"/>
      <c r="E84" s="6352"/>
      <c r="F84" s="6353"/>
      <c r="G84" s="6351"/>
      <c r="H84" s="6353"/>
      <c r="I84" s="6351"/>
      <c r="J84" s="6024"/>
      <c r="K84" s="6285"/>
      <c r="L84" s="6285"/>
      <c r="M84" s="6285"/>
      <c r="N84" s="6285"/>
      <c r="O84" s="6285"/>
      <c r="P84" s="6285"/>
      <c r="Q84" s="6285"/>
      <c r="R84" s="6285"/>
      <c r="S84" s="6285"/>
      <c r="T84" s="6285"/>
      <c r="U84" s="6285"/>
      <c r="V84" s="6285"/>
      <c r="W84" s="6338"/>
      <c r="X84" s="6339"/>
      <c r="Y84" s="6339"/>
      <c r="Z84" s="6339"/>
      <c r="AA84" s="6339"/>
      <c r="AB84" s="6339"/>
      <c r="AC84" s="6285"/>
      <c r="AD84" s="6285"/>
      <c r="AE84" s="6285"/>
      <c r="AF84" s="6285"/>
      <c r="AG84" s="6285"/>
      <c r="AH84" s="6285"/>
      <c r="AI84" s="6285"/>
      <c r="AJ84" s="6285"/>
      <c r="AK84" s="6285"/>
      <c r="AL84" s="6285"/>
      <c r="AM84" s="6285"/>
      <c r="AN84" s="6286"/>
      <c r="AO84" s="6286"/>
      <c r="AP84" s="4657"/>
      <c r="AQ84" s="4657"/>
      <c r="AR84" s="4657"/>
      <c r="AS84" s="4657"/>
      <c r="AT84" s="4657"/>
      <c r="AU84" s="4657"/>
      <c r="AV84" s="4657"/>
      <c r="AW84" s="4657"/>
      <c r="AX84" s="4657"/>
      <c r="AY84" s="4657"/>
      <c r="AZ84" s="4657"/>
      <c r="BA84" s="4657"/>
      <c r="BW84" s="4652"/>
    </row>
    <row r="85" spans="1:75" ht="16.350000000000001" customHeight="1" x14ac:dyDescent="0.2">
      <c r="A85" s="4886" t="s">
        <v>1554</v>
      </c>
      <c r="B85" s="4796"/>
      <c r="C85" s="6354"/>
      <c r="D85" s="4796"/>
      <c r="E85" s="6355"/>
      <c r="F85" s="4798"/>
      <c r="G85" s="6354"/>
      <c r="H85" s="4798"/>
      <c r="I85" s="6354"/>
      <c r="J85" s="6024"/>
      <c r="K85" s="6285"/>
      <c r="L85" s="6285"/>
      <c r="M85" s="6285"/>
      <c r="N85" s="6285"/>
      <c r="O85" s="6285"/>
      <c r="P85" s="6285"/>
      <c r="Q85" s="6285"/>
      <c r="R85" s="6285"/>
      <c r="S85" s="6285"/>
      <c r="T85" s="6285"/>
      <c r="U85" s="6285"/>
      <c r="V85" s="6285"/>
      <c r="W85" s="6338"/>
      <c r="X85" s="6339"/>
      <c r="Y85" s="6339"/>
      <c r="Z85" s="6339"/>
      <c r="AA85" s="6339"/>
      <c r="AB85" s="6339"/>
      <c r="AC85" s="6285"/>
      <c r="AD85" s="6285"/>
      <c r="AE85" s="6285"/>
      <c r="AF85" s="6285"/>
      <c r="AG85" s="6285"/>
      <c r="AH85" s="6285"/>
      <c r="AI85" s="6285"/>
      <c r="AJ85" s="6285"/>
      <c r="AK85" s="6285"/>
      <c r="AL85" s="6285"/>
      <c r="AM85" s="6285"/>
      <c r="AN85" s="6286"/>
      <c r="AO85" s="6286"/>
      <c r="AP85" s="4657"/>
      <c r="AQ85" s="4657"/>
      <c r="AR85" s="4657"/>
      <c r="AS85" s="4657"/>
      <c r="AT85" s="4657"/>
      <c r="AU85" s="4657"/>
      <c r="AV85" s="4657"/>
      <c r="AW85" s="4657"/>
      <c r="AX85" s="4657"/>
      <c r="AY85" s="4657"/>
      <c r="AZ85" s="4657"/>
      <c r="BA85" s="4657"/>
      <c r="BW85" s="4652"/>
    </row>
    <row r="86" spans="1:75" ht="31.35" customHeight="1" x14ac:dyDescent="0.2">
      <c r="A86" s="4878" t="s">
        <v>1553</v>
      </c>
      <c r="B86" s="6356"/>
      <c r="C86" s="6356"/>
      <c r="D86" s="6356"/>
      <c r="E86" s="4880"/>
      <c r="F86" s="4880"/>
      <c r="G86" s="4880"/>
      <c r="H86" s="4880"/>
      <c r="I86" s="4880"/>
      <c r="J86" s="4880"/>
      <c r="K86" s="6357"/>
      <c r="L86" s="4880"/>
      <c r="M86" s="6307"/>
      <c r="N86" s="6307"/>
      <c r="O86" s="6285"/>
      <c r="P86" s="6285"/>
      <c r="Q86" s="6285"/>
      <c r="R86" s="6285"/>
      <c r="S86" s="6285"/>
      <c r="T86" s="6285"/>
      <c r="U86" s="6285"/>
      <c r="V86" s="6338"/>
      <c r="W86" s="6358"/>
      <c r="X86" s="6359"/>
      <c r="Y86" s="6359"/>
      <c r="Z86" s="6359"/>
      <c r="AA86" s="6359"/>
      <c r="AB86" s="6359"/>
      <c r="AC86" s="6359"/>
      <c r="AD86" s="6285"/>
      <c r="AE86" s="6285"/>
      <c r="AF86" s="6285"/>
      <c r="AG86" s="6285"/>
      <c r="AH86" s="6359"/>
      <c r="AI86" s="6359"/>
      <c r="AJ86" s="6359"/>
      <c r="AK86" s="6359"/>
      <c r="AL86" s="6285"/>
      <c r="AM86" s="6285"/>
      <c r="AN86" s="6285"/>
      <c r="AO86" s="6285"/>
      <c r="AP86" s="6285"/>
    </row>
    <row r="87" spans="1:75" ht="24.6" customHeight="1" x14ac:dyDescent="0.2">
      <c r="A87" s="8996" t="s">
        <v>1234</v>
      </c>
      <c r="B87" s="8996" t="s">
        <v>1552</v>
      </c>
      <c r="C87" s="9021" t="s">
        <v>1551</v>
      </c>
      <c r="D87" s="8988" t="s">
        <v>1550</v>
      </c>
      <c r="E87" s="6360"/>
      <c r="F87" s="6361"/>
      <c r="G87" s="6362"/>
      <c r="H87" s="6362"/>
      <c r="I87" s="6285"/>
      <c r="J87" s="6285"/>
      <c r="K87" s="6285"/>
      <c r="L87" s="6285"/>
      <c r="M87" s="6285"/>
      <c r="N87" s="6285"/>
      <c r="O87" s="6285"/>
      <c r="P87" s="6285"/>
      <c r="Q87" s="6308"/>
      <c r="R87" s="6285"/>
      <c r="S87" s="6285"/>
      <c r="T87" s="6285"/>
      <c r="U87" s="4879"/>
      <c r="V87" s="6363"/>
      <c r="W87" s="6363"/>
      <c r="X87" s="6364"/>
      <c r="Y87" s="6364"/>
      <c r="Z87" s="6365"/>
      <c r="AA87" s="6365"/>
      <c r="AB87" s="6365"/>
      <c r="AC87" s="6285"/>
      <c r="AD87" s="6285"/>
      <c r="AE87" s="6285"/>
      <c r="AF87" s="6285"/>
      <c r="AG87" s="4879"/>
      <c r="AH87" s="6363"/>
      <c r="AI87" s="6363"/>
      <c r="AJ87" s="6363"/>
      <c r="AK87" s="6366"/>
    </row>
    <row r="88" spans="1:75" ht="24.6" customHeight="1" x14ac:dyDescent="0.2">
      <c r="A88" s="8997"/>
      <c r="B88" s="8997"/>
      <c r="C88" s="9022"/>
      <c r="D88" s="8990"/>
      <c r="E88" s="4328"/>
      <c r="F88" s="6285"/>
      <c r="G88" s="6285"/>
      <c r="H88" s="6367"/>
      <c r="I88" s="6337"/>
      <c r="J88" s="6337"/>
      <c r="K88" s="6285"/>
      <c r="L88" s="6285"/>
      <c r="M88" s="6285"/>
      <c r="N88" s="6285"/>
      <c r="O88" s="6285"/>
      <c r="P88" s="6285"/>
      <c r="Q88" s="6285"/>
      <c r="R88" s="6285"/>
      <c r="S88" s="6308"/>
      <c r="T88" s="6285"/>
      <c r="U88" s="6285"/>
      <c r="V88" s="6359"/>
      <c r="W88" s="6363"/>
      <c r="X88" s="6363"/>
      <c r="Y88" s="6363"/>
      <c r="Z88" s="6363"/>
      <c r="AA88" s="6363"/>
      <c r="AB88" s="6359"/>
      <c r="AC88" s="6285"/>
      <c r="AD88" s="6285"/>
      <c r="AE88" s="6285"/>
      <c r="AF88" s="6285"/>
      <c r="AG88" s="6285"/>
      <c r="AH88" s="6359"/>
      <c r="AI88" s="6363"/>
      <c r="AJ88" s="6363"/>
      <c r="AK88" s="6366"/>
    </row>
    <row r="89" spans="1:75" ht="16.350000000000001" customHeight="1" x14ac:dyDescent="0.2">
      <c r="A89" s="6368" t="s">
        <v>1549</v>
      </c>
      <c r="B89" s="6369"/>
      <c r="C89" s="6370"/>
      <c r="D89" s="6371"/>
      <c r="E89" s="4328"/>
      <c r="F89" s="6285"/>
      <c r="G89" s="6285"/>
      <c r="H89" s="6367"/>
      <c r="I89" s="6337"/>
      <c r="J89" s="6337"/>
      <c r="K89" s="6285"/>
      <c r="L89" s="6285"/>
      <c r="M89" s="6285"/>
      <c r="N89" s="6285"/>
      <c r="O89" s="6285"/>
      <c r="P89" s="6285"/>
      <c r="Q89" s="6285"/>
      <c r="R89" s="6285"/>
      <c r="S89" s="6308"/>
      <c r="T89" s="6285"/>
      <c r="U89" s="6285"/>
      <c r="V89" s="6359"/>
      <c r="W89" s="6363"/>
      <c r="X89" s="6363"/>
      <c r="Y89" s="6363"/>
      <c r="Z89" s="6363"/>
      <c r="AA89" s="6363"/>
      <c r="AB89" s="6359"/>
      <c r="AC89" s="6285"/>
      <c r="AD89" s="6285"/>
      <c r="AE89" s="6285"/>
      <c r="AF89" s="6285"/>
      <c r="AG89" s="6285"/>
      <c r="AH89" s="6359"/>
      <c r="AI89" s="6363"/>
      <c r="AJ89" s="6363"/>
      <c r="AK89" s="6366"/>
    </row>
    <row r="90" spans="1:75" ht="27.75" customHeight="1" x14ac:dyDescent="0.2">
      <c r="A90" s="6349" t="s">
        <v>1548</v>
      </c>
      <c r="B90" s="6372"/>
      <c r="C90" s="6373"/>
      <c r="D90" s="6374"/>
      <c r="E90" s="4328"/>
      <c r="F90" s="6285"/>
      <c r="G90" s="6285"/>
      <c r="H90" s="6367"/>
      <c r="I90" s="6337"/>
      <c r="J90" s="6337"/>
      <c r="K90" s="6285"/>
      <c r="L90" s="6285"/>
      <c r="M90" s="6285"/>
      <c r="N90" s="6285"/>
      <c r="O90" s="6285"/>
      <c r="P90" s="6285"/>
      <c r="Q90" s="6285"/>
      <c r="R90" s="6285"/>
      <c r="S90" s="6308"/>
      <c r="T90" s="6285"/>
      <c r="U90" s="6285"/>
      <c r="V90" s="6359"/>
      <c r="W90" s="6363"/>
      <c r="X90" s="6363"/>
      <c r="Y90" s="6363"/>
      <c r="Z90" s="6363"/>
      <c r="AA90" s="6363"/>
      <c r="AB90" s="6359"/>
      <c r="AC90" s="6285"/>
      <c r="AD90" s="6285"/>
      <c r="AE90" s="6285"/>
      <c r="AF90" s="6285"/>
      <c r="AG90" s="6285"/>
      <c r="AH90" s="6359"/>
      <c r="AI90" s="6363"/>
      <c r="AJ90" s="6363"/>
      <c r="AK90" s="6366"/>
    </row>
    <row r="91" spans="1:75" ht="27.75" customHeight="1" x14ac:dyDescent="0.2">
      <c r="A91" s="6349" t="s">
        <v>1547</v>
      </c>
      <c r="B91" s="6372"/>
      <c r="C91" s="6373"/>
      <c r="D91" s="6374"/>
      <c r="E91" s="4328"/>
      <c r="F91" s="6285"/>
      <c r="G91" s="6285"/>
      <c r="H91" s="6367"/>
      <c r="I91" s="6337"/>
      <c r="J91" s="6337"/>
      <c r="K91" s="6285"/>
      <c r="L91" s="6285"/>
      <c r="M91" s="6285"/>
      <c r="N91" s="6285"/>
      <c r="O91" s="6285"/>
      <c r="P91" s="6285"/>
      <c r="Q91" s="6285"/>
      <c r="R91" s="6285"/>
      <c r="S91" s="6308"/>
      <c r="T91" s="6285"/>
      <c r="U91" s="6285"/>
      <c r="V91" s="6359"/>
      <c r="W91" s="6363"/>
      <c r="X91" s="6363"/>
      <c r="Y91" s="6363"/>
      <c r="Z91" s="6363"/>
      <c r="AA91" s="6363"/>
      <c r="AB91" s="6359"/>
      <c r="AC91" s="6285"/>
      <c r="AD91" s="6285"/>
      <c r="AE91" s="6285"/>
      <c r="AF91" s="6285"/>
      <c r="AG91" s="6285"/>
      <c r="AH91" s="6359"/>
      <c r="AI91" s="6363"/>
      <c r="AJ91" s="6363"/>
      <c r="AK91" s="6366"/>
    </row>
    <row r="92" spans="1:75" ht="18" customHeight="1" x14ac:dyDescent="0.2">
      <c r="A92" s="6375" t="s">
        <v>1546</v>
      </c>
      <c r="B92" s="6372"/>
      <c r="C92" s="6373"/>
      <c r="D92" s="6374"/>
      <c r="E92" s="4328"/>
      <c r="F92" s="6285"/>
      <c r="G92" s="6285"/>
      <c r="H92" s="6367"/>
      <c r="I92" s="6337"/>
      <c r="J92" s="6337"/>
      <c r="K92" s="6285"/>
      <c r="L92" s="6285"/>
      <c r="M92" s="6285"/>
      <c r="N92" s="6285"/>
      <c r="O92" s="6285"/>
      <c r="P92" s="6285"/>
      <c r="Q92" s="6285"/>
      <c r="R92" s="6285"/>
      <c r="S92" s="6308"/>
      <c r="T92" s="6285"/>
      <c r="U92" s="6285"/>
      <c r="V92" s="6359"/>
      <c r="W92" s="6363"/>
      <c r="X92" s="6363"/>
      <c r="Y92" s="6363"/>
      <c r="Z92" s="6363"/>
      <c r="AA92" s="6363"/>
      <c r="AB92" s="6359"/>
      <c r="AC92" s="6285"/>
      <c r="AD92" s="6285"/>
      <c r="AE92" s="6285"/>
      <c r="AF92" s="6285"/>
      <c r="AG92" s="6285"/>
      <c r="AH92" s="6359"/>
      <c r="AI92" s="6363"/>
      <c r="AJ92" s="6363"/>
      <c r="AK92" s="6366"/>
    </row>
    <row r="93" spans="1:75" ht="27.75" customHeight="1" x14ac:dyDescent="0.2">
      <c r="A93" s="6376" t="s">
        <v>1545</v>
      </c>
      <c r="B93" s="6372"/>
      <c r="C93" s="6373"/>
      <c r="D93" s="6374"/>
      <c r="E93" s="4328"/>
      <c r="F93" s="6285"/>
      <c r="G93" s="6285"/>
      <c r="H93" s="6367"/>
      <c r="I93" s="6337"/>
      <c r="J93" s="6337"/>
      <c r="K93" s="6285"/>
      <c r="L93" s="6285"/>
      <c r="M93" s="6285"/>
      <c r="N93" s="6285"/>
      <c r="O93" s="6285"/>
      <c r="P93" s="6285"/>
      <c r="Q93" s="6285"/>
      <c r="R93" s="6285"/>
      <c r="S93" s="6308"/>
      <c r="T93" s="6285"/>
      <c r="U93" s="6285"/>
      <c r="V93" s="6359"/>
      <c r="W93" s="6363"/>
      <c r="X93" s="6363"/>
      <c r="Y93" s="6363"/>
      <c r="Z93" s="6363"/>
      <c r="AA93" s="6363"/>
      <c r="AB93" s="6359"/>
      <c r="AC93" s="6285"/>
      <c r="AD93" s="6285"/>
      <c r="AE93" s="6285"/>
      <c r="AF93" s="6285"/>
      <c r="AG93" s="6285"/>
      <c r="AH93" s="6359"/>
      <c r="AI93" s="6363"/>
      <c r="AJ93" s="6363"/>
      <c r="AK93" s="6366"/>
    </row>
    <row r="94" spans="1:75" ht="27.75" customHeight="1" x14ac:dyDescent="0.2">
      <c r="A94" s="6376" t="s">
        <v>1544</v>
      </c>
      <c r="B94" s="6377"/>
      <c r="C94" s="6378"/>
      <c r="D94" s="4710"/>
      <c r="E94" s="4328"/>
      <c r="F94" s="6285"/>
      <c r="G94" s="6285"/>
      <c r="H94" s="6367"/>
      <c r="I94" s="6337"/>
      <c r="J94" s="6337"/>
      <c r="K94" s="6285"/>
      <c r="L94" s="6285"/>
      <c r="M94" s="6285"/>
      <c r="N94" s="6285"/>
      <c r="O94" s="6285"/>
      <c r="P94" s="6285"/>
      <c r="Q94" s="6285"/>
      <c r="R94" s="6285"/>
      <c r="S94" s="6308"/>
      <c r="T94" s="6285"/>
      <c r="U94" s="6285"/>
      <c r="V94" s="6359"/>
      <c r="W94" s="6363"/>
      <c r="X94" s="6363"/>
      <c r="Y94" s="6363"/>
      <c r="Z94" s="6363"/>
      <c r="AA94" s="6363"/>
      <c r="AB94" s="6359"/>
      <c r="AC94" s="6285"/>
      <c r="AD94" s="6285"/>
      <c r="AE94" s="6285"/>
      <c r="AF94" s="6285"/>
      <c r="AG94" s="6285"/>
      <c r="AH94" s="6359"/>
      <c r="AI94" s="6363"/>
      <c r="AJ94" s="6379"/>
      <c r="AK94" s="6380"/>
    </row>
    <row r="95" spans="1:75" ht="27.75" customHeight="1" x14ac:dyDescent="0.2">
      <c r="A95" s="6381" t="s">
        <v>1543</v>
      </c>
      <c r="B95" s="6382"/>
      <c r="C95" s="6383"/>
      <c r="D95" s="6384"/>
      <c r="E95" s="4328"/>
      <c r="F95" s="6285"/>
      <c r="G95" s="6285"/>
      <c r="H95" s="6367"/>
      <c r="I95" s="6337"/>
      <c r="J95" s="6337"/>
      <c r="K95" s="6285"/>
      <c r="L95" s="6285"/>
      <c r="M95" s="6285"/>
      <c r="N95" s="6285"/>
      <c r="O95" s="6285"/>
      <c r="P95" s="6285"/>
      <c r="Q95" s="6285"/>
      <c r="R95" s="6285"/>
      <c r="S95" s="6308"/>
      <c r="T95" s="6285"/>
      <c r="U95" s="6285"/>
      <c r="V95" s="6359"/>
      <c r="W95" s="6363"/>
      <c r="X95" s="6363"/>
      <c r="Y95" s="6363"/>
      <c r="Z95" s="6363"/>
      <c r="AA95" s="6363"/>
      <c r="AB95" s="6359"/>
      <c r="AC95" s="6285"/>
      <c r="AD95" s="6285"/>
      <c r="AE95" s="6285"/>
      <c r="AF95" s="6285"/>
      <c r="AG95" s="6285"/>
      <c r="AH95" s="6359"/>
      <c r="AI95" s="6385"/>
      <c r="AJ95" s="6363"/>
      <c r="AK95" s="6366"/>
      <c r="AL95" s="6366"/>
      <c r="AM95" s="6366"/>
      <c r="AN95" s="6366"/>
      <c r="AO95" s="6366"/>
      <c r="AP95" s="6366"/>
      <c r="AQ95" s="6366"/>
    </row>
    <row r="96" spans="1:75" ht="31.35" customHeight="1" x14ac:dyDescent="0.2">
      <c r="A96" s="6386" t="s">
        <v>1542</v>
      </c>
      <c r="B96" s="6337"/>
      <c r="C96" s="6337"/>
      <c r="D96" s="6337"/>
      <c r="E96" s="4660"/>
      <c r="F96" s="6337"/>
      <c r="G96" s="6337"/>
      <c r="H96" s="6285"/>
      <c r="I96" s="6285"/>
      <c r="J96" s="6285"/>
      <c r="K96" s="6367"/>
      <c r="L96" s="6285"/>
      <c r="M96" s="6285"/>
      <c r="N96" s="6285"/>
      <c r="O96" s="6285"/>
      <c r="P96" s="6285"/>
      <c r="Q96" s="6285"/>
      <c r="R96" s="6285"/>
      <c r="S96" s="6285"/>
      <c r="T96" s="6285"/>
      <c r="U96" s="6285"/>
      <c r="V96" s="6338"/>
      <c r="W96" s="6359"/>
      <c r="X96" s="6359"/>
      <c r="Y96" s="6359"/>
      <c r="Z96" s="6359"/>
      <c r="AA96" s="6359"/>
      <c r="AB96" s="6359"/>
      <c r="AC96" s="6285"/>
      <c r="AD96" s="6285"/>
      <c r="AE96" s="6285"/>
      <c r="AF96" s="6285"/>
      <c r="AG96" s="6285"/>
      <c r="AH96" s="6285"/>
      <c r="AI96" s="6285"/>
      <c r="AJ96" s="6359"/>
      <c r="AK96" s="6359"/>
      <c r="AL96" s="6359"/>
      <c r="AM96" s="6359"/>
      <c r="AN96" s="6359"/>
      <c r="AO96" s="6359"/>
      <c r="AP96" s="6359"/>
      <c r="AQ96" s="6366"/>
    </row>
    <row r="97" spans="1:107" ht="16.350000000000001" customHeight="1" x14ac:dyDescent="0.2">
      <c r="A97" s="8996" t="s">
        <v>1541</v>
      </c>
      <c r="B97" s="9023" t="s">
        <v>2661</v>
      </c>
      <c r="C97" s="9023" t="s">
        <v>2662</v>
      </c>
      <c r="D97" s="8996" t="s">
        <v>1540</v>
      </c>
      <c r="E97" s="9046" t="s">
        <v>1539</v>
      </c>
      <c r="F97" s="8969"/>
      <c r="G97" s="4328"/>
      <c r="H97" s="6285"/>
      <c r="I97" s="6285"/>
      <c r="J97" s="6285"/>
      <c r="K97" s="6285"/>
      <c r="L97" s="6367"/>
      <c r="M97" s="6387"/>
      <c r="N97" s="6337"/>
      <c r="O97" s="6285"/>
      <c r="P97" s="6285"/>
      <c r="Q97" s="6285"/>
      <c r="R97" s="6285"/>
      <c r="S97" s="6285"/>
      <c r="T97" s="6285"/>
      <c r="U97" s="6285"/>
      <c r="V97" s="6285"/>
      <c r="W97" s="6308"/>
      <c r="X97" s="6359"/>
      <c r="Y97" s="6359"/>
      <c r="Z97" s="6359"/>
      <c r="AA97" s="6339"/>
      <c r="AB97" s="6339"/>
      <c r="AC97" s="6339"/>
      <c r="AD97" s="6339"/>
      <c r="AE97" s="6388"/>
      <c r="AF97" s="6359"/>
      <c r="AG97" s="6285"/>
      <c r="AH97" s="6285"/>
      <c r="AI97" s="6285"/>
      <c r="AJ97" s="6285"/>
      <c r="AK97" s="6285"/>
      <c r="AL97" s="6359"/>
      <c r="AM97" s="6339"/>
      <c r="AN97" s="6339"/>
      <c r="AO97" s="6339"/>
      <c r="AP97" s="6339"/>
      <c r="AQ97" s="6339"/>
      <c r="AR97" s="6339"/>
      <c r="AS97" s="6366"/>
      <c r="BX97" s="4651"/>
      <c r="BY97" s="4651"/>
    </row>
    <row r="98" spans="1:107" ht="27.75" customHeight="1" x14ac:dyDescent="0.2">
      <c r="A98" s="8997"/>
      <c r="B98" s="9024"/>
      <c r="C98" s="9024"/>
      <c r="D98" s="8997"/>
      <c r="E98" s="6340" t="s">
        <v>1538</v>
      </c>
      <c r="F98" s="6389" t="s">
        <v>1537</v>
      </c>
      <c r="G98" s="4328"/>
      <c r="H98" s="6285"/>
      <c r="I98" s="6285"/>
      <c r="J98" s="6285"/>
      <c r="K98" s="6285"/>
      <c r="L98" s="6367"/>
      <c r="M98" s="6387"/>
      <c r="N98" s="6337"/>
      <c r="O98" s="6285"/>
      <c r="P98" s="6285"/>
      <c r="Q98" s="6285"/>
      <c r="R98" s="6285"/>
      <c r="S98" s="6285"/>
      <c r="T98" s="6285"/>
      <c r="U98" s="6285"/>
      <c r="V98" s="6285"/>
      <c r="W98" s="6308"/>
      <c r="X98" s="6359"/>
      <c r="Y98" s="6359"/>
      <c r="Z98" s="6359"/>
      <c r="AA98" s="6339"/>
      <c r="AB98" s="6339"/>
      <c r="AC98" s="6339"/>
      <c r="AD98" s="6339"/>
      <c r="AE98" s="6388"/>
      <c r="AF98" s="6359"/>
      <c r="AG98" s="6285"/>
      <c r="AH98" s="6285"/>
      <c r="AI98" s="6285"/>
      <c r="AJ98" s="6285"/>
      <c r="AK98" s="6285"/>
      <c r="AL98" s="6359"/>
      <c r="AM98" s="6339"/>
      <c r="AN98" s="6339"/>
      <c r="AO98" s="6339"/>
      <c r="AP98" s="6339"/>
      <c r="AQ98" s="6339"/>
      <c r="AR98" s="6339"/>
      <c r="AS98" s="6366"/>
      <c r="BX98" s="4651"/>
      <c r="BY98" s="4651"/>
    </row>
    <row r="99" spans="1:107" ht="16.350000000000001" customHeight="1" x14ac:dyDescent="0.2">
      <c r="A99" s="6313" t="s">
        <v>1536</v>
      </c>
      <c r="B99" s="4869"/>
      <c r="C99" s="4869"/>
      <c r="D99" s="4864"/>
      <c r="E99" s="4770"/>
      <c r="F99" s="4885"/>
      <c r="G99" s="4328"/>
      <c r="H99" s="6285"/>
      <c r="I99" s="6285"/>
      <c r="J99" s="6285"/>
      <c r="K99" s="6285"/>
      <c r="L99" s="6367"/>
      <c r="M99" s="6390"/>
      <c r="N99" s="6337"/>
      <c r="O99" s="6285"/>
      <c r="P99" s="6285"/>
      <c r="Q99" s="6285"/>
      <c r="R99" s="6285"/>
      <c r="S99" s="6285"/>
      <c r="T99" s="6285"/>
      <c r="U99" s="6285"/>
      <c r="V99" s="6285"/>
      <c r="W99" s="6308"/>
      <c r="X99" s="6359"/>
      <c r="Y99" s="6359"/>
      <c r="Z99" s="6359"/>
      <c r="AA99" s="6339"/>
      <c r="AB99" s="6339"/>
      <c r="AC99" s="6339"/>
      <c r="AD99" s="6339"/>
      <c r="AE99" s="6388"/>
      <c r="AF99" s="6359"/>
      <c r="AG99" s="6285"/>
      <c r="AH99" s="6285"/>
      <c r="AI99" s="6285"/>
      <c r="AJ99" s="6285"/>
      <c r="AK99" s="6285"/>
      <c r="AL99" s="6359"/>
      <c r="AM99" s="6339"/>
      <c r="AN99" s="6339"/>
      <c r="AO99" s="6339"/>
      <c r="AP99" s="6339"/>
      <c r="AQ99" s="6339"/>
      <c r="AR99" s="6339"/>
      <c r="AS99" s="6366"/>
      <c r="BX99" s="4651"/>
      <c r="BY99" s="4651"/>
    </row>
    <row r="100" spans="1:107" ht="16.350000000000001" customHeight="1" x14ac:dyDescent="0.2">
      <c r="A100" s="6316" t="s">
        <v>1535</v>
      </c>
      <c r="B100" s="4869"/>
      <c r="C100" s="4869"/>
      <c r="D100" s="4869"/>
      <c r="E100" s="4778"/>
      <c r="F100" s="5582"/>
      <c r="G100" s="4328"/>
      <c r="H100" s="6285"/>
      <c r="I100" s="6285"/>
      <c r="J100" s="6285"/>
      <c r="K100" s="6285"/>
      <c r="L100" s="6367"/>
      <c r="M100" s="6390"/>
      <c r="N100" s="6337"/>
      <c r="O100" s="6285"/>
      <c r="P100" s="6285"/>
      <c r="Q100" s="6285"/>
      <c r="R100" s="6285"/>
      <c r="S100" s="6285"/>
      <c r="T100" s="6285"/>
      <c r="U100" s="6285"/>
      <c r="V100" s="6285"/>
      <c r="W100" s="6308"/>
      <c r="X100" s="6359"/>
      <c r="Y100" s="6359"/>
      <c r="Z100" s="6359"/>
      <c r="AA100" s="6339"/>
      <c r="AB100" s="6339"/>
      <c r="AC100" s="6339"/>
      <c r="AD100" s="6339"/>
      <c r="AE100" s="6388"/>
      <c r="AF100" s="6359"/>
      <c r="AG100" s="6285"/>
      <c r="AH100" s="6285"/>
      <c r="AI100" s="6285"/>
      <c r="AJ100" s="6285"/>
      <c r="AK100" s="6285"/>
      <c r="AL100" s="6359"/>
      <c r="AM100" s="6339"/>
      <c r="AN100" s="6339"/>
      <c r="AO100" s="6339"/>
      <c r="AP100" s="6339"/>
      <c r="AQ100" s="6339"/>
      <c r="AR100" s="6339"/>
      <c r="AS100" s="6366"/>
      <c r="BX100" s="4651"/>
      <c r="BY100" s="4651"/>
    </row>
    <row r="101" spans="1:107" ht="16.350000000000001" customHeight="1" x14ac:dyDescent="0.2">
      <c r="A101" s="6316" t="s">
        <v>1534</v>
      </c>
      <c r="B101" s="4869"/>
      <c r="C101" s="4869"/>
      <c r="D101" s="4869"/>
      <c r="E101" s="4778"/>
      <c r="F101" s="5582"/>
      <c r="G101" s="4328"/>
      <c r="H101" s="6285"/>
      <c r="I101" s="6285"/>
      <c r="J101" s="6285"/>
      <c r="K101" s="6285"/>
      <c r="L101" s="6285"/>
      <c r="M101" s="6391"/>
      <c r="N101" s="6337"/>
      <c r="O101" s="6285"/>
      <c r="P101" s="6285"/>
      <c r="Q101" s="6285"/>
      <c r="R101" s="6285"/>
      <c r="S101" s="6285"/>
      <c r="T101" s="6285"/>
      <c r="U101" s="6285"/>
      <c r="V101" s="6285"/>
      <c r="W101" s="6308"/>
      <c r="X101" s="6359"/>
      <c r="Y101" s="6359"/>
      <c r="Z101" s="6359"/>
      <c r="AA101" s="6339"/>
      <c r="AB101" s="6339"/>
      <c r="AC101" s="6339"/>
      <c r="AD101" s="6339"/>
      <c r="AE101" s="6388"/>
      <c r="AF101" s="6359"/>
      <c r="AG101" s="6285"/>
      <c r="AH101" s="6285"/>
      <c r="AI101" s="6285"/>
      <c r="AJ101" s="6285"/>
      <c r="AK101" s="6285"/>
      <c r="AL101" s="6359"/>
      <c r="AM101" s="6339"/>
      <c r="AN101" s="6339"/>
      <c r="AO101" s="6339"/>
      <c r="AP101" s="6339"/>
      <c r="AQ101" s="6339"/>
      <c r="AR101" s="6339"/>
      <c r="AS101" s="6366"/>
      <c r="BX101" s="4651"/>
      <c r="BY101" s="4651"/>
    </row>
    <row r="102" spans="1:107" ht="16.350000000000001" customHeight="1" x14ac:dyDescent="0.2">
      <c r="A102" s="6316" t="s">
        <v>1533</v>
      </c>
      <c r="B102" s="4869"/>
      <c r="C102" s="4869"/>
      <c r="D102" s="4869"/>
      <c r="E102" s="4778"/>
      <c r="F102" s="5582"/>
      <c r="G102" s="4328"/>
      <c r="H102" s="6285"/>
      <c r="I102" s="6285"/>
      <c r="J102" s="6285"/>
      <c r="K102" s="6285"/>
      <c r="L102" s="6285"/>
      <c r="M102" s="6391"/>
      <c r="N102" s="6337"/>
      <c r="O102" s="6285"/>
      <c r="P102" s="6285"/>
      <c r="Q102" s="6285"/>
      <c r="R102" s="6285"/>
      <c r="S102" s="6285"/>
      <c r="T102" s="6285"/>
      <c r="U102" s="6285"/>
      <c r="V102" s="6285"/>
      <c r="W102" s="6308"/>
      <c r="X102" s="6359"/>
      <c r="Y102" s="6359"/>
      <c r="Z102" s="6359"/>
      <c r="AA102" s="6339"/>
      <c r="AB102" s="6339"/>
      <c r="AC102" s="6339"/>
      <c r="AD102" s="6339"/>
      <c r="AE102" s="6388"/>
      <c r="AF102" s="6359"/>
      <c r="AG102" s="6285"/>
      <c r="AH102" s="6285"/>
      <c r="AI102" s="6285"/>
      <c r="AJ102" s="6285"/>
      <c r="AK102" s="6285"/>
      <c r="AL102" s="6359"/>
      <c r="AM102" s="6339"/>
      <c r="AN102" s="6339"/>
      <c r="AO102" s="6339"/>
      <c r="AP102" s="6339"/>
      <c r="AQ102" s="6339"/>
      <c r="AR102" s="6339"/>
      <c r="AS102" s="6366"/>
      <c r="BX102" s="4651"/>
      <c r="BY102" s="4651"/>
    </row>
    <row r="103" spans="1:107" ht="16.350000000000001" customHeight="1" x14ac:dyDescent="0.2">
      <c r="A103" s="6316" t="s">
        <v>1532</v>
      </c>
      <c r="B103" s="4869"/>
      <c r="C103" s="4869"/>
      <c r="D103" s="4869"/>
      <c r="E103" s="4778"/>
      <c r="F103" s="5582"/>
      <c r="G103" s="4328"/>
      <c r="H103" s="6285"/>
      <c r="I103" s="6285"/>
      <c r="J103" s="6285"/>
      <c r="K103" s="6285"/>
      <c r="L103" s="6285"/>
      <c r="M103" s="6391"/>
      <c r="N103" s="6337"/>
      <c r="O103" s="6285"/>
      <c r="P103" s="6285"/>
      <c r="Q103" s="6285"/>
      <c r="R103" s="6285"/>
      <c r="S103" s="6285"/>
      <c r="T103" s="6285"/>
      <c r="U103" s="6285"/>
      <c r="V103" s="6285"/>
      <c r="W103" s="6308"/>
      <c r="X103" s="6359"/>
      <c r="Y103" s="6359"/>
      <c r="Z103" s="6359"/>
      <c r="AA103" s="6339"/>
      <c r="AB103" s="6339"/>
      <c r="AC103" s="6339"/>
      <c r="AD103" s="6339"/>
      <c r="AE103" s="6388"/>
      <c r="AF103" s="6359"/>
      <c r="AG103" s="6285"/>
      <c r="AH103" s="6285"/>
      <c r="AI103" s="6285"/>
      <c r="AJ103" s="6285"/>
      <c r="AK103" s="6285"/>
      <c r="AL103" s="6359"/>
      <c r="AM103" s="6339"/>
      <c r="AN103" s="6339"/>
      <c r="AO103" s="6339"/>
      <c r="AP103" s="6339"/>
      <c r="AQ103" s="6339"/>
      <c r="AR103" s="6339"/>
      <c r="AS103" s="6366"/>
      <c r="BX103" s="4651"/>
      <c r="BY103" s="4651"/>
    </row>
    <row r="104" spans="1:107" ht="16.350000000000001" customHeight="1" x14ac:dyDescent="0.2">
      <c r="A104" s="6392" t="s">
        <v>24</v>
      </c>
      <c r="B104" s="6393">
        <f>SUM(B99:B103)</f>
        <v>0</v>
      </c>
      <c r="C104" s="6393">
        <f>SUM(C99:C103)</f>
        <v>0</v>
      </c>
      <c r="D104" s="6394">
        <f>SUM(D99:D103)</f>
        <v>0</v>
      </c>
      <c r="E104" s="6395">
        <f>SUM(E99:E103)</f>
        <v>0</v>
      </c>
      <c r="F104" s="6396">
        <f>SUM(F99:F103)</f>
        <v>0</v>
      </c>
      <c r="G104" s="4328"/>
      <c r="H104" s="6285"/>
      <c r="I104" s="6285"/>
      <c r="J104" s="6285"/>
      <c r="K104" s="6285"/>
      <c r="L104" s="6285"/>
      <c r="M104" s="6391"/>
      <c r="N104" s="6337"/>
      <c r="O104" s="6285"/>
      <c r="P104" s="6285"/>
      <c r="Q104" s="6285"/>
      <c r="R104" s="6285"/>
      <c r="S104" s="6285"/>
      <c r="T104" s="6285"/>
      <c r="U104" s="6285"/>
      <c r="V104" s="6285"/>
      <c r="W104" s="6308"/>
      <c r="X104" s="6359"/>
      <c r="Y104" s="6359"/>
      <c r="Z104" s="6359"/>
      <c r="AA104" s="6339"/>
      <c r="AB104" s="6339"/>
      <c r="AC104" s="6339"/>
      <c r="AD104" s="6339"/>
      <c r="AE104" s="6388"/>
      <c r="AF104" s="6359"/>
      <c r="AG104" s="6285"/>
      <c r="AH104" s="6285"/>
      <c r="AI104" s="6285"/>
      <c r="AJ104" s="6285"/>
      <c r="AK104" s="6285"/>
      <c r="AL104" s="6359"/>
      <c r="AM104" s="6339"/>
      <c r="AN104" s="6339"/>
      <c r="AO104" s="6339"/>
      <c r="AP104" s="6339"/>
      <c r="AQ104" s="6339"/>
      <c r="AR104" s="6339"/>
      <c r="AS104" s="6366"/>
      <c r="BX104" s="4651"/>
      <c r="BY104" s="4651"/>
    </row>
    <row r="105" spans="1:107" ht="31.35" customHeight="1" x14ac:dyDescent="0.2">
      <c r="A105" s="6397" t="s">
        <v>1531</v>
      </c>
      <c r="B105" s="4879"/>
      <c r="C105" s="4879"/>
      <c r="D105" s="4879"/>
      <c r="E105" s="6398"/>
      <c r="F105" s="5617"/>
      <c r="G105" s="6399"/>
      <c r="H105" s="6399"/>
      <c r="I105" s="6399"/>
      <c r="J105" s="6399"/>
      <c r="K105" s="6400"/>
      <c r="L105" s="6283"/>
      <c r="M105" s="6283"/>
      <c r="N105" s="6285"/>
      <c r="O105" s="6285"/>
      <c r="P105" s="6285"/>
      <c r="Q105" s="6285"/>
      <c r="R105" s="6285"/>
      <c r="S105" s="6285"/>
      <c r="T105" s="6285"/>
      <c r="U105" s="6338"/>
      <c r="V105" s="6359"/>
      <c r="W105" s="6359"/>
      <c r="X105" s="6359"/>
      <c r="Y105" s="6359"/>
      <c r="Z105" s="6359"/>
      <c r="AA105" s="6359"/>
      <c r="AB105" s="6401"/>
      <c r="AC105" s="6359"/>
      <c r="AD105" s="6285"/>
      <c r="AE105" s="6285"/>
      <c r="AF105" s="6285"/>
      <c r="AG105" s="6285"/>
      <c r="AH105" s="6285"/>
      <c r="AI105" s="6359"/>
      <c r="AJ105" s="6359"/>
      <c r="AK105" s="6359"/>
      <c r="AL105" s="6359"/>
      <c r="AM105" s="6359"/>
      <c r="AN105" s="6359"/>
      <c r="AO105" s="6359"/>
      <c r="AP105" s="6366"/>
    </row>
    <row r="106" spans="1:107" ht="16.350000000000001" customHeight="1" x14ac:dyDescent="0.2">
      <c r="A106" s="8974" t="s">
        <v>41</v>
      </c>
      <c r="B106" s="8739" t="s">
        <v>86</v>
      </c>
      <c r="C106" s="8740"/>
      <c r="D106" s="8741"/>
      <c r="E106" s="9018" t="s">
        <v>707</v>
      </c>
      <c r="F106" s="8949"/>
      <c r="G106" s="8949"/>
      <c r="H106" s="8949"/>
      <c r="I106" s="8949"/>
      <c r="J106" s="8949"/>
      <c r="K106" s="8949"/>
      <c r="L106" s="8949"/>
      <c r="M106" s="8949"/>
      <c r="N106" s="6402"/>
      <c r="O106" s="8206" t="s">
        <v>360</v>
      </c>
      <c r="P106" s="8741" t="s">
        <v>359</v>
      </c>
      <c r="Q106" s="6285"/>
      <c r="R106" s="6285"/>
      <c r="S106" s="6285"/>
      <c r="T106" s="6285"/>
      <c r="U106" s="6285"/>
      <c r="V106" s="6308"/>
      <c r="W106" s="6285"/>
      <c r="X106" s="6285"/>
      <c r="Y106" s="6285"/>
      <c r="Z106" s="6285"/>
      <c r="AA106" s="6285"/>
      <c r="AB106" s="6285"/>
      <c r="AC106" s="6285"/>
      <c r="AD106" s="6285"/>
      <c r="AE106" s="6285"/>
      <c r="AF106" s="6285"/>
      <c r="AG106" s="6285"/>
      <c r="AH106" s="6285"/>
      <c r="AI106" s="6285"/>
      <c r="AJ106" s="6359"/>
      <c r="AK106" s="6359"/>
      <c r="AL106" s="6359"/>
      <c r="AM106" s="6359"/>
      <c r="AN106" s="6359"/>
      <c r="AO106" s="6359"/>
      <c r="AP106" s="6359"/>
      <c r="AQ106" s="6366"/>
    </row>
    <row r="107" spans="1:107" ht="16.350000000000001" customHeight="1" x14ac:dyDescent="0.2">
      <c r="A107" s="8981"/>
      <c r="B107" s="8658"/>
      <c r="C107" s="8659"/>
      <c r="D107" s="8660"/>
      <c r="E107" s="9018" t="s">
        <v>397</v>
      </c>
      <c r="F107" s="9019"/>
      <c r="G107" s="9018" t="s">
        <v>54</v>
      </c>
      <c r="H107" s="9019"/>
      <c r="I107" s="9018" t="s">
        <v>79</v>
      </c>
      <c r="J107" s="9019"/>
      <c r="K107" s="9018" t="s">
        <v>80</v>
      </c>
      <c r="L107" s="9019"/>
      <c r="M107" s="9018" t="s">
        <v>81</v>
      </c>
      <c r="N107" s="8950"/>
      <c r="O107" s="8689"/>
      <c r="P107" s="8749"/>
      <c r="Q107" s="6285"/>
      <c r="R107" s="6285"/>
      <c r="S107" s="6285"/>
      <c r="T107" s="6285"/>
      <c r="U107" s="6285"/>
      <c r="V107" s="6285"/>
      <c r="W107" s="6308"/>
      <c r="X107" s="6285"/>
      <c r="Y107" s="6285"/>
      <c r="Z107" s="6285"/>
      <c r="AA107" s="6285"/>
      <c r="AB107" s="6285"/>
      <c r="AC107" s="6285"/>
      <c r="AD107" s="6285"/>
      <c r="AE107" s="6285"/>
      <c r="AF107" s="6285"/>
      <c r="AG107" s="6285"/>
      <c r="AH107" s="6285"/>
      <c r="AI107" s="6285"/>
      <c r="AJ107" s="6359"/>
      <c r="AK107" s="6359"/>
      <c r="AL107" s="6359"/>
      <c r="AM107" s="6359"/>
      <c r="AN107" s="6359"/>
      <c r="AO107" s="6359"/>
      <c r="AP107" s="6359"/>
      <c r="AQ107" s="6366"/>
    </row>
    <row r="108" spans="1:107" ht="16.350000000000001" customHeight="1" x14ac:dyDescent="0.2">
      <c r="A108" s="8975"/>
      <c r="B108" s="6403" t="s">
        <v>42</v>
      </c>
      <c r="C108" s="6404" t="s">
        <v>17</v>
      </c>
      <c r="D108" s="6405" t="s">
        <v>18</v>
      </c>
      <c r="E108" s="6406" t="s">
        <v>17</v>
      </c>
      <c r="F108" s="4672" t="s">
        <v>18</v>
      </c>
      <c r="G108" s="6406" t="s">
        <v>17</v>
      </c>
      <c r="H108" s="4672" t="s">
        <v>18</v>
      </c>
      <c r="I108" s="6406" t="s">
        <v>17</v>
      </c>
      <c r="J108" s="4672" t="s">
        <v>18</v>
      </c>
      <c r="K108" s="6406" t="s">
        <v>17</v>
      </c>
      <c r="L108" s="4672" t="s">
        <v>18</v>
      </c>
      <c r="M108" s="6406" t="s">
        <v>17</v>
      </c>
      <c r="N108" s="6407" t="s">
        <v>18</v>
      </c>
      <c r="O108" s="8690"/>
      <c r="P108" s="8660"/>
      <c r="Q108" s="6391"/>
      <c r="R108" s="6285"/>
      <c r="S108" s="6285"/>
      <c r="T108" s="6285"/>
      <c r="U108" s="6285"/>
      <c r="V108" s="6285"/>
      <c r="W108" s="6285"/>
      <c r="X108" s="6285"/>
      <c r="Y108" s="6285"/>
      <c r="Z108" s="6285"/>
      <c r="AA108" s="6308"/>
      <c r="AB108" s="6285"/>
      <c r="AC108" s="6285"/>
      <c r="AD108" s="6285"/>
      <c r="AE108" s="6285"/>
      <c r="AF108" s="6285"/>
      <c r="AG108" s="6285"/>
      <c r="AH108" s="6285"/>
      <c r="AI108" s="6285"/>
      <c r="AJ108" s="6285"/>
      <c r="AK108" s="6285"/>
      <c r="AL108" s="6285"/>
      <c r="AM108" s="6285"/>
      <c r="AN108" s="6285"/>
      <c r="AO108" s="6285"/>
      <c r="AP108" s="6285"/>
    </row>
    <row r="109" spans="1:107" ht="16.350000000000001" customHeight="1" x14ac:dyDescent="0.2">
      <c r="A109" s="6200" t="s">
        <v>1530</v>
      </c>
      <c r="B109" s="6408">
        <f>SUM(C109:D109)</f>
        <v>0</v>
      </c>
      <c r="C109" s="6409">
        <f t="shared" ref="C109:D111" si="80">SUM(E109+G109+I109+K109+M109)</f>
        <v>0</v>
      </c>
      <c r="D109" s="6155">
        <f t="shared" si="80"/>
        <v>0</v>
      </c>
      <c r="E109" s="6410"/>
      <c r="F109" s="6411"/>
      <c r="G109" s="6410"/>
      <c r="H109" s="6411"/>
      <c r="I109" s="6410"/>
      <c r="J109" s="6412"/>
      <c r="K109" s="6410"/>
      <c r="L109" s="6412"/>
      <c r="M109" s="6413"/>
      <c r="N109" s="6414"/>
      <c r="O109" s="6411"/>
      <c r="P109" s="6411"/>
      <c r="Q109" s="5469" t="str">
        <f>CA109&amp;CB109&amp;CC109&amp;CD109</f>
        <v/>
      </c>
      <c r="R109" s="6285"/>
      <c r="S109" s="6285"/>
      <c r="T109" s="6285"/>
      <c r="U109" s="6285"/>
      <c r="V109" s="6285"/>
      <c r="W109" s="6285"/>
      <c r="X109" s="6285"/>
      <c r="Y109" s="6285"/>
      <c r="Z109" s="6285"/>
      <c r="AA109" s="6308"/>
      <c r="AB109" s="6285"/>
      <c r="AC109" s="6285"/>
      <c r="AD109" s="6285"/>
      <c r="AE109" s="6285"/>
      <c r="AF109" s="6285"/>
      <c r="AG109" s="6285"/>
      <c r="AH109" s="6285"/>
      <c r="AI109" s="6285"/>
      <c r="AJ109" s="6285"/>
      <c r="AK109" s="6285"/>
      <c r="AL109" s="6285"/>
      <c r="AM109" s="6285"/>
      <c r="AN109" s="6285"/>
      <c r="AO109" s="6285"/>
      <c r="CA109" s="4685" t="str">
        <f>IF(AND($B109&lt;&gt;0,O109=""),"* No olvide agregar el campo "&amp;O$106&amp;".","")</f>
        <v/>
      </c>
      <c r="CB109" s="4685" t="str">
        <f>IF(AND($B109&lt;&gt;0,P109=""),"* No olvide agregar el campo "&amp;P$106&amp;".","")</f>
        <v/>
      </c>
      <c r="CC109" s="4685" t="str">
        <f>IF(DB109=1,"* El número de Personas pertenecientes a Pueblos Originarios NO DEBE ser mayor que el total. ","")</f>
        <v/>
      </c>
      <c r="CD109" s="4685" t="str">
        <f>IF(DC109=1,"* El número de Personas Migrantes NO DEBE ser mayor que el total. ","")</f>
        <v/>
      </c>
      <c r="DA109" s="5832"/>
      <c r="DB109" s="5832">
        <f t="shared" ref="DB109:DC111" si="81">IF($B109&lt;O109,1,0)</f>
        <v>0</v>
      </c>
      <c r="DC109" s="5832">
        <f t="shared" si="81"/>
        <v>0</v>
      </c>
    </row>
    <row r="110" spans="1:107" ht="25.9" customHeight="1" x14ac:dyDescent="0.2">
      <c r="A110" s="4846" t="s">
        <v>3351</v>
      </c>
      <c r="B110" s="6415">
        <f>SUM(C110:D110)</f>
        <v>0</v>
      </c>
      <c r="C110" s="6416">
        <f t="shared" si="80"/>
        <v>0</v>
      </c>
      <c r="D110" s="6012">
        <f t="shared" si="80"/>
        <v>0</v>
      </c>
      <c r="E110" s="5476"/>
      <c r="F110" s="5478"/>
      <c r="G110" s="5476"/>
      <c r="H110" s="5478"/>
      <c r="I110" s="5476"/>
      <c r="J110" s="5478"/>
      <c r="K110" s="5476"/>
      <c r="L110" s="5478"/>
      <c r="M110" s="5480"/>
      <c r="N110" s="5852"/>
      <c r="O110" s="5478"/>
      <c r="P110" s="5478"/>
      <c r="Q110" s="5469" t="str">
        <f t="shared" ref="Q110:Q111" si="82">CA110&amp;CB110&amp;CC110&amp;CD110</f>
        <v/>
      </c>
      <c r="R110" s="6285"/>
      <c r="S110" s="6285"/>
      <c r="T110" s="6285"/>
      <c r="U110" s="6285"/>
      <c r="V110" s="6285"/>
      <c r="W110" s="6285"/>
      <c r="X110" s="6285"/>
      <c r="Y110" s="6285"/>
      <c r="Z110" s="6285"/>
      <c r="AA110" s="6308"/>
      <c r="AB110" s="6285"/>
      <c r="AC110" s="6285"/>
      <c r="AD110" s="6285"/>
      <c r="AE110" s="6285"/>
      <c r="AF110" s="6285"/>
      <c r="AG110" s="6285"/>
      <c r="AH110" s="6285"/>
      <c r="AI110" s="6285"/>
      <c r="AJ110" s="6285"/>
      <c r="AK110" s="6285"/>
      <c r="AL110" s="6285"/>
      <c r="AM110" s="6285"/>
      <c r="AN110" s="6285"/>
      <c r="AO110" s="6285"/>
      <c r="AP110" s="6285"/>
      <c r="CA110" s="4685" t="str">
        <f t="shared" ref="CA110:CA111" si="83">IF(AND($B110&lt;&gt;0,O110=""),"* No olvide agregar el campo "&amp;O$106&amp;".","")</f>
        <v/>
      </c>
      <c r="CB110" s="4685" t="str">
        <f t="shared" ref="CB110:CB111" si="84">IF(AND($B110&lt;&gt;0,P110=""),"* No olvide agregar el campo "&amp;P$106&amp;".","")</f>
        <v/>
      </c>
      <c r="CC110" s="4685" t="str">
        <f>IF(DB110=1,"* El número de Personas pertenecientes a Pueblos Originarios NO DEBE ser mayor que el total. ","")</f>
        <v/>
      </c>
      <c r="CD110" s="4685" t="str">
        <f>IF(DC110=1,"* El número de Personas Migrantes NO DEBE ser mayor que el total. ","")</f>
        <v/>
      </c>
      <c r="DA110" s="5832"/>
      <c r="DB110" s="5832">
        <f t="shared" si="81"/>
        <v>0</v>
      </c>
      <c r="DC110" s="5832">
        <f t="shared" si="81"/>
        <v>0</v>
      </c>
    </row>
    <row r="111" spans="1:107" ht="25.35" customHeight="1" x14ac:dyDescent="0.2">
      <c r="A111" s="6417" t="s">
        <v>1529</v>
      </c>
      <c r="B111" s="6418">
        <f>SUM(C111:D111)</f>
        <v>0</v>
      </c>
      <c r="C111" s="6419">
        <f t="shared" si="80"/>
        <v>0</v>
      </c>
      <c r="D111" s="6301">
        <f t="shared" si="80"/>
        <v>0</v>
      </c>
      <c r="E111" s="6420"/>
      <c r="F111" s="6421"/>
      <c r="G111" s="6420"/>
      <c r="H111" s="6422"/>
      <c r="I111" s="6420"/>
      <c r="J111" s="6421"/>
      <c r="K111" s="6420"/>
      <c r="L111" s="6421"/>
      <c r="M111" s="6423"/>
      <c r="N111" s="6424"/>
      <c r="O111" s="6421"/>
      <c r="P111" s="6421"/>
      <c r="Q111" s="5469" t="str">
        <f t="shared" si="82"/>
        <v/>
      </c>
      <c r="R111" s="6285"/>
      <c r="S111" s="6285"/>
      <c r="T111" s="6285"/>
      <c r="U111" s="6285"/>
      <c r="V111" s="6285"/>
      <c r="W111" s="6285"/>
      <c r="X111" s="6285"/>
      <c r="Y111" s="6285"/>
      <c r="Z111" s="6285"/>
      <c r="AA111" s="6308"/>
      <c r="AB111" s="6285"/>
      <c r="AC111" s="6285"/>
      <c r="AD111" s="6285"/>
      <c r="AE111" s="6285"/>
      <c r="AF111" s="6285"/>
      <c r="AG111" s="6285"/>
      <c r="AH111" s="6285"/>
      <c r="AI111" s="6285"/>
      <c r="AJ111" s="6285"/>
      <c r="AK111" s="6285"/>
      <c r="AL111" s="6285"/>
      <c r="AM111" s="6285"/>
      <c r="AN111" s="6285"/>
      <c r="AO111" s="6285"/>
      <c r="AP111" s="6285"/>
      <c r="CA111" s="4685" t="str">
        <f t="shared" si="83"/>
        <v/>
      </c>
      <c r="CB111" s="4685" t="str">
        <f t="shared" si="84"/>
        <v/>
      </c>
      <c r="CC111" s="4685" t="str">
        <f>IF(DB111=1,"* El número de Personas pertenecientes a Pueblos Originarios NO DEBE ser mayor que el total. ","")</f>
        <v/>
      </c>
      <c r="CD111" s="4685" t="str">
        <f>IF(DC111=1,"* El número de Personas Migrantes NO DEBE ser mayor que el total. ","")</f>
        <v/>
      </c>
      <c r="DA111" s="5832"/>
      <c r="DB111" s="5832">
        <f t="shared" si="81"/>
        <v>0</v>
      </c>
      <c r="DC111" s="5832">
        <f t="shared" si="81"/>
        <v>0</v>
      </c>
    </row>
    <row r="112" spans="1:107" ht="27" customHeight="1" x14ac:dyDescent="0.25">
      <c r="A112" s="6425" t="s">
        <v>3437</v>
      </c>
      <c r="B112"/>
      <c r="C112"/>
      <c r="E112"/>
    </row>
    <row r="113" spans="1:76" ht="21.75" customHeight="1" x14ac:dyDescent="0.2">
      <c r="A113" s="8652" t="s">
        <v>2570</v>
      </c>
      <c r="B113" s="9001" t="s">
        <v>1528</v>
      </c>
      <c r="C113" s="9002"/>
      <c r="D113" s="9003"/>
      <c r="E113" s="9025" t="s">
        <v>1527</v>
      </c>
    </row>
    <row r="114" spans="1:76" ht="30.75" customHeight="1" x14ac:dyDescent="0.2">
      <c r="A114" s="8653"/>
      <c r="B114" s="6426" t="s">
        <v>1526</v>
      </c>
      <c r="C114" s="6426" t="s">
        <v>1525</v>
      </c>
      <c r="D114" s="4937" t="s">
        <v>1524</v>
      </c>
      <c r="E114" s="9026"/>
    </row>
    <row r="115" spans="1:76" ht="22.5" customHeight="1" x14ac:dyDescent="0.25">
      <c r="A115" s="6427" t="s">
        <v>24</v>
      </c>
      <c r="B115" s="6428"/>
      <c r="C115" s="6428"/>
      <c r="D115" s="6429"/>
      <c r="E115" s="6430"/>
    </row>
    <row r="116" spans="1:76" ht="21.75" customHeight="1" x14ac:dyDescent="0.2">
      <c r="A116" s="6397" t="s">
        <v>3438</v>
      </c>
      <c r="B116" s="4879"/>
      <c r="C116" s="4879"/>
      <c r="H116" s="6431"/>
      <c r="I116" s="6431"/>
      <c r="J116" s="6283"/>
    </row>
    <row r="117" spans="1:76" x14ac:dyDescent="0.2">
      <c r="A117" s="8974" t="s">
        <v>41</v>
      </c>
      <c r="B117" s="8739" t="s">
        <v>86</v>
      </c>
      <c r="C117" s="8740"/>
      <c r="D117" s="8741"/>
      <c r="E117" s="8983"/>
      <c r="F117" s="8984"/>
      <c r="G117" s="8984"/>
      <c r="H117" s="8984"/>
      <c r="I117" s="8984"/>
      <c r="J117" s="8985"/>
    </row>
    <row r="118" spans="1:76" x14ac:dyDescent="0.2">
      <c r="A118" s="8981"/>
      <c r="B118" s="8658"/>
      <c r="C118" s="8659"/>
      <c r="D118" s="8660"/>
      <c r="E118" s="8983" t="s">
        <v>1523</v>
      </c>
      <c r="F118" s="8985"/>
      <c r="G118" s="8983" t="s">
        <v>1522</v>
      </c>
      <c r="H118" s="8985"/>
      <c r="I118" s="8983" t="s">
        <v>1521</v>
      </c>
      <c r="J118" s="8985"/>
    </row>
    <row r="119" spans="1:76" x14ac:dyDescent="0.2">
      <c r="A119" s="8975"/>
      <c r="B119" s="6403" t="s">
        <v>42</v>
      </c>
      <c r="C119" s="6404" t="s">
        <v>17</v>
      </c>
      <c r="D119" s="6405" t="s">
        <v>18</v>
      </c>
      <c r="E119" s="4857" t="s">
        <v>17</v>
      </c>
      <c r="F119" s="4859" t="s">
        <v>18</v>
      </c>
      <c r="G119" s="4857" t="s">
        <v>17</v>
      </c>
      <c r="H119" s="4859" t="s">
        <v>18</v>
      </c>
      <c r="I119" s="4857" t="s">
        <v>17</v>
      </c>
      <c r="J119" s="4859" t="s">
        <v>18</v>
      </c>
    </row>
    <row r="120" spans="1:76" ht="27" customHeight="1" x14ac:dyDescent="0.2">
      <c r="A120" s="6200" t="s">
        <v>1520</v>
      </c>
      <c r="B120" s="6408">
        <f>SUM(C120:D120)</f>
        <v>0</v>
      </c>
      <c r="C120" s="6409">
        <f t="shared" ref="C120:D122" si="85">+E120+G120+I120</f>
        <v>0</v>
      </c>
      <c r="D120" s="6155">
        <f t="shared" si="85"/>
        <v>0</v>
      </c>
      <c r="E120" s="6370"/>
      <c r="F120" s="6371"/>
      <c r="G120" s="6370"/>
      <c r="H120" s="6371"/>
      <c r="I120" s="6370"/>
      <c r="J120" s="6432"/>
    </row>
    <row r="121" spans="1:76" ht="26.25" customHeight="1" x14ac:dyDescent="0.2">
      <c r="A121" s="6433" t="s">
        <v>1519</v>
      </c>
      <c r="B121" s="6434">
        <f>SUM(C121:D121)</f>
        <v>0</v>
      </c>
      <c r="C121" s="6435">
        <f t="shared" si="85"/>
        <v>0</v>
      </c>
      <c r="D121" s="4373">
        <f t="shared" si="85"/>
        <v>0</v>
      </c>
      <c r="E121" s="6436"/>
      <c r="F121" s="6437"/>
      <c r="G121" s="6436"/>
      <c r="H121" s="6437"/>
      <c r="I121" s="6436"/>
      <c r="J121" s="6438"/>
    </row>
    <row r="122" spans="1:76" ht="41.25" customHeight="1" x14ac:dyDescent="0.2">
      <c r="A122" s="6439" t="s">
        <v>1518</v>
      </c>
      <c r="B122" s="6418">
        <f>SUM(C122:D122)</f>
        <v>0</v>
      </c>
      <c r="C122" s="6419">
        <f t="shared" si="85"/>
        <v>0</v>
      </c>
      <c r="D122" s="6301">
        <f t="shared" si="85"/>
        <v>0</v>
      </c>
      <c r="E122" s="6440"/>
      <c r="F122" s="6441"/>
      <c r="G122" s="6440"/>
      <c r="H122" s="6442"/>
      <c r="I122" s="6440"/>
      <c r="J122" s="6441"/>
    </row>
    <row r="123" spans="1:76" ht="24" customHeight="1" x14ac:dyDescent="0.25">
      <c r="A123" s="6443" t="s">
        <v>3439</v>
      </c>
      <c r="B123" s="6444"/>
      <c r="C123" s="6445"/>
      <c r="D123" s="6445"/>
      <c r="F123" s="6446"/>
      <c r="G123" s="6447"/>
      <c r="H123" s="6447"/>
      <c r="I123"/>
    </row>
    <row r="124" spans="1:76" ht="30" customHeight="1" x14ac:dyDescent="0.2">
      <c r="A124" s="8741" t="s">
        <v>41</v>
      </c>
      <c r="B124" s="8974" t="s">
        <v>24</v>
      </c>
      <c r="C124" s="8739" t="s">
        <v>1517</v>
      </c>
      <c r="D124" s="8741"/>
      <c r="E124" s="8739" t="s">
        <v>1516</v>
      </c>
      <c r="F124" s="8741"/>
      <c r="G124" s="8983" t="s">
        <v>1515</v>
      </c>
      <c r="H124" s="8984"/>
      <c r="I124" s="8985"/>
    </row>
    <row r="125" spans="1:76" ht="47.25" customHeight="1" x14ac:dyDescent="0.2">
      <c r="A125" s="9005"/>
      <c r="B125" s="8982"/>
      <c r="C125" s="4857" t="s">
        <v>17</v>
      </c>
      <c r="D125" s="4858" t="s">
        <v>18</v>
      </c>
      <c r="E125" s="4881" t="s">
        <v>1514</v>
      </c>
      <c r="F125" s="4859" t="s">
        <v>1513</v>
      </c>
      <c r="G125" s="4881" t="s">
        <v>1512</v>
      </c>
      <c r="H125" s="4767" t="s">
        <v>1511</v>
      </c>
      <c r="I125" s="4859" t="s">
        <v>1510</v>
      </c>
    </row>
    <row r="126" spans="1:76" ht="22.5" customHeight="1" x14ac:dyDescent="0.2">
      <c r="A126" s="6448" t="s">
        <v>3934</v>
      </c>
      <c r="B126" s="6449">
        <f>SUM(C126:D126)</f>
        <v>0</v>
      </c>
      <c r="C126" s="6450"/>
      <c r="D126" s="6451"/>
      <c r="E126" s="6450"/>
      <c r="F126" s="6452"/>
      <c r="G126" s="6450"/>
      <c r="H126" s="6450"/>
      <c r="I126" s="6452"/>
    </row>
    <row r="127" spans="1:76" ht="24" customHeight="1" x14ac:dyDescent="0.25">
      <c r="A127" s="5466" t="s">
        <v>3440</v>
      </c>
      <c r="B127"/>
      <c r="D127"/>
      <c r="E127" s="4328"/>
    </row>
    <row r="128" spans="1:76" x14ac:dyDescent="0.2">
      <c r="A128" s="8974" t="s">
        <v>41</v>
      </c>
      <c r="B128" s="8974" t="s">
        <v>0</v>
      </c>
      <c r="C128" s="8739" t="s">
        <v>86</v>
      </c>
      <c r="D128" s="8740"/>
      <c r="E128" s="8741"/>
      <c r="F128" s="8977" t="s">
        <v>707</v>
      </c>
      <c r="G128" s="9006"/>
      <c r="H128" s="9006"/>
      <c r="I128" s="9006"/>
      <c r="J128" s="9006"/>
      <c r="K128" s="9006"/>
      <c r="L128" s="9006"/>
      <c r="M128" s="9006"/>
      <c r="N128" s="9006"/>
      <c r="O128" s="9006"/>
      <c r="P128" s="9006"/>
      <c r="Q128" s="9006"/>
      <c r="R128" s="9006"/>
      <c r="S128" s="9006"/>
      <c r="T128" s="9006"/>
      <c r="U128" s="9006"/>
      <c r="V128" s="9006"/>
      <c r="W128" s="9006"/>
      <c r="X128" s="9006"/>
      <c r="Y128" s="9006"/>
      <c r="Z128" s="9006"/>
      <c r="AA128" s="9006"/>
      <c r="AB128" s="9006"/>
      <c r="AC128" s="9006"/>
      <c r="AD128" s="9006"/>
      <c r="AE128" s="9006"/>
      <c r="AF128" s="9006"/>
      <c r="AG128" s="9006"/>
      <c r="AH128" s="9006"/>
      <c r="AI128" s="9006"/>
      <c r="AJ128" s="9006"/>
      <c r="AK128" s="9006"/>
      <c r="AL128" s="9006"/>
      <c r="AM128" s="9007"/>
      <c r="AN128" s="9061" t="s">
        <v>358</v>
      </c>
      <c r="AO128" s="8898" t="s">
        <v>2948</v>
      </c>
      <c r="AP128" s="8898" t="s">
        <v>2607</v>
      </c>
      <c r="AQ128" s="9036" t="s">
        <v>360</v>
      </c>
      <c r="AR128" s="8898" t="s">
        <v>359</v>
      </c>
      <c r="BX128" s="4651"/>
    </row>
    <row r="129" spans="1:110" ht="18" customHeight="1" x14ac:dyDescent="0.2">
      <c r="A129" s="8981"/>
      <c r="B129" s="8981"/>
      <c r="C129" s="9004"/>
      <c r="D129" s="8659"/>
      <c r="E129" s="9005"/>
      <c r="F129" s="8977" t="s">
        <v>397</v>
      </c>
      <c r="G129" s="8978"/>
      <c r="H129" s="8977" t="s">
        <v>54</v>
      </c>
      <c r="I129" s="8978"/>
      <c r="J129" s="8977" t="s">
        <v>79</v>
      </c>
      <c r="K129" s="8978"/>
      <c r="L129" s="8977" t="s">
        <v>80</v>
      </c>
      <c r="M129" s="8978"/>
      <c r="N129" s="8977" t="s">
        <v>81</v>
      </c>
      <c r="O129" s="8978"/>
      <c r="P129" s="8979" t="s">
        <v>82</v>
      </c>
      <c r="Q129" s="8980"/>
      <c r="R129" s="8979" t="s">
        <v>83</v>
      </c>
      <c r="S129" s="8980"/>
      <c r="T129" s="8979" t="s">
        <v>398</v>
      </c>
      <c r="U129" s="8980"/>
      <c r="V129" s="8979" t="s">
        <v>124</v>
      </c>
      <c r="W129" s="8980"/>
      <c r="X129" s="8979" t="s">
        <v>125</v>
      </c>
      <c r="Y129" s="8980"/>
      <c r="Z129" s="8979" t="s">
        <v>126</v>
      </c>
      <c r="AA129" s="8980"/>
      <c r="AB129" s="8979" t="s">
        <v>127</v>
      </c>
      <c r="AC129" s="8980"/>
      <c r="AD129" s="8979" t="s">
        <v>128</v>
      </c>
      <c r="AE129" s="8980"/>
      <c r="AF129" s="8979" t="s">
        <v>129</v>
      </c>
      <c r="AG129" s="8980"/>
      <c r="AH129" s="8979" t="s">
        <v>130</v>
      </c>
      <c r="AI129" s="8980"/>
      <c r="AJ129" s="8979" t="s">
        <v>131</v>
      </c>
      <c r="AK129" s="8980"/>
      <c r="AL129" s="8979" t="s">
        <v>1916</v>
      </c>
      <c r="AM129" s="8986"/>
      <c r="AN129" s="8689"/>
      <c r="AO129" s="8689"/>
      <c r="AP129" s="8689"/>
      <c r="AQ129" s="8635"/>
      <c r="AR129" s="8689"/>
      <c r="BX129" s="4651"/>
    </row>
    <row r="130" spans="1:110" ht="33.75" customHeight="1" x14ac:dyDescent="0.2">
      <c r="A130" s="8982"/>
      <c r="B130" s="8982"/>
      <c r="C130" s="6149" t="s">
        <v>42</v>
      </c>
      <c r="D130" s="4766" t="s">
        <v>17</v>
      </c>
      <c r="E130" s="6150" t="s">
        <v>18</v>
      </c>
      <c r="F130" s="6151" t="s">
        <v>17</v>
      </c>
      <c r="G130" s="4538" t="s">
        <v>18</v>
      </c>
      <c r="H130" s="6151" t="s">
        <v>17</v>
      </c>
      <c r="I130" s="4538" t="s">
        <v>18</v>
      </c>
      <c r="J130" s="6151" t="s">
        <v>17</v>
      </c>
      <c r="K130" s="4538" t="s">
        <v>18</v>
      </c>
      <c r="L130" s="6151" t="s">
        <v>17</v>
      </c>
      <c r="M130" s="4538" t="s">
        <v>18</v>
      </c>
      <c r="N130" s="6151" t="s">
        <v>17</v>
      </c>
      <c r="O130" s="4538" t="s">
        <v>18</v>
      </c>
      <c r="P130" s="6151" t="s">
        <v>17</v>
      </c>
      <c r="Q130" s="4538" t="s">
        <v>18</v>
      </c>
      <c r="R130" s="6151" t="s">
        <v>17</v>
      </c>
      <c r="S130" s="4538" t="s">
        <v>18</v>
      </c>
      <c r="T130" s="6151" t="s">
        <v>17</v>
      </c>
      <c r="U130" s="4538" t="s">
        <v>18</v>
      </c>
      <c r="V130" s="6151" t="s">
        <v>17</v>
      </c>
      <c r="W130" s="4538" t="s">
        <v>18</v>
      </c>
      <c r="X130" s="6151" t="s">
        <v>17</v>
      </c>
      <c r="Y130" s="4538" t="s">
        <v>18</v>
      </c>
      <c r="Z130" s="6151" t="s">
        <v>17</v>
      </c>
      <c r="AA130" s="4538" t="s">
        <v>18</v>
      </c>
      <c r="AB130" s="6151" t="s">
        <v>17</v>
      </c>
      <c r="AC130" s="4538" t="s">
        <v>18</v>
      </c>
      <c r="AD130" s="6151" t="s">
        <v>17</v>
      </c>
      <c r="AE130" s="4538" t="s">
        <v>18</v>
      </c>
      <c r="AF130" s="6151" t="s">
        <v>17</v>
      </c>
      <c r="AG130" s="4538" t="s">
        <v>18</v>
      </c>
      <c r="AH130" s="6151" t="s">
        <v>17</v>
      </c>
      <c r="AI130" s="4538" t="s">
        <v>18</v>
      </c>
      <c r="AJ130" s="6151" t="s">
        <v>17</v>
      </c>
      <c r="AK130" s="4538" t="s">
        <v>18</v>
      </c>
      <c r="AL130" s="6151" t="s">
        <v>17</v>
      </c>
      <c r="AM130" s="5367" t="s">
        <v>18</v>
      </c>
      <c r="AN130" s="8723"/>
      <c r="AO130" s="8666"/>
      <c r="AP130" s="8666"/>
      <c r="AQ130" s="8662"/>
      <c r="AR130" s="8666"/>
      <c r="BX130" s="4651"/>
    </row>
    <row r="131" spans="1:110" x14ac:dyDescent="0.2">
      <c r="A131" s="8971" t="s">
        <v>1507</v>
      </c>
      <c r="B131" s="6453" t="s">
        <v>1506</v>
      </c>
      <c r="C131" s="6454">
        <f>SUM(D131+E131)</f>
        <v>0</v>
      </c>
      <c r="D131" s="6455">
        <f t="shared" ref="D131:E134" si="86">SUM(F131+H131+J131+L131+N131+P131+R131+T131+V131+X131+Z131+AB131+AD131+AF131+AH131+AJ131+AL131)</f>
        <v>0</v>
      </c>
      <c r="E131" s="6456">
        <f t="shared" si="86"/>
        <v>0</v>
      </c>
      <c r="F131" s="6156"/>
      <c r="G131" s="6158"/>
      <c r="H131" s="6156"/>
      <c r="I131" s="6158"/>
      <c r="J131" s="6156"/>
      <c r="K131" s="6158"/>
      <c r="L131" s="6156"/>
      <c r="M131" s="6158"/>
      <c r="N131" s="6156"/>
      <c r="O131" s="6158"/>
      <c r="P131" s="6156"/>
      <c r="Q131" s="6158"/>
      <c r="R131" s="6156"/>
      <c r="S131" s="6158"/>
      <c r="T131" s="6156"/>
      <c r="U131" s="6158"/>
      <c r="V131" s="6156"/>
      <c r="W131" s="6158"/>
      <c r="X131" s="6156"/>
      <c r="Y131" s="6158"/>
      <c r="Z131" s="6156"/>
      <c r="AA131" s="6158"/>
      <c r="AB131" s="6156"/>
      <c r="AC131" s="6158"/>
      <c r="AD131" s="6156"/>
      <c r="AE131" s="6158"/>
      <c r="AF131" s="6156"/>
      <c r="AG131" s="6158"/>
      <c r="AH131" s="6156"/>
      <c r="AI131" s="6158"/>
      <c r="AJ131" s="6156"/>
      <c r="AK131" s="6158"/>
      <c r="AL131" s="6156"/>
      <c r="AM131" s="4526"/>
      <c r="AN131" s="6157"/>
      <c r="AO131" s="6457"/>
      <c r="AP131" s="6457"/>
      <c r="AQ131" s="6458"/>
      <c r="AR131" s="6457"/>
      <c r="AS131" s="6459" t="str">
        <f>CF131&amp;CA131&amp;CB131&amp;CC131&amp;CD131&amp;CE131</f>
        <v/>
      </c>
      <c r="BX131" s="4651"/>
      <c r="CA131" s="4685" t="str">
        <f>IF(DA131=1,"* No olvide digitar la columna Beneficiarios y/o Niños, Niñas, Adolescentes y Jóvenes de Programa SENAME/Mejor Niñez y/o Pueblos Originarios y/o Migrantes (Digite CEROS si no tiene). ","")</f>
        <v/>
      </c>
      <c r="CB131" s="4685" t="str">
        <f>IF(DB131=1,"* El número de Beneficiarios NO DEBE ser mayor que el Total. ","")</f>
        <v/>
      </c>
      <c r="CC131" s="6160" t="str">
        <f>IF(DC131=1,"* Los Niños, Niñas, Adolescentes y Jóvenes de Programa SENAME NO DEBE ser mayor que el Total. ","")</f>
        <v/>
      </c>
      <c r="CD131" s="6160" t="str">
        <f>IF(DD131=1,"* Los Niños, Niñas, Adolescentes y Jóvenes de Programa Mejor Niñez NO DEBE ser mayor que el Total. ","")</f>
        <v/>
      </c>
      <c r="CE131" s="6160" t="str">
        <f>IF(DE131=1,"* El número de personas pertenecientes a Pueblos Originarios NO DEBE ser mayor que el Total. ","")</f>
        <v/>
      </c>
      <c r="CF131" s="6160" t="str">
        <f>IF(DF131=1,"* El número de personas Migrantes NO DEBE ser mayor que el Total. ","")</f>
        <v/>
      </c>
      <c r="CG131" s="5437"/>
      <c r="CH131" s="5437"/>
      <c r="CI131" s="5437"/>
      <c r="CJ131" s="5437"/>
      <c r="CK131" s="5437"/>
      <c r="CL131" s="5437"/>
      <c r="DA131" s="5832">
        <f>IF(AND(C131&lt;&gt;0,OR(AN131="",AO131="",AP131="",AQ131="",AR131="")),1,0)</f>
        <v>0</v>
      </c>
      <c r="DB131" s="5832">
        <f t="shared" ref="DB131:DF133" si="87">IF($C131&lt;AN131,1,0)</f>
        <v>0</v>
      </c>
      <c r="DC131" s="5832">
        <f t="shared" si="87"/>
        <v>0</v>
      </c>
      <c r="DD131" s="5832">
        <f t="shared" si="87"/>
        <v>0</v>
      </c>
      <c r="DE131" s="5832">
        <f t="shared" si="87"/>
        <v>0</v>
      </c>
      <c r="DF131" s="5832">
        <f t="shared" si="87"/>
        <v>0</v>
      </c>
    </row>
    <row r="132" spans="1:110" x14ac:dyDescent="0.2">
      <c r="A132" s="8972"/>
      <c r="B132" s="6460" t="s">
        <v>1505</v>
      </c>
      <c r="C132" s="6461">
        <f>SUM(D132+E132)</f>
        <v>0</v>
      </c>
      <c r="D132" s="6462">
        <f t="shared" si="86"/>
        <v>0</v>
      </c>
      <c r="E132" s="6463">
        <f t="shared" si="86"/>
        <v>0</v>
      </c>
      <c r="F132" s="4196"/>
      <c r="G132" s="4207"/>
      <c r="H132" s="4196"/>
      <c r="I132" s="4207"/>
      <c r="J132" s="4196"/>
      <c r="K132" s="4207"/>
      <c r="L132" s="4196"/>
      <c r="M132" s="4207"/>
      <c r="N132" s="4196"/>
      <c r="O132" s="4207"/>
      <c r="P132" s="4196"/>
      <c r="Q132" s="4207"/>
      <c r="R132" s="4196"/>
      <c r="S132" s="4207"/>
      <c r="T132" s="4196"/>
      <c r="U132" s="4207"/>
      <c r="V132" s="4196"/>
      <c r="W132" s="4207"/>
      <c r="X132" s="4196"/>
      <c r="Y132" s="4207"/>
      <c r="Z132" s="4196"/>
      <c r="AA132" s="4207"/>
      <c r="AB132" s="4196"/>
      <c r="AC132" s="4207"/>
      <c r="AD132" s="4196"/>
      <c r="AE132" s="4207"/>
      <c r="AF132" s="4196"/>
      <c r="AG132" s="4207"/>
      <c r="AH132" s="4196"/>
      <c r="AI132" s="4207"/>
      <c r="AJ132" s="4196"/>
      <c r="AK132" s="4207"/>
      <c r="AL132" s="4196"/>
      <c r="AM132" s="4304"/>
      <c r="AN132" s="6165"/>
      <c r="AO132" s="5566"/>
      <c r="AP132" s="5566"/>
      <c r="AQ132" s="5567"/>
      <c r="AR132" s="5566"/>
      <c r="AS132" s="6459" t="str">
        <f t="shared" ref="AS132:AS133" si="88">CF132&amp;CA132&amp;CB132&amp;CC132&amp;CD132&amp;CE132</f>
        <v/>
      </c>
      <c r="BX132" s="4651"/>
      <c r="CA132" s="4685" t="str">
        <f>IF(DA132=1,"* No olvide digitar la columna Beneficiarios y/o Niños, Niñas, Adolescentes y Jóvenes de Programa SENAME/Mejor Niñez y/o Pueblos Originarios y/o Migrantes (Digite CEROS si no tiene). ","")</f>
        <v/>
      </c>
      <c r="CB132" s="4685" t="str">
        <f>IF(DB132=1,"* El número de Beneficiarios NO DEBE ser mayor que el Total. ","")</f>
        <v/>
      </c>
      <c r="CC132" s="6160" t="str">
        <f>IF(DC132=1,"* Los Niños, Niñas, Adolescentes y Jóvenes de Programa SENAME NO DEBE ser mayor que el Total. ","")</f>
        <v/>
      </c>
      <c r="CD132" s="6160" t="str">
        <f>IF(DD132=1,"* Los Niños, Niñas, Adolescentes y Jóvenes de Programa Mejor Niñez NO DEBE ser mayor que el Total. ","")</f>
        <v/>
      </c>
      <c r="CE132" s="6160" t="str">
        <f>IF(DE132=1,"* El número de personas pertenecientes a Pueblos Originarios NO DEBE ser mayor que el Total. ","")</f>
        <v/>
      </c>
      <c r="CF132" s="6160" t="str">
        <f>IF(DF132=1,"* El número de personas Migrantes NO DEBE ser mayor que el Total. ","")</f>
        <v/>
      </c>
      <c r="CG132" s="5437"/>
      <c r="CH132" s="5437"/>
      <c r="CI132" s="5437"/>
      <c r="CJ132" s="5437"/>
      <c r="CK132" s="5437"/>
      <c r="CL132" s="5437"/>
      <c r="DA132" s="5832">
        <f>IF(AND(C132&lt;&gt;0,OR(AN132="",AO132="",AP132="",AQ132="",AR132="")),1,0)</f>
        <v>0</v>
      </c>
      <c r="DB132" s="5832">
        <f t="shared" si="87"/>
        <v>0</v>
      </c>
      <c r="DC132" s="5832">
        <f t="shared" si="87"/>
        <v>0</v>
      </c>
      <c r="DD132" s="5832">
        <f t="shared" si="87"/>
        <v>0</v>
      </c>
      <c r="DE132" s="5832">
        <f t="shared" si="87"/>
        <v>0</v>
      </c>
      <c r="DF132" s="5832">
        <f t="shared" si="87"/>
        <v>0</v>
      </c>
    </row>
    <row r="133" spans="1:110" x14ac:dyDescent="0.2">
      <c r="A133" s="8972"/>
      <c r="B133" s="6460" t="s">
        <v>1504</v>
      </c>
      <c r="C133" s="6461">
        <f>SUM(D133+E133)</f>
        <v>0</v>
      </c>
      <c r="D133" s="6462">
        <f t="shared" si="86"/>
        <v>0</v>
      </c>
      <c r="E133" s="6463">
        <f t="shared" si="86"/>
        <v>0</v>
      </c>
      <c r="F133" s="5348"/>
      <c r="G133" s="6205"/>
      <c r="H133" s="5348"/>
      <c r="I133" s="6205"/>
      <c r="J133" s="5348"/>
      <c r="K133" s="6205"/>
      <c r="L133" s="5348"/>
      <c r="M133" s="6205"/>
      <c r="N133" s="5348"/>
      <c r="O133" s="6205"/>
      <c r="P133" s="5348"/>
      <c r="Q133" s="6205"/>
      <c r="R133" s="5348"/>
      <c r="S133" s="6205"/>
      <c r="T133" s="5348"/>
      <c r="U133" s="6205"/>
      <c r="V133" s="5348"/>
      <c r="W133" s="6205"/>
      <c r="X133" s="5348"/>
      <c r="Y133" s="6205"/>
      <c r="Z133" s="5348"/>
      <c r="AA133" s="6205"/>
      <c r="AB133" s="5348"/>
      <c r="AC133" s="6205"/>
      <c r="AD133" s="5348"/>
      <c r="AE133" s="6205"/>
      <c r="AF133" s="5348"/>
      <c r="AG133" s="6205"/>
      <c r="AH133" s="5348"/>
      <c r="AI133" s="6205"/>
      <c r="AJ133" s="5348"/>
      <c r="AK133" s="6205"/>
      <c r="AL133" s="5348"/>
      <c r="AM133" s="4831"/>
      <c r="AN133" s="4369"/>
      <c r="AO133" s="6464"/>
      <c r="AP133" s="6464"/>
      <c r="AQ133" s="6465"/>
      <c r="AR133" s="6464"/>
      <c r="AS133" s="6459" t="str">
        <f t="shared" si="88"/>
        <v/>
      </c>
      <c r="BX133" s="4651"/>
      <c r="CA133" s="4685" t="str">
        <f>IF(DA133=1,"* No olvide digitar la columna Beneficiarios y/o Niños, Niñas, Adolescentes y Jóvenes de Programa SENAME/Mejor Niñez y/o Pueblos Originarios y/o Migrantes (Digite CEROS si no tiene). ","")</f>
        <v/>
      </c>
      <c r="CB133" s="4685" t="str">
        <f>IF(DB133=1,"* El número de Beneficiarios NO DEBE ser mayor que el Total. ","")</f>
        <v/>
      </c>
      <c r="CC133" s="6160" t="str">
        <f>IF(DC133=1,"* Los Niños, Niñas, Adolescentes y Jóvenes de Programa SENAME NO DEBE ser mayor que el Total. ","")</f>
        <v/>
      </c>
      <c r="CD133" s="6160" t="str">
        <f>IF(DD133=1,"* Los Niños, Niñas, Adolescentes y Jóvenes de Programa Mejor Niñez NO DEBE ser mayor que el Total. ","")</f>
        <v/>
      </c>
      <c r="CE133" s="6160" t="str">
        <f>IF(DE133=1,"* El número de personas pertenecientes a Pueblos Originarios NO DEBE ser mayor que el Total. ","")</f>
        <v/>
      </c>
      <c r="CF133" s="6160" t="str">
        <f>IF(DF133=1,"* El número de personas Migrantes NO DEBE ser mayor que el Total. ","")</f>
        <v/>
      </c>
      <c r="CG133" s="5437"/>
      <c r="CH133" s="5437"/>
      <c r="CI133" s="5437"/>
      <c r="CJ133" s="5437"/>
      <c r="CK133" s="5437"/>
      <c r="CL133" s="5437"/>
      <c r="DA133" s="5832">
        <f>IF(AND(C133&lt;&gt;0,OR(AN133="",AO133="",AP133="",AQ133="",AR133="")),1,0)</f>
        <v>0</v>
      </c>
      <c r="DB133" s="5832">
        <f t="shared" si="87"/>
        <v>0</v>
      </c>
      <c r="DC133" s="5832">
        <f t="shared" si="87"/>
        <v>0</v>
      </c>
      <c r="DD133" s="5832">
        <f t="shared" si="87"/>
        <v>0</v>
      </c>
      <c r="DE133" s="5832">
        <f t="shared" si="87"/>
        <v>0</v>
      </c>
      <c r="DF133" s="5832">
        <f t="shared" si="87"/>
        <v>0</v>
      </c>
    </row>
    <row r="134" spans="1:110" x14ac:dyDescent="0.2">
      <c r="A134" s="8973"/>
      <c r="B134" s="6466" t="s">
        <v>24</v>
      </c>
      <c r="C134" s="6467">
        <f>SUM(D134+E134)</f>
        <v>0</v>
      </c>
      <c r="D134" s="6468">
        <f t="shared" si="86"/>
        <v>0</v>
      </c>
      <c r="E134" s="6469">
        <f t="shared" si="86"/>
        <v>0</v>
      </c>
      <c r="F134" s="6470">
        <f>SUM(F131:F133)</f>
        <v>0</v>
      </c>
      <c r="G134" s="6471">
        <f t="shared" ref="G134:AR134" si="89">SUM(G131:G133)</f>
        <v>0</v>
      </c>
      <c r="H134" s="6470">
        <f t="shared" si="89"/>
        <v>0</v>
      </c>
      <c r="I134" s="6471">
        <f t="shared" si="89"/>
        <v>0</v>
      </c>
      <c r="J134" s="6470">
        <f t="shared" si="89"/>
        <v>0</v>
      </c>
      <c r="K134" s="6268">
        <f t="shared" si="89"/>
        <v>0</v>
      </c>
      <c r="L134" s="6470">
        <f t="shared" si="89"/>
        <v>0</v>
      </c>
      <c r="M134" s="6268">
        <f t="shared" si="89"/>
        <v>0</v>
      </c>
      <c r="N134" s="6470">
        <f t="shared" si="89"/>
        <v>0</v>
      </c>
      <c r="O134" s="6268">
        <f t="shared" si="89"/>
        <v>0</v>
      </c>
      <c r="P134" s="6470">
        <f t="shared" si="89"/>
        <v>0</v>
      </c>
      <c r="Q134" s="6268">
        <f t="shared" si="89"/>
        <v>0</v>
      </c>
      <c r="R134" s="6470">
        <f t="shared" si="89"/>
        <v>0</v>
      </c>
      <c r="S134" s="6268">
        <f t="shared" si="89"/>
        <v>0</v>
      </c>
      <c r="T134" s="6470">
        <f t="shared" si="89"/>
        <v>0</v>
      </c>
      <c r="U134" s="6268">
        <f t="shared" si="89"/>
        <v>0</v>
      </c>
      <c r="V134" s="6470">
        <f t="shared" si="89"/>
        <v>0</v>
      </c>
      <c r="W134" s="6268">
        <f t="shared" si="89"/>
        <v>0</v>
      </c>
      <c r="X134" s="6470">
        <f t="shared" si="89"/>
        <v>0</v>
      </c>
      <c r="Y134" s="6268">
        <f t="shared" si="89"/>
        <v>0</v>
      </c>
      <c r="Z134" s="6470">
        <f t="shared" si="89"/>
        <v>0</v>
      </c>
      <c r="AA134" s="6268">
        <f t="shared" si="89"/>
        <v>0</v>
      </c>
      <c r="AB134" s="6470">
        <f t="shared" si="89"/>
        <v>0</v>
      </c>
      <c r="AC134" s="6268">
        <f t="shared" si="89"/>
        <v>0</v>
      </c>
      <c r="AD134" s="6470">
        <f t="shared" si="89"/>
        <v>0</v>
      </c>
      <c r="AE134" s="6268">
        <f t="shared" si="89"/>
        <v>0</v>
      </c>
      <c r="AF134" s="6470">
        <f t="shared" si="89"/>
        <v>0</v>
      </c>
      <c r="AG134" s="6268">
        <f t="shared" si="89"/>
        <v>0</v>
      </c>
      <c r="AH134" s="6470">
        <f t="shared" si="89"/>
        <v>0</v>
      </c>
      <c r="AI134" s="6268">
        <f t="shared" si="89"/>
        <v>0</v>
      </c>
      <c r="AJ134" s="6470">
        <f t="shared" si="89"/>
        <v>0</v>
      </c>
      <c r="AK134" s="6268">
        <f t="shared" si="89"/>
        <v>0</v>
      </c>
      <c r="AL134" s="6472">
        <f t="shared" si="89"/>
        <v>0</v>
      </c>
      <c r="AM134" s="6473">
        <f t="shared" si="89"/>
        <v>0</v>
      </c>
      <c r="AN134" s="6471">
        <f t="shared" si="89"/>
        <v>0</v>
      </c>
      <c r="AO134" s="6474">
        <f t="shared" si="89"/>
        <v>0</v>
      </c>
      <c r="AP134" s="6474">
        <f>SUM(AP131:AP133)</f>
        <v>0</v>
      </c>
      <c r="AQ134" s="6475">
        <f t="shared" si="89"/>
        <v>0</v>
      </c>
      <c r="AR134" s="6474">
        <f t="shared" si="89"/>
        <v>0</v>
      </c>
      <c r="BX134" s="4651"/>
    </row>
    <row r="135" spans="1:110" ht="22.5" customHeight="1" x14ac:dyDescent="0.2">
      <c r="A135" s="4071" t="s">
        <v>3441</v>
      </c>
      <c r="B135" s="4816"/>
      <c r="C135" s="4816"/>
      <c r="D135" s="4816"/>
      <c r="E135" s="4816"/>
      <c r="F135" s="4816"/>
      <c r="G135" s="4854"/>
      <c r="H135" s="4855"/>
      <c r="I135" s="4856"/>
    </row>
    <row r="136" spans="1:110" x14ac:dyDescent="0.2">
      <c r="A136" s="8862" t="s">
        <v>1680</v>
      </c>
      <c r="B136" s="9039" t="s">
        <v>1679</v>
      </c>
      <c r="C136" s="9040"/>
      <c r="D136" s="9040"/>
      <c r="E136" s="9040"/>
      <c r="F136" s="9041"/>
      <c r="G136" s="6476"/>
      <c r="H136" s="8781" t="s">
        <v>1678</v>
      </c>
      <c r="I136" s="9042"/>
    </row>
    <row r="137" spans="1:110" x14ac:dyDescent="0.2">
      <c r="A137" s="9037"/>
      <c r="B137" s="9043" t="s">
        <v>24</v>
      </c>
      <c r="C137" s="9039" t="s">
        <v>1677</v>
      </c>
      <c r="D137" s="9040"/>
      <c r="E137" s="9040"/>
      <c r="F137" s="9041"/>
      <c r="G137" s="9044" t="s">
        <v>1676</v>
      </c>
      <c r="H137" s="8784"/>
      <c r="I137" s="9042"/>
    </row>
    <row r="138" spans="1:110" ht="34.9" customHeight="1" x14ac:dyDescent="0.2">
      <c r="A138" s="9038"/>
      <c r="B138" s="8783"/>
      <c r="C138" s="6477" t="s">
        <v>2761</v>
      </c>
      <c r="D138" s="6478" t="s">
        <v>2950</v>
      </c>
      <c r="E138" s="4767" t="s">
        <v>1675</v>
      </c>
      <c r="F138" s="4858" t="s">
        <v>1674</v>
      </c>
      <c r="G138" s="9045"/>
      <c r="H138" s="4859" t="s">
        <v>1673</v>
      </c>
      <c r="I138" s="4640" t="s">
        <v>1672</v>
      </c>
    </row>
    <row r="139" spans="1:110" x14ac:dyDescent="0.2">
      <c r="A139" s="6479" t="s">
        <v>1618</v>
      </c>
      <c r="B139" s="4865">
        <f>SUM(C139:F139)+H139</f>
        <v>0</v>
      </c>
      <c r="C139" s="5387"/>
      <c r="D139" s="5442"/>
      <c r="E139" s="4779"/>
      <c r="F139" s="4866"/>
      <c r="G139" s="4867"/>
      <c r="H139" s="4868"/>
      <c r="I139" s="4869"/>
    </row>
    <row r="140" spans="1:110" x14ac:dyDescent="0.2">
      <c r="A140" s="6479" t="s">
        <v>1413</v>
      </c>
      <c r="B140" s="4865">
        <f t="shared" ref="B140:B146" si="90">SUM(C140:F140)+H140</f>
        <v>0</v>
      </c>
      <c r="C140" s="5387"/>
      <c r="D140" s="5442"/>
      <c r="E140" s="4779"/>
      <c r="F140" s="4866"/>
      <c r="G140" s="4867"/>
      <c r="H140" s="4868"/>
      <c r="I140" s="4869"/>
    </row>
    <row r="141" spans="1:110" x14ac:dyDescent="0.2">
      <c r="A141" s="6480" t="s">
        <v>32</v>
      </c>
      <c r="B141" s="4870">
        <f t="shared" si="90"/>
        <v>0</v>
      </c>
      <c r="C141" s="5387"/>
      <c r="D141" s="5442"/>
      <c r="E141" s="4871"/>
      <c r="F141" s="4623"/>
      <c r="G141" s="4872"/>
      <c r="H141" s="4774"/>
      <c r="I141" s="4208"/>
    </row>
    <row r="142" spans="1:110" x14ac:dyDescent="0.2">
      <c r="A142" s="6480" t="s">
        <v>33</v>
      </c>
      <c r="B142" s="4870">
        <f t="shared" si="90"/>
        <v>0</v>
      </c>
      <c r="C142" s="5387"/>
      <c r="D142" s="5442"/>
      <c r="E142" s="4871"/>
      <c r="F142" s="4623"/>
      <c r="G142" s="4872"/>
      <c r="H142" s="4774"/>
      <c r="I142" s="4208"/>
    </row>
    <row r="143" spans="1:110" x14ac:dyDescent="0.2">
      <c r="A143" s="6479" t="s">
        <v>40</v>
      </c>
      <c r="B143" s="4865">
        <f t="shared" si="90"/>
        <v>0</v>
      </c>
      <c r="C143" s="5387"/>
      <c r="D143" s="5442"/>
      <c r="E143" s="4779"/>
      <c r="F143" s="4866"/>
      <c r="G143" s="4867"/>
      <c r="H143" s="4868"/>
      <c r="I143" s="4869"/>
    </row>
    <row r="144" spans="1:110" x14ac:dyDescent="0.2">
      <c r="A144" s="6479" t="s">
        <v>1432</v>
      </c>
      <c r="B144" s="4865">
        <f t="shared" si="90"/>
        <v>0</v>
      </c>
      <c r="C144" s="5387"/>
      <c r="D144" s="5442"/>
      <c r="E144" s="4779"/>
      <c r="F144" s="4866"/>
      <c r="G144" s="4867"/>
      <c r="H144" s="4868"/>
      <c r="I144" s="4869"/>
    </row>
    <row r="145" spans="1:75" x14ac:dyDescent="0.2">
      <c r="A145" s="5517" t="s">
        <v>2951</v>
      </c>
      <c r="B145" s="6481">
        <f t="shared" si="90"/>
        <v>0</v>
      </c>
      <c r="C145" s="6482"/>
      <c r="D145" s="5458"/>
      <c r="E145" s="6483"/>
      <c r="F145" s="5456"/>
      <c r="G145" s="5944"/>
      <c r="H145" s="6484"/>
      <c r="I145" s="6485"/>
    </row>
    <row r="146" spans="1:75" x14ac:dyDescent="0.2">
      <c r="A146" s="6486" t="s">
        <v>2952</v>
      </c>
      <c r="B146" s="4873">
        <f t="shared" si="90"/>
        <v>0</v>
      </c>
      <c r="C146" s="4829"/>
      <c r="D146" s="5504"/>
      <c r="E146" s="4797"/>
      <c r="F146" s="4874"/>
      <c r="G146" s="4875"/>
      <c r="H146" s="4876"/>
      <c r="I146" s="4877"/>
    </row>
    <row r="147" spans="1:75" x14ac:dyDescent="0.2">
      <c r="A147" s="4328" t="s">
        <v>2755</v>
      </c>
    </row>
    <row r="148" spans="1:75" ht="19.899999999999999" customHeight="1" x14ac:dyDescent="0.2">
      <c r="A148" s="4071" t="s">
        <v>3442</v>
      </c>
    </row>
    <row r="149" spans="1:75" ht="26.25" customHeight="1" x14ac:dyDescent="0.2">
      <c r="A149" s="7342" t="s">
        <v>3352</v>
      </c>
      <c r="B149" s="6487" t="s">
        <v>3453</v>
      </c>
      <c r="C149" s="6488" t="s">
        <v>3454</v>
      </c>
      <c r="BV149" s="4652"/>
      <c r="BW149" s="4652"/>
    </row>
    <row r="150" spans="1:75" ht="24" customHeight="1" x14ac:dyDescent="0.2">
      <c r="A150" s="7343" t="s">
        <v>3935</v>
      </c>
      <c r="B150" s="5389"/>
      <c r="C150" s="6489"/>
      <c r="BV150" s="4652"/>
      <c r="BW150" s="4652"/>
    </row>
    <row r="151" spans="1:75" ht="24" customHeight="1" x14ac:dyDescent="0.2">
      <c r="A151" s="7344" t="s">
        <v>3936</v>
      </c>
      <c r="B151" s="5450"/>
      <c r="C151" s="5448"/>
      <c r="BV151" s="4652"/>
      <c r="BW151" s="4652"/>
    </row>
    <row r="152" spans="1:75" ht="24" customHeight="1" x14ac:dyDescent="0.25">
      <c r="A152" s="9060" t="s">
        <v>3980</v>
      </c>
      <c r="B152" s="9060"/>
      <c r="C152" s="9060"/>
      <c r="D152" s="9060"/>
      <c r="E152" s="9060"/>
      <c r="F152" s="165"/>
      <c r="G152" s="165"/>
      <c r="H152" s="165"/>
      <c r="I152" s="165"/>
      <c r="J152" s="165"/>
      <c r="K152" s="165"/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/>
      <c r="AU152"/>
      <c r="AV152"/>
      <c r="BV152" s="4652"/>
      <c r="BW152" s="4652"/>
    </row>
    <row r="153" spans="1:75" ht="24" customHeight="1" x14ac:dyDescent="0.2">
      <c r="A153" s="9050" t="s">
        <v>41</v>
      </c>
      <c r="B153" s="9050" t="s">
        <v>0</v>
      </c>
      <c r="C153" s="9052" t="s">
        <v>86</v>
      </c>
      <c r="D153" s="9053"/>
      <c r="E153" s="9049"/>
      <c r="F153" s="9056" t="s">
        <v>707</v>
      </c>
      <c r="G153" s="9057"/>
      <c r="H153" s="9057"/>
      <c r="I153" s="9057"/>
      <c r="J153" s="9057"/>
      <c r="K153" s="9057"/>
      <c r="L153" s="9057"/>
      <c r="M153" s="9057"/>
      <c r="N153" s="9057"/>
      <c r="O153" s="9057"/>
      <c r="P153" s="9057"/>
      <c r="Q153" s="9057"/>
      <c r="R153" s="9057"/>
      <c r="S153" s="9057"/>
      <c r="T153" s="9057"/>
      <c r="U153" s="9057"/>
      <c r="V153" s="9057"/>
      <c r="W153" s="9057"/>
      <c r="X153" s="9057"/>
      <c r="Y153" s="9057"/>
      <c r="Z153" s="9057"/>
      <c r="AA153" s="9057"/>
      <c r="AB153" s="9057"/>
      <c r="AC153" s="9057"/>
      <c r="AD153" s="9057"/>
      <c r="AE153" s="9057"/>
      <c r="AF153" s="9057"/>
      <c r="AG153" s="9057"/>
      <c r="AH153" s="9057"/>
      <c r="AI153" s="9057"/>
      <c r="AJ153" s="9057"/>
      <c r="AK153" s="9057"/>
      <c r="AL153" s="9057"/>
      <c r="AM153" s="8173"/>
      <c r="AN153" s="9049" t="s">
        <v>358</v>
      </c>
      <c r="AO153" s="9058" t="s">
        <v>2948</v>
      </c>
      <c r="AP153" s="9058" t="s">
        <v>2607</v>
      </c>
      <c r="AQ153" s="9049" t="s">
        <v>360</v>
      </c>
      <c r="AR153" s="9049" t="s">
        <v>359</v>
      </c>
      <c r="AS153" s="9049" t="s">
        <v>3981</v>
      </c>
      <c r="AT153" s="9049" t="s">
        <v>3982</v>
      </c>
      <c r="AU153" s="9052" t="s">
        <v>361</v>
      </c>
      <c r="AV153" s="9049"/>
      <c r="BV153" s="4652"/>
      <c r="BW153" s="4652"/>
    </row>
    <row r="154" spans="1:75" ht="24" customHeight="1" x14ac:dyDescent="0.2">
      <c r="A154" s="8161"/>
      <c r="B154" s="8161"/>
      <c r="C154" s="9054"/>
      <c r="D154" s="9055"/>
      <c r="E154" s="8328"/>
      <c r="F154" s="9056" t="s">
        <v>75</v>
      </c>
      <c r="G154" s="9068"/>
      <c r="H154" s="9056" t="s">
        <v>76</v>
      </c>
      <c r="I154" s="9068"/>
      <c r="J154" s="9056" t="s">
        <v>77</v>
      </c>
      <c r="K154" s="9068"/>
      <c r="L154" s="9056" t="s">
        <v>71</v>
      </c>
      <c r="M154" s="9068"/>
      <c r="N154" s="9056" t="s">
        <v>4</v>
      </c>
      <c r="O154" s="9068"/>
      <c r="P154" s="9069" t="s">
        <v>5</v>
      </c>
      <c r="Q154" s="9070"/>
      <c r="R154" s="9069" t="s">
        <v>6</v>
      </c>
      <c r="S154" s="9070"/>
      <c r="T154" s="9069" t="s">
        <v>7</v>
      </c>
      <c r="U154" s="9070"/>
      <c r="V154" s="9069" t="s">
        <v>8</v>
      </c>
      <c r="W154" s="9070"/>
      <c r="X154" s="9069" t="s">
        <v>9</v>
      </c>
      <c r="Y154" s="9070"/>
      <c r="Z154" s="9069" t="s">
        <v>10</v>
      </c>
      <c r="AA154" s="9070"/>
      <c r="AB154" s="9069" t="s">
        <v>11</v>
      </c>
      <c r="AC154" s="9070"/>
      <c r="AD154" s="9069" t="s">
        <v>12</v>
      </c>
      <c r="AE154" s="9070"/>
      <c r="AF154" s="9069" t="s">
        <v>13</v>
      </c>
      <c r="AG154" s="9070"/>
      <c r="AH154" s="9069" t="s">
        <v>14</v>
      </c>
      <c r="AI154" s="9070"/>
      <c r="AJ154" s="9069" t="s">
        <v>15</v>
      </c>
      <c r="AK154" s="9070"/>
      <c r="AL154" s="9069" t="s">
        <v>16</v>
      </c>
      <c r="AM154" s="9071"/>
      <c r="AN154" s="8151"/>
      <c r="AO154" s="8689"/>
      <c r="AP154" s="8689"/>
      <c r="AQ154" s="8151"/>
      <c r="AR154" s="8151"/>
      <c r="AS154" s="8151"/>
      <c r="AT154" s="8151"/>
      <c r="AU154" s="9054"/>
      <c r="AV154" s="8328"/>
      <c r="BV154" s="4652"/>
      <c r="BW154" s="4652"/>
    </row>
    <row r="155" spans="1:75" ht="24" customHeight="1" x14ac:dyDescent="0.2">
      <c r="A155" s="9051"/>
      <c r="B155" s="9051"/>
      <c r="C155" s="7533" t="s">
        <v>42</v>
      </c>
      <c r="D155" s="7534" t="s">
        <v>17</v>
      </c>
      <c r="E155" s="3355" t="s">
        <v>18</v>
      </c>
      <c r="F155" s="7537" t="s">
        <v>17</v>
      </c>
      <c r="G155" s="3355" t="s">
        <v>18</v>
      </c>
      <c r="H155" s="7537" t="s">
        <v>17</v>
      </c>
      <c r="I155" s="3355" t="s">
        <v>18</v>
      </c>
      <c r="J155" s="7537" t="s">
        <v>17</v>
      </c>
      <c r="K155" s="3355" t="s">
        <v>18</v>
      </c>
      <c r="L155" s="7537" t="s">
        <v>17</v>
      </c>
      <c r="M155" s="3355" t="s">
        <v>18</v>
      </c>
      <c r="N155" s="7537" t="s">
        <v>17</v>
      </c>
      <c r="O155" s="3355" t="s">
        <v>18</v>
      </c>
      <c r="P155" s="7537" t="s">
        <v>17</v>
      </c>
      <c r="Q155" s="3355" t="s">
        <v>18</v>
      </c>
      <c r="R155" s="7537" t="s">
        <v>17</v>
      </c>
      <c r="S155" s="3355" t="s">
        <v>18</v>
      </c>
      <c r="T155" s="7537" t="s">
        <v>17</v>
      </c>
      <c r="U155" s="3355" t="s">
        <v>18</v>
      </c>
      <c r="V155" s="7537" t="s">
        <v>17</v>
      </c>
      <c r="W155" s="3355" t="s">
        <v>18</v>
      </c>
      <c r="X155" s="7537" t="s">
        <v>17</v>
      </c>
      <c r="Y155" s="3355" t="s">
        <v>18</v>
      </c>
      <c r="Z155" s="7537" t="s">
        <v>17</v>
      </c>
      <c r="AA155" s="3355" t="s">
        <v>18</v>
      </c>
      <c r="AB155" s="7537" t="s">
        <v>17</v>
      </c>
      <c r="AC155" s="3355" t="s">
        <v>18</v>
      </c>
      <c r="AD155" s="7537" t="s">
        <v>17</v>
      </c>
      <c r="AE155" s="3355" t="s">
        <v>18</v>
      </c>
      <c r="AF155" s="7537" t="s">
        <v>17</v>
      </c>
      <c r="AG155" s="3355" t="s">
        <v>18</v>
      </c>
      <c r="AH155" s="7537" t="s">
        <v>17</v>
      </c>
      <c r="AI155" s="3355" t="s">
        <v>18</v>
      </c>
      <c r="AJ155" s="7537" t="s">
        <v>17</v>
      </c>
      <c r="AK155" s="3355" t="s">
        <v>18</v>
      </c>
      <c r="AL155" s="7537" t="s">
        <v>17</v>
      </c>
      <c r="AM155" s="2196" t="s">
        <v>18</v>
      </c>
      <c r="AN155" s="8328"/>
      <c r="AO155" s="9059"/>
      <c r="AP155" s="9059"/>
      <c r="AQ155" s="8328"/>
      <c r="AR155" s="8328"/>
      <c r="AS155" s="8328"/>
      <c r="AT155" s="8328"/>
      <c r="AU155" s="7535" t="s">
        <v>356</v>
      </c>
      <c r="AV155" s="7535" t="s">
        <v>357</v>
      </c>
      <c r="BV155" s="4652"/>
      <c r="BW155" s="4652"/>
    </row>
    <row r="156" spans="1:75" ht="24" customHeight="1" x14ac:dyDescent="0.2">
      <c r="A156" s="9062" t="s">
        <v>3983</v>
      </c>
      <c r="B156" s="7538" t="s">
        <v>2583</v>
      </c>
      <c r="C156" s="7506">
        <f>SUM(D156+E156)</f>
        <v>0</v>
      </c>
      <c r="D156" s="7200">
        <f>SUM(F156+H156+J156+L156+N156+P156+R156+T156+V156+X156+Z156+AB156+AD156+AF156+AH156+AJ156+AL156)</f>
        <v>0</v>
      </c>
      <c r="E156" s="7539">
        <f>SUM(G156+I156+K156+M156+O156+Q156+S156+U156+W156+Y156+AA156+AC156+AE156+AG156+AI156+AK156+AM156)</f>
        <v>0</v>
      </c>
      <c r="F156" s="7252"/>
      <c r="G156" s="7214"/>
      <c r="H156" s="7252"/>
      <c r="I156" s="7214"/>
      <c r="J156" s="7252"/>
      <c r="K156" s="7237"/>
      <c r="L156" s="7252"/>
      <c r="M156" s="7237"/>
      <c r="N156" s="7252"/>
      <c r="O156" s="7237"/>
      <c r="P156" s="7252"/>
      <c r="Q156" s="7237"/>
      <c r="R156" s="7252"/>
      <c r="S156" s="7237"/>
      <c r="T156" s="7252"/>
      <c r="U156" s="7237"/>
      <c r="V156" s="7252"/>
      <c r="W156" s="7237"/>
      <c r="X156" s="7252"/>
      <c r="Y156" s="7237"/>
      <c r="Z156" s="7252"/>
      <c r="AA156" s="7237"/>
      <c r="AB156" s="7252"/>
      <c r="AC156" s="7237"/>
      <c r="AD156" s="7252"/>
      <c r="AE156" s="7237"/>
      <c r="AF156" s="7252"/>
      <c r="AG156" s="7237"/>
      <c r="AH156" s="7252"/>
      <c r="AI156" s="7237"/>
      <c r="AJ156" s="7252"/>
      <c r="AK156" s="7237"/>
      <c r="AL156" s="7540"/>
      <c r="AM156" s="7541"/>
      <c r="AN156" s="7214"/>
      <c r="AO156" s="7214"/>
      <c r="AP156" s="7214"/>
      <c r="AQ156" s="7214"/>
      <c r="AR156" s="7214"/>
      <c r="AS156" s="7214"/>
      <c r="AT156" s="7214"/>
      <c r="AU156" s="7214"/>
      <c r="AV156" s="7214"/>
      <c r="BV156" s="4652"/>
      <c r="BW156" s="4652"/>
    </row>
    <row r="157" spans="1:75" ht="24" customHeight="1" x14ac:dyDescent="0.2">
      <c r="A157" s="8274"/>
      <c r="B157" s="7542" t="s">
        <v>60</v>
      </c>
      <c r="C157" s="3143">
        <f t="shared" ref="C157" si="91">SUM(D157+E157)</f>
        <v>0</v>
      </c>
      <c r="D157" s="3144">
        <f>SUM(F157+H157+J157+L157+N157+P157+R157+T157+V157+X157+Z157+AB157+AD157+AF157+AH157+AJ157+AL157)</f>
        <v>0</v>
      </c>
      <c r="E157" s="7543">
        <f t="shared" ref="E157:E166" si="92">SUM(G157+I157+K157+M157+O157+Q157+S157+U157+W157+Y157+AA157+AC157+AE157+AG157+AI157+AK157+AM157)</f>
        <v>0</v>
      </c>
      <c r="F157" s="3028"/>
      <c r="G157" s="3121"/>
      <c r="H157" s="3028"/>
      <c r="I157" s="3121"/>
      <c r="J157" s="3028"/>
      <c r="K157" s="1882"/>
      <c r="L157" s="3028"/>
      <c r="M157" s="1882"/>
      <c r="N157" s="3028"/>
      <c r="O157" s="1882"/>
      <c r="P157" s="3028"/>
      <c r="Q157" s="1882"/>
      <c r="R157" s="3028"/>
      <c r="S157" s="1882"/>
      <c r="T157" s="3028"/>
      <c r="U157" s="1882"/>
      <c r="V157" s="3028"/>
      <c r="W157" s="1882"/>
      <c r="X157" s="3028"/>
      <c r="Y157" s="1882"/>
      <c r="Z157" s="3028"/>
      <c r="AA157" s="1882"/>
      <c r="AB157" s="3028"/>
      <c r="AC157" s="1882"/>
      <c r="AD157" s="3028"/>
      <c r="AE157" s="1882"/>
      <c r="AF157" s="3028"/>
      <c r="AG157" s="1882"/>
      <c r="AH157" s="3028"/>
      <c r="AI157" s="1882"/>
      <c r="AJ157" s="3028"/>
      <c r="AK157" s="1882"/>
      <c r="AL157" s="1908"/>
      <c r="AM157" s="3029"/>
      <c r="AN157" s="3121"/>
      <c r="AO157" s="3121"/>
      <c r="AP157" s="3121"/>
      <c r="AQ157" s="3121"/>
      <c r="AR157" s="3121"/>
      <c r="AS157" s="3121"/>
      <c r="AT157" s="3121"/>
      <c r="AU157" s="3121"/>
      <c r="AV157" s="3121"/>
      <c r="BV157" s="4652"/>
      <c r="BW157" s="4652"/>
    </row>
    <row r="158" spans="1:75" ht="24" customHeight="1" x14ac:dyDescent="0.2">
      <c r="A158" s="8274"/>
      <c r="B158" s="7542" t="s">
        <v>2585</v>
      </c>
      <c r="C158" s="3143">
        <f t="shared" ref="C158:C168" si="93">SUM(D158+E158)</f>
        <v>0</v>
      </c>
      <c r="D158" s="3144">
        <f t="shared" ref="D158:D166" si="94">SUM(F158+H158+J158+L158+N158+P158+R158+T158+V158+X158+Z158+AB158+AD158+AF158+AH158+AJ158+AL158)</f>
        <v>0</v>
      </c>
      <c r="E158" s="7543">
        <f>SUM(G158+I158+K158+M158+O158+Q158+S158+U158+W158+Y158+AA158+AC158+AE158+AG158+AI158+AK158+AM158)</f>
        <v>0</v>
      </c>
      <c r="F158" s="3028"/>
      <c r="G158" s="3121"/>
      <c r="H158" s="3028"/>
      <c r="I158" s="3121"/>
      <c r="J158" s="3028"/>
      <c r="K158" s="1882"/>
      <c r="L158" s="3028"/>
      <c r="M158" s="1882"/>
      <c r="N158" s="3028"/>
      <c r="O158" s="1882"/>
      <c r="P158" s="3028"/>
      <c r="Q158" s="1882"/>
      <c r="R158" s="3028"/>
      <c r="S158" s="1882"/>
      <c r="T158" s="3028"/>
      <c r="U158" s="1882"/>
      <c r="V158" s="3028"/>
      <c r="W158" s="1882"/>
      <c r="X158" s="3028"/>
      <c r="Y158" s="1882"/>
      <c r="Z158" s="3028"/>
      <c r="AA158" s="1882"/>
      <c r="AB158" s="3028"/>
      <c r="AC158" s="1882"/>
      <c r="AD158" s="3028"/>
      <c r="AE158" s="1882"/>
      <c r="AF158" s="3028"/>
      <c r="AG158" s="1882"/>
      <c r="AH158" s="3028"/>
      <c r="AI158" s="1882"/>
      <c r="AJ158" s="3028"/>
      <c r="AK158" s="1882"/>
      <c r="AL158" s="1908"/>
      <c r="AM158" s="3029"/>
      <c r="AN158" s="3121"/>
      <c r="AO158" s="3121"/>
      <c r="AP158" s="3121"/>
      <c r="AQ158" s="3121"/>
      <c r="AR158" s="3121"/>
      <c r="AS158" s="3121"/>
      <c r="AT158" s="3121"/>
      <c r="AU158" s="3121"/>
      <c r="AV158" s="3121"/>
      <c r="BV158" s="4652"/>
      <c r="BW158" s="4652"/>
    </row>
    <row r="159" spans="1:75" ht="24" customHeight="1" x14ac:dyDescent="0.2">
      <c r="A159" s="8274"/>
      <c r="B159" s="7542" t="s">
        <v>597</v>
      </c>
      <c r="C159" s="3143">
        <f t="shared" si="93"/>
        <v>0</v>
      </c>
      <c r="D159" s="3144">
        <f t="shared" ref="D159:D165" si="95">SUM(F159+H159+J159+L159+N159+P159+R159+T159+V159+X159+Z159+AB159+AD159+AF159+AH159+AJ159+AL159)</f>
        <v>0</v>
      </c>
      <c r="E159" s="7543">
        <f>SUM(G159+I159+K159+M159+O159+Q159+S159+U159+W159+Y159+AA159+AC159+AE159+AG159+AI159+AK159+AM159)</f>
        <v>0</v>
      </c>
      <c r="F159" s="3028"/>
      <c r="G159" s="3121"/>
      <c r="H159" s="3028"/>
      <c r="I159" s="3121"/>
      <c r="J159" s="3028"/>
      <c r="K159" s="1882"/>
      <c r="L159" s="3028"/>
      <c r="M159" s="1882"/>
      <c r="N159" s="3028"/>
      <c r="O159" s="1882"/>
      <c r="P159" s="3028"/>
      <c r="Q159" s="1882"/>
      <c r="R159" s="3028"/>
      <c r="S159" s="1882"/>
      <c r="T159" s="3028"/>
      <c r="U159" s="1882"/>
      <c r="V159" s="3028"/>
      <c r="W159" s="1882"/>
      <c r="X159" s="3028"/>
      <c r="Y159" s="1882"/>
      <c r="Z159" s="3028"/>
      <c r="AA159" s="1882"/>
      <c r="AB159" s="3028"/>
      <c r="AC159" s="1882"/>
      <c r="AD159" s="3028"/>
      <c r="AE159" s="1882"/>
      <c r="AF159" s="3028"/>
      <c r="AG159" s="1882"/>
      <c r="AH159" s="3028"/>
      <c r="AI159" s="1882"/>
      <c r="AJ159" s="3028"/>
      <c r="AK159" s="1882"/>
      <c r="AL159" s="1908"/>
      <c r="AM159" s="3029"/>
      <c r="AN159" s="3121"/>
      <c r="AO159" s="3121"/>
      <c r="AP159" s="3121"/>
      <c r="AQ159" s="3121"/>
      <c r="AR159" s="3121"/>
      <c r="AS159" s="3121"/>
      <c r="AT159" s="3121"/>
      <c r="AU159" s="3121"/>
      <c r="AV159" s="3121"/>
      <c r="BV159" s="4652"/>
      <c r="BW159" s="4652"/>
    </row>
    <row r="160" spans="1:75" ht="24" customHeight="1" x14ac:dyDescent="0.2">
      <c r="A160" s="8274"/>
      <c r="B160" s="7542" t="s">
        <v>3112</v>
      </c>
      <c r="C160" s="3143">
        <f t="shared" si="93"/>
        <v>0</v>
      </c>
      <c r="D160" s="3144">
        <f t="shared" si="95"/>
        <v>0</v>
      </c>
      <c r="E160" s="7543">
        <f>SUM(G160+I160+K160+M160+O160+Q160+S160+U160+W160+Y160+AA160+AC160+AE160+AG160+AI160+AK160+AM160)</f>
        <v>0</v>
      </c>
      <c r="F160" s="3028"/>
      <c r="G160" s="3121"/>
      <c r="H160" s="3028"/>
      <c r="I160" s="3121"/>
      <c r="J160" s="3028"/>
      <c r="K160" s="1882"/>
      <c r="L160" s="3028"/>
      <c r="M160" s="1882"/>
      <c r="N160" s="3028"/>
      <c r="O160" s="1882"/>
      <c r="P160" s="3028"/>
      <c r="Q160" s="1882"/>
      <c r="R160" s="3028"/>
      <c r="S160" s="1882"/>
      <c r="T160" s="3028"/>
      <c r="U160" s="1882"/>
      <c r="V160" s="3028"/>
      <c r="W160" s="1882"/>
      <c r="X160" s="3028"/>
      <c r="Y160" s="1882"/>
      <c r="Z160" s="3028"/>
      <c r="AA160" s="1882"/>
      <c r="AB160" s="3028"/>
      <c r="AC160" s="1882"/>
      <c r="AD160" s="3028"/>
      <c r="AE160" s="1882"/>
      <c r="AF160" s="3028"/>
      <c r="AG160" s="1882"/>
      <c r="AH160" s="3028"/>
      <c r="AI160" s="1882"/>
      <c r="AJ160" s="3028"/>
      <c r="AK160" s="1882"/>
      <c r="AL160" s="1908"/>
      <c r="AM160" s="3029"/>
      <c r="AN160" s="3121"/>
      <c r="AO160" s="3121"/>
      <c r="AP160" s="3121"/>
      <c r="AQ160" s="3121"/>
      <c r="AR160" s="3121"/>
      <c r="AS160" s="3121"/>
      <c r="AT160" s="3121"/>
      <c r="AU160" s="3121"/>
      <c r="AV160" s="3121"/>
      <c r="BV160" s="4652"/>
      <c r="BW160" s="4652"/>
    </row>
    <row r="161" spans="1:130" ht="24" customHeight="1" x14ac:dyDescent="0.2">
      <c r="A161" s="8274"/>
      <c r="B161" s="7542" t="s">
        <v>63</v>
      </c>
      <c r="C161" s="3143">
        <f t="shared" si="93"/>
        <v>0</v>
      </c>
      <c r="D161" s="3144">
        <f t="shared" si="95"/>
        <v>0</v>
      </c>
      <c r="E161" s="7543">
        <f>SUM(G161+I161+K161+M161+O161+Q161+S161+U161+W161+Y161+AA161+AC161+AE161+AG161+AI161+AK161+AM161)</f>
        <v>0</v>
      </c>
      <c r="F161" s="3028"/>
      <c r="G161" s="3121"/>
      <c r="H161" s="3028"/>
      <c r="I161" s="3121"/>
      <c r="J161" s="3028"/>
      <c r="K161" s="1882"/>
      <c r="L161" s="3028"/>
      <c r="M161" s="1882"/>
      <c r="N161" s="3028"/>
      <c r="O161" s="1882"/>
      <c r="P161" s="3028"/>
      <c r="Q161" s="1882"/>
      <c r="R161" s="3028"/>
      <c r="S161" s="1882"/>
      <c r="T161" s="3028"/>
      <c r="U161" s="1882"/>
      <c r="V161" s="3028"/>
      <c r="W161" s="1882"/>
      <c r="X161" s="3028"/>
      <c r="Y161" s="1882"/>
      <c r="Z161" s="3028"/>
      <c r="AA161" s="1882"/>
      <c r="AB161" s="3028"/>
      <c r="AC161" s="1882"/>
      <c r="AD161" s="3028"/>
      <c r="AE161" s="1882"/>
      <c r="AF161" s="3028"/>
      <c r="AG161" s="1882"/>
      <c r="AH161" s="3028"/>
      <c r="AI161" s="1882"/>
      <c r="AJ161" s="3028"/>
      <c r="AK161" s="1882"/>
      <c r="AL161" s="1908"/>
      <c r="AM161" s="3029"/>
      <c r="AN161" s="3121"/>
      <c r="AO161" s="3121"/>
      <c r="AP161" s="3121"/>
      <c r="AQ161" s="3121"/>
      <c r="AR161" s="3121"/>
      <c r="AS161" s="3121"/>
      <c r="AT161" s="3121"/>
      <c r="AU161" s="3121"/>
      <c r="AV161" s="3121"/>
      <c r="BV161" s="4652"/>
      <c r="BW161" s="4652"/>
    </row>
    <row r="162" spans="1:130" ht="24" customHeight="1" x14ac:dyDescent="0.2">
      <c r="A162" s="8274"/>
      <c r="B162" s="7542" t="s">
        <v>62</v>
      </c>
      <c r="C162" s="7544">
        <f t="shared" si="93"/>
        <v>0</v>
      </c>
      <c r="D162" s="5234">
        <f t="shared" si="95"/>
        <v>0</v>
      </c>
      <c r="E162" s="3277">
        <f>SUM(G162+I162+K162+M162+O162+Q162+S162+U162+W162+Y162+AA162+AC162+AE162+AG162+AI162+AK162+AM162)</f>
        <v>0</v>
      </c>
      <c r="F162" s="3278"/>
      <c r="G162" s="3279"/>
      <c r="H162" s="3278"/>
      <c r="I162" s="3279"/>
      <c r="J162" s="3278"/>
      <c r="K162" s="2596"/>
      <c r="L162" s="3278"/>
      <c r="M162" s="2596"/>
      <c r="N162" s="3278"/>
      <c r="O162" s="2596"/>
      <c r="P162" s="3278"/>
      <c r="Q162" s="2596"/>
      <c r="R162" s="3278"/>
      <c r="S162" s="2596"/>
      <c r="T162" s="3278"/>
      <c r="U162" s="2596"/>
      <c r="V162" s="3278"/>
      <c r="W162" s="2596"/>
      <c r="X162" s="3278"/>
      <c r="Y162" s="2596"/>
      <c r="Z162" s="3278"/>
      <c r="AA162" s="2596"/>
      <c r="AB162" s="3278"/>
      <c r="AC162" s="2596"/>
      <c r="AD162" s="3278"/>
      <c r="AE162" s="2596"/>
      <c r="AF162" s="3278"/>
      <c r="AG162" s="2596"/>
      <c r="AH162" s="3278"/>
      <c r="AI162" s="2596"/>
      <c r="AJ162" s="3278"/>
      <c r="AK162" s="2596"/>
      <c r="AL162" s="2597"/>
      <c r="AM162" s="7545"/>
      <c r="AN162" s="3279"/>
      <c r="AO162" s="3279"/>
      <c r="AP162" s="3279"/>
      <c r="AQ162" s="3279"/>
      <c r="AR162" s="3279"/>
      <c r="AS162" s="3279"/>
      <c r="AT162" s="3279"/>
      <c r="AU162" s="3279"/>
      <c r="AV162" s="3279"/>
      <c r="BV162" s="4652"/>
      <c r="BW162" s="4652"/>
    </row>
    <row r="163" spans="1:130" ht="24" customHeight="1" x14ac:dyDescent="0.2">
      <c r="A163" s="8274"/>
      <c r="B163" s="7542" t="s">
        <v>3984</v>
      </c>
      <c r="C163" s="7544">
        <f t="shared" si="93"/>
        <v>0</v>
      </c>
      <c r="D163" s="5234">
        <f t="shared" si="95"/>
        <v>0</v>
      </c>
      <c r="E163" s="3277">
        <f t="shared" si="92"/>
        <v>0</v>
      </c>
      <c r="F163" s="3278"/>
      <c r="G163" s="3279"/>
      <c r="H163" s="3278"/>
      <c r="I163" s="3279"/>
      <c r="J163" s="3278"/>
      <c r="K163" s="2596"/>
      <c r="L163" s="3278"/>
      <c r="M163" s="2596"/>
      <c r="N163" s="3278"/>
      <c r="O163" s="2596"/>
      <c r="P163" s="3278"/>
      <c r="Q163" s="2596"/>
      <c r="R163" s="3278"/>
      <c r="S163" s="2596"/>
      <c r="T163" s="3278"/>
      <c r="U163" s="2596"/>
      <c r="V163" s="3278"/>
      <c r="W163" s="2596"/>
      <c r="X163" s="3278"/>
      <c r="Y163" s="2596"/>
      <c r="Z163" s="3278"/>
      <c r="AA163" s="2596"/>
      <c r="AB163" s="3278"/>
      <c r="AC163" s="2596"/>
      <c r="AD163" s="3278"/>
      <c r="AE163" s="2596"/>
      <c r="AF163" s="3278"/>
      <c r="AG163" s="2596"/>
      <c r="AH163" s="3278"/>
      <c r="AI163" s="2596"/>
      <c r="AJ163" s="3278"/>
      <c r="AK163" s="2596"/>
      <c r="AL163" s="2597"/>
      <c r="AM163" s="7545"/>
      <c r="AN163" s="3279"/>
      <c r="AO163" s="3279"/>
      <c r="AP163" s="3279"/>
      <c r="AQ163" s="3279"/>
      <c r="AR163" s="3279"/>
      <c r="AS163" s="3279"/>
      <c r="AT163" s="3279"/>
      <c r="AU163" s="3279"/>
      <c r="AV163" s="3279"/>
      <c r="BV163" s="4652"/>
      <c r="BW163" s="4652"/>
    </row>
    <row r="164" spans="1:130" ht="24" customHeight="1" x14ac:dyDescent="0.2">
      <c r="A164" s="8274"/>
      <c r="B164" s="7542" t="s">
        <v>1509</v>
      </c>
      <c r="C164" s="7544">
        <f t="shared" si="93"/>
        <v>0</v>
      </c>
      <c r="D164" s="5234">
        <f t="shared" si="95"/>
        <v>0</v>
      </c>
      <c r="E164" s="3277">
        <f>SUM(G164+I164+K164+M164+O164+Q164+S164+U164+W164+Y164+AA164+AC164+AE164+AG164+AI164+AK164+AM164)</f>
        <v>0</v>
      </c>
      <c r="F164" s="3278"/>
      <c r="G164" s="3279"/>
      <c r="H164" s="3278"/>
      <c r="I164" s="3279"/>
      <c r="J164" s="3278"/>
      <c r="K164" s="2596"/>
      <c r="L164" s="3278"/>
      <c r="M164" s="2596"/>
      <c r="N164" s="3278"/>
      <c r="O164" s="2596"/>
      <c r="P164" s="3278"/>
      <c r="Q164" s="2596"/>
      <c r="R164" s="3278"/>
      <c r="S164" s="2596"/>
      <c r="T164" s="3278"/>
      <c r="U164" s="2596"/>
      <c r="V164" s="3278"/>
      <c r="W164" s="2596"/>
      <c r="X164" s="3278"/>
      <c r="Y164" s="2596"/>
      <c r="Z164" s="3278"/>
      <c r="AA164" s="2596"/>
      <c r="AB164" s="3278"/>
      <c r="AC164" s="2596"/>
      <c r="AD164" s="3278"/>
      <c r="AE164" s="2596"/>
      <c r="AF164" s="3278"/>
      <c r="AG164" s="2596"/>
      <c r="AH164" s="3278"/>
      <c r="AI164" s="2596"/>
      <c r="AJ164" s="3278"/>
      <c r="AK164" s="2596"/>
      <c r="AL164" s="2597"/>
      <c r="AM164" s="7545"/>
      <c r="AN164" s="3279"/>
      <c r="AO164" s="3279"/>
      <c r="AP164" s="3279"/>
      <c r="AQ164" s="3279"/>
      <c r="AR164" s="3279"/>
      <c r="AS164" s="3279"/>
      <c r="AT164" s="3279"/>
      <c r="AU164" s="3279"/>
      <c r="AV164" s="3279"/>
      <c r="BV164" s="4652"/>
      <c r="BW164" s="4652"/>
    </row>
    <row r="165" spans="1:130" ht="24" customHeight="1" x14ac:dyDescent="0.2">
      <c r="A165" s="8274"/>
      <c r="B165" s="7546" t="s">
        <v>1508</v>
      </c>
      <c r="C165" s="7544">
        <f t="shared" si="93"/>
        <v>0</v>
      </c>
      <c r="D165" s="7547">
        <f t="shared" si="95"/>
        <v>0</v>
      </c>
      <c r="E165" s="3277">
        <f>SUM(G165+I165+K165+M165+O165+Q165+S165+U165+W165+Y165+AA165+AC165+AE165+AG165+AI165+AK165+AM165)</f>
        <v>0</v>
      </c>
      <c r="F165" s="3278"/>
      <c r="G165" s="3279"/>
      <c r="H165" s="3278"/>
      <c r="I165" s="3279"/>
      <c r="J165" s="3278"/>
      <c r="K165" s="2596"/>
      <c r="L165" s="3278"/>
      <c r="M165" s="2596"/>
      <c r="N165" s="3278"/>
      <c r="O165" s="2596"/>
      <c r="P165" s="3278"/>
      <c r="Q165" s="2596"/>
      <c r="R165" s="3278"/>
      <c r="S165" s="2596"/>
      <c r="T165" s="3278"/>
      <c r="U165" s="2596"/>
      <c r="V165" s="3278"/>
      <c r="W165" s="2596"/>
      <c r="X165" s="3278"/>
      <c r="Y165" s="2596"/>
      <c r="Z165" s="3278"/>
      <c r="AA165" s="2596"/>
      <c r="AB165" s="3278"/>
      <c r="AC165" s="2596"/>
      <c r="AD165" s="3278"/>
      <c r="AE165" s="2596"/>
      <c r="AF165" s="3278"/>
      <c r="AG165" s="2596"/>
      <c r="AH165" s="3278"/>
      <c r="AI165" s="2596"/>
      <c r="AJ165" s="3278"/>
      <c r="AK165" s="2596"/>
      <c r="AL165" s="2597"/>
      <c r="AM165" s="7545"/>
      <c r="AN165" s="3279"/>
      <c r="AO165" s="3279"/>
      <c r="AP165" s="3279"/>
      <c r="AQ165" s="3279"/>
      <c r="AR165" s="3279"/>
      <c r="AS165" s="3279"/>
      <c r="AT165" s="3279"/>
      <c r="AU165" s="3279"/>
      <c r="AV165" s="3279"/>
      <c r="BV165" s="4652"/>
      <c r="BW165" s="4652"/>
    </row>
    <row r="166" spans="1:130" ht="24" customHeight="1" x14ac:dyDescent="0.2">
      <c r="A166" s="9063"/>
      <c r="B166" s="7548" t="s">
        <v>24</v>
      </c>
      <c r="C166" s="7549">
        <f t="shared" si="93"/>
        <v>0</v>
      </c>
      <c r="D166" s="7550">
        <f t="shared" si="94"/>
        <v>0</v>
      </c>
      <c r="E166" s="7551">
        <f t="shared" si="92"/>
        <v>0</v>
      </c>
      <c r="F166" s="7264">
        <f>SUM(F156:F165)</f>
        <v>0</v>
      </c>
      <c r="G166" s="7320">
        <f t="shared" ref="G166:AT166" si="96">SUM(G156:G165)</f>
        <v>0</v>
      </c>
      <c r="H166" s="7264">
        <f t="shared" si="96"/>
        <v>0</v>
      </c>
      <c r="I166" s="7320">
        <f t="shared" si="96"/>
        <v>0</v>
      </c>
      <c r="J166" s="7264">
        <f t="shared" si="96"/>
        <v>0</v>
      </c>
      <c r="K166" s="7267">
        <f t="shared" si="96"/>
        <v>0</v>
      </c>
      <c r="L166" s="7264">
        <f t="shared" si="96"/>
        <v>0</v>
      </c>
      <c r="M166" s="7267">
        <f t="shared" si="96"/>
        <v>0</v>
      </c>
      <c r="N166" s="7264">
        <f t="shared" si="96"/>
        <v>0</v>
      </c>
      <c r="O166" s="7267">
        <f t="shared" si="96"/>
        <v>0</v>
      </c>
      <c r="P166" s="7264">
        <f t="shared" si="96"/>
        <v>0</v>
      </c>
      <c r="Q166" s="7267">
        <f t="shared" si="96"/>
        <v>0</v>
      </c>
      <c r="R166" s="7264">
        <f t="shared" si="96"/>
        <v>0</v>
      </c>
      <c r="S166" s="7267">
        <f t="shared" si="96"/>
        <v>0</v>
      </c>
      <c r="T166" s="7264">
        <f t="shared" si="96"/>
        <v>0</v>
      </c>
      <c r="U166" s="7267">
        <f t="shared" si="96"/>
        <v>0</v>
      </c>
      <c r="V166" s="7264">
        <f t="shared" si="96"/>
        <v>0</v>
      </c>
      <c r="W166" s="7267">
        <f t="shared" si="96"/>
        <v>0</v>
      </c>
      <c r="X166" s="7264">
        <f t="shared" si="96"/>
        <v>0</v>
      </c>
      <c r="Y166" s="7267">
        <f t="shared" si="96"/>
        <v>0</v>
      </c>
      <c r="Z166" s="7264">
        <f t="shared" si="96"/>
        <v>0</v>
      </c>
      <c r="AA166" s="7267">
        <f t="shared" si="96"/>
        <v>0</v>
      </c>
      <c r="AB166" s="7264">
        <f t="shared" si="96"/>
        <v>0</v>
      </c>
      <c r="AC166" s="7267">
        <f t="shared" si="96"/>
        <v>0</v>
      </c>
      <c r="AD166" s="7264">
        <f t="shared" si="96"/>
        <v>0</v>
      </c>
      <c r="AE166" s="7267">
        <f t="shared" si="96"/>
        <v>0</v>
      </c>
      <c r="AF166" s="7264">
        <f t="shared" si="96"/>
        <v>0</v>
      </c>
      <c r="AG166" s="7267">
        <f t="shared" si="96"/>
        <v>0</v>
      </c>
      <c r="AH166" s="7264">
        <f t="shared" si="96"/>
        <v>0</v>
      </c>
      <c r="AI166" s="7267">
        <f t="shared" si="96"/>
        <v>0</v>
      </c>
      <c r="AJ166" s="7264">
        <f t="shared" si="96"/>
        <v>0</v>
      </c>
      <c r="AK166" s="7267">
        <f t="shared" si="96"/>
        <v>0</v>
      </c>
      <c r="AL166" s="7266">
        <f t="shared" si="96"/>
        <v>0</v>
      </c>
      <c r="AM166" s="7552">
        <f t="shared" si="96"/>
        <v>0</v>
      </c>
      <c r="AN166" s="7320">
        <f t="shared" si="96"/>
        <v>0</v>
      </c>
      <c r="AO166" s="7320">
        <f t="shared" si="96"/>
        <v>0</v>
      </c>
      <c r="AP166" s="7320">
        <f t="shared" si="96"/>
        <v>0</v>
      </c>
      <c r="AQ166" s="7320">
        <f t="shared" si="96"/>
        <v>0</v>
      </c>
      <c r="AR166" s="7320">
        <f t="shared" si="96"/>
        <v>0</v>
      </c>
      <c r="AS166" s="7320">
        <f t="shared" si="96"/>
        <v>0</v>
      </c>
      <c r="AT166" s="7320">
        <f t="shared" si="96"/>
        <v>0</v>
      </c>
      <c r="AU166" s="7320">
        <f>SUM(AU156:AU165)</f>
        <v>0</v>
      </c>
      <c r="AV166" s="7320">
        <f>SUM(AV156:AV165)</f>
        <v>0</v>
      </c>
      <c r="BV166" s="4652"/>
      <c r="BW166" s="4652"/>
    </row>
    <row r="167" spans="1:130" ht="24" customHeight="1" x14ac:dyDescent="0.2">
      <c r="A167" s="9064" t="s">
        <v>3985</v>
      </c>
      <c r="B167" s="9065"/>
      <c r="C167" s="7506">
        <f t="shared" si="93"/>
        <v>0</v>
      </c>
      <c r="D167" s="7200">
        <f>SUM(F167+H167+J167+L167+N167+P167+R167+T167+V167+X167+Z167+AB167+AD167+AF167+AH167+AJ167+AL167)</f>
        <v>0</v>
      </c>
      <c r="E167" s="7539">
        <f>SUM(G167+I167+K167+M167+O167+Q167+S167+U167+W167+Y167+AA167+AC167+AE167+AG167+AI167+AK167+AM167)</f>
        <v>0</v>
      </c>
      <c r="F167" s="7252"/>
      <c r="G167" s="7214"/>
      <c r="H167" s="7252"/>
      <c r="I167" s="7214"/>
      <c r="J167" s="7252"/>
      <c r="K167" s="7237"/>
      <c r="L167" s="7252"/>
      <c r="M167" s="7237"/>
      <c r="N167" s="7252"/>
      <c r="O167" s="7237"/>
      <c r="P167" s="7252"/>
      <c r="Q167" s="7237"/>
      <c r="R167" s="7252"/>
      <c r="S167" s="7237"/>
      <c r="T167" s="7252"/>
      <c r="U167" s="7237"/>
      <c r="V167" s="7252"/>
      <c r="W167" s="7237"/>
      <c r="X167" s="7252"/>
      <c r="Y167" s="7237"/>
      <c r="Z167" s="7252"/>
      <c r="AA167" s="7237"/>
      <c r="AB167" s="7252"/>
      <c r="AC167" s="7237"/>
      <c r="AD167" s="7252"/>
      <c r="AE167" s="7237"/>
      <c r="AF167" s="7252"/>
      <c r="AG167" s="7237"/>
      <c r="AH167" s="7252"/>
      <c r="AI167" s="7237"/>
      <c r="AJ167" s="7252"/>
      <c r="AK167" s="7237"/>
      <c r="AL167" s="7540"/>
      <c r="AM167" s="7541"/>
      <c r="AN167" s="7214"/>
      <c r="AO167" s="7214"/>
      <c r="AP167" s="7214"/>
      <c r="AQ167" s="7214"/>
      <c r="AR167" s="7214"/>
      <c r="AS167" s="7214"/>
      <c r="AT167" s="7214"/>
      <c r="AU167" s="7214"/>
      <c r="AV167" s="7214"/>
      <c r="BV167" s="4652"/>
      <c r="BW167" s="4652"/>
    </row>
    <row r="168" spans="1:130" ht="24" customHeight="1" x14ac:dyDescent="0.2">
      <c r="A168" s="9066" t="s">
        <v>3889</v>
      </c>
      <c r="B168" s="9067"/>
      <c r="C168" s="7553">
        <f t="shared" si="93"/>
        <v>0</v>
      </c>
      <c r="D168" s="7554">
        <f>SUM(F168+H168+J168+L168+N168+P168+R168+T168+V168+X168+Z168+AB168+AD168+AF168+AH168+AJ168+AL168)</f>
        <v>0</v>
      </c>
      <c r="E168" s="7555">
        <f>SUM(G168+I168+K168+M168+O168+Q168+S168+U168+W168+Y168+AA168+AC168+AE168+AG168+AI168+AK168+AM168)</f>
        <v>0</v>
      </c>
      <c r="F168" s="7323"/>
      <c r="G168" s="7556"/>
      <c r="H168" s="7323"/>
      <c r="I168" s="7556"/>
      <c r="J168" s="7323"/>
      <c r="K168" s="7322"/>
      <c r="L168" s="7323"/>
      <c r="M168" s="7322"/>
      <c r="N168" s="7323"/>
      <c r="O168" s="7322"/>
      <c r="P168" s="7323"/>
      <c r="Q168" s="7322"/>
      <c r="R168" s="7323"/>
      <c r="S168" s="7322"/>
      <c r="T168" s="7323"/>
      <c r="U168" s="7322"/>
      <c r="V168" s="7323"/>
      <c r="W168" s="7322"/>
      <c r="X168" s="7323"/>
      <c r="Y168" s="7322"/>
      <c r="Z168" s="7323"/>
      <c r="AA168" s="7322"/>
      <c r="AB168" s="7323"/>
      <c r="AC168" s="7322"/>
      <c r="AD168" s="7323"/>
      <c r="AE168" s="7322"/>
      <c r="AF168" s="7323"/>
      <c r="AG168" s="7322"/>
      <c r="AH168" s="7323"/>
      <c r="AI168" s="7322"/>
      <c r="AJ168" s="7323"/>
      <c r="AK168" s="7322"/>
      <c r="AL168" s="7557"/>
      <c r="AM168" s="2031"/>
      <c r="AN168" s="7556"/>
      <c r="AO168" s="7556"/>
      <c r="AP168" s="7556"/>
      <c r="AQ168" s="7556"/>
      <c r="AR168" s="7556"/>
      <c r="AS168" s="7556"/>
      <c r="AT168" s="7556"/>
      <c r="AU168" s="7556"/>
      <c r="AV168" s="7556"/>
      <c r="BV168" s="4652"/>
      <c r="BW168" s="4652"/>
    </row>
    <row r="170" spans="1:130" ht="14.25" customHeight="1" x14ac:dyDescent="0.2"/>
    <row r="171" spans="1:130" s="4904" customFormat="1" ht="16.5" hidden="1" customHeight="1" x14ac:dyDescent="0.2">
      <c r="A171" s="4904">
        <f>SUM(C13:C27,E33,B33,B39,E39,C43:C46,C51:C52,C57:C78,B82:I84,B85,D85,F85,H85,B89:D95,B104:F104,B109:B111,B115:E115,B120:B122,B126,C134,B139:B146,B150:C151,C156:E168)</f>
        <v>0</v>
      </c>
      <c r="B171" s="4904">
        <f>SUM(DA8:DZ168)</f>
        <v>0</v>
      </c>
      <c r="BX171" s="4905"/>
      <c r="BY171" s="4905"/>
      <c r="BZ171" s="4905"/>
      <c r="CA171" s="4688"/>
      <c r="CB171" s="4688"/>
      <c r="CC171" s="4688"/>
      <c r="CD171" s="4688"/>
      <c r="CE171" s="4688"/>
      <c r="CF171" s="4688"/>
      <c r="CG171" s="4688"/>
      <c r="CH171" s="4688"/>
      <c r="CI171" s="4688"/>
      <c r="CJ171" s="4688"/>
      <c r="CK171" s="4688"/>
      <c r="CL171" s="4688"/>
      <c r="CM171" s="4688"/>
      <c r="CN171" s="4688"/>
      <c r="CO171" s="4688"/>
      <c r="CP171" s="4688"/>
      <c r="CQ171" s="4688"/>
      <c r="CR171" s="4688"/>
      <c r="CS171" s="4688"/>
      <c r="CT171" s="4688"/>
      <c r="CU171" s="4688"/>
      <c r="CV171" s="4688"/>
      <c r="CW171" s="4688"/>
      <c r="CX171" s="4688"/>
      <c r="CY171" s="4688"/>
      <c r="CZ171" s="4688"/>
      <c r="DA171" s="6142"/>
      <c r="DB171" s="6142"/>
      <c r="DC171" s="6142"/>
      <c r="DD171" s="6142"/>
      <c r="DE171" s="6142"/>
      <c r="DF171" s="6142"/>
      <c r="DG171" s="6142"/>
      <c r="DH171" s="6142"/>
      <c r="DI171" s="6142"/>
      <c r="DJ171" s="6142"/>
      <c r="DK171" s="6142"/>
      <c r="DL171" s="6142"/>
      <c r="DM171" s="6142"/>
      <c r="DN171" s="6142"/>
      <c r="DO171" s="6142"/>
      <c r="DP171" s="6142"/>
      <c r="DQ171" s="6142"/>
      <c r="DR171" s="6142"/>
      <c r="DS171" s="6142"/>
      <c r="DT171" s="6142"/>
      <c r="DU171" s="6142"/>
      <c r="DV171" s="6142"/>
      <c r="DW171" s="6142"/>
      <c r="DX171" s="6142"/>
      <c r="DY171" s="6142"/>
      <c r="DZ171" s="6142"/>
    </row>
    <row r="172" spans="1:130" ht="16.5" customHeight="1" x14ac:dyDescent="0.2"/>
    <row r="173" spans="1:130" ht="15.6" customHeight="1" x14ac:dyDescent="0.2"/>
  </sheetData>
  <sheetProtection algorithmName="SHA-512" hashValue="t+ho86iaGTZhK2PLW3++flbOVuXICZI4+O30D6ESkuAURwwVcW/EBFxtyaO13KTn5zBfUwEsgEoAS1Q11UU2KQ==" saltValue="1f0fS4N38/4RGG3CWJbjrw==" spinCount="100000" sheet="1" objects="1" scenarios="1"/>
  <mergeCells count="228">
    <mergeCell ref="A156:A166"/>
    <mergeCell ref="A167:B167"/>
    <mergeCell ref="A168:B168"/>
    <mergeCell ref="AS153:AS155"/>
    <mergeCell ref="AT153:AT155"/>
    <mergeCell ref="AU153:AV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153:A155"/>
    <mergeCell ref="AU11:AU12"/>
    <mergeCell ref="AD49:AE49"/>
    <mergeCell ref="AB29:AC29"/>
    <mergeCell ref="AD29:AE29"/>
    <mergeCell ref="L29:M29"/>
    <mergeCell ref="AJ49:AK49"/>
    <mergeCell ref="AR128:AR130"/>
    <mergeCell ref="L129:M129"/>
    <mergeCell ref="N129:O129"/>
    <mergeCell ref="P129:Q129"/>
    <mergeCell ref="AB129:AC129"/>
    <mergeCell ref="AN128:AN130"/>
    <mergeCell ref="AO128:AO130"/>
    <mergeCell ref="AB49:AC49"/>
    <mergeCell ref="L49:M49"/>
    <mergeCell ref="N49:O49"/>
    <mergeCell ref="X49:Y49"/>
    <mergeCell ref="Z49:AA49"/>
    <mergeCell ref="AT10:AT12"/>
    <mergeCell ref="AO48:AO50"/>
    <mergeCell ref="AP48:AP50"/>
    <mergeCell ref="V29:W29"/>
    <mergeCell ref="AO54:AO56"/>
    <mergeCell ref="T129:U129"/>
    <mergeCell ref="B124:B125"/>
    <mergeCell ref="G124:I124"/>
    <mergeCell ref="C124:D124"/>
    <mergeCell ref="O106:O108"/>
    <mergeCell ref="P106:P108"/>
    <mergeCell ref="D87:D88"/>
    <mergeCell ref="AQ153:AQ155"/>
    <mergeCell ref="AR153:AR155"/>
    <mergeCell ref="B153:B155"/>
    <mergeCell ref="C153:E154"/>
    <mergeCell ref="F153:AM153"/>
    <mergeCell ref="AN153:AN155"/>
    <mergeCell ref="AO153:AO155"/>
    <mergeCell ref="AP153:AP155"/>
    <mergeCell ref="F129:G129"/>
    <mergeCell ref="H129:I129"/>
    <mergeCell ref="J129:K129"/>
    <mergeCell ref="A152:E152"/>
    <mergeCell ref="AP128:AP130"/>
    <mergeCell ref="C137:F137"/>
    <mergeCell ref="AJ129:AK129"/>
    <mergeCell ref="AL129:AM129"/>
    <mergeCell ref="F128:AM128"/>
    <mergeCell ref="R129:S129"/>
    <mergeCell ref="AH129:AI129"/>
    <mergeCell ref="AD129:AE129"/>
    <mergeCell ref="AV11:AV12"/>
    <mergeCell ref="AU10:AV10"/>
    <mergeCell ref="AQ128:AQ130"/>
    <mergeCell ref="A136:A138"/>
    <mergeCell ref="B136:F136"/>
    <mergeCell ref="H136:I137"/>
    <mergeCell ref="B137:B138"/>
    <mergeCell ref="G137:G138"/>
    <mergeCell ref="AS10:AS12"/>
    <mergeCell ref="C29:D29"/>
    <mergeCell ref="B29:B30"/>
    <mergeCell ref="AO10:AO12"/>
    <mergeCell ref="A97:A98"/>
    <mergeCell ref="E97:F97"/>
    <mergeCell ref="G107:H107"/>
    <mergeCell ref="I107:J107"/>
    <mergeCell ref="K107:L107"/>
    <mergeCell ref="M107:N107"/>
    <mergeCell ref="AP29:AP30"/>
    <mergeCell ref="AB55:AC55"/>
    <mergeCell ref="AF55:AG55"/>
    <mergeCell ref="B35:B36"/>
    <mergeCell ref="AQ29:AQ30"/>
    <mergeCell ref="E113:E114"/>
    <mergeCell ref="AN48:AN50"/>
    <mergeCell ref="P49:Q49"/>
    <mergeCell ref="R49:S49"/>
    <mergeCell ref="T49:U49"/>
    <mergeCell ref="AD55:AE55"/>
    <mergeCell ref="AF49:AG49"/>
    <mergeCell ref="T55:U55"/>
    <mergeCell ref="V55:W55"/>
    <mergeCell ref="A53:M53"/>
    <mergeCell ref="H49:I49"/>
    <mergeCell ref="V49:W49"/>
    <mergeCell ref="F49:G49"/>
    <mergeCell ref="AJ55:AK55"/>
    <mergeCell ref="N55:O55"/>
    <mergeCell ref="P55:Q55"/>
    <mergeCell ref="A80:A81"/>
    <mergeCell ref="AJ29:AK29"/>
    <mergeCell ref="AN54:AN56"/>
    <mergeCell ref="B87:B88"/>
    <mergeCell ref="F54:AM54"/>
    <mergeCell ref="A71:A72"/>
    <mergeCell ref="E35:G35"/>
    <mergeCell ref="A87:A88"/>
    <mergeCell ref="A48:B50"/>
    <mergeCell ref="C48:E49"/>
    <mergeCell ref="A35:A36"/>
    <mergeCell ref="B80:C80"/>
    <mergeCell ref="A106:A108"/>
    <mergeCell ref="B106:D107"/>
    <mergeCell ref="E106:M106"/>
    <mergeCell ref="E107:F107"/>
    <mergeCell ref="C41:C42"/>
    <mergeCell ref="A43:A44"/>
    <mergeCell ref="A57:A62"/>
    <mergeCell ref="A63:A64"/>
    <mergeCell ref="A65:A68"/>
    <mergeCell ref="A69:A70"/>
    <mergeCell ref="A54:B56"/>
    <mergeCell ref="D80:E80"/>
    <mergeCell ref="C87:C88"/>
    <mergeCell ref="B97:B98"/>
    <mergeCell ref="C97:C98"/>
    <mergeCell ref="J49:K49"/>
    <mergeCell ref="C128:E129"/>
    <mergeCell ref="A6:W6"/>
    <mergeCell ref="A10:A12"/>
    <mergeCell ref="B10:B12"/>
    <mergeCell ref="C10:E11"/>
    <mergeCell ref="F10:AM10"/>
    <mergeCell ref="R11:S11"/>
    <mergeCell ref="T11:U11"/>
    <mergeCell ref="A13:A23"/>
    <mergeCell ref="A26:A27"/>
    <mergeCell ref="AD11:AE11"/>
    <mergeCell ref="AF11:AG11"/>
    <mergeCell ref="AH11:AI11"/>
    <mergeCell ref="AB11:AC11"/>
    <mergeCell ref="AL11:AM11"/>
    <mergeCell ref="AJ11:AK11"/>
    <mergeCell ref="A24:B24"/>
    <mergeCell ref="A124:A125"/>
    <mergeCell ref="E124:F124"/>
    <mergeCell ref="V129:W129"/>
    <mergeCell ref="X129:Y129"/>
    <mergeCell ref="Z129:AA129"/>
    <mergeCell ref="H29:I29"/>
    <mergeCell ref="A73:A78"/>
    <mergeCell ref="A29:A30"/>
    <mergeCell ref="H35:M35"/>
    <mergeCell ref="F48:AM48"/>
    <mergeCell ref="B41:B42"/>
    <mergeCell ref="I118:J118"/>
    <mergeCell ref="AF129:AG129"/>
    <mergeCell ref="AQ10:AQ12"/>
    <mergeCell ref="AR10:AR12"/>
    <mergeCell ref="F11:G11"/>
    <mergeCell ref="H11:I11"/>
    <mergeCell ref="J11:K11"/>
    <mergeCell ref="L11:M11"/>
    <mergeCell ref="N11:O11"/>
    <mergeCell ref="P11:Q11"/>
    <mergeCell ref="AN10:AN12"/>
    <mergeCell ref="V11:W11"/>
    <mergeCell ref="X11:Y11"/>
    <mergeCell ref="Z11:AA11"/>
    <mergeCell ref="AP10:AP12"/>
    <mergeCell ref="D97:D98"/>
    <mergeCell ref="AF29:AG29"/>
    <mergeCell ref="AL49:AM49"/>
    <mergeCell ref="E29:G29"/>
    <mergeCell ref="B113:D113"/>
    <mergeCell ref="X29:Y29"/>
    <mergeCell ref="Z29:AA29"/>
    <mergeCell ref="C35:D35"/>
    <mergeCell ref="AH29:AI29"/>
    <mergeCell ref="X55:Y55"/>
    <mergeCell ref="Z55:AA55"/>
    <mergeCell ref="R55:S55"/>
    <mergeCell ref="AL55:AM55"/>
    <mergeCell ref="F55:G55"/>
    <mergeCell ref="H55:I55"/>
    <mergeCell ref="AH55:AI55"/>
    <mergeCell ref="J55:K55"/>
    <mergeCell ref="L55:M55"/>
    <mergeCell ref="C54:E55"/>
    <mergeCell ref="AL29:AM29"/>
    <mergeCell ref="AT29:AT30"/>
    <mergeCell ref="AU29:AU30"/>
    <mergeCell ref="F80:G80"/>
    <mergeCell ref="H80:I80"/>
    <mergeCell ref="A131:A134"/>
    <mergeCell ref="A41:A42"/>
    <mergeCell ref="A113:A114"/>
    <mergeCell ref="AR29:AR30"/>
    <mergeCell ref="AS29:AS30"/>
    <mergeCell ref="P29:Q29"/>
    <mergeCell ref="R29:S29"/>
    <mergeCell ref="T29:U29"/>
    <mergeCell ref="A128:A130"/>
    <mergeCell ref="B128:B130"/>
    <mergeCell ref="AH49:AI49"/>
    <mergeCell ref="A117:A119"/>
    <mergeCell ref="B117:D118"/>
    <mergeCell ref="E117:J117"/>
    <mergeCell ref="E118:F118"/>
    <mergeCell ref="G118:H118"/>
    <mergeCell ref="J29:K29"/>
    <mergeCell ref="N29:O29"/>
    <mergeCell ref="A45:A46"/>
    <mergeCell ref="AN29:AO29"/>
  </mergeCells>
  <dataValidations count="2">
    <dataValidation type="whole" allowBlank="1" showInputMessage="1" showErrorMessage="1" sqref="C153:E168 AQ153:AR155 B157 F153:AO155 AP153 A153:A168 F152:AS152 B160:B168 B153:B155" xr:uid="{2D0C20B2-93CD-4363-811D-766335AEC246}">
      <formula1>0</formula1>
      <formula2>1E+30</formula2>
    </dataValidation>
    <dataValidation type="whole" operator="greaterThanOrEqual" allowBlank="1" showInputMessage="1" showErrorMessage="1" sqref="E31:G32 E37:E38 F166:AV166 F51:K52 G57:G78 F131:AR133 F24:AV27 C31:D32 H31:AU32 C37:D38 F37:M38 C43:C46 L51:AP52 H57:AO78 C126:I126 F23:AV23 F13:AV22 B82:I85 B89:D95 B99:F103 E109:P111 B115:E115 E120:J122 C139:I146 B150:C151 F156:AV165 F167:AV168" xr:uid="{91194D25-F34A-4BA7-875C-6433D28D25E5}">
      <formula1>0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DZ262"/>
  <sheetViews>
    <sheetView zoomScaleNormal="100" workbookViewId="0">
      <selection activeCell="A6" sqref="A6:AD6"/>
    </sheetView>
  </sheetViews>
  <sheetFormatPr baseColWidth="10" defaultColWidth="11.42578125" defaultRowHeight="15" x14ac:dyDescent="0.25"/>
  <cols>
    <col min="1" max="1" width="65" style="165" customWidth="1"/>
    <col min="2" max="2" width="20.85546875" style="165" customWidth="1"/>
    <col min="3" max="3" width="14.140625" style="165" customWidth="1"/>
    <col min="4" max="4" width="12.85546875" style="165" customWidth="1"/>
    <col min="5" max="5" width="14.140625" style="165" customWidth="1"/>
    <col min="6" max="6" width="13.85546875" style="165" customWidth="1"/>
    <col min="7" max="7" width="12.42578125" style="165" customWidth="1"/>
    <col min="8" max="9" width="13.7109375" style="165" customWidth="1"/>
    <col min="10" max="10" width="11.42578125" style="165"/>
    <col min="11" max="11" width="13.42578125" style="165" customWidth="1"/>
    <col min="12" max="12" width="14.28515625" style="165" customWidth="1"/>
    <col min="13" max="13" width="12.28515625" style="165" customWidth="1"/>
    <col min="14" max="14" width="12.140625" style="165" customWidth="1"/>
    <col min="15" max="18" width="11.42578125" style="165"/>
    <col min="19" max="20" width="11.42578125" style="165" customWidth="1"/>
    <col min="21" max="23" width="11.42578125" style="165"/>
    <col min="24" max="24" width="18.42578125" style="165" customWidth="1"/>
    <col min="25" max="25" width="14" style="165" customWidth="1"/>
    <col min="26" max="26" width="11.28515625" style="165" customWidth="1"/>
    <col min="27" max="27" width="12.28515625" style="165" customWidth="1"/>
    <col min="28" max="28" width="14.42578125" style="165" customWidth="1"/>
    <col min="29" max="29" width="13.7109375" style="165" customWidth="1"/>
    <col min="30" max="35" width="11.42578125" style="165"/>
    <col min="36" max="36" width="14.28515625" style="165" customWidth="1"/>
    <col min="37" max="37" width="11.42578125" style="165" customWidth="1"/>
    <col min="38" max="40" width="11.42578125" style="165"/>
    <col min="41" max="41" width="13.42578125" style="165" customWidth="1"/>
    <col min="42" max="42" width="13.140625" style="165" customWidth="1"/>
    <col min="43" max="44" width="11.42578125" style="165"/>
    <col min="45" max="45" width="13.42578125" style="165" customWidth="1"/>
    <col min="46" max="46" width="13.85546875" style="165" customWidth="1"/>
    <col min="47" max="47" width="14.42578125" style="165" customWidth="1"/>
    <col min="48" max="48" width="11.42578125" style="165"/>
    <col min="49" max="49" width="14" style="165" customWidth="1"/>
    <col min="50" max="50" width="11.42578125" style="165"/>
    <col min="51" max="51" width="13.42578125" style="165" customWidth="1"/>
    <col min="52" max="73" width="11.42578125" style="165"/>
    <col min="74" max="75" width="11.42578125" style="165" customWidth="1"/>
    <col min="76" max="77" width="11.42578125" style="1452" customWidth="1"/>
    <col min="78" max="78" width="11.140625" style="1452" customWidth="1"/>
    <col min="79" max="84" width="11.140625" style="1451" hidden="1" customWidth="1"/>
    <col min="85" max="96" width="11.42578125" style="3309" hidden="1" customWidth="1"/>
    <col min="97" max="104" width="11.140625" style="1451" hidden="1" customWidth="1"/>
    <col min="105" max="116" width="11.140625" style="3308" hidden="1" customWidth="1"/>
    <col min="117" max="130" width="11.42578125" style="3311" hidden="1" customWidth="1"/>
    <col min="131" max="16384" width="11.42578125" style="165"/>
  </cols>
  <sheetData>
    <row r="1" spans="1:116" ht="16.350000000000001" customHeight="1" x14ac:dyDescent="0.25">
      <c r="A1" s="150" t="s">
        <v>206</v>
      </c>
      <c r="CS1" s="1457"/>
      <c r="CT1" s="1457"/>
      <c r="CU1" s="1457"/>
      <c r="CV1" s="1457"/>
      <c r="CW1" s="1457"/>
      <c r="CX1" s="1457"/>
      <c r="CY1" s="1457"/>
      <c r="CZ1" s="1457"/>
      <c r="DF1" s="3311"/>
      <c r="DG1" s="3311"/>
      <c r="DH1" s="3311"/>
      <c r="DI1" s="3311"/>
      <c r="DJ1" s="3311"/>
      <c r="DK1" s="3311"/>
      <c r="DL1" s="3311"/>
    </row>
    <row r="2" spans="1:116" ht="16.350000000000001" customHeight="1" x14ac:dyDescent="0.25">
      <c r="A2" s="150" t="str">
        <f>CONCATENATE("COMUNA: ",NOMBRE!B2," - ","( ",NOMBRE!C2,NOMBRE!D2,NOMBRE!E2,NOMBRE!F2,NOMBRE!G2," )")</f>
        <v>COMUNA:  - (  )</v>
      </c>
      <c r="CS2" s="1457"/>
      <c r="CT2" s="1457"/>
      <c r="CU2" s="1457"/>
      <c r="CV2" s="1457"/>
      <c r="CW2" s="1457"/>
      <c r="CX2" s="1457"/>
      <c r="CY2" s="1457"/>
      <c r="CZ2" s="1457"/>
      <c r="DF2" s="3311"/>
      <c r="DG2" s="3311"/>
      <c r="DH2" s="3311"/>
      <c r="DI2" s="3311"/>
      <c r="DJ2" s="3311"/>
      <c r="DK2" s="3311"/>
      <c r="DL2" s="3311"/>
    </row>
    <row r="3" spans="1:116" ht="16.350000000000001" customHeight="1" x14ac:dyDescent="0.25">
      <c r="A3" s="150" t="str">
        <f>CONCATENATE("ESTABLECIMIENTO/ESTRATEGIA: ",NOMBRE!B3," - ","( ",NOMBRE!C3,NOMBRE!D3,NOMBRE!E3,NOMBRE!F3,NOMBRE!G3,NOMBRE!H3," )")</f>
        <v>ESTABLECIMIENTO/ESTRATEGIA:  - (  )</v>
      </c>
      <c r="CS3" s="1457"/>
      <c r="CT3" s="1457"/>
      <c r="CU3" s="1457"/>
      <c r="CV3" s="1457"/>
      <c r="CW3" s="1457"/>
      <c r="CX3" s="1457"/>
      <c r="CY3" s="1457"/>
      <c r="CZ3" s="1457"/>
      <c r="DF3" s="3311"/>
      <c r="DG3" s="3311"/>
      <c r="DH3" s="3311"/>
      <c r="DI3" s="3311"/>
      <c r="DJ3" s="3311"/>
      <c r="DK3" s="3311"/>
      <c r="DL3" s="3311"/>
    </row>
    <row r="4" spans="1:116" ht="16.350000000000001" customHeight="1" x14ac:dyDescent="0.25">
      <c r="A4" s="150" t="str">
        <f>CONCATENATE("MES: ",NOMBRE!B6," - ","( ",NOMBRE!C6,NOMBRE!D6," )")</f>
        <v>MES:  - (  )</v>
      </c>
      <c r="CS4" s="1457"/>
      <c r="CT4" s="1457"/>
      <c r="CU4" s="1457"/>
      <c r="CV4" s="1457"/>
      <c r="CW4" s="1457"/>
      <c r="CX4" s="1457"/>
      <c r="CY4" s="1457"/>
      <c r="CZ4" s="1457"/>
      <c r="DF4" s="3311"/>
      <c r="DG4" s="3311"/>
      <c r="DH4" s="3311"/>
      <c r="DI4" s="3311"/>
      <c r="DJ4" s="3311"/>
      <c r="DK4" s="3311"/>
      <c r="DL4" s="3311"/>
    </row>
    <row r="5" spans="1:116" ht="16.350000000000001" customHeight="1" x14ac:dyDescent="0.25">
      <c r="A5" s="150" t="str">
        <f>CONCATENATE("AÑO: ",NOMBRE!B7)</f>
        <v>AÑO: 2023</v>
      </c>
      <c r="AP5" s="9119"/>
      <c r="AQ5" s="9121"/>
      <c r="AR5" s="9121"/>
      <c r="CS5" s="1457"/>
      <c r="CT5" s="1457"/>
      <c r="CU5" s="1457"/>
      <c r="CV5" s="1457"/>
      <c r="CW5" s="1457"/>
      <c r="CX5" s="1457"/>
      <c r="CY5" s="1457"/>
      <c r="CZ5" s="1457"/>
      <c r="DF5" s="3311"/>
      <c r="DG5" s="3311"/>
      <c r="DH5" s="3311"/>
      <c r="DI5" s="3311"/>
      <c r="DJ5" s="3311"/>
      <c r="DK5" s="3311"/>
      <c r="DL5" s="3311"/>
    </row>
    <row r="6" spans="1:116" ht="16.350000000000001" customHeight="1" x14ac:dyDescent="0.25">
      <c r="A6" s="9123" t="s">
        <v>88</v>
      </c>
      <c r="B6" s="9123"/>
      <c r="C6" s="9123"/>
      <c r="D6" s="9123"/>
      <c r="E6" s="9123"/>
      <c r="F6" s="9123"/>
      <c r="G6" s="9123"/>
      <c r="H6" s="9123"/>
      <c r="I6" s="9123"/>
      <c r="J6" s="9123"/>
      <c r="K6" s="9123"/>
      <c r="L6" s="9123"/>
      <c r="M6" s="9123"/>
      <c r="N6" s="9123"/>
      <c r="O6" s="9123"/>
      <c r="P6" s="9123"/>
      <c r="Q6" s="9123"/>
      <c r="R6" s="9123"/>
      <c r="S6" s="9123"/>
      <c r="T6" s="9123"/>
      <c r="U6" s="9123"/>
      <c r="V6" s="9123"/>
      <c r="W6" s="9123"/>
      <c r="X6" s="9123"/>
      <c r="Y6" s="9123"/>
      <c r="Z6" s="9123"/>
      <c r="AA6" s="9123"/>
      <c r="AB6" s="9123"/>
      <c r="AC6" s="9123"/>
      <c r="AD6" s="9123"/>
      <c r="AE6" s="140"/>
      <c r="AF6" s="140"/>
      <c r="AG6" s="140"/>
      <c r="AH6" s="169"/>
      <c r="AI6" s="140"/>
      <c r="AJ6" s="140"/>
      <c r="AK6" s="169"/>
      <c r="AL6" s="140"/>
      <c r="AM6" s="140"/>
      <c r="AN6" s="218"/>
      <c r="AP6" s="9119"/>
      <c r="AQ6" s="9121"/>
      <c r="AR6" s="9121"/>
      <c r="CS6" s="1457"/>
      <c r="CT6" s="1457"/>
      <c r="CU6" s="1457"/>
      <c r="CV6" s="1457"/>
      <c r="CW6" s="1457"/>
      <c r="CX6" s="1457"/>
      <c r="CY6" s="1457"/>
      <c r="CZ6" s="1457"/>
      <c r="DF6" s="3311"/>
      <c r="DG6" s="3311"/>
      <c r="DH6" s="3311"/>
      <c r="DI6" s="3311"/>
      <c r="DJ6" s="3311"/>
      <c r="DK6" s="3311"/>
      <c r="DL6" s="3311"/>
    </row>
    <row r="7" spans="1:116" ht="31.35" customHeight="1" x14ac:dyDescent="0.25">
      <c r="A7" s="133" t="s">
        <v>2604</v>
      </c>
      <c r="B7" s="72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185"/>
      <c r="AI7" s="140"/>
      <c r="AJ7" s="140"/>
      <c r="AK7" s="169"/>
      <c r="AL7" s="140"/>
      <c r="AM7" s="140"/>
      <c r="AN7" s="218"/>
      <c r="AP7" s="9120"/>
      <c r="AQ7" s="9122"/>
      <c r="AR7" s="9122"/>
      <c r="AS7" s="9117"/>
      <c r="AT7" s="9118"/>
      <c r="AU7" s="9118"/>
      <c r="CS7" s="1457"/>
      <c r="CT7" s="1457"/>
      <c r="CU7" s="1457"/>
      <c r="CV7" s="1457"/>
      <c r="CW7" s="1457"/>
      <c r="CX7" s="1457"/>
      <c r="CY7" s="1457"/>
      <c r="CZ7" s="1457"/>
      <c r="DF7" s="3311"/>
      <c r="DG7" s="3311"/>
      <c r="DH7" s="3311"/>
      <c r="DI7" s="3311"/>
      <c r="DJ7" s="3311"/>
      <c r="DK7" s="3311"/>
      <c r="DL7" s="3311"/>
    </row>
    <row r="8" spans="1:116" ht="16.350000000000001" customHeight="1" x14ac:dyDescent="0.25">
      <c r="A8" s="9124" t="s">
        <v>89</v>
      </c>
      <c r="B8" s="9148" t="s">
        <v>4021</v>
      </c>
      <c r="C8" s="9149"/>
      <c r="D8" s="9149"/>
      <c r="E8" s="9149"/>
      <c r="F8" s="9149"/>
      <c r="G8" s="9149"/>
      <c r="H8" s="9149"/>
      <c r="I8" s="9149"/>
      <c r="J8" s="9149"/>
      <c r="K8" s="9149"/>
      <c r="L8" s="9149"/>
      <c r="M8" s="9149"/>
      <c r="N8" s="9149"/>
      <c r="O8" s="9149"/>
      <c r="P8" s="9149"/>
      <c r="Q8" s="9149"/>
      <c r="R8" s="9149"/>
      <c r="S8" s="9149"/>
      <c r="T8" s="9149"/>
      <c r="U8" s="9149"/>
      <c r="V8" s="9150"/>
      <c r="W8" s="9124" t="s">
        <v>90</v>
      </c>
      <c r="X8" s="9126"/>
      <c r="Y8" s="9126"/>
      <c r="Z8" s="9126"/>
      <c r="AA8" s="9126"/>
      <c r="AB8" s="9126"/>
      <c r="AC8" s="9126"/>
      <c r="AD8" s="9076"/>
      <c r="AE8" s="9138" t="s">
        <v>2643</v>
      </c>
      <c r="AF8" s="9138"/>
      <c r="AG8" s="290"/>
      <c r="AH8" s="290"/>
      <c r="AI8" s="290"/>
      <c r="AJ8" s="290"/>
      <c r="AK8" s="290"/>
      <c r="AL8" s="290"/>
      <c r="AM8" s="290"/>
      <c r="AN8" s="290"/>
      <c r="AO8" s="290"/>
      <c r="AP8" s="290"/>
      <c r="AQ8" s="290"/>
      <c r="AR8" s="290"/>
      <c r="AS8" s="290"/>
      <c r="BE8" s="1452"/>
      <c r="BF8" s="1452"/>
      <c r="BX8" s="165"/>
      <c r="BY8" s="165"/>
      <c r="BZ8" s="165"/>
      <c r="CS8" s="1457"/>
      <c r="CT8" s="1457"/>
      <c r="CU8" s="1457"/>
      <c r="CV8" s="1457"/>
      <c r="CW8" s="1457"/>
      <c r="CX8" s="1457"/>
      <c r="CY8" s="1457"/>
      <c r="CZ8" s="1457"/>
      <c r="DF8" s="3311"/>
      <c r="DG8" s="3311"/>
      <c r="DH8" s="3311"/>
      <c r="DI8" s="3311"/>
      <c r="DJ8" s="3311"/>
      <c r="DK8" s="3311"/>
      <c r="DL8" s="3311"/>
    </row>
    <row r="9" spans="1:116" ht="37.35" customHeight="1" x14ac:dyDescent="0.25">
      <c r="A9" s="8191"/>
      <c r="B9" s="8446" t="s">
        <v>86</v>
      </c>
      <c r="C9" s="8481" t="s">
        <v>84</v>
      </c>
      <c r="D9" s="9098"/>
      <c r="E9" s="9098"/>
      <c r="F9" s="9098"/>
      <c r="G9" s="9098"/>
      <c r="H9" s="9098"/>
      <c r="I9" s="9098"/>
      <c r="J9" s="9098"/>
      <c r="K9" s="9098"/>
      <c r="L9" s="9098"/>
      <c r="M9" s="9098"/>
      <c r="N9" s="9098"/>
      <c r="O9" s="9098"/>
      <c r="P9" s="9098"/>
      <c r="Q9" s="9098"/>
      <c r="R9" s="9098"/>
      <c r="S9" s="9099"/>
      <c r="T9" s="9147" t="s">
        <v>358</v>
      </c>
      <c r="U9" s="8137" t="s">
        <v>43</v>
      </c>
      <c r="V9" s="8139"/>
      <c r="W9" s="8145" t="s">
        <v>91</v>
      </c>
      <c r="X9" s="8145"/>
      <c r="Y9" s="8145"/>
      <c r="Z9" s="8139"/>
      <c r="AA9" s="8137" t="s">
        <v>92</v>
      </c>
      <c r="AB9" s="8145"/>
      <c r="AC9" s="8145"/>
      <c r="AD9" s="8139"/>
      <c r="AE9" s="9138"/>
      <c r="AF9" s="9138"/>
      <c r="AG9" s="290"/>
      <c r="AH9" s="290"/>
      <c r="AI9" s="290"/>
      <c r="AJ9" s="290"/>
      <c r="AK9" s="290"/>
      <c r="AL9" s="290"/>
      <c r="AM9" s="290"/>
      <c r="AN9" s="290"/>
      <c r="AO9" s="290"/>
      <c r="AP9" s="290"/>
      <c r="AQ9" s="290"/>
      <c r="AR9" s="290"/>
      <c r="AS9" s="290"/>
      <c r="BE9" s="1452"/>
      <c r="BF9" s="1452"/>
      <c r="BX9" s="165"/>
      <c r="BY9" s="165"/>
      <c r="BZ9" s="165"/>
      <c r="CS9" s="1457"/>
      <c r="CT9" s="1457"/>
      <c r="CU9" s="1457"/>
      <c r="CV9" s="1457"/>
      <c r="CW9" s="1457"/>
      <c r="CX9" s="1457"/>
      <c r="CY9" s="1457"/>
      <c r="CZ9" s="1457"/>
      <c r="DF9" s="3311"/>
      <c r="DG9" s="3311"/>
      <c r="DH9" s="3311"/>
      <c r="DI9" s="3311"/>
      <c r="DJ9" s="3311"/>
      <c r="DK9" s="3311"/>
      <c r="DL9" s="3311"/>
    </row>
    <row r="10" spans="1:116" ht="64.349999999999994" customHeight="1" x14ac:dyDescent="0.25">
      <c r="A10" s="9125"/>
      <c r="B10" s="8447"/>
      <c r="C10" s="3243" t="s">
        <v>397</v>
      </c>
      <c r="D10" s="3244" t="s">
        <v>54</v>
      </c>
      <c r="E10" s="3238" t="s">
        <v>79</v>
      </c>
      <c r="F10" s="3238" t="s">
        <v>80</v>
      </c>
      <c r="G10" s="3238" t="s">
        <v>81</v>
      </c>
      <c r="H10" s="3239" t="s">
        <v>82</v>
      </c>
      <c r="I10" s="3239" t="s">
        <v>83</v>
      </c>
      <c r="J10" s="3239" t="s">
        <v>398</v>
      </c>
      <c r="K10" s="3239" t="s">
        <v>124</v>
      </c>
      <c r="L10" s="3239" t="s">
        <v>125</v>
      </c>
      <c r="M10" s="3239" t="s">
        <v>126</v>
      </c>
      <c r="N10" s="3239" t="s">
        <v>127</v>
      </c>
      <c r="O10" s="3239" t="s">
        <v>128</v>
      </c>
      <c r="P10" s="3239" t="s">
        <v>129</v>
      </c>
      <c r="Q10" s="3239" t="s">
        <v>130</v>
      </c>
      <c r="R10" s="3239" t="s">
        <v>131</v>
      </c>
      <c r="S10" s="3245" t="s">
        <v>1403</v>
      </c>
      <c r="T10" s="8527"/>
      <c r="U10" s="3236" t="s">
        <v>17</v>
      </c>
      <c r="V10" s="3245" t="s">
        <v>18</v>
      </c>
      <c r="W10" s="3246" t="s">
        <v>44</v>
      </c>
      <c r="X10" s="3247" t="s">
        <v>95</v>
      </c>
      <c r="Y10" s="3238" t="s">
        <v>3456</v>
      </c>
      <c r="Z10" s="3245" t="s">
        <v>3455</v>
      </c>
      <c r="AA10" s="3247" t="s">
        <v>44</v>
      </c>
      <c r="AB10" s="3247" t="s">
        <v>95</v>
      </c>
      <c r="AC10" s="3238" t="s">
        <v>3456</v>
      </c>
      <c r="AD10" s="3245" t="s">
        <v>1640</v>
      </c>
      <c r="AE10" s="3269" t="s">
        <v>93</v>
      </c>
      <c r="AF10" s="3491" t="s">
        <v>94</v>
      </c>
      <c r="AG10" s="290"/>
      <c r="AH10" s="290"/>
      <c r="AI10" s="290"/>
      <c r="AJ10" s="290"/>
      <c r="AK10" s="290"/>
      <c r="AL10" s="290"/>
      <c r="AM10" s="290"/>
      <c r="AN10" s="290"/>
      <c r="AO10" s="290"/>
      <c r="AP10" s="290"/>
      <c r="AQ10" s="290"/>
      <c r="AR10" s="290"/>
      <c r="AS10" s="290"/>
      <c r="BE10" s="1452"/>
      <c r="BF10" s="1452"/>
      <c r="BX10" s="165"/>
      <c r="BY10" s="165"/>
      <c r="BZ10" s="165"/>
      <c r="CS10" s="1457"/>
      <c r="CT10" s="1457"/>
      <c r="CU10" s="1457"/>
      <c r="CV10" s="1457"/>
      <c r="CW10" s="1457"/>
      <c r="CX10" s="1457"/>
      <c r="CY10" s="1457"/>
      <c r="CZ10" s="1457"/>
      <c r="DF10" s="3311"/>
      <c r="DG10" s="3311"/>
      <c r="DH10" s="3311"/>
      <c r="DI10" s="3311"/>
      <c r="DJ10" s="3311"/>
      <c r="DK10" s="3311"/>
      <c r="DL10" s="3311"/>
    </row>
    <row r="11" spans="1:116" ht="16.350000000000001" customHeight="1" x14ac:dyDescent="0.25">
      <c r="A11" s="3241" t="s">
        <v>111</v>
      </c>
      <c r="B11" s="2779">
        <f>SUM(C11:S11)</f>
        <v>0</v>
      </c>
      <c r="C11" s="3339"/>
      <c r="D11" s="3493"/>
      <c r="E11" s="3493"/>
      <c r="F11" s="3493"/>
      <c r="G11" s="3494"/>
      <c r="H11" s="3494"/>
      <c r="I11" s="3494"/>
      <c r="J11" s="3494"/>
      <c r="K11" s="3494"/>
      <c r="L11" s="3494"/>
      <c r="M11" s="3494"/>
      <c r="N11" s="3494"/>
      <c r="O11" s="3494"/>
      <c r="P11" s="3494"/>
      <c r="Q11" s="3494"/>
      <c r="R11" s="3494"/>
      <c r="S11" s="3495"/>
      <c r="T11" s="2877"/>
      <c r="U11" s="3225"/>
      <c r="V11" s="3059"/>
      <c r="W11" s="3241">
        <f>SUM(X11+Y11+Z11)</f>
        <v>0</v>
      </c>
      <c r="X11" s="3225"/>
      <c r="Y11" s="3060"/>
      <c r="Z11" s="3059"/>
      <c r="AA11" s="3242">
        <f>SUM(AB11+AC11+AD11)</f>
        <v>0</v>
      </c>
      <c r="AB11" s="3225"/>
      <c r="AC11" s="3060"/>
      <c r="AD11" s="3059"/>
      <c r="AE11" s="3322"/>
      <c r="AF11" s="2074"/>
      <c r="AG11" s="1381" t="str">
        <f>CA11&amp;CB11&amp;CC11&amp;CD11&amp;CE11</f>
        <v/>
      </c>
      <c r="AH11" s="802"/>
      <c r="AI11" s="802"/>
      <c r="AJ11" s="802"/>
      <c r="AK11" s="802"/>
      <c r="AL11" s="802"/>
      <c r="AM11" s="802"/>
      <c r="AN11" s="802"/>
      <c r="AO11" s="290"/>
      <c r="AP11" s="290"/>
      <c r="AQ11" s="290"/>
      <c r="AR11" s="290"/>
      <c r="AS11" s="290"/>
      <c r="BE11" s="1452"/>
      <c r="BF11" s="1452"/>
      <c r="BX11" s="165"/>
      <c r="BY11" s="165"/>
      <c r="BZ11" s="165"/>
      <c r="CA11" s="1548" t="str">
        <f t="shared" ref="CA11:CA42" si="0">IF(DA11=1,"* El número de consultas según sexo NO DEBE ser diferente al Total. ","")</f>
        <v/>
      </c>
      <c r="CB11" s="1548" t="str">
        <f t="shared" ref="CB11:CB42" si="1">IF(DB11=1,"* No olvide digitar la columna Beneficiarios (Digite CEROS si no tiene). ","")</f>
        <v/>
      </c>
      <c r="CC11" s="1548" t="str">
        <f t="shared" ref="CC11:CC42" si="2">IF(DC11=1,"* El número de Beneficiarios NO DEBE ser mayor que el Total. ","")</f>
        <v/>
      </c>
      <c r="CD11" s="1548" t="str">
        <f t="shared" ref="CD11:CD42" si="3">IF(DD11=1,"* El total de Consultas Nuevas NO DEBE ser MAYOR que el total de las Consultas Médicas. ","")</f>
        <v/>
      </c>
      <c r="CE11" s="1548" t="str">
        <f t="shared" ref="CE11:CE42" si="4">IF(DE11=1,"* No olvide registrar datos en Pertinencia (Digite CEROS si no tiene). ","")</f>
        <v/>
      </c>
      <c r="CF11" s="1548"/>
      <c r="CS11" s="1457"/>
      <c r="CT11" s="1457"/>
      <c r="CU11" s="1457"/>
      <c r="CV11" s="1457"/>
      <c r="CW11" s="1457"/>
      <c r="CX11" s="1457"/>
      <c r="CY11" s="1457"/>
      <c r="CZ11" s="1457"/>
      <c r="DA11" s="3311">
        <f t="shared" ref="DA11:DA42" si="5">IF(B11&lt;&gt;(U11+V11),1,0)</f>
        <v>0</v>
      </c>
      <c r="DB11" s="3311">
        <f t="shared" ref="DB11:DB42" si="6">IF(AND(B11&lt;&gt;0,T11=""),1,0)</f>
        <v>0</v>
      </c>
      <c r="DC11" s="3311">
        <f t="shared" ref="DC11:DC42" si="7">IF(B11&lt;(T11),1,0)</f>
        <v>0</v>
      </c>
      <c r="DD11" s="3311">
        <f t="shared" ref="DD11:DD42" si="8">IF(B11&lt;(W11+AA11),1,0)</f>
        <v>0</v>
      </c>
      <c r="DE11" s="3311"/>
      <c r="DF11" s="3311"/>
      <c r="DG11" s="3311"/>
      <c r="DH11" s="3311"/>
      <c r="DI11" s="3311"/>
      <c r="DJ11" s="3311"/>
      <c r="DK11" s="3311"/>
      <c r="DL11" s="3311"/>
    </row>
    <row r="12" spans="1:116" ht="16.350000000000001" customHeight="1" x14ac:dyDescent="0.25">
      <c r="A12" s="2918" t="s">
        <v>110</v>
      </c>
      <c r="B12" s="2779">
        <f t="shared" ref="B12:B70" si="9">SUM(C12:S12)</f>
        <v>0</v>
      </c>
      <c r="C12" s="2885"/>
      <c r="D12" s="2966"/>
      <c r="E12" s="2966"/>
      <c r="F12" s="2966"/>
      <c r="G12" s="2966"/>
      <c r="H12" s="2966"/>
      <c r="I12" s="2966"/>
      <c r="J12" s="2966"/>
      <c r="K12" s="2966"/>
      <c r="L12" s="2966"/>
      <c r="M12" s="2966"/>
      <c r="N12" s="2966"/>
      <c r="O12" s="2966"/>
      <c r="P12" s="2966"/>
      <c r="Q12" s="2966"/>
      <c r="R12" s="2966"/>
      <c r="S12" s="2887"/>
      <c r="T12" s="2729"/>
      <c r="U12" s="110"/>
      <c r="V12" s="122"/>
      <c r="W12" s="135">
        <f t="shared" ref="W12:W36" si="10">SUM(X12+Y12+Z12)</f>
        <v>0</v>
      </c>
      <c r="X12" s="110"/>
      <c r="Y12" s="111"/>
      <c r="Z12" s="122"/>
      <c r="AA12" s="2186">
        <f t="shared" ref="AA12:AA37" si="11">SUM(AB12+AC12+AD12)</f>
        <v>0</v>
      </c>
      <c r="AB12" s="110"/>
      <c r="AC12" s="136"/>
      <c r="AD12" s="122"/>
      <c r="AE12" s="3322"/>
      <c r="AF12" s="2074"/>
      <c r="AG12" s="1381" t="str">
        <f t="shared" ref="AG12:AG70" si="12">CA12&amp;CB12&amp;CC12&amp;CD12&amp;CE12</f>
        <v/>
      </c>
      <c r="AH12" s="802"/>
      <c r="AI12" s="802"/>
      <c r="AJ12" s="802"/>
      <c r="AK12" s="802"/>
      <c r="AL12" s="802"/>
      <c r="AM12" s="802"/>
      <c r="AN12" s="802"/>
      <c r="AO12" s="290"/>
      <c r="AP12" s="290"/>
      <c r="AQ12" s="290"/>
      <c r="AR12" s="290"/>
      <c r="AS12" s="290"/>
      <c r="BE12" s="1452"/>
      <c r="BF12" s="1452"/>
      <c r="BX12" s="165"/>
      <c r="BY12" s="165"/>
      <c r="BZ12" s="165"/>
      <c r="CA12" s="1548" t="str">
        <f t="shared" si="0"/>
        <v/>
      </c>
      <c r="CB12" s="1548" t="str">
        <f t="shared" si="1"/>
        <v/>
      </c>
      <c r="CC12" s="1548" t="str">
        <f t="shared" si="2"/>
        <v/>
      </c>
      <c r="CD12" s="1548" t="str">
        <f t="shared" si="3"/>
        <v/>
      </c>
      <c r="CE12" s="1548" t="str">
        <f t="shared" si="4"/>
        <v/>
      </c>
      <c r="CF12" s="1548"/>
      <c r="CS12" s="1457"/>
      <c r="CT12" s="1457"/>
      <c r="CU12" s="1457"/>
      <c r="CV12" s="1457"/>
      <c r="CW12" s="1457"/>
      <c r="CX12" s="1457"/>
      <c r="CY12" s="1457"/>
      <c r="CZ12" s="1457"/>
      <c r="DA12" s="3311">
        <f t="shared" si="5"/>
        <v>0</v>
      </c>
      <c r="DB12" s="3311">
        <f t="shared" si="6"/>
        <v>0</v>
      </c>
      <c r="DC12" s="3311">
        <f t="shared" si="7"/>
        <v>0</v>
      </c>
      <c r="DD12" s="3311">
        <f t="shared" si="8"/>
        <v>0</v>
      </c>
      <c r="DE12" s="3311"/>
      <c r="DF12" s="3311"/>
      <c r="DG12" s="3311"/>
      <c r="DH12" s="3311"/>
      <c r="DI12" s="3311"/>
      <c r="DJ12" s="3311"/>
      <c r="DK12" s="3311"/>
      <c r="DL12" s="3311"/>
    </row>
    <row r="13" spans="1:116" ht="16.350000000000001" customHeight="1" x14ac:dyDescent="0.25">
      <c r="A13" s="2918" t="s">
        <v>134</v>
      </c>
      <c r="B13" s="2779">
        <f>SUM(C13)</f>
        <v>0</v>
      </c>
      <c r="C13" s="2885"/>
      <c r="D13" s="3496"/>
      <c r="E13" s="3496"/>
      <c r="F13" s="3496"/>
      <c r="G13" s="3496"/>
      <c r="H13" s="3496"/>
      <c r="I13" s="3496"/>
      <c r="J13" s="3496"/>
      <c r="K13" s="3496"/>
      <c r="L13" s="3496"/>
      <c r="M13" s="3496"/>
      <c r="N13" s="3496"/>
      <c r="O13" s="3496"/>
      <c r="P13" s="3496"/>
      <c r="Q13" s="3496"/>
      <c r="R13" s="3496"/>
      <c r="S13" s="2921"/>
      <c r="T13" s="2729"/>
      <c r="U13" s="110"/>
      <c r="V13" s="122"/>
      <c r="W13" s="135">
        <f t="shared" si="10"/>
        <v>0</v>
      </c>
      <c r="X13" s="110"/>
      <c r="Y13" s="111"/>
      <c r="Z13" s="122"/>
      <c r="AA13" s="2186">
        <f t="shared" si="11"/>
        <v>0</v>
      </c>
      <c r="AB13" s="110"/>
      <c r="AC13" s="136"/>
      <c r="AD13" s="122"/>
      <c r="AE13" s="3322"/>
      <c r="AF13" s="2074"/>
      <c r="AG13" s="1381" t="str">
        <f t="shared" si="12"/>
        <v/>
      </c>
      <c r="AH13" s="802"/>
      <c r="AI13" s="802"/>
      <c r="AJ13" s="802"/>
      <c r="AK13" s="802"/>
      <c r="AL13" s="802"/>
      <c r="AM13" s="802"/>
      <c r="AN13" s="802"/>
      <c r="AO13" s="290"/>
      <c r="AP13" s="290"/>
      <c r="AQ13" s="290"/>
      <c r="AR13" s="290"/>
      <c r="AS13" s="290"/>
      <c r="BE13" s="1452"/>
      <c r="BF13" s="1452"/>
      <c r="BX13" s="165"/>
      <c r="BY13" s="165"/>
      <c r="BZ13" s="165"/>
      <c r="CA13" s="1548" t="str">
        <f t="shared" si="0"/>
        <v/>
      </c>
      <c r="CB13" s="1548" t="str">
        <f t="shared" si="1"/>
        <v/>
      </c>
      <c r="CC13" s="1548" t="str">
        <f t="shared" si="2"/>
        <v/>
      </c>
      <c r="CD13" s="1548" t="str">
        <f>IF(DD13=1,"* El total de Consultas Nuevas NO DEBE ser MAYOR que el total de las Consultas Médicas. ","")</f>
        <v/>
      </c>
      <c r="CE13" s="1548" t="str">
        <f t="shared" si="4"/>
        <v/>
      </c>
      <c r="CF13" s="1548"/>
      <c r="CS13" s="1457"/>
      <c r="CT13" s="1457"/>
      <c r="CU13" s="1457"/>
      <c r="CV13" s="1457"/>
      <c r="CW13" s="1457"/>
      <c r="CX13" s="1457"/>
      <c r="CY13" s="1457"/>
      <c r="CZ13" s="1457"/>
      <c r="DA13" s="3311">
        <f t="shared" si="5"/>
        <v>0</v>
      </c>
      <c r="DB13" s="3311">
        <f t="shared" si="6"/>
        <v>0</v>
      </c>
      <c r="DC13" s="3311">
        <f t="shared" si="7"/>
        <v>0</v>
      </c>
      <c r="DD13" s="3311">
        <f t="shared" si="8"/>
        <v>0</v>
      </c>
      <c r="DE13" s="3311"/>
      <c r="DF13" s="3311"/>
      <c r="DG13" s="3311"/>
      <c r="DH13" s="3311"/>
      <c r="DI13" s="3311"/>
      <c r="DJ13" s="3311"/>
      <c r="DK13" s="3311"/>
      <c r="DL13" s="3311"/>
    </row>
    <row r="14" spans="1:116" ht="16.350000000000001" customHeight="1" x14ac:dyDescent="0.25">
      <c r="A14" s="2918" t="s">
        <v>254</v>
      </c>
      <c r="B14" s="2779">
        <f t="shared" si="9"/>
        <v>0</v>
      </c>
      <c r="C14" s="2885"/>
      <c r="D14" s="2966"/>
      <c r="E14" s="2966"/>
      <c r="F14" s="2966"/>
      <c r="G14" s="2966"/>
      <c r="H14" s="2966"/>
      <c r="I14" s="2966"/>
      <c r="J14" s="2966"/>
      <c r="K14" s="2966"/>
      <c r="L14" s="2966"/>
      <c r="M14" s="2966"/>
      <c r="N14" s="2966"/>
      <c r="O14" s="2966"/>
      <c r="P14" s="2966"/>
      <c r="Q14" s="2966"/>
      <c r="R14" s="2966"/>
      <c r="S14" s="2887"/>
      <c r="T14" s="2729"/>
      <c r="U14" s="110"/>
      <c r="V14" s="122"/>
      <c r="W14" s="135">
        <f t="shared" si="10"/>
        <v>0</v>
      </c>
      <c r="X14" s="110"/>
      <c r="Y14" s="111"/>
      <c r="Z14" s="122"/>
      <c r="AA14" s="2186">
        <f t="shared" si="11"/>
        <v>0</v>
      </c>
      <c r="AB14" s="110"/>
      <c r="AC14" s="136"/>
      <c r="AD14" s="122"/>
      <c r="AE14" s="3322"/>
      <c r="AF14" s="2074"/>
      <c r="AG14" s="1381" t="str">
        <f t="shared" si="12"/>
        <v/>
      </c>
      <c r="AH14" s="802"/>
      <c r="AI14" s="802"/>
      <c r="AJ14" s="802"/>
      <c r="AK14" s="802"/>
      <c r="AL14" s="802"/>
      <c r="AM14" s="802"/>
      <c r="AN14" s="802"/>
      <c r="AO14" s="290"/>
      <c r="AP14" s="290"/>
      <c r="AQ14" s="290"/>
      <c r="AR14" s="290"/>
      <c r="AS14" s="290"/>
      <c r="BE14" s="1452"/>
      <c r="BF14" s="1452"/>
      <c r="BX14" s="165"/>
      <c r="BY14" s="165"/>
      <c r="BZ14" s="165"/>
      <c r="CA14" s="1548" t="str">
        <f t="shared" si="0"/>
        <v/>
      </c>
      <c r="CB14" s="1548" t="str">
        <f t="shared" si="1"/>
        <v/>
      </c>
      <c r="CC14" s="1548" t="str">
        <f t="shared" si="2"/>
        <v/>
      </c>
      <c r="CD14" s="1548" t="str">
        <f t="shared" si="3"/>
        <v/>
      </c>
      <c r="CE14" s="1548" t="str">
        <f t="shared" si="4"/>
        <v/>
      </c>
      <c r="CF14" s="1548"/>
      <c r="CS14" s="1457"/>
      <c r="CT14" s="1457"/>
      <c r="CU14" s="1457"/>
      <c r="CV14" s="1457"/>
      <c r="CW14" s="1457"/>
      <c r="CX14" s="1457"/>
      <c r="CY14" s="1457"/>
      <c r="CZ14" s="1457"/>
      <c r="DA14" s="3311">
        <f t="shared" si="5"/>
        <v>0</v>
      </c>
      <c r="DB14" s="3311">
        <f t="shared" si="6"/>
        <v>0</v>
      </c>
      <c r="DC14" s="3311">
        <f t="shared" si="7"/>
        <v>0</v>
      </c>
      <c r="DD14" s="3311">
        <f t="shared" si="8"/>
        <v>0</v>
      </c>
      <c r="DE14" s="3311"/>
      <c r="DF14" s="3311"/>
      <c r="DG14" s="3311"/>
      <c r="DH14" s="3311"/>
      <c r="DI14" s="3311"/>
      <c r="DJ14" s="3311"/>
      <c r="DK14" s="3311"/>
      <c r="DL14" s="3311"/>
    </row>
    <row r="15" spans="1:116" ht="16.350000000000001" customHeight="1" x14ac:dyDescent="0.25">
      <c r="A15" s="2918" t="s">
        <v>255</v>
      </c>
      <c r="B15" s="2779">
        <f t="shared" si="9"/>
        <v>0</v>
      </c>
      <c r="C15" s="2885"/>
      <c r="D15" s="2966"/>
      <c r="E15" s="2966"/>
      <c r="F15" s="2966"/>
      <c r="G15" s="2966"/>
      <c r="H15" s="2966"/>
      <c r="I15" s="2966"/>
      <c r="J15" s="2966"/>
      <c r="K15" s="2966"/>
      <c r="L15" s="2966"/>
      <c r="M15" s="2966"/>
      <c r="N15" s="2966"/>
      <c r="O15" s="2966"/>
      <c r="P15" s="2966"/>
      <c r="Q15" s="2966"/>
      <c r="R15" s="2966"/>
      <c r="S15" s="2887"/>
      <c r="T15" s="2729"/>
      <c r="U15" s="110"/>
      <c r="V15" s="122"/>
      <c r="W15" s="135">
        <f t="shared" si="10"/>
        <v>0</v>
      </c>
      <c r="X15" s="110"/>
      <c r="Y15" s="111"/>
      <c r="Z15" s="122"/>
      <c r="AA15" s="323">
        <f t="shared" si="11"/>
        <v>0</v>
      </c>
      <c r="AB15" s="110"/>
      <c r="AC15" s="136"/>
      <c r="AD15" s="122"/>
      <c r="AE15" s="3322"/>
      <c r="AF15" s="2074"/>
      <c r="AG15" s="1381" t="str">
        <f t="shared" si="12"/>
        <v/>
      </c>
      <c r="AH15" s="802"/>
      <c r="AI15" s="802"/>
      <c r="AJ15" s="802"/>
      <c r="AK15" s="802"/>
      <c r="AL15" s="802"/>
      <c r="AM15" s="802"/>
      <c r="AN15" s="802"/>
      <c r="AO15" s="290"/>
      <c r="AP15" s="290"/>
      <c r="AQ15" s="290"/>
      <c r="AR15" s="290"/>
      <c r="AS15" s="290"/>
      <c r="BE15" s="1452"/>
      <c r="BF15" s="1452"/>
      <c r="BX15" s="165"/>
      <c r="BY15" s="165"/>
      <c r="BZ15" s="165"/>
      <c r="CA15" s="1548" t="str">
        <f t="shared" si="0"/>
        <v/>
      </c>
      <c r="CB15" s="1548" t="str">
        <f t="shared" si="1"/>
        <v/>
      </c>
      <c r="CC15" s="1548" t="str">
        <f t="shared" si="2"/>
        <v/>
      </c>
      <c r="CD15" s="1548" t="str">
        <f t="shared" si="3"/>
        <v/>
      </c>
      <c r="CE15" s="1548" t="str">
        <f t="shared" si="4"/>
        <v/>
      </c>
      <c r="CF15" s="1548"/>
      <c r="CS15" s="1457"/>
      <c r="CT15" s="1457"/>
      <c r="CU15" s="1457"/>
      <c r="CV15" s="1457"/>
      <c r="CW15" s="1457"/>
      <c r="CX15" s="1457"/>
      <c r="CY15" s="1457"/>
      <c r="CZ15" s="1457"/>
      <c r="DA15" s="3311">
        <f t="shared" si="5"/>
        <v>0</v>
      </c>
      <c r="DB15" s="3311">
        <f t="shared" si="6"/>
        <v>0</v>
      </c>
      <c r="DC15" s="3311">
        <f t="shared" si="7"/>
        <v>0</v>
      </c>
      <c r="DD15" s="3311">
        <f t="shared" si="8"/>
        <v>0</v>
      </c>
      <c r="DE15" s="3311"/>
      <c r="DF15" s="3311"/>
      <c r="DG15" s="3311"/>
      <c r="DH15" s="3311"/>
      <c r="DI15" s="3311"/>
      <c r="DJ15" s="3311"/>
      <c r="DK15" s="3311"/>
      <c r="DL15" s="3311"/>
    </row>
    <row r="16" spans="1:116" ht="16.350000000000001" customHeight="1" x14ac:dyDescent="0.25">
      <c r="A16" s="2918" t="s">
        <v>256</v>
      </c>
      <c r="B16" s="2779">
        <f t="shared" si="9"/>
        <v>0</v>
      </c>
      <c r="C16" s="2885"/>
      <c r="D16" s="2966"/>
      <c r="E16" s="2966"/>
      <c r="F16" s="2966"/>
      <c r="G16" s="2966"/>
      <c r="H16" s="2966"/>
      <c r="I16" s="2966"/>
      <c r="J16" s="2966"/>
      <c r="K16" s="2966"/>
      <c r="L16" s="2966"/>
      <c r="M16" s="2966"/>
      <c r="N16" s="2966"/>
      <c r="O16" s="2966"/>
      <c r="P16" s="2966"/>
      <c r="Q16" s="2966"/>
      <c r="R16" s="2966"/>
      <c r="S16" s="2887"/>
      <c r="T16" s="2729"/>
      <c r="U16" s="110"/>
      <c r="V16" s="122"/>
      <c r="W16" s="135">
        <f t="shared" si="10"/>
        <v>0</v>
      </c>
      <c r="X16" s="110"/>
      <c r="Y16" s="111"/>
      <c r="Z16" s="122"/>
      <c r="AA16" s="323">
        <f t="shared" si="11"/>
        <v>0</v>
      </c>
      <c r="AB16" s="110"/>
      <c r="AC16" s="136"/>
      <c r="AD16" s="122"/>
      <c r="AE16" s="3322"/>
      <c r="AF16" s="2074"/>
      <c r="AG16" s="1381" t="str">
        <f t="shared" si="12"/>
        <v/>
      </c>
      <c r="AH16" s="802"/>
      <c r="AI16" s="802"/>
      <c r="AJ16" s="802"/>
      <c r="AK16" s="802"/>
      <c r="AL16" s="802"/>
      <c r="AM16" s="802"/>
      <c r="AN16" s="802"/>
      <c r="AO16" s="290"/>
      <c r="AP16" s="290"/>
      <c r="AQ16" s="290"/>
      <c r="AR16" s="290"/>
      <c r="AS16" s="290"/>
      <c r="BE16" s="1452"/>
      <c r="BF16" s="1452"/>
      <c r="BX16" s="165"/>
      <c r="BY16" s="165"/>
      <c r="BZ16" s="165"/>
      <c r="CA16" s="1548" t="str">
        <f t="shared" si="0"/>
        <v/>
      </c>
      <c r="CB16" s="1548" t="str">
        <f t="shared" si="1"/>
        <v/>
      </c>
      <c r="CC16" s="1548" t="str">
        <f t="shared" si="2"/>
        <v/>
      </c>
      <c r="CD16" s="1548" t="str">
        <f t="shared" si="3"/>
        <v/>
      </c>
      <c r="CE16" s="1548" t="str">
        <f t="shared" si="4"/>
        <v/>
      </c>
      <c r="CF16" s="1548"/>
      <c r="CS16" s="1457"/>
      <c r="CT16" s="1457"/>
      <c r="CU16" s="1457"/>
      <c r="CV16" s="1457"/>
      <c r="CW16" s="1457"/>
      <c r="CX16" s="1457"/>
      <c r="CY16" s="1457"/>
      <c r="CZ16" s="1457"/>
      <c r="DA16" s="3311">
        <f t="shared" si="5"/>
        <v>0</v>
      </c>
      <c r="DB16" s="3311">
        <f t="shared" si="6"/>
        <v>0</v>
      </c>
      <c r="DC16" s="3311">
        <f t="shared" si="7"/>
        <v>0</v>
      </c>
      <c r="DD16" s="3311">
        <f t="shared" si="8"/>
        <v>0</v>
      </c>
      <c r="DE16" s="3311"/>
      <c r="DF16" s="3311"/>
      <c r="DG16" s="3311"/>
      <c r="DH16" s="3311"/>
      <c r="DI16" s="3311"/>
      <c r="DJ16" s="3311"/>
      <c r="DK16" s="3311"/>
      <c r="DL16" s="3311"/>
    </row>
    <row r="17" spans="1:116" ht="16.350000000000001" customHeight="1" x14ac:dyDescent="0.25">
      <c r="A17" s="2918" t="s">
        <v>453</v>
      </c>
      <c r="B17" s="2779">
        <f t="shared" si="9"/>
        <v>0</v>
      </c>
      <c r="C17" s="2885"/>
      <c r="D17" s="2966"/>
      <c r="E17" s="2966"/>
      <c r="F17" s="2966"/>
      <c r="G17" s="2966"/>
      <c r="H17" s="2966"/>
      <c r="I17" s="2966"/>
      <c r="J17" s="2966"/>
      <c r="K17" s="2966"/>
      <c r="L17" s="2966"/>
      <c r="M17" s="2966"/>
      <c r="N17" s="2966"/>
      <c r="O17" s="2966"/>
      <c r="P17" s="2966"/>
      <c r="Q17" s="2966"/>
      <c r="R17" s="2966"/>
      <c r="S17" s="2887"/>
      <c r="T17" s="2729"/>
      <c r="U17" s="110"/>
      <c r="V17" s="122"/>
      <c r="W17" s="135">
        <f t="shared" si="10"/>
        <v>0</v>
      </c>
      <c r="X17" s="110"/>
      <c r="Y17" s="111"/>
      <c r="Z17" s="122"/>
      <c r="AA17" s="323">
        <f t="shared" si="11"/>
        <v>0</v>
      </c>
      <c r="AB17" s="110"/>
      <c r="AC17" s="136"/>
      <c r="AD17" s="122"/>
      <c r="AE17" s="3322"/>
      <c r="AF17" s="2074"/>
      <c r="AG17" s="1381" t="str">
        <f t="shared" si="12"/>
        <v/>
      </c>
      <c r="AH17" s="802"/>
      <c r="AI17" s="802"/>
      <c r="AJ17" s="802"/>
      <c r="AK17" s="802"/>
      <c r="AL17" s="802"/>
      <c r="AM17" s="802"/>
      <c r="AN17" s="802"/>
      <c r="AO17" s="290"/>
      <c r="AP17" s="290"/>
      <c r="AQ17" s="290"/>
      <c r="AR17" s="290"/>
      <c r="AS17" s="290"/>
      <c r="BE17" s="1452"/>
      <c r="BF17" s="1452"/>
      <c r="BX17" s="165"/>
      <c r="BY17" s="165"/>
      <c r="BZ17" s="165"/>
      <c r="CA17" s="1548" t="str">
        <f t="shared" si="0"/>
        <v/>
      </c>
      <c r="CB17" s="1548" t="str">
        <f t="shared" si="1"/>
        <v/>
      </c>
      <c r="CC17" s="1548" t="str">
        <f t="shared" si="2"/>
        <v/>
      </c>
      <c r="CD17" s="1548" t="str">
        <f t="shared" si="3"/>
        <v/>
      </c>
      <c r="CE17" s="1548" t="str">
        <f t="shared" si="4"/>
        <v/>
      </c>
      <c r="CF17" s="1548"/>
      <c r="CS17" s="1457"/>
      <c r="CT17" s="1457"/>
      <c r="CU17" s="1457"/>
      <c r="CV17" s="1457"/>
      <c r="CW17" s="1457"/>
      <c r="CX17" s="1457"/>
      <c r="CY17" s="1457"/>
      <c r="CZ17" s="1457"/>
      <c r="DA17" s="3311">
        <f t="shared" si="5"/>
        <v>0</v>
      </c>
      <c r="DB17" s="3311">
        <f t="shared" si="6"/>
        <v>0</v>
      </c>
      <c r="DC17" s="3311">
        <f t="shared" si="7"/>
        <v>0</v>
      </c>
      <c r="DD17" s="3311">
        <f t="shared" si="8"/>
        <v>0</v>
      </c>
      <c r="DE17" s="3311"/>
      <c r="DF17" s="3311"/>
      <c r="DG17" s="3311"/>
      <c r="DH17" s="3311"/>
      <c r="DI17" s="3311"/>
      <c r="DJ17" s="3311"/>
      <c r="DK17" s="3311"/>
      <c r="DL17" s="3311"/>
    </row>
    <row r="18" spans="1:116" ht="16.350000000000001" customHeight="1" x14ac:dyDescent="0.25">
      <c r="A18" s="2918" t="s">
        <v>257</v>
      </c>
      <c r="B18" s="2779">
        <f t="shared" si="9"/>
        <v>0</v>
      </c>
      <c r="C18" s="2885"/>
      <c r="D18" s="2966"/>
      <c r="E18" s="2966"/>
      <c r="F18" s="2966"/>
      <c r="G18" s="2966"/>
      <c r="H18" s="2966"/>
      <c r="I18" s="2966"/>
      <c r="J18" s="2966"/>
      <c r="K18" s="2966"/>
      <c r="L18" s="2966"/>
      <c r="M18" s="2966"/>
      <c r="N18" s="2966"/>
      <c r="O18" s="2966"/>
      <c r="P18" s="2966"/>
      <c r="Q18" s="2966"/>
      <c r="R18" s="2966"/>
      <c r="S18" s="2887"/>
      <c r="T18" s="2729"/>
      <c r="U18" s="110"/>
      <c r="V18" s="122"/>
      <c r="W18" s="135">
        <f t="shared" si="10"/>
        <v>0</v>
      </c>
      <c r="X18" s="110"/>
      <c r="Y18" s="111"/>
      <c r="Z18" s="122"/>
      <c r="AA18" s="323">
        <f t="shared" si="11"/>
        <v>0</v>
      </c>
      <c r="AB18" s="110"/>
      <c r="AC18" s="136"/>
      <c r="AD18" s="122"/>
      <c r="AE18" s="3322"/>
      <c r="AF18" s="2074"/>
      <c r="AG18" s="1381" t="str">
        <f t="shared" si="12"/>
        <v/>
      </c>
      <c r="AH18" s="802"/>
      <c r="AI18" s="802"/>
      <c r="AJ18" s="802"/>
      <c r="AK18" s="802"/>
      <c r="AL18" s="802"/>
      <c r="AM18" s="802"/>
      <c r="AN18" s="802"/>
      <c r="AO18" s="290"/>
      <c r="AP18" s="290"/>
      <c r="AQ18" s="290"/>
      <c r="AR18" s="290"/>
      <c r="AS18" s="290"/>
      <c r="BE18" s="1452"/>
      <c r="BF18" s="1452"/>
      <c r="BX18" s="165"/>
      <c r="BY18" s="165"/>
      <c r="BZ18" s="165"/>
      <c r="CA18" s="1548" t="str">
        <f t="shared" si="0"/>
        <v/>
      </c>
      <c r="CB18" s="1548" t="str">
        <f t="shared" si="1"/>
        <v/>
      </c>
      <c r="CC18" s="1548" t="str">
        <f t="shared" si="2"/>
        <v/>
      </c>
      <c r="CD18" s="1548" t="str">
        <f t="shared" si="3"/>
        <v/>
      </c>
      <c r="CE18" s="1548" t="str">
        <f t="shared" si="4"/>
        <v/>
      </c>
      <c r="CF18" s="1548"/>
      <c r="CS18" s="1457"/>
      <c r="CT18" s="1457"/>
      <c r="CU18" s="1457"/>
      <c r="CV18" s="1457"/>
      <c r="CW18" s="1457"/>
      <c r="CX18" s="1457"/>
      <c r="CY18" s="1457"/>
      <c r="CZ18" s="1457"/>
      <c r="DA18" s="3311">
        <f t="shared" si="5"/>
        <v>0</v>
      </c>
      <c r="DB18" s="3311">
        <f t="shared" si="6"/>
        <v>0</v>
      </c>
      <c r="DC18" s="3311">
        <f t="shared" si="7"/>
        <v>0</v>
      </c>
      <c r="DD18" s="3311">
        <f t="shared" si="8"/>
        <v>0</v>
      </c>
      <c r="DE18" s="3311"/>
      <c r="DF18" s="3311"/>
      <c r="DG18" s="3311"/>
      <c r="DH18" s="3311"/>
      <c r="DI18" s="3311"/>
      <c r="DJ18" s="3311"/>
      <c r="DK18" s="3311"/>
      <c r="DL18" s="3311"/>
    </row>
    <row r="19" spans="1:116" ht="16.350000000000001" customHeight="1" x14ac:dyDescent="0.25">
      <c r="A19" s="2918" t="s">
        <v>258</v>
      </c>
      <c r="B19" s="2779">
        <f t="shared" si="9"/>
        <v>0</v>
      </c>
      <c r="C19" s="2885"/>
      <c r="D19" s="2966"/>
      <c r="E19" s="2966"/>
      <c r="F19" s="2966"/>
      <c r="G19" s="2966"/>
      <c r="H19" s="2966"/>
      <c r="I19" s="2966"/>
      <c r="J19" s="2966"/>
      <c r="K19" s="2966"/>
      <c r="L19" s="2966"/>
      <c r="M19" s="2966"/>
      <c r="N19" s="2966"/>
      <c r="O19" s="2966"/>
      <c r="P19" s="2966"/>
      <c r="Q19" s="2966"/>
      <c r="R19" s="2966"/>
      <c r="S19" s="2887"/>
      <c r="T19" s="2729"/>
      <c r="U19" s="110"/>
      <c r="V19" s="122"/>
      <c r="W19" s="135">
        <f t="shared" si="10"/>
        <v>0</v>
      </c>
      <c r="X19" s="110"/>
      <c r="Y19" s="111"/>
      <c r="Z19" s="122"/>
      <c r="AA19" s="323">
        <f t="shared" si="11"/>
        <v>0</v>
      </c>
      <c r="AB19" s="110"/>
      <c r="AC19" s="136"/>
      <c r="AD19" s="122"/>
      <c r="AE19" s="3322"/>
      <c r="AF19" s="2074"/>
      <c r="AG19" s="1381" t="str">
        <f t="shared" si="12"/>
        <v/>
      </c>
      <c r="AH19" s="802"/>
      <c r="AI19" s="802"/>
      <c r="AJ19" s="802"/>
      <c r="AK19" s="802"/>
      <c r="AL19" s="802"/>
      <c r="AM19" s="802"/>
      <c r="AN19" s="802"/>
      <c r="AO19" s="290"/>
      <c r="AP19" s="290"/>
      <c r="AQ19" s="290"/>
      <c r="AR19" s="290"/>
      <c r="AS19" s="290"/>
      <c r="BE19" s="1452"/>
      <c r="BF19" s="1452"/>
      <c r="BX19" s="165"/>
      <c r="BY19" s="165"/>
      <c r="BZ19" s="165"/>
      <c r="CA19" s="1548" t="str">
        <f t="shared" si="0"/>
        <v/>
      </c>
      <c r="CB19" s="1548" t="str">
        <f t="shared" si="1"/>
        <v/>
      </c>
      <c r="CC19" s="1548" t="str">
        <f t="shared" si="2"/>
        <v/>
      </c>
      <c r="CD19" s="1548" t="str">
        <f t="shared" si="3"/>
        <v/>
      </c>
      <c r="CE19" s="1548" t="str">
        <f t="shared" si="4"/>
        <v/>
      </c>
      <c r="CF19" s="1548"/>
      <c r="CS19" s="1457"/>
      <c r="CT19" s="1457"/>
      <c r="CU19" s="1457"/>
      <c r="CV19" s="1457"/>
      <c r="CW19" s="1457"/>
      <c r="CX19" s="1457"/>
      <c r="CY19" s="1457"/>
      <c r="CZ19" s="1457"/>
      <c r="DA19" s="3311">
        <f t="shared" si="5"/>
        <v>0</v>
      </c>
      <c r="DB19" s="3311">
        <f t="shared" si="6"/>
        <v>0</v>
      </c>
      <c r="DC19" s="3311">
        <f t="shared" si="7"/>
        <v>0</v>
      </c>
      <c r="DD19" s="3311">
        <f t="shared" si="8"/>
        <v>0</v>
      </c>
      <c r="DE19" s="3311"/>
      <c r="DF19" s="3311"/>
      <c r="DG19" s="3311"/>
      <c r="DH19" s="3311"/>
      <c r="DI19" s="3311"/>
      <c r="DJ19" s="3311"/>
      <c r="DK19" s="3311"/>
      <c r="DL19" s="3311"/>
    </row>
    <row r="20" spans="1:116" ht="16.350000000000001" customHeight="1" x14ac:dyDescent="0.25">
      <c r="A20" s="2918" t="s">
        <v>259</v>
      </c>
      <c r="B20" s="2779">
        <f t="shared" si="9"/>
        <v>0</v>
      </c>
      <c r="C20" s="2885"/>
      <c r="D20" s="2966"/>
      <c r="E20" s="2966"/>
      <c r="F20" s="2966"/>
      <c r="G20" s="2966"/>
      <c r="H20" s="2966"/>
      <c r="I20" s="2966"/>
      <c r="J20" s="2966"/>
      <c r="K20" s="2966"/>
      <c r="L20" s="2966"/>
      <c r="M20" s="2966"/>
      <c r="N20" s="2966"/>
      <c r="O20" s="2966"/>
      <c r="P20" s="2966"/>
      <c r="Q20" s="2966"/>
      <c r="R20" s="2966"/>
      <c r="S20" s="2887"/>
      <c r="T20" s="2729"/>
      <c r="U20" s="110"/>
      <c r="V20" s="122"/>
      <c r="W20" s="135">
        <f t="shared" si="10"/>
        <v>0</v>
      </c>
      <c r="X20" s="110"/>
      <c r="Y20" s="111"/>
      <c r="Z20" s="122"/>
      <c r="AA20" s="323">
        <f t="shared" si="11"/>
        <v>0</v>
      </c>
      <c r="AB20" s="110"/>
      <c r="AC20" s="136"/>
      <c r="AD20" s="122"/>
      <c r="AE20" s="3322"/>
      <c r="AF20" s="2074"/>
      <c r="AG20" s="1381" t="str">
        <f t="shared" si="12"/>
        <v/>
      </c>
      <c r="AH20" s="802"/>
      <c r="AI20" s="802"/>
      <c r="AJ20" s="802"/>
      <c r="AK20" s="802"/>
      <c r="AL20" s="802"/>
      <c r="AM20" s="802"/>
      <c r="AN20" s="802"/>
      <c r="AO20" s="290"/>
      <c r="AP20" s="290"/>
      <c r="AQ20" s="290"/>
      <c r="AR20" s="290"/>
      <c r="AS20" s="290"/>
      <c r="BE20" s="1452"/>
      <c r="BF20" s="1452"/>
      <c r="BX20" s="165"/>
      <c r="BY20" s="165"/>
      <c r="BZ20" s="165"/>
      <c r="CA20" s="1548" t="str">
        <f t="shared" si="0"/>
        <v/>
      </c>
      <c r="CB20" s="1548" t="str">
        <f t="shared" si="1"/>
        <v/>
      </c>
      <c r="CC20" s="1548" t="str">
        <f t="shared" si="2"/>
        <v/>
      </c>
      <c r="CD20" s="1548" t="str">
        <f t="shared" si="3"/>
        <v/>
      </c>
      <c r="CE20" s="1548" t="str">
        <f t="shared" si="4"/>
        <v/>
      </c>
      <c r="CF20" s="1548"/>
      <c r="CS20" s="1457"/>
      <c r="CT20" s="1457"/>
      <c r="CU20" s="1457"/>
      <c r="CV20" s="1457"/>
      <c r="CW20" s="1457"/>
      <c r="CX20" s="1457"/>
      <c r="CY20" s="1457"/>
      <c r="CZ20" s="1457"/>
      <c r="DA20" s="3311">
        <f t="shared" si="5"/>
        <v>0</v>
      </c>
      <c r="DB20" s="3311">
        <f t="shared" si="6"/>
        <v>0</v>
      </c>
      <c r="DC20" s="3311">
        <f t="shared" si="7"/>
        <v>0</v>
      </c>
      <c r="DD20" s="3311">
        <f t="shared" si="8"/>
        <v>0</v>
      </c>
      <c r="DE20" s="3311"/>
      <c r="DF20" s="3311"/>
      <c r="DG20" s="3311"/>
      <c r="DH20" s="3311"/>
      <c r="DI20" s="3311"/>
      <c r="DJ20" s="3311"/>
      <c r="DK20" s="3311"/>
      <c r="DL20" s="3311"/>
    </row>
    <row r="21" spans="1:116" ht="16.350000000000001" customHeight="1" x14ac:dyDescent="0.25">
      <c r="A21" s="2918" t="s">
        <v>260</v>
      </c>
      <c r="B21" s="2779">
        <f t="shared" si="9"/>
        <v>0</v>
      </c>
      <c r="C21" s="2885"/>
      <c r="D21" s="2966"/>
      <c r="E21" s="2966"/>
      <c r="F21" s="2966"/>
      <c r="G21" s="2966"/>
      <c r="H21" s="2966"/>
      <c r="I21" s="2966"/>
      <c r="J21" s="2966"/>
      <c r="K21" s="2966"/>
      <c r="L21" s="2966"/>
      <c r="M21" s="2966"/>
      <c r="N21" s="2966"/>
      <c r="O21" s="2966"/>
      <c r="P21" s="2966"/>
      <c r="Q21" s="2966"/>
      <c r="R21" s="2966"/>
      <c r="S21" s="2887"/>
      <c r="T21" s="2729"/>
      <c r="U21" s="110"/>
      <c r="V21" s="122"/>
      <c r="W21" s="135">
        <f t="shared" si="10"/>
        <v>0</v>
      </c>
      <c r="X21" s="110"/>
      <c r="Y21" s="111"/>
      <c r="Z21" s="122"/>
      <c r="AA21" s="323">
        <f t="shared" si="11"/>
        <v>0</v>
      </c>
      <c r="AB21" s="110"/>
      <c r="AC21" s="136"/>
      <c r="AD21" s="122"/>
      <c r="AE21" s="3322"/>
      <c r="AF21" s="2074"/>
      <c r="AG21" s="1381" t="str">
        <f t="shared" si="12"/>
        <v/>
      </c>
      <c r="AH21" s="802"/>
      <c r="AI21" s="802"/>
      <c r="AJ21" s="802"/>
      <c r="AK21" s="802"/>
      <c r="AL21" s="802"/>
      <c r="AM21" s="802"/>
      <c r="AN21" s="802"/>
      <c r="AO21" s="290"/>
      <c r="AP21" s="290"/>
      <c r="AQ21" s="290"/>
      <c r="AR21" s="290"/>
      <c r="AS21" s="290"/>
      <c r="BE21" s="1452"/>
      <c r="BF21" s="1452"/>
      <c r="BX21" s="165"/>
      <c r="BY21" s="165"/>
      <c r="BZ21" s="165"/>
      <c r="CA21" s="1548" t="str">
        <f t="shared" si="0"/>
        <v/>
      </c>
      <c r="CB21" s="1548" t="str">
        <f t="shared" si="1"/>
        <v/>
      </c>
      <c r="CC21" s="1548" t="str">
        <f t="shared" si="2"/>
        <v/>
      </c>
      <c r="CD21" s="1548" t="str">
        <f t="shared" si="3"/>
        <v/>
      </c>
      <c r="CE21" s="1548" t="str">
        <f t="shared" si="4"/>
        <v/>
      </c>
      <c r="CF21" s="1548"/>
      <c r="CS21" s="1457"/>
      <c r="CT21" s="1457"/>
      <c r="CU21" s="1457"/>
      <c r="CV21" s="1457"/>
      <c r="CW21" s="1457"/>
      <c r="CX21" s="1457"/>
      <c r="CY21" s="1457"/>
      <c r="CZ21" s="1457"/>
      <c r="DA21" s="3311">
        <f t="shared" si="5"/>
        <v>0</v>
      </c>
      <c r="DB21" s="3311">
        <f t="shared" si="6"/>
        <v>0</v>
      </c>
      <c r="DC21" s="3311">
        <f t="shared" si="7"/>
        <v>0</v>
      </c>
      <c r="DD21" s="3311">
        <f t="shared" si="8"/>
        <v>0</v>
      </c>
      <c r="DE21" s="3311"/>
      <c r="DF21" s="3311"/>
      <c r="DG21" s="3311"/>
      <c r="DH21" s="3311"/>
      <c r="DI21" s="3311"/>
      <c r="DJ21" s="3311"/>
      <c r="DK21" s="3311"/>
      <c r="DL21" s="3311"/>
    </row>
    <row r="22" spans="1:116" ht="16.350000000000001" customHeight="1" x14ac:dyDescent="0.25">
      <c r="A22" s="2918" t="s">
        <v>261</v>
      </c>
      <c r="B22" s="2779">
        <f t="shared" si="9"/>
        <v>0</v>
      </c>
      <c r="C22" s="2885"/>
      <c r="D22" s="2966"/>
      <c r="E22" s="2966"/>
      <c r="F22" s="2966"/>
      <c r="G22" s="2966"/>
      <c r="H22" s="2966"/>
      <c r="I22" s="2966"/>
      <c r="J22" s="2966"/>
      <c r="K22" s="2966"/>
      <c r="L22" s="2966"/>
      <c r="M22" s="2966"/>
      <c r="N22" s="2966"/>
      <c r="O22" s="2966"/>
      <c r="P22" s="2966"/>
      <c r="Q22" s="2966"/>
      <c r="R22" s="2966"/>
      <c r="S22" s="2887"/>
      <c r="T22" s="2729"/>
      <c r="U22" s="110"/>
      <c r="V22" s="122"/>
      <c r="W22" s="135">
        <f t="shared" si="10"/>
        <v>0</v>
      </c>
      <c r="X22" s="110"/>
      <c r="Y22" s="111"/>
      <c r="Z22" s="122"/>
      <c r="AA22" s="323">
        <f t="shared" si="11"/>
        <v>0</v>
      </c>
      <c r="AB22" s="110"/>
      <c r="AC22" s="136"/>
      <c r="AD22" s="122"/>
      <c r="AE22" s="3322"/>
      <c r="AF22" s="2074"/>
      <c r="AG22" s="1381" t="str">
        <f t="shared" si="12"/>
        <v/>
      </c>
      <c r="AH22" s="802"/>
      <c r="AI22" s="802"/>
      <c r="AJ22" s="802"/>
      <c r="AK22" s="802"/>
      <c r="AL22" s="802"/>
      <c r="AM22" s="802"/>
      <c r="AN22" s="802"/>
      <c r="AO22" s="290"/>
      <c r="AP22" s="290"/>
      <c r="AQ22" s="290"/>
      <c r="AR22" s="290"/>
      <c r="AS22" s="290"/>
      <c r="BE22" s="1452"/>
      <c r="BF22" s="1452"/>
      <c r="BX22" s="165"/>
      <c r="BY22" s="165"/>
      <c r="BZ22" s="165"/>
      <c r="CA22" s="1548" t="str">
        <f t="shared" si="0"/>
        <v/>
      </c>
      <c r="CB22" s="1548" t="str">
        <f t="shared" si="1"/>
        <v/>
      </c>
      <c r="CC22" s="1548" t="str">
        <f t="shared" si="2"/>
        <v/>
      </c>
      <c r="CD22" s="1548" t="str">
        <f t="shared" si="3"/>
        <v/>
      </c>
      <c r="CE22" s="1548" t="str">
        <f t="shared" si="4"/>
        <v/>
      </c>
      <c r="CF22" s="1548"/>
      <c r="CS22" s="1457"/>
      <c r="CT22" s="1457"/>
      <c r="CU22" s="1457"/>
      <c r="CV22" s="1457"/>
      <c r="CW22" s="1457"/>
      <c r="CX22" s="1457"/>
      <c r="CY22" s="1457"/>
      <c r="CZ22" s="1457"/>
      <c r="DA22" s="3311">
        <f t="shared" si="5"/>
        <v>0</v>
      </c>
      <c r="DB22" s="3311">
        <f t="shared" si="6"/>
        <v>0</v>
      </c>
      <c r="DC22" s="3311">
        <f t="shared" si="7"/>
        <v>0</v>
      </c>
      <c r="DD22" s="3311">
        <f t="shared" si="8"/>
        <v>0</v>
      </c>
      <c r="DE22" s="3311"/>
      <c r="DF22" s="3311"/>
      <c r="DG22" s="3311"/>
      <c r="DH22" s="3311"/>
      <c r="DI22" s="3311"/>
      <c r="DJ22" s="3311"/>
      <c r="DK22" s="3311"/>
      <c r="DL22" s="3311"/>
    </row>
    <row r="23" spans="1:116" ht="16.350000000000001" customHeight="1" x14ac:dyDescent="0.25">
      <c r="A23" s="2918" t="s">
        <v>262</v>
      </c>
      <c r="B23" s="2779">
        <f t="shared" si="9"/>
        <v>0</v>
      </c>
      <c r="C23" s="2885"/>
      <c r="D23" s="2966"/>
      <c r="E23" s="2966"/>
      <c r="F23" s="2966"/>
      <c r="G23" s="2966"/>
      <c r="H23" s="2966"/>
      <c r="I23" s="2966"/>
      <c r="J23" s="2966"/>
      <c r="K23" s="2966"/>
      <c r="L23" s="2966"/>
      <c r="M23" s="2966"/>
      <c r="N23" s="2966"/>
      <c r="O23" s="2966"/>
      <c r="P23" s="2966"/>
      <c r="Q23" s="2966"/>
      <c r="R23" s="2966"/>
      <c r="S23" s="2887"/>
      <c r="T23" s="2729"/>
      <c r="U23" s="110"/>
      <c r="V23" s="122"/>
      <c r="W23" s="135">
        <f t="shared" si="10"/>
        <v>0</v>
      </c>
      <c r="X23" s="110"/>
      <c r="Y23" s="111"/>
      <c r="Z23" s="122"/>
      <c r="AA23" s="323">
        <f t="shared" si="11"/>
        <v>0</v>
      </c>
      <c r="AB23" s="110"/>
      <c r="AC23" s="136"/>
      <c r="AD23" s="122"/>
      <c r="AE23" s="3322"/>
      <c r="AF23" s="2074"/>
      <c r="AG23" s="1381" t="str">
        <f t="shared" si="12"/>
        <v/>
      </c>
      <c r="AH23" s="802"/>
      <c r="AI23" s="802"/>
      <c r="AJ23" s="802"/>
      <c r="AK23" s="802"/>
      <c r="AL23" s="802"/>
      <c r="AM23" s="802"/>
      <c r="AN23" s="802"/>
      <c r="AO23" s="290"/>
      <c r="AP23" s="290"/>
      <c r="AQ23" s="290"/>
      <c r="AR23" s="290"/>
      <c r="AS23" s="290"/>
      <c r="BE23" s="1452"/>
      <c r="BF23" s="1452"/>
      <c r="BX23" s="165"/>
      <c r="BY23" s="165"/>
      <c r="BZ23" s="165"/>
      <c r="CA23" s="1548" t="str">
        <f t="shared" si="0"/>
        <v/>
      </c>
      <c r="CB23" s="1548" t="str">
        <f t="shared" si="1"/>
        <v/>
      </c>
      <c r="CC23" s="1548" t="str">
        <f t="shared" si="2"/>
        <v/>
      </c>
      <c r="CD23" s="1548" t="str">
        <f t="shared" si="3"/>
        <v/>
      </c>
      <c r="CE23" s="1548" t="str">
        <f t="shared" si="4"/>
        <v/>
      </c>
      <c r="CF23" s="1548"/>
      <c r="CS23" s="1457"/>
      <c r="CT23" s="1457"/>
      <c r="CU23" s="1457"/>
      <c r="CV23" s="1457"/>
      <c r="CW23" s="1457"/>
      <c r="CX23" s="1457"/>
      <c r="CY23" s="1457"/>
      <c r="CZ23" s="1457"/>
      <c r="DA23" s="3311">
        <f t="shared" si="5"/>
        <v>0</v>
      </c>
      <c r="DB23" s="3311">
        <f t="shared" si="6"/>
        <v>0</v>
      </c>
      <c r="DC23" s="3311">
        <f t="shared" si="7"/>
        <v>0</v>
      </c>
      <c r="DD23" s="3311">
        <f t="shared" si="8"/>
        <v>0</v>
      </c>
      <c r="DE23" s="3311"/>
      <c r="DF23" s="3311"/>
      <c r="DG23" s="3311"/>
      <c r="DH23" s="3311"/>
      <c r="DI23" s="3311"/>
      <c r="DJ23" s="3311"/>
      <c r="DK23" s="3311"/>
      <c r="DL23" s="3311"/>
    </row>
    <row r="24" spans="1:116" ht="16.350000000000001" customHeight="1" x14ac:dyDescent="0.25">
      <c r="A24" s="2918" t="s">
        <v>454</v>
      </c>
      <c r="B24" s="2779">
        <f t="shared" si="9"/>
        <v>0</v>
      </c>
      <c r="C24" s="2885"/>
      <c r="D24" s="2966"/>
      <c r="E24" s="2966"/>
      <c r="F24" s="2966"/>
      <c r="G24" s="2966"/>
      <c r="H24" s="2966"/>
      <c r="I24" s="2966"/>
      <c r="J24" s="2966"/>
      <c r="K24" s="2966"/>
      <c r="L24" s="2966"/>
      <c r="M24" s="2966"/>
      <c r="N24" s="2966"/>
      <c r="O24" s="2966"/>
      <c r="P24" s="2966"/>
      <c r="Q24" s="2966"/>
      <c r="R24" s="2966"/>
      <c r="S24" s="2887"/>
      <c r="T24" s="2729"/>
      <c r="U24" s="110"/>
      <c r="V24" s="122"/>
      <c r="W24" s="135">
        <f t="shared" si="10"/>
        <v>0</v>
      </c>
      <c r="X24" s="110"/>
      <c r="Y24" s="111"/>
      <c r="Z24" s="122"/>
      <c r="AA24" s="323">
        <f t="shared" si="11"/>
        <v>0</v>
      </c>
      <c r="AB24" s="110"/>
      <c r="AC24" s="136"/>
      <c r="AD24" s="122"/>
      <c r="AE24" s="3322"/>
      <c r="AF24" s="2074"/>
      <c r="AG24" s="1381" t="str">
        <f t="shared" si="12"/>
        <v/>
      </c>
      <c r="AH24" s="802"/>
      <c r="AI24" s="802"/>
      <c r="AJ24" s="802"/>
      <c r="AK24" s="802"/>
      <c r="AL24" s="802"/>
      <c r="AM24" s="802"/>
      <c r="AN24" s="802"/>
      <c r="AO24" s="290"/>
      <c r="AP24" s="290"/>
      <c r="AQ24" s="290"/>
      <c r="AR24" s="290"/>
      <c r="AS24" s="290"/>
      <c r="BE24" s="1452"/>
      <c r="BF24" s="1452"/>
      <c r="BX24" s="165"/>
      <c r="BY24" s="165"/>
      <c r="BZ24" s="165"/>
      <c r="CA24" s="1548" t="str">
        <f t="shared" si="0"/>
        <v/>
      </c>
      <c r="CB24" s="1548" t="str">
        <f t="shared" si="1"/>
        <v/>
      </c>
      <c r="CC24" s="1548" t="str">
        <f t="shared" si="2"/>
        <v/>
      </c>
      <c r="CD24" s="1548" t="str">
        <f t="shared" si="3"/>
        <v/>
      </c>
      <c r="CE24" s="1548" t="str">
        <f t="shared" si="4"/>
        <v/>
      </c>
      <c r="CF24" s="1548"/>
      <c r="CS24" s="1457"/>
      <c r="CT24" s="1457"/>
      <c r="CU24" s="1457"/>
      <c r="CV24" s="1457"/>
      <c r="CW24" s="1457"/>
      <c r="CX24" s="1457"/>
      <c r="CY24" s="1457"/>
      <c r="CZ24" s="1457"/>
      <c r="DA24" s="3311">
        <f t="shared" si="5"/>
        <v>0</v>
      </c>
      <c r="DB24" s="3311">
        <f t="shared" si="6"/>
        <v>0</v>
      </c>
      <c r="DC24" s="3311">
        <f t="shared" si="7"/>
        <v>0</v>
      </c>
      <c r="DD24" s="3311">
        <f t="shared" si="8"/>
        <v>0</v>
      </c>
      <c r="DE24" s="3311"/>
      <c r="DF24" s="3311"/>
      <c r="DG24" s="3311"/>
      <c r="DH24" s="3311"/>
      <c r="DI24" s="3311"/>
      <c r="DJ24" s="3311"/>
      <c r="DK24" s="3311"/>
      <c r="DL24" s="3311"/>
    </row>
    <row r="25" spans="1:116" ht="16.350000000000001" customHeight="1" x14ac:dyDescent="0.25">
      <c r="A25" s="2918" t="s">
        <v>263</v>
      </c>
      <c r="B25" s="2779">
        <f t="shared" si="9"/>
        <v>0</v>
      </c>
      <c r="C25" s="2885"/>
      <c r="D25" s="2966"/>
      <c r="E25" s="2966"/>
      <c r="F25" s="2966"/>
      <c r="G25" s="2966"/>
      <c r="H25" s="2966"/>
      <c r="I25" s="2966"/>
      <c r="J25" s="2966"/>
      <c r="K25" s="2966"/>
      <c r="L25" s="2966"/>
      <c r="M25" s="2966"/>
      <c r="N25" s="2966"/>
      <c r="O25" s="2966"/>
      <c r="P25" s="2966"/>
      <c r="Q25" s="2966"/>
      <c r="R25" s="2966"/>
      <c r="S25" s="2887"/>
      <c r="T25" s="2729"/>
      <c r="U25" s="110"/>
      <c r="V25" s="122"/>
      <c r="W25" s="135">
        <f t="shared" si="10"/>
        <v>0</v>
      </c>
      <c r="X25" s="110"/>
      <c r="Y25" s="111"/>
      <c r="Z25" s="122"/>
      <c r="AA25" s="323">
        <f t="shared" si="11"/>
        <v>0</v>
      </c>
      <c r="AB25" s="110"/>
      <c r="AC25" s="136"/>
      <c r="AD25" s="122"/>
      <c r="AE25" s="3322"/>
      <c r="AF25" s="2074"/>
      <c r="AG25" s="1381" t="str">
        <f t="shared" si="12"/>
        <v/>
      </c>
      <c r="AH25" s="802"/>
      <c r="AI25" s="802"/>
      <c r="AJ25" s="802"/>
      <c r="AK25" s="802"/>
      <c r="AL25" s="802"/>
      <c r="AM25" s="802"/>
      <c r="AN25" s="802"/>
      <c r="AO25" s="290"/>
      <c r="AP25" s="290"/>
      <c r="AQ25" s="290"/>
      <c r="AR25" s="290"/>
      <c r="AS25" s="290"/>
      <c r="BE25" s="1452"/>
      <c r="BF25" s="1452"/>
      <c r="BX25" s="165"/>
      <c r="BY25" s="165"/>
      <c r="BZ25" s="165"/>
      <c r="CA25" s="1548" t="str">
        <f t="shared" si="0"/>
        <v/>
      </c>
      <c r="CB25" s="1548" t="str">
        <f t="shared" si="1"/>
        <v/>
      </c>
      <c r="CC25" s="1548" t="str">
        <f t="shared" si="2"/>
        <v/>
      </c>
      <c r="CD25" s="1548" t="str">
        <f t="shared" si="3"/>
        <v/>
      </c>
      <c r="CE25" s="1548" t="str">
        <f t="shared" si="4"/>
        <v/>
      </c>
      <c r="CF25" s="1548"/>
      <c r="CS25" s="1457"/>
      <c r="CT25" s="1457"/>
      <c r="CU25" s="1457"/>
      <c r="CV25" s="1457"/>
      <c r="CW25" s="1457"/>
      <c r="CX25" s="1457"/>
      <c r="CY25" s="1457"/>
      <c r="CZ25" s="1457"/>
      <c r="DA25" s="3311">
        <f t="shared" si="5"/>
        <v>0</v>
      </c>
      <c r="DB25" s="3311">
        <f t="shared" si="6"/>
        <v>0</v>
      </c>
      <c r="DC25" s="3311">
        <f t="shared" si="7"/>
        <v>0</v>
      </c>
      <c r="DD25" s="3311">
        <f t="shared" si="8"/>
        <v>0</v>
      </c>
      <c r="DE25" s="3311"/>
      <c r="DF25" s="3311"/>
      <c r="DG25" s="3311"/>
      <c r="DH25" s="3311"/>
      <c r="DI25" s="3311"/>
      <c r="DJ25" s="3311"/>
      <c r="DK25" s="3311"/>
      <c r="DL25" s="3311"/>
    </row>
    <row r="26" spans="1:116" ht="16.350000000000001" customHeight="1" x14ac:dyDescent="0.25">
      <c r="A26" s="2918" t="s">
        <v>264</v>
      </c>
      <c r="B26" s="2779">
        <f t="shared" si="9"/>
        <v>0</v>
      </c>
      <c r="C26" s="2885"/>
      <c r="D26" s="2966"/>
      <c r="E26" s="2966"/>
      <c r="F26" s="2966"/>
      <c r="G26" s="2966"/>
      <c r="H26" s="2966"/>
      <c r="I26" s="2966"/>
      <c r="J26" s="2966"/>
      <c r="K26" s="2966"/>
      <c r="L26" s="2966"/>
      <c r="M26" s="2966"/>
      <c r="N26" s="2966"/>
      <c r="O26" s="2966"/>
      <c r="P26" s="2966"/>
      <c r="Q26" s="2966"/>
      <c r="R26" s="2966"/>
      <c r="S26" s="2887"/>
      <c r="T26" s="2729"/>
      <c r="U26" s="110"/>
      <c r="V26" s="122"/>
      <c r="W26" s="135">
        <f t="shared" si="10"/>
        <v>0</v>
      </c>
      <c r="X26" s="110"/>
      <c r="Y26" s="111"/>
      <c r="Z26" s="122"/>
      <c r="AA26" s="323">
        <f t="shared" si="11"/>
        <v>0</v>
      </c>
      <c r="AB26" s="110"/>
      <c r="AC26" s="136"/>
      <c r="AD26" s="122"/>
      <c r="AE26" s="3322"/>
      <c r="AF26" s="2074"/>
      <c r="AG26" s="1381" t="str">
        <f t="shared" si="12"/>
        <v/>
      </c>
      <c r="AH26" s="802"/>
      <c r="AI26" s="802"/>
      <c r="AJ26" s="802"/>
      <c r="AK26" s="802"/>
      <c r="AL26" s="802"/>
      <c r="AM26" s="802"/>
      <c r="AN26" s="802"/>
      <c r="AO26" s="290"/>
      <c r="AP26" s="290"/>
      <c r="AQ26" s="290"/>
      <c r="AR26" s="290"/>
      <c r="AS26" s="290"/>
      <c r="BE26" s="1452"/>
      <c r="BF26" s="1452"/>
      <c r="BX26" s="165"/>
      <c r="BY26" s="165"/>
      <c r="BZ26" s="165"/>
      <c r="CA26" s="1548" t="str">
        <f t="shared" si="0"/>
        <v/>
      </c>
      <c r="CB26" s="1548" t="str">
        <f t="shared" si="1"/>
        <v/>
      </c>
      <c r="CC26" s="1548" t="str">
        <f t="shared" si="2"/>
        <v/>
      </c>
      <c r="CD26" s="1548" t="str">
        <f t="shared" si="3"/>
        <v/>
      </c>
      <c r="CE26" s="1548" t="str">
        <f t="shared" si="4"/>
        <v/>
      </c>
      <c r="CF26" s="1548"/>
      <c r="CS26" s="1457"/>
      <c r="CT26" s="1457"/>
      <c r="CU26" s="1457"/>
      <c r="CV26" s="1457"/>
      <c r="CW26" s="1457"/>
      <c r="CX26" s="1457"/>
      <c r="CY26" s="1457"/>
      <c r="CZ26" s="1457"/>
      <c r="DA26" s="3311">
        <f t="shared" si="5"/>
        <v>0</v>
      </c>
      <c r="DB26" s="3311">
        <f t="shared" si="6"/>
        <v>0</v>
      </c>
      <c r="DC26" s="3311">
        <f t="shared" si="7"/>
        <v>0</v>
      </c>
      <c r="DD26" s="3311">
        <f t="shared" si="8"/>
        <v>0</v>
      </c>
      <c r="DE26" s="3311"/>
      <c r="DF26" s="3311"/>
      <c r="DG26" s="3311"/>
      <c r="DH26" s="3311"/>
      <c r="DI26" s="3311"/>
      <c r="DJ26" s="3311"/>
      <c r="DK26" s="3311"/>
      <c r="DL26" s="3311"/>
    </row>
    <row r="27" spans="1:116" ht="16.350000000000001" customHeight="1" x14ac:dyDescent="0.25">
      <c r="A27" s="2918" t="s">
        <v>265</v>
      </c>
      <c r="B27" s="2779">
        <f t="shared" si="9"/>
        <v>0</v>
      </c>
      <c r="C27" s="2885"/>
      <c r="D27" s="2966"/>
      <c r="E27" s="2966"/>
      <c r="F27" s="2966"/>
      <c r="G27" s="2966"/>
      <c r="H27" s="2966"/>
      <c r="I27" s="2966"/>
      <c r="J27" s="2966"/>
      <c r="K27" s="2966"/>
      <c r="L27" s="2966"/>
      <c r="M27" s="2966"/>
      <c r="N27" s="2966"/>
      <c r="O27" s="2966"/>
      <c r="P27" s="2966"/>
      <c r="Q27" s="2966"/>
      <c r="R27" s="2966"/>
      <c r="S27" s="2887"/>
      <c r="T27" s="2729"/>
      <c r="U27" s="110"/>
      <c r="V27" s="122"/>
      <c r="W27" s="135">
        <f t="shared" si="10"/>
        <v>0</v>
      </c>
      <c r="X27" s="110"/>
      <c r="Y27" s="111"/>
      <c r="Z27" s="122"/>
      <c r="AA27" s="323">
        <f t="shared" si="11"/>
        <v>0</v>
      </c>
      <c r="AB27" s="110"/>
      <c r="AC27" s="136"/>
      <c r="AD27" s="122"/>
      <c r="AE27" s="3322"/>
      <c r="AF27" s="2074"/>
      <c r="AG27" s="1381" t="str">
        <f t="shared" si="12"/>
        <v/>
      </c>
      <c r="AH27" s="802"/>
      <c r="AI27" s="802"/>
      <c r="AJ27" s="802"/>
      <c r="AK27" s="802"/>
      <c r="AL27" s="802"/>
      <c r="AM27" s="802"/>
      <c r="AN27" s="802"/>
      <c r="AO27" s="290"/>
      <c r="AP27" s="290"/>
      <c r="AQ27" s="290"/>
      <c r="AR27" s="290"/>
      <c r="AS27" s="290"/>
      <c r="BE27" s="1452"/>
      <c r="BF27" s="1452"/>
      <c r="BX27" s="165"/>
      <c r="BY27" s="165"/>
      <c r="BZ27" s="165"/>
      <c r="CA27" s="1548" t="str">
        <f t="shared" si="0"/>
        <v/>
      </c>
      <c r="CB27" s="1548" t="str">
        <f t="shared" si="1"/>
        <v/>
      </c>
      <c r="CC27" s="1548" t="str">
        <f t="shared" si="2"/>
        <v/>
      </c>
      <c r="CD27" s="1548" t="str">
        <f t="shared" si="3"/>
        <v/>
      </c>
      <c r="CE27" s="1548" t="str">
        <f t="shared" si="4"/>
        <v/>
      </c>
      <c r="CF27" s="1548"/>
      <c r="CS27" s="1457"/>
      <c r="CT27" s="1457"/>
      <c r="CU27" s="1457"/>
      <c r="CV27" s="1457"/>
      <c r="CW27" s="1457"/>
      <c r="CX27" s="1457"/>
      <c r="CY27" s="1457"/>
      <c r="CZ27" s="1457"/>
      <c r="DA27" s="3311">
        <f t="shared" si="5"/>
        <v>0</v>
      </c>
      <c r="DB27" s="3311">
        <f t="shared" si="6"/>
        <v>0</v>
      </c>
      <c r="DC27" s="3311">
        <f t="shared" si="7"/>
        <v>0</v>
      </c>
      <c r="DD27" s="3311">
        <f t="shared" si="8"/>
        <v>0</v>
      </c>
      <c r="DE27" s="3311"/>
      <c r="DF27" s="3311"/>
      <c r="DG27" s="3311"/>
      <c r="DH27" s="3311"/>
      <c r="DI27" s="3311"/>
      <c r="DJ27" s="3311"/>
      <c r="DK27" s="3311"/>
      <c r="DL27" s="3311"/>
    </row>
    <row r="28" spans="1:116" ht="16.350000000000001" customHeight="1" x14ac:dyDescent="0.25">
      <c r="A28" s="2918" t="s">
        <v>455</v>
      </c>
      <c r="B28" s="2779">
        <f t="shared" si="9"/>
        <v>0</v>
      </c>
      <c r="C28" s="2885"/>
      <c r="D28" s="2966"/>
      <c r="E28" s="2966"/>
      <c r="F28" s="2966"/>
      <c r="G28" s="2966"/>
      <c r="H28" s="2966"/>
      <c r="I28" s="2966"/>
      <c r="J28" s="2966"/>
      <c r="K28" s="2966"/>
      <c r="L28" s="2966"/>
      <c r="M28" s="2966"/>
      <c r="N28" s="2966"/>
      <c r="O28" s="2966"/>
      <c r="P28" s="2966"/>
      <c r="Q28" s="2966"/>
      <c r="R28" s="2966"/>
      <c r="S28" s="2887"/>
      <c r="T28" s="2729"/>
      <c r="U28" s="110"/>
      <c r="V28" s="122"/>
      <c r="W28" s="135">
        <f t="shared" si="10"/>
        <v>0</v>
      </c>
      <c r="X28" s="110"/>
      <c r="Y28" s="111"/>
      <c r="Z28" s="122"/>
      <c r="AA28" s="323">
        <f t="shared" si="11"/>
        <v>0</v>
      </c>
      <c r="AB28" s="110"/>
      <c r="AC28" s="136"/>
      <c r="AD28" s="122"/>
      <c r="AE28" s="3322"/>
      <c r="AF28" s="2074"/>
      <c r="AG28" s="1381" t="str">
        <f t="shared" si="12"/>
        <v/>
      </c>
      <c r="AH28" s="802"/>
      <c r="AI28" s="802"/>
      <c r="AJ28" s="802"/>
      <c r="AK28" s="802"/>
      <c r="AL28" s="802"/>
      <c r="AM28" s="802"/>
      <c r="AN28" s="802"/>
      <c r="AO28" s="290"/>
      <c r="AP28" s="290"/>
      <c r="AQ28" s="290"/>
      <c r="AR28" s="290"/>
      <c r="AS28" s="290"/>
      <c r="BE28" s="1452"/>
      <c r="BF28" s="1452"/>
      <c r="BX28" s="165"/>
      <c r="BY28" s="165"/>
      <c r="BZ28" s="165"/>
      <c r="CA28" s="1548" t="str">
        <f t="shared" si="0"/>
        <v/>
      </c>
      <c r="CB28" s="1548" t="str">
        <f t="shared" si="1"/>
        <v/>
      </c>
      <c r="CC28" s="1548" t="str">
        <f t="shared" si="2"/>
        <v/>
      </c>
      <c r="CD28" s="1548" t="str">
        <f t="shared" si="3"/>
        <v/>
      </c>
      <c r="CE28" s="1548" t="str">
        <f t="shared" si="4"/>
        <v/>
      </c>
      <c r="CF28" s="1548"/>
      <c r="CS28" s="1457"/>
      <c r="CT28" s="1457"/>
      <c r="CU28" s="1457"/>
      <c r="CV28" s="1457"/>
      <c r="CW28" s="1457"/>
      <c r="CX28" s="1457"/>
      <c r="CY28" s="1457"/>
      <c r="CZ28" s="1457"/>
      <c r="DA28" s="3311">
        <f t="shared" si="5"/>
        <v>0</v>
      </c>
      <c r="DB28" s="3311">
        <f t="shared" si="6"/>
        <v>0</v>
      </c>
      <c r="DC28" s="3311">
        <f t="shared" si="7"/>
        <v>0</v>
      </c>
      <c r="DD28" s="3311">
        <f t="shared" si="8"/>
        <v>0</v>
      </c>
      <c r="DE28" s="3311"/>
      <c r="DF28" s="3311"/>
      <c r="DG28" s="3311"/>
      <c r="DH28" s="3311"/>
      <c r="DI28" s="3311"/>
      <c r="DJ28" s="3311"/>
      <c r="DK28" s="3311"/>
      <c r="DL28" s="3311"/>
    </row>
    <row r="29" spans="1:116" ht="16.350000000000001" customHeight="1" x14ac:dyDescent="0.25">
      <c r="A29" s="2918" t="s">
        <v>266</v>
      </c>
      <c r="B29" s="2779">
        <f>SUM(C29:S29)</f>
        <v>0</v>
      </c>
      <c r="C29" s="2885"/>
      <c r="D29" s="2966"/>
      <c r="E29" s="2966"/>
      <c r="F29" s="2966"/>
      <c r="G29" s="2966"/>
      <c r="H29" s="2966"/>
      <c r="I29" s="2966"/>
      <c r="J29" s="2966"/>
      <c r="K29" s="2966"/>
      <c r="L29" s="2966"/>
      <c r="M29" s="2966"/>
      <c r="N29" s="2966"/>
      <c r="O29" s="2966"/>
      <c r="P29" s="2966"/>
      <c r="Q29" s="2966"/>
      <c r="R29" s="2966"/>
      <c r="S29" s="2887"/>
      <c r="T29" s="2729"/>
      <c r="U29" s="110"/>
      <c r="V29" s="122"/>
      <c r="W29" s="135">
        <f t="shared" si="10"/>
        <v>0</v>
      </c>
      <c r="X29" s="110"/>
      <c r="Y29" s="111"/>
      <c r="Z29" s="122"/>
      <c r="AA29" s="323">
        <f t="shared" si="11"/>
        <v>0</v>
      </c>
      <c r="AB29" s="110"/>
      <c r="AC29" s="136"/>
      <c r="AD29" s="122"/>
      <c r="AE29" s="3322"/>
      <c r="AF29" s="2074"/>
      <c r="AG29" s="1381" t="str">
        <f t="shared" si="12"/>
        <v/>
      </c>
      <c r="AH29" s="802"/>
      <c r="AI29" s="802"/>
      <c r="AJ29" s="802"/>
      <c r="AK29" s="802"/>
      <c r="AL29" s="802"/>
      <c r="AM29" s="802"/>
      <c r="AN29" s="802"/>
      <c r="AO29" s="290"/>
      <c r="AP29" s="290"/>
      <c r="AQ29" s="290"/>
      <c r="AR29" s="290"/>
      <c r="AS29" s="290"/>
      <c r="BE29" s="1452"/>
      <c r="BF29" s="1452"/>
      <c r="BX29" s="165"/>
      <c r="BY29" s="165"/>
      <c r="BZ29" s="165"/>
      <c r="CA29" s="1548" t="str">
        <f t="shared" si="0"/>
        <v/>
      </c>
      <c r="CB29" s="1548" t="str">
        <f t="shared" si="1"/>
        <v/>
      </c>
      <c r="CC29" s="1548" t="str">
        <f t="shared" si="2"/>
        <v/>
      </c>
      <c r="CD29" s="1548" t="str">
        <f t="shared" si="3"/>
        <v/>
      </c>
      <c r="CE29" s="1548" t="str">
        <f t="shared" si="4"/>
        <v/>
      </c>
      <c r="CF29" s="1548"/>
      <c r="CS29" s="1457"/>
      <c r="CT29" s="1457"/>
      <c r="CU29" s="1457"/>
      <c r="CV29" s="1457"/>
      <c r="CW29" s="1457"/>
      <c r="CX29" s="1457"/>
      <c r="CY29" s="1457"/>
      <c r="CZ29" s="1457"/>
      <c r="DA29" s="3311">
        <f t="shared" si="5"/>
        <v>0</v>
      </c>
      <c r="DB29" s="3311">
        <f t="shared" si="6"/>
        <v>0</v>
      </c>
      <c r="DC29" s="3311">
        <f t="shared" si="7"/>
        <v>0</v>
      </c>
      <c r="DD29" s="3311">
        <f t="shared" si="8"/>
        <v>0</v>
      </c>
      <c r="DE29" s="3311"/>
      <c r="DF29" s="3311"/>
      <c r="DG29" s="3311"/>
      <c r="DH29" s="3311"/>
      <c r="DI29" s="3311"/>
      <c r="DJ29" s="3311"/>
      <c r="DK29" s="3311"/>
      <c r="DL29" s="3311"/>
    </row>
    <row r="30" spans="1:116" ht="16.350000000000001" customHeight="1" x14ac:dyDescent="0.25">
      <c r="A30" s="2918" t="s">
        <v>456</v>
      </c>
      <c r="B30" s="2779">
        <f t="shared" si="9"/>
        <v>0</v>
      </c>
      <c r="C30" s="2885"/>
      <c r="D30" s="2966"/>
      <c r="E30" s="2966"/>
      <c r="F30" s="2966"/>
      <c r="G30" s="2966"/>
      <c r="H30" s="2966"/>
      <c r="I30" s="2966"/>
      <c r="J30" s="2966"/>
      <c r="K30" s="2966"/>
      <c r="L30" s="2966"/>
      <c r="M30" s="2966"/>
      <c r="N30" s="2966"/>
      <c r="O30" s="2966"/>
      <c r="P30" s="2966"/>
      <c r="Q30" s="2966"/>
      <c r="R30" s="2966"/>
      <c r="S30" s="2887"/>
      <c r="T30" s="2729"/>
      <c r="U30" s="110"/>
      <c r="V30" s="122"/>
      <c r="W30" s="135">
        <f t="shared" si="10"/>
        <v>0</v>
      </c>
      <c r="X30" s="110"/>
      <c r="Y30" s="111"/>
      <c r="Z30" s="122"/>
      <c r="AA30" s="323">
        <f t="shared" si="11"/>
        <v>0</v>
      </c>
      <c r="AB30" s="110"/>
      <c r="AC30" s="136"/>
      <c r="AD30" s="122"/>
      <c r="AE30" s="3322"/>
      <c r="AF30" s="2074"/>
      <c r="AG30" s="1381" t="str">
        <f t="shared" si="12"/>
        <v/>
      </c>
      <c r="AH30" s="802"/>
      <c r="AI30" s="802"/>
      <c r="AJ30" s="802"/>
      <c r="AK30" s="802"/>
      <c r="AL30" s="802"/>
      <c r="AM30" s="802"/>
      <c r="AN30" s="802"/>
      <c r="AO30" s="290"/>
      <c r="AP30" s="290"/>
      <c r="AQ30" s="290"/>
      <c r="AR30" s="290"/>
      <c r="AS30" s="290"/>
      <c r="BE30" s="1452"/>
      <c r="BF30" s="1452"/>
      <c r="BX30" s="165"/>
      <c r="BY30" s="165"/>
      <c r="BZ30" s="165"/>
      <c r="CA30" s="1548" t="str">
        <f t="shared" si="0"/>
        <v/>
      </c>
      <c r="CB30" s="1548" t="str">
        <f t="shared" si="1"/>
        <v/>
      </c>
      <c r="CC30" s="1548" t="str">
        <f t="shared" si="2"/>
        <v/>
      </c>
      <c r="CD30" s="1548" t="str">
        <f t="shared" si="3"/>
        <v/>
      </c>
      <c r="CE30" s="1548" t="str">
        <f t="shared" si="4"/>
        <v/>
      </c>
      <c r="CF30" s="1548"/>
      <c r="CS30" s="1457"/>
      <c r="CT30" s="1457"/>
      <c r="CU30" s="1457"/>
      <c r="CV30" s="1457"/>
      <c r="CW30" s="1457"/>
      <c r="CX30" s="1457"/>
      <c r="CY30" s="1457"/>
      <c r="CZ30" s="1457"/>
      <c r="DA30" s="3311">
        <f t="shared" si="5"/>
        <v>0</v>
      </c>
      <c r="DB30" s="3311">
        <f t="shared" si="6"/>
        <v>0</v>
      </c>
      <c r="DC30" s="3311">
        <f t="shared" si="7"/>
        <v>0</v>
      </c>
      <c r="DD30" s="3311">
        <f t="shared" si="8"/>
        <v>0</v>
      </c>
      <c r="DE30" s="3311"/>
      <c r="DF30" s="3311"/>
      <c r="DG30" s="3311"/>
      <c r="DH30" s="3311"/>
      <c r="DI30" s="3311"/>
      <c r="DJ30" s="3311"/>
      <c r="DK30" s="3311"/>
      <c r="DL30" s="3311"/>
    </row>
    <row r="31" spans="1:116" ht="16.350000000000001" customHeight="1" x14ac:dyDescent="0.25">
      <c r="A31" s="2918" t="s">
        <v>267</v>
      </c>
      <c r="B31" s="2779">
        <f t="shared" si="9"/>
        <v>0</v>
      </c>
      <c r="C31" s="2885"/>
      <c r="D31" s="2966"/>
      <c r="E31" s="2966"/>
      <c r="F31" s="2966"/>
      <c r="G31" s="2966"/>
      <c r="H31" s="2966"/>
      <c r="I31" s="2966"/>
      <c r="J31" s="2966"/>
      <c r="K31" s="2966"/>
      <c r="L31" s="2966"/>
      <c r="M31" s="2966"/>
      <c r="N31" s="2966"/>
      <c r="O31" s="2966"/>
      <c r="P31" s="2966"/>
      <c r="Q31" s="2966"/>
      <c r="R31" s="2966"/>
      <c r="S31" s="2887"/>
      <c r="T31" s="2729"/>
      <c r="U31" s="110"/>
      <c r="V31" s="122"/>
      <c r="W31" s="135">
        <f t="shared" si="10"/>
        <v>0</v>
      </c>
      <c r="X31" s="110"/>
      <c r="Y31" s="111"/>
      <c r="Z31" s="122"/>
      <c r="AA31" s="323">
        <f t="shared" si="11"/>
        <v>0</v>
      </c>
      <c r="AB31" s="110"/>
      <c r="AC31" s="136"/>
      <c r="AD31" s="122"/>
      <c r="AE31" s="3322"/>
      <c r="AF31" s="2074"/>
      <c r="AG31" s="1381" t="str">
        <f t="shared" si="12"/>
        <v/>
      </c>
      <c r="AH31" s="802"/>
      <c r="AI31" s="802"/>
      <c r="AJ31" s="802"/>
      <c r="AK31" s="802"/>
      <c r="AL31" s="802"/>
      <c r="AM31" s="802"/>
      <c r="AN31" s="802"/>
      <c r="AO31" s="290"/>
      <c r="AP31" s="290"/>
      <c r="AQ31" s="290"/>
      <c r="AR31" s="290"/>
      <c r="AS31" s="290"/>
      <c r="BE31" s="1452"/>
      <c r="BF31" s="1452"/>
      <c r="BX31" s="165"/>
      <c r="BY31" s="165"/>
      <c r="BZ31" s="165"/>
      <c r="CA31" s="1548" t="str">
        <f t="shared" si="0"/>
        <v/>
      </c>
      <c r="CB31" s="1548" t="str">
        <f t="shared" si="1"/>
        <v/>
      </c>
      <c r="CC31" s="1548" t="str">
        <f t="shared" si="2"/>
        <v/>
      </c>
      <c r="CD31" s="1548" t="str">
        <f t="shared" si="3"/>
        <v/>
      </c>
      <c r="CE31" s="1548" t="str">
        <f t="shared" si="4"/>
        <v/>
      </c>
      <c r="CF31" s="1548"/>
      <c r="CS31" s="1457"/>
      <c r="CT31" s="1457"/>
      <c r="CU31" s="1457"/>
      <c r="CV31" s="1457"/>
      <c r="CW31" s="1457"/>
      <c r="CX31" s="1457"/>
      <c r="CY31" s="1457"/>
      <c r="CZ31" s="1457"/>
      <c r="DA31" s="3311">
        <f t="shared" si="5"/>
        <v>0</v>
      </c>
      <c r="DB31" s="3311">
        <f t="shared" si="6"/>
        <v>0</v>
      </c>
      <c r="DC31" s="3311">
        <f t="shared" si="7"/>
        <v>0</v>
      </c>
      <c r="DD31" s="3311">
        <f t="shared" si="8"/>
        <v>0</v>
      </c>
      <c r="DE31" s="3311"/>
      <c r="DF31" s="3311"/>
      <c r="DG31" s="3311"/>
      <c r="DH31" s="3311"/>
      <c r="DI31" s="3311"/>
      <c r="DJ31" s="3311"/>
      <c r="DK31" s="3311"/>
      <c r="DL31" s="3311"/>
    </row>
    <row r="32" spans="1:116" ht="16.350000000000001" customHeight="1" x14ac:dyDescent="0.25">
      <c r="A32" s="2918" t="s">
        <v>268</v>
      </c>
      <c r="B32" s="2779">
        <f t="shared" si="9"/>
        <v>0</v>
      </c>
      <c r="C32" s="2885"/>
      <c r="D32" s="2966"/>
      <c r="E32" s="2966"/>
      <c r="F32" s="2966"/>
      <c r="G32" s="2966"/>
      <c r="H32" s="2966"/>
      <c r="I32" s="2966"/>
      <c r="J32" s="2966"/>
      <c r="K32" s="2966"/>
      <c r="L32" s="2966"/>
      <c r="M32" s="2966"/>
      <c r="N32" s="2966"/>
      <c r="O32" s="2966"/>
      <c r="P32" s="2966"/>
      <c r="Q32" s="2966"/>
      <c r="R32" s="2966"/>
      <c r="S32" s="2887"/>
      <c r="T32" s="2729"/>
      <c r="U32" s="110"/>
      <c r="V32" s="122"/>
      <c r="W32" s="135">
        <f t="shared" si="10"/>
        <v>0</v>
      </c>
      <c r="X32" s="110"/>
      <c r="Y32" s="111"/>
      <c r="Z32" s="122"/>
      <c r="AA32" s="323">
        <f t="shared" si="11"/>
        <v>0</v>
      </c>
      <c r="AB32" s="110"/>
      <c r="AC32" s="136"/>
      <c r="AD32" s="122"/>
      <c r="AE32" s="3322"/>
      <c r="AF32" s="2074"/>
      <c r="AG32" s="1381" t="str">
        <f t="shared" si="12"/>
        <v/>
      </c>
      <c r="AH32" s="802"/>
      <c r="AI32" s="802"/>
      <c r="AJ32" s="802"/>
      <c r="AK32" s="802"/>
      <c r="AL32" s="802"/>
      <c r="AM32" s="802"/>
      <c r="AN32" s="802"/>
      <c r="AO32" s="290"/>
      <c r="AP32" s="290"/>
      <c r="AQ32" s="290"/>
      <c r="AR32" s="290"/>
      <c r="AS32" s="290"/>
      <c r="BE32" s="1452"/>
      <c r="BF32" s="1452"/>
      <c r="BX32" s="165"/>
      <c r="BY32" s="165"/>
      <c r="BZ32" s="165"/>
      <c r="CA32" s="1548" t="str">
        <f t="shared" si="0"/>
        <v/>
      </c>
      <c r="CB32" s="1548" t="str">
        <f t="shared" si="1"/>
        <v/>
      </c>
      <c r="CC32" s="1548" t="str">
        <f t="shared" si="2"/>
        <v/>
      </c>
      <c r="CD32" s="1548" t="str">
        <f t="shared" si="3"/>
        <v/>
      </c>
      <c r="CE32" s="1548" t="str">
        <f t="shared" si="4"/>
        <v/>
      </c>
      <c r="CF32" s="1548"/>
      <c r="CS32" s="1457"/>
      <c r="CT32" s="1457"/>
      <c r="CU32" s="1457"/>
      <c r="CV32" s="1457"/>
      <c r="CW32" s="1457"/>
      <c r="CX32" s="1457"/>
      <c r="CY32" s="1457"/>
      <c r="CZ32" s="1457"/>
      <c r="DA32" s="3311">
        <f t="shared" si="5"/>
        <v>0</v>
      </c>
      <c r="DB32" s="3311">
        <f t="shared" si="6"/>
        <v>0</v>
      </c>
      <c r="DC32" s="3311">
        <f t="shared" si="7"/>
        <v>0</v>
      </c>
      <c r="DD32" s="3311">
        <f t="shared" si="8"/>
        <v>0</v>
      </c>
      <c r="DE32" s="3311"/>
      <c r="DF32" s="3311"/>
      <c r="DG32" s="3311"/>
      <c r="DH32" s="3311"/>
      <c r="DI32" s="3311"/>
      <c r="DJ32" s="3311"/>
      <c r="DK32" s="3311"/>
      <c r="DL32" s="3311"/>
    </row>
    <row r="33" spans="1:116" ht="16.350000000000001" customHeight="1" x14ac:dyDescent="0.25">
      <c r="A33" s="2918" t="s">
        <v>457</v>
      </c>
      <c r="B33" s="2779">
        <f t="shared" si="9"/>
        <v>0</v>
      </c>
      <c r="C33" s="2885"/>
      <c r="D33" s="2966"/>
      <c r="E33" s="2966"/>
      <c r="F33" s="2966"/>
      <c r="G33" s="2966"/>
      <c r="H33" s="2966"/>
      <c r="I33" s="2966"/>
      <c r="J33" s="2966"/>
      <c r="K33" s="2966"/>
      <c r="L33" s="2966"/>
      <c r="M33" s="2966"/>
      <c r="N33" s="2966"/>
      <c r="O33" s="2966"/>
      <c r="P33" s="2966"/>
      <c r="Q33" s="2966"/>
      <c r="R33" s="2966"/>
      <c r="S33" s="2887"/>
      <c r="T33" s="2729"/>
      <c r="U33" s="110"/>
      <c r="V33" s="122"/>
      <c r="W33" s="135">
        <f t="shared" si="10"/>
        <v>0</v>
      </c>
      <c r="X33" s="110"/>
      <c r="Y33" s="111"/>
      <c r="Z33" s="122"/>
      <c r="AA33" s="323">
        <f t="shared" si="11"/>
        <v>0</v>
      </c>
      <c r="AB33" s="110"/>
      <c r="AC33" s="136"/>
      <c r="AD33" s="122"/>
      <c r="AE33" s="3322"/>
      <c r="AF33" s="2074"/>
      <c r="AG33" s="1381" t="str">
        <f t="shared" si="12"/>
        <v/>
      </c>
      <c r="AH33" s="802"/>
      <c r="AI33" s="802"/>
      <c r="AJ33" s="802"/>
      <c r="AK33" s="802"/>
      <c r="AL33" s="802"/>
      <c r="AM33" s="802"/>
      <c r="AN33" s="802"/>
      <c r="AO33" s="290"/>
      <c r="AP33" s="290"/>
      <c r="AQ33" s="290"/>
      <c r="AR33" s="290"/>
      <c r="AS33" s="290"/>
      <c r="BE33" s="1452"/>
      <c r="BF33" s="1452"/>
      <c r="BX33" s="165"/>
      <c r="BY33" s="165"/>
      <c r="BZ33" s="165"/>
      <c r="CA33" s="1548" t="str">
        <f t="shared" si="0"/>
        <v/>
      </c>
      <c r="CB33" s="1548" t="str">
        <f t="shared" si="1"/>
        <v/>
      </c>
      <c r="CC33" s="1548" t="str">
        <f t="shared" si="2"/>
        <v/>
      </c>
      <c r="CD33" s="1548" t="str">
        <f t="shared" si="3"/>
        <v/>
      </c>
      <c r="CE33" s="1548" t="str">
        <f t="shared" si="4"/>
        <v/>
      </c>
      <c r="CF33" s="1548"/>
      <c r="CS33" s="1457"/>
      <c r="CT33" s="1457"/>
      <c r="CU33" s="1457"/>
      <c r="CV33" s="1457"/>
      <c r="CW33" s="1457"/>
      <c r="CX33" s="1457"/>
      <c r="CY33" s="1457"/>
      <c r="CZ33" s="1457"/>
      <c r="DA33" s="3311">
        <f t="shared" si="5"/>
        <v>0</v>
      </c>
      <c r="DB33" s="3311">
        <f t="shared" si="6"/>
        <v>0</v>
      </c>
      <c r="DC33" s="3311">
        <f t="shared" si="7"/>
        <v>0</v>
      </c>
      <c r="DD33" s="3311">
        <f t="shared" si="8"/>
        <v>0</v>
      </c>
      <c r="DE33" s="3311"/>
      <c r="DF33" s="3311"/>
      <c r="DG33" s="3311"/>
      <c r="DH33" s="3311"/>
      <c r="DI33" s="3311"/>
      <c r="DJ33" s="3311"/>
      <c r="DK33" s="3311"/>
      <c r="DL33" s="3311"/>
    </row>
    <row r="34" spans="1:116" ht="16.350000000000001" customHeight="1" x14ac:dyDescent="0.25">
      <c r="A34" s="2918" t="s">
        <v>269</v>
      </c>
      <c r="B34" s="2779">
        <f t="shared" si="9"/>
        <v>0</v>
      </c>
      <c r="C34" s="2885"/>
      <c r="D34" s="2966"/>
      <c r="E34" s="2966"/>
      <c r="F34" s="2966"/>
      <c r="G34" s="2966"/>
      <c r="H34" s="2966"/>
      <c r="I34" s="2966"/>
      <c r="J34" s="2966"/>
      <c r="K34" s="2966"/>
      <c r="L34" s="2966"/>
      <c r="M34" s="2966"/>
      <c r="N34" s="2966"/>
      <c r="O34" s="2966"/>
      <c r="P34" s="2966"/>
      <c r="Q34" s="2966"/>
      <c r="R34" s="2966"/>
      <c r="S34" s="2887"/>
      <c r="T34" s="2729"/>
      <c r="U34" s="110"/>
      <c r="V34" s="122"/>
      <c r="W34" s="135">
        <f t="shared" si="10"/>
        <v>0</v>
      </c>
      <c r="X34" s="110"/>
      <c r="Y34" s="111"/>
      <c r="Z34" s="122"/>
      <c r="AA34" s="323">
        <f t="shared" si="11"/>
        <v>0</v>
      </c>
      <c r="AB34" s="110"/>
      <c r="AC34" s="136"/>
      <c r="AD34" s="122"/>
      <c r="AE34" s="3322"/>
      <c r="AF34" s="2074"/>
      <c r="AG34" s="1381" t="str">
        <f t="shared" si="12"/>
        <v/>
      </c>
      <c r="AH34" s="802"/>
      <c r="AI34" s="802"/>
      <c r="AJ34" s="802"/>
      <c r="AK34" s="802"/>
      <c r="AL34" s="802"/>
      <c r="AM34" s="802"/>
      <c r="AN34" s="802"/>
      <c r="AO34" s="290"/>
      <c r="AP34" s="290"/>
      <c r="AQ34" s="290"/>
      <c r="AR34" s="290"/>
      <c r="AS34" s="290"/>
      <c r="BE34" s="1452"/>
      <c r="BF34" s="1452"/>
      <c r="BX34" s="165"/>
      <c r="BY34" s="165"/>
      <c r="BZ34" s="165"/>
      <c r="CA34" s="1548" t="str">
        <f t="shared" si="0"/>
        <v/>
      </c>
      <c r="CB34" s="1548" t="str">
        <f t="shared" si="1"/>
        <v/>
      </c>
      <c r="CC34" s="1548" t="str">
        <f t="shared" si="2"/>
        <v/>
      </c>
      <c r="CD34" s="1548" t="str">
        <f t="shared" si="3"/>
        <v/>
      </c>
      <c r="CE34" s="1548" t="str">
        <f t="shared" si="4"/>
        <v/>
      </c>
      <c r="CF34" s="1548"/>
      <c r="CS34" s="1457"/>
      <c r="CT34" s="1457"/>
      <c r="CU34" s="1457"/>
      <c r="CV34" s="1457"/>
      <c r="CW34" s="1457"/>
      <c r="CX34" s="1457"/>
      <c r="CY34" s="1457"/>
      <c r="CZ34" s="1457"/>
      <c r="DA34" s="3311">
        <f t="shared" si="5"/>
        <v>0</v>
      </c>
      <c r="DB34" s="3311">
        <f t="shared" si="6"/>
        <v>0</v>
      </c>
      <c r="DC34" s="3311">
        <f t="shared" si="7"/>
        <v>0</v>
      </c>
      <c r="DD34" s="3311">
        <f t="shared" si="8"/>
        <v>0</v>
      </c>
      <c r="DE34" s="3311"/>
      <c r="DF34" s="3311"/>
      <c r="DG34" s="3311"/>
      <c r="DH34" s="3311"/>
      <c r="DI34" s="3311"/>
      <c r="DJ34" s="3311"/>
      <c r="DK34" s="3311"/>
      <c r="DL34" s="3311"/>
    </row>
    <row r="35" spans="1:116" ht="16.350000000000001" customHeight="1" x14ac:dyDescent="0.25">
      <c r="A35" s="2918" t="s">
        <v>270</v>
      </c>
      <c r="B35" s="2779">
        <f>SUM(O35:S35)</f>
        <v>0</v>
      </c>
      <c r="C35" s="2909"/>
      <c r="D35" s="3496"/>
      <c r="E35" s="3496"/>
      <c r="F35" s="3496"/>
      <c r="G35" s="3496"/>
      <c r="H35" s="3496"/>
      <c r="I35" s="3496"/>
      <c r="J35" s="3496"/>
      <c r="K35" s="3496"/>
      <c r="L35" s="3496"/>
      <c r="M35" s="3496"/>
      <c r="N35" s="3496"/>
      <c r="O35" s="2966"/>
      <c r="P35" s="2966"/>
      <c r="Q35" s="2966"/>
      <c r="R35" s="2966"/>
      <c r="S35" s="2887"/>
      <c r="T35" s="2729"/>
      <c r="U35" s="110"/>
      <c r="V35" s="122"/>
      <c r="W35" s="135">
        <f>SUM(X35+Y35+Z35)</f>
        <v>0</v>
      </c>
      <c r="X35" s="110"/>
      <c r="Y35" s="111"/>
      <c r="Z35" s="122"/>
      <c r="AA35" s="323">
        <f t="shared" si="11"/>
        <v>0</v>
      </c>
      <c r="AB35" s="110"/>
      <c r="AC35" s="136"/>
      <c r="AD35" s="122"/>
      <c r="AE35" s="3322"/>
      <c r="AF35" s="2074"/>
      <c r="AG35" s="1381" t="str">
        <f t="shared" si="12"/>
        <v/>
      </c>
      <c r="AH35" s="802"/>
      <c r="AI35" s="802"/>
      <c r="AJ35" s="802"/>
      <c r="AK35" s="802"/>
      <c r="AL35" s="802"/>
      <c r="AM35" s="802"/>
      <c r="AN35" s="802"/>
      <c r="AO35" s="290"/>
      <c r="AP35" s="290"/>
      <c r="AQ35" s="290"/>
      <c r="AR35" s="290"/>
      <c r="AS35" s="290"/>
      <c r="BE35" s="1452"/>
      <c r="BF35" s="1452"/>
      <c r="BX35" s="165"/>
      <c r="BY35" s="165"/>
      <c r="BZ35" s="165"/>
      <c r="CA35" s="1548" t="str">
        <f t="shared" si="0"/>
        <v/>
      </c>
      <c r="CB35" s="1548" t="str">
        <f t="shared" si="1"/>
        <v/>
      </c>
      <c r="CC35" s="1548" t="str">
        <f t="shared" si="2"/>
        <v/>
      </c>
      <c r="CD35" s="1548" t="str">
        <f>IF(DD35=1,"* El total de Consultas Nuevas NO DEBE ser MAYOR que el total de las Consultas Médicas. ","")</f>
        <v/>
      </c>
      <c r="CE35" s="1548" t="str">
        <f t="shared" si="4"/>
        <v/>
      </c>
      <c r="CF35" s="1548"/>
      <c r="CS35" s="1457"/>
      <c r="CT35" s="1457"/>
      <c r="CU35" s="1457"/>
      <c r="CV35" s="1457"/>
      <c r="CW35" s="1457"/>
      <c r="CX35" s="1457"/>
      <c r="CY35" s="1457"/>
      <c r="CZ35" s="1457"/>
      <c r="DA35" s="3311">
        <f t="shared" si="5"/>
        <v>0</v>
      </c>
      <c r="DB35" s="3311">
        <f t="shared" si="6"/>
        <v>0</v>
      </c>
      <c r="DC35" s="3311">
        <f t="shared" si="7"/>
        <v>0</v>
      </c>
      <c r="DD35" s="3311">
        <f t="shared" si="8"/>
        <v>0</v>
      </c>
      <c r="DE35" s="3311"/>
      <c r="DF35" s="3311"/>
      <c r="DG35" s="3311"/>
      <c r="DH35" s="3311"/>
      <c r="DI35" s="3311"/>
      <c r="DJ35" s="3311"/>
      <c r="DK35" s="3311"/>
      <c r="DL35" s="3311"/>
    </row>
    <row r="36" spans="1:116" ht="16.350000000000001" customHeight="1" x14ac:dyDescent="0.25">
      <c r="A36" s="2918" t="s">
        <v>271</v>
      </c>
      <c r="B36" s="2779">
        <f t="shared" si="9"/>
        <v>0</v>
      </c>
      <c r="C36" s="2885"/>
      <c r="D36" s="2966"/>
      <c r="E36" s="2966"/>
      <c r="F36" s="3497"/>
      <c r="G36" s="3497"/>
      <c r="H36" s="3497"/>
      <c r="I36" s="3497"/>
      <c r="J36" s="3497"/>
      <c r="K36" s="3497"/>
      <c r="L36" s="2966"/>
      <c r="M36" s="2966"/>
      <c r="N36" s="2966"/>
      <c r="O36" s="2966"/>
      <c r="P36" s="2966"/>
      <c r="Q36" s="2966"/>
      <c r="R36" s="2966"/>
      <c r="S36" s="2887"/>
      <c r="T36" s="2729"/>
      <c r="U36" s="110"/>
      <c r="V36" s="122"/>
      <c r="W36" s="135">
        <f t="shared" si="10"/>
        <v>0</v>
      </c>
      <c r="X36" s="110"/>
      <c r="Y36" s="111"/>
      <c r="Z36" s="122"/>
      <c r="AA36" s="323">
        <f t="shared" si="11"/>
        <v>0</v>
      </c>
      <c r="AB36" s="110"/>
      <c r="AC36" s="136"/>
      <c r="AD36" s="122"/>
      <c r="AE36" s="3322"/>
      <c r="AF36" s="2074"/>
      <c r="AG36" s="1381" t="str">
        <f t="shared" si="12"/>
        <v/>
      </c>
      <c r="AH36" s="802"/>
      <c r="AI36" s="802"/>
      <c r="AJ36" s="802"/>
      <c r="AK36" s="802"/>
      <c r="AL36" s="802"/>
      <c r="AM36" s="802"/>
      <c r="AN36" s="802"/>
      <c r="AO36" s="290"/>
      <c r="AP36" s="290"/>
      <c r="AQ36" s="290"/>
      <c r="AR36" s="290"/>
      <c r="AS36" s="290"/>
      <c r="BE36" s="1452"/>
      <c r="BF36" s="1452"/>
      <c r="BX36" s="165"/>
      <c r="BY36" s="165"/>
      <c r="BZ36" s="165"/>
      <c r="CA36" s="1548" t="str">
        <f t="shared" si="0"/>
        <v/>
      </c>
      <c r="CB36" s="1548" t="str">
        <f t="shared" si="1"/>
        <v/>
      </c>
      <c r="CC36" s="1548" t="str">
        <f t="shared" si="2"/>
        <v/>
      </c>
      <c r="CD36" s="1548" t="str">
        <f t="shared" si="3"/>
        <v/>
      </c>
      <c r="CE36" s="1548" t="str">
        <f t="shared" si="4"/>
        <v/>
      </c>
      <c r="CF36" s="1548"/>
      <c r="CS36" s="1457"/>
      <c r="CT36" s="1457"/>
      <c r="CU36" s="1457"/>
      <c r="CV36" s="1457"/>
      <c r="CW36" s="1457"/>
      <c r="CX36" s="1457"/>
      <c r="CY36" s="1457"/>
      <c r="CZ36" s="1457"/>
      <c r="DA36" s="3311">
        <f t="shared" si="5"/>
        <v>0</v>
      </c>
      <c r="DB36" s="3311">
        <f t="shared" si="6"/>
        <v>0</v>
      </c>
      <c r="DC36" s="3311">
        <f t="shared" si="7"/>
        <v>0</v>
      </c>
      <c r="DD36" s="3311">
        <f t="shared" si="8"/>
        <v>0</v>
      </c>
      <c r="DE36" s="3311"/>
      <c r="DF36" s="3311"/>
      <c r="DG36" s="3311"/>
      <c r="DH36" s="3311"/>
      <c r="DI36" s="3311"/>
      <c r="DJ36" s="3311"/>
      <c r="DK36" s="3311"/>
      <c r="DL36" s="3311"/>
    </row>
    <row r="37" spans="1:116" ht="16.350000000000001" customHeight="1" x14ac:dyDescent="0.25">
      <c r="A37" s="2918" t="s">
        <v>272</v>
      </c>
      <c r="B37" s="2779">
        <f t="shared" si="9"/>
        <v>0</v>
      </c>
      <c r="C37" s="3498"/>
      <c r="D37" s="3497"/>
      <c r="E37" s="3497"/>
      <c r="F37" s="3497"/>
      <c r="G37" s="2966"/>
      <c r="H37" s="2966"/>
      <c r="I37" s="2966"/>
      <c r="J37" s="2966"/>
      <c r="K37" s="2966"/>
      <c r="L37" s="2966"/>
      <c r="M37" s="2966"/>
      <c r="N37" s="2966"/>
      <c r="O37" s="2966"/>
      <c r="P37" s="2966"/>
      <c r="Q37" s="2966"/>
      <c r="R37" s="2966"/>
      <c r="S37" s="2887"/>
      <c r="T37" s="2729"/>
      <c r="U37" s="110"/>
      <c r="V37" s="122"/>
      <c r="W37" s="135">
        <f>SUM(X37+Y37+Z37)</f>
        <v>0</v>
      </c>
      <c r="X37" s="110"/>
      <c r="Y37" s="111"/>
      <c r="Z37" s="122"/>
      <c r="AA37" s="323">
        <f t="shared" si="11"/>
        <v>0</v>
      </c>
      <c r="AB37" s="110"/>
      <c r="AC37" s="136"/>
      <c r="AD37" s="122"/>
      <c r="AE37" s="3322"/>
      <c r="AF37" s="2074"/>
      <c r="AG37" s="1381" t="str">
        <f t="shared" si="12"/>
        <v/>
      </c>
      <c r="AH37" s="802"/>
      <c r="AI37" s="802"/>
      <c r="AJ37" s="802"/>
      <c r="AK37" s="802"/>
      <c r="AL37" s="802"/>
      <c r="AM37" s="802"/>
      <c r="AN37" s="802"/>
      <c r="AO37" s="290"/>
      <c r="AP37" s="290"/>
      <c r="AQ37" s="290"/>
      <c r="AR37" s="290"/>
      <c r="AS37" s="290"/>
      <c r="BE37" s="1452"/>
      <c r="BF37" s="1452"/>
      <c r="BX37" s="165"/>
      <c r="BY37" s="165"/>
      <c r="BZ37" s="165"/>
      <c r="CA37" s="1548" t="str">
        <f t="shared" si="0"/>
        <v/>
      </c>
      <c r="CB37" s="1548" t="str">
        <f t="shared" si="1"/>
        <v/>
      </c>
      <c r="CC37" s="1548" t="str">
        <f t="shared" si="2"/>
        <v/>
      </c>
      <c r="CD37" s="1548" t="str">
        <f t="shared" si="3"/>
        <v/>
      </c>
      <c r="CE37" s="1548" t="str">
        <f t="shared" si="4"/>
        <v/>
      </c>
      <c r="CF37" s="1548"/>
      <c r="CS37" s="1457"/>
      <c r="CT37" s="1457"/>
      <c r="CU37" s="1457"/>
      <c r="CV37" s="1457"/>
      <c r="CW37" s="1457"/>
      <c r="CX37" s="1457"/>
      <c r="CY37" s="1457"/>
      <c r="CZ37" s="1457"/>
      <c r="DA37" s="3311">
        <f t="shared" si="5"/>
        <v>0</v>
      </c>
      <c r="DB37" s="3311">
        <f t="shared" si="6"/>
        <v>0</v>
      </c>
      <c r="DC37" s="3311">
        <f t="shared" si="7"/>
        <v>0</v>
      </c>
      <c r="DD37" s="3311">
        <f t="shared" si="8"/>
        <v>0</v>
      </c>
      <c r="DE37" s="3311"/>
      <c r="DF37" s="3311"/>
      <c r="DG37" s="3311"/>
      <c r="DH37" s="3311"/>
      <c r="DI37" s="3311"/>
      <c r="DJ37" s="3311"/>
      <c r="DK37" s="3311"/>
      <c r="DL37" s="3311"/>
    </row>
    <row r="38" spans="1:116" ht="16.350000000000001" customHeight="1" x14ac:dyDescent="0.25">
      <c r="A38" s="2918" t="s">
        <v>273</v>
      </c>
      <c r="B38" s="2779">
        <f t="shared" si="9"/>
        <v>0</v>
      </c>
      <c r="C38" s="3498"/>
      <c r="D38" s="3497"/>
      <c r="E38" s="3497"/>
      <c r="F38" s="3497"/>
      <c r="G38" s="3497"/>
      <c r="H38" s="3497"/>
      <c r="I38" s="3497"/>
      <c r="J38" s="3497"/>
      <c r="K38" s="3497"/>
      <c r="L38" s="2966"/>
      <c r="M38" s="2966"/>
      <c r="N38" s="2966"/>
      <c r="O38" s="2966"/>
      <c r="P38" s="2966"/>
      <c r="Q38" s="2966"/>
      <c r="R38" s="2966"/>
      <c r="S38" s="2887"/>
      <c r="T38" s="2729"/>
      <c r="U38" s="110"/>
      <c r="V38" s="122"/>
      <c r="W38" s="135">
        <f>SUM(X38+Y38+Z38)</f>
        <v>0</v>
      </c>
      <c r="X38" s="110"/>
      <c r="Y38" s="111"/>
      <c r="Z38" s="122"/>
      <c r="AA38" s="323">
        <f>SUM(AB38+AC38+AD38)</f>
        <v>0</v>
      </c>
      <c r="AB38" s="110"/>
      <c r="AC38" s="136"/>
      <c r="AD38" s="122"/>
      <c r="AE38" s="3322"/>
      <c r="AF38" s="2074"/>
      <c r="AG38" s="1381" t="str">
        <f t="shared" si="12"/>
        <v/>
      </c>
      <c r="AH38" s="802"/>
      <c r="AI38" s="802"/>
      <c r="AJ38" s="802"/>
      <c r="AK38" s="802"/>
      <c r="AL38" s="802"/>
      <c r="AM38" s="802"/>
      <c r="AN38" s="802"/>
      <c r="AO38" s="290"/>
      <c r="AP38" s="290"/>
      <c r="AQ38" s="290"/>
      <c r="AR38" s="290"/>
      <c r="AS38" s="290"/>
      <c r="BE38" s="1452"/>
      <c r="BF38" s="1452"/>
      <c r="BX38" s="165"/>
      <c r="BY38" s="165"/>
      <c r="BZ38" s="165"/>
      <c r="CA38" s="1548" t="str">
        <f t="shared" si="0"/>
        <v/>
      </c>
      <c r="CB38" s="1548" t="str">
        <f t="shared" si="1"/>
        <v/>
      </c>
      <c r="CC38" s="1548" t="str">
        <f t="shared" si="2"/>
        <v/>
      </c>
      <c r="CD38" s="1548" t="str">
        <f t="shared" si="3"/>
        <v/>
      </c>
      <c r="CE38" s="1548" t="str">
        <f t="shared" si="4"/>
        <v/>
      </c>
      <c r="CF38" s="1548"/>
      <c r="CS38" s="1457"/>
      <c r="CT38" s="1457"/>
      <c r="CU38" s="1457"/>
      <c r="CV38" s="1457"/>
      <c r="CW38" s="1457"/>
      <c r="CX38" s="1457"/>
      <c r="CY38" s="1457"/>
      <c r="CZ38" s="1457"/>
      <c r="DA38" s="3311">
        <f t="shared" si="5"/>
        <v>0</v>
      </c>
      <c r="DB38" s="3311">
        <f t="shared" si="6"/>
        <v>0</v>
      </c>
      <c r="DC38" s="3311">
        <f t="shared" si="7"/>
        <v>0</v>
      </c>
      <c r="DD38" s="3311">
        <f t="shared" si="8"/>
        <v>0</v>
      </c>
      <c r="DE38" s="3311"/>
      <c r="DF38" s="3311"/>
      <c r="DG38" s="3311"/>
      <c r="DH38" s="3311"/>
      <c r="DI38" s="3311"/>
      <c r="DJ38" s="3311"/>
      <c r="DK38" s="3311"/>
      <c r="DL38" s="3311"/>
    </row>
    <row r="39" spans="1:116" ht="16.350000000000001" customHeight="1" x14ac:dyDescent="0.25">
      <c r="A39" s="2918" t="s">
        <v>458</v>
      </c>
      <c r="B39" s="2779">
        <f t="shared" si="9"/>
        <v>0</v>
      </c>
      <c r="C39" s="3498"/>
      <c r="D39" s="3497"/>
      <c r="E39" s="3497"/>
      <c r="F39" s="2966"/>
      <c r="G39" s="2966"/>
      <c r="H39" s="2966"/>
      <c r="I39" s="2966"/>
      <c r="J39" s="2966"/>
      <c r="K39" s="2966"/>
      <c r="L39" s="2966"/>
      <c r="M39" s="2966"/>
      <c r="N39" s="2966"/>
      <c r="O39" s="2966"/>
      <c r="P39" s="2966"/>
      <c r="Q39" s="2966"/>
      <c r="R39" s="2966"/>
      <c r="S39" s="2887"/>
      <c r="T39" s="2729"/>
      <c r="U39" s="110"/>
      <c r="V39" s="122"/>
      <c r="W39" s="135">
        <f>SUM(X39+Y39+Z39)</f>
        <v>0</v>
      </c>
      <c r="X39" s="110"/>
      <c r="Y39" s="111"/>
      <c r="Z39" s="122"/>
      <c r="AA39" s="323">
        <f>SUM(AB39+AC39+AD39)</f>
        <v>0</v>
      </c>
      <c r="AB39" s="110"/>
      <c r="AC39" s="136"/>
      <c r="AD39" s="122"/>
      <c r="AE39" s="3322"/>
      <c r="AF39" s="2074"/>
      <c r="AG39" s="1381" t="str">
        <f t="shared" si="12"/>
        <v/>
      </c>
      <c r="AH39" s="802"/>
      <c r="AI39" s="802"/>
      <c r="AJ39" s="802"/>
      <c r="AK39" s="802"/>
      <c r="AL39" s="802"/>
      <c r="AM39" s="802"/>
      <c r="AN39" s="802"/>
      <c r="AO39" s="290"/>
      <c r="AP39" s="290"/>
      <c r="AQ39" s="290"/>
      <c r="AR39" s="290"/>
      <c r="AS39" s="290"/>
      <c r="BE39" s="1452"/>
      <c r="BF39" s="1452"/>
      <c r="BX39" s="165"/>
      <c r="BY39" s="165"/>
      <c r="BZ39" s="165"/>
      <c r="CA39" s="1548" t="str">
        <f t="shared" si="0"/>
        <v/>
      </c>
      <c r="CB39" s="1548" t="str">
        <f t="shared" si="1"/>
        <v/>
      </c>
      <c r="CC39" s="1548" t="str">
        <f t="shared" si="2"/>
        <v/>
      </c>
      <c r="CD39" s="1548" t="str">
        <f t="shared" si="3"/>
        <v/>
      </c>
      <c r="CE39" s="1548" t="str">
        <f t="shared" si="4"/>
        <v/>
      </c>
      <c r="CF39" s="1548"/>
      <c r="CS39" s="1457"/>
      <c r="CT39" s="1457"/>
      <c r="CU39" s="1457"/>
      <c r="CV39" s="1457"/>
      <c r="CW39" s="1457"/>
      <c r="CX39" s="1457"/>
      <c r="CY39" s="1457"/>
      <c r="CZ39" s="1457"/>
      <c r="DA39" s="3311">
        <f t="shared" si="5"/>
        <v>0</v>
      </c>
      <c r="DB39" s="3311">
        <f t="shared" si="6"/>
        <v>0</v>
      </c>
      <c r="DC39" s="3311">
        <f t="shared" si="7"/>
        <v>0</v>
      </c>
      <c r="DD39" s="3311">
        <f t="shared" si="8"/>
        <v>0</v>
      </c>
      <c r="DE39" s="3311"/>
      <c r="DF39" s="3311"/>
      <c r="DG39" s="3311"/>
      <c r="DH39" s="3311"/>
      <c r="DI39" s="3311"/>
      <c r="DJ39" s="3311"/>
      <c r="DK39" s="3311"/>
      <c r="DL39" s="3311"/>
    </row>
    <row r="40" spans="1:116" ht="16.350000000000001" customHeight="1" x14ac:dyDescent="0.25">
      <c r="A40" s="2918" t="s">
        <v>274</v>
      </c>
      <c r="B40" s="2779">
        <f t="shared" si="9"/>
        <v>0</v>
      </c>
      <c r="C40" s="3498"/>
      <c r="D40" s="3497"/>
      <c r="E40" s="3497"/>
      <c r="F40" s="2966"/>
      <c r="G40" s="2966"/>
      <c r="H40" s="2966"/>
      <c r="I40" s="2966"/>
      <c r="J40" s="2966"/>
      <c r="K40" s="2966"/>
      <c r="L40" s="2966"/>
      <c r="M40" s="2966"/>
      <c r="N40" s="2966"/>
      <c r="O40" s="2966"/>
      <c r="P40" s="2966"/>
      <c r="Q40" s="2966"/>
      <c r="R40" s="2966"/>
      <c r="S40" s="2887"/>
      <c r="T40" s="2729"/>
      <c r="U40" s="110"/>
      <c r="V40" s="122"/>
      <c r="W40" s="135">
        <f>SUM(X40+Y40+Z40)</f>
        <v>0</v>
      </c>
      <c r="X40" s="110"/>
      <c r="Y40" s="111"/>
      <c r="Z40" s="122"/>
      <c r="AA40" s="323">
        <f>SUM(AB40+AC40+AD40)</f>
        <v>0</v>
      </c>
      <c r="AB40" s="110"/>
      <c r="AC40" s="136"/>
      <c r="AD40" s="122"/>
      <c r="AE40" s="3322"/>
      <c r="AF40" s="2074"/>
      <c r="AG40" s="1381" t="str">
        <f t="shared" si="12"/>
        <v/>
      </c>
      <c r="AH40" s="802"/>
      <c r="AI40" s="802"/>
      <c r="AJ40" s="802"/>
      <c r="AK40" s="802"/>
      <c r="AL40" s="802"/>
      <c r="AM40" s="802"/>
      <c r="AN40" s="802"/>
      <c r="AO40" s="290"/>
      <c r="AP40" s="290"/>
      <c r="AQ40" s="290"/>
      <c r="AR40" s="290"/>
      <c r="AS40" s="290"/>
      <c r="BE40" s="1452"/>
      <c r="BF40" s="1452"/>
      <c r="BX40" s="165"/>
      <c r="BY40" s="165"/>
      <c r="BZ40" s="165"/>
      <c r="CA40" s="1548" t="str">
        <f t="shared" si="0"/>
        <v/>
      </c>
      <c r="CB40" s="1548" t="str">
        <f t="shared" si="1"/>
        <v/>
      </c>
      <c r="CC40" s="1548" t="str">
        <f t="shared" si="2"/>
        <v/>
      </c>
      <c r="CD40" s="1548" t="str">
        <f t="shared" si="3"/>
        <v/>
      </c>
      <c r="CE40" s="1548" t="str">
        <f t="shared" si="4"/>
        <v/>
      </c>
      <c r="CF40" s="1548"/>
      <c r="CS40" s="1457"/>
      <c r="CT40" s="1457"/>
      <c r="CU40" s="1457"/>
      <c r="CV40" s="1457"/>
      <c r="CW40" s="1457"/>
      <c r="CX40" s="1457"/>
      <c r="CY40" s="1457"/>
      <c r="CZ40" s="1457"/>
      <c r="DA40" s="3311">
        <f t="shared" si="5"/>
        <v>0</v>
      </c>
      <c r="DB40" s="3311">
        <f t="shared" si="6"/>
        <v>0</v>
      </c>
      <c r="DC40" s="3311">
        <f t="shared" si="7"/>
        <v>0</v>
      </c>
      <c r="DD40" s="3311">
        <f t="shared" si="8"/>
        <v>0</v>
      </c>
      <c r="DE40" s="3311"/>
      <c r="DF40" s="3311"/>
      <c r="DG40" s="3311"/>
      <c r="DH40" s="3311"/>
      <c r="DI40" s="3311"/>
      <c r="DJ40" s="3311"/>
      <c r="DK40" s="3311"/>
      <c r="DL40" s="3311"/>
    </row>
    <row r="41" spans="1:116" ht="16.350000000000001" customHeight="1" x14ac:dyDescent="0.25">
      <c r="A41" s="2918" t="s">
        <v>275</v>
      </c>
      <c r="B41" s="2779">
        <f t="shared" si="9"/>
        <v>0</v>
      </c>
      <c r="C41" s="3498"/>
      <c r="D41" s="3497"/>
      <c r="E41" s="3497"/>
      <c r="F41" s="2966"/>
      <c r="G41" s="2966"/>
      <c r="H41" s="2966"/>
      <c r="I41" s="2966"/>
      <c r="J41" s="2966"/>
      <c r="K41" s="2966"/>
      <c r="L41" s="2966"/>
      <c r="M41" s="2966"/>
      <c r="N41" s="2966"/>
      <c r="O41" s="2966"/>
      <c r="P41" s="2966"/>
      <c r="Q41" s="2966"/>
      <c r="R41" s="2966"/>
      <c r="S41" s="2887"/>
      <c r="T41" s="2729"/>
      <c r="U41" s="110"/>
      <c r="V41" s="122"/>
      <c r="W41" s="135">
        <f>SUM(X41+Y41+Z41)</f>
        <v>0</v>
      </c>
      <c r="X41" s="110"/>
      <c r="Y41" s="111"/>
      <c r="Z41" s="122"/>
      <c r="AA41" s="323">
        <f>SUM(AB41+AC41+AD41)</f>
        <v>0</v>
      </c>
      <c r="AB41" s="110"/>
      <c r="AC41" s="136"/>
      <c r="AD41" s="122"/>
      <c r="AE41" s="3322"/>
      <c r="AF41" s="2074"/>
      <c r="AG41" s="1381" t="str">
        <f t="shared" si="12"/>
        <v/>
      </c>
      <c r="AH41" s="802"/>
      <c r="AI41" s="802"/>
      <c r="AJ41" s="802"/>
      <c r="AK41" s="802"/>
      <c r="AL41" s="802"/>
      <c r="AM41" s="802"/>
      <c r="AN41" s="802"/>
      <c r="AO41" s="290"/>
      <c r="AP41" s="290"/>
      <c r="AQ41" s="290"/>
      <c r="AR41" s="290"/>
      <c r="AS41" s="290"/>
      <c r="BE41" s="1452"/>
      <c r="BF41" s="1452"/>
      <c r="BX41" s="165"/>
      <c r="BY41" s="165"/>
      <c r="BZ41" s="165"/>
      <c r="CA41" s="1548" t="str">
        <f t="shared" si="0"/>
        <v/>
      </c>
      <c r="CB41" s="1548" t="str">
        <f t="shared" si="1"/>
        <v/>
      </c>
      <c r="CC41" s="1548" t="str">
        <f t="shared" si="2"/>
        <v/>
      </c>
      <c r="CD41" s="1548" t="str">
        <f t="shared" si="3"/>
        <v/>
      </c>
      <c r="CE41" s="1548" t="str">
        <f t="shared" si="4"/>
        <v/>
      </c>
      <c r="CF41" s="1548"/>
      <c r="CS41" s="1457"/>
      <c r="CT41" s="1457"/>
      <c r="CU41" s="1457"/>
      <c r="CV41" s="1457"/>
      <c r="CW41" s="1457"/>
      <c r="CX41" s="1457"/>
      <c r="CY41" s="1457"/>
      <c r="CZ41" s="1457"/>
      <c r="DA41" s="3311">
        <f t="shared" si="5"/>
        <v>0</v>
      </c>
      <c r="DB41" s="3311">
        <f t="shared" si="6"/>
        <v>0</v>
      </c>
      <c r="DC41" s="3311">
        <f t="shared" si="7"/>
        <v>0</v>
      </c>
      <c r="DD41" s="3311">
        <f t="shared" si="8"/>
        <v>0</v>
      </c>
      <c r="DE41" s="3311"/>
      <c r="DF41" s="3311"/>
      <c r="DG41" s="3311"/>
      <c r="DH41" s="3311"/>
      <c r="DI41" s="3311"/>
      <c r="DJ41" s="3311"/>
      <c r="DK41" s="3311"/>
      <c r="DL41" s="3311"/>
    </row>
    <row r="42" spans="1:116" ht="16.350000000000001" customHeight="1" x14ac:dyDescent="0.25">
      <c r="A42" s="2918" t="s">
        <v>459</v>
      </c>
      <c r="B42" s="2779">
        <f t="shared" si="9"/>
        <v>0</v>
      </c>
      <c r="C42" s="2885"/>
      <c r="D42" s="2966"/>
      <c r="E42" s="2966"/>
      <c r="F42" s="2966"/>
      <c r="G42" s="2966"/>
      <c r="H42" s="2966"/>
      <c r="I42" s="2966"/>
      <c r="J42" s="2966"/>
      <c r="K42" s="2966"/>
      <c r="L42" s="2966"/>
      <c r="M42" s="2966"/>
      <c r="N42" s="2966"/>
      <c r="O42" s="2966"/>
      <c r="P42" s="2966"/>
      <c r="Q42" s="2966"/>
      <c r="R42" s="2966"/>
      <c r="S42" s="2887"/>
      <c r="T42" s="2729"/>
      <c r="U42" s="110"/>
      <c r="V42" s="122"/>
      <c r="W42" s="135">
        <f t="shared" ref="W42:W67" si="13">SUM(X42+Y42+Z42)</f>
        <v>0</v>
      </c>
      <c r="X42" s="110"/>
      <c r="Y42" s="111"/>
      <c r="Z42" s="122"/>
      <c r="AA42" s="323">
        <f>SUM(AB42+AC42+AD42)</f>
        <v>0</v>
      </c>
      <c r="AB42" s="110"/>
      <c r="AC42" s="136"/>
      <c r="AD42" s="122"/>
      <c r="AE42" s="3322"/>
      <c r="AF42" s="2074"/>
      <c r="AG42" s="1381" t="str">
        <f t="shared" si="12"/>
        <v/>
      </c>
      <c r="AH42" s="802"/>
      <c r="AI42" s="802"/>
      <c r="AJ42" s="802"/>
      <c r="AK42" s="802"/>
      <c r="AL42" s="802"/>
      <c r="AM42" s="802"/>
      <c r="AN42" s="802"/>
      <c r="AO42" s="290"/>
      <c r="AP42" s="290"/>
      <c r="AQ42" s="290"/>
      <c r="AR42" s="290"/>
      <c r="AS42" s="290"/>
      <c r="BE42" s="1452"/>
      <c r="BF42" s="1452"/>
      <c r="BX42" s="165"/>
      <c r="BY42" s="165"/>
      <c r="BZ42" s="165"/>
      <c r="CA42" s="1548" t="str">
        <f t="shared" si="0"/>
        <v/>
      </c>
      <c r="CB42" s="1548" t="str">
        <f t="shared" si="1"/>
        <v/>
      </c>
      <c r="CC42" s="1548" t="str">
        <f t="shared" si="2"/>
        <v/>
      </c>
      <c r="CD42" s="1548" t="str">
        <f t="shared" si="3"/>
        <v/>
      </c>
      <c r="CE42" s="1548" t="str">
        <f t="shared" si="4"/>
        <v/>
      </c>
      <c r="CF42" s="1548"/>
      <c r="CS42" s="1457"/>
      <c r="CT42" s="1457"/>
      <c r="CU42" s="1457"/>
      <c r="CV42" s="1457"/>
      <c r="CW42" s="1457"/>
      <c r="CX42" s="1457"/>
      <c r="CY42" s="1457"/>
      <c r="CZ42" s="1457"/>
      <c r="DA42" s="3311">
        <f t="shared" si="5"/>
        <v>0</v>
      </c>
      <c r="DB42" s="3311">
        <f t="shared" si="6"/>
        <v>0</v>
      </c>
      <c r="DC42" s="3311">
        <f t="shared" si="7"/>
        <v>0</v>
      </c>
      <c r="DD42" s="3311">
        <f t="shared" si="8"/>
        <v>0</v>
      </c>
      <c r="DE42" s="3311"/>
      <c r="DF42" s="3311"/>
      <c r="DG42" s="3311"/>
      <c r="DH42" s="3311"/>
      <c r="DI42" s="3311"/>
      <c r="DJ42" s="3311"/>
      <c r="DK42" s="3311"/>
      <c r="DL42" s="3311"/>
    </row>
    <row r="43" spans="1:116" ht="16.350000000000001" customHeight="1" x14ac:dyDescent="0.25">
      <c r="A43" s="2918" t="s">
        <v>276</v>
      </c>
      <c r="B43" s="2779">
        <f t="shared" si="9"/>
        <v>0</v>
      </c>
      <c r="C43" s="2885"/>
      <c r="D43" s="2966"/>
      <c r="E43" s="2966"/>
      <c r="F43" s="2966"/>
      <c r="G43" s="2966"/>
      <c r="H43" s="2966"/>
      <c r="I43" s="2966"/>
      <c r="J43" s="2966"/>
      <c r="K43" s="2966"/>
      <c r="L43" s="2966"/>
      <c r="M43" s="2966"/>
      <c r="N43" s="2966"/>
      <c r="O43" s="2966"/>
      <c r="P43" s="2966"/>
      <c r="Q43" s="2966"/>
      <c r="R43" s="2966"/>
      <c r="S43" s="2887"/>
      <c r="T43" s="2729"/>
      <c r="U43" s="110"/>
      <c r="V43" s="122"/>
      <c r="W43" s="135">
        <f t="shared" si="13"/>
        <v>0</v>
      </c>
      <c r="X43" s="110"/>
      <c r="Y43" s="111"/>
      <c r="Z43" s="122"/>
      <c r="AA43" s="323">
        <f t="shared" ref="AA43:AA70" si="14">SUM(AB43+AC43+AD43)</f>
        <v>0</v>
      </c>
      <c r="AB43" s="110"/>
      <c r="AC43" s="136"/>
      <c r="AD43" s="122"/>
      <c r="AE43" s="3322"/>
      <c r="AF43" s="2074"/>
      <c r="AG43" s="1381" t="str">
        <f t="shared" si="12"/>
        <v/>
      </c>
      <c r="AH43" s="802"/>
      <c r="AI43" s="802"/>
      <c r="AJ43" s="802"/>
      <c r="AK43" s="802"/>
      <c r="AL43" s="802"/>
      <c r="AM43" s="802"/>
      <c r="AN43" s="802"/>
      <c r="AO43" s="290"/>
      <c r="AP43" s="290"/>
      <c r="AQ43" s="290"/>
      <c r="AR43" s="290"/>
      <c r="AS43" s="290"/>
      <c r="BE43" s="1452"/>
      <c r="BF43" s="1452"/>
      <c r="BX43" s="165"/>
      <c r="BY43" s="165"/>
      <c r="BZ43" s="165"/>
      <c r="CA43" s="1548" t="str">
        <f t="shared" ref="CA43:CA70" si="15">IF(DA43=1,"* El número de consultas según sexo NO DEBE ser diferente al Total. ","")</f>
        <v/>
      </c>
      <c r="CB43" s="1548" t="str">
        <f t="shared" ref="CB43:CB70" si="16">IF(DB43=1,"* No olvide digitar la columna Beneficiarios (Digite CEROS si no tiene). ","")</f>
        <v/>
      </c>
      <c r="CC43" s="1548" t="str">
        <f t="shared" ref="CC43:CC70" si="17">IF(DC43=1,"* El número de Beneficiarios NO DEBE ser mayor que el Total. ","")</f>
        <v/>
      </c>
      <c r="CD43" s="1548" t="str">
        <f t="shared" ref="CD43:CD70" si="18">IF(DD43=1,"* El total de Consultas Nuevas NO DEBE ser MAYOR que el total de las Consultas Médicas. ","")</f>
        <v/>
      </c>
      <c r="CE43" s="1548" t="str">
        <f t="shared" ref="CE43:CE70" si="19">IF(DE43=1,"* No olvide registrar datos en Pertinencia (Digite CEROS si no tiene). ","")</f>
        <v/>
      </c>
      <c r="CF43" s="1548"/>
      <c r="CS43" s="1457"/>
      <c r="CT43" s="1457"/>
      <c r="CU43" s="1457"/>
      <c r="CV43" s="1457"/>
      <c r="CW43" s="1457"/>
      <c r="CX43" s="1457"/>
      <c r="CY43" s="1457"/>
      <c r="CZ43" s="1457"/>
      <c r="DA43" s="3311">
        <f t="shared" ref="DA43:DA70" si="20">IF(B43&lt;&gt;(U43+V43),1,0)</f>
        <v>0</v>
      </c>
      <c r="DB43" s="3311">
        <f t="shared" ref="DB43:DB70" si="21">IF(AND(B43&lt;&gt;0,T43=""),1,0)</f>
        <v>0</v>
      </c>
      <c r="DC43" s="3311">
        <f t="shared" ref="DC43:DC70" si="22">IF(B43&lt;(T43),1,0)</f>
        <v>0</v>
      </c>
      <c r="DD43" s="3311">
        <f t="shared" ref="DD43:DD70" si="23">IF(B43&lt;(W43+AA43),1,0)</f>
        <v>0</v>
      </c>
      <c r="DE43" s="3311"/>
      <c r="DF43" s="3311"/>
      <c r="DG43" s="3311"/>
      <c r="DH43" s="3311"/>
      <c r="DI43" s="3311"/>
      <c r="DJ43" s="3311"/>
      <c r="DK43" s="3311"/>
      <c r="DL43" s="3311"/>
    </row>
    <row r="44" spans="1:116" ht="16.350000000000001" customHeight="1" x14ac:dyDescent="0.25">
      <c r="A44" s="2918" t="s">
        <v>460</v>
      </c>
      <c r="B44" s="2779">
        <f t="shared" si="9"/>
        <v>0</v>
      </c>
      <c r="C44" s="2885"/>
      <c r="D44" s="2966"/>
      <c r="E44" s="2966"/>
      <c r="F44" s="2966"/>
      <c r="G44" s="2966"/>
      <c r="H44" s="2966"/>
      <c r="I44" s="2966"/>
      <c r="J44" s="2966"/>
      <c r="K44" s="2966"/>
      <c r="L44" s="2966"/>
      <c r="M44" s="2966"/>
      <c r="N44" s="2966"/>
      <c r="O44" s="2966"/>
      <c r="P44" s="2966"/>
      <c r="Q44" s="2966"/>
      <c r="R44" s="2966"/>
      <c r="S44" s="2887"/>
      <c r="T44" s="2729"/>
      <c r="U44" s="2029"/>
      <c r="V44" s="2032"/>
      <c r="W44" s="2072">
        <f t="shared" si="13"/>
        <v>0</v>
      </c>
      <c r="X44" s="110"/>
      <c r="Y44" s="111"/>
      <c r="Z44" s="122"/>
      <c r="AA44" s="323">
        <f t="shared" si="14"/>
        <v>0</v>
      </c>
      <c r="AB44" s="110"/>
      <c r="AC44" s="136"/>
      <c r="AD44" s="122"/>
      <c r="AE44" s="3322"/>
      <c r="AF44" s="2074"/>
      <c r="AG44" s="1381" t="str">
        <f t="shared" si="12"/>
        <v/>
      </c>
      <c r="AH44" s="802"/>
      <c r="AI44" s="802"/>
      <c r="AJ44" s="802"/>
      <c r="AK44" s="802"/>
      <c r="AL44" s="802"/>
      <c r="AM44" s="802"/>
      <c r="AN44" s="802"/>
      <c r="AO44" s="290"/>
      <c r="AP44" s="290"/>
      <c r="AQ44" s="290"/>
      <c r="AR44" s="290"/>
      <c r="AS44" s="290"/>
      <c r="BE44" s="1452"/>
      <c r="BF44" s="1452"/>
      <c r="BX44" s="165"/>
      <c r="BY44" s="165"/>
      <c r="BZ44" s="165"/>
      <c r="CA44" s="1548" t="str">
        <f t="shared" si="15"/>
        <v/>
      </c>
      <c r="CB44" s="1548" t="str">
        <f t="shared" si="16"/>
        <v/>
      </c>
      <c r="CC44" s="1548" t="str">
        <f t="shared" si="17"/>
        <v/>
      </c>
      <c r="CD44" s="1548" t="str">
        <f t="shared" si="18"/>
        <v/>
      </c>
      <c r="CE44" s="1548" t="str">
        <f t="shared" si="19"/>
        <v/>
      </c>
      <c r="CF44" s="1548"/>
      <c r="CS44" s="1457"/>
      <c r="CT44" s="1457"/>
      <c r="CU44" s="1457"/>
      <c r="CV44" s="1457"/>
      <c r="CW44" s="1457"/>
      <c r="CX44" s="1457"/>
      <c r="CY44" s="1457"/>
      <c r="CZ44" s="1457"/>
      <c r="DA44" s="3311">
        <f t="shared" si="20"/>
        <v>0</v>
      </c>
      <c r="DB44" s="3311">
        <f t="shared" si="21"/>
        <v>0</v>
      </c>
      <c r="DC44" s="3311">
        <f t="shared" si="22"/>
        <v>0</v>
      </c>
      <c r="DD44" s="3311">
        <f t="shared" si="23"/>
        <v>0</v>
      </c>
      <c r="DE44" s="3311"/>
      <c r="DF44" s="3311"/>
      <c r="DG44" s="3311"/>
      <c r="DH44" s="3311"/>
      <c r="DI44" s="3311"/>
      <c r="DJ44" s="3311"/>
      <c r="DK44" s="3311"/>
      <c r="DL44" s="3311"/>
    </row>
    <row r="45" spans="1:116" ht="16.350000000000001" customHeight="1" x14ac:dyDescent="0.25">
      <c r="A45" s="153" t="s">
        <v>3575</v>
      </c>
      <c r="B45" s="2779">
        <f t="shared" si="9"/>
        <v>0</v>
      </c>
      <c r="C45" s="3498"/>
      <c r="D45" s="3497"/>
      <c r="E45" s="3497"/>
      <c r="F45" s="3497"/>
      <c r="G45" s="2966"/>
      <c r="H45" s="2966"/>
      <c r="I45" s="2966"/>
      <c r="J45" s="2966"/>
      <c r="K45" s="2966"/>
      <c r="L45" s="2966"/>
      <c r="M45" s="2966"/>
      <c r="N45" s="2966"/>
      <c r="O45" s="2966"/>
      <c r="P45" s="2966"/>
      <c r="Q45" s="2966"/>
      <c r="R45" s="2966"/>
      <c r="S45" s="2887"/>
      <c r="T45" s="2729"/>
      <c r="U45" s="2029"/>
      <c r="V45" s="2074"/>
      <c r="W45" s="2072">
        <f t="shared" si="13"/>
        <v>0</v>
      </c>
      <c r="X45" s="110"/>
      <c r="Y45" s="111"/>
      <c r="Z45" s="122"/>
      <c r="AA45" s="323">
        <f t="shared" si="14"/>
        <v>0</v>
      </c>
      <c r="AB45" s="110"/>
      <c r="AC45" s="136"/>
      <c r="AD45" s="122"/>
      <c r="AE45" s="3322"/>
      <c r="AF45" s="2074"/>
      <c r="AG45" s="1381" t="str">
        <f t="shared" si="12"/>
        <v/>
      </c>
      <c r="AH45" s="802"/>
      <c r="AI45" s="802"/>
      <c r="AJ45" s="802"/>
      <c r="AK45" s="802"/>
      <c r="AL45" s="802"/>
      <c r="AM45" s="802"/>
      <c r="AN45" s="802"/>
      <c r="AO45" s="290"/>
      <c r="AP45" s="290"/>
      <c r="AQ45" s="290"/>
      <c r="AR45" s="290"/>
      <c r="AS45" s="290"/>
      <c r="BE45" s="1452"/>
      <c r="BF45" s="1452"/>
      <c r="BX45" s="165"/>
      <c r="BY45" s="165"/>
      <c r="BZ45" s="165"/>
      <c r="CA45" s="1548" t="str">
        <f t="shared" si="15"/>
        <v/>
      </c>
      <c r="CB45" s="1548" t="str">
        <f t="shared" si="16"/>
        <v/>
      </c>
      <c r="CC45" s="1548" t="str">
        <f t="shared" si="17"/>
        <v/>
      </c>
      <c r="CD45" s="1548" t="str">
        <f t="shared" si="18"/>
        <v/>
      </c>
      <c r="CE45" s="1548" t="str">
        <f t="shared" si="19"/>
        <v/>
      </c>
      <c r="CF45" s="1548"/>
      <c r="CS45" s="1457"/>
      <c r="CT45" s="1457"/>
      <c r="CU45" s="1457"/>
      <c r="CV45" s="1457"/>
      <c r="CW45" s="1457"/>
      <c r="CX45" s="1457"/>
      <c r="CY45" s="1457"/>
      <c r="CZ45" s="1457"/>
      <c r="DA45" s="3311">
        <f t="shared" si="20"/>
        <v>0</v>
      </c>
      <c r="DB45" s="3311">
        <f t="shared" si="21"/>
        <v>0</v>
      </c>
      <c r="DC45" s="3311">
        <f t="shared" si="22"/>
        <v>0</v>
      </c>
      <c r="DD45" s="3311">
        <f t="shared" si="23"/>
        <v>0</v>
      </c>
      <c r="DE45" s="3311"/>
      <c r="DF45" s="3311"/>
      <c r="DG45" s="3311"/>
      <c r="DH45" s="3311"/>
      <c r="DI45" s="3311"/>
      <c r="DJ45" s="3311"/>
      <c r="DK45" s="3311"/>
      <c r="DL45" s="3311"/>
    </row>
    <row r="46" spans="1:116" ht="16.350000000000001" customHeight="1" x14ac:dyDescent="0.25">
      <c r="A46" s="3492" t="s">
        <v>277</v>
      </c>
      <c r="B46" s="2779">
        <f t="shared" si="9"/>
        <v>0</v>
      </c>
      <c r="C46" s="3498"/>
      <c r="D46" s="3497"/>
      <c r="E46" s="3497"/>
      <c r="F46" s="3497"/>
      <c r="G46" s="2966"/>
      <c r="H46" s="2966"/>
      <c r="I46" s="2966"/>
      <c r="J46" s="2966"/>
      <c r="K46" s="2966"/>
      <c r="L46" s="2966"/>
      <c r="M46" s="2966"/>
      <c r="N46" s="2966"/>
      <c r="O46" s="2966"/>
      <c r="P46" s="2966"/>
      <c r="Q46" s="2966"/>
      <c r="R46" s="2966"/>
      <c r="S46" s="2887"/>
      <c r="T46" s="2729"/>
      <c r="U46" s="2029"/>
      <c r="V46" s="2074"/>
      <c r="W46" s="2072">
        <f t="shared" si="13"/>
        <v>0</v>
      </c>
      <c r="X46" s="110"/>
      <c r="Y46" s="111"/>
      <c r="Z46" s="122"/>
      <c r="AA46" s="323">
        <f t="shared" si="14"/>
        <v>0</v>
      </c>
      <c r="AB46" s="110"/>
      <c r="AC46" s="136"/>
      <c r="AD46" s="122"/>
      <c r="AE46" s="3322"/>
      <c r="AF46" s="2074"/>
      <c r="AG46" s="1381" t="str">
        <f t="shared" si="12"/>
        <v/>
      </c>
      <c r="AH46" s="802"/>
      <c r="AI46" s="802"/>
      <c r="AJ46" s="802"/>
      <c r="AK46" s="802"/>
      <c r="AL46" s="802"/>
      <c r="AM46" s="802"/>
      <c r="AN46" s="802"/>
      <c r="AO46" s="290"/>
      <c r="AP46" s="290"/>
      <c r="AQ46" s="290"/>
      <c r="AR46" s="290"/>
      <c r="AS46" s="290"/>
      <c r="BE46" s="1452"/>
      <c r="BF46" s="1452"/>
      <c r="BX46" s="165"/>
      <c r="BY46" s="165"/>
      <c r="BZ46" s="165"/>
      <c r="CA46" s="1548" t="str">
        <f t="shared" si="15"/>
        <v/>
      </c>
      <c r="CB46" s="1548" t="str">
        <f t="shared" si="16"/>
        <v/>
      </c>
      <c r="CC46" s="1548" t="str">
        <f t="shared" si="17"/>
        <v/>
      </c>
      <c r="CD46" s="1548" t="str">
        <f t="shared" si="18"/>
        <v/>
      </c>
      <c r="CE46" s="1548" t="str">
        <f t="shared" si="19"/>
        <v/>
      </c>
      <c r="CF46" s="1548"/>
      <c r="CS46" s="1457"/>
      <c r="CT46" s="1457"/>
      <c r="CU46" s="1457"/>
      <c r="CV46" s="1457"/>
      <c r="CW46" s="1457"/>
      <c r="CX46" s="1457"/>
      <c r="CY46" s="1457"/>
      <c r="CZ46" s="1457"/>
      <c r="DA46" s="3311">
        <f t="shared" si="20"/>
        <v>0</v>
      </c>
      <c r="DB46" s="3311">
        <f t="shared" si="21"/>
        <v>0</v>
      </c>
      <c r="DC46" s="3311">
        <f t="shared" si="22"/>
        <v>0</v>
      </c>
      <c r="DD46" s="3311">
        <f t="shared" si="23"/>
        <v>0</v>
      </c>
      <c r="DE46" s="3311"/>
      <c r="DF46" s="3311"/>
      <c r="DG46" s="3311"/>
      <c r="DH46" s="3311"/>
      <c r="DI46" s="3311"/>
      <c r="DJ46" s="3311"/>
      <c r="DK46" s="3311"/>
      <c r="DL46" s="3311"/>
    </row>
    <row r="47" spans="1:116" ht="16.350000000000001" customHeight="1" x14ac:dyDescent="0.25">
      <c r="A47" s="2918" t="s">
        <v>278</v>
      </c>
      <c r="B47" s="2779">
        <f t="shared" si="9"/>
        <v>0</v>
      </c>
      <c r="C47" s="3498"/>
      <c r="D47" s="3497"/>
      <c r="E47" s="3497"/>
      <c r="F47" s="3497"/>
      <c r="G47" s="3497"/>
      <c r="H47" s="3497"/>
      <c r="I47" s="3497"/>
      <c r="J47" s="3497"/>
      <c r="K47" s="3497"/>
      <c r="L47" s="2966"/>
      <c r="M47" s="2966"/>
      <c r="N47" s="2966"/>
      <c r="O47" s="2966"/>
      <c r="P47" s="2966"/>
      <c r="Q47" s="2966"/>
      <c r="R47" s="2966"/>
      <c r="S47" s="2887"/>
      <c r="T47" s="2729"/>
      <c r="U47" s="2029"/>
      <c r="V47" s="2074"/>
      <c r="W47" s="2072">
        <f t="shared" si="13"/>
        <v>0</v>
      </c>
      <c r="X47" s="110"/>
      <c r="Y47" s="111"/>
      <c r="Z47" s="122"/>
      <c r="AA47" s="323">
        <f t="shared" si="14"/>
        <v>0</v>
      </c>
      <c r="AB47" s="110"/>
      <c r="AC47" s="136"/>
      <c r="AD47" s="122"/>
      <c r="AE47" s="3322"/>
      <c r="AF47" s="2074"/>
      <c r="AG47" s="1381" t="str">
        <f t="shared" si="12"/>
        <v/>
      </c>
      <c r="AH47" s="802"/>
      <c r="AI47" s="802"/>
      <c r="AJ47" s="802"/>
      <c r="AK47" s="802"/>
      <c r="AL47" s="802"/>
      <c r="AM47" s="802"/>
      <c r="AN47" s="802"/>
      <c r="AO47" s="290"/>
      <c r="AP47" s="290"/>
      <c r="AQ47" s="290"/>
      <c r="AR47" s="290"/>
      <c r="AS47" s="290"/>
      <c r="BE47" s="1452"/>
      <c r="BF47" s="1452"/>
      <c r="BX47" s="165"/>
      <c r="BY47" s="165"/>
      <c r="BZ47" s="165"/>
      <c r="CA47" s="1548" t="str">
        <f t="shared" si="15"/>
        <v/>
      </c>
      <c r="CB47" s="1548" t="str">
        <f t="shared" si="16"/>
        <v/>
      </c>
      <c r="CC47" s="1548" t="str">
        <f t="shared" si="17"/>
        <v/>
      </c>
      <c r="CD47" s="1548" t="str">
        <f t="shared" si="18"/>
        <v/>
      </c>
      <c r="CE47" s="1548" t="str">
        <f t="shared" si="19"/>
        <v/>
      </c>
      <c r="CF47" s="1548"/>
      <c r="CS47" s="1457"/>
      <c r="CT47" s="1457"/>
      <c r="CU47" s="1457"/>
      <c r="CV47" s="1457"/>
      <c r="CW47" s="1457"/>
      <c r="CX47" s="1457"/>
      <c r="CY47" s="1457"/>
      <c r="CZ47" s="1457"/>
      <c r="DA47" s="3311">
        <f t="shared" si="20"/>
        <v>0</v>
      </c>
      <c r="DB47" s="3311">
        <f t="shared" si="21"/>
        <v>0</v>
      </c>
      <c r="DC47" s="3311">
        <f t="shared" si="22"/>
        <v>0</v>
      </c>
      <c r="DD47" s="3311">
        <f t="shared" si="23"/>
        <v>0</v>
      </c>
      <c r="DE47" s="3311"/>
      <c r="DF47" s="3311"/>
      <c r="DG47" s="3311"/>
      <c r="DH47" s="3311"/>
      <c r="DI47" s="3311"/>
      <c r="DJ47" s="3311"/>
      <c r="DK47" s="3311"/>
      <c r="DL47" s="3311"/>
    </row>
    <row r="48" spans="1:116" ht="16.350000000000001" customHeight="1" x14ac:dyDescent="0.25">
      <c r="A48" s="2918" t="s">
        <v>461</v>
      </c>
      <c r="B48" s="2779">
        <f t="shared" si="9"/>
        <v>0</v>
      </c>
      <c r="C48" s="3498"/>
      <c r="D48" s="3497"/>
      <c r="E48" s="3497"/>
      <c r="F48" s="3497"/>
      <c r="G48" s="2966"/>
      <c r="H48" s="2966"/>
      <c r="I48" s="2966"/>
      <c r="J48" s="2966"/>
      <c r="K48" s="2966"/>
      <c r="L48" s="2966"/>
      <c r="M48" s="2966"/>
      <c r="N48" s="2966"/>
      <c r="O48" s="2966"/>
      <c r="P48" s="2966"/>
      <c r="Q48" s="2966"/>
      <c r="R48" s="2966"/>
      <c r="S48" s="2887"/>
      <c r="T48" s="2475"/>
      <c r="U48" s="1332"/>
      <c r="V48" s="1338"/>
      <c r="W48" s="1523">
        <f t="shared" si="13"/>
        <v>0</v>
      </c>
      <c r="X48" s="110"/>
      <c r="Y48" s="111"/>
      <c r="Z48" s="122"/>
      <c r="AA48" s="323">
        <f t="shared" si="14"/>
        <v>0</v>
      </c>
      <c r="AB48" s="110"/>
      <c r="AC48" s="136"/>
      <c r="AD48" s="122"/>
      <c r="AE48" s="3322"/>
      <c r="AF48" s="2074"/>
      <c r="AG48" s="1381" t="str">
        <f t="shared" si="12"/>
        <v/>
      </c>
      <c r="AH48" s="802"/>
      <c r="AI48" s="802"/>
      <c r="AJ48" s="802"/>
      <c r="AK48" s="802"/>
      <c r="AL48" s="802"/>
      <c r="AM48" s="802"/>
      <c r="AN48" s="802"/>
      <c r="AO48" s="290"/>
      <c r="AP48" s="290"/>
      <c r="AQ48" s="290"/>
      <c r="AR48" s="290"/>
      <c r="AS48" s="290"/>
      <c r="BE48" s="1452"/>
      <c r="BF48" s="1452"/>
      <c r="BX48" s="165"/>
      <c r="BY48" s="165"/>
      <c r="BZ48" s="165"/>
      <c r="CA48" s="1548" t="str">
        <f t="shared" si="15"/>
        <v/>
      </c>
      <c r="CB48" s="1548" t="str">
        <f t="shared" si="16"/>
        <v/>
      </c>
      <c r="CC48" s="1548" t="str">
        <f t="shared" si="17"/>
        <v/>
      </c>
      <c r="CD48" s="1548" t="str">
        <f t="shared" si="18"/>
        <v/>
      </c>
      <c r="CE48" s="1548" t="str">
        <f t="shared" si="19"/>
        <v/>
      </c>
      <c r="CF48" s="1548"/>
      <c r="CS48" s="1457"/>
      <c r="CT48" s="1457"/>
      <c r="CU48" s="1457"/>
      <c r="CV48" s="1457"/>
      <c r="CW48" s="1457"/>
      <c r="CX48" s="1457"/>
      <c r="CY48" s="1457"/>
      <c r="CZ48" s="1457"/>
      <c r="DA48" s="3311">
        <f t="shared" si="20"/>
        <v>0</v>
      </c>
      <c r="DB48" s="3311">
        <f t="shared" si="21"/>
        <v>0</v>
      </c>
      <c r="DC48" s="3311">
        <f t="shared" si="22"/>
        <v>0</v>
      </c>
      <c r="DD48" s="3311">
        <f t="shared" si="23"/>
        <v>0</v>
      </c>
      <c r="DE48" s="3311"/>
      <c r="DF48" s="3311"/>
      <c r="DG48" s="3311"/>
      <c r="DH48" s="3311"/>
      <c r="DI48" s="3311"/>
      <c r="DJ48" s="3311"/>
      <c r="DK48" s="3311"/>
      <c r="DL48" s="3311"/>
    </row>
    <row r="49" spans="1:116" ht="16.350000000000001" customHeight="1" x14ac:dyDescent="0.25">
      <c r="A49" s="2918" t="s">
        <v>3576</v>
      </c>
      <c r="B49" s="2779">
        <f t="shared" si="9"/>
        <v>0</v>
      </c>
      <c r="C49" s="2885"/>
      <c r="D49" s="2966"/>
      <c r="E49" s="2966"/>
      <c r="F49" s="2966"/>
      <c r="G49" s="2966"/>
      <c r="H49" s="2966"/>
      <c r="I49" s="2966"/>
      <c r="J49" s="2966"/>
      <c r="K49" s="2966"/>
      <c r="L49" s="2966"/>
      <c r="M49" s="2966"/>
      <c r="N49" s="2966"/>
      <c r="O49" s="2966"/>
      <c r="P49" s="2966"/>
      <c r="Q49" s="2966"/>
      <c r="R49" s="2966"/>
      <c r="S49" s="2887"/>
      <c r="T49" s="2729"/>
      <c r="U49" s="110"/>
      <c r="V49" s="122"/>
      <c r="W49" s="135">
        <f t="shared" si="13"/>
        <v>0</v>
      </c>
      <c r="X49" s="110"/>
      <c r="Y49" s="111"/>
      <c r="Z49" s="122"/>
      <c r="AA49" s="323">
        <f t="shared" si="14"/>
        <v>0</v>
      </c>
      <c r="AB49" s="110"/>
      <c r="AC49" s="136"/>
      <c r="AD49" s="122"/>
      <c r="AE49" s="3322"/>
      <c r="AF49" s="2074"/>
      <c r="AG49" s="1381" t="str">
        <f t="shared" si="12"/>
        <v/>
      </c>
      <c r="AH49" s="802"/>
      <c r="AI49" s="802"/>
      <c r="AJ49" s="802"/>
      <c r="AK49" s="802"/>
      <c r="AL49" s="802"/>
      <c r="AM49" s="802"/>
      <c r="AN49" s="802"/>
      <c r="AO49" s="290"/>
      <c r="AP49" s="290"/>
      <c r="AQ49" s="290"/>
      <c r="AR49" s="290"/>
      <c r="AS49" s="290"/>
      <c r="BE49" s="1452"/>
      <c r="BF49" s="1452"/>
      <c r="BX49" s="165"/>
      <c r="BY49" s="165"/>
      <c r="BZ49" s="165"/>
      <c r="CA49" s="1548" t="str">
        <f t="shared" si="15"/>
        <v/>
      </c>
      <c r="CB49" s="1548" t="str">
        <f t="shared" si="16"/>
        <v/>
      </c>
      <c r="CC49" s="1548" t="str">
        <f t="shared" si="17"/>
        <v/>
      </c>
      <c r="CD49" s="1548" t="str">
        <f t="shared" si="18"/>
        <v/>
      </c>
      <c r="CE49" s="1548" t="str">
        <f t="shared" si="19"/>
        <v/>
      </c>
      <c r="CF49" s="1548"/>
      <c r="CS49" s="1457"/>
      <c r="CT49" s="1457"/>
      <c r="CU49" s="1457"/>
      <c r="CV49" s="1457"/>
      <c r="CW49" s="1457"/>
      <c r="CX49" s="1457"/>
      <c r="CY49" s="1457"/>
      <c r="CZ49" s="1457"/>
      <c r="DA49" s="3311">
        <f t="shared" si="20"/>
        <v>0</v>
      </c>
      <c r="DB49" s="3311">
        <f t="shared" si="21"/>
        <v>0</v>
      </c>
      <c r="DC49" s="3311">
        <f t="shared" si="22"/>
        <v>0</v>
      </c>
      <c r="DD49" s="3311">
        <f t="shared" si="23"/>
        <v>0</v>
      </c>
      <c r="DE49" s="3311"/>
      <c r="DF49" s="3311"/>
      <c r="DG49" s="3311"/>
      <c r="DH49" s="3311"/>
      <c r="DI49" s="3311"/>
      <c r="DJ49" s="3311"/>
      <c r="DK49" s="3311"/>
      <c r="DL49" s="3311"/>
    </row>
    <row r="50" spans="1:116" ht="16.350000000000001" customHeight="1" x14ac:dyDescent="0.25">
      <c r="A50" s="2918" t="s">
        <v>35</v>
      </c>
      <c r="B50" s="2779">
        <f t="shared" si="9"/>
        <v>0</v>
      </c>
      <c r="C50" s="2885"/>
      <c r="D50" s="2966"/>
      <c r="E50" s="2966"/>
      <c r="F50" s="2966"/>
      <c r="G50" s="2966"/>
      <c r="H50" s="2966"/>
      <c r="I50" s="2966"/>
      <c r="J50" s="2966"/>
      <c r="K50" s="2966"/>
      <c r="L50" s="2966"/>
      <c r="M50" s="2966"/>
      <c r="N50" s="2966"/>
      <c r="O50" s="2966"/>
      <c r="P50" s="2966"/>
      <c r="Q50" s="2966"/>
      <c r="R50" s="2966"/>
      <c r="S50" s="2887"/>
      <c r="T50" s="2729"/>
      <c r="U50" s="110"/>
      <c r="V50" s="122"/>
      <c r="W50" s="135">
        <f t="shared" si="13"/>
        <v>0</v>
      </c>
      <c r="X50" s="110"/>
      <c r="Y50" s="111"/>
      <c r="Z50" s="122"/>
      <c r="AA50" s="323">
        <f t="shared" si="14"/>
        <v>0</v>
      </c>
      <c r="AB50" s="110"/>
      <c r="AC50" s="136"/>
      <c r="AD50" s="122"/>
      <c r="AE50" s="3322"/>
      <c r="AF50" s="2074"/>
      <c r="AG50" s="1381" t="str">
        <f t="shared" si="12"/>
        <v/>
      </c>
      <c r="AH50" s="802"/>
      <c r="AI50" s="802"/>
      <c r="AJ50" s="802"/>
      <c r="AK50" s="802"/>
      <c r="AL50" s="802"/>
      <c r="AM50" s="802"/>
      <c r="AN50" s="802"/>
      <c r="AO50" s="290"/>
      <c r="AP50" s="290"/>
      <c r="AQ50" s="290"/>
      <c r="AR50" s="290"/>
      <c r="AS50" s="290"/>
      <c r="BE50" s="1452"/>
      <c r="BF50" s="1452"/>
      <c r="BX50" s="165"/>
      <c r="BY50" s="165"/>
      <c r="BZ50" s="165"/>
      <c r="CA50" s="1548" t="str">
        <f t="shared" si="15"/>
        <v/>
      </c>
      <c r="CB50" s="1548" t="str">
        <f t="shared" si="16"/>
        <v/>
      </c>
      <c r="CC50" s="1548" t="str">
        <f t="shared" si="17"/>
        <v/>
      </c>
      <c r="CD50" s="1548" t="str">
        <f t="shared" si="18"/>
        <v/>
      </c>
      <c r="CE50" s="1548" t="str">
        <f t="shared" si="19"/>
        <v/>
      </c>
      <c r="CF50" s="1548"/>
      <c r="CS50" s="1457"/>
      <c r="CT50" s="1457"/>
      <c r="CU50" s="1457"/>
      <c r="CV50" s="1457"/>
      <c r="CW50" s="1457"/>
      <c r="CX50" s="1457"/>
      <c r="CY50" s="1457"/>
      <c r="CZ50" s="1457"/>
      <c r="DA50" s="3311">
        <f t="shared" si="20"/>
        <v>0</v>
      </c>
      <c r="DB50" s="3311">
        <f t="shared" si="21"/>
        <v>0</v>
      </c>
      <c r="DC50" s="3311">
        <f t="shared" si="22"/>
        <v>0</v>
      </c>
      <c r="DD50" s="3311">
        <f t="shared" si="23"/>
        <v>0</v>
      </c>
      <c r="DE50" s="3311"/>
      <c r="DF50" s="3311"/>
      <c r="DG50" s="3311"/>
      <c r="DH50" s="3311"/>
      <c r="DI50" s="3311"/>
      <c r="DJ50" s="3311"/>
      <c r="DK50" s="3311"/>
      <c r="DL50" s="3311"/>
    </row>
    <row r="51" spans="1:116" ht="16.350000000000001" customHeight="1" x14ac:dyDescent="0.25">
      <c r="A51" s="2918" t="s">
        <v>279</v>
      </c>
      <c r="B51" s="2779">
        <f t="shared" si="9"/>
        <v>0</v>
      </c>
      <c r="C51" s="2885"/>
      <c r="D51" s="2966"/>
      <c r="E51" s="2966"/>
      <c r="F51" s="2966"/>
      <c r="G51" s="2966"/>
      <c r="H51" s="2966"/>
      <c r="I51" s="2966"/>
      <c r="J51" s="2966"/>
      <c r="K51" s="2966"/>
      <c r="L51" s="2966"/>
      <c r="M51" s="2966"/>
      <c r="N51" s="2966"/>
      <c r="O51" s="2966"/>
      <c r="P51" s="2966"/>
      <c r="Q51" s="2966"/>
      <c r="R51" s="2966"/>
      <c r="S51" s="2887"/>
      <c r="T51" s="2729"/>
      <c r="U51" s="110"/>
      <c r="V51" s="122"/>
      <c r="W51" s="135">
        <f t="shared" si="13"/>
        <v>0</v>
      </c>
      <c r="X51" s="110"/>
      <c r="Y51" s="111"/>
      <c r="Z51" s="122"/>
      <c r="AA51" s="323">
        <f t="shared" si="14"/>
        <v>0</v>
      </c>
      <c r="AB51" s="110"/>
      <c r="AC51" s="136"/>
      <c r="AD51" s="122"/>
      <c r="AE51" s="3322"/>
      <c r="AF51" s="2074"/>
      <c r="AG51" s="1381" t="str">
        <f t="shared" si="12"/>
        <v/>
      </c>
      <c r="AH51" s="802"/>
      <c r="AI51" s="802"/>
      <c r="AJ51" s="802"/>
      <c r="AK51" s="802"/>
      <c r="AL51" s="802"/>
      <c r="AM51" s="802"/>
      <c r="AN51" s="802"/>
      <c r="AO51" s="290"/>
      <c r="AP51" s="290"/>
      <c r="AQ51" s="290"/>
      <c r="AR51" s="290"/>
      <c r="AS51" s="290"/>
      <c r="BE51" s="1452"/>
      <c r="BF51" s="1452"/>
      <c r="BX51" s="165"/>
      <c r="BY51" s="165"/>
      <c r="BZ51" s="165"/>
      <c r="CA51" s="1548" t="str">
        <f t="shared" si="15"/>
        <v/>
      </c>
      <c r="CB51" s="1548" t="str">
        <f t="shared" si="16"/>
        <v/>
      </c>
      <c r="CC51" s="1548" t="str">
        <f t="shared" si="17"/>
        <v/>
      </c>
      <c r="CD51" s="1548" t="str">
        <f t="shared" si="18"/>
        <v/>
      </c>
      <c r="CE51" s="1548" t="str">
        <f t="shared" si="19"/>
        <v/>
      </c>
      <c r="CF51" s="1548"/>
      <c r="CS51" s="1457"/>
      <c r="CT51" s="1457"/>
      <c r="CU51" s="1457"/>
      <c r="CV51" s="1457"/>
      <c r="CW51" s="1457"/>
      <c r="CX51" s="1457"/>
      <c r="CY51" s="1457"/>
      <c r="CZ51" s="1457"/>
      <c r="DA51" s="3311">
        <f t="shared" si="20"/>
        <v>0</v>
      </c>
      <c r="DB51" s="3311">
        <f t="shared" si="21"/>
        <v>0</v>
      </c>
      <c r="DC51" s="3311">
        <f t="shared" si="22"/>
        <v>0</v>
      </c>
      <c r="DD51" s="3311">
        <f t="shared" si="23"/>
        <v>0</v>
      </c>
      <c r="DE51" s="3311"/>
      <c r="DF51" s="3311"/>
      <c r="DG51" s="3311"/>
      <c r="DH51" s="3311"/>
      <c r="DI51" s="3311"/>
      <c r="DJ51" s="3311"/>
      <c r="DK51" s="3311"/>
      <c r="DL51" s="3311"/>
    </row>
    <row r="52" spans="1:116" ht="16.350000000000001" customHeight="1" x14ac:dyDescent="0.25">
      <c r="A52" s="2918" t="s">
        <v>36</v>
      </c>
      <c r="B52" s="2779">
        <f t="shared" si="9"/>
        <v>0</v>
      </c>
      <c r="C52" s="2885"/>
      <c r="D52" s="2966"/>
      <c r="E52" s="2966"/>
      <c r="F52" s="2966"/>
      <c r="G52" s="2966"/>
      <c r="H52" s="2966"/>
      <c r="I52" s="2966"/>
      <c r="J52" s="2966"/>
      <c r="K52" s="2966"/>
      <c r="L52" s="2966"/>
      <c r="M52" s="2966"/>
      <c r="N52" s="2966"/>
      <c r="O52" s="2966"/>
      <c r="P52" s="2966"/>
      <c r="Q52" s="2966"/>
      <c r="R52" s="2966"/>
      <c r="S52" s="2887"/>
      <c r="T52" s="2729"/>
      <c r="U52" s="110"/>
      <c r="V52" s="122"/>
      <c r="W52" s="135">
        <f t="shared" si="13"/>
        <v>0</v>
      </c>
      <c r="X52" s="110"/>
      <c r="Y52" s="111"/>
      <c r="Z52" s="122"/>
      <c r="AA52" s="323">
        <f t="shared" si="14"/>
        <v>0</v>
      </c>
      <c r="AB52" s="110"/>
      <c r="AC52" s="136"/>
      <c r="AD52" s="122"/>
      <c r="AE52" s="3322"/>
      <c r="AF52" s="2074"/>
      <c r="AG52" s="1381" t="str">
        <f t="shared" si="12"/>
        <v/>
      </c>
      <c r="AH52" s="802"/>
      <c r="AI52" s="802"/>
      <c r="AJ52" s="802"/>
      <c r="AK52" s="802"/>
      <c r="AL52" s="802"/>
      <c r="AM52" s="802"/>
      <c r="AN52" s="802"/>
      <c r="AO52" s="290"/>
      <c r="AP52" s="290"/>
      <c r="AQ52" s="290"/>
      <c r="AR52" s="290"/>
      <c r="AS52" s="290"/>
      <c r="BE52" s="1452"/>
      <c r="BF52" s="1452"/>
      <c r="BX52" s="165"/>
      <c r="BY52" s="165"/>
      <c r="BZ52" s="165"/>
      <c r="CA52" s="1548" t="str">
        <f t="shared" si="15"/>
        <v/>
      </c>
      <c r="CB52" s="1548" t="str">
        <f t="shared" si="16"/>
        <v/>
      </c>
      <c r="CC52" s="1548" t="str">
        <f t="shared" si="17"/>
        <v/>
      </c>
      <c r="CD52" s="1548" t="str">
        <f t="shared" si="18"/>
        <v/>
      </c>
      <c r="CE52" s="1548" t="str">
        <f t="shared" si="19"/>
        <v/>
      </c>
      <c r="CF52" s="1548"/>
      <c r="CS52" s="1457"/>
      <c r="CT52" s="1457"/>
      <c r="CU52" s="1457"/>
      <c r="CV52" s="1457"/>
      <c r="CW52" s="1457"/>
      <c r="CX52" s="1457"/>
      <c r="CY52" s="1457"/>
      <c r="CZ52" s="1457"/>
      <c r="DA52" s="3311">
        <f t="shared" si="20"/>
        <v>0</v>
      </c>
      <c r="DB52" s="3311">
        <f t="shared" si="21"/>
        <v>0</v>
      </c>
      <c r="DC52" s="3311">
        <f t="shared" si="22"/>
        <v>0</v>
      </c>
      <c r="DD52" s="3311">
        <f t="shared" si="23"/>
        <v>0</v>
      </c>
      <c r="DE52" s="3311"/>
      <c r="DF52" s="3311"/>
      <c r="DG52" s="3311"/>
      <c r="DH52" s="3311"/>
      <c r="DI52" s="3311"/>
      <c r="DJ52" s="3311"/>
      <c r="DK52" s="3311"/>
      <c r="DL52" s="3311"/>
    </row>
    <row r="53" spans="1:116" ht="16.350000000000001" customHeight="1" x14ac:dyDescent="0.25">
      <c r="A53" s="2918" t="s">
        <v>34</v>
      </c>
      <c r="B53" s="2779">
        <f t="shared" si="9"/>
        <v>0</v>
      </c>
      <c r="C53" s="2885"/>
      <c r="D53" s="2966"/>
      <c r="E53" s="2966"/>
      <c r="F53" s="2966"/>
      <c r="G53" s="2966"/>
      <c r="H53" s="2966"/>
      <c r="I53" s="2966"/>
      <c r="J53" s="2966"/>
      <c r="K53" s="2966"/>
      <c r="L53" s="2966"/>
      <c r="M53" s="2966"/>
      <c r="N53" s="2966"/>
      <c r="O53" s="2966"/>
      <c r="P53" s="2966"/>
      <c r="Q53" s="2966"/>
      <c r="R53" s="2966"/>
      <c r="S53" s="2887"/>
      <c r="T53" s="2729"/>
      <c r="U53" s="110"/>
      <c r="V53" s="122"/>
      <c r="W53" s="135">
        <f t="shared" si="13"/>
        <v>0</v>
      </c>
      <c r="X53" s="110"/>
      <c r="Y53" s="111"/>
      <c r="Z53" s="122"/>
      <c r="AA53" s="323">
        <f t="shared" si="14"/>
        <v>0</v>
      </c>
      <c r="AB53" s="110"/>
      <c r="AC53" s="136"/>
      <c r="AD53" s="122"/>
      <c r="AE53" s="3322"/>
      <c r="AF53" s="2074"/>
      <c r="AG53" s="1381" t="str">
        <f t="shared" si="12"/>
        <v/>
      </c>
      <c r="AH53" s="802"/>
      <c r="AI53" s="802"/>
      <c r="AJ53" s="802"/>
      <c r="AK53" s="802"/>
      <c r="AL53" s="802"/>
      <c r="AM53" s="802"/>
      <c r="AN53" s="802"/>
      <c r="AO53" s="290"/>
      <c r="AP53" s="290"/>
      <c r="AQ53" s="290"/>
      <c r="AR53" s="290"/>
      <c r="AS53" s="290"/>
      <c r="BE53" s="1452"/>
      <c r="BF53" s="1452"/>
      <c r="BX53" s="165"/>
      <c r="BY53" s="165"/>
      <c r="BZ53" s="165"/>
      <c r="CA53" s="1548" t="str">
        <f t="shared" si="15"/>
        <v/>
      </c>
      <c r="CB53" s="1548" t="str">
        <f t="shared" si="16"/>
        <v/>
      </c>
      <c r="CC53" s="1548" t="str">
        <f t="shared" si="17"/>
        <v/>
      </c>
      <c r="CD53" s="1548" t="str">
        <f t="shared" si="18"/>
        <v/>
      </c>
      <c r="CE53" s="1548" t="str">
        <f t="shared" si="19"/>
        <v/>
      </c>
      <c r="CF53" s="1548"/>
      <c r="CS53" s="1457"/>
      <c r="CT53" s="1457"/>
      <c r="CU53" s="1457"/>
      <c r="CV53" s="1457"/>
      <c r="CW53" s="1457"/>
      <c r="CX53" s="1457"/>
      <c r="CY53" s="1457"/>
      <c r="CZ53" s="1457"/>
      <c r="DA53" s="3311">
        <f t="shared" si="20"/>
        <v>0</v>
      </c>
      <c r="DB53" s="3311">
        <f t="shared" si="21"/>
        <v>0</v>
      </c>
      <c r="DC53" s="3311">
        <f t="shared" si="22"/>
        <v>0</v>
      </c>
      <c r="DD53" s="3311">
        <f t="shared" si="23"/>
        <v>0</v>
      </c>
      <c r="DE53" s="3311"/>
      <c r="DF53" s="3311"/>
      <c r="DG53" s="3311"/>
      <c r="DH53" s="3311"/>
      <c r="DI53" s="3311"/>
      <c r="DJ53" s="3311"/>
      <c r="DK53" s="3311"/>
      <c r="DL53" s="3311"/>
    </row>
    <row r="54" spans="1:116" ht="16.350000000000001" customHeight="1" x14ac:dyDescent="0.25">
      <c r="A54" s="3241" t="s">
        <v>280</v>
      </c>
      <c r="B54" s="2779">
        <f t="shared" si="9"/>
        <v>0</v>
      </c>
      <c r="C54" s="2885"/>
      <c r="D54" s="2966"/>
      <c r="E54" s="2966"/>
      <c r="F54" s="2966"/>
      <c r="G54" s="2966"/>
      <c r="H54" s="2966"/>
      <c r="I54" s="2966"/>
      <c r="J54" s="2966"/>
      <c r="K54" s="2966"/>
      <c r="L54" s="2966"/>
      <c r="M54" s="2966"/>
      <c r="N54" s="2966"/>
      <c r="O54" s="2966"/>
      <c r="P54" s="2966"/>
      <c r="Q54" s="2966"/>
      <c r="R54" s="2966"/>
      <c r="S54" s="2887"/>
      <c r="T54" s="2729"/>
      <c r="U54" s="110"/>
      <c r="V54" s="122"/>
      <c r="W54" s="135">
        <f t="shared" si="13"/>
        <v>0</v>
      </c>
      <c r="X54" s="110"/>
      <c r="Y54" s="111"/>
      <c r="Z54" s="122"/>
      <c r="AA54" s="323">
        <f t="shared" si="14"/>
        <v>0</v>
      </c>
      <c r="AB54" s="110"/>
      <c r="AC54" s="136"/>
      <c r="AD54" s="122"/>
      <c r="AE54" s="3322"/>
      <c r="AF54" s="2074"/>
      <c r="AG54" s="1381" t="str">
        <f t="shared" si="12"/>
        <v/>
      </c>
      <c r="AH54" s="802"/>
      <c r="AI54" s="802"/>
      <c r="AJ54" s="802"/>
      <c r="AK54" s="802"/>
      <c r="AL54" s="802"/>
      <c r="AM54" s="802"/>
      <c r="AN54" s="802"/>
      <c r="AO54" s="290"/>
      <c r="AP54" s="290"/>
      <c r="AQ54" s="290"/>
      <c r="AR54" s="290"/>
      <c r="AS54" s="290"/>
      <c r="BE54" s="1452"/>
      <c r="BF54" s="1452"/>
      <c r="BX54" s="165"/>
      <c r="BY54" s="165"/>
      <c r="BZ54" s="165"/>
      <c r="CA54" s="1548" t="str">
        <f t="shared" si="15"/>
        <v/>
      </c>
      <c r="CB54" s="1548" t="str">
        <f t="shared" si="16"/>
        <v/>
      </c>
      <c r="CC54" s="1548" t="str">
        <f t="shared" si="17"/>
        <v/>
      </c>
      <c r="CD54" s="1548" t="str">
        <f t="shared" si="18"/>
        <v/>
      </c>
      <c r="CE54" s="1548" t="str">
        <f t="shared" si="19"/>
        <v/>
      </c>
      <c r="CF54" s="1548"/>
      <c r="CS54" s="1457"/>
      <c r="CT54" s="1457"/>
      <c r="CU54" s="1457"/>
      <c r="CV54" s="1457"/>
      <c r="CW54" s="1457"/>
      <c r="CX54" s="1457"/>
      <c r="CY54" s="1457"/>
      <c r="CZ54" s="1457"/>
      <c r="DA54" s="3311">
        <f t="shared" si="20"/>
        <v>0</v>
      </c>
      <c r="DB54" s="3311">
        <f t="shared" si="21"/>
        <v>0</v>
      </c>
      <c r="DC54" s="3311">
        <f t="shared" si="22"/>
        <v>0</v>
      </c>
      <c r="DD54" s="3311">
        <f t="shared" si="23"/>
        <v>0</v>
      </c>
      <c r="DE54" s="3311"/>
      <c r="DF54" s="3311"/>
      <c r="DG54" s="3311"/>
      <c r="DH54" s="3311"/>
      <c r="DI54" s="3311"/>
      <c r="DJ54" s="3311"/>
      <c r="DK54" s="3311"/>
      <c r="DL54" s="3311"/>
    </row>
    <row r="55" spans="1:116" ht="16.350000000000001" customHeight="1" x14ac:dyDescent="0.25">
      <c r="A55" s="3492" t="s">
        <v>281</v>
      </c>
      <c r="B55" s="2779">
        <f t="shared" si="9"/>
        <v>0</v>
      </c>
      <c r="C55" s="2885"/>
      <c r="D55" s="2966"/>
      <c r="E55" s="2966"/>
      <c r="F55" s="2966"/>
      <c r="G55" s="2966"/>
      <c r="H55" s="2966"/>
      <c r="I55" s="2966"/>
      <c r="J55" s="2966"/>
      <c r="K55" s="2966"/>
      <c r="L55" s="2966"/>
      <c r="M55" s="2966"/>
      <c r="N55" s="2966"/>
      <c r="O55" s="2966"/>
      <c r="P55" s="2966"/>
      <c r="Q55" s="2966"/>
      <c r="R55" s="2966"/>
      <c r="S55" s="2887"/>
      <c r="T55" s="2729"/>
      <c r="U55" s="110"/>
      <c r="V55" s="122"/>
      <c r="W55" s="135">
        <f t="shared" si="13"/>
        <v>0</v>
      </c>
      <c r="X55" s="110"/>
      <c r="Y55" s="111"/>
      <c r="Z55" s="122"/>
      <c r="AA55" s="323">
        <f t="shared" si="14"/>
        <v>0</v>
      </c>
      <c r="AB55" s="110"/>
      <c r="AC55" s="136"/>
      <c r="AD55" s="122"/>
      <c r="AE55" s="3322"/>
      <c r="AF55" s="2074"/>
      <c r="AG55" s="1381" t="str">
        <f t="shared" si="12"/>
        <v/>
      </c>
      <c r="AH55" s="802"/>
      <c r="AI55" s="802"/>
      <c r="AJ55" s="802"/>
      <c r="AK55" s="802"/>
      <c r="AL55" s="802"/>
      <c r="AM55" s="802"/>
      <c r="AN55" s="802"/>
      <c r="AO55" s="290"/>
      <c r="AP55" s="290"/>
      <c r="AQ55" s="290"/>
      <c r="AR55" s="290"/>
      <c r="AS55" s="290"/>
      <c r="BE55" s="1452"/>
      <c r="BF55" s="1452"/>
      <c r="BX55" s="165"/>
      <c r="BY55" s="165"/>
      <c r="BZ55" s="165"/>
      <c r="CA55" s="1548" t="str">
        <f t="shared" si="15"/>
        <v/>
      </c>
      <c r="CB55" s="1548" t="str">
        <f t="shared" si="16"/>
        <v/>
      </c>
      <c r="CC55" s="1548" t="str">
        <f t="shared" si="17"/>
        <v/>
      </c>
      <c r="CD55" s="1548" t="str">
        <f t="shared" si="18"/>
        <v/>
      </c>
      <c r="CE55" s="1548" t="str">
        <f t="shared" si="19"/>
        <v/>
      </c>
      <c r="CF55" s="1548"/>
      <c r="CS55" s="1457"/>
      <c r="CT55" s="1457"/>
      <c r="CU55" s="1457"/>
      <c r="CV55" s="1457"/>
      <c r="CW55" s="1457"/>
      <c r="CX55" s="1457"/>
      <c r="CY55" s="1457"/>
      <c r="CZ55" s="1457"/>
      <c r="DA55" s="3311">
        <f t="shared" si="20"/>
        <v>0</v>
      </c>
      <c r="DB55" s="3311">
        <f t="shared" si="21"/>
        <v>0</v>
      </c>
      <c r="DC55" s="3311">
        <f t="shared" si="22"/>
        <v>0</v>
      </c>
      <c r="DD55" s="3311">
        <f t="shared" si="23"/>
        <v>0</v>
      </c>
      <c r="DE55" s="3311"/>
      <c r="DF55" s="3311"/>
      <c r="DG55" s="3311"/>
      <c r="DH55" s="3311"/>
      <c r="DI55" s="3311"/>
      <c r="DJ55" s="3311"/>
      <c r="DK55" s="3311"/>
      <c r="DL55" s="3311"/>
    </row>
    <row r="56" spans="1:116" ht="16.350000000000001" customHeight="1" x14ac:dyDescent="0.25">
      <c r="A56" s="3492" t="s">
        <v>282</v>
      </c>
      <c r="B56" s="2779">
        <f t="shared" si="9"/>
        <v>0</v>
      </c>
      <c r="C56" s="2885"/>
      <c r="D56" s="2966"/>
      <c r="E56" s="2966"/>
      <c r="F56" s="2966"/>
      <c r="G56" s="2966"/>
      <c r="H56" s="2966"/>
      <c r="I56" s="2966"/>
      <c r="J56" s="2966"/>
      <c r="K56" s="2966"/>
      <c r="L56" s="2966"/>
      <c r="M56" s="2966"/>
      <c r="N56" s="2966"/>
      <c r="O56" s="2966"/>
      <c r="P56" s="2966"/>
      <c r="Q56" s="2966"/>
      <c r="R56" s="2966"/>
      <c r="S56" s="2887"/>
      <c r="T56" s="2729"/>
      <c r="U56" s="110"/>
      <c r="V56" s="122"/>
      <c r="W56" s="135">
        <f t="shared" si="13"/>
        <v>0</v>
      </c>
      <c r="X56" s="110"/>
      <c r="Y56" s="111"/>
      <c r="Z56" s="122"/>
      <c r="AA56" s="323">
        <f t="shared" si="14"/>
        <v>0</v>
      </c>
      <c r="AB56" s="110"/>
      <c r="AC56" s="136"/>
      <c r="AD56" s="122"/>
      <c r="AE56" s="3322"/>
      <c r="AF56" s="2074"/>
      <c r="AG56" s="1381" t="str">
        <f t="shared" si="12"/>
        <v/>
      </c>
      <c r="AH56" s="802"/>
      <c r="AI56" s="802"/>
      <c r="AJ56" s="802"/>
      <c r="AK56" s="802"/>
      <c r="AL56" s="802"/>
      <c r="AM56" s="802"/>
      <c r="AN56" s="802"/>
      <c r="AO56" s="290"/>
      <c r="AP56" s="290"/>
      <c r="AQ56" s="290"/>
      <c r="AR56" s="290"/>
      <c r="AS56" s="290"/>
      <c r="BE56" s="1452"/>
      <c r="BF56" s="1452"/>
      <c r="BX56" s="165"/>
      <c r="BY56" s="165"/>
      <c r="BZ56" s="165"/>
      <c r="CA56" s="1548" t="str">
        <f t="shared" si="15"/>
        <v/>
      </c>
      <c r="CB56" s="1548" t="str">
        <f t="shared" si="16"/>
        <v/>
      </c>
      <c r="CC56" s="1548" t="str">
        <f t="shared" si="17"/>
        <v/>
      </c>
      <c r="CD56" s="1548" t="str">
        <f t="shared" si="18"/>
        <v/>
      </c>
      <c r="CE56" s="1548" t="str">
        <f t="shared" si="19"/>
        <v/>
      </c>
      <c r="CF56" s="1548"/>
      <c r="CS56" s="1457"/>
      <c r="CT56" s="1457"/>
      <c r="CU56" s="1457"/>
      <c r="CV56" s="1457"/>
      <c r="CW56" s="1457"/>
      <c r="CX56" s="1457"/>
      <c r="CY56" s="1457"/>
      <c r="CZ56" s="1457"/>
      <c r="DA56" s="3311">
        <f t="shared" si="20"/>
        <v>0</v>
      </c>
      <c r="DB56" s="3311">
        <f t="shared" si="21"/>
        <v>0</v>
      </c>
      <c r="DC56" s="3311">
        <f t="shared" si="22"/>
        <v>0</v>
      </c>
      <c r="DD56" s="3311">
        <f t="shared" si="23"/>
        <v>0</v>
      </c>
      <c r="DE56" s="3311"/>
      <c r="DF56" s="3311"/>
      <c r="DG56" s="3311"/>
      <c r="DH56" s="3311"/>
      <c r="DI56" s="3311"/>
      <c r="DJ56" s="3311"/>
      <c r="DK56" s="3311"/>
      <c r="DL56" s="3311"/>
    </row>
    <row r="57" spans="1:116" ht="16.350000000000001" customHeight="1" x14ac:dyDescent="0.25">
      <c r="A57" s="3492" t="s">
        <v>462</v>
      </c>
      <c r="B57" s="2779">
        <f t="shared" si="9"/>
        <v>0</v>
      </c>
      <c r="C57" s="2885"/>
      <c r="D57" s="2966"/>
      <c r="E57" s="2966"/>
      <c r="F57" s="2966"/>
      <c r="G57" s="2966"/>
      <c r="H57" s="2966"/>
      <c r="I57" s="2966"/>
      <c r="J57" s="2966"/>
      <c r="K57" s="2966"/>
      <c r="L57" s="2966"/>
      <c r="M57" s="2966"/>
      <c r="N57" s="2966"/>
      <c r="O57" s="2966"/>
      <c r="P57" s="2966"/>
      <c r="Q57" s="2966"/>
      <c r="R57" s="2966"/>
      <c r="S57" s="2887"/>
      <c r="T57" s="2729"/>
      <c r="U57" s="110"/>
      <c r="V57" s="122"/>
      <c r="W57" s="135">
        <f t="shared" si="13"/>
        <v>0</v>
      </c>
      <c r="X57" s="110"/>
      <c r="Y57" s="111"/>
      <c r="Z57" s="122"/>
      <c r="AA57" s="323">
        <f t="shared" si="14"/>
        <v>0</v>
      </c>
      <c r="AB57" s="110"/>
      <c r="AC57" s="136"/>
      <c r="AD57" s="122"/>
      <c r="AE57" s="3322"/>
      <c r="AF57" s="2074"/>
      <c r="AG57" s="1381" t="str">
        <f t="shared" si="12"/>
        <v/>
      </c>
      <c r="AH57" s="802"/>
      <c r="AI57" s="802"/>
      <c r="AJ57" s="802"/>
      <c r="AK57" s="802"/>
      <c r="AL57" s="802"/>
      <c r="AM57" s="802"/>
      <c r="AN57" s="802"/>
      <c r="AO57" s="290"/>
      <c r="AP57" s="290"/>
      <c r="AQ57" s="290"/>
      <c r="AR57" s="290"/>
      <c r="AS57" s="290"/>
      <c r="BE57" s="1452"/>
      <c r="BF57" s="1452"/>
      <c r="BX57" s="165"/>
      <c r="BY57" s="165"/>
      <c r="BZ57" s="165"/>
      <c r="CA57" s="1548" t="str">
        <f t="shared" si="15"/>
        <v/>
      </c>
      <c r="CB57" s="1548" t="str">
        <f t="shared" si="16"/>
        <v/>
      </c>
      <c r="CC57" s="1548" t="str">
        <f t="shared" si="17"/>
        <v/>
      </c>
      <c r="CD57" s="1548" t="str">
        <f t="shared" si="18"/>
        <v/>
      </c>
      <c r="CE57" s="1548" t="str">
        <f t="shared" si="19"/>
        <v/>
      </c>
      <c r="CF57" s="1548"/>
      <c r="CS57" s="1457"/>
      <c r="CT57" s="1457"/>
      <c r="CU57" s="1457"/>
      <c r="CV57" s="1457"/>
      <c r="CW57" s="1457"/>
      <c r="CX57" s="1457"/>
      <c r="CY57" s="1457"/>
      <c r="CZ57" s="1457"/>
      <c r="DA57" s="3311">
        <f t="shared" si="20"/>
        <v>0</v>
      </c>
      <c r="DB57" s="3311">
        <f t="shared" si="21"/>
        <v>0</v>
      </c>
      <c r="DC57" s="3311">
        <f t="shared" si="22"/>
        <v>0</v>
      </c>
      <c r="DD57" s="3311">
        <f t="shared" si="23"/>
        <v>0</v>
      </c>
      <c r="DE57" s="3311"/>
      <c r="DF57" s="3311"/>
      <c r="DG57" s="3311"/>
      <c r="DH57" s="3311"/>
      <c r="DI57" s="3311"/>
      <c r="DJ57" s="3311"/>
      <c r="DK57" s="3311"/>
      <c r="DL57" s="3311"/>
    </row>
    <row r="58" spans="1:116" ht="16.350000000000001" customHeight="1" x14ac:dyDescent="0.25">
      <c r="A58" s="2918" t="s">
        <v>38</v>
      </c>
      <c r="B58" s="2779">
        <f t="shared" si="9"/>
        <v>0</v>
      </c>
      <c r="C58" s="2885"/>
      <c r="D58" s="2966"/>
      <c r="E58" s="2966"/>
      <c r="F58" s="2966"/>
      <c r="G58" s="2966"/>
      <c r="H58" s="2966"/>
      <c r="I58" s="2966"/>
      <c r="J58" s="2966"/>
      <c r="K58" s="2966"/>
      <c r="L58" s="2966"/>
      <c r="M58" s="2966"/>
      <c r="N58" s="2966"/>
      <c r="O58" s="2966"/>
      <c r="P58" s="2966"/>
      <c r="Q58" s="2966"/>
      <c r="R58" s="2966"/>
      <c r="S58" s="2887"/>
      <c r="T58" s="2729"/>
      <c r="U58" s="110"/>
      <c r="V58" s="122"/>
      <c r="W58" s="135">
        <f t="shared" si="13"/>
        <v>0</v>
      </c>
      <c r="X58" s="110"/>
      <c r="Y58" s="111"/>
      <c r="Z58" s="122"/>
      <c r="AA58" s="323">
        <f t="shared" si="14"/>
        <v>0</v>
      </c>
      <c r="AB58" s="110"/>
      <c r="AC58" s="136"/>
      <c r="AD58" s="122"/>
      <c r="AE58" s="3322"/>
      <c r="AF58" s="2074"/>
      <c r="AG58" s="1381" t="str">
        <f t="shared" si="12"/>
        <v/>
      </c>
      <c r="AH58" s="802"/>
      <c r="AI58" s="802"/>
      <c r="AJ58" s="802"/>
      <c r="AK58" s="802"/>
      <c r="AL58" s="802"/>
      <c r="AM58" s="802"/>
      <c r="AN58" s="802"/>
      <c r="AO58" s="290"/>
      <c r="AP58" s="290"/>
      <c r="AQ58" s="290"/>
      <c r="AR58" s="290"/>
      <c r="AS58" s="290"/>
      <c r="BE58" s="1452"/>
      <c r="BF58" s="1452"/>
      <c r="BX58" s="165"/>
      <c r="BY58" s="165"/>
      <c r="BZ58" s="165"/>
      <c r="CA58" s="1548" t="str">
        <f t="shared" si="15"/>
        <v/>
      </c>
      <c r="CB58" s="1548" t="str">
        <f t="shared" si="16"/>
        <v/>
      </c>
      <c r="CC58" s="1548" t="str">
        <f t="shared" si="17"/>
        <v/>
      </c>
      <c r="CD58" s="1548" t="str">
        <f t="shared" si="18"/>
        <v/>
      </c>
      <c r="CE58" s="1548" t="str">
        <f t="shared" si="19"/>
        <v/>
      </c>
      <c r="CF58" s="1548"/>
      <c r="CS58" s="1457"/>
      <c r="CT58" s="1457"/>
      <c r="CU58" s="1457"/>
      <c r="CV58" s="1457"/>
      <c r="CW58" s="1457"/>
      <c r="CX58" s="1457"/>
      <c r="CY58" s="1457"/>
      <c r="CZ58" s="1457"/>
      <c r="DA58" s="3311">
        <f t="shared" si="20"/>
        <v>0</v>
      </c>
      <c r="DB58" s="3311">
        <f t="shared" si="21"/>
        <v>0</v>
      </c>
      <c r="DC58" s="3311">
        <f t="shared" si="22"/>
        <v>0</v>
      </c>
      <c r="DD58" s="3311">
        <f t="shared" si="23"/>
        <v>0</v>
      </c>
      <c r="DE58" s="3311"/>
      <c r="DF58" s="3311"/>
      <c r="DG58" s="3311"/>
      <c r="DH58" s="3311"/>
      <c r="DI58" s="3311"/>
      <c r="DJ58" s="3311"/>
      <c r="DK58" s="3311"/>
      <c r="DL58" s="3311"/>
    </row>
    <row r="59" spans="1:116" ht="16.350000000000001" customHeight="1" x14ac:dyDescent="0.25">
      <c r="A59" s="2918" t="s">
        <v>37</v>
      </c>
      <c r="B59" s="2779">
        <f t="shared" si="9"/>
        <v>0</v>
      </c>
      <c r="C59" s="2885"/>
      <c r="D59" s="2966"/>
      <c r="E59" s="2966"/>
      <c r="F59" s="2966"/>
      <c r="G59" s="2966"/>
      <c r="H59" s="2966"/>
      <c r="I59" s="2966"/>
      <c r="J59" s="2966"/>
      <c r="K59" s="2966"/>
      <c r="L59" s="2966"/>
      <c r="M59" s="2966"/>
      <c r="N59" s="2966"/>
      <c r="O59" s="2966"/>
      <c r="P59" s="2966"/>
      <c r="Q59" s="2966"/>
      <c r="R59" s="2966"/>
      <c r="S59" s="2887"/>
      <c r="T59" s="2729"/>
      <c r="U59" s="110"/>
      <c r="V59" s="122"/>
      <c r="W59" s="135">
        <f t="shared" si="13"/>
        <v>0</v>
      </c>
      <c r="X59" s="110"/>
      <c r="Y59" s="111"/>
      <c r="Z59" s="122"/>
      <c r="AA59" s="323">
        <f t="shared" si="14"/>
        <v>0</v>
      </c>
      <c r="AB59" s="110"/>
      <c r="AC59" s="136"/>
      <c r="AD59" s="122"/>
      <c r="AE59" s="3322"/>
      <c r="AF59" s="2074"/>
      <c r="AG59" s="1381" t="str">
        <f t="shared" si="12"/>
        <v/>
      </c>
      <c r="AH59" s="802"/>
      <c r="AI59" s="802"/>
      <c r="AJ59" s="802"/>
      <c r="AK59" s="802"/>
      <c r="AL59" s="802"/>
      <c r="AM59" s="802"/>
      <c r="AN59" s="802"/>
      <c r="AO59" s="290"/>
      <c r="AP59" s="290"/>
      <c r="AQ59" s="290"/>
      <c r="AR59" s="290"/>
      <c r="AS59" s="290"/>
      <c r="BE59" s="1452"/>
      <c r="BF59" s="1452"/>
      <c r="BX59" s="165"/>
      <c r="BY59" s="165"/>
      <c r="BZ59" s="165"/>
      <c r="CA59" s="1548" t="str">
        <f t="shared" si="15"/>
        <v/>
      </c>
      <c r="CB59" s="1548" t="str">
        <f t="shared" si="16"/>
        <v/>
      </c>
      <c r="CC59" s="1548" t="str">
        <f t="shared" si="17"/>
        <v/>
      </c>
      <c r="CD59" s="1548" t="str">
        <f t="shared" si="18"/>
        <v/>
      </c>
      <c r="CE59" s="1548" t="str">
        <f t="shared" si="19"/>
        <v/>
      </c>
      <c r="CF59" s="1548"/>
      <c r="CS59" s="1457"/>
      <c r="CT59" s="1457"/>
      <c r="CU59" s="1457"/>
      <c r="CV59" s="1457"/>
      <c r="CW59" s="1457"/>
      <c r="CX59" s="1457"/>
      <c r="CY59" s="1457"/>
      <c r="CZ59" s="1457"/>
      <c r="DA59" s="3311">
        <f t="shared" si="20"/>
        <v>0</v>
      </c>
      <c r="DB59" s="3311">
        <f t="shared" si="21"/>
        <v>0</v>
      </c>
      <c r="DC59" s="3311">
        <f t="shared" si="22"/>
        <v>0</v>
      </c>
      <c r="DD59" s="3311">
        <f t="shared" si="23"/>
        <v>0</v>
      </c>
      <c r="DE59" s="3311"/>
      <c r="DF59" s="3311"/>
      <c r="DG59" s="3311"/>
      <c r="DH59" s="3311"/>
      <c r="DI59" s="3311"/>
      <c r="DJ59" s="3311"/>
      <c r="DK59" s="3311"/>
      <c r="DL59" s="3311"/>
    </row>
    <row r="60" spans="1:116" ht="16.350000000000001" customHeight="1" x14ac:dyDescent="0.25">
      <c r="A60" s="2918" t="s">
        <v>283</v>
      </c>
      <c r="B60" s="2779">
        <f t="shared" si="9"/>
        <v>0</v>
      </c>
      <c r="C60" s="2885"/>
      <c r="D60" s="2966"/>
      <c r="E60" s="2966"/>
      <c r="F60" s="2966"/>
      <c r="G60" s="2966"/>
      <c r="H60" s="2966"/>
      <c r="I60" s="2966"/>
      <c r="J60" s="2966"/>
      <c r="K60" s="2966"/>
      <c r="L60" s="2966"/>
      <c r="M60" s="2966"/>
      <c r="N60" s="2966"/>
      <c r="O60" s="2966"/>
      <c r="P60" s="2966"/>
      <c r="Q60" s="2966"/>
      <c r="R60" s="2966"/>
      <c r="S60" s="2887"/>
      <c r="T60" s="2729"/>
      <c r="U60" s="110"/>
      <c r="V60" s="122"/>
      <c r="W60" s="135">
        <f t="shared" si="13"/>
        <v>0</v>
      </c>
      <c r="X60" s="110"/>
      <c r="Y60" s="111"/>
      <c r="Z60" s="122"/>
      <c r="AA60" s="323">
        <f t="shared" si="14"/>
        <v>0</v>
      </c>
      <c r="AB60" s="110"/>
      <c r="AC60" s="136"/>
      <c r="AD60" s="122"/>
      <c r="AE60" s="3322"/>
      <c r="AF60" s="2074"/>
      <c r="AG60" s="1381" t="str">
        <f t="shared" si="12"/>
        <v/>
      </c>
      <c r="AH60" s="802"/>
      <c r="AI60" s="802"/>
      <c r="AJ60" s="802"/>
      <c r="AK60" s="802"/>
      <c r="AL60" s="802"/>
      <c r="AM60" s="802"/>
      <c r="AN60" s="802"/>
      <c r="AO60" s="290"/>
      <c r="AP60" s="290"/>
      <c r="AQ60" s="290"/>
      <c r="AR60" s="290"/>
      <c r="AS60" s="290"/>
      <c r="BE60" s="1452"/>
      <c r="BF60" s="1452"/>
      <c r="BX60" s="165"/>
      <c r="BY60" s="165"/>
      <c r="BZ60" s="165"/>
      <c r="CA60" s="1548" t="str">
        <f t="shared" si="15"/>
        <v/>
      </c>
      <c r="CB60" s="1548" t="str">
        <f t="shared" si="16"/>
        <v/>
      </c>
      <c r="CC60" s="1548" t="str">
        <f t="shared" si="17"/>
        <v/>
      </c>
      <c r="CD60" s="1548" t="str">
        <f t="shared" si="18"/>
        <v/>
      </c>
      <c r="CE60" s="1548" t="str">
        <f t="shared" si="19"/>
        <v/>
      </c>
      <c r="CF60" s="1548"/>
      <c r="CS60" s="1457"/>
      <c r="CT60" s="1457"/>
      <c r="CU60" s="1457"/>
      <c r="CV60" s="1457"/>
      <c r="CW60" s="1457"/>
      <c r="CX60" s="1457"/>
      <c r="CY60" s="1457"/>
      <c r="CZ60" s="1457"/>
      <c r="DA60" s="3311">
        <f t="shared" si="20"/>
        <v>0</v>
      </c>
      <c r="DB60" s="3311">
        <f t="shared" si="21"/>
        <v>0</v>
      </c>
      <c r="DC60" s="3311">
        <f t="shared" si="22"/>
        <v>0</v>
      </c>
      <c r="DD60" s="3311">
        <f t="shared" si="23"/>
        <v>0</v>
      </c>
      <c r="DE60" s="3311"/>
      <c r="DF60" s="3311"/>
      <c r="DG60" s="3311"/>
      <c r="DH60" s="3311"/>
      <c r="DI60" s="3311"/>
      <c r="DJ60" s="3311"/>
      <c r="DK60" s="3311"/>
      <c r="DL60" s="3311"/>
    </row>
    <row r="61" spans="1:116" ht="16.350000000000001" customHeight="1" x14ac:dyDescent="0.25">
      <c r="A61" s="2918" t="s">
        <v>463</v>
      </c>
      <c r="B61" s="2779">
        <f t="shared" si="9"/>
        <v>0</v>
      </c>
      <c r="C61" s="2885"/>
      <c r="D61" s="2966"/>
      <c r="E61" s="2966"/>
      <c r="F61" s="2966"/>
      <c r="G61" s="2966"/>
      <c r="H61" s="2966"/>
      <c r="I61" s="2966"/>
      <c r="J61" s="2966"/>
      <c r="K61" s="2966"/>
      <c r="L61" s="2966"/>
      <c r="M61" s="2966"/>
      <c r="N61" s="2966"/>
      <c r="O61" s="2966"/>
      <c r="P61" s="2966"/>
      <c r="Q61" s="2966"/>
      <c r="R61" s="2966"/>
      <c r="S61" s="2887"/>
      <c r="T61" s="2729"/>
      <c r="U61" s="110"/>
      <c r="V61" s="122"/>
      <c r="W61" s="135">
        <f>SUM(X61+Y61+Z61)</f>
        <v>0</v>
      </c>
      <c r="X61" s="110"/>
      <c r="Y61" s="111"/>
      <c r="Z61" s="122"/>
      <c r="AA61" s="323">
        <f t="shared" si="14"/>
        <v>0</v>
      </c>
      <c r="AB61" s="110"/>
      <c r="AC61" s="136"/>
      <c r="AD61" s="122"/>
      <c r="AE61" s="3322"/>
      <c r="AF61" s="2074"/>
      <c r="AG61" s="1381" t="str">
        <f t="shared" si="12"/>
        <v/>
      </c>
      <c r="AH61" s="802"/>
      <c r="AI61" s="802"/>
      <c r="AJ61" s="802"/>
      <c r="AK61" s="802"/>
      <c r="AL61" s="802"/>
      <c r="AM61" s="802"/>
      <c r="AN61" s="802"/>
      <c r="AO61" s="290"/>
      <c r="AP61" s="290"/>
      <c r="AQ61" s="290"/>
      <c r="AR61" s="290"/>
      <c r="AS61" s="290"/>
      <c r="BE61" s="1452"/>
      <c r="BF61" s="1452"/>
      <c r="BX61" s="165"/>
      <c r="BY61" s="165"/>
      <c r="BZ61" s="165"/>
      <c r="CA61" s="1548" t="str">
        <f t="shared" si="15"/>
        <v/>
      </c>
      <c r="CB61" s="1548" t="str">
        <f t="shared" si="16"/>
        <v/>
      </c>
      <c r="CC61" s="1548" t="str">
        <f t="shared" si="17"/>
        <v/>
      </c>
      <c r="CD61" s="1548" t="str">
        <f t="shared" si="18"/>
        <v/>
      </c>
      <c r="CE61" s="1548" t="str">
        <f t="shared" si="19"/>
        <v/>
      </c>
      <c r="CF61" s="1548"/>
      <c r="CS61" s="1457"/>
      <c r="CT61" s="1457"/>
      <c r="CU61" s="1457"/>
      <c r="CV61" s="1457"/>
      <c r="CW61" s="1457"/>
      <c r="CX61" s="1457"/>
      <c r="CY61" s="1457"/>
      <c r="CZ61" s="1457"/>
      <c r="DA61" s="3311">
        <f t="shared" si="20"/>
        <v>0</v>
      </c>
      <c r="DB61" s="3311">
        <f t="shared" si="21"/>
        <v>0</v>
      </c>
      <c r="DC61" s="3311">
        <f t="shared" si="22"/>
        <v>0</v>
      </c>
      <c r="DD61" s="3311">
        <f t="shared" si="23"/>
        <v>0</v>
      </c>
      <c r="DE61" s="3311"/>
      <c r="DF61" s="3311"/>
      <c r="DG61" s="3311"/>
      <c r="DH61" s="3311"/>
      <c r="DI61" s="3311"/>
      <c r="DJ61" s="3311"/>
      <c r="DK61" s="3311"/>
      <c r="DL61" s="3311"/>
    </row>
    <row r="62" spans="1:116" ht="16.350000000000001" customHeight="1" x14ac:dyDescent="0.25">
      <c r="A62" s="2918" t="s">
        <v>284</v>
      </c>
      <c r="B62" s="2779">
        <f t="shared" si="9"/>
        <v>0</v>
      </c>
      <c r="C62" s="2885"/>
      <c r="D62" s="2966"/>
      <c r="E62" s="2966"/>
      <c r="F62" s="2966"/>
      <c r="G62" s="2966"/>
      <c r="H62" s="2966"/>
      <c r="I62" s="2966"/>
      <c r="J62" s="2966"/>
      <c r="K62" s="2966"/>
      <c r="L62" s="2966"/>
      <c r="M62" s="2966"/>
      <c r="N62" s="2966"/>
      <c r="O62" s="2966"/>
      <c r="P62" s="2966"/>
      <c r="Q62" s="2966"/>
      <c r="R62" s="2966"/>
      <c r="S62" s="2887"/>
      <c r="T62" s="2729"/>
      <c r="U62" s="110"/>
      <c r="V62" s="122"/>
      <c r="W62" s="135">
        <f t="shared" si="13"/>
        <v>0</v>
      </c>
      <c r="X62" s="110"/>
      <c r="Y62" s="111"/>
      <c r="Z62" s="122"/>
      <c r="AA62" s="323">
        <f t="shared" si="14"/>
        <v>0</v>
      </c>
      <c r="AB62" s="110"/>
      <c r="AC62" s="136"/>
      <c r="AD62" s="122"/>
      <c r="AE62" s="3322"/>
      <c r="AF62" s="2074"/>
      <c r="AG62" s="1381" t="str">
        <f t="shared" si="12"/>
        <v/>
      </c>
      <c r="AH62" s="802"/>
      <c r="AI62" s="802"/>
      <c r="AJ62" s="802"/>
      <c r="AK62" s="802"/>
      <c r="AL62" s="802"/>
      <c r="AM62" s="802"/>
      <c r="AN62" s="802"/>
      <c r="AO62" s="290"/>
      <c r="AP62" s="290"/>
      <c r="AQ62" s="290"/>
      <c r="AR62" s="290"/>
      <c r="AS62" s="290"/>
      <c r="BE62" s="1452"/>
      <c r="BF62" s="1452"/>
      <c r="BX62" s="165"/>
      <c r="BY62" s="165"/>
      <c r="BZ62" s="165"/>
      <c r="CA62" s="1548" t="str">
        <f t="shared" si="15"/>
        <v/>
      </c>
      <c r="CB62" s="1548" t="str">
        <f t="shared" si="16"/>
        <v/>
      </c>
      <c r="CC62" s="1548" t="str">
        <f t="shared" si="17"/>
        <v/>
      </c>
      <c r="CD62" s="1548" t="str">
        <f t="shared" si="18"/>
        <v/>
      </c>
      <c r="CE62" s="1548" t="str">
        <f t="shared" si="19"/>
        <v/>
      </c>
      <c r="CF62" s="1548"/>
      <c r="CS62" s="1457"/>
      <c r="CT62" s="1457"/>
      <c r="CU62" s="1457"/>
      <c r="CV62" s="1457"/>
      <c r="CW62" s="1457"/>
      <c r="CX62" s="1457"/>
      <c r="CY62" s="1457"/>
      <c r="CZ62" s="1457"/>
      <c r="DA62" s="3311">
        <f t="shared" si="20"/>
        <v>0</v>
      </c>
      <c r="DB62" s="3311">
        <f t="shared" si="21"/>
        <v>0</v>
      </c>
      <c r="DC62" s="3311">
        <f t="shared" si="22"/>
        <v>0</v>
      </c>
      <c r="DD62" s="3311">
        <f t="shared" si="23"/>
        <v>0</v>
      </c>
      <c r="DE62" s="3311"/>
      <c r="DF62" s="3311"/>
      <c r="DG62" s="3311"/>
      <c r="DH62" s="3311"/>
      <c r="DI62" s="3311"/>
      <c r="DJ62" s="3311"/>
      <c r="DK62" s="3311"/>
      <c r="DL62" s="3311"/>
    </row>
    <row r="63" spans="1:116" ht="16.350000000000001" customHeight="1" x14ac:dyDescent="0.25">
      <c r="A63" s="2918" t="s">
        <v>464</v>
      </c>
      <c r="B63" s="2779">
        <f t="shared" si="9"/>
        <v>0</v>
      </c>
      <c r="C63" s="2885"/>
      <c r="D63" s="2966"/>
      <c r="E63" s="2966"/>
      <c r="F63" s="2966"/>
      <c r="G63" s="2966"/>
      <c r="H63" s="2966"/>
      <c r="I63" s="2966"/>
      <c r="J63" s="2966"/>
      <c r="K63" s="2966"/>
      <c r="L63" s="2966"/>
      <c r="M63" s="2966"/>
      <c r="N63" s="2966"/>
      <c r="O63" s="2966"/>
      <c r="P63" s="2966"/>
      <c r="Q63" s="2966"/>
      <c r="R63" s="2966"/>
      <c r="S63" s="2887"/>
      <c r="T63" s="2729"/>
      <c r="U63" s="110"/>
      <c r="V63" s="122"/>
      <c r="W63" s="135">
        <f t="shared" si="13"/>
        <v>0</v>
      </c>
      <c r="X63" s="110"/>
      <c r="Y63" s="111"/>
      <c r="Z63" s="122"/>
      <c r="AA63" s="323">
        <f t="shared" si="14"/>
        <v>0</v>
      </c>
      <c r="AB63" s="110"/>
      <c r="AC63" s="136"/>
      <c r="AD63" s="122"/>
      <c r="AE63" s="3322"/>
      <c r="AF63" s="2074"/>
      <c r="AG63" s="1381" t="str">
        <f t="shared" si="12"/>
        <v/>
      </c>
      <c r="AH63" s="802"/>
      <c r="AI63" s="802"/>
      <c r="AJ63" s="802"/>
      <c r="AK63" s="802"/>
      <c r="AL63" s="802"/>
      <c r="AM63" s="802"/>
      <c r="AN63" s="802"/>
      <c r="AO63" s="290"/>
      <c r="AP63" s="290"/>
      <c r="AQ63" s="290"/>
      <c r="AR63" s="290"/>
      <c r="AS63" s="290"/>
      <c r="BE63" s="1452"/>
      <c r="BF63" s="1452"/>
      <c r="CA63" s="1548" t="str">
        <f t="shared" si="15"/>
        <v/>
      </c>
      <c r="CB63" s="1548" t="str">
        <f t="shared" si="16"/>
        <v/>
      </c>
      <c r="CC63" s="1548" t="str">
        <f t="shared" si="17"/>
        <v/>
      </c>
      <c r="CD63" s="1548" t="str">
        <f t="shared" si="18"/>
        <v/>
      </c>
      <c r="CE63" s="1548" t="str">
        <f t="shared" si="19"/>
        <v/>
      </c>
      <c r="CF63" s="1548"/>
      <c r="CS63" s="1457"/>
      <c r="CT63" s="1457"/>
      <c r="CU63" s="1457"/>
      <c r="CV63" s="1457"/>
      <c r="CW63" s="1457"/>
      <c r="CX63" s="1457"/>
      <c r="CY63" s="1457"/>
      <c r="CZ63" s="1457"/>
      <c r="DA63" s="3311">
        <f t="shared" si="20"/>
        <v>0</v>
      </c>
      <c r="DB63" s="3311">
        <f t="shared" si="21"/>
        <v>0</v>
      </c>
      <c r="DC63" s="3311">
        <f t="shared" si="22"/>
        <v>0</v>
      </c>
      <c r="DD63" s="3311">
        <f t="shared" si="23"/>
        <v>0</v>
      </c>
      <c r="DE63" s="3311"/>
      <c r="DF63" s="3311"/>
      <c r="DG63" s="3311"/>
      <c r="DH63" s="3311"/>
      <c r="DI63" s="3311"/>
      <c r="DJ63" s="3311"/>
      <c r="DK63" s="3311"/>
      <c r="DL63" s="3311"/>
    </row>
    <row r="64" spans="1:116" ht="16.350000000000001" customHeight="1" x14ac:dyDescent="0.25">
      <c r="A64" s="2918" t="s">
        <v>3577</v>
      </c>
      <c r="B64" s="2779">
        <f t="shared" si="9"/>
        <v>0</v>
      </c>
      <c r="C64" s="2885"/>
      <c r="D64" s="2966"/>
      <c r="E64" s="2966"/>
      <c r="F64" s="2966"/>
      <c r="G64" s="2966"/>
      <c r="H64" s="2966"/>
      <c r="I64" s="2966"/>
      <c r="J64" s="2966"/>
      <c r="K64" s="2966"/>
      <c r="L64" s="2966"/>
      <c r="M64" s="2966"/>
      <c r="N64" s="2966"/>
      <c r="O64" s="2966"/>
      <c r="P64" s="2966"/>
      <c r="Q64" s="2966"/>
      <c r="R64" s="2966"/>
      <c r="S64" s="2887"/>
      <c r="T64" s="2729"/>
      <c r="U64" s="110"/>
      <c r="V64" s="122"/>
      <c r="W64" s="135">
        <f t="shared" si="13"/>
        <v>0</v>
      </c>
      <c r="X64" s="110"/>
      <c r="Y64" s="111"/>
      <c r="Z64" s="122"/>
      <c r="AA64" s="323">
        <f t="shared" si="14"/>
        <v>0</v>
      </c>
      <c r="AB64" s="110"/>
      <c r="AC64" s="136"/>
      <c r="AD64" s="122"/>
      <c r="AE64" s="3322"/>
      <c r="AF64" s="2074"/>
      <c r="AG64" s="1381" t="str">
        <f t="shared" si="12"/>
        <v/>
      </c>
      <c r="AH64" s="802"/>
      <c r="AI64" s="802"/>
      <c r="AJ64" s="802"/>
      <c r="AK64" s="802"/>
      <c r="AL64" s="802"/>
      <c r="AM64" s="802"/>
      <c r="AN64" s="802"/>
      <c r="AO64" s="290"/>
      <c r="AP64" s="290"/>
      <c r="AQ64" s="290"/>
      <c r="AR64" s="290"/>
      <c r="AS64" s="290"/>
      <c r="BE64" s="1452"/>
      <c r="BF64" s="1452"/>
      <c r="BX64" s="165"/>
      <c r="BY64" s="165"/>
      <c r="BZ64" s="165"/>
      <c r="CA64" s="1548" t="str">
        <f t="shared" si="15"/>
        <v/>
      </c>
      <c r="CB64" s="1548" t="str">
        <f t="shared" si="16"/>
        <v/>
      </c>
      <c r="CC64" s="1548" t="str">
        <f t="shared" si="17"/>
        <v/>
      </c>
      <c r="CD64" s="1548" t="str">
        <f t="shared" si="18"/>
        <v/>
      </c>
      <c r="CE64" s="1548" t="str">
        <f t="shared" si="19"/>
        <v/>
      </c>
      <c r="CF64" s="1548"/>
      <c r="CS64" s="1457"/>
      <c r="CT64" s="1457"/>
      <c r="CU64" s="1457"/>
      <c r="CV64" s="1457"/>
      <c r="CW64" s="1457"/>
      <c r="CX64" s="1457"/>
      <c r="CY64" s="1457"/>
      <c r="CZ64" s="1457"/>
      <c r="DA64" s="3311">
        <f t="shared" si="20"/>
        <v>0</v>
      </c>
      <c r="DB64" s="3311">
        <f t="shared" si="21"/>
        <v>0</v>
      </c>
      <c r="DC64" s="3311">
        <f t="shared" si="22"/>
        <v>0</v>
      </c>
      <c r="DD64" s="3311">
        <f t="shared" si="23"/>
        <v>0</v>
      </c>
      <c r="DE64" s="3311"/>
      <c r="DF64" s="3311"/>
      <c r="DG64" s="3311"/>
      <c r="DH64" s="3311"/>
      <c r="DI64" s="3311"/>
      <c r="DJ64" s="3311"/>
      <c r="DK64" s="3311"/>
      <c r="DL64" s="3311"/>
    </row>
    <row r="65" spans="1:130" ht="16.350000000000001" customHeight="1" x14ac:dyDescent="0.25">
      <c r="A65" s="2918" t="s">
        <v>285</v>
      </c>
      <c r="B65" s="2779">
        <f t="shared" si="9"/>
        <v>0</v>
      </c>
      <c r="C65" s="2885"/>
      <c r="D65" s="2966"/>
      <c r="E65" s="2966"/>
      <c r="F65" s="2966"/>
      <c r="G65" s="2966"/>
      <c r="H65" s="2966"/>
      <c r="I65" s="2966"/>
      <c r="J65" s="2966"/>
      <c r="K65" s="2966"/>
      <c r="L65" s="2966"/>
      <c r="M65" s="2966"/>
      <c r="N65" s="2966"/>
      <c r="O65" s="2966"/>
      <c r="P65" s="2966"/>
      <c r="Q65" s="2966"/>
      <c r="R65" s="2966"/>
      <c r="S65" s="2887"/>
      <c r="T65" s="2729"/>
      <c r="U65" s="110"/>
      <c r="V65" s="122"/>
      <c r="W65" s="135">
        <f t="shared" si="13"/>
        <v>0</v>
      </c>
      <c r="X65" s="110"/>
      <c r="Y65" s="111"/>
      <c r="Z65" s="122"/>
      <c r="AA65" s="323">
        <f t="shared" si="14"/>
        <v>0</v>
      </c>
      <c r="AB65" s="110"/>
      <c r="AC65" s="136"/>
      <c r="AD65" s="122"/>
      <c r="AE65" s="3322"/>
      <c r="AF65" s="2074"/>
      <c r="AG65" s="1381" t="str">
        <f t="shared" si="12"/>
        <v/>
      </c>
      <c r="AH65" s="802"/>
      <c r="AI65" s="802"/>
      <c r="AJ65" s="802"/>
      <c r="AK65" s="802"/>
      <c r="AL65" s="802"/>
      <c r="AM65" s="802"/>
      <c r="AN65" s="802"/>
      <c r="AO65" s="290"/>
      <c r="AP65" s="290"/>
      <c r="AQ65" s="290"/>
      <c r="AR65" s="290"/>
      <c r="AS65" s="290"/>
      <c r="BE65" s="1452"/>
      <c r="BF65" s="1452"/>
      <c r="BX65" s="165"/>
      <c r="BY65" s="165"/>
      <c r="BZ65" s="165"/>
      <c r="CA65" s="1548" t="str">
        <f t="shared" si="15"/>
        <v/>
      </c>
      <c r="CB65" s="1548" t="str">
        <f t="shared" si="16"/>
        <v/>
      </c>
      <c r="CC65" s="1548" t="str">
        <f t="shared" si="17"/>
        <v/>
      </c>
      <c r="CD65" s="1548" t="str">
        <f t="shared" si="18"/>
        <v/>
      </c>
      <c r="CE65" s="1548" t="str">
        <f t="shared" si="19"/>
        <v/>
      </c>
      <c r="CF65" s="1548"/>
      <c r="CS65" s="1457"/>
      <c r="CT65" s="1457"/>
      <c r="CU65" s="1457"/>
      <c r="CV65" s="1457"/>
      <c r="CW65" s="1457"/>
      <c r="CX65" s="1457"/>
      <c r="CY65" s="1457"/>
      <c r="CZ65" s="1457"/>
      <c r="DA65" s="3311">
        <f t="shared" si="20"/>
        <v>0</v>
      </c>
      <c r="DB65" s="3311">
        <f t="shared" si="21"/>
        <v>0</v>
      </c>
      <c r="DC65" s="3311">
        <f t="shared" si="22"/>
        <v>0</v>
      </c>
      <c r="DD65" s="3311">
        <f t="shared" si="23"/>
        <v>0</v>
      </c>
      <c r="DE65" s="3311"/>
      <c r="DF65" s="3311"/>
      <c r="DG65" s="3311"/>
      <c r="DH65" s="3311"/>
      <c r="DI65" s="3311"/>
      <c r="DJ65" s="3311"/>
      <c r="DK65" s="3311"/>
      <c r="DL65" s="3311"/>
    </row>
    <row r="66" spans="1:130" ht="16.350000000000001" customHeight="1" x14ac:dyDescent="0.25">
      <c r="A66" s="2918" t="s">
        <v>450</v>
      </c>
      <c r="B66" s="2779">
        <f>SUM(L66:S66)</f>
        <v>0</v>
      </c>
      <c r="C66" s="3499"/>
      <c r="D66" s="3500"/>
      <c r="E66" s="3500"/>
      <c r="F66" s="3500"/>
      <c r="G66" s="3500"/>
      <c r="H66" s="3500"/>
      <c r="I66" s="3500"/>
      <c r="J66" s="3500"/>
      <c r="K66" s="3500"/>
      <c r="L66" s="2966"/>
      <c r="M66" s="2966"/>
      <c r="N66" s="2966"/>
      <c r="O66" s="2966"/>
      <c r="P66" s="2966"/>
      <c r="Q66" s="2966"/>
      <c r="R66" s="2966"/>
      <c r="S66" s="2887"/>
      <c r="T66" s="2729"/>
      <c r="U66" s="110"/>
      <c r="V66" s="122"/>
      <c r="W66" s="135">
        <f t="shared" si="13"/>
        <v>0</v>
      </c>
      <c r="X66" s="110"/>
      <c r="Y66" s="111"/>
      <c r="Z66" s="122"/>
      <c r="AA66" s="323">
        <f t="shared" si="14"/>
        <v>0</v>
      </c>
      <c r="AB66" s="110"/>
      <c r="AC66" s="136"/>
      <c r="AD66" s="122"/>
      <c r="AE66" s="3322"/>
      <c r="AF66" s="2074"/>
      <c r="AG66" s="1381" t="str">
        <f t="shared" si="12"/>
        <v/>
      </c>
      <c r="AH66" s="802"/>
      <c r="AI66" s="802"/>
      <c r="AJ66" s="802"/>
      <c r="AK66" s="802"/>
      <c r="AL66" s="802"/>
      <c r="AM66" s="802"/>
      <c r="AN66" s="802"/>
      <c r="AO66" s="290"/>
      <c r="AP66" s="290"/>
      <c r="AQ66" s="290"/>
      <c r="AR66" s="290"/>
      <c r="AS66" s="290"/>
      <c r="BE66" s="1452"/>
      <c r="BF66" s="1452"/>
      <c r="BX66" s="165"/>
      <c r="BY66" s="165"/>
      <c r="BZ66" s="165"/>
      <c r="CA66" s="1548" t="str">
        <f t="shared" si="15"/>
        <v/>
      </c>
      <c r="CB66" s="1548" t="str">
        <f t="shared" si="16"/>
        <v/>
      </c>
      <c r="CC66" s="1548" t="str">
        <f t="shared" si="17"/>
        <v/>
      </c>
      <c r="CD66" s="1548" t="str">
        <f t="shared" si="18"/>
        <v/>
      </c>
      <c r="CE66" s="1548" t="str">
        <f t="shared" si="19"/>
        <v/>
      </c>
      <c r="CF66" s="1548"/>
      <c r="CS66" s="1457"/>
      <c r="CT66" s="1457"/>
      <c r="CU66" s="1457"/>
      <c r="CV66" s="1457"/>
      <c r="CW66" s="1457"/>
      <c r="CX66" s="1457"/>
      <c r="CY66" s="1457"/>
      <c r="CZ66" s="1457"/>
      <c r="DA66" s="3311">
        <f t="shared" si="20"/>
        <v>0</v>
      </c>
      <c r="DB66" s="3311">
        <f t="shared" si="21"/>
        <v>0</v>
      </c>
      <c r="DC66" s="3311">
        <f t="shared" si="22"/>
        <v>0</v>
      </c>
      <c r="DD66" s="3311">
        <f t="shared" si="23"/>
        <v>0</v>
      </c>
      <c r="DE66" s="3311"/>
      <c r="DF66" s="3311"/>
      <c r="DG66" s="3311"/>
      <c r="DH66" s="3311"/>
      <c r="DI66" s="3311"/>
      <c r="DJ66" s="3311"/>
      <c r="DK66" s="3311"/>
      <c r="DL66" s="3311"/>
    </row>
    <row r="67" spans="1:130" ht="16.350000000000001" customHeight="1" x14ac:dyDescent="0.25">
      <c r="A67" s="2918" t="s">
        <v>286</v>
      </c>
      <c r="B67" s="2779">
        <f t="shared" si="9"/>
        <v>0</v>
      </c>
      <c r="C67" s="2885"/>
      <c r="D67" s="2966"/>
      <c r="E67" s="2966"/>
      <c r="F67" s="2966"/>
      <c r="G67" s="2966"/>
      <c r="H67" s="2966"/>
      <c r="I67" s="2966"/>
      <c r="J67" s="2966"/>
      <c r="K67" s="2966"/>
      <c r="L67" s="2966"/>
      <c r="M67" s="2966"/>
      <c r="N67" s="2966"/>
      <c r="O67" s="2966"/>
      <c r="P67" s="2966"/>
      <c r="Q67" s="2966"/>
      <c r="R67" s="2966"/>
      <c r="S67" s="2887"/>
      <c r="T67" s="2729"/>
      <c r="U67" s="110"/>
      <c r="V67" s="122"/>
      <c r="W67" s="135">
        <f t="shared" si="13"/>
        <v>0</v>
      </c>
      <c r="X67" s="110"/>
      <c r="Y67" s="111"/>
      <c r="Z67" s="122"/>
      <c r="AA67" s="323">
        <f t="shared" si="14"/>
        <v>0</v>
      </c>
      <c r="AB67" s="110"/>
      <c r="AC67" s="136"/>
      <c r="AD67" s="122"/>
      <c r="AE67" s="3322"/>
      <c r="AF67" s="2074"/>
      <c r="AG67" s="1381" t="str">
        <f t="shared" si="12"/>
        <v/>
      </c>
      <c r="AH67" s="802"/>
      <c r="AI67" s="802"/>
      <c r="AJ67" s="802"/>
      <c r="AK67" s="802"/>
      <c r="AL67" s="802"/>
      <c r="AM67" s="802"/>
      <c r="AN67" s="802"/>
      <c r="AO67" s="290"/>
      <c r="AP67" s="290"/>
      <c r="AQ67" s="290"/>
      <c r="AR67" s="290"/>
      <c r="AS67" s="290"/>
      <c r="BE67" s="1452"/>
      <c r="BF67" s="1452"/>
      <c r="BX67" s="165"/>
      <c r="BY67" s="165"/>
      <c r="BZ67" s="165"/>
      <c r="CA67" s="1548" t="str">
        <f t="shared" si="15"/>
        <v/>
      </c>
      <c r="CB67" s="1548" t="str">
        <f t="shared" si="16"/>
        <v/>
      </c>
      <c r="CC67" s="1548" t="str">
        <f t="shared" si="17"/>
        <v/>
      </c>
      <c r="CD67" s="1548" t="str">
        <f t="shared" si="18"/>
        <v/>
      </c>
      <c r="CE67" s="1548" t="str">
        <f t="shared" si="19"/>
        <v/>
      </c>
      <c r="CF67" s="1548"/>
      <c r="CS67" s="1457"/>
      <c r="CT67" s="1457"/>
      <c r="CU67" s="1457"/>
      <c r="CV67" s="1457"/>
      <c r="CW67" s="1457"/>
      <c r="CX67" s="1457"/>
      <c r="CY67" s="1457"/>
      <c r="CZ67" s="1457"/>
      <c r="DA67" s="3311">
        <f t="shared" si="20"/>
        <v>0</v>
      </c>
      <c r="DB67" s="3311">
        <f t="shared" si="21"/>
        <v>0</v>
      </c>
      <c r="DC67" s="3311">
        <f t="shared" si="22"/>
        <v>0</v>
      </c>
      <c r="DD67" s="3311">
        <f t="shared" si="23"/>
        <v>0</v>
      </c>
      <c r="DE67" s="3311"/>
      <c r="DF67" s="3311"/>
      <c r="DG67" s="3311"/>
      <c r="DH67" s="3311"/>
      <c r="DI67" s="3311"/>
      <c r="DJ67" s="3311"/>
      <c r="DK67" s="3311"/>
      <c r="DL67" s="3311"/>
    </row>
    <row r="68" spans="1:130" ht="16.350000000000001" customHeight="1" x14ac:dyDescent="0.25">
      <c r="A68" s="2918" t="s">
        <v>287</v>
      </c>
      <c r="B68" s="2779">
        <f t="shared" si="9"/>
        <v>0</v>
      </c>
      <c r="C68" s="2885"/>
      <c r="D68" s="2966"/>
      <c r="E68" s="2966"/>
      <c r="F68" s="2966"/>
      <c r="G68" s="2966"/>
      <c r="H68" s="2966"/>
      <c r="I68" s="2966"/>
      <c r="J68" s="2966"/>
      <c r="K68" s="2966"/>
      <c r="L68" s="2966"/>
      <c r="M68" s="2966"/>
      <c r="N68" s="2966"/>
      <c r="O68" s="2966"/>
      <c r="P68" s="2966"/>
      <c r="Q68" s="2966"/>
      <c r="R68" s="2966"/>
      <c r="S68" s="2887"/>
      <c r="T68" s="2729"/>
      <c r="U68" s="110"/>
      <c r="V68" s="122"/>
      <c r="W68" s="135">
        <f>SUM(X68+Y68+Z68)</f>
        <v>0</v>
      </c>
      <c r="X68" s="110"/>
      <c r="Y68" s="111"/>
      <c r="Z68" s="122"/>
      <c r="AA68" s="323">
        <f t="shared" si="14"/>
        <v>0</v>
      </c>
      <c r="AB68" s="110"/>
      <c r="AC68" s="136"/>
      <c r="AD68" s="122"/>
      <c r="AE68" s="3322"/>
      <c r="AF68" s="2074"/>
      <c r="AG68" s="1381" t="str">
        <f t="shared" si="12"/>
        <v/>
      </c>
      <c r="AH68" s="802"/>
      <c r="AI68" s="802"/>
      <c r="AJ68" s="802"/>
      <c r="AK68" s="802"/>
      <c r="AL68" s="802"/>
      <c r="AM68" s="802"/>
      <c r="AN68" s="802"/>
      <c r="AO68" s="290"/>
      <c r="AP68" s="290"/>
      <c r="AQ68" s="290"/>
      <c r="AR68" s="290"/>
      <c r="AS68" s="290"/>
      <c r="BE68" s="1452"/>
      <c r="BF68" s="1452"/>
      <c r="BX68" s="165"/>
      <c r="BY68" s="165"/>
      <c r="BZ68" s="165"/>
      <c r="CA68" s="1548" t="str">
        <f t="shared" si="15"/>
        <v/>
      </c>
      <c r="CB68" s="1548" t="str">
        <f t="shared" si="16"/>
        <v/>
      </c>
      <c r="CC68" s="1548" t="str">
        <f t="shared" si="17"/>
        <v/>
      </c>
      <c r="CD68" s="1548" t="str">
        <f t="shared" si="18"/>
        <v/>
      </c>
      <c r="CE68" s="1548" t="str">
        <f t="shared" si="19"/>
        <v/>
      </c>
      <c r="CF68" s="1548"/>
      <c r="CS68" s="1457"/>
      <c r="CT68" s="1457"/>
      <c r="CU68" s="1457"/>
      <c r="CV68" s="1457"/>
      <c r="CW68" s="1457"/>
      <c r="CX68" s="1457"/>
      <c r="CY68" s="1457"/>
      <c r="CZ68" s="1457"/>
      <c r="DA68" s="3311">
        <f t="shared" si="20"/>
        <v>0</v>
      </c>
      <c r="DB68" s="3311">
        <f t="shared" si="21"/>
        <v>0</v>
      </c>
      <c r="DC68" s="3311">
        <f t="shared" si="22"/>
        <v>0</v>
      </c>
      <c r="DD68" s="3311">
        <f t="shared" si="23"/>
        <v>0</v>
      </c>
      <c r="DE68" s="3311"/>
      <c r="DF68" s="3311"/>
      <c r="DG68" s="3311"/>
      <c r="DH68" s="3311"/>
      <c r="DI68" s="3311"/>
      <c r="DJ68" s="3311"/>
      <c r="DK68" s="3311"/>
      <c r="DL68" s="3311"/>
    </row>
    <row r="69" spans="1:130" ht="16.350000000000001" customHeight="1" x14ac:dyDescent="0.25">
      <c r="A69" s="3241" t="s">
        <v>416</v>
      </c>
      <c r="B69" s="2779">
        <f t="shared" si="9"/>
        <v>0</v>
      </c>
      <c r="C69" s="2885"/>
      <c r="D69" s="2966"/>
      <c r="E69" s="2966"/>
      <c r="F69" s="2966"/>
      <c r="G69" s="2966"/>
      <c r="H69" s="2966"/>
      <c r="I69" s="2966"/>
      <c r="J69" s="2966"/>
      <c r="K69" s="2966"/>
      <c r="L69" s="2966"/>
      <c r="M69" s="2966"/>
      <c r="N69" s="2966"/>
      <c r="O69" s="2966"/>
      <c r="P69" s="2966"/>
      <c r="Q69" s="2966"/>
      <c r="R69" s="2966"/>
      <c r="S69" s="2887"/>
      <c r="T69" s="2475"/>
      <c r="U69" s="156"/>
      <c r="V69" s="130"/>
      <c r="W69" s="98">
        <f>SUM(X69+Y69+Z69)</f>
        <v>0</v>
      </c>
      <c r="X69" s="110"/>
      <c r="Y69" s="111"/>
      <c r="Z69" s="122"/>
      <c r="AA69" s="2211">
        <f t="shared" si="14"/>
        <v>0</v>
      </c>
      <c r="AB69" s="110"/>
      <c r="AC69" s="136"/>
      <c r="AD69" s="122"/>
      <c r="AE69" s="3322"/>
      <c r="AF69" s="2074"/>
      <c r="AG69" s="1381" t="str">
        <f t="shared" si="12"/>
        <v/>
      </c>
      <c r="AH69" s="802"/>
      <c r="AI69" s="802"/>
      <c r="AJ69" s="802"/>
      <c r="AK69" s="802"/>
      <c r="AL69" s="802"/>
      <c r="AM69" s="802"/>
      <c r="AN69" s="802"/>
      <c r="AO69" s="290"/>
      <c r="AP69" s="290"/>
      <c r="AQ69" s="290"/>
      <c r="AR69" s="290"/>
      <c r="AS69" s="290"/>
      <c r="BE69" s="1452"/>
      <c r="BF69" s="1452"/>
      <c r="BX69" s="165"/>
      <c r="BY69" s="165"/>
      <c r="BZ69" s="165"/>
      <c r="CA69" s="1548" t="str">
        <f t="shared" si="15"/>
        <v/>
      </c>
      <c r="CB69" s="1548" t="str">
        <f t="shared" si="16"/>
        <v/>
      </c>
      <c r="CC69" s="1548" t="str">
        <f t="shared" si="17"/>
        <v/>
      </c>
      <c r="CD69" s="1548" t="str">
        <f t="shared" si="18"/>
        <v/>
      </c>
      <c r="CE69" s="1548" t="str">
        <f t="shared" si="19"/>
        <v/>
      </c>
      <c r="CF69" s="1548"/>
      <c r="CS69" s="1457"/>
      <c r="CT69" s="1457"/>
      <c r="CU69" s="1457"/>
      <c r="CV69" s="1457"/>
      <c r="CW69" s="1457"/>
      <c r="CX69" s="1457"/>
      <c r="CY69" s="1457"/>
      <c r="CZ69" s="1457"/>
      <c r="DA69" s="3311">
        <f t="shared" si="20"/>
        <v>0</v>
      </c>
      <c r="DB69" s="3311">
        <f t="shared" si="21"/>
        <v>0</v>
      </c>
      <c r="DC69" s="3311">
        <f t="shared" si="22"/>
        <v>0</v>
      </c>
      <c r="DD69" s="3311">
        <f t="shared" si="23"/>
        <v>0</v>
      </c>
      <c r="DE69" s="3311"/>
      <c r="DF69" s="3311"/>
      <c r="DG69" s="3311"/>
      <c r="DH69" s="3311"/>
      <c r="DI69" s="3311"/>
      <c r="DJ69" s="3311"/>
      <c r="DK69" s="3311"/>
      <c r="DL69" s="3311"/>
    </row>
    <row r="70" spans="1:130" ht="16.350000000000001" customHeight="1" x14ac:dyDescent="0.25">
      <c r="A70" s="3242" t="s">
        <v>417</v>
      </c>
      <c r="B70" s="176">
        <f t="shared" si="9"/>
        <v>0</v>
      </c>
      <c r="C70" s="2888"/>
      <c r="D70" s="2891"/>
      <c r="E70" s="2891"/>
      <c r="F70" s="2891"/>
      <c r="G70" s="2891"/>
      <c r="H70" s="2891"/>
      <c r="I70" s="2891"/>
      <c r="J70" s="2891"/>
      <c r="K70" s="2891"/>
      <c r="L70" s="2891"/>
      <c r="M70" s="2891"/>
      <c r="N70" s="2891"/>
      <c r="O70" s="2891"/>
      <c r="P70" s="2891"/>
      <c r="Q70" s="2891"/>
      <c r="R70" s="2891"/>
      <c r="S70" s="2884"/>
      <c r="T70" s="3249"/>
      <c r="U70" s="3250"/>
      <c r="V70" s="3127"/>
      <c r="W70" s="3251">
        <f>SUM(X70+Y70+Z70)</f>
        <v>0</v>
      </c>
      <c r="X70" s="3248"/>
      <c r="Y70" s="3064"/>
      <c r="Z70" s="3127"/>
      <c r="AA70" s="3252">
        <f t="shared" si="14"/>
        <v>0</v>
      </c>
      <c r="AB70" s="3248"/>
      <c r="AC70" s="3126"/>
      <c r="AD70" s="3127"/>
      <c r="AE70" s="3250"/>
      <c r="AF70" s="3127"/>
      <c r="AG70" s="1381" t="str">
        <f t="shared" si="12"/>
        <v/>
      </c>
      <c r="AH70" s="802"/>
      <c r="AI70" s="802"/>
      <c r="AJ70" s="802"/>
      <c r="AK70" s="802"/>
      <c r="AL70" s="802"/>
      <c r="AM70" s="802"/>
      <c r="AN70" s="802"/>
      <c r="AO70" s="290"/>
      <c r="AP70" s="290"/>
      <c r="AQ70" s="290"/>
      <c r="AR70" s="290"/>
      <c r="AS70" s="290"/>
      <c r="BE70" s="1452"/>
      <c r="BF70" s="1452"/>
      <c r="BX70" s="165"/>
      <c r="BY70" s="165"/>
      <c r="BZ70" s="165"/>
      <c r="CA70" s="1548" t="str">
        <f t="shared" si="15"/>
        <v/>
      </c>
      <c r="CB70" s="1548" t="str">
        <f t="shared" si="16"/>
        <v/>
      </c>
      <c r="CC70" s="1548" t="str">
        <f t="shared" si="17"/>
        <v/>
      </c>
      <c r="CD70" s="1548" t="str">
        <f t="shared" si="18"/>
        <v/>
      </c>
      <c r="CE70" s="1548" t="str">
        <f t="shared" si="19"/>
        <v/>
      </c>
      <c r="CF70" s="1548"/>
      <c r="CS70" s="1457"/>
      <c r="CT70" s="1457"/>
      <c r="CU70" s="1457"/>
      <c r="CV70" s="1457"/>
      <c r="CW70" s="1457"/>
      <c r="CX70" s="1457"/>
      <c r="CY70" s="1457"/>
      <c r="CZ70" s="1457"/>
      <c r="DA70" s="3311">
        <f t="shared" si="20"/>
        <v>0</v>
      </c>
      <c r="DB70" s="3311">
        <f t="shared" si="21"/>
        <v>0</v>
      </c>
      <c r="DC70" s="3311">
        <f t="shared" si="22"/>
        <v>0</v>
      </c>
      <c r="DD70" s="3311">
        <f t="shared" si="23"/>
        <v>0</v>
      </c>
      <c r="DE70" s="3311"/>
      <c r="DF70" s="3311"/>
      <c r="DG70" s="3311"/>
      <c r="DH70" s="3311"/>
      <c r="DI70" s="3311"/>
      <c r="DJ70" s="3311"/>
      <c r="DK70" s="3311"/>
      <c r="DL70" s="3311"/>
    </row>
    <row r="71" spans="1:130" s="140" customFormat="1" ht="16.350000000000001" customHeight="1" x14ac:dyDescent="0.2">
      <c r="A71" s="293" t="s">
        <v>24</v>
      </c>
      <c r="B71" s="2780">
        <f t="shared" ref="B71:AA71" si="24">SUM(B11:B70)</f>
        <v>0</v>
      </c>
      <c r="C71" s="2778">
        <f>SUM(C11:C70)</f>
        <v>0</v>
      </c>
      <c r="D71" s="2077">
        <f t="shared" si="24"/>
        <v>0</v>
      </c>
      <c r="E71" s="2077">
        <f t="shared" si="24"/>
        <v>0</v>
      </c>
      <c r="F71" s="2077">
        <f t="shared" si="24"/>
        <v>0</v>
      </c>
      <c r="G71" s="2077">
        <f t="shared" si="24"/>
        <v>0</v>
      </c>
      <c r="H71" s="2077">
        <f t="shared" si="24"/>
        <v>0</v>
      </c>
      <c r="I71" s="2077">
        <f t="shared" si="24"/>
        <v>0</v>
      </c>
      <c r="J71" s="2077">
        <f t="shared" si="24"/>
        <v>0</v>
      </c>
      <c r="K71" s="2077">
        <f t="shared" si="24"/>
        <v>0</v>
      </c>
      <c r="L71" s="2077">
        <f t="shared" si="24"/>
        <v>0</v>
      </c>
      <c r="M71" s="2077">
        <f t="shared" si="24"/>
        <v>0</v>
      </c>
      <c r="N71" s="2077">
        <f t="shared" si="24"/>
        <v>0</v>
      </c>
      <c r="O71" s="2077">
        <f t="shared" si="24"/>
        <v>0</v>
      </c>
      <c r="P71" s="2077">
        <f t="shared" si="24"/>
        <v>0</v>
      </c>
      <c r="Q71" s="2077">
        <f t="shared" si="24"/>
        <v>0</v>
      </c>
      <c r="R71" s="2077">
        <f t="shared" si="24"/>
        <v>0</v>
      </c>
      <c r="S71" s="3253">
        <f t="shared" si="24"/>
        <v>0</v>
      </c>
      <c r="T71" s="2781">
        <f t="shared" si="24"/>
        <v>0</v>
      </c>
      <c r="U71" s="2080">
        <f t="shared" si="24"/>
        <v>0</v>
      </c>
      <c r="V71" s="2078">
        <f t="shared" si="24"/>
        <v>0</v>
      </c>
      <c r="W71" s="2080">
        <f t="shared" si="24"/>
        <v>0</v>
      </c>
      <c r="X71" s="2080">
        <f t="shared" si="24"/>
        <v>0</v>
      </c>
      <c r="Y71" s="2077">
        <f t="shared" si="24"/>
        <v>0</v>
      </c>
      <c r="Z71" s="2079">
        <f t="shared" si="24"/>
        <v>0</v>
      </c>
      <c r="AA71" s="1999">
        <f t="shared" si="24"/>
        <v>0</v>
      </c>
      <c r="AB71" s="2080">
        <f>SUM(AB11:AB70)</f>
        <v>0</v>
      </c>
      <c r="AC71" s="2077">
        <f>SUM(AC11:AC70)</f>
        <v>0</v>
      </c>
      <c r="AD71" s="2078">
        <f>SUM(AD11:AD70)</f>
        <v>0</v>
      </c>
      <c r="AE71" s="4906">
        <f>SUM(AE11:AE70)</f>
        <v>0</v>
      </c>
      <c r="AF71" s="4907">
        <f>SUM(AF11:AF70)</f>
        <v>0</v>
      </c>
      <c r="AG71" s="288"/>
      <c r="AH71" s="288"/>
      <c r="AI71" s="288"/>
      <c r="AJ71" s="288"/>
      <c r="AK71" s="288"/>
      <c r="AL71" s="288"/>
      <c r="AM71" s="288"/>
      <c r="AN71" s="288"/>
      <c r="AO71" s="288"/>
      <c r="AP71" s="288"/>
      <c r="AQ71" s="288"/>
      <c r="AR71" s="288"/>
      <c r="AS71" s="288"/>
      <c r="BE71" s="105"/>
      <c r="BR71" s="165"/>
      <c r="BS71" s="165"/>
      <c r="BT71" s="165"/>
      <c r="BU71" s="165"/>
      <c r="BV71" s="165"/>
      <c r="BW71" s="165"/>
      <c r="BX71" s="165"/>
      <c r="BY71" s="165"/>
      <c r="BZ71" s="165"/>
      <c r="CA71" s="683"/>
      <c r="CB71" s="683"/>
      <c r="CC71" s="683"/>
      <c r="CD71" s="683"/>
      <c r="CE71" s="683"/>
      <c r="CF71" s="683"/>
      <c r="CG71" s="3310"/>
      <c r="CH71" s="3310"/>
      <c r="CI71" s="3310"/>
      <c r="CJ71" s="3310"/>
      <c r="CK71" s="3310"/>
      <c r="CL71" s="3310"/>
      <c r="CM71" s="3310"/>
      <c r="CN71" s="3310"/>
      <c r="CO71" s="3310"/>
      <c r="CP71" s="3310"/>
      <c r="CQ71" s="3310"/>
      <c r="CR71" s="3310"/>
      <c r="CS71" s="3310"/>
      <c r="CT71" s="3310"/>
      <c r="CU71" s="3310"/>
      <c r="CV71" s="3310"/>
      <c r="CW71" s="3310"/>
      <c r="CX71" s="3310"/>
      <c r="CY71" s="3310"/>
      <c r="CZ71" s="3310"/>
      <c r="DA71" s="3305"/>
      <c r="DB71" s="3305"/>
      <c r="DC71" s="3305"/>
      <c r="DD71" s="3305"/>
      <c r="DE71" s="3305"/>
      <c r="DF71" s="3312"/>
      <c r="DG71" s="3312"/>
      <c r="DH71" s="3312"/>
      <c r="DI71" s="3312"/>
      <c r="DJ71" s="3312"/>
      <c r="DK71" s="3312"/>
      <c r="DL71" s="3312"/>
      <c r="DM71" s="3312"/>
      <c r="DN71" s="3312"/>
      <c r="DO71" s="3312"/>
      <c r="DP71" s="3312"/>
      <c r="DQ71" s="3312"/>
      <c r="DR71" s="3312"/>
      <c r="DS71" s="3312"/>
      <c r="DT71" s="3312"/>
      <c r="DU71" s="3312"/>
      <c r="DV71" s="3312"/>
      <c r="DW71" s="3312"/>
      <c r="DX71" s="3312"/>
      <c r="DY71" s="3312"/>
      <c r="DZ71" s="3312"/>
    </row>
    <row r="72" spans="1:130" s="140" customFormat="1" ht="16.350000000000001" customHeight="1" x14ac:dyDescent="0.2">
      <c r="A72" s="3501" t="s">
        <v>3461</v>
      </c>
      <c r="B72" s="165"/>
      <c r="C72" s="165"/>
      <c r="D72" s="165"/>
      <c r="E72" s="165"/>
      <c r="F72" s="165"/>
      <c r="G72" s="165"/>
      <c r="H72" s="165"/>
      <c r="I72" s="165"/>
      <c r="J72" s="165"/>
      <c r="K72" s="165"/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288"/>
      <c r="Y72" s="288"/>
      <c r="Z72" s="288"/>
      <c r="AA72" s="288"/>
      <c r="AB72" s="288"/>
      <c r="AC72" s="288"/>
      <c r="AD72" s="288"/>
      <c r="AE72" s="288"/>
      <c r="AF72" s="288"/>
      <c r="AG72" s="288"/>
      <c r="AH72" s="288"/>
      <c r="AI72" s="288"/>
      <c r="AJ72" s="288"/>
      <c r="AK72" s="288"/>
      <c r="AL72" s="288"/>
      <c r="AM72" s="288"/>
      <c r="AN72" s="288"/>
      <c r="AO72" s="288"/>
      <c r="AP72" s="288"/>
      <c r="AQ72" s="288"/>
      <c r="AR72" s="288"/>
      <c r="AS72" s="288"/>
      <c r="BE72" s="105"/>
      <c r="BR72" s="165"/>
      <c r="BS72" s="165"/>
      <c r="BT72" s="165"/>
      <c r="BU72" s="165"/>
      <c r="BV72" s="165"/>
      <c r="BW72" s="165"/>
      <c r="BX72" s="165"/>
      <c r="BY72" s="165"/>
      <c r="BZ72" s="165"/>
      <c r="CA72" s="683"/>
      <c r="CB72" s="683"/>
      <c r="CC72" s="683"/>
      <c r="CD72" s="683"/>
      <c r="CE72" s="683"/>
      <c r="CF72" s="683"/>
      <c r="CG72" s="3310"/>
      <c r="CH72" s="3310"/>
      <c r="CI72" s="3310"/>
      <c r="CJ72" s="3310"/>
      <c r="CK72" s="3310"/>
      <c r="CL72" s="3310"/>
      <c r="CM72" s="3310"/>
      <c r="CN72" s="3310"/>
      <c r="CO72" s="3310"/>
      <c r="CP72" s="3310"/>
      <c r="CQ72" s="3310"/>
      <c r="CR72" s="3310"/>
      <c r="CS72" s="3310"/>
      <c r="CT72" s="3310"/>
      <c r="CU72" s="3310"/>
      <c r="CV72" s="3310"/>
      <c r="CW72" s="3310"/>
      <c r="CX72" s="3310"/>
      <c r="CY72" s="3310"/>
      <c r="CZ72" s="3310"/>
      <c r="DA72" s="3305"/>
      <c r="DB72" s="3305"/>
      <c r="DC72" s="3305"/>
      <c r="DD72" s="3305"/>
      <c r="DE72" s="3305"/>
      <c r="DF72" s="3312"/>
      <c r="DG72" s="3312"/>
      <c r="DH72" s="3312"/>
      <c r="DI72" s="3312"/>
      <c r="DJ72" s="3312"/>
      <c r="DK72" s="3312"/>
      <c r="DL72" s="3312"/>
      <c r="DM72" s="3312"/>
      <c r="DN72" s="3312"/>
      <c r="DO72" s="3312"/>
      <c r="DP72" s="3312"/>
      <c r="DQ72" s="3312"/>
      <c r="DR72" s="3312"/>
      <c r="DS72" s="3312"/>
      <c r="DT72" s="3312"/>
      <c r="DU72" s="3312"/>
      <c r="DV72" s="3312"/>
      <c r="DW72" s="3312"/>
      <c r="DX72" s="3312"/>
      <c r="DY72" s="3312"/>
      <c r="DZ72" s="3312"/>
    </row>
    <row r="73" spans="1:130" s="140" customFormat="1" ht="28.15" customHeight="1" x14ac:dyDescent="0.15">
      <c r="A73" s="8549" t="s">
        <v>89</v>
      </c>
      <c r="B73" s="9104" t="s">
        <v>3518</v>
      </c>
      <c r="C73" s="9078"/>
      <c r="D73" s="9078"/>
      <c r="E73" s="9105"/>
      <c r="F73" s="9104" t="s">
        <v>3532</v>
      </c>
      <c r="G73" s="9078"/>
      <c r="H73" s="9078"/>
      <c r="I73" s="9105"/>
      <c r="J73" s="9078" t="s">
        <v>3574</v>
      </c>
      <c r="K73" s="9078"/>
      <c r="L73" s="9078"/>
      <c r="M73" s="9105"/>
      <c r="N73" s="9109" t="s">
        <v>3533</v>
      </c>
      <c r="O73" s="9110"/>
      <c r="P73" s="9111"/>
      <c r="Q73" s="9115" t="s">
        <v>3534</v>
      </c>
      <c r="R73" s="8526"/>
      <c r="S73" s="9139" t="s">
        <v>3729</v>
      </c>
      <c r="T73" s="9140"/>
      <c r="U73" s="9115" t="s">
        <v>2637</v>
      </c>
      <c r="V73" s="8526"/>
      <c r="W73" s="8549" t="s">
        <v>621</v>
      </c>
      <c r="X73" s="9115" t="s">
        <v>2639</v>
      </c>
      <c r="Y73" s="8526"/>
      <c r="Z73" s="9115" t="s">
        <v>2640</v>
      </c>
      <c r="AA73" s="8526"/>
      <c r="AB73" s="9115" t="s">
        <v>3726</v>
      </c>
      <c r="AC73" s="8526"/>
      <c r="AD73" s="8549" t="s">
        <v>3727</v>
      </c>
      <c r="AE73" s="9142" t="s">
        <v>2645</v>
      </c>
      <c r="AF73" s="9143"/>
      <c r="AG73" s="9146" t="s">
        <v>2644</v>
      </c>
      <c r="AH73" s="9146"/>
      <c r="AI73" s="9146"/>
      <c r="AJ73" s="288"/>
      <c r="AK73" s="288"/>
      <c r="AL73" s="288"/>
      <c r="AM73" s="288"/>
      <c r="AN73" s="288"/>
      <c r="AO73" s="288"/>
      <c r="AP73" s="288"/>
      <c r="AQ73" s="288"/>
      <c r="AR73" s="288"/>
      <c r="AS73" s="288"/>
      <c r="AT73" s="288"/>
      <c r="AU73" s="288"/>
      <c r="AV73" s="288"/>
      <c r="AW73" s="288"/>
      <c r="AX73" s="288"/>
      <c r="AY73" s="288"/>
      <c r="AZ73" s="288"/>
      <c r="BA73" s="288"/>
      <c r="BB73" s="288"/>
      <c r="BC73" s="288"/>
      <c r="BD73" s="288"/>
      <c r="BE73" s="288"/>
      <c r="BQ73" s="105"/>
      <c r="CA73" s="683"/>
      <c r="CB73" s="683"/>
      <c r="CC73" s="683"/>
      <c r="CD73" s="683"/>
      <c r="CE73" s="683"/>
      <c r="CF73" s="683"/>
      <c r="CG73" s="3313"/>
      <c r="CH73" s="3313"/>
      <c r="CI73" s="3313"/>
      <c r="CJ73" s="3313"/>
      <c r="CK73" s="3313"/>
      <c r="CL73" s="683"/>
      <c r="CM73" s="683"/>
      <c r="CN73" s="683"/>
      <c r="CO73" s="683"/>
      <c r="CP73" s="683"/>
      <c r="CQ73" s="683"/>
      <c r="CR73" s="683"/>
      <c r="CS73" s="683"/>
      <c r="CT73" s="683"/>
      <c r="CU73" s="683"/>
      <c r="CV73" s="683"/>
      <c r="CW73" s="683"/>
      <c r="CX73" s="683"/>
      <c r="CY73" s="683"/>
      <c r="CZ73" s="683"/>
    </row>
    <row r="74" spans="1:130" s="140" customFormat="1" ht="22.9" customHeight="1" x14ac:dyDescent="0.15">
      <c r="A74" s="8460"/>
      <c r="B74" s="9106"/>
      <c r="C74" s="9107"/>
      <c r="D74" s="9107"/>
      <c r="E74" s="9108"/>
      <c r="F74" s="9106"/>
      <c r="G74" s="9107"/>
      <c r="H74" s="9107"/>
      <c r="I74" s="9108"/>
      <c r="J74" s="9107"/>
      <c r="K74" s="9107"/>
      <c r="L74" s="9107"/>
      <c r="M74" s="9108"/>
      <c r="N74" s="9112"/>
      <c r="O74" s="9113"/>
      <c r="P74" s="9114"/>
      <c r="Q74" s="9116"/>
      <c r="R74" s="8527"/>
      <c r="S74" s="9141"/>
      <c r="T74" s="8444"/>
      <c r="U74" s="9116"/>
      <c r="V74" s="8527"/>
      <c r="W74" s="8460"/>
      <c r="X74" s="9116"/>
      <c r="Y74" s="8527"/>
      <c r="Z74" s="9116"/>
      <c r="AA74" s="8527"/>
      <c r="AB74" s="9116"/>
      <c r="AC74" s="8527"/>
      <c r="AD74" s="8460"/>
      <c r="AE74" s="9144"/>
      <c r="AF74" s="9145"/>
      <c r="AG74" s="9146"/>
      <c r="AH74" s="9146"/>
      <c r="AI74" s="9146"/>
      <c r="AJ74" s="288"/>
      <c r="AK74" s="288"/>
      <c r="AL74" s="288"/>
      <c r="AM74" s="288"/>
      <c r="AN74" s="288"/>
      <c r="AO74" s="288"/>
      <c r="AP74" s="288"/>
      <c r="AQ74" s="288"/>
      <c r="AR74" s="288"/>
      <c r="AS74" s="288"/>
      <c r="AT74" s="288"/>
      <c r="AU74" s="288"/>
      <c r="AV74" s="288"/>
      <c r="AW74" s="288"/>
      <c r="AX74" s="288"/>
      <c r="AY74" s="288"/>
      <c r="AZ74" s="288"/>
      <c r="BA74" s="288"/>
      <c r="BB74" s="288"/>
      <c r="BC74" s="288"/>
      <c r="BD74" s="288"/>
      <c r="BE74" s="288"/>
      <c r="BQ74" s="105"/>
      <c r="CA74" s="683"/>
      <c r="CB74" s="683"/>
      <c r="CC74" s="683"/>
      <c r="CD74" s="683"/>
      <c r="CE74" s="683"/>
      <c r="CF74" s="683"/>
      <c r="CG74" s="3313"/>
      <c r="CH74" s="3313"/>
      <c r="CI74" s="3313"/>
      <c r="CJ74" s="3313"/>
      <c r="CK74" s="3313"/>
      <c r="CL74" s="683"/>
      <c r="CM74" s="683"/>
      <c r="CN74" s="683"/>
      <c r="CO74" s="683"/>
      <c r="CP74" s="683"/>
      <c r="CQ74" s="683"/>
      <c r="CR74" s="683"/>
      <c r="CS74" s="683"/>
      <c r="CT74" s="683"/>
      <c r="CU74" s="683"/>
      <c r="CV74" s="683"/>
      <c r="CW74" s="683"/>
      <c r="CX74" s="683"/>
      <c r="CY74" s="683"/>
      <c r="CZ74" s="683"/>
    </row>
    <row r="75" spans="1:130" s="140" customFormat="1" ht="63" customHeight="1" x14ac:dyDescent="0.15">
      <c r="A75" s="8550"/>
      <c r="B75" s="3502" t="s">
        <v>44</v>
      </c>
      <c r="C75" s="3503" t="s">
        <v>95</v>
      </c>
      <c r="D75" s="3504" t="s">
        <v>3045</v>
      </c>
      <c r="E75" s="3505" t="s">
        <v>1640</v>
      </c>
      <c r="F75" s="3506" t="s">
        <v>44</v>
      </c>
      <c r="G75" s="3503" t="s">
        <v>95</v>
      </c>
      <c r="H75" s="3504" t="s">
        <v>3045</v>
      </c>
      <c r="I75" s="3505" t="s">
        <v>1640</v>
      </c>
      <c r="J75" s="3502" t="s">
        <v>44</v>
      </c>
      <c r="K75" s="3503" t="s">
        <v>95</v>
      </c>
      <c r="L75" s="3504" t="s">
        <v>3045</v>
      </c>
      <c r="M75" s="3504" t="s">
        <v>1640</v>
      </c>
      <c r="N75" s="3507" t="s">
        <v>44</v>
      </c>
      <c r="O75" s="3508" t="s">
        <v>91</v>
      </c>
      <c r="P75" s="3383" t="s">
        <v>97</v>
      </c>
      <c r="Q75" s="3269" t="s">
        <v>93</v>
      </c>
      <c r="R75" s="3491" t="s">
        <v>94</v>
      </c>
      <c r="S75" s="3921" t="s">
        <v>93</v>
      </c>
      <c r="T75" s="3922" t="s">
        <v>94</v>
      </c>
      <c r="U75" s="3269" t="s">
        <v>2638</v>
      </c>
      <c r="V75" s="3491" t="s">
        <v>426</v>
      </c>
      <c r="W75" s="8550"/>
      <c r="X75" s="3269" t="s">
        <v>93</v>
      </c>
      <c r="Y75" s="3491" t="s">
        <v>94</v>
      </c>
      <c r="Z75" s="3332" t="s">
        <v>2642</v>
      </c>
      <c r="AA75" s="3332" t="s">
        <v>2641</v>
      </c>
      <c r="AB75" s="3372" t="s">
        <v>3480</v>
      </c>
      <c r="AC75" s="3372" t="s">
        <v>3481</v>
      </c>
      <c r="AD75" s="8550"/>
      <c r="AE75" s="3509" t="s">
        <v>91</v>
      </c>
      <c r="AF75" s="3510" t="s">
        <v>97</v>
      </c>
      <c r="AG75" s="3511" t="s">
        <v>288</v>
      </c>
      <c r="AH75" s="3512" t="s">
        <v>289</v>
      </c>
      <c r="AI75" s="3513" t="s">
        <v>290</v>
      </c>
      <c r="AJ75" s="288"/>
      <c r="AK75" s="288"/>
      <c r="AL75" s="288"/>
      <c r="AM75" s="288"/>
      <c r="AN75" s="288"/>
      <c r="AO75" s="288"/>
      <c r="AP75" s="288"/>
      <c r="AQ75" s="288"/>
      <c r="AR75" s="288"/>
      <c r="AS75" s="288"/>
      <c r="AT75" s="288"/>
      <c r="AU75" s="288"/>
      <c r="AV75" s="288"/>
      <c r="AW75" s="288"/>
      <c r="AX75" s="288"/>
      <c r="AY75" s="288"/>
      <c r="AZ75" s="288"/>
      <c r="BA75" s="288"/>
      <c r="BB75" s="288"/>
      <c r="BC75" s="288"/>
      <c r="BD75" s="288"/>
      <c r="BE75" s="288"/>
      <c r="BQ75" s="105"/>
      <c r="CA75" s="683"/>
      <c r="CB75" s="683"/>
      <c r="CC75" s="683"/>
      <c r="CD75" s="683"/>
      <c r="CE75" s="683"/>
      <c r="CF75" s="683"/>
      <c r="CG75" s="3313"/>
      <c r="CH75" s="3313"/>
      <c r="CI75" s="3313"/>
      <c r="CJ75" s="3313"/>
      <c r="CK75" s="3313"/>
      <c r="CL75" s="683"/>
      <c r="CM75" s="683"/>
      <c r="CN75" s="683"/>
      <c r="CO75" s="683"/>
      <c r="CP75" s="683"/>
      <c r="CQ75" s="683"/>
      <c r="CR75" s="683"/>
      <c r="CS75" s="683"/>
      <c r="CT75" s="683"/>
      <c r="CU75" s="683"/>
      <c r="CV75" s="683"/>
      <c r="CW75" s="683"/>
      <c r="CX75" s="683"/>
      <c r="CY75" s="683"/>
      <c r="CZ75" s="683"/>
    </row>
    <row r="76" spans="1:130" s="140" customFormat="1" ht="16.350000000000001" customHeight="1" x14ac:dyDescent="0.15">
      <c r="A76" s="3241" t="s">
        <v>111</v>
      </c>
      <c r="B76" s="3514">
        <f>SUM(C76:E76)</f>
        <v>0</v>
      </c>
      <c r="C76" s="3515"/>
      <c r="D76" s="3516"/>
      <c r="E76" s="3516"/>
      <c r="F76" s="3514">
        <f>SUM(G76:I76)</f>
        <v>0</v>
      </c>
      <c r="G76" s="3515"/>
      <c r="H76" s="3516"/>
      <c r="I76" s="3516"/>
      <c r="J76" s="3514">
        <f>SUM(K76:M76)</f>
        <v>0</v>
      </c>
      <c r="K76" s="3515"/>
      <c r="L76" s="3516"/>
      <c r="M76" s="3517"/>
      <c r="N76" s="3518">
        <f>SUM(O76:P76)</f>
        <v>0</v>
      </c>
      <c r="O76" s="1828"/>
      <c r="P76" s="209"/>
      <c r="Q76" s="3322"/>
      <c r="R76" s="2074"/>
      <c r="S76" s="4022"/>
      <c r="T76" s="4910"/>
      <c r="U76" s="4909"/>
      <c r="V76" s="4910"/>
      <c r="W76" s="3341"/>
      <c r="X76" s="3322"/>
      <c r="Y76" s="2074"/>
      <c r="Z76" s="3059"/>
      <c r="AA76" s="3059"/>
      <c r="AB76" s="3059"/>
      <c r="AC76" s="3059"/>
      <c r="AD76" s="3059"/>
      <c r="AE76" s="3519"/>
      <c r="AF76" s="3520"/>
      <c r="AG76" s="3223"/>
      <c r="AH76" s="3208"/>
      <c r="AI76" s="2877"/>
      <c r="AJ76" s="288"/>
      <c r="AK76" s="288"/>
      <c r="AL76" s="288"/>
      <c r="AM76" s="288"/>
      <c r="AN76" s="288"/>
      <c r="AO76" s="288"/>
      <c r="AP76" s="288"/>
      <c r="AQ76" s="288"/>
      <c r="AR76" s="288"/>
      <c r="AS76" s="288"/>
      <c r="AT76" s="288"/>
      <c r="AU76" s="288"/>
      <c r="AV76" s="288"/>
      <c r="AW76" s="288"/>
      <c r="AX76" s="288"/>
      <c r="AY76" s="288"/>
      <c r="AZ76" s="288"/>
      <c r="BA76" s="288"/>
      <c r="BB76" s="288"/>
      <c r="BC76" s="288"/>
      <c r="BD76" s="288"/>
      <c r="BE76" s="288"/>
      <c r="BQ76" s="105"/>
      <c r="CA76" s="683"/>
      <c r="CB76" s="683"/>
      <c r="CC76" s="683"/>
      <c r="CD76" s="683"/>
      <c r="CE76" s="683"/>
      <c r="CF76" s="683"/>
      <c r="CG76" s="3313"/>
      <c r="CH76" s="3313"/>
      <c r="CI76" s="3313"/>
      <c r="CJ76" s="3313"/>
      <c r="CK76" s="3313"/>
      <c r="CL76" s="683"/>
      <c r="CM76" s="683"/>
      <c r="CN76" s="683"/>
      <c r="CO76" s="683"/>
      <c r="CP76" s="683"/>
      <c r="CQ76" s="683"/>
      <c r="CR76" s="683"/>
      <c r="CS76" s="683"/>
      <c r="CT76" s="683"/>
      <c r="CU76" s="683"/>
      <c r="CV76" s="683"/>
      <c r="CW76" s="683"/>
      <c r="CX76" s="683"/>
      <c r="CY76" s="683"/>
      <c r="CZ76" s="683"/>
    </row>
    <row r="77" spans="1:130" s="140" customFormat="1" ht="16.350000000000001" customHeight="1" x14ac:dyDescent="0.15">
      <c r="A77" s="2918" t="s">
        <v>110</v>
      </c>
      <c r="B77" s="3521">
        <f>SUM(C77:E77)</f>
        <v>0</v>
      </c>
      <c r="C77" s="3278"/>
      <c r="D77" s="3330"/>
      <c r="E77" s="3330"/>
      <c r="F77" s="3521">
        <f t="shared" ref="F77:F135" si="25">SUM(G77:I77)</f>
        <v>0</v>
      </c>
      <c r="G77" s="3278"/>
      <c r="H77" s="3330"/>
      <c r="I77" s="3330"/>
      <c r="J77" s="3521">
        <f>SUM(K77:M77)</f>
        <v>0</v>
      </c>
      <c r="K77" s="3278"/>
      <c r="L77" s="3330"/>
      <c r="M77" s="3319"/>
      <c r="N77" s="3522">
        <f t="shared" ref="N77:N135" si="26">SUM(O77:P77)</f>
        <v>0</v>
      </c>
      <c r="O77" s="2852"/>
      <c r="P77" s="550"/>
      <c r="Q77" s="3322"/>
      <c r="R77" s="2074"/>
      <c r="S77" s="1880"/>
      <c r="T77" s="1882"/>
      <c r="U77" s="1891"/>
      <c r="V77" s="1882"/>
      <c r="W77" s="3341"/>
      <c r="X77" s="3322"/>
      <c r="Y77" s="2074"/>
      <c r="Z77" s="3059"/>
      <c r="AA77" s="3059"/>
      <c r="AB77" s="3059"/>
      <c r="AC77" s="3059"/>
      <c r="AD77" s="3059"/>
      <c r="AE77" s="3519"/>
      <c r="AF77" s="3520"/>
      <c r="AG77" s="3225"/>
      <c r="AH77" s="3060"/>
      <c r="AI77" s="2877"/>
      <c r="AJ77" s="288"/>
      <c r="AK77" s="288"/>
      <c r="AL77" s="288"/>
      <c r="AM77" s="288"/>
      <c r="AN77" s="288"/>
      <c r="AO77" s="288"/>
      <c r="AP77" s="288"/>
      <c r="AQ77" s="288"/>
      <c r="AR77" s="288"/>
      <c r="AS77" s="288"/>
      <c r="AT77" s="288"/>
      <c r="AU77" s="288"/>
      <c r="AV77" s="288"/>
      <c r="AW77" s="288"/>
      <c r="AX77" s="288"/>
      <c r="AY77" s="288"/>
      <c r="AZ77" s="288"/>
      <c r="BA77" s="288"/>
      <c r="BB77" s="288"/>
      <c r="BC77" s="288"/>
      <c r="BD77" s="288"/>
      <c r="BE77" s="288"/>
      <c r="BQ77" s="105"/>
      <c r="CA77" s="683"/>
      <c r="CB77" s="683"/>
      <c r="CC77" s="683"/>
      <c r="CD77" s="683"/>
      <c r="CE77" s="683"/>
      <c r="CF77" s="683"/>
      <c r="CG77" s="3313"/>
      <c r="CH77" s="3313"/>
      <c r="CI77" s="3313"/>
      <c r="CJ77" s="3313"/>
      <c r="CK77" s="3313"/>
      <c r="CL77" s="683"/>
      <c r="CM77" s="683"/>
      <c r="CN77" s="683"/>
      <c r="CO77" s="683"/>
      <c r="CP77" s="683"/>
      <c r="CQ77" s="683"/>
      <c r="CR77" s="683"/>
      <c r="CS77" s="683"/>
      <c r="CT77" s="683"/>
      <c r="CU77" s="683"/>
      <c r="CV77" s="683"/>
      <c r="CW77" s="683"/>
      <c r="CX77" s="683"/>
      <c r="CY77" s="683"/>
      <c r="CZ77" s="683"/>
    </row>
    <row r="78" spans="1:130" s="140" customFormat="1" ht="16.350000000000001" customHeight="1" x14ac:dyDescent="0.15">
      <c r="A78" s="2918" t="s">
        <v>134</v>
      </c>
      <c r="B78" s="3523">
        <f t="shared" ref="B78:B135" si="27">SUM(C78:E78)</f>
        <v>0</v>
      </c>
      <c r="C78" s="3028"/>
      <c r="D78" s="1871"/>
      <c r="E78" s="1871"/>
      <c r="F78" s="3523">
        <f t="shared" si="25"/>
        <v>0</v>
      </c>
      <c r="G78" s="3028"/>
      <c r="H78" s="1871"/>
      <c r="I78" s="1871"/>
      <c r="J78" s="3523">
        <f>SUM(K78:M78)</f>
        <v>0</v>
      </c>
      <c r="K78" s="3028"/>
      <c r="L78" s="1871"/>
      <c r="M78" s="2584"/>
      <c r="N78" s="3522">
        <f t="shared" si="26"/>
        <v>0</v>
      </c>
      <c r="O78" s="3136"/>
      <c r="P78" s="3341"/>
      <c r="Q78" s="3322"/>
      <c r="R78" s="2074"/>
      <c r="S78" s="1880"/>
      <c r="T78" s="1882"/>
      <c r="U78" s="1891"/>
      <c r="V78" s="1882"/>
      <c r="W78" s="3341"/>
      <c r="X78" s="3322"/>
      <c r="Y78" s="2074"/>
      <c r="Z78" s="3059"/>
      <c r="AA78" s="3059"/>
      <c r="AB78" s="3059"/>
      <c r="AC78" s="3059"/>
      <c r="AD78" s="3059"/>
      <c r="AE78" s="3519"/>
      <c r="AF78" s="3520"/>
      <c r="AG78" s="3225"/>
      <c r="AH78" s="3060"/>
      <c r="AI78" s="2877"/>
      <c r="AJ78" s="288"/>
      <c r="AK78" s="288"/>
      <c r="AL78" s="288"/>
      <c r="AM78" s="288"/>
      <c r="AN78" s="288"/>
      <c r="AO78" s="288"/>
      <c r="AP78" s="288"/>
      <c r="AQ78" s="288"/>
      <c r="AR78" s="288"/>
      <c r="AS78" s="288"/>
      <c r="AT78" s="288"/>
      <c r="AU78" s="288"/>
      <c r="AV78" s="288"/>
      <c r="AW78" s="288"/>
      <c r="AX78" s="288"/>
      <c r="AY78" s="288"/>
      <c r="AZ78" s="288"/>
      <c r="BA78" s="288"/>
      <c r="BB78" s="288"/>
      <c r="BC78" s="288"/>
      <c r="BD78" s="288"/>
      <c r="BE78" s="288"/>
      <c r="BQ78" s="105"/>
      <c r="CA78" s="683"/>
      <c r="CB78" s="683"/>
      <c r="CC78" s="683"/>
      <c r="CD78" s="683"/>
      <c r="CE78" s="683"/>
      <c r="CF78" s="683"/>
      <c r="CG78" s="3313"/>
      <c r="CH78" s="3313"/>
      <c r="CI78" s="3313"/>
      <c r="CJ78" s="3313"/>
      <c r="CK78" s="3313"/>
      <c r="CL78" s="683"/>
      <c r="CM78" s="683"/>
      <c r="CN78" s="683"/>
      <c r="CO78" s="683"/>
      <c r="CP78" s="683"/>
      <c r="CQ78" s="683"/>
      <c r="CR78" s="683"/>
      <c r="CS78" s="683"/>
      <c r="CT78" s="683"/>
      <c r="CU78" s="683"/>
      <c r="CV78" s="683"/>
      <c r="CW78" s="683"/>
      <c r="CX78" s="683"/>
      <c r="CY78" s="683"/>
      <c r="CZ78" s="683"/>
    </row>
    <row r="79" spans="1:130" s="140" customFormat="1" ht="16.350000000000001" customHeight="1" x14ac:dyDescent="0.15">
      <c r="A79" s="2918" t="s">
        <v>254</v>
      </c>
      <c r="B79" s="3523">
        <f t="shared" si="27"/>
        <v>0</v>
      </c>
      <c r="C79" s="3028"/>
      <c r="D79" s="1871"/>
      <c r="E79" s="1871"/>
      <c r="F79" s="3523">
        <f>SUM(G79:I79)</f>
        <v>0</v>
      </c>
      <c r="G79" s="3028"/>
      <c r="H79" s="1871"/>
      <c r="I79" s="1871"/>
      <c r="J79" s="3523">
        <f>SUM(K79:M79)</f>
        <v>0</v>
      </c>
      <c r="K79" s="3028"/>
      <c r="L79" s="1871"/>
      <c r="M79" s="2584"/>
      <c r="N79" s="3522">
        <f t="shared" si="26"/>
        <v>0</v>
      </c>
      <c r="O79" s="3136"/>
      <c r="P79" s="3341"/>
      <c r="Q79" s="3322"/>
      <c r="R79" s="2074"/>
      <c r="S79" s="1880"/>
      <c r="T79" s="1882"/>
      <c r="U79" s="1891"/>
      <c r="V79" s="1882"/>
      <c r="W79" s="3341"/>
      <c r="X79" s="3322"/>
      <c r="Y79" s="2074"/>
      <c r="Z79" s="3059"/>
      <c r="AA79" s="3059"/>
      <c r="AB79" s="3059"/>
      <c r="AC79" s="3059"/>
      <c r="AD79" s="3059"/>
      <c r="AE79" s="3519"/>
      <c r="AF79" s="3520"/>
      <c r="AG79" s="3225"/>
      <c r="AH79" s="3060"/>
      <c r="AI79" s="2877"/>
      <c r="AJ79" s="288"/>
      <c r="AK79" s="288"/>
      <c r="AL79" s="288"/>
      <c r="AM79" s="288"/>
      <c r="AN79" s="288"/>
      <c r="AO79" s="288"/>
      <c r="AP79" s="288"/>
      <c r="AQ79" s="288"/>
      <c r="AR79" s="288"/>
      <c r="AS79" s="288"/>
      <c r="AT79" s="288"/>
      <c r="AU79" s="288"/>
      <c r="AV79" s="288"/>
      <c r="AW79" s="288"/>
      <c r="AX79" s="288"/>
      <c r="AY79" s="288"/>
      <c r="AZ79" s="288"/>
      <c r="BA79" s="288"/>
      <c r="BB79" s="288"/>
      <c r="BC79" s="288"/>
      <c r="BD79" s="288"/>
      <c r="BE79" s="288"/>
      <c r="BQ79" s="105"/>
      <c r="CA79" s="683"/>
      <c r="CB79" s="683"/>
      <c r="CC79" s="683"/>
      <c r="CD79" s="683"/>
      <c r="CE79" s="683"/>
      <c r="CF79" s="683"/>
      <c r="CG79" s="3313"/>
      <c r="CH79" s="3313"/>
      <c r="CI79" s="3313"/>
      <c r="CJ79" s="3313"/>
      <c r="CK79" s="3313"/>
      <c r="CL79" s="683"/>
      <c r="CM79" s="683"/>
      <c r="CN79" s="683"/>
      <c r="CO79" s="683"/>
      <c r="CP79" s="683"/>
      <c r="CQ79" s="683"/>
      <c r="CR79" s="683"/>
      <c r="CS79" s="683"/>
      <c r="CT79" s="683"/>
      <c r="CU79" s="683"/>
      <c r="CV79" s="683"/>
      <c r="CW79" s="683"/>
      <c r="CX79" s="683"/>
      <c r="CY79" s="683"/>
      <c r="CZ79" s="683"/>
    </row>
    <row r="80" spans="1:130" s="140" customFormat="1" ht="16.350000000000001" customHeight="1" x14ac:dyDescent="0.15">
      <c r="A80" s="2918" t="s">
        <v>255</v>
      </c>
      <c r="B80" s="3523">
        <f>SUM(C80:E80)</f>
        <v>0</v>
      </c>
      <c r="C80" s="3028"/>
      <c r="D80" s="1871"/>
      <c r="E80" s="1871"/>
      <c r="F80" s="3523">
        <f t="shared" si="25"/>
        <v>0</v>
      </c>
      <c r="G80" s="3028"/>
      <c r="H80" s="1871"/>
      <c r="I80" s="1871"/>
      <c r="J80" s="3523">
        <f t="shared" ref="J80:J135" si="28">SUM(K80:M80)</f>
        <v>0</v>
      </c>
      <c r="K80" s="3028"/>
      <c r="L80" s="1871"/>
      <c r="M80" s="2584"/>
      <c r="N80" s="3522">
        <f t="shared" si="26"/>
        <v>0</v>
      </c>
      <c r="O80" s="3136"/>
      <c r="P80" s="3341"/>
      <c r="Q80" s="3322"/>
      <c r="R80" s="2074"/>
      <c r="S80" s="1880"/>
      <c r="T80" s="1882"/>
      <c r="U80" s="1891"/>
      <c r="V80" s="1882"/>
      <c r="W80" s="3341"/>
      <c r="X80" s="3322"/>
      <c r="Y80" s="2074"/>
      <c r="Z80" s="3059"/>
      <c r="AA80" s="3059"/>
      <c r="AB80" s="3059"/>
      <c r="AC80" s="3059"/>
      <c r="AD80" s="3059"/>
      <c r="AE80" s="3519"/>
      <c r="AF80" s="3520"/>
      <c r="AG80" s="3225"/>
      <c r="AH80" s="3060"/>
      <c r="AI80" s="2877"/>
      <c r="AJ80" s="288"/>
      <c r="AK80" s="288"/>
      <c r="AL80" s="288"/>
      <c r="AM80" s="288"/>
      <c r="AN80" s="288"/>
      <c r="AO80" s="288"/>
      <c r="AP80" s="288"/>
      <c r="AQ80" s="288"/>
      <c r="AR80" s="288"/>
      <c r="AS80" s="288"/>
      <c r="AT80" s="288"/>
      <c r="AU80" s="288"/>
      <c r="AV80" s="288"/>
      <c r="AW80" s="288"/>
      <c r="AX80" s="288"/>
      <c r="AY80" s="288"/>
      <c r="AZ80" s="288"/>
      <c r="BA80" s="288"/>
      <c r="BB80" s="288"/>
      <c r="BC80" s="288"/>
      <c r="BD80" s="288"/>
      <c r="BE80" s="288"/>
      <c r="BQ80" s="105"/>
      <c r="CA80" s="683"/>
      <c r="CB80" s="683"/>
      <c r="CC80" s="683"/>
      <c r="CD80" s="683"/>
      <c r="CE80" s="683"/>
      <c r="CF80" s="683"/>
      <c r="CG80" s="3313"/>
      <c r="CH80" s="3313"/>
      <c r="CI80" s="3313"/>
      <c r="CJ80" s="3313"/>
      <c r="CK80" s="3313"/>
      <c r="CL80" s="683"/>
      <c r="CM80" s="683"/>
      <c r="CN80" s="683"/>
      <c r="CO80" s="683"/>
      <c r="CP80" s="683"/>
      <c r="CQ80" s="683"/>
      <c r="CR80" s="683"/>
      <c r="CS80" s="683"/>
      <c r="CT80" s="683"/>
      <c r="CU80" s="683"/>
      <c r="CV80" s="683"/>
      <c r="CW80" s="683"/>
      <c r="CX80" s="683"/>
      <c r="CY80" s="683"/>
      <c r="CZ80" s="683"/>
    </row>
    <row r="81" spans="1:104" s="140" customFormat="1" ht="16.350000000000001" customHeight="1" x14ac:dyDescent="0.15">
      <c r="A81" s="2918" t="s">
        <v>256</v>
      </c>
      <c r="B81" s="3523">
        <f t="shared" si="27"/>
        <v>0</v>
      </c>
      <c r="C81" s="3028"/>
      <c r="D81" s="1871"/>
      <c r="E81" s="1871"/>
      <c r="F81" s="3523">
        <f t="shared" si="25"/>
        <v>0</v>
      </c>
      <c r="G81" s="3028"/>
      <c r="H81" s="1871"/>
      <c r="I81" s="1871"/>
      <c r="J81" s="3523">
        <f t="shared" si="28"/>
        <v>0</v>
      </c>
      <c r="K81" s="3028"/>
      <c r="L81" s="1871"/>
      <c r="M81" s="2584"/>
      <c r="N81" s="3522">
        <f t="shared" si="26"/>
        <v>0</v>
      </c>
      <c r="O81" s="3136"/>
      <c r="P81" s="3341"/>
      <c r="Q81" s="3322"/>
      <c r="R81" s="2074"/>
      <c r="S81" s="1880"/>
      <c r="T81" s="1882"/>
      <c r="U81" s="1891"/>
      <c r="V81" s="1882"/>
      <c r="W81" s="3341"/>
      <c r="X81" s="3322"/>
      <c r="Y81" s="2074"/>
      <c r="Z81" s="3059"/>
      <c r="AA81" s="3059"/>
      <c r="AB81" s="3059"/>
      <c r="AC81" s="3059"/>
      <c r="AD81" s="3059"/>
      <c r="AE81" s="3519"/>
      <c r="AF81" s="3520"/>
      <c r="AG81" s="3225"/>
      <c r="AH81" s="3060"/>
      <c r="AI81" s="2877"/>
      <c r="AJ81" s="288"/>
      <c r="AK81" s="288"/>
      <c r="AL81" s="288"/>
      <c r="AM81" s="288"/>
      <c r="AN81" s="288"/>
      <c r="AO81" s="288"/>
      <c r="AP81" s="288"/>
      <c r="AQ81" s="288"/>
      <c r="AR81" s="288"/>
      <c r="AS81" s="288"/>
      <c r="AT81" s="288"/>
      <c r="AU81" s="288"/>
      <c r="AV81" s="288"/>
      <c r="AW81" s="288"/>
      <c r="AX81" s="288"/>
      <c r="AY81" s="288"/>
      <c r="AZ81" s="288"/>
      <c r="BA81" s="288"/>
      <c r="BB81" s="288"/>
      <c r="BC81" s="288"/>
      <c r="BD81" s="288"/>
      <c r="BE81" s="288"/>
      <c r="BQ81" s="105"/>
      <c r="CA81" s="683"/>
      <c r="CB81" s="683"/>
      <c r="CC81" s="683"/>
      <c r="CD81" s="683"/>
      <c r="CE81" s="683"/>
      <c r="CF81" s="683"/>
      <c r="CG81" s="3313"/>
      <c r="CH81" s="3313"/>
      <c r="CI81" s="3313"/>
      <c r="CJ81" s="3313"/>
      <c r="CK81" s="3313"/>
      <c r="CL81" s="683"/>
      <c r="CM81" s="683"/>
      <c r="CN81" s="683"/>
      <c r="CO81" s="683"/>
      <c r="CP81" s="683"/>
      <c r="CQ81" s="683"/>
      <c r="CR81" s="683"/>
      <c r="CS81" s="683"/>
      <c r="CT81" s="683"/>
      <c r="CU81" s="683"/>
      <c r="CV81" s="683"/>
      <c r="CW81" s="683"/>
      <c r="CX81" s="683"/>
      <c r="CY81" s="683"/>
      <c r="CZ81" s="683"/>
    </row>
    <row r="82" spans="1:104" s="140" customFormat="1" ht="16.350000000000001" customHeight="1" x14ac:dyDescent="0.15">
      <c r="A82" s="2918" t="s">
        <v>453</v>
      </c>
      <c r="B82" s="3523">
        <f t="shared" si="27"/>
        <v>0</v>
      </c>
      <c r="C82" s="3028"/>
      <c r="D82" s="1871"/>
      <c r="E82" s="1871"/>
      <c r="F82" s="3523">
        <f t="shared" si="25"/>
        <v>0</v>
      </c>
      <c r="G82" s="3028"/>
      <c r="H82" s="1871"/>
      <c r="I82" s="1871"/>
      <c r="J82" s="3523">
        <f t="shared" si="28"/>
        <v>0</v>
      </c>
      <c r="K82" s="3028"/>
      <c r="L82" s="1871"/>
      <c r="M82" s="2584"/>
      <c r="N82" s="3522">
        <f t="shared" si="26"/>
        <v>0</v>
      </c>
      <c r="O82" s="3136"/>
      <c r="P82" s="3341"/>
      <c r="Q82" s="3322"/>
      <c r="R82" s="2074"/>
      <c r="S82" s="1880"/>
      <c r="T82" s="1882"/>
      <c r="U82" s="1891"/>
      <c r="V82" s="1882"/>
      <c r="W82" s="3341"/>
      <c r="X82" s="3322"/>
      <c r="Y82" s="2074"/>
      <c r="Z82" s="3059"/>
      <c r="AA82" s="3059"/>
      <c r="AB82" s="3059"/>
      <c r="AC82" s="3059"/>
      <c r="AD82" s="3059"/>
      <c r="AE82" s="3519"/>
      <c r="AF82" s="3520"/>
      <c r="AG82" s="3225"/>
      <c r="AH82" s="3060"/>
      <c r="AI82" s="2877"/>
      <c r="AJ82" s="288"/>
      <c r="AK82" s="288"/>
      <c r="AL82" s="288"/>
      <c r="AM82" s="288"/>
      <c r="AN82" s="288"/>
      <c r="AO82" s="288"/>
      <c r="AP82" s="288"/>
      <c r="AQ82" s="288"/>
      <c r="AR82" s="288"/>
      <c r="AS82" s="288"/>
      <c r="AT82" s="288"/>
      <c r="AU82" s="288"/>
      <c r="AV82" s="288"/>
      <c r="AW82" s="288"/>
      <c r="AX82" s="288"/>
      <c r="AY82" s="288"/>
      <c r="AZ82" s="288"/>
      <c r="BA82" s="288"/>
      <c r="BB82" s="288"/>
      <c r="BC82" s="288"/>
      <c r="BD82" s="288"/>
      <c r="BE82" s="288"/>
      <c r="BQ82" s="105"/>
      <c r="CA82" s="683"/>
      <c r="CB82" s="683"/>
      <c r="CC82" s="683"/>
      <c r="CD82" s="683"/>
      <c r="CE82" s="683"/>
      <c r="CF82" s="683"/>
      <c r="CG82" s="3313"/>
      <c r="CH82" s="3313"/>
      <c r="CI82" s="3313"/>
      <c r="CJ82" s="3313"/>
      <c r="CK82" s="3313"/>
      <c r="CL82" s="683"/>
      <c r="CM82" s="683"/>
      <c r="CN82" s="683"/>
      <c r="CO82" s="683"/>
      <c r="CP82" s="683"/>
      <c r="CQ82" s="683"/>
      <c r="CR82" s="683"/>
      <c r="CS82" s="683"/>
      <c r="CT82" s="683"/>
      <c r="CU82" s="683"/>
      <c r="CV82" s="683"/>
      <c r="CW82" s="683"/>
      <c r="CX82" s="683"/>
      <c r="CY82" s="683"/>
      <c r="CZ82" s="683"/>
    </row>
    <row r="83" spans="1:104" s="140" customFormat="1" ht="16.350000000000001" customHeight="1" x14ac:dyDescent="0.15">
      <c r="A83" s="2918" t="s">
        <v>257</v>
      </c>
      <c r="B83" s="3523">
        <f t="shared" si="27"/>
        <v>0</v>
      </c>
      <c r="C83" s="3028"/>
      <c r="D83" s="1871"/>
      <c r="E83" s="1871"/>
      <c r="F83" s="3523">
        <f t="shared" si="25"/>
        <v>0</v>
      </c>
      <c r="G83" s="3028"/>
      <c r="H83" s="1871"/>
      <c r="I83" s="1871"/>
      <c r="J83" s="3523">
        <f t="shared" si="28"/>
        <v>0</v>
      </c>
      <c r="K83" s="3028"/>
      <c r="L83" s="1871"/>
      <c r="M83" s="2584"/>
      <c r="N83" s="3522">
        <f t="shared" si="26"/>
        <v>0</v>
      </c>
      <c r="O83" s="3136"/>
      <c r="P83" s="3341"/>
      <c r="Q83" s="3322"/>
      <c r="R83" s="2074"/>
      <c r="S83" s="1880"/>
      <c r="T83" s="1882"/>
      <c r="U83" s="1891"/>
      <c r="V83" s="1882"/>
      <c r="W83" s="3341"/>
      <c r="X83" s="3322"/>
      <c r="Y83" s="2074"/>
      <c r="Z83" s="3059"/>
      <c r="AA83" s="3059"/>
      <c r="AB83" s="3059"/>
      <c r="AC83" s="3059"/>
      <c r="AD83" s="3059"/>
      <c r="AE83" s="3519"/>
      <c r="AF83" s="3520"/>
      <c r="AG83" s="3225"/>
      <c r="AH83" s="3060"/>
      <c r="AI83" s="2877"/>
      <c r="AJ83" s="288"/>
      <c r="AK83" s="288"/>
      <c r="AL83" s="288"/>
      <c r="AM83" s="288"/>
      <c r="AN83" s="288"/>
      <c r="AO83" s="288"/>
      <c r="AP83" s="288"/>
      <c r="AQ83" s="288"/>
      <c r="AR83" s="288"/>
      <c r="AS83" s="288"/>
      <c r="AT83" s="288"/>
      <c r="AU83" s="288"/>
      <c r="AV83" s="288"/>
      <c r="AW83" s="288"/>
      <c r="AX83" s="288"/>
      <c r="AY83" s="288"/>
      <c r="AZ83" s="288"/>
      <c r="BA83" s="288"/>
      <c r="BB83" s="288"/>
      <c r="BC83" s="288"/>
      <c r="BD83" s="288"/>
      <c r="BE83" s="288"/>
      <c r="BQ83" s="105"/>
      <c r="CA83" s="683"/>
      <c r="CB83" s="683"/>
      <c r="CC83" s="683"/>
      <c r="CD83" s="683"/>
      <c r="CE83" s="683"/>
      <c r="CF83" s="683"/>
      <c r="CG83" s="3313"/>
      <c r="CH83" s="3313"/>
      <c r="CI83" s="3313"/>
      <c r="CJ83" s="3313"/>
      <c r="CK83" s="3313"/>
      <c r="CL83" s="683"/>
      <c r="CM83" s="683"/>
      <c r="CN83" s="683"/>
      <c r="CO83" s="683"/>
      <c r="CP83" s="683"/>
      <c r="CQ83" s="683"/>
      <c r="CR83" s="683"/>
      <c r="CS83" s="683"/>
      <c r="CT83" s="683"/>
      <c r="CU83" s="683"/>
      <c r="CV83" s="683"/>
      <c r="CW83" s="683"/>
      <c r="CX83" s="683"/>
      <c r="CY83" s="683"/>
      <c r="CZ83" s="683"/>
    </row>
    <row r="84" spans="1:104" s="140" customFormat="1" ht="15" customHeight="1" x14ac:dyDescent="0.15">
      <c r="A84" s="2918" t="s">
        <v>258</v>
      </c>
      <c r="B84" s="3523">
        <f t="shared" si="27"/>
        <v>0</v>
      </c>
      <c r="C84" s="3028"/>
      <c r="D84" s="1871"/>
      <c r="E84" s="1871"/>
      <c r="F84" s="3523">
        <f t="shared" si="25"/>
        <v>0</v>
      </c>
      <c r="G84" s="3028"/>
      <c r="H84" s="1871"/>
      <c r="I84" s="1871"/>
      <c r="J84" s="3523">
        <f t="shared" si="28"/>
        <v>0</v>
      </c>
      <c r="K84" s="3028"/>
      <c r="L84" s="1871"/>
      <c r="M84" s="2584"/>
      <c r="N84" s="3522">
        <f t="shared" si="26"/>
        <v>0</v>
      </c>
      <c r="O84" s="3136"/>
      <c r="P84" s="3341"/>
      <c r="Q84" s="3322"/>
      <c r="R84" s="2074"/>
      <c r="S84" s="1880"/>
      <c r="T84" s="1882"/>
      <c r="U84" s="1891"/>
      <c r="V84" s="1882"/>
      <c r="W84" s="3341"/>
      <c r="X84" s="3322"/>
      <c r="Y84" s="2074"/>
      <c r="Z84" s="3059"/>
      <c r="AA84" s="3059"/>
      <c r="AB84" s="3059"/>
      <c r="AC84" s="3059"/>
      <c r="AD84" s="3059"/>
      <c r="AE84" s="3519"/>
      <c r="AF84" s="3520"/>
      <c r="AG84" s="3225"/>
      <c r="AH84" s="3060"/>
      <c r="AI84" s="2877"/>
      <c r="AJ84" s="288"/>
      <c r="AK84" s="288"/>
      <c r="AL84" s="288"/>
      <c r="AM84" s="288"/>
      <c r="AN84" s="288"/>
      <c r="AO84" s="288"/>
      <c r="AP84" s="288"/>
      <c r="AQ84" s="288"/>
      <c r="AR84" s="288"/>
      <c r="AS84" s="288"/>
      <c r="AT84" s="288"/>
      <c r="AU84" s="288"/>
      <c r="AV84" s="288"/>
      <c r="AW84" s="288"/>
      <c r="AX84" s="288"/>
      <c r="AY84" s="288"/>
      <c r="AZ84" s="288"/>
      <c r="BA84" s="288"/>
      <c r="BB84" s="288"/>
      <c r="BC84" s="288"/>
      <c r="BD84" s="288"/>
      <c r="BE84" s="288"/>
      <c r="BQ84" s="105"/>
      <c r="CA84" s="683"/>
      <c r="CB84" s="683"/>
      <c r="CC84" s="683"/>
      <c r="CD84" s="683"/>
      <c r="CE84" s="683"/>
      <c r="CF84" s="683"/>
      <c r="CG84" s="3313"/>
      <c r="CH84" s="3313"/>
      <c r="CI84" s="3313"/>
      <c r="CJ84" s="3313"/>
      <c r="CK84" s="3313"/>
      <c r="CL84" s="683"/>
      <c r="CM84" s="683"/>
      <c r="CN84" s="683"/>
      <c r="CO84" s="683"/>
      <c r="CP84" s="683"/>
      <c r="CQ84" s="683"/>
      <c r="CR84" s="683"/>
      <c r="CS84" s="683"/>
      <c r="CT84" s="683"/>
      <c r="CU84" s="683"/>
      <c r="CV84" s="683"/>
      <c r="CW84" s="683"/>
      <c r="CX84" s="683"/>
      <c r="CY84" s="683"/>
      <c r="CZ84" s="683"/>
    </row>
    <row r="85" spans="1:104" s="140" customFormat="1" ht="16.350000000000001" customHeight="1" x14ac:dyDescent="0.15">
      <c r="A85" s="2918" t="s">
        <v>259</v>
      </c>
      <c r="B85" s="3523">
        <f t="shared" si="27"/>
        <v>0</v>
      </c>
      <c r="C85" s="3028"/>
      <c r="D85" s="1871"/>
      <c r="E85" s="1871"/>
      <c r="F85" s="3523">
        <f t="shared" si="25"/>
        <v>0</v>
      </c>
      <c r="G85" s="3028"/>
      <c r="H85" s="1871"/>
      <c r="I85" s="1871"/>
      <c r="J85" s="3523">
        <f t="shared" si="28"/>
        <v>0</v>
      </c>
      <c r="K85" s="3028"/>
      <c r="L85" s="1871"/>
      <c r="M85" s="2584"/>
      <c r="N85" s="3522">
        <f t="shared" si="26"/>
        <v>0</v>
      </c>
      <c r="O85" s="3136"/>
      <c r="P85" s="3341"/>
      <c r="Q85" s="3322"/>
      <c r="R85" s="2074"/>
      <c r="S85" s="1880"/>
      <c r="T85" s="1882"/>
      <c r="U85" s="1891"/>
      <c r="V85" s="1882"/>
      <c r="W85" s="3341"/>
      <c r="X85" s="3322"/>
      <c r="Y85" s="2074"/>
      <c r="Z85" s="3059"/>
      <c r="AA85" s="3059"/>
      <c r="AB85" s="3059"/>
      <c r="AC85" s="3059"/>
      <c r="AD85" s="3059"/>
      <c r="AE85" s="3519"/>
      <c r="AF85" s="3520"/>
      <c r="AG85" s="3225"/>
      <c r="AH85" s="3060"/>
      <c r="AI85" s="2877"/>
      <c r="AJ85" s="288"/>
      <c r="AK85" s="288"/>
      <c r="AL85" s="288"/>
      <c r="AM85" s="288"/>
      <c r="AN85" s="288"/>
      <c r="AO85" s="288"/>
      <c r="AP85" s="288"/>
      <c r="AQ85" s="288"/>
      <c r="AR85" s="288"/>
      <c r="AS85" s="288"/>
      <c r="AT85" s="288"/>
      <c r="AU85" s="288"/>
      <c r="AV85" s="288"/>
      <c r="AW85" s="288"/>
      <c r="AX85" s="288"/>
      <c r="AY85" s="288"/>
      <c r="AZ85" s="288"/>
      <c r="BA85" s="288"/>
      <c r="BB85" s="288"/>
      <c r="BC85" s="288"/>
      <c r="BD85" s="288"/>
      <c r="BE85" s="288"/>
      <c r="BQ85" s="105"/>
      <c r="CA85" s="683"/>
      <c r="CB85" s="683"/>
      <c r="CC85" s="683"/>
      <c r="CD85" s="683"/>
      <c r="CE85" s="683"/>
      <c r="CF85" s="683"/>
      <c r="CG85" s="3313"/>
      <c r="CH85" s="3313"/>
      <c r="CI85" s="3313"/>
      <c r="CJ85" s="3313"/>
      <c r="CK85" s="3313"/>
      <c r="CL85" s="683"/>
      <c r="CM85" s="683"/>
      <c r="CN85" s="683"/>
      <c r="CO85" s="683"/>
      <c r="CP85" s="683"/>
      <c r="CQ85" s="683"/>
      <c r="CR85" s="683"/>
      <c r="CS85" s="683"/>
      <c r="CT85" s="683"/>
      <c r="CU85" s="683"/>
      <c r="CV85" s="683"/>
      <c r="CW85" s="683"/>
      <c r="CX85" s="683"/>
      <c r="CY85" s="683"/>
      <c r="CZ85" s="683"/>
    </row>
    <row r="86" spans="1:104" s="140" customFormat="1" ht="16.350000000000001" customHeight="1" x14ac:dyDescent="0.15">
      <c r="A86" s="2918" t="s">
        <v>260</v>
      </c>
      <c r="B86" s="3523">
        <f t="shared" si="27"/>
        <v>0</v>
      </c>
      <c r="C86" s="3028"/>
      <c r="D86" s="1871"/>
      <c r="E86" s="1871"/>
      <c r="F86" s="3523">
        <f t="shared" si="25"/>
        <v>0</v>
      </c>
      <c r="G86" s="3028"/>
      <c r="H86" s="1871"/>
      <c r="I86" s="1871"/>
      <c r="J86" s="3523">
        <f t="shared" si="28"/>
        <v>0</v>
      </c>
      <c r="K86" s="3028"/>
      <c r="L86" s="1871"/>
      <c r="M86" s="2584"/>
      <c r="N86" s="3522">
        <f t="shared" si="26"/>
        <v>0</v>
      </c>
      <c r="O86" s="3136"/>
      <c r="P86" s="3341"/>
      <c r="Q86" s="3322"/>
      <c r="R86" s="2074"/>
      <c r="S86" s="1880"/>
      <c r="T86" s="1882"/>
      <c r="U86" s="1891"/>
      <c r="V86" s="1882"/>
      <c r="W86" s="3341"/>
      <c r="X86" s="3322"/>
      <c r="Y86" s="2074"/>
      <c r="Z86" s="3059"/>
      <c r="AA86" s="3059"/>
      <c r="AB86" s="3059"/>
      <c r="AC86" s="3059"/>
      <c r="AD86" s="3059"/>
      <c r="AE86" s="3519"/>
      <c r="AF86" s="3520"/>
      <c r="AG86" s="3225"/>
      <c r="AH86" s="3060"/>
      <c r="AI86" s="2877"/>
      <c r="AJ86" s="288"/>
      <c r="AK86" s="288"/>
      <c r="AL86" s="288"/>
      <c r="AM86" s="288"/>
      <c r="AN86" s="288"/>
      <c r="AO86" s="288"/>
      <c r="AP86" s="288"/>
      <c r="AQ86" s="288"/>
      <c r="AR86" s="288"/>
      <c r="AS86" s="288"/>
      <c r="AT86" s="288"/>
      <c r="AU86" s="288"/>
      <c r="AV86" s="288"/>
      <c r="AW86" s="288"/>
      <c r="AX86" s="288"/>
      <c r="AY86" s="288"/>
      <c r="AZ86" s="288"/>
      <c r="BA86" s="288"/>
      <c r="BB86" s="288"/>
      <c r="BC86" s="288"/>
      <c r="BD86" s="288"/>
      <c r="BE86" s="288"/>
      <c r="BQ86" s="105"/>
      <c r="CA86" s="683"/>
      <c r="CB86" s="683"/>
      <c r="CC86" s="683"/>
      <c r="CD86" s="683"/>
      <c r="CE86" s="683"/>
      <c r="CF86" s="683"/>
      <c r="CG86" s="3313"/>
      <c r="CH86" s="3313"/>
      <c r="CI86" s="3313"/>
      <c r="CJ86" s="3313"/>
      <c r="CK86" s="3313"/>
      <c r="CL86" s="683"/>
      <c r="CM86" s="683"/>
      <c r="CN86" s="683"/>
      <c r="CO86" s="683"/>
      <c r="CP86" s="683"/>
      <c r="CQ86" s="683"/>
      <c r="CR86" s="683"/>
      <c r="CS86" s="683"/>
      <c r="CT86" s="683"/>
      <c r="CU86" s="683"/>
      <c r="CV86" s="683"/>
      <c r="CW86" s="683"/>
      <c r="CX86" s="683"/>
      <c r="CY86" s="683"/>
      <c r="CZ86" s="683"/>
    </row>
    <row r="87" spans="1:104" s="140" customFormat="1" ht="16.350000000000001" customHeight="1" x14ac:dyDescent="0.15">
      <c r="A87" s="2918" t="s">
        <v>261</v>
      </c>
      <c r="B87" s="3523">
        <f t="shared" si="27"/>
        <v>0</v>
      </c>
      <c r="C87" s="3028"/>
      <c r="D87" s="1871"/>
      <c r="E87" s="1871"/>
      <c r="F87" s="3523">
        <f t="shared" si="25"/>
        <v>0</v>
      </c>
      <c r="G87" s="3028"/>
      <c r="H87" s="1871"/>
      <c r="I87" s="1871"/>
      <c r="J87" s="3523">
        <f t="shared" si="28"/>
        <v>0</v>
      </c>
      <c r="K87" s="3028"/>
      <c r="L87" s="1871"/>
      <c r="M87" s="2584"/>
      <c r="N87" s="3522">
        <f t="shared" si="26"/>
        <v>0</v>
      </c>
      <c r="O87" s="3136"/>
      <c r="P87" s="3341"/>
      <c r="Q87" s="3322"/>
      <c r="R87" s="2074"/>
      <c r="S87" s="1880"/>
      <c r="T87" s="1882"/>
      <c r="U87" s="1891"/>
      <c r="V87" s="1882"/>
      <c r="W87" s="3341"/>
      <c r="X87" s="3322"/>
      <c r="Y87" s="2074"/>
      <c r="Z87" s="3059"/>
      <c r="AA87" s="3059"/>
      <c r="AB87" s="3059"/>
      <c r="AC87" s="3059"/>
      <c r="AD87" s="3059"/>
      <c r="AE87" s="3519"/>
      <c r="AF87" s="3520"/>
      <c r="AG87" s="3225"/>
      <c r="AH87" s="3060"/>
      <c r="AI87" s="2877"/>
      <c r="AJ87" s="288"/>
      <c r="AK87" s="288"/>
      <c r="AL87" s="288"/>
      <c r="AM87" s="288"/>
      <c r="AN87" s="288"/>
      <c r="AO87" s="288"/>
      <c r="AP87" s="288"/>
      <c r="AQ87" s="288"/>
      <c r="AR87" s="288"/>
      <c r="AS87" s="288"/>
      <c r="AT87" s="288"/>
      <c r="AU87" s="288"/>
      <c r="AV87" s="288"/>
      <c r="AW87" s="288"/>
      <c r="AX87" s="288"/>
      <c r="AY87" s="288"/>
      <c r="AZ87" s="288"/>
      <c r="BA87" s="288"/>
      <c r="BB87" s="288"/>
      <c r="BC87" s="288"/>
      <c r="BD87" s="288"/>
      <c r="BE87" s="288"/>
      <c r="BQ87" s="105"/>
      <c r="CA87" s="683"/>
      <c r="CB87" s="683"/>
      <c r="CC87" s="683"/>
      <c r="CD87" s="683"/>
      <c r="CE87" s="683"/>
      <c r="CF87" s="683"/>
      <c r="CG87" s="3313"/>
      <c r="CH87" s="3313"/>
      <c r="CI87" s="3313"/>
      <c r="CJ87" s="3313"/>
      <c r="CK87" s="3313"/>
      <c r="CL87" s="683"/>
      <c r="CM87" s="683"/>
      <c r="CN87" s="683"/>
      <c r="CO87" s="683"/>
      <c r="CP87" s="683"/>
      <c r="CQ87" s="683"/>
      <c r="CR87" s="683"/>
      <c r="CS87" s="683"/>
      <c r="CT87" s="683"/>
      <c r="CU87" s="683"/>
      <c r="CV87" s="683"/>
      <c r="CW87" s="683"/>
      <c r="CX87" s="683"/>
      <c r="CY87" s="683"/>
      <c r="CZ87" s="683"/>
    </row>
    <row r="88" spans="1:104" s="140" customFormat="1" ht="16.350000000000001" customHeight="1" x14ac:dyDescent="0.15">
      <c r="A88" s="2918" t="s">
        <v>262</v>
      </c>
      <c r="B88" s="3523">
        <f t="shared" si="27"/>
        <v>0</v>
      </c>
      <c r="C88" s="3028"/>
      <c r="D88" s="1871"/>
      <c r="E88" s="1871"/>
      <c r="F88" s="3523">
        <f t="shared" si="25"/>
        <v>0</v>
      </c>
      <c r="G88" s="3028"/>
      <c r="H88" s="1871"/>
      <c r="I88" s="1871"/>
      <c r="J88" s="3523">
        <f t="shared" si="28"/>
        <v>0</v>
      </c>
      <c r="K88" s="3028"/>
      <c r="L88" s="1871"/>
      <c r="M88" s="2584"/>
      <c r="N88" s="3522">
        <f t="shared" si="26"/>
        <v>0</v>
      </c>
      <c r="O88" s="3136"/>
      <c r="P88" s="3341"/>
      <c r="Q88" s="3322"/>
      <c r="R88" s="2074"/>
      <c r="S88" s="1880"/>
      <c r="T88" s="1882"/>
      <c r="U88" s="1891"/>
      <c r="V88" s="1882"/>
      <c r="W88" s="3341"/>
      <c r="X88" s="3322"/>
      <c r="Y88" s="2074"/>
      <c r="Z88" s="3059"/>
      <c r="AA88" s="3059"/>
      <c r="AB88" s="3059"/>
      <c r="AC88" s="3059"/>
      <c r="AD88" s="3059"/>
      <c r="AE88" s="3519"/>
      <c r="AF88" s="3520"/>
      <c r="AG88" s="3225"/>
      <c r="AH88" s="3060"/>
      <c r="AI88" s="2877"/>
      <c r="AJ88" s="288"/>
      <c r="AK88" s="288"/>
      <c r="AL88" s="288"/>
      <c r="AM88" s="288"/>
      <c r="AN88" s="288"/>
      <c r="AO88" s="288"/>
      <c r="AP88" s="288"/>
      <c r="AQ88" s="288"/>
      <c r="AR88" s="288"/>
      <c r="AS88" s="288"/>
      <c r="AT88" s="288"/>
      <c r="AU88" s="288"/>
      <c r="AV88" s="288"/>
      <c r="AW88" s="288"/>
      <c r="AX88" s="288"/>
      <c r="AY88" s="288"/>
      <c r="AZ88" s="288"/>
      <c r="BA88" s="288"/>
      <c r="BB88" s="288"/>
      <c r="BC88" s="288"/>
      <c r="BD88" s="288"/>
      <c r="BE88" s="288"/>
      <c r="BQ88" s="105"/>
      <c r="CA88" s="683"/>
      <c r="CB88" s="683"/>
      <c r="CC88" s="683"/>
      <c r="CD88" s="683"/>
      <c r="CE88" s="683"/>
      <c r="CF88" s="683"/>
      <c r="CG88" s="3313"/>
      <c r="CH88" s="3313"/>
      <c r="CI88" s="3313"/>
      <c r="CJ88" s="3313"/>
      <c r="CK88" s="3313"/>
      <c r="CL88" s="683"/>
      <c r="CM88" s="683"/>
      <c r="CN88" s="683"/>
      <c r="CO88" s="683"/>
      <c r="CP88" s="683"/>
      <c r="CQ88" s="683"/>
      <c r="CR88" s="683"/>
      <c r="CS88" s="683"/>
      <c r="CT88" s="683"/>
      <c r="CU88" s="683"/>
      <c r="CV88" s="683"/>
      <c r="CW88" s="683"/>
      <c r="CX88" s="683"/>
      <c r="CY88" s="683"/>
      <c r="CZ88" s="683"/>
    </row>
    <row r="89" spans="1:104" s="140" customFormat="1" ht="16.350000000000001" customHeight="1" x14ac:dyDescent="0.15">
      <c r="A89" s="2918" t="s">
        <v>454</v>
      </c>
      <c r="B89" s="3523">
        <f t="shared" si="27"/>
        <v>0</v>
      </c>
      <c r="C89" s="3028"/>
      <c r="D89" s="1871"/>
      <c r="E89" s="1871"/>
      <c r="F89" s="3523">
        <f t="shared" si="25"/>
        <v>0</v>
      </c>
      <c r="G89" s="3028"/>
      <c r="H89" s="1871"/>
      <c r="I89" s="1871"/>
      <c r="J89" s="3523">
        <f t="shared" si="28"/>
        <v>0</v>
      </c>
      <c r="K89" s="3028"/>
      <c r="L89" s="1871"/>
      <c r="M89" s="2584"/>
      <c r="N89" s="3522">
        <f t="shared" si="26"/>
        <v>0</v>
      </c>
      <c r="O89" s="3136"/>
      <c r="P89" s="3341"/>
      <c r="Q89" s="3322"/>
      <c r="R89" s="2074"/>
      <c r="S89" s="1880"/>
      <c r="T89" s="1882"/>
      <c r="U89" s="1891"/>
      <c r="V89" s="1882"/>
      <c r="W89" s="3341"/>
      <c r="X89" s="3322"/>
      <c r="Y89" s="2074"/>
      <c r="Z89" s="3059"/>
      <c r="AA89" s="3059"/>
      <c r="AB89" s="3059"/>
      <c r="AC89" s="3059"/>
      <c r="AD89" s="3059"/>
      <c r="AE89" s="3519"/>
      <c r="AF89" s="3520"/>
      <c r="AG89" s="3225"/>
      <c r="AH89" s="3060"/>
      <c r="AI89" s="2877"/>
      <c r="AJ89" s="288"/>
      <c r="AK89" s="288"/>
      <c r="AL89" s="288"/>
      <c r="AM89" s="288"/>
      <c r="AN89" s="288"/>
      <c r="AO89" s="288"/>
      <c r="AP89" s="288"/>
      <c r="AQ89" s="288"/>
      <c r="AR89" s="288"/>
      <c r="AS89" s="288"/>
      <c r="AT89" s="288"/>
      <c r="AU89" s="288"/>
      <c r="AV89" s="288"/>
      <c r="AW89" s="288"/>
      <c r="AX89" s="288"/>
      <c r="AY89" s="288"/>
      <c r="AZ89" s="288"/>
      <c r="BA89" s="288"/>
      <c r="BB89" s="288"/>
      <c r="BC89" s="288"/>
      <c r="BD89" s="288"/>
      <c r="BE89" s="288"/>
      <c r="BQ89" s="105"/>
      <c r="CA89" s="683"/>
      <c r="CB89" s="683"/>
      <c r="CC89" s="683"/>
      <c r="CD89" s="683"/>
      <c r="CE89" s="683"/>
      <c r="CF89" s="683"/>
      <c r="CG89" s="3313"/>
      <c r="CH89" s="3313"/>
      <c r="CI89" s="3313"/>
      <c r="CJ89" s="3313"/>
      <c r="CK89" s="3313"/>
      <c r="CL89" s="683"/>
      <c r="CM89" s="683"/>
      <c r="CN89" s="683"/>
      <c r="CO89" s="683"/>
      <c r="CP89" s="683"/>
      <c r="CQ89" s="683"/>
      <c r="CR89" s="683"/>
      <c r="CS89" s="683"/>
      <c r="CT89" s="683"/>
      <c r="CU89" s="683"/>
      <c r="CV89" s="683"/>
      <c r="CW89" s="683"/>
      <c r="CX89" s="683"/>
      <c r="CY89" s="683"/>
      <c r="CZ89" s="683"/>
    </row>
    <row r="90" spans="1:104" s="140" customFormat="1" ht="16.350000000000001" customHeight="1" x14ac:dyDescent="0.15">
      <c r="A90" s="2918" t="s">
        <v>263</v>
      </c>
      <c r="B90" s="3523">
        <f t="shared" si="27"/>
        <v>0</v>
      </c>
      <c r="C90" s="3028"/>
      <c r="D90" s="1871"/>
      <c r="E90" s="1871"/>
      <c r="F90" s="3523">
        <f t="shared" si="25"/>
        <v>0</v>
      </c>
      <c r="G90" s="3028"/>
      <c r="H90" s="1871"/>
      <c r="I90" s="1871"/>
      <c r="J90" s="3523">
        <f t="shared" si="28"/>
        <v>0</v>
      </c>
      <c r="K90" s="3028"/>
      <c r="L90" s="1871"/>
      <c r="M90" s="2584"/>
      <c r="N90" s="3522">
        <f t="shared" si="26"/>
        <v>0</v>
      </c>
      <c r="O90" s="3136"/>
      <c r="P90" s="3341"/>
      <c r="Q90" s="3322"/>
      <c r="R90" s="2074"/>
      <c r="S90" s="1880"/>
      <c r="T90" s="1882"/>
      <c r="U90" s="1891"/>
      <c r="V90" s="1882"/>
      <c r="W90" s="3341"/>
      <c r="X90" s="3322"/>
      <c r="Y90" s="2074"/>
      <c r="Z90" s="3059"/>
      <c r="AA90" s="3059"/>
      <c r="AB90" s="3059"/>
      <c r="AC90" s="3059"/>
      <c r="AD90" s="3059"/>
      <c r="AE90" s="3519"/>
      <c r="AF90" s="3520"/>
      <c r="AG90" s="3225"/>
      <c r="AH90" s="3060"/>
      <c r="AI90" s="2877"/>
      <c r="AJ90" s="288"/>
      <c r="AK90" s="288"/>
      <c r="AL90" s="288"/>
      <c r="AM90" s="288"/>
      <c r="AN90" s="288"/>
      <c r="AO90" s="288"/>
      <c r="AP90" s="288"/>
      <c r="AQ90" s="288"/>
      <c r="AR90" s="288"/>
      <c r="AS90" s="288"/>
      <c r="AT90" s="288"/>
      <c r="AU90" s="288"/>
      <c r="AV90" s="288"/>
      <c r="AW90" s="288"/>
      <c r="AX90" s="288"/>
      <c r="AY90" s="288"/>
      <c r="AZ90" s="288"/>
      <c r="BA90" s="288"/>
      <c r="BB90" s="288"/>
      <c r="BC90" s="288"/>
      <c r="BD90" s="288"/>
      <c r="BE90" s="288"/>
      <c r="BQ90" s="105"/>
      <c r="CA90" s="683"/>
      <c r="CB90" s="683"/>
      <c r="CC90" s="683"/>
      <c r="CD90" s="683"/>
      <c r="CE90" s="683"/>
      <c r="CF90" s="683"/>
      <c r="CG90" s="3313"/>
      <c r="CH90" s="3313"/>
      <c r="CI90" s="3313"/>
      <c r="CJ90" s="3313"/>
      <c r="CK90" s="3313"/>
      <c r="CL90" s="683"/>
      <c r="CM90" s="683"/>
      <c r="CN90" s="683"/>
      <c r="CO90" s="683"/>
      <c r="CP90" s="683"/>
      <c r="CQ90" s="683"/>
      <c r="CR90" s="683"/>
      <c r="CS90" s="683"/>
      <c r="CT90" s="683"/>
      <c r="CU90" s="683"/>
      <c r="CV90" s="683"/>
      <c r="CW90" s="683"/>
      <c r="CX90" s="683"/>
      <c r="CY90" s="683"/>
      <c r="CZ90" s="683"/>
    </row>
    <row r="91" spans="1:104" s="140" customFormat="1" ht="16.350000000000001" customHeight="1" x14ac:dyDescent="0.15">
      <c r="A91" s="2918" t="s">
        <v>264</v>
      </c>
      <c r="B91" s="3523">
        <f t="shared" si="27"/>
        <v>0</v>
      </c>
      <c r="C91" s="3028"/>
      <c r="D91" s="1871"/>
      <c r="E91" s="1871"/>
      <c r="F91" s="3523">
        <f t="shared" si="25"/>
        <v>0</v>
      </c>
      <c r="G91" s="3028"/>
      <c r="H91" s="1871"/>
      <c r="I91" s="1871"/>
      <c r="J91" s="3523">
        <f t="shared" si="28"/>
        <v>0</v>
      </c>
      <c r="K91" s="3028"/>
      <c r="L91" s="1871"/>
      <c r="M91" s="2584"/>
      <c r="N91" s="3522">
        <f t="shared" si="26"/>
        <v>0</v>
      </c>
      <c r="O91" s="3136"/>
      <c r="P91" s="3341"/>
      <c r="Q91" s="3322"/>
      <c r="R91" s="2074"/>
      <c r="S91" s="1880"/>
      <c r="T91" s="1882"/>
      <c r="U91" s="1891"/>
      <c r="V91" s="1882"/>
      <c r="W91" s="3341"/>
      <c r="X91" s="3322"/>
      <c r="Y91" s="2074"/>
      <c r="Z91" s="3059"/>
      <c r="AA91" s="3059"/>
      <c r="AB91" s="3059"/>
      <c r="AC91" s="3059"/>
      <c r="AD91" s="3059"/>
      <c r="AE91" s="3519"/>
      <c r="AF91" s="3520"/>
      <c r="AG91" s="3225"/>
      <c r="AH91" s="3060"/>
      <c r="AI91" s="2877"/>
      <c r="AJ91" s="288"/>
      <c r="AK91" s="288"/>
      <c r="AL91" s="288"/>
      <c r="AM91" s="288"/>
      <c r="AN91" s="288"/>
      <c r="AO91" s="288"/>
      <c r="AP91" s="288"/>
      <c r="AQ91" s="288"/>
      <c r="AR91" s="288"/>
      <c r="AS91" s="288"/>
      <c r="AT91" s="288"/>
      <c r="AU91" s="288"/>
      <c r="AV91" s="288"/>
      <c r="AW91" s="288"/>
      <c r="AX91" s="288"/>
      <c r="AY91" s="288"/>
      <c r="AZ91" s="288"/>
      <c r="BA91" s="288"/>
      <c r="BB91" s="288"/>
      <c r="BC91" s="288"/>
      <c r="BD91" s="288"/>
      <c r="BE91" s="288"/>
      <c r="BQ91" s="105"/>
      <c r="CA91" s="683"/>
      <c r="CB91" s="683"/>
      <c r="CC91" s="683"/>
      <c r="CD91" s="683"/>
      <c r="CE91" s="683"/>
      <c r="CF91" s="683"/>
      <c r="CG91" s="3313"/>
      <c r="CH91" s="3313"/>
      <c r="CI91" s="3313"/>
      <c r="CJ91" s="3313"/>
      <c r="CK91" s="3313"/>
      <c r="CL91" s="683"/>
      <c r="CM91" s="683"/>
      <c r="CN91" s="683"/>
      <c r="CO91" s="683"/>
      <c r="CP91" s="683"/>
      <c r="CQ91" s="683"/>
      <c r="CR91" s="683"/>
      <c r="CS91" s="683"/>
      <c r="CT91" s="683"/>
      <c r="CU91" s="683"/>
      <c r="CV91" s="683"/>
      <c r="CW91" s="683"/>
      <c r="CX91" s="683"/>
      <c r="CY91" s="683"/>
      <c r="CZ91" s="683"/>
    </row>
    <row r="92" spans="1:104" s="140" customFormat="1" ht="16.350000000000001" customHeight="1" x14ac:dyDescent="0.15">
      <c r="A92" s="2918" t="s">
        <v>265</v>
      </c>
      <c r="B92" s="3523">
        <f t="shared" si="27"/>
        <v>0</v>
      </c>
      <c r="C92" s="3028"/>
      <c r="D92" s="1871"/>
      <c r="E92" s="1871"/>
      <c r="F92" s="3523">
        <f t="shared" si="25"/>
        <v>0</v>
      </c>
      <c r="G92" s="3028"/>
      <c r="H92" s="1871"/>
      <c r="I92" s="1871"/>
      <c r="J92" s="3523">
        <f t="shared" si="28"/>
        <v>0</v>
      </c>
      <c r="K92" s="3028"/>
      <c r="L92" s="1871"/>
      <c r="M92" s="2584"/>
      <c r="N92" s="3522">
        <f t="shared" si="26"/>
        <v>0</v>
      </c>
      <c r="O92" s="3136"/>
      <c r="P92" s="3341"/>
      <c r="Q92" s="3322"/>
      <c r="R92" s="2074"/>
      <c r="S92" s="1880"/>
      <c r="T92" s="1882"/>
      <c r="U92" s="1891"/>
      <c r="V92" s="1882"/>
      <c r="W92" s="3341"/>
      <c r="X92" s="3322"/>
      <c r="Y92" s="2074"/>
      <c r="Z92" s="3059"/>
      <c r="AA92" s="3059"/>
      <c r="AB92" s="3059"/>
      <c r="AC92" s="3059"/>
      <c r="AD92" s="3059"/>
      <c r="AE92" s="3519"/>
      <c r="AF92" s="3520"/>
      <c r="AG92" s="3225"/>
      <c r="AH92" s="3060"/>
      <c r="AI92" s="2877"/>
      <c r="AJ92" s="288"/>
      <c r="AK92" s="288"/>
      <c r="AL92" s="288"/>
      <c r="AM92" s="288"/>
      <c r="AN92" s="288"/>
      <c r="AO92" s="288"/>
      <c r="AP92" s="288"/>
      <c r="AQ92" s="288"/>
      <c r="AR92" s="288"/>
      <c r="AS92" s="288"/>
      <c r="AT92" s="288"/>
      <c r="AU92" s="288"/>
      <c r="AV92" s="288"/>
      <c r="AW92" s="288"/>
      <c r="AX92" s="288"/>
      <c r="AY92" s="288"/>
      <c r="AZ92" s="288"/>
      <c r="BA92" s="288"/>
      <c r="BB92" s="288"/>
      <c r="BC92" s="288"/>
      <c r="BD92" s="288"/>
      <c r="BE92" s="288"/>
      <c r="BQ92" s="105"/>
      <c r="CA92" s="683"/>
      <c r="CB92" s="683"/>
      <c r="CC92" s="683"/>
      <c r="CD92" s="683"/>
      <c r="CE92" s="683"/>
      <c r="CF92" s="683"/>
      <c r="CG92" s="3313"/>
      <c r="CH92" s="3313"/>
      <c r="CI92" s="3313"/>
      <c r="CJ92" s="3313"/>
      <c r="CK92" s="3313"/>
      <c r="CL92" s="683"/>
      <c r="CM92" s="683"/>
      <c r="CN92" s="683"/>
      <c r="CO92" s="683"/>
      <c r="CP92" s="683"/>
      <c r="CQ92" s="683"/>
      <c r="CR92" s="683"/>
      <c r="CS92" s="683"/>
      <c r="CT92" s="683"/>
      <c r="CU92" s="683"/>
      <c r="CV92" s="683"/>
      <c r="CW92" s="683"/>
      <c r="CX92" s="683"/>
      <c r="CY92" s="683"/>
      <c r="CZ92" s="683"/>
    </row>
    <row r="93" spans="1:104" s="140" customFormat="1" ht="16.350000000000001" customHeight="1" x14ac:dyDescent="0.15">
      <c r="A93" s="2918" t="s">
        <v>455</v>
      </c>
      <c r="B93" s="3523">
        <f t="shared" si="27"/>
        <v>0</v>
      </c>
      <c r="C93" s="3028"/>
      <c r="D93" s="1871"/>
      <c r="E93" s="1871"/>
      <c r="F93" s="3523">
        <f t="shared" si="25"/>
        <v>0</v>
      </c>
      <c r="G93" s="3028"/>
      <c r="H93" s="1871"/>
      <c r="I93" s="1871"/>
      <c r="J93" s="3523">
        <f t="shared" si="28"/>
        <v>0</v>
      </c>
      <c r="K93" s="3028"/>
      <c r="L93" s="1871"/>
      <c r="M93" s="2584"/>
      <c r="N93" s="3522">
        <f t="shared" si="26"/>
        <v>0</v>
      </c>
      <c r="O93" s="3136"/>
      <c r="P93" s="3341"/>
      <c r="Q93" s="3322"/>
      <c r="R93" s="2074"/>
      <c r="S93" s="1880"/>
      <c r="T93" s="1882"/>
      <c r="U93" s="1891"/>
      <c r="V93" s="1882"/>
      <c r="W93" s="3341"/>
      <c r="X93" s="3322"/>
      <c r="Y93" s="2074"/>
      <c r="Z93" s="3059"/>
      <c r="AA93" s="3059"/>
      <c r="AB93" s="3059"/>
      <c r="AC93" s="3059"/>
      <c r="AD93" s="3059"/>
      <c r="AE93" s="3519"/>
      <c r="AF93" s="3520"/>
      <c r="AG93" s="3225"/>
      <c r="AH93" s="3060"/>
      <c r="AI93" s="2877"/>
      <c r="AJ93" s="288"/>
      <c r="AK93" s="288"/>
      <c r="AL93" s="288"/>
      <c r="AM93" s="288"/>
      <c r="AN93" s="288"/>
      <c r="AO93" s="288"/>
      <c r="AP93" s="288"/>
      <c r="AQ93" s="288"/>
      <c r="AR93" s="288"/>
      <c r="AS93" s="288"/>
      <c r="AT93" s="288"/>
      <c r="AU93" s="288"/>
      <c r="AV93" s="288"/>
      <c r="AW93" s="288"/>
      <c r="AX93" s="288"/>
      <c r="AY93" s="288"/>
      <c r="AZ93" s="288"/>
      <c r="BA93" s="288"/>
      <c r="BB93" s="288"/>
      <c r="BC93" s="288"/>
      <c r="BD93" s="288"/>
      <c r="BE93" s="288"/>
      <c r="BQ93" s="105"/>
      <c r="CA93" s="683"/>
      <c r="CB93" s="683"/>
      <c r="CC93" s="683"/>
      <c r="CD93" s="683"/>
      <c r="CE93" s="683"/>
      <c r="CF93" s="683"/>
      <c r="CG93" s="3313"/>
      <c r="CH93" s="3313"/>
      <c r="CI93" s="3313"/>
      <c r="CJ93" s="3313"/>
      <c r="CK93" s="3313"/>
      <c r="CL93" s="683"/>
      <c r="CM93" s="683"/>
      <c r="CN93" s="683"/>
      <c r="CO93" s="683"/>
      <c r="CP93" s="683"/>
      <c r="CQ93" s="683"/>
      <c r="CR93" s="683"/>
      <c r="CS93" s="683"/>
      <c r="CT93" s="683"/>
      <c r="CU93" s="683"/>
      <c r="CV93" s="683"/>
      <c r="CW93" s="683"/>
      <c r="CX93" s="683"/>
      <c r="CY93" s="683"/>
      <c r="CZ93" s="683"/>
    </row>
    <row r="94" spans="1:104" s="140" customFormat="1" ht="16.350000000000001" customHeight="1" x14ac:dyDescent="0.15">
      <c r="A94" s="2918" t="s">
        <v>266</v>
      </c>
      <c r="B94" s="3523">
        <f t="shared" si="27"/>
        <v>0</v>
      </c>
      <c r="C94" s="3028"/>
      <c r="D94" s="1871"/>
      <c r="E94" s="1871"/>
      <c r="F94" s="3523">
        <f t="shared" si="25"/>
        <v>0</v>
      </c>
      <c r="G94" s="3028"/>
      <c r="H94" s="1871"/>
      <c r="I94" s="1871"/>
      <c r="J94" s="3523">
        <f t="shared" si="28"/>
        <v>0</v>
      </c>
      <c r="K94" s="3028"/>
      <c r="L94" s="1871"/>
      <c r="M94" s="2584"/>
      <c r="N94" s="3522">
        <f t="shared" si="26"/>
        <v>0</v>
      </c>
      <c r="O94" s="3136"/>
      <c r="P94" s="3341"/>
      <c r="Q94" s="3322"/>
      <c r="R94" s="2074"/>
      <c r="S94" s="1880"/>
      <c r="T94" s="1882"/>
      <c r="U94" s="1891"/>
      <c r="V94" s="1882"/>
      <c r="W94" s="3341"/>
      <c r="X94" s="3322"/>
      <c r="Y94" s="2074"/>
      <c r="Z94" s="3059"/>
      <c r="AA94" s="3059"/>
      <c r="AB94" s="3059"/>
      <c r="AC94" s="3059"/>
      <c r="AD94" s="3059"/>
      <c r="AE94" s="3519"/>
      <c r="AF94" s="3520"/>
      <c r="AG94" s="3225"/>
      <c r="AH94" s="3060"/>
      <c r="AI94" s="2877"/>
      <c r="AJ94" s="288"/>
      <c r="AK94" s="288"/>
      <c r="AL94" s="288"/>
      <c r="AM94" s="288"/>
      <c r="AN94" s="288"/>
      <c r="AO94" s="288"/>
      <c r="AP94" s="288"/>
      <c r="AQ94" s="288"/>
      <c r="AR94" s="288"/>
      <c r="AS94" s="288"/>
      <c r="AT94" s="288"/>
      <c r="AU94" s="288"/>
      <c r="AV94" s="288"/>
      <c r="AW94" s="288"/>
      <c r="AX94" s="288"/>
      <c r="AY94" s="288"/>
      <c r="AZ94" s="288"/>
      <c r="BA94" s="288"/>
      <c r="BB94" s="288"/>
      <c r="BC94" s="288"/>
      <c r="BD94" s="288"/>
      <c r="BE94" s="288"/>
      <c r="BQ94" s="105"/>
      <c r="CA94" s="683"/>
      <c r="CB94" s="683"/>
      <c r="CC94" s="683"/>
      <c r="CD94" s="683"/>
      <c r="CE94" s="683"/>
      <c r="CF94" s="683"/>
      <c r="CG94" s="3313"/>
      <c r="CH94" s="3313"/>
      <c r="CI94" s="3313"/>
      <c r="CJ94" s="3313"/>
      <c r="CK94" s="3313"/>
      <c r="CL94" s="683"/>
      <c r="CM94" s="683"/>
      <c r="CN94" s="683"/>
      <c r="CO94" s="683"/>
      <c r="CP94" s="683"/>
      <c r="CQ94" s="683"/>
      <c r="CR94" s="683"/>
      <c r="CS94" s="683"/>
      <c r="CT94" s="683"/>
      <c r="CU94" s="683"/>
      <c r="CV94" s="683"/>
      <c r="CW94" s="683"/>
      <c r="CX94" s="683"/>
      <c r="CY94" s="683"/>
      <c r="CZ94" s="683"/>
    </row>
    <row r="95" spans="1:104" s="140" customFormat="1" ht="16.350000000000001" customHeight="1" x14ac:dyDescent="0.15">
      <c r="A95" s="2918" t="s">
        <v>456</v>
      </c>
      <c r="B95" s="3523">
        <f t="shared" si="27"/>
        <v>0</v>
      </c>
      <c r="C95" s="3028"/>
      <c r="D95" s="1871"/>
      <c r="E95" s="1871"/>
      <c r="F95" s="3523">
        <f t="shared" si="25"/>
        <v>0</v>
      </c>
      <c r="G95" s="3028"/>
      <c r="H95" s="1871"/>
      <c r="I95" s="1871"/>
      <c r="J95" s="3523">
        <f t="shared" si="28"/>
        <v>0</v>
      </c>
      <c r="K95" s="3028"/>
      <c r="L95" s="1871"/>
      <c r="M95" s="2584"/>
      <c r="N95" s="3522">
        <f t="shared" si="26"/>
        <v>0</v>
      </c>
      <c r="O95" s="3136"/>
      <c r="P95" s="3341"/>
      <c r="Q95" s="3322"/>
      <c r="R95" s="2074"/>
      <c r="S95" s="1880"/>
      <c r="T95" s="1882"/>
      <c r="U95" s="1891"/>
      <c r="V95" s="1882"/>
      <c r="W95" s="3341"/>
      <c r="X95" s="3322"/>
      <c r="Y95" s="2074"/>
      <c r="Z95" s="3059"/>
      <c r="AA95" s="3059"/>
      <c r="AB95" s="3059"/>
      <c r="AC95" s="3059"/>
      <c r="AD95" s="3059"/>
      <c r="AE95" s="3519"/>
      <c r="AF95" s="3520"/>
      <c r="AG95" s="3225"/>
      <c r="AH95" s="3060"/>
      <c r="AI95" s="2877"/>
      <c r="AJ95" s="288"/>
      <c r="AK95" s="288"/>
      <c r="AL95" s="288"/>
      <c r="AM95" s="288"/>
      <c r="AN95" s="288"/>
      <c r="AO95" s="288"/>
      <c r="AP95" s="288"/>
      <c r="AQ95" s="288"/>
      <c r="AR95" s="288"/>
      <c r="AS95" s="288"/>
      <c r="AT95" s="288"/>
      <c r="AU95" s="288"/>
      <c r="AV95" s="288"/>
      <c r="AW95" s="288"/>
      <c r="AX95" s="288"/>
      <c r="AY95" s="288"/>
      <c r="AZ95" s="288"/>
      <c r="BA95" s="288"/>
      <c r="BB95" s="288"/>
      <c r="BC95" s="288"/>
      <c r="BD95" s="288"/>
      <c r="BE95" s="288"/>
      <c r="BQ95" s="105"/>
      <c r="CA95" s="683"/>
      <c r="CB95" s="683"/>
      <c r="CC95" s="683"/>
      <c r="CD95" s="683"/>
      <c r="CE95" s="683"/>
      <c r="CF95" s="683"/>
      <c r="CG95" s="3313"/>
      <c r="CH95" s="3313"/>
      <c r="CI95" s="3313"/>
      <c r="CJ95" s="3313"/>
      <c r="CK95" s="3313"/>
      <c r="CL95" s="683"/>
      <c r="CM95" s="683"/>
      <c r="CN95" s="683"/>
      <c r="CO95" s="683"/>
      <c r="CP95" s="683"/>
      <c r="CQ95" s="683"/>
      <c r="CR95" s="683"/>
      <c r="CS95" s="683"/>
      <c r="CT95" s="683"/>
      <c r="CU95" s="683"/>
      <c r="CV95" s="683"/>
      <c r="CW95" s="683"/>
      <c r="CX95" s="683"/>
      <c r="CY95" s="683"/>
      <c r="CZ95" s="683"/>
    </row>
    <row r="96" spans="1:104" s="140" customFormat="1" ht="16.350000000000001" customHeight="1" x14ac:dyDescent="0.15">
      <c r="A96" s="2918" t="s">
        <v>267</v>
      </c>
      <c r="B96" s="3523">
        <f t="shared" si="27"/>
        <v>0</v>
      </c>
      <c r="C96" s="3028"/>
      <c r="D96" s="1871"/>
      <c r="E96" s="1871"/>
      <c r="F96" s="3523">
        <f t="shared" si="25"/>
        <v>0</v>
      </c>
      <c r="G96" s="3028"/>
      <c r="H96" s="1871"/>
      <c r="I96" s="1871"/>
      <c r="J96" s="3523">
        <f t="shared" si="28"/>
        <v>0</v>
      </c>
      <c r="K96" s="3028"/>
      <c r="L96" s="1871"/>
      <c r="M96" s="2584"/>
      <c r="N96" s="3522">
        <f t="shared" si="26"/>
        <v>0</v>
      </c>
      <c r="O96" s="3136"/>
      <c r="P96" s="3341"/>
      <c r="Q96" s="3322"/>
      <c r="R96" s="2074"/>
      <c r="S96" s="1880"/>
      <c r="T96" s="1882"/>
      <c r="U96" s="1891"/>
      <c r="V96" s="1882"/>
      <c r="W96" s="3341"/>
      <c r="X96" s="3322"/>
      <c r="Y96" s="2074"/>
      <c r="Z96" s="3059"/>
      <c r="AA96" s="3059"/>
      <c r="AB96" s="3059"/>
      <c r="AC96" s="3059"/>
      <c r="AD96" s="3059"/>
      <c r="AE96" s="3519"/>
      <c r="AF96" s="3520"/>
      <c r="AG96" s="3225"/>
      <c r="AH96" s="3060"/>
      <c r="AI96" s="2877"/>
      <c r="AJ96" s="288"/>
      <c r="AK96" s="288"/>
      <c r="AL96" s="288"/>
      <c r="AM96" s="288"/>
      <c r="AN96" s="288"/>
      <c r="AO96" s="288"/>
      <c r="AP96" s="288"/>
      <c r="AQ96" s="288"/>
      <c r="AR96" s="288"/>
      <c r="AS96" s="288"/>
      <c r="AT96" s="288"/>
      <c r="AU96" s="288"/>
      <c r="AV96" s="288"/>
      <c r="AW96" s="288"/>
      <c r="AX96" s="288"/>
      <c r="AY96" s="288"/>
      <c r="AZ96" s="288"/>
      <c r="BA96" s="288"/>
      <c r="BB96" s="288"/>
      <c r="BC96" s="288"/>
      <c r="BD96" s="288"/>
      <c r="BE96" s="288"/>
      <c r="BQ96" s="105"/>
      <c r="CA96" s="683"/>
      <c r="CB96" s="683"/>
      <c r="CC96" s="683"/>
      <c r="CD96" s="683"/>
      <c r="CE96" s="683"/>
      <c r="CF96" s="683"/>
      <c r="CG96" s="3313"/>
      <c r="CH96" s="3313"/>
      <c r="CI96" s="3313"/>
      <c r="CJ96" s="3313"/>
      <c r="CK96" s="3313"/>
      <c r="CL96" s="683"/>
      <c r="CM96" s="683"/>
      <c r="CN96" s="683"/>
      <c r="CO96" s="683"/>
      <c r="CP96" s="683"/>
      <c r="CQ96" s="683"/>
      <c r="CR96" s="683"/>
      <c r="CS96" s="683"/>
      <c r="CT96" s="683"/>
      <c r="CU96" s="683"/>
      <c r="CV96" s="683"/>
      <c r="CW96" s="683"/>
      <c r="CX96" s="683"/>
      <c r="CY96" s="683"/>
      <c r="CZ96" s="683"/>
    </row>
    <row r="97" spans="1:104" s="140" customFormat="1" ht="16.350000000000001" customHeight="1" x14ac:dyDescent="0.15">
      <c r="A97" s="2918" t="s">
        <v>268</v>
      </c>
      <c r="B97" s="3523">
        <f t="shared" si="27"/>
        <v>0</v>
      </c>
      <c r="C97" s="3028"/>
      <c r="D97" s="1871"/>
      <c r="E97" s="1871"/>
      <c r="F97" s="3523">
        <f t="shared" si="25"/>
        <v>0</v>
      </c>
      <c r="G97" s="3028"/>
      <c r="H97" s="1871"/>
      <c r="I97" s="1871"/>
      <c r="J97" s="3523">
        <f t="shared" si="28"/>
        <v>0</v>
      </c>
      <c r="K97" s="3028"/>
      <c r="L97" s="1871"/>
      <c r="M97" s="2584"/>
      <c r="N97" s="3522">
        <f t="shared" si="26"/>
        <v>0</v>
      </c>
      <c r="O97" s="3136"/>
      <c r="P97" s="3341"/>
      <c r="Q97" s="3322"/>
      <c r="R97" s="2074"/>
      <c r="S97" s="1880"/>
      <c r="T97" s="1882"/>
      <c r="U97" s="1891"/>
      <c r="V97" s="1882"/>
      <c r="W97" s="3341"/>
      <c r="X97" s="3322"/>
      <c r="Y97" s="2074"/>
      <c r="Z97" s="3059"/>
      <c r="AA97" s="3059"/>
      <c r="AB97" s="3059"/>
      <c r="AC97" s="3059"/>
      <c r="AD97" s="3059"/>
      <c r="AE97" s="3519"/>
      <c r="AF97" s="3520"/>
      <c r="AG97" s="3225"/>
      <c r="AH97" s="3060"/>
      <c r="AI97" s="2877"/>
      <c r="AJ97" s="288"/>
      <c r="AK97" s="288"/>
      <c r="AL97" s="288"/>
      <c r="AM97" s="288"/>
      <c r="AN97" s="288"/>
      <c r="AO97" s="288"/>
      <c r="AP97" s="288"/>
      <c r="AQ97" s="288"/>
      <c r="AR97" s="288"/>
      <c r="AS97" s="288"/>
      <c r="AT97" s="288"/>
      <c r="AU97" s="288"/>
      <c r="AV97" s="288"/>
      <c r="AW97" s="288"/>
      <c r="AX97" s="288"/>
      <c r="AY97" s="288"/>
      <c r="AZ97" s="288"/>
      <c r="BA97" s="288"/>
      <c r="BB97" s="288"/>
      <c r="BC97" s="288"/>
      <c r="BD97" s="288"/>
      <c r="BE97" s="288"/>
      <c r="BQ97" s="105"/>
      <c r="CA97" s="683"/>
      <c r="CB97" s="683"/>
      <c r="CC97" s="683"/>
      <c r="CD97" s="683"/>
      <c r="CE97" s="683"/>
      <c r="CF97" s="683"/>
      <c r="CG97" s="3313"/>
      <c r="CH97" s="3313"/>
      <c r="CI97" s="3313"/>
      <c r="CJ97" s="3313"/>
      <c r="CK97" s="3313"/>
      <c r="CL97" s="683"/>
      <c r="CM97" s="683"/>
      <c r="CN97" s="683"/>
      <c r="CO97" s="683"/>
      <c r="CP97" s="683"/>
      <c r="CQ97" s="683"/>
      <c r="CR97" s="683"/>
      <c r="CS97" s="683"/>
      <c r="CT97" s="683"/>
      <c r="CU97" s="683"/>
      <c r="CV97" s="683"/>
      <c r="CW97" s="683"/>
      <c r="CX97" s="683"/>
      <c r="CY97" s="683"/>
      <c r="CZ97" s="683"/>
    </row>
    <row r="98" spans="1:104" s="140" customFormat="1" ht="16.350000000000001" customHeight="1" x14ac:dyDescent="0.15">
      <c r="A98" s="2918" t="s">
        <v>457</v>
      </c>
      <c r="B98" s="3523">
        <f t="shared" si="27"/>
        <v>0</v>
      </c>
      <c r="C98" s="3028"/>
      <c r="D98" s="1871"/>
      <c r="E98" s="1871"/>
      <c r="F98" s="3523">
        <f t="shared" si="25"/>
        <v>0</v>
      </c>
      <c r="G98" s="3028"/>
      <c r="H98" s="1871"/>
      <c r="I98" s="1871"/>
      <c r="J98" s="3523">
        <f t="shared" si="28"/>
        <v>0</v>
      </c>
      <c r="K98" s="3028"/>
      <c r="L98" s="1871"/>
      <c r="M98" s="2584"/>
      <c r="N98" s="3522">
        <f t="shared" si="26"/>
        <v>0</v>
      </c>
      <c r="O98" s="3136"/>
      <c r="P98" s="3341"/>
      <c r="Q98" s="3322"/>
      <c r="R98" s="2074"/>
      <c r="S98" s="1880"/>
      <c r="T98" s="1882"/>
      <c r="U98" s="1891"/>
      <c r="V98" s="1882"/>
      <c r="W98" s="3341"/>
      <c r="X98" s="3322"/>
      <c r="Y98" s="2074"/>
      <c r="Z98" s="3059"/>
      <c r="AA98" s="3059"/>
      <c r="AB98" s="3059"/>
      <c r="AC98" s="3059"/>
      <c r="AD98" s="3059"/>
      <c r="AE98" s="3519"/>
      <c r="AF98" s="3520"/>
      <c r="AG98" s="3225"/>
      <c r="AH98" s="3060"/>
      <c r="AI98" s="2877"/>
      <c r="AJ98" s="288"/>
      <c r="AK98" s="288"/>
      <c r="AL98" s="288"/>
      <c r="AM98" s="288"/>
      <c r="AN98" s="288"/>
      <c r="AO98" s="288"/>
      <c r="AP98" s="288"/>
      <c r="AQ98" s="288"/>
      <c r="AR98" s="288"/>
      <c r="AS98" s="288"/>
      <c r="AT98" s="288"/>
      <c r="AU98" s="288"/>
      <c r="AV98" s="288"/>
      <c r="AW98" s="288"/>
      <c r="AX98" s="288"/>
      <c r="AY98" s="288"/>
      <c r="AZ98" s="288"/>
      <c r="BA98" s="288"/>
      <c r="BB98" s="288"/>
      <c r="BC98" s="288"/>
      <c r="BD98" s="288"/>
      <c r="BE98" s="288"/>
      <c r="BQ98" s="105"/>
      <c r="CA98" s="683"/>
      <c r="CB98" s="683"/>
      <c r="CC98" s="683"/>
      <c r="CD98" s="683"/>
      <c r="CE98" s="683"/>
      <c r="CF98" s="683"/>
      <c r="CG98" s="3313"/>
      <c r="CH98" s="3313"/>
      <c r="CI98" s="3313"/>
      <c r="CJ98" s="3313"/>
      <c r="CK98" s="3313"/>
      <c r="CL98" s="683"/>
      <c r="CM98" s="683"/>
      <c r="CN98" s="683"/>
      <c r="CO98" s="683"/>
      <c r="CP98" s="683"/>
      <c r="CQ98" s="683"/>
      <c r="CR98" s="683"/>
      <c r="CS98" s="683"/>
      <c r="CT98" s="683"/>
      <c r="CU98" s="683"/>
      <c r="CV98" s="683"/>
      <c r="CW98" s="683"/>
      <c r="CX98" s="683"/>
      <c r="CY98" s="683"/>
      <c r="CZ98" s="683"/>
    </row>
    <row r="99" spans="1:104" s="140" customFormat="1" ht="16.350000000000001" customHeight="1" x14ac:dyDescent="0.15">
      <c r="A99" s="2918" t="s">
        <v>269</v>
      </c>
      <c r="B99" s="3523">
        <f t="shared" si="27"/>
        <v>0</v>
      </c>
      <c r="C99" s="3028"/>
      <c r="D99" s="1871"/>
      <c r="E99" s="1871"/>
      <c r="F99" s="3523">
        <f t="shared" si="25"/>
        <v>0</v>
      </c>
      <c r="G99" s="3028"/>
      <c r="H99" s="1871"/>
      <c r="I99" s="1871"/>
      <c r="J99" s="3523">
        <f t="shared" si="28"/>
        <v>0</v>
      </c>
      <c r="K99" s="3028"/>
      <c r="L99" s="1871"/>
      <c r="M99" s="2584"/>
      <c r="N99" s="3522">
        <f t="shared" si="26"/>
        <v>0</v>
      </c>
      <c r="O99" s="3136"/>
      <c r="P99" s="3341"/>
      <c r="Q99" s="3322"/>
      <c r="R99" s="2074"/>
      <c r="S99" s="1880"/>
      <c r="T99" s="1882"/>
      <c r="U99" s="1891"/>
      <c r="V99" s="1882"/>
      <c r="W99" s="3341"/>
      <c r="X99" s="3322"/>
      <c r="Y99" s="2074"/>
      <c r="Z99" s="3059"/>
      <c r="AA99" s="3059"/>
      <c r="AB99" s="3059"/>
      <c r="AC99" s="3059"/>
      <c r="AD99" s="3059"/>
      <c r="AE99" s="3519"/>
      <c r="AF99" s="3520"/>
      <c r="AG99" s="3225"/>
      <c r="AH99" s="3060"/>
      <c r="AI99" s="2877"/>
      <c r="AJ99" s="288"/>
      <c r="AK99" s="288"/>
      <c r="AL99" s="288"/>
      <c r="AM99" s="288"/>
      <c r="AN99" s="288"/>
      <c r="AO99" s="288"/>
      <c r="AP99" s="288"/>
      <c r="AQ99" s="288"/>
      <c r="AR99" s="288"/>
      <c r="AS99" s="288"/>
      <c r="AT99" s="288"/>
      <c r="AU99" s="288"/>
      <c r="AV99" s="288"/>
      <c r="AW99" s="288"/>
      <c r="AX99" s="288"/>
      <c r="AY99" s="288"/>
      <c r="AZ99" s="288"/>
      <c r="BA99" s="288"/>
      <c r="BB99" s="288"/>
      <c r="BC99" s="288"/>
      <c r="BD99" s="288"/>
      <c r="BE99" s="288"/>
      <c r="BQ99" s="105"/>
      <c r="CA99" s="683"/>
      <c r="CB99" s="683"/>
      <c r="CC99" s="683"/>
      <c r="CD99" s="683"/>
      <c r="CE99" s="683"/>
      <c r="CF99" s="683"/>
      <c r="CG99" s="3313"/>
      <c r="CH99" s="3313"/>
      <c r="CI99" s="3313"/>
      <c r="CJ99" s="3313"/>
      <c r="CK99" s="3313"/>
      <c r="CL99" s="683"/>
      <c r="CM99" s="683"/>
      <c r="CN99" s="683"/>
      <c r="CO99" s="683"/>
      <c r="CP99" s="683"/>
      <c r="CQ99" s="683"/>
      <c r="CR99" s="683"/>
      <c r="CS99" s="683"/>
      <c r="CT99" s="683"/>
      <c r="CU99" s="683"/>
      <c r="CV99" s="683"/>
      <c r="CW99" s="683"/>
      <c r="CX99" s="683"/>
      <c r="CY99" s="683"/>
      <c r="CZ99" s="683"/>
    </row>
    <row r="100" spans="1:104" s="140" customFormat="1" ht="16.350000000000001" customHeight="1" x14ac:dyDescent="0.15">
      <c r="A100" s="2918" t="s">
        <v>270</v>
      </c>
      <c r="B100" s="3523">
        <f t="shared" si="27"/>
        <v>0</v>
      </c>
      <c r="C100" s="3028"/>
      <c r="D100" s="1871"/>
      <c r="E100" s="1871"/>
      <c r="F100" s="3523">
        <f t="shared" si="25"/>
        <v>0</v>
      </c>
      <c r="G100" s="3028"/>
      <c r="H100" s="1871"/>
      <c r="I100" s="1871"/>
      <c r="J100" s="3523">
        <f t="shared" si="28"/>
        <v>0</v>
      </c>
      <c r="K100" s="3028"/>
      <c r="L100" s="1871"/>
      <c r="M100" s="2584"/>
      <c r="N100" s="3522">
        <f t="shared" si="26"/>
        <v>0</v>
      </c>
      <c r="O100" s="3136"/>
      <c r="P100" s="3341"/>
      <c r="Q100" s="3322"/>
      <c r="R100" s="2074"/>
      <c r="S100" s="1880"/>
      <c r="T100" s="1882"/>
      <c r="U100" s="1891"/>
      <c r="V100" s="1882"/>
      <c r="W100" s="3341"/>
      <c r="X100" s="3322"/>
      <c r="Y100" s="2074"/>
      <c r="Z100" s="3059"/>
      <c r="AA100" s="3059"/>
      <c r="AB100" s="3059"/>
      <c r="AC100" s="3059"/>
      <c r="AD100" s="3059"/>
      <c r="AE100" s="3519"/>
      <c r="AF100" s="3520"/>
      <c r="AG100" s="3225"/>
      <c r="AH100" s="3060"/>
      <c r="AI100" s="2877"/>
      <c r="AJ100" s="288"/>
      <c r="AK100" s="288"/>
      <c r="AL100" s="288"/>
      <c r="AM100" s="288"/>
      <c r="AN100" s="288"/>
      <c r="AO100" s="288"/>
      <c r="AP100" s="288"/>
      <c r="AQ100" s="288"/>
      <c r="AR100" s="288"/>
      <c r="AS100" s="288"/>
      <c r="AT100" s="288"/>
      <c r="AU100" s="288"/>
      <c r="AV100" s="288"/>
      <c r="AW100" s="288"/>
      <c r="AX100" s="288"/>
      <c r="AY100" s="288"/>
      <c r="AZ100" s="288"/>
      <c r="BA100" s="288"/>
      <c r="BB100" s="288"/>
      <c r="BC100" s="288"/>
      <c r="BD100" s="288"/>
      <c r="BE100" s="288"/>
      <c r="BQ100" s="105"/>
      <c r="CA100" s="683"/>
      <c r="CB100" s="683"/>
      <c r="CC100" s="683"/>
      <c r="CD100" s="683"/>
      <c r="CE100" s="683"/>
      <c r="CF100" s="683"/>
      <c r="CG100" s="3313"/>
      <c r="CH100" s="3313"/>
      <c r="CI100" s="3313"/>
      <c r="CJ100" s="3313"/>
      <c r="CK100" s="3313"/>
      <c r="CL100" s="683"/>
      <c r="CM100" s="683"/>
      <c r="CN100" s="683"/>
      <c r="CO100" s="683"/>
      <c r="CP100" s="683"/>
      <c r="CQ100" s="683"/>
      <c r="CR100" s="683"/>
      <c r="CS100" s="683"/>
      <c r="CT100" s="683"/>
      <c r="CU100" s="683"/>
      <c r="CV100" s="683"/>
      <c r="CW100" s="683"/>
      <c r="CX100" s="683"/>
      <c r="CY100" s="683"/>
      <c r="CZ100" s="683"/>
    </row>
    <row r="101" spans="1:104" s="140" customFormat="1" ht="16.350000000000001" customHeight="1" x14ac:dyDescent="0.15">
      <c r="A101" s="2918" t="s">
        <v>271</v>
      </c>
      <c r="B101" s="3523">
        <f t="shared" si="27"/>
        <v>0</v>
      </c>
      <c r="C101" s="3028"/>
      <c r="D101" s="1871"/>
      <c r="E101" s="1871"/>
      <c r="F101" s="3523">
        <f t="shared" si="25"/>
        <v>0</v>
      </c>
      <c r="G101" s="3028"/>
      <c r="H101" s="1871"/>
      <c r="I101" s="1871"/>
      <c r="J101" s="3523">
        <f t="shared" si="28"/>
        <v>0</v>
      </c>
      <c r="K101" s="3028"/>
      <c r="L101" s="1871"/>
      <c r="M101" s="2584"/>
      <c r="N101" s="3522">
        <f t="shared" si="26"/>
        <v>0</v>
      </c>
      <c r="O101" s="3136"/>
      <c r="P101" s="3341"/>
      <c r="Q101" s="3322"/>
      <c r="R101" s="2074"/>
      <c r="S101" s="1880"/>
      <c r="T101" s="1882"/>
      <c r="U101" s="1891"/>
      <c r="V101" s="1882"/>
      <c r="W101" s="3341"/>
      <c r="X101" s="3322"/>
      <c r="Y101" s="2074"/>
      <c r="Z101" s="3059"/>
      <c r="AA101" s="3059"/>
      <c r="AB101" s="3059"/>
      <c r="AC101" s="3059"/>
      <c r="AD101" s="3059"/>
      <c r="AE101" s="3519"/>
      <c r="AF101" s="3520"/>
      <c r="AG101" s="3225"/>
      <c r="AH101" s="3060"/>
      <c r="AI101" s="2877"/>
      <c r="AJ101" s="288"/>
      <c r="AK101" s="288"/>
      <c r="AL101" s="288"/>
      <c r="AM101" s="288"/>
      <c r="AN101" s="288"/>
      <c r="AO101" s="288"/>
      <c r="AP101" s="288"/>
      <c r="AQ101" s="288"/>
      <c r="AR101" s="288"/>
      <c r="AS101" s="288"/>
      <c r="AT101" s="288"/>
      <c r="AU101" s="288"/>
      <c r="AV101" s="288"/>
      <c r="AW101" s="288"/>
      <c r="AX101" s="288"/>
      <c r="AY101" s="288"/>
      <c r="AZ101" s="288"/>
      <c r="BA101" s="288"/>
      <c r="BB101" s="288"/>
      <c r="BC101" s="288"/>
      <c r="BD101" s="288"/>
      <c r="BE101" s="288"/>
      <c r="BQ101" s="105"/>
      <c r="CA101" s="683"/>
      <c r="CB101" s="683"/>
      <c r="CC101" s="683"/>
      <c r="CD101" s="683"/>
      <c r="CE101" s="683"/>
      <c r="CF101" s="683"/>
      <c r="CG101" s="3313"/>
      <c r="CH101" s="3313"/>
      <c r="CI101" s="3313"/>
      <c r="CJ101" s="3313"/>
      <c r="CK101" s="3313"/>
      <c r="CL101" s="683"/>
      <c r="CM101" s="683"/>
      <c r="CN101" s="683"/>
      <c r="CO101" s="683"/>
      <c r="CP101" s="683"/>
      <c r="CQ101" s="683"/>
      <c r="CR101" s="683"/>
      <c r="CS101" s="683"/>
      <c r="CT101" s="683"/>
      <c r="CU101" s="683"/>
      <c r="CV101" s="683"/>
      <c r="CW101" s="683"/>
      <c r="CX101" s="683"/>
      <c r="CY101" s="683"/>
      <c r="CZ101" s="683"/>
    </row>
    <row r="102" spans="1:104" s="140" customFormat="1" ht="16.350000000000001" customHeight="1" x14ac:dyDescent="0.15">
      <c r="A102" s="2918" t="s">
        <v>272</v>
      </c>
      <c r="B102" s="3523">
        <f t="shared" si="27"/>
        <v>0</v>
      </c>
      <c r="C102" s="3028"/>
      <c r="D102" s="1871"/>
      <c r="E102" s="1871"/>
      <c r="F102" s="3523">
        <f t="shared" si="25"/>
        <v>0</v>
      </c>
      <c r="G102" s="3028"/>
      <c r="H102" s="1871"/>
      <c r="I102" s="1871"/>
      <c r="J102" s="3523">
        <f t="shared" si="28"/>
        <v>0</v>
      </c>
      <c r="K102" s="3028"/>
      <c r="L102" s="1871"/>
      <c r="M102" s="2584"/>
      <c r="N102" s="3522">
        <f t="shared" si="26"/>
        <v>0</v>
      </c>
      <c r="O102" s="3136"/>
      <c r="P102" s="3341"/>
      <c r="Q102" s="3322"/>
      <c r="R102" s="2074"/>
      <c r="S102" s="1880"/>
      <c r="T102" s="1882"/>
      <c r="U102" s="1891"/>
      <c r="V102" s="1882"/>
      <c r="W102" s="3341"/>
      <c r="X102" s="3322"/>
      <c r="Y102" s="2074"/>
      <c r="Z102" s="3059"/>
      <c r="AA102" s="3059"/>
      <c r="AB102" s="3059"/>
      <c r="AC102" s="3059"/>
      <c r="AD102" s="3059"/>
      <c r="AE102" s="3519"/>
      <c r="AF102" s="3520"/>
      <c r="AG102" s="3225"/>
      <c r="AH102" s="3060"/>
      <c r="AI102" s="2877"/>
      <c r="AJ102" s="288"/>
      <c r="AK102" s="288"/>
      <c r="AL102" s="288"/>
      <c r="AM102" s="288"/>
      <c r="AN102" s="288"/>
      <c r="AO102" s="288"/>
      <c r="AP102" s="288"/>
      <c r="AQ102" s="288"/>
      <c r="AR102" s="288"/>
      <c r="AS102" s="288"/>
      <c r="AT102" s="288"/>
      <c r="AU102" s="288"/>
      <c r="AV102" s="288"/>
      <c r="AW102" s="288"/>
      <c r="AX102" s="288"/>
      <c r="AY102" s="288"/>
      <c r="AZ102" s="288"/>
      <c r="BA102" s="288"/>
      <c r="BB102" s="288"/>
      <c r="BC102" s="288"/>
      <c r="BD102" s="288"/>
      <c r="BE102" s="288"/>
      <c r="BQ102" s="105"/>
      <c r="CA102" s="683"/>
      <c r="CB102" s="683"/>
      <c r="CC102" s="683"/>
      <c r="CD102" s="683"/>
      <c r="CE102" s="683"/>
      <c r="CF102" s="683"/>
      <c r="CG102" s="3313"/>
      <c r="CH102" s="3313"/>
      <c r="CI102" s="3313"/>
      <c r="CJ102" s="3313"/>
      <c r="CK102" s="3313"/>
      <c r="CL102" s="683"/>
      <c r="CM102" s="683"/>
      <c r="CN102" s="683"/>
      <c r="CO102" s="683"/>
      <c r="CP102" s="683"/>
      <c r="CQ102" s="683"/>
      <c r="CR102" s="683"/>
      <c r="CS102" s="683"/>
      <c r="CT102" s="683"/>
      <c r="CU102" s="683"/>
      <c r="CV102" s="683"/>
      <c r="CW102" s="683"/>
      <c r="CX102" s="683"/>
      <c r="CY102" s="683"/>
      <c r="CZ102" s="683"/>
    </row>
    <row r="103" spans="1:104" s="140" customFormat="1" ht="16.350000000000001" customHeight="1" x14ac:dyDescent="0.15">
      <c r="A103" s="2918" t="s">
        <v>273</v>
      </c>
      <c r="B103" s="3523">
        <f t="shared" si="27"/>
        <v>0</v>
      </c>
      <c r="C103" s="3028"/>
      <c r="D103" s="1871"/>
      <c r="E103" s="1871"/>
      <c r="F103" s="3523">
        <f t="shared" si="25"/>
        <v>0</v>
      </c>
      <c r="G103" s="3028"/>
      <c r="H103" s="1871"/>
      <c r="I103" s="1871"/>
      <c r="J103" s="3523">
        <f t="shared" si="28"/>
        <v>0</v>
      </c>
      <c r="K103" s="3028"/>
      <c r="L103" s="1871"/>
      <c r="M103" s="2584"/>
      <c r="N103" s="3522">
        <f t="shared" si="26"/>
        <v>0</v>
      </c>
      <c r="O103" s="3136"/>
      <c r="P103" s="3341"/>
      <c r="Q103" s="3322"/>
      <c r="R103" s="2074"/>
      <c r="S103" s="1880"/>
      <c r="T103" s="1882"/>
      <c r="U103" s="1891"/>
      <c r="V103" s="1882"/>
      <c r="W103" s="3341"/>
      <c r="X103" s="3322"/>
      <c r="Y103" s="2074"/>
      <c r="Z103" s="3059"/>
      <c r="AA103" s="3059"/>
      <c r="AB103" s="3059"/>
      <c r="AC103" s="3059"/>
      <c r="AD103" s="3059"/>
      <c r="AE103" s="3519"/>
      <c r="AF103" s="3520"/>
      <c r="AG103" s="3225"/>
      <c r="AH103" s="3060"/>
      <c r="AI103" s="2877"/>
      <c r="AJ103" s="288"/>
      <c r="AK103" s="288"/>
      <c r="AL103" s="288"/>
      <c r="AM103" s="288"/>
      <c r="AN103" s="288"/>
      <c r="AO103" s="288"/>
      <c r="AP103" s="288"/>
      <c r="AQ103" s="288"/>
      <c r="AR103" s="288"/>
      <c r="AS103" s="288"/>
      <c r="AT103" s="288"/>
      <c r="AU103" s="288"/>
      <c r="AV103" s="288"/>
      <c r="AW103" s="288"/>
      <c r="AX103" s="288"/>
      <c r="AY103" s="288"/>
      <c r="AZ103" s="288"/>
      <c r="BA103" s="288"/>
      <c r="BB103" s="288"/>
      <c r="BC103" s="288"/>
      <c r="BD103" s="288"/>
      <c r="BE103" s="288"/>
      <c r="BQ103" s="105"/>
      <c r="CA103" s="683"/>
      <c r="CB103" s="683"/>
      <c r="CC103" s="683"/>
      <c r="CD103" s="683"/>
      <c r="CE103" s="683"/>
      <c r="CF103" s="683"/>
      <c r="CG103" s="3313"/>
      <c r="CH103" s="3313"/>
      <c r="CI103" s="3313"/>
      <c r="CJ103" s="3313"/>
      <c r="CK103" s="3313"/>
      <c r="CL103" s="683"/>
      <c r="CM103" s="683"/>
      <c r="CN103" s="683"/>
      <c r="CO103" s="683"/>
      <c r="CP103" s="683"/>
      <c r="CQ103" s="683"/>
      <c r="CR103" s="683"/>
      <c r="CS103" s="683"/>
      <c r="CT103" s="683"/>
      <c r="CU103" s="683"/>
      <c r="CV103" s="683"/>
      <c r="CW103" s="683"/>
      <c r="CX103" s="683"/>
      <c r="CY103" s="683"/>
      <c r="CZ103" s="683"/>
    </row>
    <row r="104" spans="1:104" s="140" customFormat="1" ht="16.350000000000001" customHeight="1" x14ac:dyDescent="0.15">
      <c r="A104" s="2918" t="s">
        <v>458</v>
      </c>
      <c r="B104" s="3524">
        <f t="shared" si="27"/>
        <v>0</v>
      </c>
      <c r="C104" s="824"/>
      <c r="D104" s="747"/>
      <c r="E104" s="747"/>
      <c r="F104" s="3524">
        <f t="shared" si="25"/>
        <v>0</v>
      </c>
      <c r="G104" s="824"/>
      <c r="H104" s="747"/>
      <c r="I104" s="747"/>
      <c r="J104" s="3524">
        <f t="shared" si="28"/>
        <v>0</v>
      </c>
      <c r="K104" s="824"/>
      <c r="L104" s="747"/>
      <c r="M104" s="2499"/>
      <c r="N104" s="3522">
        <f t="shared" si="26"/>
        <v>0</v>
      </c>
      <c r="O104" s="1828"/>
      <c r="P104" s="209"/>
      <c r="Q104" s="3322"/>
      <c r="R104" s="2074"/>
      <c r="S104" s="1880"/>
      <c r="T104" s="1882"/>
      <c r="U104" s="1891"/>
      <c r="V104" s="1882"/>
      <c r="W104" s="3341"/>
      <c r="X104" s="3322"/>
      <c r="Y104" s="2074"/>
      <c r="Z104" s="3059"/>
      <c r="AA104" s="3059"/>
      <c r="AB104" s="3059"/>
      <c r="AC104" s="3059"/>
      <c r="AD104" s="3059"/>
      <c r="AE104" s="3519"/>
      <c r="AF104" s="3520"/>
      <c r="AG104" s="3225"/>
      <c r="AH104" s="3060"/>
      <c r="AI104" s="2877"/>
      <c r="AJ104" s="288"/>
      <c r="AK104" s="288"/>
      <c r="AL104" s="288"/>
      <c r="AM104" s="288"/>
      <c r="AN104" s="288"/>
      <c r="AO104" s="288"/>
      <c r="AP104" s="288"/>
      <c r="AQ104" s="288"/>
      <c r="AR104" s="288"/>
      <c r="AS104" s="288"/>
      <c r="AT104" s="288"/>
      <c r="AU104" s="288"/>
      <c r="AV104" s="288"/>
      <c r="AW104" s="288"/>
      <c r="AX104" s="288"/>
      <c r="AY104" s="288"/>
      <c r="AZ104" s="288"/>
      <c r="BA104" s="288"/>
      <c r="BB104" s="288"/>
      <c r="BC104" s="288"/>
      <c r="BD104" s="288"/>
      <c r="BE104" s="288"/>
      <c r="BQ104" s="105"/>
      <c r="CA104" s="683"/>
      <c r="CB104" s="683"/>
      <c r="CC104" s="683"/>
      <c r="CD104" s="683"/>
      <c r="CE104" s="683"/>
      <c r="CF104" s="683"/>
      <c r="CG104" s="3313"/>
      <c r="CH104" s="3313"/>
      <c r="CI104" s="3313"/>
      <c r="CJ104" s="3313"/>
      <c r="CK104" s="3313"/>
      <c r="CL104" s="683"/>
      <c r="CM104" s="683"/>
      <c r="CN104" s="683"/>
      <c r="CO104" s="683"/>
      <c r="CP104" s="683"/>
      <c r="CQ104" s="683"/>
      <c r="CR104" s="683"/>
      <c r="CS104" s="683"/>
      <c r="CT104" s="683"/>
      <c r="CU104" s="683"/>
      <c r="CV104" s="683"/>
      <c r="CW104" s="683"/>
      <c r="CX104" s="683"/>
      <c r="CY104" s="683"/>
      <c r="CZ104" s="683"/>
    </row>
    <row r="105" spans="1:104" s="140" customFormat="1" ht="16.350000000000001" customHeight="1" x14ac:dyDescent="0.15">
      <c r="A105" s="2918" t="s">
        <v>274</v>
      </c>
      <c r="B105" s="3523">
        <f t="shared" si="27"/>
        <v>0</v>
      </c>
      <c r="C105" s="3028"/>
      <c r="D105" s="1871"/>
      <c r="E105" s="1871"/>
      <c r="F105" s="3523">
        <f t="shared" si="25"/>
        <v>0</v>
      </c>
      <c r="G105" s="3028"/>
      <c r="H105" s="1871"/>
      <c r="I105" s="1871"/>
      <c r="J105" s="3523">
        <f t="shared" si="28"/>
        <v>0</v>
      </c>
      <c r="K105" s="3028"/>
      <c r="L105" s="1871"/>
      <c r="M105" s="2584"/>
      <c r="N105" s="3522">
        <f t="shared" si="26"/>
        <v>0</v>
      </c>
      <c r="O105" s="3136"/>
      <c r="P105" s="3341"/>
      <c r="Q105" s="3322"/>
      <c r="R105" s="2074"/>
      <c r="S105" s="1880"/>
      <c r="T105" s="1882"/>
      <c r="U105" s="1891"/>
      <c r="V105" s="1882"/>
      <c r="W105" s="3341"/>
      <c r="X105" s="3322"/>
      <c r="Y105" s="2074"/>
      <c r="Z105" s="3059"/>
      <c r="AA105" s="3059"/>
      <c r="AB105" s="3059"/>
      <c r="AC105" s="3059"/>
      <c r="AD105" s="3059"/>
      <c r="AE105" s="3519"/>
      <c r="AF105" s="3520"/>
      <c r="AG105" s="3225"/>
      <c r="AH105" s="3060"/>
      <c r="AI105" s="2877"/>
      <c r="AJ105" s="288"/>
      <c r="AK105" s="288"/>
      <c r="AL105" s="288"/>
      <c r="AM105" s="288"/>
      <c r="AN105" s="288"/>
      <c r="AO105" s="288"/>
      <c r="AP105" s="288"/>
      <c r="AQ105" s="288"/>
      <c r="AR105" s="288"/>
      <c r="AS105" s="288"/>
      <c r="AT105" s="288"/>
      <c r="AU105" s="288"/>
      <c r="AV105" s="288"/>
      <c r="AW105" s="288"/>
      <c r="AX105" s="288"/>
      <c r="AY105" s="288"/>
      <c r="AZ105" s="288"/>
      <c r="BA105" s="288"/>
      <c r="BB105" s="288"/>
      <c r="BC105" s="288"/>
      <c r="BD105" s="288"/>
      <c r="BE105" s="288"/>
      <c r="BQ105" s="105"/>
      <c r="CA105" s="683"/>
      <c r="CB105" s="683"/>
      <c r="CC105" s="683"/>
      <c r="CD105" s="683"/>
      <c r="CE105" s="683"/>
      <c r="CF105" s="683"/>
      <c r="CG105" s="3313"/>
      <c r="CH105" s="3313"/>
      <c r="CI105" s="3313"/>
      <c r="CJ105" s="3313"/>
      <c r="CK105" s="3313"/>
      <c r="CL105" s="683"/>
      <c r="CM105" s="683"/>
      <c r="CN105" s="683"/>
      <c r="CO105" s="683"/>
      <c r="CP105" s="683"/>
      <c r="CQ105" s="683"/>
      <c r="CR105" s="683"/>
      <c r="CS105" s="683"/>
      <c r="CT105" s="683"/>
      <c r="CU105" s="683"/>
      <c r="CV105" s="683"/>
      <c r="CW105" s="683"/>
      <c r="CX105" s="683"/>
      <c r="CY105" s="683"/>
      <c r="CZ105" s="683"/>
    </row>
    <row r="106" spans="1:104" s="140" customFormat="1" ht="16.350000000000001" customHeight="1" x14ac:dyDescent="0.15">
      <c r="A106" s="2918" t="s">
        <v>275</v>
      </c>
      <c r="B106" s="3523">
        <f t="shared" si="27"/>
        <v>0</v>
      </c>
      <c r="C106" s="3028"/>
      <c r="D106" s="1871"/>
      <c r="E106" s="1871"/>
      <c r="F106" s="3523">
        <f t="shared" si="25"/>
        <v>0</v>
      </c>
      <c r="G106" s="3028"/>
      <c r="H106" s="1871"/>
      <c r="I106" s="1871"/>
      <c r="J106" s="3523">
        <f t="shared" si="28"/>
        <v>0</v>
      </c>
      <c r="K106" s="3028"/>
      <c r="L106" s="1871"/>
      <c r="M106" s="2584"/>
      <c r="N106" s="3522">
        <f t="shared" si="26"/>
        <v>0</v>
      </c>
      <c r="O106" s="3136"/>
      <c r="P106" s="3341"/>
      <c r="Q106" s="3322"/>
      <c r="R106" s="2074"/>
      <c r="S106" s="1880"/>
      <c r="T106" s="1882"/>
      <c r="U106" s="1891"/>
      <c r="V106" s="1882"/>
      <c r="W106" s="3341"/>
      <c r="X106" s="3322"/>
      <c r="Y106" s="2074"/>
      <c r="Z106" s="3059"/>
      <c r="AA106" s="3059"/>
      <c r="AB106" s="3059"/>
      <c r="AC106" s="3059"/>
      <c r="AD106" s="3059"/>
      <c r="AE106" s="3519"/>
      <c r="AF106" s="3520"/>
      <c r="AG106" s="3225"/>
      <c r="AH106" s="3060"/>
      <c r="AI106" s="2877"/>
      <c r="AJ106" s="288"/>
      <c r="AK106" s="288"/>
      <c r="AL106" s="288"/>
      <c r="AM106" s="288"/>
      <c r="AN106" s="288"/>
      <c r="AO106" s="288"/>
      <c r="AP106" s="288"/>
      <c r="AQ106" s="288"/>
      <c r="AR106" s="288"/>
      <c r="AS106" s="288"/>
      <c r="AT106" s="288"/>
      <c r="AU106" s="288"/>
      <c r="AV106" s="288"/>
      <c r="AW106" s="288"/>
      <c r="AX106" s="288"/>
      <c r="AY106" s="288"/>
      <c r="AZ106" s="288"/>
      <c r="BA106" s="288"/>
      <c r="BB106" s="288"/>
      <c r="BC106" s="288"/>
      <c r="BD106" s="288"/>
      <c r="BE106" s="288"/>
      <c r="BQ106" s="105"/>
      <c r="CA106" s="683"/>
      <c r="CB106" s="683"/>
      <c r="CC106" s="683"/>
      <c r="CD106" s="683"/>
      <c r="CE106" s="683"/>
      <c r="CF106" s="683"/>
      <c r="CG106" s="3313"/>
      <c r="CH106" s="3313"/>
      <c r="CI106" s="3313"/>
      <c r="CJ106" s="3313"/>
      <c r="CK106" s="3313"/>
      <c r="CL106" s="683"/>
      <c r="CM106" s="683"/>
      <c r="CN106" s="683"/>
      <c r="CO106" s="683"/>
      <c r="CP106" s="683"/>
      <c r="CQ106" s="683"/>
      <c r="CR106" s="683"/>
      <c r="CS106" s="683"/>
      <c r="CT106" s="683"/>
      <c r="CU106" s="683"/>
      <c r="CV106" s="683"/>
      <c r="CW106" s="683"/>
      <c r="CX106" s="683"/>
      <c r="CY106" s="683"/>
      <c r="CZ106" s="683"/>
    </row>
    <row r="107" spans="1:104" s="140" customFormat="1" ht="16.350000000000001" customHeight="1" x14ac:dyDescent="0.15">
      <c r="A107" s="2918" t="s">
        <v>459</v>
      </c>
      <c r="B107" s="3523">
        <f t="shared" si="27"/>
        <v>0</v>
      </c>
      <c r="C107" s="3028"/>
      <c r="D107" s="1871"/>
      <c r="E107" s="1871"/>
      <c r="F107" s="3523">
        <f t="shared" si="25"/>
        <v>0</v>
      </c>
      <c r="G107" s="3028"/>
      <c r="H107" s="1871"/>
      <c r="I107" s="1871"/>
      <c r="J107" s="3523">
        <f t="shared" si="28"/>
        <v>0</v>
      </c>
      <c r="K107" s="3028"/>
      <c r="L107" s="1871"/>
      <c r="M107" s="2584"/>
      <c r="N107" s="3522">
        <f t="shared" si="26"/>
        <v>0</v>
      </c>
      <c r="O107" s="3136"/>
      <c r="P107" s="3341"/>
      <c r="Q107" s="3322"/>
      <c r="R107" s="2074"/>
      <c r="S107" s="1880"/>
      <c r="T107" s="1882"/>
      <c r="U107" s="1891"/>
      <c r="V107" s="1882"/>
      <c r="W107" s="3341"/>
      <c r="X107" s="3322"/>
      <c r="Y107" s="2074"/>
      <c r="Z107" s="3059"/>
      <c r="AA107" s="3059"/>
      <c r="AB107" s="3059"/>
      <c r="AC107" s="3059"/>
      <c r="AD107" s="3059"/>
      <c r="AE107" s="3519"/>
      <c r="AF107" s="3520"/>
      <c r="AG107" s="3225"/>
      <c r="AH107" s="3060"/>
      <c r="AI107" s="2877"/>
      <c r="AJ107" s="288"/>
      <c r="AK107" s="288"/>
      <c r="AL107" s="288"/>
      <c r="AM107" s="288"/>
      <c r="AN107" s="288"/>
      <c r="AO107" s="288"/>
      <c r="AP107" s="288"/>
      <c r="AQ107" s="288"/>
      <c r="AR107" s="288"/>
      <c r="AS107" s="288"/>
      <c r="AT107" s="288"/>
      <c r="AU107" s="288"/>
      <c r="AV107" s="288"/>
      <c r="AW107" s="288"/>
      <c r="AX107" s="288"/>
      <c r="AY107" s="288"/>
      <c r="AZ107" s="288"/>
      <c r="BA107" s="288"/>
      <c r="BB107" s="288"/>
      <c r="BC107" s="288"/>
      <c r="BD107" s="288"/>
      <c r="BE107" s="288"/>
      <c r="BQ107" s="105"/>
      <c r="CA107" s="683"/>
      <c r="CB107" s="683"/>
      <c r="CC107" s="683"/>
      <c r="CD107" s="683"/>
      <c r="CE107" s="683"/>
      <c r="CF107" s="683"/>
      <c r="CG107" s="3313"/>
      <c r="CH107" s="3313"/>
      <c r="CI107" s="3313"/>
      <c r="CJ107" s="3313"/>
      <c r="CK107" s="3313"/>
      <c r="CL107" s="683"/>
      <c r="CM107" s="683"/>
      <c r="CN107" s="683"/>
      <c r="CO107" s="683"/>
      <c r="CP107" s="683"/>
      <c r="CQ107" s="683"/>
      <c r="CR107" s="683"/>
      <c r="CS107" s="683"/>
      <c r="CT107" s="683"/>
      <c r="CU107" s="683"/>
      <c r="CV107" s="683"/>
      <c r="CW107" s="683"/>
      <c r="CX107" s="683"/>
      <c r="CY107" s="683"/>
      <c r="CZ107" s="683"/>
    </row>
    <row r="108" spans="1:104" s="140" customFormat="1" ht="16.350000000000001" customHeight="1" x14ac:dyDescent="0.15">
      <c r="A108" s="2918" t="s">
        <v>276</v>
      </c>
      <c r="B108" s="3525">
        <f t="shared" si="27"/>
        <v>0</v>
      </c>
      <c r="C108" s="3225"/>
      <c r="D108" s="3060"/>
      <c r="E108" s="3060"/>
      <c r="F108" s="3525">
        <f t="shared" si="25"/>
        <v>0</v>
      </c>
      <c r="G108" s="3225"/>
      <c r="H108" s="3060"/>
      <c r="I108" s="3060"/>
      <c r="J108" s="3525">
        <f t="shared" si="28"/>
        <v>0</v>
      </c>
      <c r="K108" s="3225"/>
      <c r="L108" s="3060"/>
      <c r="M108" s="1779"/>
      <c r="N108" s="3522">
        <f t="shared" si="26"/>
        <v>0</v>
      </c>
      <c r="O108" s="3112"/>
      <c r="P108" s="234"/>
      <c r="Q108" s="3322"/>
      <c r="R108" s="2074"/>
      <c r="S108" s="1880"/>
      <c r="T108" s="1882"/>
      <c r="U108" s="1891"/>
      <c r="V108" s="1882"/>
      <c r="W108" s="3341"/>
      <c r="X108" s="3322"/>
      <c r="Y108" s="2074"/>
      <c r="Z108" s="3059"/>
      <c r="AA108" s="3059"/>
      <c r="AB108" s="3059"/>
      <c r="AC108" s="3059"/>
      <c r="AD108" s="3059"/>
      <c r="AE108" s="3519"/>
      <c r="AF108" s="3520"/>
      <c r="AG108" s="3225"/>
      <c r="AH108" s="3060"/>
      <c r="AI108" s="2877"/>
      <c r="AJ108" s="288"/>
      <c r="AK108" s="288"/>
      <c r="AL108" s="288"/>
      <c r="AM108" s="288"/>
      <c r="AN108" s="288"/>
      <c r="AO108" s="288"/>
      <c r="AP108" s="288"/>
      <c r="AQ108" s="288"/>
      <c r="AR108" s="288"/>
      <c r="AS108" s="288"/>
      <c r="AT108" s="288"/>
      <c r="AU108" s="288"/>
      <c r="AV108" s="288"/>
      <c r="AW108" s="288"/>
      <c r="AX108" s="288"/>
      <c r="AY108" s="288"/>
      <c r="AZ108" s="288"/>
      <c r="BA108" s="288"/>
      <c r="BB108" s="288"/>
      <c r="BC108" s="288"/>
      <c r="BD108" s="288"/>
      <c r="BE108" s="288"/>
      <c r="BQ108" s="105"/>
      <c r="CA108" s="683"/>
      <c r="CB108" s="683"/>
      <c r="CC108" s="683"/>
      <c r="CD108" s="683"/>
      <c r="CE108" s="683"/>
      <c r="CF108" s="683"/>
      <c r="CG108" s="3313"/>
      <c r="CH108" s="3313"/>
      <c r="CI108" s="3313"/>
      <c r="CJ108" s="3313"/>
      <c r="CK108" s="3313"/>
      <c r="CL108" s="683"/>
      <c r="CM108" s="683"/>
      <c r="CN108" s="683"/>
      <c r="CO108" s="683"/>
      <c r="CP108" s="683"/>
      <c r="CQ108" s="683"/>
      <c r="CR108" s="683"/>
      <c r="CS108" s="683"/>
      <c r="CT108" s="683"/>
      <c r="CU108" s="683"/>
      <c r="CV108" s="683"/>
      <c r="CW108" s="683"/>
      <c r="CX108" s="683"/>
      <c r="CY108" s="683"/>
      <c r="CZ108" s="683"/>
    </row>
    <row r="109" spans="1:104" s="140" customFormat="1" ht="16.350000000000001" customHeight="1" x14ac:dyDescent="0.15">
      <c r="A109" s="2918" t="s">
        <v>460</v>
      </c>
      <c r="B109" s="3524">
        <f t="shared" si="27"/>
        <v>0</v>
      </c>
      <c r="C109" s="824"/>
      <c r="D109" s="747"/>
      <c r="E109" s="747"/>
      <c r="F109" s="3524">
        <f t="shared" si="25"/>
        <v>0</v>
      </c>
      <c r="G109" s="824"/>
      <c r="H109" s="747"/>
      <c r="I109" s="747"/>
      <c r="J109" s="3524">
        <f t="shared" si="28"/>
        <v>0</v>
      </c>
      <c r="K109" s="824"/>
      <c r="L109" s="747"/>
      <c r="M109" s="2499"/>
      <c r="N109" s="3522">
        <f t="shared" si="26"/>
        <v>0</v>
      </c>
      <c r="O109" s="1828"/>
      <c r="P109" s="209"/>
      <c r="Q109" s="3322"/>
      <c r="R109" s="2074"/>
      <c r="S109" s="1880"/>
      <c r="T109" s="1882"/>
      <c r="U109" s="1891"/>
      <c r="V109" s="1882"/>
      <c r="W109" s="3121"/>
      <c r="X109" s="3322"/>
      <c r="Y109" s="2074"/>
      <c r="Z109" s="3059"/>
      <c r="AA109" s="3059"/>
      <c r="AB109" s="3059"/>
      <c r="AC109" s="3059"/>
      <c r="AD109" s="3059"/>
      <c r="AE109" s="3519"/>
      <c r="AF109" s="3520"/>
      <c r="AG109" s="3225"/>
      <c r="AH109" s="3060"/>
      <c r="AI109" s="2877"/>
      <c r="AJ109" s="288"/>
      <c r="AK109" s="288"/>
      <c r="AL109" s="288"/>
      <c r="AM109" s="288"/>
      <c r="AN109" s="288"/>
      <c r="AO109" s="288"/>
      <c r="AP109" s="288"/>
      <c r="AQ109" s="288"/>
      <c r="AR109" s="288"/>
      <c r="AS109" s="288"/>
      <c r="AT109" s="288"/>
      <c r="AU109" s="288"/>
      <c r="AV109" s="288"/>
      <c r="AW109" s="288"/>
      <c r="AX109" s="288"/>
      <c r="AY109" s="288"/>
      <c r="AZ109" s="288"/>
      <c r="BA109" s="288"/>
      <c r="BB109" s="288"/>
      <c r="BC109" s="288"/>
      <c r="BD109" s="288"/>
      <c r="BE109" s="288"/>
      <c r="BQ109" s="105"/>
      <c r="CA109" s="683"/>
      <c r="CB109" s="683"/>
      <c r="CC109" s="683"/>
      <c r="CD109" s="683"/>
      <c r="CE109" s="683"/>
      <c r="CF109" s="683"/>
      <c r="CG109" s="3313"/>
      <c r="CH109" s="3313"/>
      <c r="CI109" s="3313"/>
      <c r="CJ109" s="3313"/>
      <c r="CK109" s="3313"/>
      <c r="CL109" s="683"/>
      <c r="CM109" s="683"/>
      <c r="CN109" s="683"/>
      <c r="CO109" s="683"/>
      <c r="CP109" s="683"/>
      <c r="CQ109" s="683"/>
      <c r="CR109" s="683"/>
      <c r="CS109" s="683"/>
      <c r="CT109" s="683"/>
      <c r="CU109" s="683"/>
      <c r="CV109" s="683"/>
      <c r="CW109" s="683"/>
      <c r="CX109" s="683"/>
      <c r="CY109" s="683"/>
      <c r="CZ109" s="683"/>
    </row>
    <row r="110" spans="1:104" s="140" customFormat="1" ht="16.350000000000001" customHeight="1" x14ac:dyDescent="0.15">
      <c r="A110" s="153" t="s">
        <v>3575</v>
      </c>
      <c r="B110" s="3523">
        <f t="shared" si="27"/>
        <v>0</v>
      </c>
      <c r="C110" s="3028"/>
      <c r="D110" s="1871"/>
      <c r="E110" s="1871"/>
      <c r="F110" s="3523">
        <f t="shared" si="25"/>
        <v>0</v>
      </c>
      <c r="G110" s="3028"/>
      <c r="H110" s="1871"/>
      <c r="I110" s="1871"/>
      <c r="J110" s="3523">
        <f t="shared" si="28"/>
        <v>0</v>
      </c>
      <c r="K110" s="3028"/>
      <c r="L110" s="1871"/>
      <c r="M110" s="2584"/>
      <c r="N110" s="3522">
        <f t="shared" si="26"/>
        <v>0</v>
      </c>
      <c r="O110" s="3136"/>
      <c r="P110" s="3341"/>
      <c r="Q110" s="3322"/>
      <c r="R110" s="2074"/>
      <c r="S110" s="1880"/>
      <c r="T110" s="1882"/>
      <c r="U110" s="1891"/>
      <c r="V110" s="1882"/>
      <c r="W110" s="3341"/>
      <c r="X110" s="3322"/>
      <c r="Y110" s="2074"/>
      <c r="Z110" s="3059"/>
      <c r="AA110" s="3059"/>
      <c r="AB110" s="3059"/>
      <c r="AC110" s="3059"/>
      <c r="AD110" s="3059"/>
      <c r="AE110" s="3519"/>
      <c r="AF110" s="3520"/>
      <c r="AG110" s="3225"/>
      <c r="AH110" s="3060"/>
      <c r="AI110" s="2877"/>
      <c r="AJ110" s="288"/>
      <c r="AK110" s="288"/>
      <c r="AL110" s="288"/>
      <c r="AM110" s="288"/>
      <c r="AN110" s="288"/>
      <c r="AO110" s="288"/>
      <c r="AP110" s="288"/>
      <c r="AQ110" s="288"/>
      <c r="AR110" s="288"/>
      <c r="AS110" s="288"/>
      <c r="AT110" s="288"/>
      <c r="AU110" s="288"/>
      <c r="AV110" s="288"/>
      <c r="AW110" s="288"/>
      <c r="AX110" s="288"/>
      <c r="AY110" s="288"/>
      <c r="AZ110" s="288"/>
      <c r="BA110" s="288"/>
      <c r="BB110" s="288"/>
      <c r="BC110" s="288"/>
      <c r="BD110" s="288"/>
      <c r="BE110" s="288"/>
      <c r="BQ110" s="105"/>
      <c r="CA110" s="683"/>
      <c r="CB110" s="683"/>
      <c r="CC110" s="683"/>
      <c r="CD110" s="683"/>
      <c r="CE110" s="683"/>
      <c r="CF110" s="683"/>
      <c r="CG110" s="3313"/>
      <c r="CH110" s="3313"/>
      <c r="CI110" s="3313"/>
      <c r="CJ110" s="3313"/>
      <c r="CK110" s="3313"/>
      <c r="CL110" s="683"/>
      <c r="CM110" s="683"/>
      <c r="CN110" s="683"/>
      <c r="CO110" s="683"/>
      <c r="CP110" s="683"/>
      <c r="CQ110" s="683"/>
      <c r="CR110" s="683"/>
      <c r="CS110" s="683"/>
      <c r="CT110" s="683"/>
      <c r="CU110" s="683"/>
      <c r="CV110" s="683"/>
      <c r="CW110" s="683"/>
      <c r="CX110" s="683"/>
      <c r="CY110" s="683"/>
      <c r="CZ110" s="683"/>
    </row>
    <row r="111" spans="1:104" s="140" customFormat="1" ht="16.350000000000001" customHeight="1" x14ac:dyDescent="0.15">
      <c r="A111" s="3492" t="s">
        <v>277</v>
      </c>
      <c r="B111" s="3524">
        <f t="shared" si="27"/>
        <v>0</v>
      </c>
      <c r="C111" s="824"/>
      <c r="D111" s="747"/>
      <c r="E111" s="747"/>
      <c r="F111" s="3524">
        <f t="shared" si="25"/>
        <v>0</v>
      </c>
      <c r="G111" s="824"/>
      <c r="H111" s="747"/>
      <c r="I111" s="747"/>
      <c r="J111" s="3524">
        <f t="shared" si="28"/>
        <v>0</v>
      </c>
      <c r="K111" s="824"/>
      <c r="L111" s="747"/>
      <c r="M111" s="2499"/>
      <c r="N111" s="3522">
        <f t="shared" si="26"/>
        <v>0</v>
      </c>
      <c r="O111" s="1828"/>
      <c r="P111" s="209"/>
      <c r="Q111" s="3322"/>
      <c r="R111" s="2074"/>
      <c r="S111" s="1880"/>
      <c r="T111" s="1882"/>
      <c r="U111" s="1891"/>
      <c r="V111" s="1882"/>
      <c r="W111" s="3341"/>
      <c r="X111" s="3322"/>
      <c r="Y111" s="2074"/>
      <c r="Z111" s="3059"/>
      <c r="AA111" s="3059"/>
      <c r="AB111" s="3059"/>
      <c r="AC111" s="3059"/>
      <c r="AD111" s="3059"/>
      <c r="AE111" s="3519"/>
      <c r="AF111" s="3520"/>
      <c r="AG111" s="3225"/>
      <c r="AH111" s="3060"/>
      <c r="AI111" s="2877"/>
      <c r="AJ111" s="288"/>
      <c r="AK111" s="288"/>
      <c r="AL111" s="288"/>
      <c r="AM111" s="288"/>
      <c r="AN111" s="288"/>
      <c r="AO111" s="288"/>
      <c r="AP111" s="288"/>
      <c r="AQ111" s="288"/>
      <c r="AR111" s="288"/>
      <c r="AS111" s="288"/>
      <c r="AT111" s="288"/>
      <c r="AU111" s="288"/>
      <c r="AV111" s="288"/>
      <c r="AW111" s="288"/>
      <c r="AX111" s="288"/>
      <c r="AY111" s="288"/>
      <c r="AZ111" s="288"/>
      <c r="BA111" s="288"/>
      <c r="BB111" s="288"/>
      <c r="BC111" s="288"/>
      <c r="BD111" s="288"/>
      <c r="BE111" s="288"/>
      <c r="BQ111" s="105"/>
      <c r="CA111" s="683"/>
      <c r="CB111" s="683"/>
      <c r="CC111" s="683"/>
      <c r="CD111" s="683"/>
      <c r="CE111" s="683"/>
      <c r="CF111" s="683"/>
      <c r="CG111" s="3313"/>
      <c r="CH111" s="3313"/>
      <c r="CI111" s="3313"/>
      <c r="CJ111" s="3313"/>
      <c r="CK111" s="3313"/>
      <c r="CL111" s="683"/>
      <c r="CM111" s="683"/>
      <c r="CN111" s="683"/>
      <c r="CO111" s="683"/>
      <c r="CP111" s="683"/>
      <c r="CQ111" s="683"/>
      <c r="CR111" s="683"/>
      <c r="CS111" s="683"/>
      <c r="CT111" s="683"/>
      <c r="CU111" s="683"/>
      <c r="CV111" s="683"/>
      <c r="CW111" s="683"/>
      <c r="CX111" s="683"/>
      <c r="CY111" s="683"/>
      <c r="CZ111" s="683"/>
    </row>
    <row r="112" spans="1:104" s="140" customFormat="1" ht="16.350000000000001" customHeight="1" x14ac:dyDescent="0.15">
      <c r="A112" s="2918" t="s">
        <v>278</v>
      </c>
      <c r="B112" s="3523">
        <f t="shared" si="27"/>
        <v>0</v>
      </c>
      <c r="C112" s="3028"/>
      <c r="D112" s="1871"/>
      <c r="E112" s="1871"/>
      <c r="F112" s="3523">
        <f t="shared" si="25"/>
        <v>0</v>
      </c>
      <c r="G112" s="3028"/>
      <c r="H112" s="1871"/>
      <c r="I112" s="1871"/>
      <c r="J112" s="3523">
        <f t="shared" si="28"/>
        <v>0</v>
      </c>
      <c r="K112" s="3028"/>
      <c r="L112" s="1871"/>
      <c r="M112" s="2584"/>
      <c r="N112" s="3522">
        <f t="shared" si="26"/>
        <v>0</v>
      </c>
      <c r="O112" s="3136"/>
      <c r="P112" s="3341"/>
      <c r="Q112" s="3322"/>
      <c r="R112" s="2074"/>
      <c r="S112" s="1880"/>
      <c r="T112" s="1882"/>
      <c r="U112" s="1891"/>
      <c r="V112" s="1882"/>
      <c r="W112" s="3341"/>
      <c r="X112" s="3322"/>
      <c r="Y112" s="2074"/>
      <c r="Z112" s="3059"/>
      <c r="AA112" s="3059"/>
      <c r="AB112" s="3059"/>
      <c r="AC112" s="3059"/>
      <c r="AD112" s="3059"/>
      <c r="AE112" s="3519"/>
      <c r="AF112" s="3520"/>
      <c r="AG112" s="3225"/>
      <c r="AH112" s="3060"/>
      <c r="AI112" s="2877"/>
      <c r="AJ112" s="288"/>
      <c r="AK112" s="288"/>
      <c r="AL112" s="288"/>
      <c r="AM112" s="288"/>
      <c r="AN112" s="288"/>
      <c r="AO112" s="288"/>
      <c r="AP112" s="288"/>
      <c r="AQ112" s="288"/>
      <c r="AR112" s="288"/>
      <c r="AS112" s="288"/>
      <c r="AT112" s="288"/>
      <c r="AU112" s="288"/>
      <c r="AV112" s="288"/>
      <c r="AW112" s="288"/>
      <c r="AX112" s="288"/>
      <c r="AY112" s="288"/>
      <c r="AZ112" s="288"/>
      <c r="BA112" s="288"/>
      <c r="BB112" s="288"/>
      <c r="BC112" s="288"/>
      <c r="BD112" s="288"/>
      <c r="BE112" s="288"/>
      <c r="BQ112" s="105"/>
      <c r="CA112" s="683"/>
      <c r="CB112" s="683"/>
      <c r="CC112" s="683"/>
      <c r="CD112" s="683"/>
      <c r="CE112" s="683"/>
      <c r="CF112" s="683"/>
      <c r="CG112" s="3313"/>
      <c r="CH112" s="3313"/>
      <c r="CI112" s="3313"/>
      <c r="CJ112" s="3313"/>
      <c r="CK112" s="3313"/>
      <c r="CL112" s="683"/>
      <c r="CM112" s="683"/>
      <c r="CN112" s="683"/>
      <c r="CO112" s="683"/>
      <c r="CP112" s="683"/>
      <c r="CQ112" s="683"/>
      <c r="CR112" s="683"/>
      <c r="CS112" s="683"/>
      <c r="CT112" s="683"/>
      <c r="CU112" s="683"/>
      <c r="CV112" s="683"/>
      <c r="CW112" s="683"/>
      <c r="CX112" s="683"/>
      <c r="CY112" s="683"/>
      <c r="CZ112" s="683"/>
    </row>
    <row r="113" spans="1:104" s="140" customFormat="1" ht="16.350000000000001" customHeight="1" x14ac:dyDescent="0.15">
      <c r="A113" s="2918" t="s">
        <v>461</v>
      </c>
      <c r="B113" s="3523">
        <f t="shared" si="27"/>
        <v>0</v>
      </c>
      <c r="C113" s="3028"/>
      <c r="D113" s="1871"/>
      <c r="E113" s="1871"/>
      <c r="F113" s="3523">
        <f t="shared" si="25"/>
        <v>0</v>
      </c>
      <c r="G113" s="3028"/>
      <c r="H113" s="1871"/>
      <c r="I113" s="1871"/>
      <c r="J113" s="3523">
        <f t="shared" si="28"/>
        <v>0</v>
      </c>
      <c r="K113" s="3028"/>
      <c r="L113" s="1871"/>
      <c r="M113" s="2584"/>
      <c r="N113" s="3522">
        <f t="shared" si="26"/>
        <v>0</v>
      </c>
      <c r="O113" s="3136"/>
      <c r="P113" s="3341"/>
      <c r="Q113" s="3322"/>
      <c r="R113" s="2074"/>
      <c r="S113" s="1880"/>
      <c r="T113" s="1882"/>
      <c r="U113" s="1891"/>
      <c r="V113" s="1882"/>
      <c r="W113" s="3341"/>
      <c r="X113" s="3322"/>
      <c r="Y113" s="2074"/>
      <c r="Z113" s="3059"/>
      <c r="AA113" s="3059"/>
      <c r="AB113" s="3059"/>
      <c r="AC113" s="3059"/>
      <c r="AD113" s="3059"/>
      <c r="AE113" s="3519"/>
      <c r="AF113" s="3520"/>
      <c r="AG113" s="3225"/>
      <c r="AH113" s="3060"/>
      <c r="AI113" s="2877"/>
      <c r="AJ113" s="288"/>
      <c r="AK113" s="288"/>
      <c r="AL113" s="288"/>
      <c r="AM113" s="288"/>
      <c r="AN113" s="288"/>
      <c r="AO113" s="288"/>
      <c r="AP113" s="288"/>
      <c r="AQ113" s="288"/>
      <c r="AR113" s="288"/>
      <c r="AS113" s="288"/>
      <c r="AT113" s="288"/>
      <c r="AU113" s="288"/>
      <c r="AV113" s="288"/>
      <c r="AW113" s="288"/>
      <c r="AX113" s="288"/>
      <c r="AY113" s="288"/>
      <c r="AZ113" s="288"/>
      <c r="BA113" s="288"/>
      <c r="BB113" s="288"/>
      <c r="BC113" s="288"/>
      <c r="BD113" s="288"/>
      <c r="BE113" s="288"/>
      <c r="BQ113" s="105"/>
      <c r="CA113" s="683"/>
      <c r="CB113" s="683"/>
      <c r="CC113" s="683"/>
      <c r="CD113" s="683"/>
      <c r="CE113" s="683"/>
      <c r="CF113" s="683"/>
      <c r="CG113" s="3313"/>
      <c r="CH113" s="3313"/>
      <c r="CI113" s="3313"/>
      <c r="CJ113" s="3313"/>
      <c r="CK113" s="3313"/>
      <c r="CL113" s="683"/>
      <c r="CM113" s="683"/>
      <c r="CN113" s="683"/>
      <c r="CO113" s="683"/>
      <c r="CP113" s="683"/>
      <c r="CQ113" s="683"/>
      <c r="CR113" s="683"/>
      <c r="CS113" s="683"/>
      <c r="CT113" s="683"/>
      <c r="CU113" s="683"/>
      <c r="CV113" s="683"/>
      <c r="CW113" s="683"/>
      <c r="CX113" s="683"/>
      <c r="CY113" s="683"/>
      <c r="CZ113" s="683"/>
    </row>
    <row r="114" spans="1:104" s="140" customFormat="1" ht="16.350000000000001" customHeight="1" x14ac:dyDescent="0.15">
      <c r="A114" s="2918" t="s">
        <v>3576</v>
      </c>
      <c r="B114" s="3524">
        <f t="shared" si="27"/>
        <v>0</v>
      </c>
      <c r="C114" s="824"/>
      <c r="D114" s="747"/>
      <c r="E114" s="747"/>
      <c r="F114" s="3524">
        <f t="shared" si="25"/>
        <v>0</v>
      </c>
      <c r="G114" s="824"/>
      <c r="H114" s="747"/>
      <c r="I114" s="747"/>
      <c r="J114" s="3524">
        <f t="shared" si="28"/>
        <v>0</v>
      </c>
      <c r="K114" s="824"/>
      <c r="L114" s="747"/>
      <c r="M114" s="2499"/>
      <c r="N114" s="3522">
        <f t="shared" si="26"/>
        <v>0</v>
      </c>
      <c r="O114" s="1828"/>
      <c r="P114" s="209"/>
      <c r="Q114" s="3322"/>
      <c r="R114" s="2074"/>
      <c r="S114" s="1880"/>
      <c r="T114" s="1882"/>
      <c r="U114" s="1891"/>
      <c r="V114" s="1882"/>
      <c r="W114" s="3341"/>
      <c r="X114" s="3322"/>
      <c r="Y114" s="2074"/>
      <c r="Z114" s="3059"/>
      <c r="AA114" s="3059"/>
      <c r="AB114" s="3059"/>
      <c r="AC114" s="3059"/>
      <c r="AD114" s="3059"/>
      <c r="AE114" s="3519"/>
      <c r="AF114" s="3520"/>
      <c r="AG114" s="3225"/>
      <c r="AH114" s="3060"/>
      <c r="AI114" s="2877"/>
      <c r="AJ114" s="288"/>
      <c r="AK114" s="288"/>
      <c r="AL114" s="288"/>
      <c r="AM114" s="288"/>
      <c r="AN114" s="288"/>
      <c r="AO114" s="288"/>
      <c r="AP114" s="288"/>
      <c r="AQ114" s="288"/>
      <c r="AR114" s="288"/>
      <c r="AS114" s="288"/>
      <c r="AT114" s="288"/>
      <c r="AU114" s="288"/>
      <c r="AV114" s="288"/>
      <c r="AW114" s="288"/>
      <c r="AX114" s="288"/>
      <c r="AY114" s="288"/>
      <c r="AZ114" s="288"/>
      <c r="BA114" s="288"/>
      <c r="BB114" s="288"/>
      <c r="BC114" s="288"/>
      <c r="BD114" s="288"/>
      <c r="BE114" s="288"/>
      <c r="BQ114" s="105"/>
      <c r="CA114" s="683"/>
      <c r="CB114" s="683"/>
      <c r="CC114" s="683"/>
      <c r="CD114" s="683"/>
      <c r="CE114" s="683"/>
      <c r="CF114" s="683"/>
      <c r="CG114" s="3313"/>
      <c r="CH114" s="3313"/>
      <c r="CI114" s="3313"/>
      <c r="CJ114" s="3313"/>
      <c r="CK114" s="3313"/>
      <c r="CL114" s="683"/>
      <c r="CM114" s="683"/>
      <c r="CN114" s="683"/>
      <c r="CO114" s="683"/>
      <c r="CP114" s="683"/>
      <c r="CQ114" s="683"/>
      <c r="CR114" s="683"/>
      <c r="CS114" s="683"/>
      <c r="CT114" s="683"/>
      <c r="CU114" s="683"/>
      <c r="CV114" s="683"/>
      <c r="CW114" s="683"/>
      <c r="CX114" s="683"/>
      <c r="CY114" s="683"/>
      <c r="CZ114" s="683"/>
    </row>
    <row r="115" spans="1:104" s="140" customFormat="1" ht="16.350000000000001" customHeight="1" x14ac:dyDescent="0.15">
      <c r="A115" s="2918" t="s">
        <v>35</v>
      </c>
      <c r="B115" s="3523">
        <f t="shared" si="27"/>
        <v>0</v>
      </c>
      <c r="C115" s="3028"/>
      <c r="D115" s="1871"/>
      <c r="E115" s="1871"/>
      <c r="F115" s="3523">
        <f t="shared" si="25"/>
        <v>0</v>
      </c>
      <c r="G115" s="3028"/>
      <c r="H115" s="1871"/>
      <c r="I115" s="1871"/>
      <c r="J115" s="3523">
        <f t="shared" si="28"/>
        <v>0</v>
      </c>
      <c r="K115" s="3028"/>
      <c r="L115" s="1871"/>
      <c r="M115" s="2584"/>
      <c r="N115" s="3522">
        <f t="shared" si="26"/>
        <v>0</v>
      </c>
      <c r="O115" s="3136"/>
      <c r="P115" s="3341"/>
      <c r="Q115" s="3322"/>
      <c r="R115" s="2074"/>
      <c r="S115" s="1880"/>
      <c r="T115" s="1882"/>
      <c r="U115" s="1891"/>
      <c r="V115" s="1882"/>
      <c r="W115" s="3341"/>
      <c r="X115" s="3322"/>
      <c r="Y115" s="2074"/>
      <c r="Z115" s="3059"/>
      <c r="AA115" s="3059"/>
      <c r="AB115" s="3059"/>
      <c r="AC115" s="3059"/>
      <c r="AD115" s="3059"/>
      <c r="AE115" s="3519"/>
      <c r="AF115" s="3520"/>
      <c r="AG115" s="3225"/>
      <c r="AH115" s="3060"/>
      <c r="AI115" s="2877"/>
      <c r="AJ115" s="288"/>
      <c r="AK115" s="288"/>
      <c r="AL115" s="288"/>
      <c r="AM115" s="288"/>
      <c r="AN115" s="288"/>
      <c r="AO115" s="288"/>
      <c r="AP115" s="288"/>
      <c r="AQ115" s="288"/>
      <c r="AR115" s="288"/>
      <c r="AS115" s="288"/>
      <c r="AT115" s="288"/>
      <c r="AU115" s="288"/>
      <c r="AV115" s="288"/>
      <c r="AW115" s="288"/>
      <c r="AX115" s="288"/>
      <c r="AY115" s="288"/>
      <c r="AZ115" s="288"/>
      <c r="BA115" s="288"/>
      <c r="BB115" s="288"/>
      <c r="BC115" s="288"/>
      <c r="BD115" s="288"/>
      <c r="BE115" s="288"/>
      <c r="BQ115" s="105"/>
      <c r="CA115" s="683"/>
      <c r="CB115" s="683"/>
      <c r="CC115" s="683"/>
      <c r="CD115" s="683"/>
      <c r="CE115" s="683"/>
      <c r="CF115" s="683"/>
      <c r="CG115" s="3313"/>
      <c r="CH115" s="3313"/>
      <c r="CI115" s="3313"/>
      <c r="CJ115" s="3313"/>
      <c r="CK115" s="3313"/>
      <c r="CL115" s="683"/>
      <c r="CM115" s="683"/>
      <c r="CN115" s="683"/>
      <c r="CO115" s="683"/>
      <c r="CP115" s="683"/>
      <c r="CQ115" s="683"/>
      <c r="CR115" s="683"/>
      <c r="CS115" s="683"/>
      <c r="CT115" s="683"/>
      <c r="CU115" s="683"/>
      <c r="CV115" s="683"/>
      <c r="CW115" s="683"/>
      <c r="CX115" s="683"/>
      <c r="CY115" s="683"/>
      <c r="CZ115" s="683"/>
    </row>
    <row r="116" spans="1:104" s="140" customFormat="1" ht="16.350000000000001" customHeight="1" x14ac:dyDescent="0.15">
      <c r="A116" s="2918" t="s">
        <v>279</v>
      </c>
      <c r="B116" s="3521">
        <f t="shared" si="27"/>
        <v>0</v>
      </c>
      <c r="C116" s="3278"/>
      <c r="D116" s="3330"/>
      <c r="E116" s="3330"/>
      <c r="F116" s="3521">
        <f t="shared" si="25"/>
        <v>0</v>
      </c>
      <c r="G116" s="3278"/>
      <c r="H116" s="3330"/>
      <c r="I116" s="3330"/>
      <c r="J116" s="3521">
        <f t="shared" si="28"/>
        <v>0</v>
      </c>
      <c r="K116" s="3278"/>
      <c r="L116" s="3330"/>
      <c r="M116" s="3319"/>
      <c r="N116" s="3522">
        <f t="shared" si="26"/>
        <v>0</v>
      </c>
      <c r="O116" s="2852"/>
      <c r="P116" s="550"/>
      <c r="Q116" s="3322"/>
      <c r="R116" s="2074"/>
      <c r="S116" s="1880"/>
      <c r="T116" s="1882"/>
      <c r="U116" s="1891"/>
      <c r="V116" s="1882"/>
      <c r="W116" s="3341"/>
      <c r="X116" s="3322"/>
      <c r="Y116" s="2074"/>
      <c r="Z116" s="3067"/>
      <c r="AA116" s="2074"/>
      <c r="AB116" s="3059"/>
      <c r="AC116" s="3059"/>
      <c r="AD116" s="3059"/>
      <c r="AE116" s="3519"/>
      <c r="AF116" s="3520"/>
      <c r="AG116" s="3225"/>
      <c r="AH116" s="3060"/>
      <c r="AI116" s="2877"/>
      <c r="AJ116" s="288"/>
      <c r="AK116" s="288"/>
      <c r="AL116" s="288"/>
      <c r="AM116" s="288"/>
      <c r="AN116" s="288"/>
      <c r="AO116" s="288"/>
      <c r="AP116" s="288"/>
      <c r="AQ116" s="288"/>
      <c r="AR116" s="288"/>
      <c r="AS116" s="288"/>
      <c r="AT116" s="288"/>
      <c r="AU116" s="288"/>
      <c r="AV116" s="288"/>
      <c r="AW116" s="288"/>
      <c r="AX116" s="288"/>
      <c r="AY116" s="288"/>
      <c r="AZ116" s="288"/>
      <c r="BA116" s="288"/>
      <c r="BB116" s="288"/>
      <c r="BC116" s="288"/>
      <c r="BD116" s="288"/>
      <c r="BE116" s="288"/>
      <c r="BQ116" s="105"/>
      <c r="CA116" s="683"/>
      <c r="CB116" s="683"/>
      <c r="CC116" s="683"/>
      <c r="CD116" s="683"/>
      <c r="CE116" s="683"/>
      <c r="CF116" s="683"/>
      <c r="CG116" s="3313"/>
      <c r="CH116" s="3313"/>
      <c r="CI116" s="3313"/>
      <c r="CJ116" s="3313"/>
      <c r="CK116" s="3313"/>
      <c r="CL116" s="683"/>
      <c r="CM116" s="683"/>
      <c r="CN116" s="683"/>
      <c r="CO116" s="683"/>
      <c r="CP116" s="683"/>
      <c r="CQ116" s="683"/>
      <c r="CR116" s="683"/>
      <c r="CS116" s="683"/>
      <c r="CT116" s="683"/>
      <c r="CU116" s="683"/>
      <c r="CV116" s="683"/>
      <c r="CW116" s="683"/>
      <c r="CX116" s="683"/>
      <c r="CY116" s="683"/>
      <c r="CZ116" s="683"/>
    </row>
    <row r="117" spans="1:104" s="140" customFormat="1" ht="16.350000000000001" customHeight="1" x14ac:dyDescent="0.15">
      <c r="A117" s="2918" t="s">
        <v>36</v>
      </c>
      <c r="B117" s="3521">
        <f t="shared" si="27"/>
        <v>0</v>
      </c>
      <c r="C117" s="3278"/>
      <c r="D117" s="3330"/>
      <c r="E117" s="3330"/>
      <c r="F117" s="3521">
        <f t="shared" si="25"/>
        <v>0</v>
      </c>
      <c r="G117" s="3278"/>
      <c r="H117" s="3330"/>
      <c r="I117" s="3330"/>
      <c r="J117" s="3521">
        <f t="shared" si="28"/>
        <v>0</v>
      </c>
      <c r="K117" s="3278"/>
      <c r="L117" s="3330"/>
      <c r="M117" s="3319"/>
      <c r="N117" s="3522">
        <f t="shared" si="26"/>
        <v>0</v>
      </c>
      <c r="O117" s="2852"/>
      <c r="P117" s="550"/>
      <c r="Q117" s="3322"/>
      <c r="R117" s="2074"/>
      <c r="S117" s="1880"/>
      <c r="T117" s="1882"/>
      <c r="U117" s="1891"/>
      <c r="V117" s="1882"/>
      <c r="W117" s="3341"/>
      <c r="X117" s="3322"/>
      <c r="Y117" s="2074"/>
      <c r="Z117" s="3067"/>
      <c r="AA117" s="2074"/>
      <c r="AB117" s="3059"/>
      <c r="AC117" s="3059"/>
      <c r="AD117" s="3059"/>
      <c r="AE117" s="3519"/>
      <c r="AF117" s="3520"/>
      <c r="AG117" s="3225"/>
      <c r="AH117" s="3060"/>
      <c r="AI117" s="2877"/>
      <c r="AJ117" s="288"/>
      <c r="AK117" s="288"/>
      <c r="AL117" s="288"/>
      <c r="AM117" s="288"/>
      <c r="AN117" s="288"/>
      <c r="AO117" s="288"/>
      <c r="AP117" s="288"/>
      <c r="AQ117" s="288"/>
      <c r="AR117" s="288"/>
      <c r="AS117" s="288"/>
      <c r="AT117" s="288"/>
      <c r="AU117" s="288"/>
      <c r="AV117" s="288"/>
      <c r="AW117" s="288"/>
      <c r="AX117" s="288"/>
      <c r="AY117" s="288"/>
      <c r="AZ117" s="288"/>
      <c r="BA117" s="288"/>
      <c r="BB117" s="288"/>
      <c r="BC117" s="288"/>
      <c r="BD117" s="288"/>
      <c r="BE117" s="288"/>
      <c r="BQ117" s="105"/>
      <c r="CA117" s="683"/>
      <c r="CB117" s="683"/>
      <c r="CC117" s="683"/>
      <c r="CD117" s="683"/>
      <c r="CE117" s="683"/>
      <c r="CF117" s="683"/>
      <c r="CG117" s="3313"/>
      <c r="CH117" s="3313"/>
      <c r="CI117" s="3313"/>
      <c r="CJ117" s="3313"/>
      <c r="CK117" s="3313"/>
      <c r="CL117" s="683"/>
      <c r="CM117" s="683"/>
      <c r="CN117" s="683"/>
      <c r="CO117" s="683"/>
      <c r="CP117" s="683"/>
      <c r="CQ117" s="683"/>
      <c r="CR117" s="683"/>
      <c r="CS117" s="683"/>
      <c r="CT117" s="683"/>
      <c r="CU117" s="683"/>
      <c r="CV117" s="683"/>
      <c r="CW117" s="683"/>
      <c r="CX117" s="683"/>
      <c r="CY117" s="683"/>
      <c r="CZ117" s="683"/>
    </row>
    <row r="118" spans="1:104" s="140" customFormat="1" ht="16.350000000000001" customHeight="1" x14ac:dyDescent="0.15">
      <c r="A118" s="2918" t="s">
        <v>34</v>
      </c>
      <c r="B118" s="3521">
        <f t="shared" si="27"/>
        <v>0</v>
      </c>
      <c r="C118" s="3278"/>
      <c r="D118" s="3330"/>
      <c r="E118" s="3330"/>
      <c r="F118" s="3521">
        <f t="shared" si="25"/>
        <v>0</v>
      </c>
      <c r="G118" s="3278"/>
      <c r="H118" s="3330"/>
      <c r="I118" s="3330"/>
      <c r="J118" s="3521">
        <f t="shared" si="28"/>
        <v>0</v>
      </c>
      <c r="K118" s="3278"/>
      <c r="L118" s="3330"/>
      <c r="M118" s="3319"/>
      <c r="N118" s="3522">
        <f t="shared" si="26"/>
        <v>0</v>
      </c>
      <c r="O118" s="2852"/>
      <c r="P118" s="550"/>
      <c r="Q118" s="3322"/>
      <c r="R118" s="2074"/>
      <c r="S118" s="1880"/>
      <c r="T118" s="1882"/>
      <c r="U118" s="1891"/>
      <c r="V118" s="1882"/>
      <c r="W118" s="3341"/>
      <c r="X118" s="3322"/>
      <c r="Y118" s="2074"/>
      <c r="Z118" s="3067"/>
      <c r="AA118" s="2074"/>
      <c r="AB118" s="3059"/>
      <c r="AC118" s="3059"/>
      <c r="AD118" s="3059"/>
      <c r="AE118" s="3519"/>
      <c r="AF118" s="3520"/>
      <c r="AG118" s="3225"/>
      <c r="AH118" s="3060"/>
      <c r="AI118" s="2877"/>
      <c r="AJ118" s="288"/>
      <c r="AK118" s="288"/>
      <c r="AL118" s="288"/>
      <c r="AM118" s="288"/>
      <c r="AN118" s="288"/>
      <c r="AO118" s="288"/>
      <c r="AP118" s="288"/>
      <c r="AQ118" s="288"/>
      <c r="AR118" s="288"/>
      <c r="AS118" s="288"/>
      <c r="AT118" s="288"/>
      <c r="AU118" s="288"/>
      <c r="AV118" s="288"/>
      <c r="AW118" s="288"/>
      <c r="AX118" s="288"/>
      <c r="AY118" s="288"/>
      <c r="AZ118" s="288"/>
      <c r="BA118" s="288"/>
      <c r="BB118" s="288"/>
      <c r="BC118" s="288"/>
      <c r="BD118" s="288"/>
      <c r="BE118" s="288"/>
      <c r="BQ118" s="105"/>
      <c r="CA118" s="683"/>
      <c r="CB118" s="683"/>
      <c r="CC118" s="683"/>
      <c r="CD118" s="683"/>
      <c r="CE118" s="683"/>
      <c r="CF118" s="683"/>
      <c r="CG118" s="3313"/>
      <c r="CH118" s="3313"/>
      <c r="CI118" s="3313"/>
      <c r="CJ118" s="3313"/>
      <c r="CK118" s="3313"/>
      <c r="CL118" s="683"/>
      <c r="CM118" s="683"/>
      <c r="CN118" s="683"/>
      <c r="CO118" s="683"/>
      <c r="CP118" s="683"/>
      <c r="CQ118" s="683"/>
      <c r="CR118" s="683"/>
      <c r="CS118" s="683"/>
      <c r="CT118" s="683"/>
      <c r="CU118" s="683"/>
      <c r="CV118" s="683"/>
      <c r="CW118" s="683"/>
      <c r="CX118" s="683"/>
      <c r="CY118" s="683"/>
      <c r="CZ118" s="683"/>
    </row>
    <row r="119" spans="1:104" s="140" customFormat="1" ht="16.350000000000001" customHeight="1" x14ac:dyDescent="0.15">
      <c r="A119" s="3241" t="s">
        <v>280</v>
      </c>
      <c r="B119" s="3521">
        <f t="shared" si="27"/>
        <v>0</v>
      </c>
      <c r="C119" s="3278"/>
      <c r="D119" s="3330"/>
      <c r="E119" s="3330"/>
      <c r="F119" s="3521">
        <f t="shared" si="25"/>
        <v>0</v>
      </c>
      <c r="G119" s="3278"/>
      <c r="H119" s="3330"/>
      <c r="I119" s="3330"/>
      <c r="J119" s="3521">
        <f t="shared" si="28"/>
        <v>0</v>
      </c>
      <c r="K119" s="3278"/>
      <c r="L119" s="3330"/>
      <c r="M119" s="3319"/>
      <c r="N119" s="3522">
        <f t="shared" si="26"/>
        <v>0</v>
      </c>
      <c r="O119" s="2852"/>
      <c r="P119" s="550"/>
      <c r="Q119" s="3322"/>
      <c r="R119" s="2074"/>
      <c r="S119" s="1880"/>
      <c r="T119" s="1882"/>
      <c r="U119" s="1891"/>
      <c r="V119" s="1882"/>
      <c r="W119" s="3341"/>
      <c r="X119" s="3322"/>
      <c r="Y119" s="2074"/>
      <c r="Z119" s="3067"/>
      <c r="AA119" s="2074"/>
      <c r="AB119" s="3059"/>
      <c r="AC119" s="3059"/>
      <c r="AD119" s="3059"/>
      <c r="AE119" s="3519"/>
      <c r="AF119" s="3520"/>
      <c r="AG119" s="3225"/>
      <c r="AH119" s="3060"/>
      <c r="AI119" s="2877"/>
      <c r="AJ119" s="288"/>
      <c r="AK119" s="288"/>
      <c r="AL119" s="288"/>
      <c r="AM119" s="288"/>
      <c r="AN119" s="288"/>
      <c r="AO119" s="288"/>
      <c r="AP119" s="288"/>
      <c r="AQ119" s="288"/>
      <c r="AR119" s="288"/>
      <c r="AS119" s="288"/>
      <c r="AT119" s="288"/>
      <c r="AU119" s="288"/>
      <c r="AV119" s="288"/>
      <c r="AW119" s="288"/>
      <c r="AX119" s="288"/>
      <c r="AY119" s="288"/>
      <c r="AZ119" s="288"/>
      <c r="BA119" s="288"/>
      <c r="BB119" s="288"/>
      <c r="BC119" s="288"/>
      <c r="BD119" s="288"/>
      <c r="BE119" s="288"/>
      <c r="BQ119" s="105"/>
      <c r="CA119" s="683"/>
      <c r="CB119" s="683"/>
      <c r="CC119" s="683"/>
      <c r="CD119" s="683"/>
      <c r="CE119" s="683"/>
      <c r="CF119" s="683"/>
      <c r="CG119" s="3313"/>
      <c r="CH119" s="3313"/>
      <c r="CI119" s="3313"/>
      <c r="CJ119" s="3313"/>
      <c r="CK119" s="3313"/>
      <c r="CL119" s="683"/>
      <c r="CM119" s="683"/>
      <c r="CN119" s="683"/>
      <c r="CO119" s="683"/>
      <c r="CP119" s="683"/>
      <c r="CQ119" s="683"/>
      <c r="CR119" s="683"/>
      <c r="CS119" s="683"/>
      <c r="CT119" s="683"/>
      <c r="CU119" s="683"/>
      <c r="CV119" s="683"/>
      <c r="CW119" s="683"/>
      <c r="CX119" s="683"/>
      <c r="CY119" s="683"/>
      <c r="CZ119" s="683"/>
    </row>
    <row r="120" spans="1:104" s="140" customFormat="1" ht="16.350000000000001" customHeight="1" x14ac:dyDescent="0.15">
      <c r="A120" s="3492" t="s">
        <v>281</v>
      </c>
      <c r="B120" s="3521">
        <f t="shared" si="27"/>
        <v>0</v>
      </c>
      <c r="C120" s="3278"/>
      <c r="D120" s="3330"/>
      <c r="E120" s="3330"/>
      <c r="F120" s="3521">
        <f t="shared" si="25"/>
        <v>0</v>
      </c>
      <c r="G120" s="3278"/>
      <c r="H120" s="3330"/>
      <c r="I120" s="3330"/>
      <c r="J120" s="3521">
        <f t="shared" si="28"/>
        <v>0</v>
      </c>
      <c r="K120" s="3278"/>
      <c r="L120" s="3330"/>
      <c r="M120" s="3319"/>
      <c r="N120" s="3522">
        <f t="shared" si="26"/>
        <v>0</v>
      </c>
      <c r="O120" s="2852"/>
      <c r="P120" s="550"/>
      <c r="Q120" s="3322"/>
      <c r="R120" s="2074"/>
      <c r="S120" s="1880"/>
      <c r="T120" s="1882"/>
      <c r="U120" s="1891"/>
      <c r="V120" s="1882"/>
      <c r="W120" s="3341"/>
      <c r="X120" s="3322"/>
      <c r="Y120" s="2074"/>
      <c r="Z120" s="3067"/>
      <c r="AA120" s="2074"/>
      <c r="AB120" s="3059"/>
      <c r="AC120" s="3059"/>
      <c r="AD120" s="3059"/>
      <c r="AE120" s="3519"/>
      <c r="AF120" s="3520"/>
      <c r="AG120" s="3225"/>
      <c r="AH120" s="3060"/>
      <c r="AI120" s="2877"/>
      <c r="AJ120" s="288"/>
      <c r="AK120" s="288"/>
      <c r="AL120" s="288"/>
      <c r="AM120" s="288"/>
      <c r="AN120" s="288"/>
      <c r="AO120" s="288"/>
      <c r="AP120" s="288"/>
      <c r="AQ120" s="288"/>
      <c r="AR120" s="288"/>
      <c r="AS120" s="288"/>
      <c r="AT120" s="288"/>
      <c r="AU120" s="288"/>
      <c r="AV120" s="288"/>
      <c r="AW120" s="288"/>
      <c r="AX120" s="288"/>
      <c r="AY120" s="288"/>
      <c r="AZ120" s="288"/>
      <c r="BA120" s="288"/>
      <c r="BB120" s="288"/>
      <c r="BC120" s="288"/>
      <c r="BD120" s="288"/>
      <c r="BE120" s="288"/>
      <c r="BQ120" s="105"/>
      <c r="CA120" s="683"/>
      <c r="CB120" s="683"/>
      <c r="CC120" s="683"/>
      <c r="CD120" s="683"/>
      <c r="CE120" s="683"/>
      <c r="CF120" s="683"/>
      <c r="CG120" s="3313"/>
      <c r="CH120" s="3313"/>
      <c r="CI120" s="3313"/>
      <c r="CJ120" s="3313"/>
      <c r="CK120" s="3313"/>
      <c r="CL120" s="683"/>
      <c r="CM120" s="683"/>
      <c r="CN120" s="683"/>
      <c r="CO120" s="683"/>
      <c r="CP120" s="683"/>
      <c r="CQ120" s="683"/>
      <c r="CR120" s="683"/>
      <c r="CS120" s="683"/>
      <c r="CT120" s="683"/>
      <c r="CU120" s="683"/>
      <c r="CV120" s="683"/>
      <c r="CW120" s="683"/>
      <c r="CX120" s="683"/>
      <c r="CY120" s="683"/>
      <c r="CZ120" s="683"/>
    </row>
    <row r="121" spans="1:104" s="140" customFormat="1" ht="16.350000000000001" customHeight="1" x14ac:dyDescent="0.15">
      <c r="A121" s="3492" t="s">
        <v>282</v>
      </c>
      <c r="B121" s="3521">
        <f t="shared" si="27"/>
        <v>0</v>
      </c>
      <c r="C121" s="3278"/>
      <c r="D121" s="3330"/>
      <c r="E121" s="3330"/>
      <c r="F121" s="3521">
        <f t="shared" si="25"/>
        <v>0</v>
      </c>
      <c r="G121" s="3278"/>
      <c r="H121" s="3330"/>
      <c r="I121" s="3330"/>
      <c r="J121" s="3521">
        <f t="shared" si="28"/>
        <v>0</v>
      </c>
      <c r="K121" s="3278"/>
      <c r="L121" s="3330"/>
      <c r="M121" s="3319"/>
      <c r="N121" s="3522">
        <f t="shared" si="26"/>
        <v>0</v>
      </c>
      <c r="O121" s="2852"/>
      <c r="P121" s="550"/>
      <c r="Q121" s="3322"/>
      <c r="R121" s="2074"/>
      <c r="S121" s="1880"/>
      <c r="T121" s="1882"/>
      <c r="U121" s="1891"/>
      <c r="V121" s="1882"/>
      <c r="W121" s="3341"/>
      <c r="X121" s="3322"/>
      <c r="Y121" s="2074"/>
      <c r="Z121" s="3067"/>
      <c r="AA121" s="2074"/>
      <c r="AB121" s="3059"/>
      <c r="AC121" s="3059"/>
      <c r="AD121" s="3059"/>
      <c r="AE121" s="3519"/>
      <c r="AF121" s="3520"/>
      <c r="AG121" s="3225"/>
      <c r="AH121" s="3060"/>
      <c r="AI121" s="2877"/>
      <c r="AJ121" s="288"/>
      <c r="AK121" s="288"/>
      <c r="AL121" s="288"/>
      <c r="AM121" s="288"/>
      <c r="AN121" s="288"/>
      <c r="AO121" s="288"/>
      <c r="AP121" s="288"/>
      <c r="AQ121" s="288"/>
      <c r="AR121" s="288"/>
      <c r="AS121" s="288"/>
      <c r="AT121" s="288"/>
      <c r="AU121" s="288"/>
      <c r="AV121" s="288"/>
      <c r="AW121" s="288"/>
      <c r="AX121" s="288"/>
      <c r="AY121" s="288"/>
      <c r="AZ121" s="288"/>
      <c r="BA121" s="288"/>
      <c r="BB121" s="288"/>
      <c r="BC121" s="288"/>
      <c r="BD121" s="288"/>
      <c r="BE121" s="288"/>
      <c r="BQ121" s="105"/>
      <c r="CA121" s="683"/>
      <c r="CB121" s="683"/>
      <c r="CC121" s="683"/>
      <c r="CD121" s="683"/>
      <c r="CE121" s="683"/>
      <c r="CF121" s="683"/>
      <c r="CG121" s="3313"/>
      <c r="CH121" s="3313"/>
      <c r="CI121" s="3313"/>
      <c r="CJ121" s="3313"/>
      <c r="CK121" s="3313"/>
      <c r="CL121" s="683"/>
      <c r="CM121" s="683"/>
      <c r="CN121" s="683"/>
      <c r="CO121" s="683"/>
      <c r="CP121" s="683"/>
      <c r="CQ121" s="683"/>
      <c r="CR121" s="683"/>
      <c r="CS121" s="683"/>
      <c r="CT121" s="683"/>
      <c r="CU121" s="683"/>
      <c r="CV121" s="683"/>
      <c r="CW121" s="683"/>
      <c r="CX121" s="683"/>
      <c r="CY121" s="683"/>
      <c r="CZ121" s="683"/>
    </row>
    <row r="122" spans="1:104" s="140" customFormat="1" ht="16.350000000000001" customHeight="1" x14ac:dyDescent="0.15">
      <c r="A122" s="3492" t="s">
        <v>462</v>
      </c>
      <c r="B122" s="3521">
        <f t="shared" si="27"/>
        <v>0</v>
      </c>
      <c r="C122" s="3278"/>
      <c r="D122" s="3330"/>
      <c r="E122" s="3330"/>
      <c r="F122" s="3521">
        <f t="shared" si="25"/>
        <v>0</v>
      </c>
      <c r="G122" s="3278"/>
      <c r="H122" s="3330"/>
      <c r="I122" s="3330"/>
      <c r="J122" s="3521">
        <f t="shared" si="28"/>
        <v>0</v>
      </c>
      <c r="K122" s="3278"/>
      <c r="L122" s="3330"/>
      <c r="M122" s="3319"/>
      <c r="N122" s="3522">
        <f t="shared" si="26"/>
        <v>0</v>
      </c>
      <c r="O122" s="2852"/>
      <c r="P122" s="550"/>
      <c r="Q122" s="3322"/>
      <c r="R122" s="2074"/>
      <c r="S122" s="1880"/>
      <c r="T122" s="1882"/>
      <c r="U122" s="1891"/>
      <c r="V122" s="1882"/>
      <c r="W122" s="3341"/>
      <c r="X122" s="3322"/>
      <c r="Y122" s="2074"/>
      <c r="Z122" s="3067"/>
      <c r="AA122" s="2074"/>
      <c r="AB122" s="3059"/>
      <c r="AC122" s="3059"/>
      <c r="AD122" s="3059"/>
      <c r="AE122" s="3519"/>
      <c r="AF122" s="3520"/>
      <c r="AG122" s="3225"/>
      <c r="AH122" s="3060"/>
      <c r="AI122" s="2877"/>
      <c r="AJ122" s="288"/>
      <c r="AK122" s="288"/>
      <c r="AL122" s="288"/>
      <c r="AM122" s="288"/>
      <c r="AN122" s="288"/>
      <c r="AO122" s="288"/>
      <c r="AP122" s="288"/>
      <c r="AQ122" s="288"/>
      <c r="AR122" s="288"/>
      <c r="AS122" s="288"/>
      <c r="AT122" s="288"/>
      <c r="AU122" s="288"/>
      <c r="AV122" s="288"/>
      <c r="AW122" s="288"/>
      <c r="AX122" s="288"/>
      <c r="AY122" s="288"/>
      <c r="AZ122" s="288"/>
      <c r="BA122" s="288"/>
      <c r="BB122" s="288"/>
      <c r="BC122" s="288"/>
      <c r="BD122" s="288"/>
      <c r="BE122" s="288"/>
      <c r="BQ122" s="105"/>
      <c r="CA122" s="683"/>
      <c r="CB122" s="683"/>
      <c r="CC122" s="683"/>
      <c r="CD122" s="683"/>
      <c r="CE122" s="683"/>
      <c r="CF122" s="683"/>
      <c r="CG122" s="3313"/>
      <c r="CH122" s="3313"/>
      <c r="CI122" s="3313"/>
      <c r="CJ122" s="3313"/>
      <c r="CK122" s="3313"/>
      <c r="CL122" s="683"/>
      <c r="CM122" s="683"/>
      <c r="CN122" s="683"/>
      <c r="CO122" s="683"/>
      <c r="CP122" s="683"/>
      <c r="CQ122" s="683"/>
      <c r="CR122" s="683"/>
      <c r="CS122" s="683"/>
      <c r="CT122" s="683"/>
      <c r="CU122" s="683"/>
      <c r="CV122" s="683"/>
      <c r="CW122" s="683"/>
      <c r="CX122" s="683"/>
      <c r="CY122" s="683"/>
      <c r="CZ122" s="683"/>
    </row>
    <row r="123" spans="1:104" s="140" customFormat="1" ht="16.350000000000001" customHeight="1" x14ac:dyDescent="0.15">
      <c r="A123" s="2918" t="s">
        <v>38</v>
      </c>
      <c r="B123" s="3521">
        <f t="shared" si="27"/>
        <v>0</v>
      </c>
      <c r="C123" s="3278"/>
      <c r="D123" s="3330"/>
      <c r="E123" s="3330"/>
      <c r="F123" s="3521">
        <f t="shared" si="25"/>
        <v>0</v>
      </c>
      <c r="G123" s="3278"/>
      <c r="H123" s="3330"/>
      <c r="I123" s="3330"/>
      <c r="J123" s="3521">
        <f t="shared" si="28"/>
        <v>0</v>
      </c>
      <c r="K123" s="3278"/>
      <c r="L123" s="3330"/>
      <c r="M123" s="3319"/>
      <c r="N123" s="3522">
        <f t="shared" si="26"/>
        <v>0</v>
      </c>
      <c r="O123" s="2852"/>
      <c r="P123" s="550"/>
      <c r="Q123" s="3322"/>
      <c r="R123" s="2074"/>
      <c r="S123" s="1880"/>
      <c r="T123" s="1882"/>
      <c r="U123" s="1891"/>
      <c r="V123" s="1882"/>
      <c r="W123" s="3341"/>
      <c r="X123" s="3322"/>
      <c r="Y123" s="2074"/>
      <c r="Z123" s="3067"/>
      <c r="AA123" s="2074"/>
      <c r="AB123" s="3059"/>
      <c r="AC123" s="3059"/>
      <c r="AD123" s="3059"/>
      <c r="AE123" s="3519"/>
      <c r="AF123" s="3520"/>
      <c r="AG123" s="3225"/>
      <c r="AH123" s="3060"/>
      <c r="AI123" s="2877"/>
      <c r="AJ123" s="288"/>
      <c r="AK123" s="288"/>
      <c r="AL123" s="288"/>
      <c r="AM123" s="288"/>
      <c r="AN123" s="288"/>
      <c r="AO123" s="288"/>
      <c r="AP123" s="288"/>
      <c r="AQ123" s="288"/>
      <c r="AR123" s="288"/>
      <c r="AS123" s="288"/>
      <c r="AT123" s="288"/>
      <c r="AU123" s="288"/>
      <c r="AV123" s="288"/>
      <c r="AW123" s="288"/>
      <c r="AX123" s="288"/>
      <c r="AY123" s="288"/>
      <c r="AZ123" s="288"/>
      <c r="BA123" s="288"/>
      <c r="BB123" s="288"/>
      <c r="BC123" s="288"/>
      <c r="BD123" s="288"/>
      <c r="BE123" s="288"/>
      <c r="BQ123" s="105"/>
      <c r="CA123" s="683"/>
      <c r="CB123" s="683"/>
      <c r="CC123" s="683"/>
      <c r="CD123" s="683"/>
      <c r="CE123" s="683"/>
      <c r="CF123" s="683"/>
      <c r="CG123" s="3313"/>
      <c r="CH123" s="3313"/>
      <c r="CI123" s="3313"/>
      <c r="CJ123" s="3313"/>
      <c r="CK123" s="3313"/>
      <c r="CL123" s="683"/>
      <c r="CM123" s="683"/>
      <c r="CN123" s="683"/>
      <c r="CO123" s="683"/>
      <c r="CP123" s="683"/>
      <c r="CQ123" s="683"/>
      <c r="CR123" s="683"/>
      <c r="CS123" s="683"/>
      <c r="CT123" s="683"/>
      <c r="CU123" s="683"/>
      <c r="CV123" s="683"/>
      <c r="CW123" s="683"/>
      <c r="CX123" s="683"/>
      <c r="CY123" s="683"/>
      <c r="CZ123" s="683"/>
    </row>
    <row r="124" spans="1:104" s="140" customFormat="1" ht="16.350000000000001" customHeight="1" x14ac:dyDescent="0.15">
      <c r="A124" s="2918" t="s">
        <v>37</v>
      </c>
      <c r="B124" s="3523">
        <f t="shared" si="27"/>
        <v>0</v>
      </c>
      <c r="C124" s="3028"/>
      <c r="D124" s="1871"/>
      <c r="E124" s="1871"/>
      <c r="F124" s="3523">
        <f t="shared" si="25"/>
        <v>0</v>
      </c>
      <c r="G124" s="3028"/>
      <c r="H124" s="1871"/>
      <c r="I124" s="1871"/>
      <c r="J124" s="3523">
        <f t="shared" si="28"/>
        <v>0</v>
      </c>
      <c r="K124" s="3028"/>
      <c r="L124" s="1871"/>
      <c r="M124" s="2584"/>
      <c r="N124" s="3522">
        <f t="shared" si="26"/>
        <v>0</v>
      </c>
      <c r="O124" s="3136"/>
      <c r="P124" s="3341"/>
      <c r="Q124" s="3322"/>
      <c r="R124" s="2074"/>
      <c r="S124" s="1880"/>
      <c r="T124" s="1882"/>
      <c r="U124" s="1891"/>
      <c r="V124" s="1882"/>
      <c r="W124" s="3341"/>
      <c r="X124" s="3322"/>
      <c r="Y124" s="2074"/>
      <c r="Z124" s="3067"/>
      <c r="AA124" s="2074"/>
      <c r="AB124" s="3059"/>
      <c r="AC124" s="3059"/>
      <c r="AD124" s="3059"/>
      <c r="AE124" s="3519"/>
      <c r="AF124" s="3520"/>
      <c r="AG124" s="3225"/>
      <c r="AH124" s="3060"/>
      <c r="AI124" s="2877"/>
      <c r="AJ124" s="288"/>
      <c r="AK124" s="288"/>
      <c r="AL124" s="288"/>
      <c r="AM124" s="288"/>
      <c r="AN124" s="288"/>
      <c r="AO124" s="288"/>
      <c r="AP124" s="288"/>
      <c r="AQ124" s="288"/>
      <c r="AR124" s="288"/>
      <c r="AS124" s="288"/>
      <c r="AT124" s="288"/>
      <c r="AU124" s="288"/>
      <c r="AV124" s="288"/>
      <c r="AW124" s="288"/>
      <c r="AX124" s="288"/>
      <c r="AY124" s="288"/>
      <c r="AZ124" s="288"/>
      <c r="BA124" s="288"/>
      <c r="BB124" s="288"/>
      <c r="BC124" s="288"/>
      <c r="BD124" s="288"/>
      <c r="BE124" s="288"/>
      <c r="BQ124" s="105"/>
      <c r="CA124" s="683"/>
      <c r="CB124" s="683"/>
      <c r="CC124" s="683"/>
      <c r="CD124" s="683"/>
      <c r="CE124" s="683"/>
      <c r="CF124" s="683"/>
      <c r="CG124" s="3313"/>
      <c r="CH124" s="3313"/>
      <c r="CI124" s="3313"/>
      <c r="CJ124" s="3313"/>
      <c r="CK124" s="3313"/>
      <c r="CL124" s="683"/>
      <c r="CM124" s="683"/>
      <c r="CN124" s="683"/>
      <c r="CO124" s="683"/>
      <c r="CP124" s="683"/>
      <c r="CQ124" s="683"/>
      <c r="CR124" s="683"/>
      <c r="CS124" s="683"/>
      <c r="CT124" s="683"/>
      <c r="CU124" s="683"/>
      <c r="CV124" s="683"/>
      <c r="CW124" s="683"/>
      <c r="CX124" s="683"/>
      <c r="CY124" s="683"/>
      <c r="CZ124" s="683"/>
    </row>
    <row r="125" spans="1:104" s="140" customFormat="1" ht="16.350000000000001" customHeight="1" x14ac:dyDescent="0.15">
      <c r="A125" s="2918" t="s">
        <v>283</v>
      </c>
      <c r="B125" s="3523">
        <f t="shared" si="27"/>
        <v>0</v>
      </c>
      <c r="C125" s="3028"/>
      <c r="D125" s="1871"/>
      <c r="E125" s="1871"/>
      <c r="F125" s="3523">
        <f t="shared" si="25"/>
        <v>0</v>
      </c>
      <c r="G125" s="3028"/>
      <c r="H125" s="1871"/>
      <c r="I125" s="1871"/>
      <c r="J125" s="3523">
        <f t="shared" si="28"/>
        <v>0</v>
      </c>
      <c r="K125" s="3028"/>
      <c r="L125" s="1871"/>
      <c r="M125" s="2584"/>
      <c r="N125" s="3522">
        <f t="shared" si="26"/>
        <v>0</v>
      </c>
      <c r="O125" s="3136"/>
      <c r="P125" s="3341"/>
      <c r="Q125" s="3322"/>
      <c r="R125" s="2074"/>
      <c r="S125" s="1880"/>
      <c r="T125" s="1882"/>
      <c r="U125" s="1891"/>
      <c r="V125" s="1882"/>
      <c r="W125" s="3341"/>
      <c r="X125" s="3322"/>
      <c r="Y125" s="2074"/>
      <c r="Z125" s="3067"/>
      <c r="AA125" s="2074"/>
      <c r="AB125" s="3059"/>
      <c r="AC125" s="3059"/>
      <c r="AD125" s="3059"/>
      <c r="AE125" s="3519"/>
      <c r="AF125" s="3520"/>
      <c r="AG125" s="3225"/>
      <c r="AH125" s="3060"/>
      <c r="AI125" s="2877"/>
      <c r="AJ125" s="288"/>
      <c r="AK125" s="288"/>
      <c r="AL125" s="288"/>
      <c r="AM125" s="288"/>
      <c r="AN125" s="288"/>
      <c r="AO125" s="288"/>
      <c r="AP125" s="288"/>
      <c r="AQ125" s="288"/>
      <c r="AR125" s="288"/>
      <c r="AS125" s="288"/>
      <c r="AT125" s="288"/>
      <c r="AU125" s="288"/>
      <c r="AV125" s="288"/>
      <c r="AW125" s="288"/>
      <c r="AX125" s="288"/>
      <c r="AY125" s="288"/>
      <c r="AZ125" s="288"/>
      <c r="BA125" s="288"/>
      <c r="BB125" s="288"/>
      <c r="BC125" s="288"/>
      <c r="BD125" s="288"/>
      <c r="BE125" s="288"/>
      <c r="BQ125" s="105"/>
      <c r="CA125" s="683"/>
      <c r="CB125" s="683"/>
      <c r="CC125" s="683"/>
      <c r="CD125" s="683"/>
      <c r="CE125" s="683"/>
      <c r="CF125" s="683"/>
      <c r="CG125" s="3313"/>
      <c r="CH125" s="3313"/>
      <c r="CI125" s="3313"/>
      <c r="CJ125" s="3313"/>
      <c r="CK125" s="3313"/>
      <c r="CL125" s="683"/>
      <c r="CM125" s="683"/>
      <c r="CN125" s="683"/>
      <c r="CO125" s="683"/>
      <c r="CP125" s="683"/>
      <c r="CQ125" s="683"/>
      <c r="CR125" s="683"/>
      <c r="CS125" s="683"/>
      <c r="CT125" s="683"/>
      <c r="CU125" s="683"/>
      <c r="CV125" s="683"/>
      <c r="CW125" s="683"/>
      <c r="CX125" s="683"/>
      <c r="CY125" s="683"/>
      <c r="CZ125" s="683"/>
    </row>
    <row r="126" spans="1:104" s="140" customFormat="1" ht="16.350000000000001" customHeight="1" x14ac:dyDescent="0.15">
      <c r="A126" s="2918" t="s">
        <v>463</v>
      </c>
      <c r="B126" s="3524">
        <f t="shared" si="27"/>
        <v>0</v>
      </c>
      <c r="C126" s="824"/>
      <c r="D126" s="747"/>
      <c r="E126" s="747"/>
      <c r="F126" s="3524">
        <f t="shared" si="25"/>
        <v>0</v>
      </c>
      <c r="G126" s="824"/>
      <c r="H126" s="747"/>
      <c r="I126" s="747"/>
      <c r="J126" s="3524">
        <f t="shared" si="28"/>
        <v>0</v>
      </c>
      <c r="K126" s="824"/>
      <c r="L126" s="747"/>
      <c r="M126" s="2499"/>
      <c r="N126" s="3522">
        <f t="shared" si="26"/>
        <v>0</v>
      </c>
      <c r="O126" s="1828"/>
      <c r="P126" s="209"/>
      <c r="Q126" s="3322"/>
      <c r="R126" s="2074"/>
      <c r="S126" s="1880"/>
      <c r="T126" s="1882"/>
      <c r="U126" s="1891"/>
      <c r="V126" s="1882"/>
      <c r="W126" s="3341"/>
      <c r="X126" s="3322"/>
      <c r="Y126" s="2074"/>
      <c r="Z126" s="3067"/>
      <c r="AA126" s="2074"/>
      <c r="AB126" s="3059"/>
      <c r="AC126" s="3059"/>
      <c r="AD126" s="3059"/>
      <c r="AE126" s="3519"/>
      <c r="AF126" s="3520"/>
      <c r="AG126" s="3225"/>
      <c r="AH126" s="3060"/>
      <c r="AI126" s="2877"/>
      <c r="AJ126" s="288"/>
      <c r="AK126" s="288"/>
      <c r="AL126" s="288"/>
      <c r="AM126" s="288"/>
      <c r="AN126" s="288"/>
      <c r="AO126" s="288"/>
      <c r="AP126" s="288"/>
      <c r="AQ126" s="288"/>
      <c r="AR126" s="288"/>
      <c r="AS126" s="288"/>
      <c r="AT126" s="288"/>
      <c r="AU126" s="288"/>
      <c r="AV126" s="288"/>
      <c r="AW126" s="288"/>
      <c r="AX126" s="288"/>
      <c r="AY126" s="288"/>
      <c r="AZ126" s="288"/>
      <c r="BA126" s="288"/>
      <c r="BB126" s="288"/>
      <c r="BC126" s="288"/>
      <c r="BD126" s="288"/>
      <c r="BE126" s="288"/>
      <c r="BQ126" s="105"/>
      <c r="CA126" s="683"/>
      <c r="CB126" s="683"/>
      <c r="CC126" s="683"/>
      <c r="CD126" s="683"/>
      <c r="CE126" s="683"/>
      <c r="CF126" s="683"/>
      <c r="CG126" s="3313"/>
      <c r="CH126" s="3313"/>
      <c r="CI126" s="3313"/>
      <c r="CJ126" s="3313"/>
      <c r="CK126" s="3313"/>
      <c r="CL126" s="683"/>
      <c r="CM126" s="683"/>
      <c r="CN126" s="683"/>
      <c r="CO126" s="683"/>
      <c r="CP126" s="683"/>
      <c r="CQ126" s="683"/>
      <c r="CR126" s="683"/>
      <c r="CS126" s="683"/>
      <c r="CT126" s="683"/>
      <c r="CU126" s="683"/>
      <c r="CV126" s="683"/>
      <c r="CW126" s="683"/>
      <c r="CX126" s="683"/>
      <c r="CY126" s="683"/>
      <c r="CZ126" s="683"/>
    </row>
    <row r="127" spans="1:104" s="140" customFormat="1" ht="16.350000000000001" customHeight="1" x14ac:dyDescent="0.15">
      <c r="A127" s="2918" t="s">
        <v>284</v>
      </c>
      <c r="B127" s="3521">
        <f t="shared" si="27"/>
        <v>0</v>
      </c>
      <c r="C127" s="3278"/>
      <c r="D127" s="3330"/>
      <c r="E127" s="3330"/>
      <c r="F127" s="3521">
        <f t="shared" si="25"/>
        <v>0</v>
      </c>
      <c r="G127" s="3278"/>
      <c r="H127" s="3330"/>
      <c r="I127" s="3330"/>
      <c r="J127" s="3521">
        <f t="shared" si="28"/>
        <v>0</v>
      </c>
      <c r="K127" s="3278"/>
      <c r="L127" s="3330"/>
      <c r="M127" s="3319"/>
      <c r="N127" s="3522">
        <f t="shared" si="26"/>
        <v>0</v>
      </c>
      <c r="O127" s="2852"/>
      <c r="P127" s="550"/>
      <c r="Q127" s="3322"/>
      <c r="R127" s="2074"/>
      <c r="S127" s="1880"/>
      <c r="T127" s="1882"/>
      <c r="U127" s="1891"/>
      <c r="V127" s="1882"/>
      <c r="W127" s="3341"/>
      <c r="X127" s="3322"/>
      <c r="Y127" s="2074"/>
      <c r="Z127" s="3067"/>
      <c r="AA127" s="2074"/>
      <c r="AB127" s="3059"/>
      <c r="AC127" s="3059"/>
      <c r="AD127" s="3059"/>
      <c r="AE127" s="3519"/>
      <c r="AF127" s="3520"/>
      <c r="AG127" s="3225"/>
      <c r="AH127" s="3060"/>
      <c r="AI127" s="2877"/>
      <c r="AJ127" s="288"/>
      <c r="AK127" s="288"/>
      <c r="AL127" s="288"/>
      <c r="AM127" s="288"/>
      <c r="AN127" s="288"/>
      <c r="AO127" s="288"/>
      <c r="AP127" s="288"/>
      <c r="AQ127" s="288"/>
      <c r="AR127" s="288"/>
      <c r="AS127" s="288"/>
      <c r="AT127" s="288"/>
      <c r="AU127" s="288"/>
      <c r="AV127" s="288"/>
      <c r="AW127" s="288"/>
      <c r="AX127" s="288"/>
      <c r="AY127" s="288"/>
      <c r="AZ127" s="288"/>
      <c r="BA127" s="288"/>
      <c r="BB127" s="288"/>
      <c r="BC127" s="288"/>
      <c r="BD127" s="288"/>
      <c r="BE127" s="288"/>
      <c r="BQ127" s="105"/>
      <c r="CA127" s="683"/>
      <c r="CB127" s="683"/>
      <c r="CC127" s="683"/>
      <c r="CD127" s="683"/>
      <c r="CE127" s="683"/>
      <c r="CF127" s="683"/>
      <c r="CG127" s="3313"/>
      <c r="CH127" s="3313"/>
      <c r="CI127" s="3313"/>
      <c r="CJ127" s="3313"/>
      <c r="CK127" s="3313"/>
      <c r="CL127" s="683"/>
      <c r="CM127" s="683"/>
      <c r="CN127" s="683"/>
      <c r="CO127" s="683"/>
      <c r="CP127" s="683"/>
      <c r="CQ127" s="683"/>
      <c r="CR127" s="683"/>
      <c r="CS127" s="683"/>
      <c r="CT127" s="683"/>
      <c r="CU127" s="683"/>
      <c r="CV127" s="683"/>
      <c r="CW127" s="683"/>
      <c r="CX127" s="683"/>
      <c r="CY127" s="683"/>
      <c r="CZ127" s="683"/>
    </row>
    <row r="128" spans="1:104" s="140" customFormat="1" ht="16.350000000000001" customHeight="1" x14ac:dyDescent="0.15">
      <c r="A128" s="2918" t="s">
        <v>464</v>
      </c>
      <c r="B128" s="3521">
        <f t="shared" si="27"/>
        <v>0</v>
      </c>
      <c r="C128" s="3278"/>
      <c r="D128" s="3330"/>
      <c r="E128" s="3330"/>
      <c r="F128" s="3521">
        <f t="shared" si="25"/>
        <v>0</v>
      </c>
      <c r="G128" s="3278"/>
      <c r="H128" s="3330"/>
      <c r="I128" s="3330"/>
      <c r="J128" s="3521">
        <f t="shared" si="28"/>
        <v>0</v>
      </c>
      <c r="K128" s="3278"/>
      <c r="L128" s="3330"/>
      <c r="M128" s="3319"/>
      <c r="N128" s="3522">
        <f t="shared" si="26"/>
        <v>0</v>
      </c>
      <c r="O128" s="2852"/>
      <c r="P128" s="550"/>
      <c r="Q128" s="3322"/>
      <c r="R128" s="2074"/>
      <c r="S128" s="1880"/>
      <c r="T128" s="1882"/>
      <c r="U128" s="1891"/>
      <c r="V128" s="1882"/>
      <c r="W128" s="3341"/>
      <c r="X128" s="3322"/>
      <c r="Y128" s="2074"/>
      <c r="Z128" s="3067"/>
      <c r="AA128" s="2074"/>
      <c r="AB128" s="3059"/>
      <c r="AC128" s="3059"/>
      <c r="AD128" s="3059"/>
      <c r="AE128" s="3519"/>
      <c r="AF128" s="3520"/>
      <c r="AG128" s="3225"/>
      <c r="AH128" s="3060"/>
      <c r="AI128" s="2877"/>
      <c r="AJ128" s="288"/>
      <c r="AK128" s="288"/>
      <c r="AL128" s="288"/>
      <c r="AM128" s="288"/>
      <c r="AN128" s="288"/>
      <c r="AO128" s="288"/>
      <c r="AP128" s="288"/>
      <c r="AQ128" s="288"/>
      <c r="AR128" s="288"/>
      <c r="AS128" s="288"/>
      <c r="AT128" s="288"/>
      <c r="AU128" s="288"/>
      <c r="AV128" s="288"/>
      <c r="AW128" s="288"/>
      <c r="AX128" s="288"/>
      <c r="AY128" s="288"/>
      <c r="AZ128" s="288"/>
      <c r="BA128" s="288"/>
      <c r="BB128" s="288"/>
      <c r="BC128" s="288"/>
      <c r="BD128" s="288"/>
      <c r="BE128" s="288"/>
      <c r="BQ128" s="105"/>
      <c r="CA128" s="683"/>
      <c r="CB128" s="683"/>
      <c r="CC128" s="683"/>
      <c r="CD128" s="683"/>
      <c r="CE128" s="683"/>
      <c r="CF128" s="683"/>
      <c r="CG128" s="3313"/>
      <c r="CH128" s="3313"/>
      <c r="CI128" s="3313"/>
      <c r="CJ128" s="3313"/>
      <c r="CK128" s="3313"/>
      <c r="CL128" s="683"/>
      <c r="CM128" s="683"/>
      <c r="CN128" s="683"/>
      <c r="CO128" s="683"/>
      <c r="CP128" s="683"/>
      <c r="CQ128" s="683"/>
      <c r="CR128" s="683"/>
      <c r="CS128" s="683"/>
      <c r="CT128" s="683"/>
      <c r="CU128" s="683"/>
      <c r="CV128" s="683"/>
      <c r="CW128" s="683"/>
      <c r="CX128" s="683"/>
      <c r="CY128" s="683"/>
      <c r="CZ128" s="683"/>
    </row>
    <row r="129" spans="1:108" s="140" customFormat="1" ht="16.350000000000001" customHeight="1" x14ac:dyDescent="0.15">
      <c r="A129" s="2918" t="s">
        <v>3577</v>
      </c>
      <c r="B129" s="3521">
        <f t="shared" si="27"/>
        <v>0</v>
      </c>
      <c r="C129" s="3278"/>
      <c r="D129" s="3330"/>
      <c r="E129" s="3330"/>
      <c r="F129" s="3521">
        <f t="shared" si="25"/>
        <v>0</v>
      </c>
      <c r="G129" s="3278"/>
      <c r="H129" s="3330"/>
      <c r="I129" s="3330"/>
      <c r="J129" s="3521">
        <f t="shared" si="28"/>
        <v>0</v>
      </c>
      <c r="K129" s="3278"/>
      <c r="L129" s="3330"/>
      <c r="M129" s="3319"/>
      <c r="N129" s="3522">
        <f t="shared" si="26"/>
        <v>0</v>
      </c>
      <c r="O129" s="2852"/>
      <c r="P129" s="550"/>
      <c r="Q129" s="3322"/>
      <c r="R129" s="2074"/>
      <c r="S129" s="1880"/>
      <c r="T129" s="1882"/>
      <c r="U129" s="1891"/>
      <c r="V129" s="1882"/>
      <c r="W129" s="3341"/>
      <c r="X129" s="3322"/>
      <c r="Y129" s="2074"/>
      <c r="Z129" s="3067"/>
      <c r="AA129" s="2074"/>
      <c r="AB129" s="3059"/>
      <c r="AC129" s="3059"/>
      <c r="AD129" s="3059"/>
      <c r="AE129" s="3519"/>
      <c r="AF129" s="3520"/>
      <c r="AG129" s="3225"/>
      <c r="AH129" s="3060"/>
      <c r="AI129" s="2877"/>
      <c r="AJ129" s="288"/>
      <c r="AK129" s="288"/>
      <c r="AL129" s="288"/>
      <c r="AM129" s="288"/>
      <c r="AN129" s="288"/>
      <c r="AO129" s="288"/>
      <c r="AP129" s="288"/>
      <c r="AQ129" s="288"/>
      <c r="AR129" s="288"/>
      <c r="AS129" s="288"/>
      <c r="AT129" s="288"/>
      <c r="AU129" s="288"/>
      <c r="AV129" s="288"/>
      <c r="AW129" s="288"/>
      <c r="AX129" s="288"/>
      <c r="AY129" s="288"/>
      <c r="AZ129" s="288"/>
      <c r="BA129" s="288"/>
      <c r="BB129" s="288"/>
      <c r="BC129" s="288"/>
      <c r="BD129" s="288"/>
      <c r="BE129" s="288"/>
      <c r="BQ129" s="105"/>
      <c r="CA129" s="683"/>
      <c r="CB129" s="683"/>
      <c r="CC129" s="683"/>
      <c r="CD129" s="683"/>
      <c r="CE129" s="683"/>
      <c r="CF129" s="683"/>
      <c r="CG129" s="3313"/>
      <c r="CH129" s="3313"/>
      <c r="CI129" s="3313"/>
      <c r="CJ129" s="3313"/>
      <c r="CK129" s="3313"/>
      <c r="CL129" s="683"/>
      <c r="CM129" s="683"/>
      <c r="CN129" s="683"/>
      <c r="CO129" s="683"/>
      <c r="CP129" s="683"/>
      <c r="CQ129" s="683"/>
      <c r="CR129" s="683"/>
      <c r="CS129" s="683"/>
      <c r="CT129" s="683"/>
      <c r="CU129" s="683"/>
      <c r="CV129" s="683"/>
      <c r="CW129" s="683"/>
      <c r="CX129" s="683"/>
      <c r="CY129" s="683"/>
      <c r="CZ129" s="683"/>
    </row>
    <row r="130" spans="1:108" s="140" customFormat="1" ht="16.350000000000001" customHeight="1" x14ac:dyDescent="0.15">
      <c r="A130" s="2918" t="s">
        <v>285</v>
      </c>
      <c r="B130" s="3523">
        <f t="shared" si="27"/>
        <v>0</v>
      </c>
      <c r="C130" s="3028"/>
      <c r="D130" s="1871"/>
      <c r="E130" s="1871"/>
      <c r="F130" s="3523">
        <f t="shared" si="25"/>
        <v>0</v>
      </c>
      <c r="G130" s="3028"/>
      <c r="H130" s="1871"/>
      <c r="I130" s="1871"/>
      <c r="J130" s="3523">
        <f t="shared" si="28"/>
        <v>0</v>
      </c>
      <c r="K130" s="3028"/>
      <c r="L130" s="1871"/>
      <c r="M130" s="2584"/>
      <c r="N130" s="3522">
        <f t="shared" si="26"/>
        <v>0</v>
      </c>
      <c r="O130" s="3136"/>
      <c r="P130" s="3341"/>
      <c r="Q130" s="3322"/>
      <c r="R130" s="2074"/>
      <c r="S130" s="1880"/>
      <c r="T130" s="1882"/>
      <c r="U130" s="1891"/>
      <c r="V130" s="1882"/>
      <c r="W130" s="3341"/>
      <c r="X130" s="3322"/>
      <c r="Y130" s="2074"/>
      <c r="Z130" s="3067"/>
      <c r="AA130" s="2074"/>
      <c r="AB130" s="3059"/>
      <c r="AC130" s="3059"/>
      <c r="AD130" s="3059"/>
      <c r="AE130" s="3519"/>
      <c r="AF130" s="3520"/>
      <c r="AG130" s="3225"/>
      <c r="AH130" s="3060"/>
      <c r="AI130" s="2877"/>
      <c r="AJ130" s="288"/>
      <c r="AK130" s="288"/>
      <c r="AL130" s="288"/>
      <c r="AM130" s="288"/>
      <c r="AN130" s="288"/>
      <c r="AO130" s="288"/>
      <c r="AP130" s="288"/>
      <c r="AQ130" s="288"/>
      <c r="AR130" s="288"/>
      <c r="AS130" s="288"/>
      <c r="AT130" s="288"/>
      <c r="AU130" s="288"/>
      <c r="AV130" s="288"/>
      <c r="AW130" s="288"/>
      <c r="AX130" s="288"/>
      <c r="AY130" s="288"/>
      <c r="AZ130" s="288"/>
      <c r="BA130" s="288"/>
      <c r="BB130" s="288"/>
      <c r="BC130" s="288"/>
      <c r="BD130" s="288"/>
      <c r="BE130" s="288"/>
      <c r="BQ130" s="105"/>
      <c r="CA130" s="683"/>
      <c r="CB130" s="683"/>
      <c r="CC130" s="683"/>
      <c r="CD130" s="683"/>
      <c r="CE130" s="683"/>
      <c r="CF130" s="683"/>
      <c r="CG130" s="3313"/>
      <c r="CH130" s="3313"/>
      <c r="CI130" s="3313"/>
      <c r="CJ130" s="3313"/>
      <c r="CK130" s="3313"/>
      <c r="CL130" s="683"/>
      <c r="CM130" s="683"/>
      <c r="CN130" s="683"/>
      <c r="CO130" s="683"/>
      <c r="CP130" s="683"/>
      <c r="CQ130" s="683"/>
      <c r="CR130" s="683"/>
      <c r="CS130" s="683"/>
      <c r="CT130" s="683"/>
      <c r="CU130" s="683"/>
      <c r="CV130" s="683"/>
      <c r="CW130" s="683"/>
      <c r="CX130" s="683"/>
      <c r="CY130" s="683"/>
      <c r="CZ130" s="683"/>
    </row>
    <row r="131" spans="1:108" s="140" customFormat="1" ht="16.350000000000001" customHeight="1" x14ac:dyDescent="0.15">
      <c r="A131" s="2918" t="s">
        <v>450</v>
      </c>
      <c r="B131" s="3523">
        <f t="shared" si="27"/>
        <v>0</v>
      </c>
      <c r="C131" s="3028"/>
      <c r="D131" s="1871"/>
      <c r="E131" s="1871"/>
      <c r="F131" s="3523">
        <f t="shared" si="25"/>
        <v>0</v>
      </c>
      <c r="G131" s="3028"/>
      <c r="H131" s="1871"/>
      <c r="I131" s="1871"/>
      <c r="J131" s="3523">
        <f t="shared" si="28"/>
        <v>0</v>
      </c>
      <c r="K131" s="3028"/>
      <c r="L131" s="1871"/>
      <c r="M131" s="2584"/>
      <c r="N131" s="3522">
        <f t="shared" si="26"/>
        <v>0</v>
      </c>
      <c r="O131" s="3136"/>
      <c r="P131" s="3341"/>
      <c r="Q131" s="3322"/>
      <c r="R131" s="2074"/>
      <c r="S131" s="1880"/>
      <c r="T131" s="1882"/>
      <c r="U131" s="1891"/>
      <c r="V131" s="1882"/>
      <c r="W131" s="3341"/>
      <c r="X131" s="3322"/>
      <c r="Y131" s="2074"/>
      <c r="Z131" s="3067"/>
      <c r="AA131" s="2074"/>
      <c r="AB131" s="3059"/>
      <c r="AC131" s="3059"/>
      <c r="AD131" s="3059"/>
      <c r="AE131" s="3519"/>
      <c r="AF131" s="3520"/>
      <c r="AG131" s="3225"/>
      <c r="AH131" s="3060"/>
      <c r="AI131" s="2877"/>
      <c r="AJ131" s="288"/>
      <c r="AK131" s="288"/>
      <c r="AL131" s="288"/>
      <c r="AM131" s="288"/>
      <c r="AN131" s="288"/>
      <c r="AO131" s="288"/>
      <c r="AP131" s="288"/>
      <c r="AQ131" s="288"/>
      <c r="AR131" s="288"/>
      <c r="AS131" s="288"/>
      <c r="AT131" s="288"/>
      <c r="AU131" s="288"/>
      <c r="AV131" s="288"/>
      <c r="AW131" s="288"/>
      <c r="AX131" s="288"/>
      <c r="AY131" s="288"/>
      <c r="AZ131" s="288"/>
      <c r="BA131" s="288"/>
      <c r="BB131" s="288"/>
      <c r="BC131" s="288"/>
      <c r="BD131" s="288"/>
      <c r="BE131" s="288"/>
      <c r="BQ131" s="105"/>
      <c r="CA131" s="683"/>
      <c r="CB131" s="683"/>
      <c r="CC131" s="683"/>
      <c r="CD131" s="683"/>
      <c r="CE131" s="683"/>
      <c r="CF131" s="683"/>
      <c r="CG131" s="3313"/>
      <c r="CH131" s="3313"/>
      <c r="CI131" s="3313"/>
      <c r="CJ131" s="3313"/>
      <c r="CK131" s="3313"/>
      <c r="CL131" s="683"/>
      <c r="CM131" s="683"/>
      <c r="CN131" s="683"/>
      <c r="CO131" s="683"/>
      <c r="CP131" s="683"/>
      <c r="CQ131" s="683"/>
      <c r="CR131" s="683"/>
      <c r="CS131" s="683"/>
      <c r="CT131" s="683"/>
      <c r="CU131" s="683"/>
      <c r="CV131" s="683"/>
      <c r="CW131" s="683"/>
      <c r="CX131" s="683"/>
      <c r="CY131" s="683"/>
      <c r="CZ131" s="683"/>
    </row>
    <row r="132" spans="1:108" s="140" customFormat="1" ht="16.350000000000001" customHeight="1" x14ac:dyDescent="0.15">
      <c r="A132" s="2918" t="s">
        <v>286</v>
      </c>
      <c r="B132" s="3523">
        <f t="shared" si="27"/>
        <v>0</v>
      </c>
      <c r="C132" s="3028"/>
      <c r="D132" s="1871"/>
      <c r="E132" s="1871"/>
      <c r="F132" s="3523">
        <f t="shared" si="25"/>
        <v>0</v>
      </c>
      <c r="G132" s="3028"/>
      <c r="H132" s="1871"/>
      <c r="I132" s="1871"/>
      <c r="J132" s="3523">
        <f t="shared" si="28"/>
        <v>0</v>
      </c>
      <c r="K132" s="3028"/>
      <c r="L132" s="1871"/>
      <c r="M132" s="2584"/>
      <c r="N132" s="3522">
        <f t="shared" si="26"/>
        <v>0</v>
      </c>
      <c r="O132" s="3136"/>
      <c r="P132" s="3341"/>
      <c r="Q132" s="3322"/>
      <c r="R132" s="2074"/>
      <c r="S132" s="1880"/>
      <c r="T132" s="1882"/>
      <c r="U132" s="1891"/>
      <c r="V132" s="1882"/>
      <c r="W132" s="3341"/>
      <c r="X132" s="3322"/>
      <c r="Y132" s="2074"/>
      <c r="Z132" s="3067"/>
      <c r="AA132" s="2074"/>
      <c r="AB132" s="3059"/>
      <c r="AC132" s="3059"/>
      <c r="AD132" s="3059"/>
      <c r="AE132" s="3526"/>
      <c r="AF132" s="3520"/>
      <c r="AG132" s="3225"/>
      <c r="AH132" s="3060"/>
      <c r="AI132" s="2877"/>
      <c r="AJ132" s="288"/>
      <c r="AK132" s="288"/>
      <c r="AL132" s="288"/>
      <c r="AM132" s="288"/>
      <c r="AN132" s="288"/>
      <c r="AO132" s="288"/>
      <c r="AP132" s="288"/>
      <c r="AQ132" s="288"/>
      <c r="AR132" s="288"/>
      <c r="AS132" s="288"/>
      <c r="AT132" s="288"/>
      <c r="AU132" s="288"/>
      <c r="AV132" s="288"/>
      <c r="AW132" s="288"/>
      <c r="AX132" s="288"/>
      <c r="AY132" s="288"/>
      <c r="AZ132" s="288"/>
      <c r="BA132" s="288"/>
      <c r="BB132" s="288"/>
      <c r="BC132" s="288"/>
      <c r="BD132" s="288"/>
      <c r="BE132" s="288"/>
      <c r="BQ132" s="105"/>
      <c r="CA132" s="683"/>
      <c r="CB132" s="683"/>
      <c r="CC132" s="683"/>
      <c r="CD132" s="683"/>
      <c r="CE132" s="683"/>
      <c r="CF132" s="683"/>
      <c r="CG132" s="3313"/>
      <c r="CH132" s="3313"/>
      <c r="CI132" s="3313"/>
      <c r="CJ132" s="3313"/>
      <c r="CK132" s="3313"/>
      <c r="CL132" s="683"/>
      <c r="CM132" s="683"/>
      <c r="CN132" s="683"/>
      <c r="CO132" s="683"/>
      <c r="CP132" s="683"/>
      <c r="CQ132" s="683"/>
      <c r="CR132" s="683"/>
      <c r="CS132" s="683"/>
      <c r="CT132" s="683"/>
      <c r="CU132" s="683"/>
      <c r="CV132" s="683"/>
      <c r="CW132" s="683"/>
      <c r="CX132" s="683"/>
      <c r="CY132" s="683"/>
      <c r="CZ132" s="683"/>
    </row>
    <row r="133" spans="1:108" s="140" customFormat="1" ht="16.350000000000001" customHeight="1" x14ac:dyDescent="0.15">
      <c r="A133" s="2918" t="s">
        <v>287</v>
      </c>
      <c r="B133" s="3523">
        <f t="shared" si="27"/>
        <v>0</v>
      </c>
      <c r="C133" s="3028"/>
      <c r="D133" s="1871"/>
      <c r="E133" s="1871"/>
      <c r="F133" s="3523">
        <f t="shared" si="25"/>
        <v>0</v>
      </c>
      <c r="G133" s="3028"/>
      <c r="H133" s="1871"/>
      <c r="I133" s="1871"/>
      <c r="J133" s="3523">
        <f t="shared" si="28"/>
        <v>0</v>
      </c>
      <c r="K133" s="3028"/>
      <c r="L133" s="1871"/>
      <c r="M133" s="2584"/>
      <c r="N133" s="3522">
        <f t="shared" si="26"/>
        <v>0</v>
      </c>
      <c r="O133" s="3136"/>
      <c r="P133" s="3341"/>
      <c r="Q133" s="3322"/>
      <c r="R133" s="2074"/>
      <c r="S133" s="1880"/>
      <c r="T133" s="1882"/>
      <c r="U133" s="1891"/>
      <c r="V133" s="1882"/>
      <c r="W133" s="3341"/>
      <c r="X133" s="3322"/>
      <c r="Y133" s="2074"/>
      <c r="Z133" s="3067"/>
      <c r="AA133" s="2074"/>
      <c r="AB133" s="3067"/>
      <c r="AC133" s="3067"/>
      <c r="AD133" s="2074"/>
      <c r="AE133" s="3526"/>
      <c r="AF133" s="3527"/>
      <c r="AG133" s="3028"/>
      <c r="AH133" s="1871"/>
      <c r="AI133" s="3121"/>
      <c r="AJ133" s="288"/>
      <c r="AK133" s="288"/>
      <c r="AL133" s="288"/>
      <c r="AM133" s="288"/>
      <c r="AN133" s="288"/>
      <c r="AO133" s="288"/>
      <c r="AP133" s="288"/>
      <c r="AQ133" s="288"/>
      <c r="AR133" s="288"/>
      <c r="AS133" s="288"/>
      <c r="AT133" s="288"/>
      <c r="AU133" s="288"/>
      <c r="AV133" s="288"/>
      <c r="AW133" s="288"/>
      <c r="AX133" s="288"/>
      <c r="AY133" s="288"/>
      <c r="AZ133" s="288"/>
      <c r="BA133" s="288"/>
      <c r="BB133" s="288"/>
      <c r="BC133" s="288"/>
      <c r="BD133" s="288"/>
      <c r="BE133" s="288"/>
      <c r="BQ133" s="105"/>
      <c r="CA133" s="683"/>
      <c r="CB133" s="683"/>
      <c r="CC133" s="683"/>
      <c r="CD133" s="683"/>
      <c r="CE133" s="683"/>
      <c r="CF133" s="683"/>
      <c r="CG133" s="3313"/>
      <c r="CH133" s="3313"/>
      <c r="CI133" s="3313"/>
      <c r="CJ133" s="3313"/>
      <c r="CK133" s="3313"/>
      <c r="CL133" s="683"/>
      <c r="CM133" s="683"/>
      <c r="CN133" s="683"/>
      <c r="CO133" s="683"/>
      <c r="CP133" s="683"/>
      <c r="CQ133" s="683"/>
      <c r="CR133" s="683"/>
      <c r="CS133" s="683"/>
      <c r="CT133" s="683"/>
      <c r="CU133" s="683"/>
      <c r="CV133" s="683"/>
      <c r="CW133" s="683"/>
      <c r="CX133" s="683"/>
      <c r="CY133" s="683"/>
      <c r="CZ133" s="683"/>
    </row>
    <row r="134" spans="1:108" s="140" customFormat="1" ht="16.350000000000001" customHeight="1" x14ac:dyDescent="0.15">
      <c r="A134" s="3241" t="s">
        <v>416</v>
      </c>
      <c r="B134" s="3525">
        <f t="shared" si="27"/>
        <v>0</v>
      </c>
      <c r="C134" s="3225"/>
      <c r="D134" s="3060"/>
      <c r="E134" s="3060"/>
      <c r="F134" s="3525">
        <f t="shared" si="25"/>
        <v>0</v>
      </c>
      <c r="G134" s="3225"/>
      <c r="H134" s="3060"/>
      <c r="I134" s="3060"/>
      <c r="J134" s="3525">
        <f t="shared" si="28"/>
        <v>0</v>
      </c>
      <c r="K134" s="3225"/>
      <c r="L134" s="3060"/>
      <c r="M134" s="1779"/>
      <c r="N134" s="3522">
        <f t="shared" si="26"/>
        <v>0</v>
      </c>
      <c r="O134" s="3112"/>
      <c r="P134" s="234"/>
      <c r="Q134" s="3322"/>
      <c r="R134" s="2074"/>
      <c r="S134" s="4025"/>
      <c r="T134" s="3059"/>
      <c r="U134" s="4024"/>
      <c r="V134" s="3059"/>
      <c r="W134" s="234"/>
      <c r="X134" s="3322"/>
      <c r="Y134" s="2074"/>
      <c r="Z134" s="2877"/>
      <c r="AA134" s="2877"/>
      <c r="AB134" s="2877"/>
      <c r="AC134" s="2877"/>
      <c r="AD134" s="2877"/>
      <c r="AE134" s="3519"/>
      <c r="AF134" s="3528"/>
      <c r="AG134" s="3225"/>
      <c r="AH134" s="3060"/>
      <c r="AI134" s="2877"/>
      <c r="AJ134" s="288"/>
      <c r="AK134" s="288"/>
      <c r="AL134" s="288"/>
      <c r="AM134" s="288"/>
      <c r="AN134" s="288"/>
      <c r="AO134" s="288"/>
      <c r="AP134" s="288"/>
      <c r="AQ134" s="288"/>
      <c r="AR134" s="288"/>
      <c r="AS134" s="288"/>
      <c r="AT134" s="288"/>
      <c r="AU134" s="288"/>
      <c r="AV134" s="288"/>
      <c r="AW134" s="288"/>
      <c r="AX134" s="288"/>
      <c r="AY134" s="288"/>
      <c r="AZ134" s="288"/>
      <c r="BA134" s="288"/>
      <c r="BB134" s="288"/>
      <c r="BC134" s="288"/>
      <c r="BD134" s="288"/>
      <c r="BE134" s="288"/>
      <c r="BQ134" s="105"/>
      <c r="CA134" s="683"/>
      <c r="CB134" s="683"/>
      <c r="CC134" s="683"/>
      <c r="CD134" s="683"/>
      <c r="CE134" s="683"/>
      <c r="CF134" s="683"/>
      <c r="CG134" s="3313"/>
      <c r="CH134" s="3313"/>
      <c r="CI134" s="3313"/>
      <c r="CJ134" s="3313"/>
      <c r="CK134" s="3313"/>
      <c r="CL134" s="683"/>
      <c r="CM134" s="683"/>
      <c r="CN134" s="683"/>
      <c r="CO134" s="683"/>
      <c r="CP134" s="683"/>
      <c r="CQ134" s="683"/>
      <c r="CR134" s="683"/>
      <c r="CS134" s="683"/>
      <c r="CT134" s="683"/>
      <c r="CU134" s="683"/>
      <c r="CV134" s="683"/>
      <c r="CW134" s="683"/>
      <c r="CX134" s="683"/>
      <c r="CY134" s="683"/>
      <c r="CZ134" s="683"/>
    </row>
    <row r="135" spans="1:108" s="140" customFormat="1" ht="16.350000000000001" customHeight="1" x14ac:dyDescent="0.15">
      <c r="A135" s="3242" t="s">
        <v>417</v>
      </c>
      <c r="B135" s="3529">
        <f t="shared" si="27"/>
        <v>0</v>
      </c>
      <c r="C135" s="3248"/>
      <c r="D135" s="3064"/>
      <c r="E135" s="3064"/>
      <c r="F135" s="3529">
        <f t="shared" si="25"/>
        <v>0</v>
      </c>
      <c r="G135" s="3248"/>
      <c r="H135" s="3064"/>
      <c r="I135" s="3064"/>
      <c r="J135" s="3529">
        <f t="shared" si="28"/>
        <v>0</v>
      </c>
      <c r="K135" s="3248"/>
      <c r="L135" s="3064"/>
      <c r="M135" s="2711"/>
      <c r="N135" s="3530">
        <f t="shared" si="26"/>
        <v>0</v>
      </c>
      <c r="O135" s="3126"/>
      <c r="P135" s="3531"/>
      <c r="Q135" s="3250"/>
      <c r="R135" s="3127"/>
      <c r="S135" s="2888"/>
      <c r="T135" s="2884"/>
      <c r="U135" s="2533"/>
      <c r="V135" s="2884"/>
      <c r="W135" s="3531"/>
      <c r="X135" s="3250"/>
      <c r="Y135" s="3127"/>
      <c r="Z135" s="3249"/>
      <c r="AA135" s="3249"/>
      <c r="AB135" s="3249"/>
      <c r="AC135" s="3249"/>
      <c r="AD135" s="3249"/>
      <c r="AE135" s="3532"/>
      <c r="AF135" s="3533"/>
      <c r="AG135" s="3248"/>
      <c r="AH135" s="3064"/>
      <c r="AI135" s="3249"/>
      <c r="AJ135" s="288"/>
      <c r="AK135" s="288"/>
      <c r="AL135" s="288"/>
      <c r="AM135" s="288"/>
      <c r="AN135" s="288"/>
      <c r="AO135" s="288"/>
      <c r="AP135" s="288"/>
      <c r="AQ135" s="288"/>
      <c r="AR135" s="288"/>
      <c r="AS135" s="288"/>
      <c r="AT135" s="288"/>
      <c r="AU135" s="288"/>
      <c r="AV135" s="288"/>
      <c r="AW135" s="288"/>
      <c r="AX135" s="288"/>
      <c r="AY135" s="288"/>
      <c r="AZ135" s="288"/>
      <c r="BA135" s="288"/>
      <c r="BB135" s="288"/>
      <c r="BC135" s="288"/>
      <c r="BD135" s="288"/>
      <c r="BE135" s="288"/>
      <c r="BQ135" s="105"/>
      <c r="CA135" s="683"/>
      <c r="CB135" s="683"/>
      <c r="CC135" s="683"/>
      <c r="CD135" s="683"/>
      <c r="CE135" s="683"/>
      <c r="CF135" s="683"/>
      <c r="CG135" s="3313"/>
      <c r="CH135" s="3313"/>
      <c r="CI135" s="3313"/>
      <c r="CJ135" s="3313"/>
      <c r="CK135" s="3313"/>
      <c r="CL135" s="683"/>
      <c r="CM135" s="683"/>
      <c r="CN135" s="683"/>
      <c r="CO135" s="683"/>
      <c r="CP135" s="683"/>
      <c r="CQ135" s="683"/>
      <c r="CR135" s="683"/>
      <c r="CS135" s="683"/>
      <c r="CT135" s="683"/>
      <c r="CU135" s="683"/>
      <c r="CV135" s="683"/>
      <c r="CW135" s="683"/>
      <c r="CX135" s="683"/>
      <c r="CY135" s="683"/>
      <c r="CZ135" s="683"/>
    </row>
    <row r="136" spans="1:108" s="140" customFormat="1" ht="16.350000000000001" customHeight="1" x14ac:dyDescent="0.15">
      <c r="A136" s="3534" t="s">
        <v>24</v>
      </c>
      <c r="B136" s="3535">
        <f t="shared" ref="B136:V136" si="29">SUM(B76:B135)</f>
        <v>0</v>
      </c>
      <c r="C136" s="3441">
        <f>SUM(C76:C135)</f>
        <v>0</v>
      </c>
      <c r="D136" s="3442">
        <f>SUM(D76:D135)</f>
        <v>0</v>
      </c>
      <c r="E136" s="3442">
        <f>SUM(E76:E135)</f>
        <v>0</v>
      </c>
      <c r="F136" s="3535">
        <f t="shared" si="29"/>
        <v>0</v>
      </c>
      <c r="G136" s="3441">
        <f t="shared" si="29"/>
        <v>0</v>
      </c>
      <c r="H136" s="3442">
        <f t="shared" si="29"/>
        <v>0</v>
      </c>
      <c r="I136" s="3442">
        <f t="shared" si="29"/>
        <v>0</v>
      </c>
      <c r="J136" s="3535">
        <f t="shared" si="29"/>
        <v>0</v>
      </c>
      <c r="K136" s="3441">
        <f t="shared" si="29"/>
        <v>0</v>
      </c>
      <c r="L136" s="3442">
        <f t="shared" si="29"/>
        <v>0</v>
      </c>
      <c r="M136" s="3442">
        <f t="shared" si="29"/>
        <v>0</v>
      </c>
      <c r="N136" s="3535">
        <f>SUM(N76:N135)</f>
        <v>0</v>
      </c>
      <c r="O136" s="2002">
        <f t="shared" si="29"/>
        <v>0</v>
      </c>
      <c r="P136" s="2079">
        <f t="shared" si="29"/>
        <v>0</v>
      </c>
      <c r="Q136" s="3441">
        <f t="shared" si="29"/>
        <v>0</v>
      </c>
      <c r="R136" s="1936">
        <f>SUM(R76:R135)</f>
        <v>0</v>
      </c>
      <c r="S136" s="4912">
        <f>SUM(S76:S135)</f>
        <v>0</v>
      </c>
      <c r="T136" s="4069">
        <f>SUM(T76:T135)</f>
        <v>0</v>
      </c>
      <c r="U136" s="4908">
        <f t="shared" si="29"/>
        <v>0</v>
      </c>
      <c r="V136" s="4911">
        <f t="shared" si="29"/>
        <v>0</v>
      </c>
      <c r="W136" s="1936">
        <f>SUM(W76:W135)</f>
        <v>0</v>
      </c>
      <c r="X136" s="2080">
        <f t="shared" ref="X136:AI136" si="30">SUM(X76:X135)</f>
        <v>0</v>
      </c>
      <c r="Y136" s="3253">
        <f t="shared" si="30"/>
        <v>0</v>
      </c>
      <c r="Z136" s="1936">
        <f t="shared" si="30"/>
        <v>0</v>
      </c>
      <c r="AA136" s="1936">
        <f t="shared" si="30"/>
        <v>0</v>
      </c>
      <c r="AB136" s="1936">
        <f t="shared" si="30"/>
        <v>0</v>
      </c>
      <c r="AC136" s="1936">
        <f t="shared" si="30"/>
        <v>0</v>
      </c>
      <c r="AD136" s="3338">
        <f t="shared" si="30"/>
        <v>0</v>
      </c>
      <c r="AE136" s="3536">
        <f t="shared" si="30"/>
        <v>0</v>
      </c>
      <c r="AF136" s="3316">
        <f t="shared" si="30"/>
        <v>0</v>
      </c>
      <c r="AG136" s="3536">
        <f t="shared" si="30"/>
        <v>0</v>
      </c>
      <c r="AH136" s="3537">
        <f t="shared" si="30"/>
        <v>0</v>
      </c>
      <c r="AI136" s="3538">
        <f t="shared" si="30"/>
        <v>0</v>
      </c>
      <c r="AJ136" s="288"/>
      <c r="AK136" s="288"/>
      <c r="AL136" s="288"/>
      <c r="AM136" s="288"/>
      <c r="AN136" s="288"/>
      <c r="AO136" s="288"/>
      <c r="AP136" s="288"/>
      <c r="AQ136" s="288"/>
      <c r="AR136" s="288"/>
      <c r="AS136" s="288"/>
      <c r="AT136" s="288"/>
      <c r="AU136" s="288"/>
      <c r="AV136" s="288"/>
      <c r="AW136" s="288"/>
      <c r="AX136" s="288"/>
      <c r="AY136" s="288"/>
      <c r="AZ136" s="288"/>
      <c r="BA136" s="288"/>
      <c r="BB136" s="288"/>
      <c r="BC136" s="288"/>
      <c r="BD136" s="288"/>
      <c r="BE136" s="288"/>
      <c r="BQ136" s="105"/>
      <c r="CA136" s="683"/>
      <c r="CB136" s="683"/>
      <c r="CC136" s="683"/>
      <c r="CD136" s="683"/>
      <c r="CE136" s="683"/>
      <c r="CF136" s="683"/>
      <c r="CG136" s="3313"/>
      <c r="CH136" s="3313"/>
      <c r="CI136" s="3313"/>
      <c r="CJ136" s="3313"/>
      <c r="CK136" s="3313"/>
      <c r="CL136" s="683"/>
      <c r="CM136" s="683"/>
      <c r="CN136" s="683"/>
      <c r="CO136" s="683"/>
      <c r="CP136" s="683"/>
      <c r="CQ136" s="683"/>
      <c r="CR136" s="683"/>
      <c r="CS136" s="683"/>
      <c r="CT136" s="683"/>
      <c r="CU136" s="683"/>
      <c r="CV136" s="683"/>
      <c r="CW136" s="683"/>
      <c r="CX136" s="683"/>
      <c r="CY136" s="683"/>
      <c r="CZ136" s="683"/>
    </row>
    <row r="137" spans="1:108" ht="31.35" customHeight="1" x14ac:dyDescent="0.25">
      <c r="A137" s="3539" t="s">
        <v>4022</v>
      </c>
      <c r="B137" s="2783"/>
      <c r="C137" s="2783"/>
      <c r="AY137" s="290"/>
      <c r="AZ137" s="290"/>
      <c r="BA137" s="290"/>
      <c r="BB137" s="290"/>
      <c r="BC137" s="290"/>
      <c r="BD137" s="290"/>
      <c r="BE137" s="290"/>
      <c r="BF137" s="290"/>
      <c r="BG137" s="290"/>
      <c r="BH137" s="290"/>
      <c r="BI137" s="290"/>
      <c r="BJ137" s="290"/>
      <c r="BK137" s="290"/>
      <c r="BL137" s="290"/>
      <c r="BM137" s="290"/>
      <c r="BN137" s="290"/>
      <c r="BO137" s="290"/>
    </row>
    <row r="138" spans="1:108" ht="39" customHeight="1" x14ac:dyDescent="0.25">
      <c r="A138" s="2788" t="s">
        <v>192</v>
      </c>
      <c r="B138" s="2184" t="s">
        <v>24</v>
      </c>
      <c r="C138" s="493" t="s">
        <v>397</v>
      </c>
      <c r="D138" s="104" t="s">
        <v>54</v>
      </c>
      <c r="E138" s="73" t="s">
        <v>79</v>
      </c>
      <c r="F138" s="73" t="s">
        <v>80</v>
      </c>
      <c r="G138" s="73" t="s">
        <v>81</v>
      </c>
      <c r="H138" s="74" t="s">
        <v>82</v>
      </c>
      <c r="I138" s="74" t="s">
        <v>83</v>
      </c>
      <c r="J138" s="74" t="s">
        <v>398</v>
      </c>
      <c r="K138" s="74" t="s">
        <v>124</v>
      </c>
      <c r="L138" s="74" t="s">
        <v>125</v>
      </c>
      <c r="M138" s="74" t="s">
        <v>126</v>
      </c>
      <c r="N138" s="74" t="s">
        <v>127</v>
      </c>
      <c r="O138" s="74" t="s">
        <v>128</v>
      </c>
      <c r="P138" s="74" t="s">
        <v>129</v>
      </c>
      <c r="Q138" s="74" t="s">
        <v>130</v>
      </c>
      <c r="R138" s="74" t="s">
        <v>131</v>
      </c>
      <c r="S138" s="3544" t="s">
        <v>399</v>
      </c>
      <c r="T138" s="3376" t="s">
        <v>3579</v>
      </c>
      <c r="U138" s="3376" t="s">
        <v>3578</v>
      </c>
      <c r="AX138" s="290"/>
      <c r="AY138" s="290"/>
      <c r="AZ138" s="290"/>
      <c r="BA138" s="290"/>
      <c r="BB138" s="290"/>
      <c r="BC138" s="290"/>
      <c r="BD138" s="290"/>
      <c r="BE138" s="290"/>
      <c r="BF138" s="290"/>
      <c r="BG138" s="290"/>
      <c r="BH138" s="290"/>
      <c r="BI138" s="290"/>
      <c r="BJ138" s="290"/>
      <c r="BK138" s="290"/>
      <c r="BL138" s="290"/>
      <c r="BM138" s="290"/>
      <c r="BN138" s="290"/>
    </row>
    <row r="139" spans="1:108" ht="16.350000000000001" customHeight="1" x14ac:dyDescent="0.25">
      <c r="A139" s="2789" t="s">
        <v>291</v>
      </c>
      <c r="B139" s="2784">
        <f>SUM(C139:S139)</f>
        <v>0</v>
      </c>
      <c r="C139" s="106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2765"/>
      <c r="T139" s="2764"/>
      <c r="U139" s="2764"/>
      <c r="V139" s="1455" t="str">
        <f>CA139&amp;CB139&amp;CC139&amp;CD139</f>
        <v/>
      </c>
      <c r="AX139" s="290"/>
      <c r="AY139" s="290"/>
      <c r="AZ139" s="290"/>
      <c r="BA139" s="290"/>
      <c r="BB139" s="290"/>
      <c r="BC139" s="290"/>
      <c r="BD139" s="290"/>
      <c r="BE139" s="290"/>
      <c r="BF139" s="290"/>
      <c r="BG139" s="290"/>
      <c r="BH139" s="290"/>
      <c r="BI139" s="290"/>
      <c r="BJ139" s="290"/>
      <c r="BK139" s="290"/>
      <c r="BL139" s="290"/>
      <c r="BM139" s="290"/>
      <c r="BN139" s="290"/>
      <c r="CA139" s="1548" t="str">
        <f t="shared" ref="CA139" si="31">IF(DA139=1,"* No olvide digitar la columna Trans (Digite CEROS si no tiene). ","")</f>
        <v/>
      </c>
      <c r="CB139" s="1548" t="str">
        <f>IF(DB139=1,"* El número de Atenciones de Personas Trans NO DEBE ser mayor que Total. ","")</f>
        <v/>
      </c>
      <c r="CC139" s="1548" t="str">
        <f>IF(DC139=1,"* No olvide digitar la columna Trans (Digite CEROS si no tiene). ","")</f>
        <v/>
      </c>
      <c r="CD139" s="1548" t="str">
        <f>IF(DD139=1,"* El número de Atenciones de Personas Trans NO DEBE ser mayor que Total. ","")</f>
        <v/>
      </c>
      <c r="DA139" s="3311">
        <f>IF(AND($B139&lt;&gt;0,T139=""),1,0)</f>
        <v>0</v>
      </c>
      <c r="DB139" s="3311">
        <f>IF($B139&lt;T139,1,0)</f>
        <v>0</v>
      </c>
      <c r="DC139" s="3311">
        <f>IF(AND($B139&lt;&gt;0,U139=""),1,0)</f>
        <v>0</v>
      </c>
      <c r="DD139" s="3311">
        <f>IF($B139&lt;U139,1,0)</f>
        <v>0</v>
      </c>
    </row>
    <row r="140" spans="1:108" ht="16.350000000000001" customHeight="1" x14ac:dyDescent="0.25">
      <c r="A140" s="2787" t="s">
        <v>253</v>
      </c>
      <c r="B140" s="2785">
        <f t="shared" ref="B140:B152" si="32">SUM(C140:S140)</f>
        <v>0</v>
      </c>
      <c r="C140" s="110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2557"/>
      <c r="T140" s="2729"/>
      <c r="U140" s="2729"/>
      <c r="V140" s="1455" t="str">
        <f t="shared" ref="V140:V154" si="33">CA140&amp;CB140&amp;CC140&amp;CD140</f>
        <v/>
      </c>
      <c r="AX140" s="290"/>
      <c r="AY140" s="290"/>
      <c r="AZ140" s="290"/>
      <c r="BA140" s="290"/>
      <c r="BB140" s="290"/>
      <c r="BC140" s="290"/>
      <c r="BD140" s="290"/>
      <c r="BE140" s="290"/>
      <c r="BF140" s="290"/>
      <c r="BG140" s="290"/>
      <c r="BH140" s="290"/>
      <c r="BI140" s="290"/>
      <c r="BJ140" s="290"/>
      <c r="BK140" s="290"/>
      <c r="BL140" s="290"/>
      <c r="BM140" s="290"/>
      <c r="BN140" s="290"/>
      <c r="CA140" s="1548" t="str">
        <f t="shared" ref="CA140:CA150" si="34">IF(DA140=1,"* No olvide digitar la columna Trans (Digite CEROS si no tiene). ","")</f>
        <v/>
      </c>
      <c r="CB140" s="1548" t="str">
        <f t="shared" ref="CB140:CB150" si="35">IF(DB140=1,"* El número de Atenciones de Personas Trans NO DEBE ser mayor que Total. ","")</f>
        <v/>
      </c>
      <c r="CC140" s="1548" t="str">
        <f t="shared" ref="CC140:CC150" si="36">IF(DC140=1,"* No olvide digitar la columna Trans (Digite CEROS si no tiene). ","")</f>
        <v/>
      </c>
      <c r="CD140" s="1548" t="str">
        <f t="shared" ref="CD140:CD150" si="37">IF(DD140=1,"* El número de Atenciones de Personas Trans NO DEBE ser mayor que Total. ","")</f>
        <v/>
      </c>
      <c r="DA140" s="3311">
        <f t="shared" ref="DA140:DA154" si="38">IF(AND($B140&lt;&gt;0,T140=""),1,0)</f>
        <v>0</v>
      </c>
      <c r="DB140" s="3311">
        <f t="shared" ref="DB140:DB154" si="39">IF($B140&lt;T140,1,0)</f>
        <v>0</v>
      </c>
      <c r="DC140" s="3311">
        <f t="shared" ref="DC140:DC154" si="40">IF(AND($B140&lt;&gt;0,U140=""),1,0)</f>
        <v>0</v>
      </c>
      <c r="DD140" s="3311">
        <f t="shared" ref="DD140:DD154" si="41">IF($B140&lt;U140,1,0)</f>
        <v>0</v>
      </c>
    </row>
    <row r="141" spans="1:108" ht="16.350000000000001" customHeight="1" x14ac:dyDescent="0.25">
      <c r="A141" s="2787" t="s">
        <v>292</v>
      </c>
      <c r="B141" s="2785">
        <f t="shared" si="32"/>
        <v>0</v>
      </c>
      <c r="C141" s="110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2557"/>
      <c r="T141" s="2729"/>
      <c r="U141" s="2729"/>
      <c r="V141" s="1455" t="str">
        <f t="shared" si="33"/>
        <v/>
      </c>
      <c r="AX141" s="290"/>
      <c r="AY141" s="290"/>
      <c r="AZ141" s="290"/>
      <c r="BA141" s="290"/>
      <c r="BB141" s="290"/>
      <c r="BC141" s="290"/>
      <c r="BD141" s="290"/>
      <c r="BE141" s="290"/>
      <c r="BF141" s="290"/>
      <c r="BG141" s="290"/>
      <c r="BH141" s="290"/>
      <c r="BI141" s="290"/>
      <c r="BJ141" s="290"/>
      <c r="BK141" s="290"/>
      <c r="BL141" s="290"/>
      <c r="BM141" s="290"/>
      <c r="BN141" s="290"/>
      <c r="CA141" s="1548" t="str">
        <f t="shared" si="34"/>
        <v/>
      </c>
      <c r="CB141" s="1548" t="str">
        <f t="shared" si="35"/>
        <v/>
      </c>
      <c r="CC141" s="1548" t="str">
        <f t="shared" si="36"/>
        <v/>
      </c>
      <c r="CD141" s="1548" t="str">
        <f t="shared" si="37"/>
        <v/>
      </c>
      <c r="DA141" s="3311">
        <f t="shared" si="38"/>
        <v>0</v>
      </c>
      <c r="DB141" s="3311">
        <f t="shared" si="39"/>
        <v>0</v>
      </c>
      <c r="DC141" s="3311">
        <f t="shared" si="40"/>
        <v>0</v>
      </c>
      <c r="DD141" s="3311">
        <f t="shared" si="41"/>
        <v>0</v>
      </c>
    </row>
    <row r="142" spans="1:108" ht="16.350000000000001" customHeight="1" x14ac:dyDescent="0.25">
      <c r="A142" s="2787" t="s">
        <v>293</v>
      </c>
      <c r="B142" s="2785">
        <f t="shared" si="32"/>
        <v>0</v>
      </c>
      <c r="C142" s="110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2557"/>
      <c r="T142" s="2729"/>
      <c r="U142" s="2729"/>
      <c r="V142" s="1455" t="str">
        <f t="shared" si="33"/>
        <v/>
      </c>
      <c r="AX142" s="290"/>
      <c r="AY142" s="290"/>
      <c r="AZ142" s="290"/>
      <c r="BA142" s="290"/>
      <c r="BB142" s="290"/>
      <c r="BC142" s="290"/>
      <c r="BD142" s="290"/>
      <c r="BE142" s="290"/>
      <c r="BF142" s="290"/>
      <c r="BG142" s="290"/>
      <c r="BH142" s="290"/>
      <c r="BI142" s="290"/>
      <c r="BJ142" s="290"/>
      <c r="BK142" s="290"/>
      <c r="BL142" s="290"/>
      <c r="BM142" s="290"/>
      <c r="BN142" s="290"/>
      <c r="CA142" s="1548" t="str">
        <f t="shared" si="34"/>
        <v/>
      </c>
      <c r="CB142" s="1548" t="str">
        <f t="shared" si="35"/>
        <v/>
      </c>
      <c r="CC142" s="1548" t="str">
        <f t="shared" si="36"/>
        <v/>
      </c>
      <c r="CD142" s="1548" t="str">
        <f t="shared" si="37"/>
        <v/>
      </c>
      <c r="DA142" s="3311">
        <f t="shared" si="38"/>
        <v>0</v>
      </c>
      <c r="DB142" s="3311">
        <f t="shared" si="39"/>
        <v>0</v>
      </c>
      <c r="DC142" s="3311">
        <f t="shared" si="40"/>
        <v>0</v>
      </c>
      <c r="DD142" s="3311">
        <f t="shared" si="41"/>
        <v>0</v>
      </c>
    </row>
    <row r="143" spans="1:108" ht="16.350000000000001" customHeight="1" x14ac:dyDescent="0.25">
      <c r="A143" s="2787" t="s">
        <v>2180</v>
      </c>
      <c r="B143" s="2785">
        <f t="shared" si="32"/>
        <v>0</v>
      </c>
      <c r="C143" s="1650"/>
      <c r="D143" s="1662"/>
      <c r="E143" s="1662"/>
      <c r="F143" s="1662"/>
      <c r="G143" s="1662"/>
      <c r="H143" s="1662"/>
      <c r="I143" s="1662"/>
      <c r="J143" s="1662"/>
      <c r="K143" s="1662"/>
      <c r="L143" s="1662"/>
      <c r="M143" s="1662"/>
      <c r="N143" s="1662"/>
      <c r="O143" s="1662"/>
      <c r="P143" s="1662"/>
      <c r="Q143" s="1662"/>
      <c r="R143" s="1662"/>
      <c r="S143" s="2557"/>
      <c r="T143" s="2729"/>
      <c r="U143" s="2729"/>
      <c r="V143" s="1455" t="str">
        <f t="shared" si="33"/>
        <v/>
      </c>
      <c r="AX143" s="290"/>
      <c r="AY143" s="290"/>
      <c r="AZ143" s="290"/>
      <c r="BA143" s="290"/>
      <c r="BB143" s="290"/>
      <c r="BC143" s="290"/>
      <c r="BD143" s="290"/>
      <c r="BE143" s="290"/>
      <c r="BF143" s="290"/>
      <c r="BG143" s="290"/>
      <c r="BH143" s="290"/>
      <c r="BI143" s="290"/>
      <c r="BJ143" s="290"/>
      <c r="BK143" s="290"/>
      <c r="BL143" s="290"/>
      <c r="BM143" s="290"/>
      <c r="BN143" s="290"/>
      <c r="CA143" s="1548" t="str">
        <f t="shared" si="34"/>
        <v/>
      </c>
      <c r="CB143" s="1548" t="str">
        <f t="shared" si="35"/>
        <v/>
      </c>
      <c r="CC143" s="1548" t="str">
        <f t="shared" si="36"/>
        <v/>
      </c>
      <c r="CD143" s="1548" t="str">
        <f t="shared" si="37"/>
        <v/>
      </c>
      <c r="DA143" s="3311">
        <f t="shared" si="38"/>
        <v>0</v>
      </c>
      <c r="DB143" s="3311">
        <f t="shared" si="39"/>
        <v>0</v>
      </c>
      <c r="DC143" s="3311">
        <f t="shared" si="40"/>
        <v>0</v>
      </c>
      <c r="DD143" s="3311">
        <f t="shared" si="41"/>
        <v>0</v>
      </c>
    </row>
    <row r="144" spans="1:108" ht="16.350000000000001" customHeight="1" x14ac:dyDescent="0.25">
      <c r="A144" s="2787" t="s">
        <v>294</v>
      </c>
      <c r="B144" s="2785">
        <f t="shared" si="32"/>
        <v>0</v>
      </c>
      <c r="C144" s="110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2557"/>
      <c r="T144" s="2729"/>
      <c r="U144" s="2729"/>
      <c r="V144" s="1455" t="str">
        <f t="shared" si="33"/>
        <v/>
      </c>
      <c r="CA144" s="1548" t="str">
        <f t="shared" si="34"/>
        <v/>
      </c>
      <c r="CB144" s="1548" t="str">
        <f t="shared" si="35"/>
        <v/>
      </c>
      <c r="CC144" s="1548" t="str">
        <f t="shared" si="36"/>
        <v/>
      </c>
      <c r="CD144" s="1548" t="str">
        <f t="shared" si="37"/>
        <v/>
      </c>
      <c r="DA144" s="3311">
        <f t="shared" si="38"/>
        <v>0</v>
      </c>
      <c r="DB144" s="3311">
        <f t="shared" si="39"/>
        <v>0</v>
      </c>
      <c r="DC144" s="3311">
        <f t="shared" si="40"/>
        <v>0</v>
      </c>
      <c r="DD144" s="3311">
        <f t="shared" si="41"/>
        <v>0</v>
      </c>
    </row>
    <row r="145" spans="1:108" ht="16.350000000000001" customHeight="1" x14ac:dyDescent="0.25">
      <c r="A145" s="2787" t="s">
        <v>295</v>
      </c>
      <c r="B145" s="2785">
        <f t="shared" si="32"/>
        <v>0</v>
      </c>
      <c r="C145" s="110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2557"/>
      <c r="T145" s="2729"/>
      <c r="U145" s="2729"/>
      <c r="V145" s="1455" t="str">
        <f t="shared" si="33"/>
        <v/>
      </c>
      <c r="CA145" s="1548" t="str">
        <f t="shared" si="34"/>
        <v/>
      </c>
      <c r="CB145" s="1548" t="str">
        <f t="shared" si="35"/>
        <v/>
      </c>
      <c r="CC145" s="1548" t="str">
        <f t="shared" si="36"/>
        <v/>
      </c>
      <c r="CD145" s="1548" t="str">
        <f t="shared" si="37"/>
        <v/>
      </c>
      <c r="DA145" s="3311">
        <f t="shared" si="38"/>
        <v>0</v>
      </c>
      <c r="DB145" s="3311">
        <f t="shared" si="39"/>
        <v>0</v>
      </c>
      <c r="DC145" s="3311">
        <f t="shared" si="40"/>
        <v>0</v>
      </c>
      <c r="DD145" s="3311">
        <f t="shared" si="41"/>
        <v>0</v>
      </c>
    </row>
    <row r="146" spans="1:108" ht="16.350000000000001" customHeight="1" x14ac:dyDescent="0.25">
      <c r="A146" s="2787" t="s">
        <v>102</v>
      </c>
      <c r="B146" s="2785">
        <f t="shared" si="32"/>
        <v>0</v>
      </c>
      <c r="C146" s="110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2557"/>
      <c r="T146" s="2729"/>
      <c r="U146" s="2729"/>
      <c r="V146" s="1455" t="str">
        <f t="shared" si="33"/>
        <v/>
      </c>
      <c r="CA146" s="1548" t="str">
        <f t="shared" si="34"/>
        <v/>
      </c>
      <c r="CB146" s="1548" t="str">
        <f t="shared" si="35"/>
        <v/>
      </c>
      <c r="CC146" s="1548" t="str">
        <f t="shared" si="36"/>
        <v/>
      </c>
      <c r="CD146" s="1548" t="str">
        <f t="shared" si="37"/>
        <v/>
      </c>
      <c r="DA146" s="3311">
        <f t="shared" si="38"/>
        <v>0</v>
      </c>
      <c r="DB146" s="3311">
        <f t="shared" si="39"/>
        <v>0</v>
      </c>
      <c r="DC146" s="3311">
        <f t="shared" si="40"/>
        <v>0</v>
      </c>
      <c r="DD146" s="3311">
        <f t="shared" si="41"/>
        <v>0</v>
      </c>
    </row>
    <row r="147" spans="1:108" ht="16.350000000000001" customHeight="1" x14ac:dyDescent="0.25">
      <c r="A147" s="2787" t="s">
        <v>296</v>
      </c>
      <c r="B147" s="2785">
        <f t="shared" si="32"/>
        <v>0</v>
      </c>
      <c r="C147" s="110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2557"/>
      <c r="T147" s="2729"/>
      <c r="U147" s="2729"/>
      <c r="V147" s="1455" t="str">
        <f t="shared" si="33"/>
        <v/>
      </c>
      <c r="W147" s="140"/>
      <c r="X147" s="140"/>
      <c r="Y147" s="140"/>
      <c r="Z147" s="140"/>
      <c r="AA147" s="140"/>
      <c r="AB147" s="140"/>
      <c r="AC147" s="140"/>
      <c r="AD147" s="140"/>
      <c r="AE147" s="140"/>
      <c r="AF147" s="140"/>
      <c r="AG147" s="140"/>
      <c r="AH147" s="140"/>
      <c r="AI147" s="140"/>
      <c r="AJ147" s="140"/>
      <c r="AK147" s="140"/>
      <c r="AL147" s="140"/>
      <c r="AM147" s="140"/>
      <c r="AN147" s="140"/>
      <c r="AO147" s="140"/>
      <c r="AP147" s="140"/>
      <c r="AQ147" s="140"/>
      <c r="CA147" s="1548" t="str">
        <f t="shared" si="34"/>
        <v/>
      </c>
      <c r="CB147" s="1548" t="str">
        <f t="shared" si="35"/>
        <v/>
      </c>
      <c r="CC147" s="1548" t="str">
        <f t="shared" si="36"/>
        <v/>
      </c>
      <c r="CD147" s="1548" t="str">
        <f t="shared" si="37"/>
        <v/>
      </c>
      <c r="DA147" s="3311">
        <f t="shared" si="38"/>
        <v>0</v>
      </c>
      <c r="DB147" s="3311">
        <f t="shared" si="39"/>
        <v>0</v>
      </c>
      <c r="DC147" s="3311">
        <f t="shared" si="40"/>
        <v>0</v>
      </c>
      <c r="DD147" s="3311">
        <f t="shared" si="41"/>
        <v>0</v>
      </c>
    </row>
    <row r="148" spans="1:108" ht="16.350000000000001" customHeight="1" x14ac:dyDescent="0.25">
      <c r="A148" s="2787" t="s">
        <v>297</v>
      </c>
      <c r="B148" s="2785">
        <f t="shared" si="32"/>
        <v>0</v>
      </c>
      <c r="C148" s="110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2557"/>
      <c r="T148" s="2729"/>
      <c r="U148" s="2729"/>
      <c r="V148" s="1455" t="str">
        <f t="shared" si="33"/>
        <v/>
      </c>
      <c r="CA148" s="1548" t="str">
        <f t="shared" si="34"/>
        <v/>
      </c>
      <c r="CB148" s="1548" t="str">
        <f t="shared" si="35"/>
        <v/>
      </c>
      <c r="CC148" s="1548" t="str">
        <f t="shared" si="36"/>
        <v/>
      </c>
      <c r="CD148" s="1548" t="str">
        <f t="shared" si="37"/>
        <v/>
      </c>
      <c r="DA148" s="3311">
        <f t="shared" si="38"/>
        <v>0</v>
      </c>
      <c r="DB148" s="3311">
        <f t="shared" si="39"/>
        <v>0</v>
      </c>
      <c r="DC148" s="3311">
        <f t="shared" si="40"/>
        <v>0</v>
      </c>
      <c r="DD148" s="3311">
        <f t="shared" si="41"/>
        <v>0</v>
      </c>
    </row>
    <row r="149" spans="1:108" ht="16.350000000000001" customHeight="1" x14ac:dyDescent="0.25">
      <c r="A149" s="2787" t="s">
        <v>298</v>
      </c>
      <c r="B149" s="2785">
        <f t="shared" si="32"/>
        <v>0</v>
      </c>
      <c r="C149" s="110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2557"/>
      <c r="T149" s="2729"/>
      <c r="U149" s="2729"/>
      <c r="V149" s="1455" t="str">
        <f t="shared" si="33"/>
        <v/>
      </c>
      <c r="CA149" s="1548" t="str">
        <f t="shared" si="34"/>
        <v/>
      </c>
      <c r="CB149" s="1548" t="str">
        <f t="shared" si="35"/>
        <v/>
      </c>
      <c r="CC149" s="1548" t="str">
        <f t="shared" si="36"/>
        <v/>
      </c>
      <c r="CD149" s="1548" t="str">
        <f t="shared" si="37"/>
        <v/>
      </c>
      <c r="DA149" s="3311">
        <f t="shared" si="38"/>
        <v>0</v>
      </c>
      <c r="DB149" s="3311">
        <f t="shared" si="39"/>
        <v>0</v>
      </c>
      <c r="DC149" s="3311">
        <f t="shared" si="40"/>
        <v>0</v>
      </c>
      <c r="DD149" s="3311">
        <f t="shared" si="41"/>
        <v>0</v>
      </c>
    </row>
    <row r="150" spans="1:108" ht="16.350000000000001" customHeight="1" x14ac:dyDescent="0.25">
      <c r="A150" s="2787" t="s">
        <v>191</v>
      </c>
      <c r="B150" s="2785">
        <f t="shared" si="32"/>
        <v>0</v>
      </c>
      <c r="C150" s="110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2557"/>
      <c r="T150" s="2729"/>
      <c r="U150" s="2729"/>
      <c r="V150" s="1455" t="str">
        <f t="shared" si="33"/>
        <v/>
      </c>
      <c r="AR150" s="290"/>
      <c r="AS150" s="290"/>
      <c r="AT150" s="290"/>
      <c r="AU150" s="290"/>
      <c r="AV150" s="290"/>
      <c r="AW150" s="290"/>
      <c r="AX150" s="290"/>
      <c r="AY150" s="290"/>
      <c r="AZ150" s="290"/>
      <c r="BA150" s="290"/>
      <c r="BB150" s="290"/>
      <c r="BC150" s="290"/>
      <c r="BD150" s="290"/>
      <c r="BE150" s="290"/>
      <c r="CA150" s="1548" t="str">
        <f t="shared" si="34"/>
        <v/>
      </c>
      <c r="CB150" s="1548" t="str">
        <f t="shared" si="35"/>
        <v/>
      </c>
      <c r="CC150" s="1548" t="str">
        <f t="shared" si="36"/>
        <v/>
      </c>
      <c r="CD150" s="1548" t="str">
        <f t="shared" si="37"/>
        <v/>
      </c>
      <c r="DA150" s="3311">
        <f t="shared" si="38"/>
        <v>0</v>
      </c>
      <c r="DB150" s="3311">
        <f t="shared" si="39"/>
        <v>0</v>
      </c>
      <c r="DC150" s="3311">
        <f t="shared" si="40"/>
        <v>0</v>
      </c>
      <c r="DD150" s="3311">
        <f t="shared" si="41"/>
        <v>0</v>
      </c>
    </row>
    <row r="151" spans="1:108" ht="16.350000000000001" customHeight="1" x14ac:dyDescent="0.25">
      <c r="A151" s="2787" t="s">
        <v>193</v>
      </c>
      <c r="B151" s="2785">
        <f t="shared" si="32"/>
        <v>0</v>
      </c>
      <c r="C151" s="110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2557"/>
      <c r="T151" s="2729"/>
      <c r="U151" s="2729"/>
      <c r="V151" s="1455" t="str">
        <f t="shared" si="33"/>
        <v/>
      </c>
      <c r="AR151" s="290"/>
      <c r="AS151" s="290"/>
      <c r="AT151" s="290"/>
      <c r="AU151" s="290"/>
      <c r="AV151" s="290"/>
      <c r="AW151" s="290"/>
      <c r="AX151" s="290"/>
      <c r="AY151" s="290"/>
      <c r="AZ151" s="290"/>
      <c r="BA151" s="290"/>
      <c r="BB151" s="290"/>
      <c r="BC151" s="290"/>
      <c r="BD151" s="290"/>
      <c r="BE151" s="290"/>
      <c r="CA151" s="1548" t="str">
        <f t="shared" ref="CA151:CA154" si="42">IF(DA151=1,"* No olvide digitar la columna Trans (Digite CEROS si no tiene). ","")</f>
        <v/>
      </c>
      <c r="CB151" s="1548" t="str">
        <f t="shared" ref="CB151:CB154" si="43">IF(DB151=1,"* El número de Atenciones de Personas Trans NO DEBE ser mayor que Total. ","")</f>
        <v/>
      </c>
      <c r="CC151" s="1548" t="str">
        <f t="shared" ref="CC151:CC154" si="44">IF(DC151=1,"* No olvide digitar la columna Trans (Digite CEROS si no tiene). ","")</f>
        <v/>
      </c>
      <c r="CD151" s="1548" t="str">
        <f t="shared" ref="CD151:CD154" si="45">IF(DD151=1,"* El número de Atenciones de Personas Trans NO DEBE ser mayor que Total. ","")</f>
        <v/>
      </c>
      <c r="DA151" s="3311">
        <f t="shared" si="38"/>
        <v>0</v>
      </c>
      <c r="DB151" s="3311">
        <f t="shared" si="39"/>
        <v>0</v>
      </c>
      <c r="DC151" s="3311">
        <f t="shared" si="40"/>
        <v>0</v>
      </c>
      <c r="DD151" s="3311">
        <f t="shared" si="41"/>
        <v>0</v>
      </c>
    </row>
    <row r="152" spans="1:108" ht="16.350000000000001" customHeight="1" x14ac:dyDescent="0.25">
      <c r="A152" s="2787" t="s">
        <v>194</v>
      </c>
      <c r="B152" s="2785">
        <f t="shared" si="32"/>
        <v>0</v>
      </c>
      <c r="C152" s="110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2557"/>
      <c r="T152" s="2729"/>
      <c r="U152" s="2729"/>
      <c r="V152" s="1455" t="str">
        <f t="shared" si="33"/>
        <v/>
      </c>
      <c r="AR152" s="290"/>
      <c r="AS152" s="290"/>
      <c r="AT152" s="290"/>
      <c r="AU152" s="290"/>
      <c r="AV152" s="290"/>
      <c r="AW152" s="290"/>
      <c r="AX152" s="290"/>
      <c r="AY152" s="290"/>
      <c r="AZ152" s="290"/>
      <c r="BA152" s="290"/>
      <c r="BB152" s="290"/>
      <c r="BC152" s="290"/>
      <c r="BD152" s="290"/>
      <c r="BE152" s="290"/>
      <c r="CA152" s="1548" t="str">
        <f t="shared" si="42"/>
        <v/>
      </c>
      <c r="CB152" s="1548" t="str">
        <f t="shared" si="43"/>
        <v/>
      </c>
      <c r="CC152" s="1548" t="str">
        <f t="shared" si="44"/>
        <v/>
      </c>
      <c r="CD152" s="1548" t="str">
        <f t="shared" si="45"/>
        <v/>
      </c>
      <c r="DA152" s="3311">
        <f t="shared" si="38"/>
        <v>0</v>
      </c>
      <c r="DB152" s="3311">
        <f t="shared" si="39"/>
        <v>0</v>
      </c>
      <c r="DC152" s="3311">
        <f t="shared" si="40"/>
        <v>0</v>
      </c>
      <c r="DD152" s="3311">
        <f t="shared" si="41"/>
        <v>0</v>
      </c>
    </row>
    <row r="153" spans="1:108" ht="16.350000000000001" customHeight="1" x14ac:dyDescent="0.25">
      <c r="A153" s="2787" t="s">
        <v>299</v>
      </c>
      <c r="B153" s="2786">
        <f>SUM(C153:S153)</f>
        <v>0</v>
      </c>
      <c r="C153" s="2096"/>
      <c r="D153" s="2073"/>
      <c r="E153" s="2073"/>
      <c r="F153" s="2073"/>
      <c r="G153" s="2073"/>
      <c r="H153" s="2073"/>
      <c r="I153" s="2073"/>
      <c r="J153" s="2073"/>
      <c r="K153" s="2073"/>
      <c r="L153" s="2073"/>
      <c r="M153" s="2073"/>
      <c r="N153" s="2073"/>
      <c r="O153" s="2073"/>
      <c r="P153" s="2073"/>
      <c r="Q153" s="2073"/>
      <c r="R153" s="2073"/>
      <c r="S153" s="2557"/>
      <c r="T153" s="2729"/>
      <c r="U153" s="2729"/>
      <c r="V153" s="1455" t="str">
        <f t="shared" si="33"/>
        <v/>
      </c>
      <c r="AR153" s="290"/>
      <c r="AS153" s="290"/>
      <c r="AT153" s="290"/>
      <c r="AU153" s="290"/>
      <c r="AV153" s="290"/>
      <c r="AW153" s="290"/>
      <c r="AX153" s="290"/>
      <c r="AY153" s="290"/>
      <c r="AZ153" s="290"/>
      <c r="BA153" s="290"/>
      <c r="BB153" s="290"/>
      <c r="BC153" s="290"/>
      <c r="BD153" s="290"/>
      <c r="BE153" s="290"/>
      <c r="CA153" s="1548" t="str">
        <f t="shared" si="42"/>
        <v/>
      </c>
      <c r="CB153" s="1548" t="str">
        <f t="shared" si="43"/>
        <v/>
      </c>
      <c r="CC153" s="1548" t="str">
        <f t="shared" si="44"/>
        <v/>
      </c>
      <c r="CD153" s="1548" t="str">
        <f t="shared" si="45"/>
        <v/>
      </c>
      <c r="DA153" s="3311">
        <f t="shared" si="38"/>
        <v>0</v>
      </c>
      <c r="DB153" s="3311">
        <f t="shared" si="39"/>
        <v>0</v>
      </c>
      <c r="DC153" s="3311">
        <f t="shared" si="40"/>
        <v>0</v>
      </c>
      <c r="DD153" s="3311">
        <f t="shared" si="41"/>
        <v>0</v>
      </c>
    </row>
    <row r="154" spans="1:108" ht="16.350000000000001" customHeight="1" x14ac:dyDescent="0.25">
      <c r="A154" s="3540" t="s">
        <v>2575</v>
      </c>
      <c r="B154" s="1133">
        <f>SUM(C154:S154)</f>
        <v>0</v>
      </c>
      <c r="C154" s="2439"/>
      <c r="D154" s="1962"/>
      <c r="E154" s="1962"/>
      <c r="F154" s="1962"/>
      <c r="G154" s="1962"/>
      <c r="H154" s="1962"/>
      <c r="I154" s="1962"/>
      <c r="J154" s="1962"/>
      <c r="K154" s="1962"/>
      <c r="L154" s="1962"/>
      <c r="M154" s="1962"/>
      <c r="N154" s="1962"/>
      <c r="O154" s="1962"/>
      <c r="P154" s="1962"/>
      <c r="Q154" s="1962"/>
      <c r="R154" s="1962"/>
      <c r="S154" s="2031"/>
      <c r="T154" s="2515"/>
      <c r="U154" s="2515"/>
      <c r="V154" s="1455" t="str">
        <f t="shared" si="33"/>
        <v/>
      </c>
      <c r="AR154" s="290"/>
      <c r="AS154" s="290"/>
      <c r="AT154" s="290"/>
      <c r="AU154" s="290"/>
      <c r="AV154" s="290"/>
      <c r="AW154" s="290"/>
      <c r="AX154" s="290"/>
      <c r="AY154" s="290"/>
      <c r="AZ154" s="290"/>
      <c r="BA154" s="290"/>
      <c r="BB154" s="290"/>
      <c r="BC154" s="290"/>
      <c r="BD154" s="290"/>
      <c r="BE154" s="290"/>
      <c r="CA154" s="1548" t="str">
        <f t="shared" si="42"/>
        <v/>
      </c>
      <c r="CB154" s="1548" t="str">
        <f t="shared" si="43"/>
        <v/>
      </c>
      <c r="CC154" s="1548" t="str">
        <f t="shared" si="44"/>
        <v/>
      </c>
      <c r="CD154" s="1548" t="str">
        <f t="shared" si="45"/>
        <v/>
      </c>
      <c r="DA154" s="3311">
        <f t="shared" si="38"/>
        <v>0</v>
      </c>
      <c r="DB154" s="3311">
        <f t="shared" si="39"/>
        <v>0</v>
      </c>
      <c r="DC154" s="3311">
        <f t="shared" si="40"/>
        <v>0</v>
      </c>
      <c r="DD154" s="3311">
        <f t="shared" si="41"/>
        <v>0</v>
      </c>
    </row>
    <row r="155" spans="1:108" ht="16.350000000000001" customHeight="1" x14ac:dyDescent="0.25">
      <c r="A155" s="1549" t="s">
        <v>39</v>
      </c>
      <c r="B155" s="139">
        <f>SUM(B139:B154)</f>
        <v>0</v>
      </c>
      <c r="C155" s="257">
        <f t="shared" ref="C155:T155" si="46">SUM(C139:C154)</f>
        <v>0</v>
      </c>
      <c r="D155" s="1550">
        <f t="shared" si="46"/>
        <v>0</v>
      </c>
      <c r="E155" s="1550">
        <f t="shared" si="46"/>
        <v>0</v>
      </c>
      <c r="F155" s="1550">
        <f t="shared" si="46"/>
        <v>0</v>
      </c>
      <c r="G155" s="1550">
        <f t="shared" si="46"/>
        <v>0</v>
      </c>
      <c r="H155" s="1550">
        <f>SUM(H139:H154)</f>
        <v>0</v>
      </c>
      <c r="I155" s="1550">
        <f t="shared" si="46"/>
        <v>0</v>
      </c>
      <c r="J155" s="1550">
        <f t="shared" si="46"/>
        <v>0</v>
      </c>
      <c r="K155" s="1550">
        <f t="shared" si="46"/>
        <v>0</v>
      </c>
      <c r="L155" s="1550">
        <f t="shared" si="46"/>
        <v>0</v>
      </c>
      <c r="M155" s="1550">
        <f t="shared" si="46"/>
        <v>0</v>
      </c>
      <c r="N155" s="1550">
        <f t="shared" si="46"/>
        <v>0</v>
      </c>
      <c r="O155" s="1550">
        <f t="shared" si="46"/>
        <v>0</v>
      </c>
      <c r="P155" s="1550">
        <f t="shared" si="46"/>
        <v>0</v>
      </c>
      <c r="Q155" s="1550">
        <f t="shared" si="46"/>
        <v>0</v>
      </c>
      <c r="R155" s="1550">
        <f t="shared" si="46"/>
        <v>0</v>
      </c>
      <c r="S155" s="2766">
        <f t="shared" si="46"/>
        <v>0</v>
      </c>
      <c r="T155" s="2735">
        <f t="shared" si="46"/>
        <v>0</v>
      </c>
      <c r="U155" s="2735">
        <f>SUM(U139:U154)</f>
        <v>0</v>
      </c>
      <c r="AR155" s="290"/>
      <c r="AS155" s="290"/>
      <c r="AT155" s="290"/>
      <c r="AU155" s="290"/>
      <c r="AV155" s="290"/>
      <c r="AW155" s="290"/>
      <c r="AX155" s="290"/>
      <c r="AY155" s="290"/>
      <c r="AZ155" s="290"/>
      <c r="BA155" s="290"/>
      <c r="BB155" s="290"/>
      <c r="BC155" s="290"/>
      <c r="BD155" s="290"/>
      <c r="BE155" s="290"/>
    </row>
    <row r="156" spans="1:108" ht="31.35" customHeight="1" x14ac:dyDescent="0.25">
      <c r="A156" s="3501" t="s">
        <v>195</v>
      </c>
      <c r="B156" s="118"/>
      <c r="C156" s="118"/>
      <c r="D156" s="118"/>
      <c r="E156" s="118"/>
      <c r="F156" s="118"/>
      <c r="G156" s="140"/>
      <c r="H156" s="140"/>
      <c r="I156" s="140"/>
      <c r="J156" s="140"/>
      <c r="K156" s="140"/>
      <c r="L156" s="140"/>
      <c r="M156" s="140"/>
      <c r="N156" s="140"/>
      <c r="O156" s="140"/>
      <c r="P156" s="140"/>
      <c r="Q156" s="140"/>
      <c r="R156" s="140"/>
      <c r="S156" s="140"/>
      <c r="T156" s="140"/>
      <c r="U156" s="140"/>
      <c r="V156" s="140"/>
      <c r="W156" s="140"/>
      <c r="X156" s="140"/>
      <c r="Y156" s="140"/>
      <c r="Z156" s="140"/>
      <c r="AA156" s="140"/>
      <c r="AC156" s="199"/>
      <c r="AR156" s="290"/>
      <c r="AS156" s="290"/>
      <c r="AT156" s="290"/>
      <c r="AU156" s="290"/>
      <c r="AV156" s="290"/>
      <c r="AW156" s="290"/>
      <c r="AX156" s="290"/>
      <c r="AY156" s="290"/>
      <c r="AZ156" s="290"/>
      <c r="BA156" s="290"/>
      <c r="BB156" s="290"/>
      <c r="BC156" s="290"/>
      <c r="BD156" s="290"/>
      <c r="BE156" s="290"/>
    </row>
    <row r="157" spans="1:108" ht="16.350000000000001" customHeight="1" x14ac:dyDescent="0.25">
      <c r="A157" s="9087" t="s">
        <v>0</v>
      </c>
      <c r="B157" s="9088"/>
      <c r="C157" s="9087" t="s">
        <v>39</v>
      </c>
      <c r="D157" s="9091"/>
      <c r="E157" s="9088"/>
      <c r="F157" s="9127" t="s">
        <v>98</v>
      </c>
      <c r="G157" s="9128"/>
      <c r="H157" s="9128"/>
      <c r="I157" s="9128"/>
      <c r="J157" s="9128"/>
      <c r="K157" s="9128"/>
      <c r="L157" s="9128"/>
      <c r="M157" s="9128"/>
      <c r="N157" s="9128"/>
      <c r="O157" s="9128"/>
      <c r="P157" s="9128"/>
      <c r="Q157" s="9128"/>
      <c r="R157" s="9128"/>
      <c r="S157" s="9128"/>
      <c r="T157" s="9128"/>
      <c r="U157" s="9128"/>
      <c r="V157" s="9128"/>
      <c r="W157" s="9128"/>
      <c r="X157" s="9128"/>
      <c r="Y157" s="9128"/>
      <c r="Z157" s="9128"/>
      <c r="AA157" s="9128"/>
      <c r="AB157" s="9128"/>
      <c r="AC157" s="9128"/>
      <c r="AD157" s="9128"/>
      <c r="AE157" s="9128"/>
      <c r="AF157" s="9128"/>
      <c r="AG157" s="9128"/>
      <c r="AH157" s="9128"/>
      <c r="AI157" s="9128"/>
      <c r="AJ157" s="9128"/>
      <c r="AK157" s="9128"/>
      <c r="AL157" s="9128"/>
      <c r="AM157" s="9129"/>
      <c r="AN157" s="9074" t="s">
        <v>358</v>
      </c>
      <c r="AO157" s="9074" t="s">
        <v>362</v>
      </c>
      <c r="AP157" s="9082" t="s">
        <v>360</v>
      </c>
      <c r="AQ157" s="9076" t="s">
        <v>359</v>
      </c>
      <c r="AR157" s="290"/>
      <c r="AS157" s="290"/>
      <c r="AT157" s="290"/>
      <c r="AU157" s="290"/>
      <c r="AV157" s="290"/>
      <c r="AW157" s="290"/>
      <c r="AX157" s="290"/>
      <c r="AY157" s="290"/>
      <c r="AZ157" s="290"/>
      <c r="BA157" s="290"/>
      <c r="BB157" s="290"/>
      <c r="BC157" s="290"/>
      <c r="BD157" s="290"/>
      <c r="BE157" s="290"/>
    </row>
    <row r="158" spans="1:108" ht="16.350000000000001" customHeight="1" x14ac:dyDescent="0.25">
      <c r="A158" s="8458"/>
      <c r="B158" s="8437"/>
      <c r="C158" s="9089"/>
      <c r="D158" s="9092"/>
      <c r="E158" s="9090"/>
      <c r="F158" s="8140" t="s">
        <v>397</v>
      </c>
      <c r="G158" s="8141"/>
      <c r="H158" s="8140" t="s">
        <v>54</v>
      </c>
      <c r="I158" s="8141"/>
      <c r="J158" s="8140" t="s">
        <v>79</v>
      </c>
      <c r="K158" s="8141"/>
      <c r="L158" s="8140" t="s">
        <v>80</v>
      </c>
      <c r="M158" s="8141"/>
      <c r="N158" s="8140" t="s">
        <v>81</v>
      </c>
      <c r="O158" s="8141"/>
      <c r="P158" s="8137" t="s">
        <v>82</v>
      </c>
      <c r="Q158" s="8139"/>
      <c r="R158" s="8137" t="s">
        <v>83</v>
      </c>
      <c r="S158" s="8139"/>
      <c r="T158" s="8137" t="s">
        <v>398</v>
      </c>
      <c r="U158" s="8139"/>
      <c r="V158" s="8137" t="s">
        <v>124</v>
      </c>
      <c r="W158" s="8139"/>
      <c r="X158" s="8137" t="s">
        <v>125</v>
      </c>
      <c r="Y158" s="8139"/>
      <c r="Z158" s="8137" t="s">
        <v>126</v>
      </c>
      <c r="AA158" s="8139"/>
      <c r="AB158" s="8137" t="s">
        <v>127</v>
      </c>
      <c r="AC158" s="8139"/>
      <c r="AD158" s="8137" t="s">
        <v>128</v>
      </c>
      <c r="AE158" s="8139"/>
      <c r="AF158" s="8137" t="s">
        <v>129</v>
      </c>
      <c r="AG158" s="8139"/>
      <c r="AH158" s="8137" t="s">
        <v>130</v>
      </c>
      <c r="AI158" s="8139"/>
      <c r="AJ158" s="8137" t="s">
        <v>131</v>
      </c>
      <c r="AK158" s="8139"/>
      <c r="AL158" s="8137" t="s">
        <v>1403</v>
      </c>
      <c r="AM158" s="8138"/>
      <c r="AN158" s="8151"/>
      <c r="AO158" s="8151"/>
      <c r="AP158" s="9083"/>
      <c r="AQ158" s="8192"/>
      <c r="AR158" s="290"/>
      <c r="AS158" s="290"/>
      <c r="AT158" s="290"/>
      <c r="AU158" s="290"/>
      <c r="AV158" s="290"/>
      <c r="AW158" s="290"/>
      <c r="AX158" s="290"/>
      <c r="AY158" s="290"/>
      <c r="AZ158" s="290"/>
      <c r="BA158" s="290"/>
      <c r="BB158" s="290"/>
      <c r="BC158" s="290"/>
      <c r="BD158" s="290"/>
      <c r="BE158" s="290"/>
    </row>
    <row r="159" spans="1:108" ht="16.350000000000001" customHeight="1" x14ac:dyDescent="0.25">
      <c r="A159" s="9089"/>
      <c r="B159" s="9090"/>
      <c r="C159" s="75" t="s">
        <v>42</v>
      </c>
      <c r="D159" s="74" t="s">
        <v>17</v>
      </c>
      <c r="E159" s="2174" t="s">
        <v>18</v>
      </c>
      <c r="F159" s="1937" t="s">
        <v>17</v>
      </c>
      <c r="G159" s="2173" t="s">
        <v>18</v>
      </c>
      <c r="H159" s="1937" t="s">
        <v>17</v>
      </c>
      <c r="I159" s="2173" t="s">
        <v>18</v>
      </c>
      <c r="J159" s="1937" t="s">
        <v>17</v>
      </c>
      <c r="K159" s="2173" t="s">
        <v>18</v>
      </c>
      <c r="L159" s="1937" t="s">
        <v>17</v>
      </c>
      <c r="M159" s="2173" t="s">
        <v>18</v>
      </c>
      <c r="N159" s="1937" t="s">
        <v>17</v>
      </c>
      <c r="O159" s="2173" t="s">
        <v>18</v>
      </c>
      <c r="P159" s="1937" t="s">
        <v>17</v>
      </c>
      <c r="Q159" s="2173" t="s">
        <v>18</v>
      </c>
      <c r="R159" s="1937" t="s">
        <v>17</v>
      </c>
      <c r="S159" s="2173" t="s">
        <v>18</v>
      </c>
      <c r="T159" s="1937" t="s">
        <v>17</v>
      </c>
      <c r="U159" s="2173" t="s">
        <v>18</v>
      </c>
      <c r="V159" s="1937" t="s">
        <v>17</v>
      </c>
      <c r="W159" s="2173" t="s">
        <v>18</v>
      </c>
      <c r="X159" s="1937" t="s">
        <v>17</v>
      </c>
      <c r="Y159" s="2173" t="s">
        <v>18</v>
      </c>
      <c r="Z159" s="1937" t="s">
        <v>17</v>
      </c>
      <c r="AA159" s="2173" t="s">
        <v>18</v>
      </c>
      <c r="AB159" s="1937" t="s">
        <v>17</v>
      </c>
      <c r="AC159" s="2173" t="s">
        <v>18</v>
      </c>
      <c r="AD159" s="1937" t="s">
        <v>17</v>
      </c>
      <c r="AE159" s="2173" t="s">
        <v>18</v>
      </c>
      <c r="AF159" s="1937" t="s">
        <v>17</v>
      </c>
      <c r="AG159" s="2173" t="s">
        <v>18</v>
      </c>
      <c r="AH159" s="1937" t="s">
        <v>17</v>
      </c>
      <c r="AI159" s="2173" t="s">
        <v>18</v>
      </c>
      <c r="AJ159" s="1937" t="s">
        <v>17</v>
      </c>
      <c r="AK159" s="2173" t="s">
        <v>18</v>
      </c>
      <c r="AL159" s="1937" t="s">
        <v>17</v>
      </c>
      <c r="AM159" s="1938" t="s">
        <v>18</v>
      </c>
      <c r="AN159" s="8466"/>
      <c r="AO159" s="8466"/>
      <c r="AP159" s="9084"/>
      <c r="AQ159" s="9077"/>
      <c r="AR159" s="290"/>
      <c r="AS159" s="290"/>
      <c r="AT159" s="290"/>
      <c r="AU159" s="290"/>
      <c r="AV159" s="290"/>
      <c r="AW159" s="290"/>
      <c r="AX159" s="290"/>
      <c r="AY159" s="290"/>
      <c r="AZ159" s="290"/>
      <c r="BA159" s="290"/>
      <c r="BB159" s="290"/>
      <c r="BC159" s="290"/>
      <c r="BD159" s="290"/>
      <c r="BE159" s="290"/>
    </row>
    <row r="160" spans="1:108" ht="16.350000000000001" customHeight="1" x14ac:dyDescent="0.25">
      <c r="A160" s="9093" t="s">
        <v>2585</v>
      </c>
      <c r="B160" s="9094"/>
      <c r="C160" s="243">
        <f>SUM(D160+E160)</f>
        <v>0</v>
      </c>
      <c r="D160" s="282">
        <f>SUM(F160+H160+J160+L160+N160+P160+R160+T160+V160+X160+Z160+AB160+AD160+AF160+AH160+AJ160+AL160)</f>
        <v>0</v>
      </c>
      <c r="E160" s="217">
        <f>SUM(G160+I160+K160+M160+O160+Q160+S160+U160+W160+Y160+AA160+AC160+AE160+AG160+AI160+AK160+AM160)</f>
        <v>0</v>
      </c>
      <c r="F160" s="1914"/>
      <c r="G160" s="1935"/>
      <c r="H160" s="1914"/>
      <c r="I160" s="1935"/>
      <c r="J160" s="1914"/>
      <c r="K160" s="1916"/>
      <c r="L160" s="1914"/>
      <c r="M160" s="1916"/>
      <c r="N160" s="1914"/>
      <c r="O160" s="1916"/>
      <c r="P160" s="1914"/>
      <c r="Q160" s="1916"/>
      <c r="R160" s="1914"/>
      <c r="S160" s="1916"/>
      <c r="T160" s="1914"/>
      <c r="U160" s="1916"/>
      <c r="V160" s="1914"/>
      <c r="W160" s="1916"/>
      <c r="X160" s="1914"/>
      <c r="Y160" s="1916"/>
      <c r="Z160" s="1914"/>
      <c r="AA160" s="1916"/>
      <c r="AB160" s="1914"/>
      <c r="AC160" s="1916"/>
      <c r="AD160" s="1914"/>
      <c r="AE160" s="1916"/>
      <c r="AF160" s="1914"/>
      <c r="AG160" s="1916"/>
      <c r="AH160" s="1914"/>
      <c r="AI160" s="1916"/>
      <c r="AJ160" s="1914"/>
      <c r="AK160" s="1916"/>
      <c r="AL160" s="1930"/>
      <c r="AM160" s="1917"/>
      <c r="AN160" s="1935"/>
      <c r="AO160" s="1933"/>
      <c r="AP160" s="215"/>
      <c r="AQ160" s="216"/>
      <c r="AR160" s="1455" t="str">
        <f>CA160&amp;CB160&amp;CC160&amp;CD160</f>
        <v/>
      </c>
      <c r="AS160" s="802"/>
      <c r="AT160" s="802"/>
      <c r="AU160" s="802"/>
      <c r="AV160" s="802"/>
      <c r="AW160" s="802"/>
      <c r="AX160" s="802"/>
      <c r="AY160" s="802"/>
      <c r="AZ160" s="802"/>
      <c r="BA160" s="802"/>
      <c r="BB160" s="802"/>
      <c r="BC160" s="802"/>
      <c r="BD160" s="290"/>
      <c r="BE160" s="290"/>
      <c r="CA160" s="1457" t="str">
        <f t="shared" ref="CA160:CA168" si="47">IF(DA160=1,"* El número de Beneficiarios NO DEBE ser mayor que el Total. ","")</f>
        <v/>
      </c>
      <c r="CB160" s="1457" t="str">
        <f t="shared" ref="CB160:CB168" si="48">IF(DB160=1,"* No olvide digitar la columna Beneficiarios y/o Pueblos Originarios y/o Migrantes (Digite CEROS si no tiene.). ","")</f>
        <v/>
      </c>
      <c r="CC160" s="1457" t="str">
        <f t="shared" ref="CC160:CC168" si="49">IF(DC160=1,"* El número de Pueblos Originarios y/o Migrantes NO DEBE ser mayor que el Total. ","")</f>
        <v/>
      </c>
      <c r="CD160" s="1457" t="str">
        <f t="shared" ref="CD160:CD168" si="50">IF(DD160=1,"* El número de Controles NO DEBE ser mayor que el Total. ","")</f>
        <v/>
      </c>
      <c r="CE160" s="1457"/>
      <c r="CF160" s="1457"/>
      <c r="DA160" s="3311">
        <f>IF(C160&lt;AN160,1,0)</f>
        <v>0</v>
      </c>
      <c r="DB160" s="3311">
        <f>IF(AND(C160&lt;&gt;0,OR(AN160="",AP160="",AQ160="")),1,0)</f>
        <v>0</v>
      </c>
      <c r="DC160" s="3311">
        <f>IF(OR(C160&lt;AP160,C160&lt;AQ160),1,0)</f>
        <v>0</v>
      </c>
      <c r="DD160" s="3311">
        <f>IF(C160&lt;AO160,1,0)</f>
        <v>0</v>
      </c>
    </row>
    <row r="161" spans="1:111" ht="16.350000000000001" customHeight="1" x14ac:dyDescent="0.25">
      <c r="A161" s="9072" t="s">
        <v>2593</v>
      </c>
      <c r="B161" s="1664" t="s">
        <v>100</v>
      </c>
      <c r="C161" s="250">
        <f>SUM(D161:E161)</f>
        <v>0</v>
      </c>
      <c r="D161" s="283"/>
      <c r="E161" s="1667">
        <f>SUM(K161+M161+O161+Q161+S161+U161+W161+Y161+AA161+AC161+AE161+AG161+AI161+AK161+AM161)</f>
        <v>0</v>
      </c>
      <c r="F161" s="1939"/>
      <c r="G161" s="1940"/>
      <c r="H161" s="1939"/>
      <c r="I161" s="1940"/>
      <c r="J161" s="1939"/>
      <c r="K161" s="1904"/>
      <c r="L161" s="1939"/>
      <c r="M161" s="1904"/>
      <c r="N161" s="1939"/>
      <c r="O161" s="1904"/>
      <c r="P161" s="1939"/>
      <c r="Q161" s="1904"/>
      <c r="R161" s="1939"/>
      <c r="S161" s="1904"/>
      <c r="T161" s="1939"/>
      <c r="U161" s="1904"/>
      <c r="V161" s="1939"/>
      <c r="W161" s="1904"/>
      <c r="X161" s="1939"/>
      <c r="Y161" s="1904"/>
      <c r="Z161" s="1939"/>
      <c r="AA161" s="1904"/>
      <c r="AB161" s="1939"/>
      <c r="AC161" s="1904"/>
      <c r="AD161" s="1939"/>
      <c r="AE161" s="1904"/>
      <c r="AF161" s="1939"/>
      <c r="AG161" s="1904"/>
      <c r="AH161" s="1939"/>
      <c r="AI161" s="1904"/>
      <c r="AJ161" s="1939"/>
      <c r="AK161" s="1904"/>
      <c r="AL161" s="1939"/>
      <c r="AM161" s="1906"/>
      <c r="AN161" s="1899"/>
      <c r="AO161" s="1903"/>
      <c r="AP161" s="134"/>
      <c r="AQ161" s="126"/>
      <c r="AR161" s="1455" t="str">
        <f t="shared" ref="AR161:AR170" si="51">CA161&amp;CB161&amp;CC161&amp;CD161</f>
        <v/>
      </c>
      <c r="AS161" s="802"/>
      <c r="AT161" s="802"/>
      <c r="AU161" s="802"/>
      <c r="AV161" s="802"/>
      <c r="AW161" s="802"/>
      <c r="AX161" s="802"/>
      <c r="AY161" s="802"/>
      <c r="AZ161" s="802"/>
      <c r="BA161" s="802"/>
      <c r="BB161" s="802"/>
      <c r="BC161" s="802"/>
      <c r="BD161" s="290"/>
      <c r="BE161" s="290"/>
      <c r="CA161" s="1457" t="str">
        <f t="shared" si="47"/>
        <v/>
      </c>
      <c r="CB161" s="1457" t="str">
        <f t="shared" si="48"/>
        <v/>
      </c>
      <c r="CC161" s="1457" t="str">
        <f t="shared" si="49"/>
        <v/>
      </c>
      <c r="CD161" s="1457" t="str">
        <f t="shared" si="50"/>
        <v/>
      </c>
      <c r="CE161" s="1457"/>
      <c r="CF161" s="1457"/>
      <c r="DA161" s="3311">
        <f>IF(E161&lt;AN161,1,0)</f>
        <v>0</v>
      </c>
      <c r="DB161" s="3311">
        <f>IF(AND(E161&lt;&gt;0,OR(AN161="",AP161="",AQ161="")),1,0)</f>
        <v>0</v>
      </c>
      <c r="DC161" s="3311">
        <f>IF(OR(E161&lt;AP161,E161&lt;AQ161),1,0)</f>
        <v>0</v>
      </c>
      <c r="DD161" s="3311">
        <f>IF(E161&lt;AO161,1,0)</f>
        <v>0</v>
      </c>
    </row>
    <row r="162" spans="1:111" ht="16.350000000000001" customHeight="1" x14ac:dyDescent="0.25">
      <c r="A162" s="8274"/>
      <c r="B162" s="1840" t="s">
        <v>3458</v>
      </c>
      <c r="C162" s="250">
        <f>SUM(D162:E162)</f>
        <v>0</v>
      </c>
      <c r="D162" s="1663"/>
      <c r="E162" s="1668">
        <f>SUM(K162+M162+O162+Q162+S162+U162+W162+Y162+AA162+AC162+AE162+AG162+AI162+AK162+AM162)</f>
        <v>0</v>
      </c>
      <c r="F162" s="1941"/>
      <c r="G162" s="1841"/>
      <c r="H162" s="1941"/>
      <c r="I162" s="1841"/>
      <c r="J162" s="1941"/>
      <c r="K162" s="1701"/>
      <c r="L162" s="1941"/>
      <c r="M162" s="1701"/>
      <c r="N162" s="1941"/>
      <c r="O162" s="1701"/>
      <c r="P162" s="1941"/>
      <c r="Q162" s="1701"/>
      <c r="R162" s="1941"/>
      <c r="S162" s="1701"/>
      <c r="T162" s="1941"/>
      <c r="U162" s="1701"/>
      <c r="V162" s="1941"/>
      <c r="W162" s="1701"/>
      <c r="X162" s="1941"/>
      <c r="Y162" s="1701"/>
      <c r="Z162" s="1941"/>
      <c r="AA162" s="1701"/>
      <c r="AB162" s="1941"/>
      <c r="AC162" s="1701"/>
      <c r="AD162" s="1941"/>
      <c r="AE162" s="1701"/>
      <c r="AF162" s="1941"/>
      <c r="AG162" s="1701"/>
      <c r="AH162" s="1941"/>
      <c r="AI162" s="1701"/>
      <c r="AJ162" s="1941"/>
      <c r="AK162" s="1701"/>
      <c r="AL162" s="1942"/>
      <c r="AM162" s="1736"/>
      <c r="AN162" s="914"/>
      <c r="AO162" s="1920"/>
      <c r="AP162" s="1618"/>
      <c r="AQ162" s="143"/>
      <c r="AR162" s="1455" t="str">
        <f t="shared" si="51"/>
        <v/>
      </c>
      <c r="AS162" s="802"/>
      <c r="AT162" s="802"/>
      <c r="AU162" s="802"/>
      <c r="AV162" s="802"/>
      <c r="AW162" s="802"/>
      <c r="AX162" s="802"/>
      <c r="AY162" s="802"/>
      <c r="AZ162" s="802"/>
      <c r="BA162" s="802"/>
      <c r="BB162" s="802"/>
      <c r="BC162" s="802"/>
      <c r="BD162" s="290"/>
      <c r="BE162" s="290"/>
      <c r="CA162" s="1457" t="str">
        <f t="shared" si="47"/>
        <v/>
      </c>
      <c r="CB162" s="1457" t="str">
        <f t="shared" si="48"/>
        <v/>
      </c>
      <c r="CC162" s="1457" t="str">
        <f t="shared" si="49"/>
        <v/>
      </c>
      <c r="CD162" s="1457" t="str">
        <f t="shared" si="50"/>
        <v/>
      </c>
      <c r="CE162" s="1457"/>
      <c r="CF162" s="1457"/>
      <c r="DA162" s="3311">
        <f>IF(E162&lt;AN162,1,0)</f>
        <v>0</v>
      </c>
      <c r="DB162" s="3311">
        <f>IF(AND(E162&lt;&gt;0,OR(AN162="",AP162="",AQ162="")),1,0)</f>
        <v>0</v>
      </c>
      <c r="DC162" s="3311">
        <f>IF(OR(E162&lt;AP162,E162&lt;AQ162),1,0)</f>
        <v>0</v>
      </c>
      <c r="DD162" s="3311">
        <f>IF(E162&lt;AO162,1,0)</f>
        <v>0</v>
      </c>
    </row>
    <row r="163" spans="1:111" ht="16.350000000000001" customHeight="1" x14ac:dyDescent="0.25">
      <c r="A163" s="8125"/>
      <c r="B163" s="1665" t="s">
        <v>3459</v>
      </c>
      <c r="C163" s="251">
        <f t="shared" ref="C163:C170" si="52">SUM(D163+E163)</f>
        <v>0</v>
      </c>
      <c r="D163" s="276">
        <f>SUM(F163+H163+J163+L163+N163+P163+R163+T163+V163+X163+Z163+AB163+AD163+AF163+AH163+AJ163+AL163)</f>
        <v>0</v>
      </c>
      <c r="E163" s="158">
        <f>SUM(G163+I163+K163+M163+O163+Q163+S163+U163+W163+Y163+AA163+AC163+AE163+AG163+AI163+AK163+AM163)</f>
        <v>0</v>
      </c>
      <c r="F163" s="1880"/>
      <c r="G163" s="1882"/>
      <c r="H163" s="1880"/>
      <c r="I163" s="1882"/>
      <c r="J163" s="1880"/>
      <c r="K163" s="1882"/>
      <c r="L163" s="1880"/>
      <c r="M163" s="1882"/>
      <c r="N163" s="1880"/>
      <c r="O163" s="1882"/>
      <c r="P163" s="1880"/>
      <c r="Q163" s="1882"/>
      <c r="R163" s="1880"/>
      <c r="S163" s="1882"/>
      <c r="T163" s="1880"/>
      <c r="U163" s="1882"/>
      <c r="V163" s="1880"/>
      <c r="W163" s="1882"/>
      <c r="X163" s="1880"/>
      <c r="Y163" s="1882"/>
      <c r="Z163" s="1880"/>
      <c r="AA163" s="1882"/>
      <c r="AB163" s="1880"/>
      <c r="AC163" s="1882"/>
      <c r="AD163" s="1880"/>
      <c r="AE163" s="1882"/>
      <c r="AF163" s="1880"/>
      <c r="AG163" s="1882"/>
      <c r="AH163" s="1880"/>
      <c r="AI163" s="1882"/>
      <c r="AJ163" s="1880"/>
      <c r="AK163" s="1882"/>
      <c r="AL163" s="1908"/>
      <c r="AM163" s="1872"/>
      <c r="AN163" s="1881"/>
      <c r="AO163" s="1874"/>
      <c r="AP163" s="136"/>
      <c r="AQ163" s="144"/>
      <c r="AR163" s="1455" t="str">
        <f t="shared" si="51"/>
        <v/>
      </c>
      <c r="AS163" s="802"/>
      <c r="AT163" s="802"/>
      <c r="AU163" s="802"/>
      <c r="AV163" s="802"/>
      <c r="AW163" s="802"/>
      <c r="AX163" s="802"/>
      <c r="AY163" s="802"/>
      <c r="AZ163" s="802"/>
      <c r="BA163" s="802"/>
      <c r="BB163" s="802"/>
      <c r="BC163" s="802"/>
      <c r="BD163" s="290"/>
      <c r="BE163" s="290"/>
      <c r="CA163" s="1457" t="str">
        <f t="shared" si="47"/>
        <v/>
      </c>
      <c r="CB163" s="1457" t="str">
        <f t="shared" si="48"/>
        <v/>
      </c>
      <c r="CC163" s="1457" t="str">
        <f t="shared" si="49"/>
        <v/>
      </c>
      <c r="CD163" s="1457" t="str">
        <f t="shared" si="50"/>
        <v/>
      </c>
      <c r="CE163" s="1457"/>
      <c r="CF163" s="1457"/>
      <c r="DA163" s="3311">
        <f t="shared" ref="DA163:DA168" si="53">IF(C163&lt;AN163,1,0)</f>
        <v>0</v>
      </c>
      <c r="DB163" s="3311">
        <f t="shared" ref="DB163:DB168" si="54">IF(AND(C163&lt;&gt;0,OR(AN163="",AP163="",AQ163="")),1,0)</f>
        <v>0</v>
      </c>
      <c r="DC163" s="3311">
        <f t="shared" ref="DC163:DC168" si="55">IF(OR(C163&lt;AP163,C163&lt;AQ163),1,0)</f>
        <v>0</v>
      </c>
      <c r="DD163" s="3311">
        <f t="shared" ref="DD163:DD168" si="56">IF(C163&lt;AO163,1,0)</f>
        <v>0</v>
      </c>
    </row>
    <row r="164" spans="1:111" ht="16.350000000000001" customHeight="1" x14ac:dyDescent="0.25">
      <c r="A164" s="9073"/>
      <c r="B164" s="1666" t="s">
        <v>3460</v>
      </c>
      <c r="C164" s="266">
        <f t="shared" si="52"/>
        <v>0</v>
      </c>
      <c r="D164" s="267">
        <f>SUM(N164+P164+R164+T164+V164+X164+Z164+AB164)</f>
        <v>0</v>
      </c>
      <c r="E164" s="220">
        <f>SUM(O164+Q164+S164+U164+W164+Y164+AA164+AC164)</f>
        <v>0</v>
      </c>
      <c r="F164" s="1713"/>
      <c r="G164" s="1733"/>
      <c r="H164" s="1713"/>
      <c r="I164" s="1733"/>
      <c r="J164" s="1713"/>
      <c r="K164" s="1733"/>
      <c r="L164" s="1713"/>
      <c r="M164" s="1733"/>
      <c r="N164" s="1654"/>
      <c r="O164" s="1883"/>
      <c r="P164" s="1654"/>
      <c r="Q164" s="1883"/>
      <c r="R164" s="1654"/>
      <c r="S164" s="1883"/>
      <c r="T164" s="1654"/>
      <c r="U164" s="1883"/>
      <c r="V164" s="1654"/>
      <c r="W164" s="1883"/>
      <c r="X164" s="1654"/>
      <c r="Y164" s="1883"/>
      <c r="Z164" s="1654"/>
      <c r="AA164" s="1669"/>
      <c r="AB164" s="1654"/>
      <c r="AC164" s="1883"/>
      <c r="AD164" s="1713"/>
      <c r="AE164" s="1733"/>
      <c r="AF164" s="1713"/>
      <c r="AG164" s="1733"/>
      <c r="AH164" s="1713"/>
      <c r="AI164" s="1733"/>
      <c r="AJ164" s="1713"/>
      <c r="AK164" s="1733"/>
      <c r="AL164" s="1713"/>
      <c r="AM164" s="1943"/>
      <c r="AN164" s="1669"/>
      <c r="AO164" s="1687"/>
      <c r="AP164" s="102"/>
      <c r="AQ164" s="127"/>
      <c r="AR164" s="1455" t="str">
        <f t="shared" si="51"/>
        <v/>
      </c>
      <c r="AS164" s="802"/>
      <c r="AT164" s="802"/>
      <c r="AU164" s="802"/>
      <c r="AV164" s="802"/>
      <c r="AW164" s="802"/>
      <c r="AX164" s="802"/>
      <c r="AY164" s="802"/>
      <c r="AZ164" s="802"/>
      <c r="BA164" s="802"/>
      <c r="BB164" s="802"/>
      <c r="BC164" s="802"/>
      <c r="BD164" s="290"/>
      <c r="BE164" s="290"/>
      <c r="CA164" s="1457" t="str">
        <f t="shared" si="47"/>
        <v/>
      </c>
      <c r="CB164" s="1457" t="str">
        <f t="shared" si="48"/>
        <v/>
      </c>
      <c r="CC164" s="1457" t="str">
        <f t="shared" si="49"/>
        <v/>
      </c>
      <c r="CD164" s="1457" t="str">
        <f t="shared" si="50"/>
        <v/>
      </c>
      <c r="CE164" s="1457"/>
      <c r="CF164" s="1457"/>
      <c r="DA164" s="3311">
        <f t="shared" si="53"/>
        <v>0</v>
      </c>
      <c r="DB164" s="3311">
        <f t="shared" si="54"/>
        <v>0</v>
      </c>
      <c r="DC164" s="3311">
        <f t="shared" si="55"/>
        <v>0</v>
      </c>
      <c r="DD164" s="3311">
        <f t="shared" si="56"/>
        <v>0</v>
      </c>
    </row>
    <row r="165" spans="1:111" ht="16.350000000000001" customHeight="1" x14ac:dyDescent="0.25">
      <c r="A165" s="9100" t="s">
        <v>26</v>
      </c>
      <c r="B165" s="9101"/>
      <c r="C165" s="248">
        <f t="shared" si="52"/>
        <v>0</v>
      </c>
      <c r="D165" s="271">
        <f t="shared" ref="D165:E170" si="57">SUM(F165+H165+J165+L165+N165+P165+R165+T165+V165+X165+Z165+AB165+AD165+AF165+AH165+AJ165+AL165)</f>
        <v>0</v>
      </c>
      <c r="E165" s="151">
        <f t="shared" si="57"/>
        <v>0</v>
      </c>
      <c r="F165" s="1923"/>
      <c r="G165" s="914"/>
      <c r="H165" s="1923"/>
      <c r="I165" s="914"/>
      <c r="J165" s="1923"/>
      <c r="K165" s="1701"/>
      <c r="L165" s="1923"/>
      <c r="M165" s="1701"/>
      <c r="N165" s="1923"/>
      <c r="O165" s="1701"/>
      <c r="P165" s="1923"/>
      <c r="Q165" s="1701"/>
      <c r="R165" s="1923"/>
      <c r="S165" s="1701"/>
      <c r="T165" s="1923"/>
      <c r="U165" s="1701"/>
      <c r="V165" s="1923"/>
      <c r="W165" s="1701"/>
      <c r="X165" s="1923"/>
      <c r="Y165" s="1701"/>
      <c r="Z165" s="1923"/>
      <c r="AA165" s="1701"/>
      <c r="AB165" s="1923"/>
      <c r="AC165" s="1701"/>
      <c r="AD165" s="1923"/>
      <c r="AE165" s="1701"/>
      <c r="AF165" s="1923"/>
      <c r="AG165" s="1701"/>
      <c r="AH165" s="1923"/>
      <c r="AI165" s="914"/>
      <c r="AJ165" s="1923"/>
      <c r="AK165" s="914"/>
      <c r="AL165" s="1924"/>
      <c r="AM165" s="1736"/>
      <c r="AN165" s="914"/>
      <c r="AO165" s="1920"/>
      <c r="AP165" s="100"/>
      <c r="AQ165" s="143"/>
      <c r="AR165" s="1455" t="str">
        <f t="shared" si="51"/>
        <v/>
      </c>
      <c r="AS165" s="802"/>
      <c r="AT165" s="802"/>
      <c r="AU165" s="802"/>
      <c r="AV165" s="802"/>
      <c r="AW165" s="802"/>
      <c r="AX165" s="802"/>
      <c r="AY165" s="802"/>
      <c r="AZ165" s="802"/>
      <c r="BA165" s="802"/>
      <c r="BB165" s="802"/>
      <c r="BC165" s="802"/>
      <c r="BD165" s="290"/>
      <c r="BE165" s="290"/>
      <c r="CA165" s="1457" t="str">
        <f t="shared" si="47"/>
        <v/>
      </c>
      <c r="CB165" s="1457" t="str">
        <f t="shared" si="48"/>
        <v/>
      </c>
      <c r="CC165" s="1457" t="str">
        <f t="shared" si="49"/>
        <v/>
      </c>
      <c r="CD165" s="1457" t="str">
        <f t="shared" si="50"/>
        <v/>
      </c>
      <c r="CE165" s="1457"/>
      <c r="CF165" s="1457"/>
      <c r="DA165" s="3311">
        <f t="shared" si="53"/>
        <v>0</v>
      </c>
      <c r="DB165" s="3311">
        <f t="shared" si="54"/>
        <v>0</v>
      </c>
      <c r="DC165" s="3311">
        <f t="shared" si="55"/>
        <v>0</v>
      </c>
      <c r="DD165" s="3311">
        <f t="shared" si="56"/>
        <v>0</v>
      </c>
    </row>
    <row r="166" spans="1:111" ht="16.350000000000001" customHeight="1" x14ac:dyDescent="0.25">
      <c r="A166" s="8407" t="s">
        <v>2595</v>
      </c>
      <c r="B166" s="9095"/>
      <c r="C166" s="275">
        <f t="shared" si="52"/>
        <v>0</v>
      </c>
      <c r="D166" s="276">
        <f t="shared" si="57"/>
        <v>0</v>
      </c>
      <c r="E166" s="158">
        <f t="shared" si="57"/>
        <v>0</v>
      </c>
      <c r="F166" s="1880"/>
      <c r="G166" s="1881"/>
      <c r="H166" s="1880"/>
      <c r="I166" s="1881"/>
      <c r="J166" s="1880"/>
      <c r="K166" s="1882"/>
      <c r="L166" s="1880"/>
      <c r="M166" s="1882"/>
      <c r="N166" s="1880"/>
      <c r="O166" s="1882"/>
      <c r="P166" s="1880"/>
      <c r="Q166" s="1882"/>
      <c r="R166" s="1880"/>
      <c r="S166" s="1882"/>
      <c r="T166" s="1880"/>
      <c r="U166" s="1882"/>
      <c r="V166" s="1880"/>
      <c r="W166" s="1882"/>
      <c r="X166" s="1880"/>
      <c r="Y166" s="1882"/>
      <c r="Z166" s="1880"/>
      <c r="AA166" s="1882"/>
      <c r="AB166" s="1880"/>
      <c r="AC166" s="1881"/>
      <c r="AD166" s="1880"/>
      <c r="AE166" s="1881"/>
      <c r="AF166" s="1880"/>
      <c r="AG166" s="1881"/>
      <c r="AH166" s="1880"/>
      <c r="AI166" s="1881"/>
      <c r="AJ166" s="1880"/>
      <c r="AK166" s="1881"/>
      <c r="AL166" s="1908"/>
      <c r="AM166" s="1872"/>
      <c r="AN166" s="1881"/>
      <c r="AO166" s="1874"/>
      <c r="AP166" s="136"/>
      <c r="AQ166" s="144"/>
      <c r="AR166" s="1455" t="str">
        <f t="shared" si="51"/>
        <v/>
      </c>
      <c r="AS166" s="802"/>
      <c r="AT166" s="802"/>
      <c r="AU166" s="802"/>
      <c r="AV166" s="802"/>
      <c r="AW166" s="802"/>
      <c r="AX166" s="802"/>
      <c r="AY166" s="802"/>
      <c r="AZ166" s="802"/>
      <c r="BA166" s="802"/>
      <c r="BB166" s="802"/>
      <c r="BC166" s="802"/>
      <c r="BD166" s="290"/>
      <c r="BE166" s="290"/>
      <c r="CA166" s="1457" t="str">
        <f t="shared" si="47"/>
        <v/>
      </c>
      <c r="CB166" s="1457" t="str">
        <f t="shared" si="48"/>
        <v/>
      </c>
      <c r="CC166" s="1457" t="str">
        <f t="shared" si="49"/>
        <v/>
      </c>
      <c r="CD166" s="1457" t="str">
        <f t="shared" si="50"/>
        <v/>
      </c>
      <c r="CE166" s="1457"/>
      <c r="CF166" s="1457"/>
      <c r="DA166" s="3311">
        <f t="shared" si="53"/>
        <v>0</v>
      </c>
      <c r="DB166" s="3311">
        <f t="shared" si="54"/>
        <v>0</v>
      </c>
      <c r="DC166" s="3311">
        <f t="shared" si="55"/>
        <v>0</v>
      </c>
      <c r="DD166" s="3311">
        <f t="shared" si="56"/>
        <v>0</v>
      </c>
    </row>
    <row r="167" spans="1:111" ht="16.350000000000001" customHeight="1" x14ac:dyDescent="0.25">
      <c r="A167" s="9102" t="s">
        <v>2586</v>
      </c>
      <c r="B167" s="9103"/>
      <c r="C167" s="284">
        <f t="shared" si="52"/>
        <v>0</v>
      </c>
      <c r="D167" s="285">
        <f t="shared" si="57"/>
        <v>0</v>
      </c>
      <c r="E167" s="158">
        <f t="shared" si="57"/>
        <v>0</v>
      </c>
      <c r="F167" s="1880"/>
      <c r="G167" s="1881"/>
      <c r="H167" s="1880"/>
      <c r="I167" s="1881"/>
      <c r="J167" s="1880"/>
      <c r="K167" s="1882"/>
      <c r="L167" s="1880"/>
      <c r="M167" s="1882"/>
      <c r="N167" s="1880"/>
      <c r="O167" s="1882"/>
      <c r="P167" s="1880"/>
      <c r="Q167" s="1882"/>
      <c r="R167" s="1880"/>
      <c r="S167" s="1882"/>
      <c r="T167" s="1880"/>
      <c r="U167" s="1882"/>
      <c r="V167" s="1880"/>
      <c r="W167" s="1882"/>
      <c r="X167" s="1880"/>
      <c r="Y167" s="1882"/>
      <c r="Z167" s="1880"/>
      <c r="AA167" s="1882"/>
      <c r="AB167" s="1880"/>
      <c r="AC167" s="1881"/>
      <c r="AD167" s="1880"/>
      <c r="AE167" s="1881"/>
      <c r="AF167" s="1880"/>
      <c r="AG167" s="1881"/>
      <c r="AH167" s="1880"/>
      <c r="AI167" s="1881"/>
      <c r="AJ167" s="1880"/>
      <c r="AK167" s="1881"/>
      <c r="AL167" s="1908"/>
      <c r="AM167" s="1872"/>
      <c r="AN167" s="1881"/>
      <c r="AO167" s="1874"/>
      <c r="AP167" s="136"/>
      <c r="AQ167" s="144"/>
      <c r="AR167" s="1455" t="str">
        <f t="shared" si="51"/>
        <v/>
      </c>
      <c r="AS167" s="802"/>
      <c r="AT167" s="802"/>
      <c r="AU167" s="802"/>
      <c r="AV167" s="802"/>
      <c r="AW167" s="802"/>
      <c r="AX167" s="802"/>
      <c r="AY167" s="802"/>
      <c r="AZ167" s="802"/>
      <c r="BA167" s="802"/>
      <c r="BB167" s="802"/>
      <c r="BC167" s="802"/>
      <c r="BD167" s="290"/>
      <c r="BE167" s="290"/>
      <c r="CA167" s="1457" t="str">
        <f t="shared" si="47"/>
        <v/>
      </c>
      <c r="CB167" s="1457" t="str">
        <f t="shared" si="48"/>
        <v/>
      </c>
      <c r="CC167" s="1457" t="str">
        <f t="shared" si="49"/>
        <v/>
      </c>
      <c r="CD167" s="1457" t="str">
        <f t="shared" si="50"/>
        <v/>
      </c>
      <c r="CE167" s="1457"/>
      <c r="CF167" s="1457"/>
      <c r="DA167" s="3311">
        <f t="shared" si="53"/>
        <v>0</v>
      </c>
      <c r="DB167" s="3311">
        <f t="shared" si="54"/>
        <v>0</v>
      </c>
      <c r="DC167" s="3311">
        <f t="shared" si="55"/>
        <v>0</v>
      </c>
      <c r="DD167" s="3311">
        <f t="shared" si="56"/>
        <v>0</v>
      </c>
    </row>
    <row r="168" spans="1:111" ht="16.350000000000001" customHeight="1" x14ac:dyDescent="0.25">
      <c r="A168" s="8407" t="s">
        <v>2596</v>
      </c>
      <c r="B168" s="9095"/>
      <c r="C168" s="275">
        <f t="shared" si="52"/>
        <v>0</v>
      </c>
      <c r="D168" s="276">
        <f t="shared" si="57"/>
        <v>0</v>
      </c>
      <c r="E168" s="158">
        <f t="shared" si="57"/>
        <v>0</v>
      </c>
      <c r="F168" s="1880"/>
      <c r="G168" s="1881"/>
      <c r="H168" s="1880"/>
      <c r="I168" s="1881"/>
      <c r="J168" s="1880"/>
      <c r="K168" s="1882"/>
      <c r="L168" s="1880"/>
      <c r="M168" s="1882"/>
      <c r="N168" s="1880"/>
      <c r="O168" s="1882"/>
      <c r="P168" s="1880"/>
      <c r="Q168" s="1882"/>
      <c r="R168" s="1880"/>
      <c r="S168" s="1882"/>
      <c r="T168" s="1880"/>
      <c r="U168" s="1882"/>
      <c r="V168" s="1880"/>
      <c r="W168" s="1882"/>
      <c r="X168" s="1880"/>
      <c r="Y168" s="1882"/>
      <c r="Z168" s="1880"/>
      <c r="AA168" s="1882"/>
      <c r="AB168" s="1880"/>
      <c r="AC168" s="1882"/>
      <c r="AD168" s="1880"/>
      <c r="AE168" s="1882"/>
      <c r="AF168" s="1880"/>
      <c r="AG168" s="1882"/>
      <c r="AH168" s="1880"/>
      <c r="AI168" s="1881"/>
      <c r="AJ168" s="1880"/>
      <c r="AK168" s="1881"/>
      <c r="AL168" s="1908"/>
      <c r="AM168" s="1872"/>
      <c r="AN168" s="1881"/>
      <c r="AO168" s="1874"/>
      <c r="AP168" s="136"/>
      <c r="AQ168" s="144"/>
      <c r="AR168" s="1455" t="str">
        <f t="shared" si="51"/>
        <v/>
      </c>
      <c r="AS168" s="802"/>
      <c r="AT168" s="802"/>
      <c r="AU168" s="802"/>
      <c r="AV168" s="802"/>
      <c r="AW168" s="802"/>
      <c r="AX168" s="802"/>
      <c r="AY168" s="802"/>
      <c r="AZ168" s="802"/>
      <c r="BA168" s="802"/>
      <c r="BB168" s="802"/>
      <c r="BC168" s="802"/>
      <c r="BD168" s="290"/>
      <c r="BE168" s="290"/>
      <c r="CA168" s="1457" t="str">
        <f t="shared" si="47"/>
        <v/>
      </c>
      <c r="CB168" s="1457" t="str">
        <f t="shared" si="48"/>
        <v/>
      </c>
      <c r="CC168" s="1457" t="str">
        <f t="shared" si="49"/>
        <v/>
      </c>
      <c r="CD168" s="1457" t="str">
        <f t="shared" si="50"/>
        <v/>
      </c>
      <c r="CE168" s="1457"/>
      <c r="CF168" s="1457"/>
      <c r="DA168" s="3311">
        <f t="shared" si="53"/>
        <v>0</v>
      </c>
      <c r="DB168" s="3311">
        <f t="shared" si="54"/>
        <v>0</v>
      </c>
      <c r="DC168" s="3311">
        <f t="shared" si="55"/>
        <v>0</v>
      </c>
      <c r="DD168" s="3311">
        <f t="shared" si="56"/>
        <v>0</v>
      </c>
    </row>
    <row r="169" spans="1:111" ht="16.350000000000001" customHeight="1" x14ac:dyDescent="0.25">
      <c r="A169" s="9085" t="s">
        <v>2590</v>
      </c>
      <c r="B169" s="9086"/>
      <c r="C169" s="3275">
        <f>SUM(D169+E169)</f>
        <v>0</v>
      </c>
      <c r="D169" s="3276">
        <f>SUM(F169+H169+J169+L169+N169+P169+R169+T169+V169+X169+Z169+AB169+AD169+AF169+AH169+AJ169+AL169)</f>
        <v>0</v>
      </c>
      <c r="E169" s="3277">
        <f>SUM(G169+I169+K169+M169+O169+Q169+S169+U169+W169+Y169+AA169+AC169+AE169+AG169+AI169+AK169+AM169)</f>
        <v>0</v>
      </c>
      <c r="F169" s="3278"/>
      <c r="G169" s="3279"/>
      <c r="H169" s="3278"/>
      <c r="I169" s="3279"/>
      <c r="J169" s="3278"/>
      <c r="K169" s="3280"/>
      <c r="L169" s="3278"/>
      <c r="M169" s="3280"/>
      <c r="N169" s="3278"/>
      <c r="O169" s="3280"/>
      <c r="P169" s="3278"/>
      <c r="Q169" s="3280"/>
      <c r="R169" s="3278"/>
      <c r="S169" s="3280"/>
      <c r="T169" s="3278"/>
      <c r="U169" s="3280"/>
      <c r="V169" s="3278"/>
      <c r="W169" s="3280"/>
      <c r="X169" s="3278"/>
      <c r="Y169" s="3280"/>
      <c r="Z169" s="3278"/>
      <c r="AA169" s="3280"/>
      <c r="AB169" s="3278"/>
      <c r="AC169" s="3280"/>
      <c r="AD169" s="3278"/>
      <c r="AE169" s="3280"/>
      <c r="AF169" s="3278"/>
      <c r="AG169" s="3280"/>
      <c r="AH169" s="3278"/>
      <c r="AI169" s="3279"/>
      <c r="AJ169" s="3278"/>
      <c r="AK169" s="3279"/>
      <c r="AL169" s="2597"/>
      <c r="AM169" s="2894"/>
      <c r="AN169" s="3279"/>
      <c r="AO169" s="3213"/>
      <c r="AP169" s="2852"/>
      <c r="AQ169" s="3279"/>
      <c r="AR169" s="2975"/>
      <c r="AS169" s="802"/>
      <c r="AT169" s="802"/>
      <c r="AU169" s="802"/>
      <c r="AV169" s="802"/>
      <c r="AW169" s="802"/>
      <c r="AX169" s="802"/>
      <c r="AY169" s="802"/>
      <c r="AZ169" s="802"/>
      <c r="BA169" s="802"/>
      <c r="BB169" s="802"/>
      <c r="BC169" s="802"/>
      <c r="BD169" s="290"/>
      <c r="BE169" s="290"/>
      <c r="CA169" s="1457"/>
      <c r="CB169" s="1457"/>
      <c r="CC169" s="1457"/>
      <c r="CD169" s="1457"/>
      <c r="CE169" s="1457"/>
      <c r="CF169" s="1457"/>
      <c r="DA169" s="3311"/>
      <c r="DB169" s="3311"/>
      <c r="DC169" s="3311"/>
      <c r="DD169" s="3311"/>
    </row>
    <row r="170" spans="1:111" ht="16.350000000000001" customHeight="1" x14ac:dyDescent="0.25">
      <c r="A170" s="8410" t="s">
        <v>62</v>
      </c>
      <c r="B170" s="8411"/>
      <c r="C170" s="249">
        <f t="shared" si="52"/>
        <v>0</v>
      </c>
      <c r="D170" s="277">
        <f t="shared" si="57"/>
        <v>0</v>
      </c>
      <c r="E170" s="152">
        <f t="shared" si="57"/>
        <v>0</v>
      </c>
      <c r="F170" s="1654"/>
      <c r="G170" s="1669"/>
      <c r="H170" s="1654"/>
      <c r="I170" s="1669"/>
      <c r="J170" s="1654"/>
      <c r="K170" s="1883"/>
      <c r="L170" s="1654"/>
      <c r="M170" s="1883"/>
      <c r="N170" s="1654"/>
      <c r="O170" s="1883"/>
      <c r="P170" s="1654"/>
      <c r="Q170" s="1883"/>
      <c r="R170" s="1654"/>
      <c r="S170" s="1883"/>
      <c r="T170" s="1654"/>
      <c r="U170" s="1883"/>
      <c r="V170" s="1654"/>
      <c r="W170" s="1883"/>
      <c r="X170" s="1654"/>
      <c r="Y170" s="1883"/>
      <c r="Z170" s="1654"/>
      <c r="AA170" s="1883"/>
      <c r="AB170" s="1654"/>
      <c r="AC170" s="1883"/>
      <c r="AD170" s="1654"/>
      <c r="AE170" s="1883"/>
      <c r="AF170" s="1654"/>
      <c r="AG170" s="1883"/>
      <c r="AH170" s="1654"/>
      <c r="AI170" s="1883"/>
      <c r="AJ170" s="1654"/>
      <c r="AK170" s="1883"/>
      <c r="AL170" s="1670"/>
      <c r="AM170" s="1876"/>
      <c r="AN170" s="1669"/>
      <c r="AO170" s="1687"/>
      <c r="AP170" s="102"/>
      <c r="AQ170" s="127"/>
      <c r="AR170" s="1455" t="str">
        <f t="shared" si="51"/>
        <v/>
      </c>
      <c r="AS170" s="802"/>
      <c r="AT170" s="802"/>
      <c r="AU170" s="802"/>
      <c r="AV170" s="802"/>
      <c r="AW170" s="802"/>
      <c r="AX170" s="802"/>
      <c r="AY170" s="802"/>
      <c r="AZ170" s="802"/>
      <c r="BA170" s="802"/>
      <c r="BB170" s="802"/>
      <c r="BC170" s="802"/>
      <c r="BD170" s="290"/>
      <c r="BE170" s="290"/>
      <c r="CA170" s="1457" t="str">
        <f>IF(DA170=1,"* El número de Beneficiarios NO DEBE ser mayor que el Total. ","")</f>
        <v/>
      </c>
      <c r="CB170" s="1457" t="str">
        <f>IF(DB170=1,"* No olvide digitar la columna Beneficiarios y/o Pueblos Originarios y/o Migrantes (Digite CEROS si no tiene.). ","")</f>
        <v/>
      </c>
      <c r="CC170" s="1457" t="str">
        <f>IF(DC170=1,"* El número de Pueblos Originarios y/o Migrantes NO DEBE ser mayor que el Total. ","")</f>
        <v/>
      </c>
      <c r="CD170" s="1457" t="str">
        <f>IF(DD170=1,"* El número de Controles NO DEBE ser mayor que el Total. ","")</f>
        <v/>
      </c>
      <c r="CE170" s="1457"/>
      <c r="CF170" s="1457"/>
      <c r="DA170" s="3311">
        <f>IF(C170&lt;AN170,1,0)</f>
        <v>0</v>
      </c>
      <c r="DB170" s="3311">
        <f>IF(AND(C170&lt;&gt;0,OR(AN170="",AP170="",AQ170="")),1,0)</f>
        <v>0</v>
      </c>
      <c r="DC170" s="3311">
        <f>IF(OR(C170&lt;AP170,C170&lt;AQ170),1,0)</f>
        <v>0</v>
      </c>
      <c r="DD170" s="3311">
        <f>IF(C170&lt;AO170,1,0)</f>
        <v>0</v>
      </c>
    </row>
    <row r="171" spans="1:111" ht="16.350000000000001" customHeight="1" x14ac:dyDescent="0.25">
      <c r="A171" s="9130" t="s">
        <v>24</v>
      </c>
      <c r="B171" s="9131"/>
      <c r="C171" s="219">
        <f t="shared" ref="C171:AQ171" si="58">SUM(C160:C170)</f>
        <v>0</v>
      </c>
      <c r="D171" s="272">
        <f t="shared" si="58"/>
        <v>0</v>
      </c>
      <c r="E171" s="220">
        <f t="shared" si="58"/>
        <v>0</v>
      </c>
      <c r="F171" s="1688">
        <f t="shared" si="58"/>
        <v>0</v>
      </c>
      <c r="G171" s="1936">
        <f t="shared" si="58"/>
        <v>0</v>
      </c>
      <c r="H171" s="1688">
        <f t="shared" si="58"/>
        <v>0</v>
      </c>
      <c r="I171" s="1936">
        <f t="shared" si="58"/>
        <v>0</v>
      </c>
      <c r="J171" s="1909">
        <f t="shared" si="58"/>
        <v>0</v>
      </c>
      <c r="K171" s="1910">
        <f t="shared" si="58"/>
        <v>0</v>
      </c>
      <c r="L171" s="1909">
        <f t="shared" si="58"/>
        <v>0</v>
      </c>
      <c r="M171" s="1910">
        <f t="shared" si="58"/>
        <v>0</v>
      </c>
      <c r="N171" s="1909">
        <f t="shared" si="58"/>
        <v>0</v>
      </c>
      <c r="O171" s="1910">
        <f t="shared" si="58"/>
        <v>0</v>
      </c>
      <c r="P171" s="1909">
        <f t="shared" si="58"/>
        <v>0</v>
      </c>
      <c r="Q171" s="1910">
        <f t="shared" si="58"/>
        <v>0</v>
      </c>
      <c r="R171" s="1909">
        <f t="shared" si="58"/>
        <v>0</v>
      </c>
      <c r="S171" s="1910">
        <f t="shared" si="58"/>
        <v>0</v>
      </c>
      <c r="T171" s="1909">
        <f t="shared" si="58"/>
        <v>0</v>
      </c>
      <c r="U171" s="1910">
        <f t="shared" si="58"/>
        <v>0</v>
      </c>
      <c r="V171" s="1909">
        <f t="shared" si="58"/>
        <v>0</v>
      </c>
      <c r="W171" s="1910">
        <f t="shared" si="58"/>
        <v>0</v>
      </c>
      <c r="X171" s="1909">
        <f t="shared" si="58"/>
        <v>0</v>
      </c>
      <c r="Y171" s="1910">
        <f t="shared" si="58"/>
        <v>0</v>
      </c>
      <c r="Z171" s="1909">
        <f t="shared" si="58"/>
        <v>0</v>
      </c>
      <c r="AA171" s="1910">
        <f t="shared" si="58"/>
        <v>0</v>
      </c>
      <c r="AB171" s="1909">
        <f t="shared" si="58"/>
        <v>0</v>
      </c>
      <c r="AC171" s="1910">
        <f t="shared" si="58"/>
        <v>0</v>
      </c>
      <c r="AD171" s="1909">
        <f t="shared" si="58"/>
        <v>0</v>
      </c>
      <c r="AE171" s="1910">
        <f t="shared" si="58"/>
        <v>0</v>
      </c>
      <c r="AF171" s="1909">
        <f t="shared" si="58"/>
        <v>0</v>
      </c>
      <c r="AG171" s="1910">
        <f t="shared" si="58"/>
        <v>0</v>
      </c>
      <c r="AH171" s="1909">
        <f t="shared" si="58"/>
        <v>0</v>
      </c>
      <c r="AI171" s="1910">
        <f t="shared" si="58"/>
        <v>0</v>
      </c>
      <c r="AJ171" s="1909">
        <f t="shared" si="58"/>
        <v>0</v>
      </c>
      <c r="AK171" s="1910">
        <f t="shared" si="58"/>
        <v>0</v>
      </c>
      <c r="AL171" s="1911">
        <f t="shared" si="58"/>
        <v>0</v>
      </c>
      <c r="AM171" s="1912">
        <f t="shared" si="58"/>
        <v>0</v>
      </c>
      <c r="AN171" s="1936">
        <f t="shared" si="58"/>
        <v>0</v>
      </c>
      <c r="AO171" s="1934">
        <f t="shared" si="58"/>
        <v>0</v>
      </c>
      <c r="AP171" s="268">
        <f t="shared" si="58"/>
        <v>0</v>
      </c>
      <c r="AQ171" s="182">
        <f t="shared" si="58"/>
        <v>0</v>
      </c>
      <c r="AR171" s="288" t="s">
        <v>196</v>
      </c>
      <c r="AS171" s="290"/>
      <c r="AT171" s="290"/>
      <c r="AU171" s="290"/>
      <c r="AV171" s="290"/>
      <c r="AW171" s="290"/>
      <c r="AX171" s="290"/>
      <c r="AY171" s="290"/>
      <c r="AZ171" s="290"/>
      <c r="BA171" s="290"/>
      <c r="BB171" s="290"/>
      <c r="BC171" s="290"/>
      <c r="BD171" s="290"/>
      <c r="BE171" s="290"/>
    </row>
    <row r="172" spans="1:111" ht="31.35" customHeight="1" x14ac:dyDescent="0.25">
      <c r="A172" s="3543" t="s">
        <v>363</v>
      </c>
      <c r="B172" s="162"/>
      <c r="C172" s="162"/>
      <c r="D172" s="162"/>
      <c r="E172" s="162"/>
      <c r="F172" s="162"/>
      <c r="G172" s="224"/>
      <c r="H172" s="224"/>
      <c r="I172" s="224"/>
      <c r="J172" s="140"/>
      <c r="K172" s="140"/>
      <c r="L172" s="140"/>
      <c r="M172" s="153"/>
      <c r="N172" s="140"/>
      <c r="O172" s="140"/>
      <c r="P172" s="140"/>
      <c r="Q172" s="140"/>
      <c r="R172" s="140"/>
      <c r="S172" s="140"/>
      <c r="T172" s="140"/>
      <c r="U172" s="140"/>
      <c r="V172" s="140"/>
      <c r="W172" s="140"/>
      <c r="X172" s="140"/>
      <c r="Y172" s="140"/>
      <c r="Z172" s="140"/>
      <c r="AA172" s="140"/>
      <c r="AB172" s="140"/>
      <c r="AC172" s="140"/>
      <c r="AD172" s="140"/>
      <c r="AE172" s="140"/>
      <c r="AF172" s="140"/>
      <c r="AG172" s="140"/>
      <c r="AH172" s="140"/>
      <c r="AI172" s="140"/>
      <c r="AJ172" s="140"/>
      <c r="AK172" s="140"/>
      <c r="AL172" s="140"/>
      <c r="AM172" s="140"/>
      <c r="AN172" s="140"/>
      <c r="AO172" s="140"/>
      <c r="AP172" s="140"/>
      <c r="AQ172" s="140"/>
      <c r="AR172" s="290"/>
      <c r="AS172" s="290"/>
      <c r="AT172" s="290"/>
      <c r="AU172" s="290"/>
      <c r="AV172" s="290"/>
      <c r="AW172" s="290"/>
      <c r="AX172" s="290"/>
      <c r="AY172" s="290"/>
      <c r="AZ172" s="290"/>
      <c r="BA172" s="290"/>
      <c r="BB172" s="290"/>
      <c r="BC172" s="290"/>
      <c r="BD172" s="290"/>
      <c r="BE172" s="290"/>
    </row>
    <row r="173" spans="1:111" ht="21.75" customHeight="1" x14ac:dyDescent="0.25">
      <c r="A173" s="9135" t="s">
        <v>41</v>
      </c>
      <c r="B173" s="9072" t="s">
        <v>0</v>
      </c>
      <c r="C173" s="9087" t="s">
        <v>39</v>
      </c>
      <c r="D173" s="9091"/>
      <c r="E173" s="9088"/>
      <c r="F173" s="9127" t="s">
        <v>98</v>
      </c>
      <c r="G173" s="9128"/>
      <c r="H173" s="9128"/>
      <c r="I173" s="9128"/>
      <c r="J173" s="9128"/>
      <c r="K173" s="9128"/>
      <c r="L173" s="9128"/>
      <c r="M173" s="9128"/>
      <c r="N173" s="9128"/>
      <c r="O173" s="9128"/>
      <c r="P173" s="9128"/>
      <c r="Q173" s="9128"/>
      <c r="R173" s="9128"/>
      <c r="S173" s="9128"/>
      <c r="T173" s="9128"/>
      <c r="U173" s="9128"/>
      <c r="V173" s="9128"/>
      <c r="W173" s="9128"/>
      <c r="X173" s="9128"/>
      <c r="Y173" s="9128"/>
      <c r="Z173" s="9128"/>
      <c r="AA173" s="9128"/>
      <c r="AB173" s="9128"/>
      <c r="AC173" s="9128"/>
      <c r="AD173" s="9128"/>
      <c r="AE173" s="9128"/>
      <c r="AF173" s="9128"/>
      <c r="AG173" s="9128"/>
      <c r="AH173" s="9128"/>
      <c r="AI173" s="9128"/>
      <c r="AJ173" s="9128"/>
      <c r="AK173" s="9128"/>
      <c r="AL173" s="9128"/>
      <c r="AM173" s="9129"/>
      <c r="AN173" s="9075" t="s">
        <v>358</v>
      </c>
      <c r="AO173" s="9078" t="s">
        <v>361</v>
      </c>
      <c r="AP173" s="9079"/>
      <c r="AQ173" s="9096" t="s">
        <v>360</v>
      </c>
      <c r="AR173" s="9076" t="s">
        <v>359</v>
      </c>
      <c r="AS173" s="9072" t="s">
        <v>3457</v>
      </c>
      <c r="AT173" s="9072" t="s">
        <v>2607</v>
      </c>
      <c r="AU173" s="290"/>
      <c r="AV173" s="290"/>
      <c r="AW173" s="290"/>
      <c r="AX173" s="290"/>
      <c r="AY173" s="290"/>
      <c r="AZ173" s="290"/>
      <c r="BA173" s="290"/>
      <c r="BB173" s="290"/>
      <c r="BC173" s="290"/>
      <c r="BD173" s="290"/>
      <c r="BE173" s="290"/>
      <c r="BF173" s="290"/>
      <c r="BG173" s="290"/>
      <c r="BX173" s="165"/>
    </row>
    <row r="174" spans="1:111" ht="22.5" customHeight="1" x14ac:dyDescent="0.25">
      <c r="A174" s="8189"/>
      <c r="B174" s="8125"/>
      <c r="C174" s="9089"/>
      <c r="D174" s="9092"/>
      <c r="E174" s="9090"/>
      <c r="F174" s="8140" t="s">
        <v>397</v>
      </c>
      <c r="G174" s="8141"/>
      <c r="H174" s="8140" t="s">
        <v>54</v>
      </c>
      <c r="I174" s="8141"/>
      <c r="J174" s="8140" t="s">
        <v>79</v>
      </c>
      <c r="K174" s="8141"/>
      <c r="L174" s="8140" t="s">
        <v>80</v>
      </c>
      <c r="M174" s="8141"/>
      <c r="N174" s="8140" t="s">
        <v>81</v>
      </c>
      <c r="O174" s="8141"/>
      <c r="P174" s="8137" t="s">
        <v>82</v>
      </c>
      <c r="Q174" s="8139"/>
      <c r="R174" s="8137" t="s">
        <v>83</v>
      </c>
      <c r="S174" s="8139"/>
      <c r="T174" s="8137" t="s">
        <v>398</v>
      </c>
      <c r="U174" s="8139"/>
      <c r="V174" s="8137" t="s">
        <v>124</v>
      </c>
      <c r="W174" s="8139"/>
      <c r="X174" s="8137" t="s">
        <v>125</v>
      </c>
      <c r="Y174" s="8139"/>
      <c r="Z174" s="8137" t="s">
        <v>126</v>
      </c>
      <c r="AA174" s="8139"/>
      <c r="AB174" s="8137" t="s">
        <v>127</v>
      </c>
      <c r="AC174" s="8139"/>
      <c r="AD174" s="8137" t="s">
        <v>128</v>
      </c>
      <c r="AE174" s="8139"/>
      <c r="AF174" s="8137" t="s">
        <v>129</v>
      </c>
      <c r="AG174" s="8139"/>
      <c r="AH174" s="8137" t="s">
        <v>130</v>
      </c>
      <c r="AI174" s="8139"/>
      <c r="AJ174" s="8137" t="s">
        <v>131</v>
      </c>
      <c r="AK174" s="8139"/>
      <c r="AL174" s="8137" t="s">
        <v>1403</v>
      </c>
      <c r="AM174" s="8138"/>
      <c r="AN174" s="8151"/>
      <c r="AO174" s="9080"/>
      <c r="AP174" s="9081"/>
      <c r="AQ174" s="9083"/>
      <c r="AR174" s="8192"/>
      <c r="AS174" s="8125"/>
      <c r="AT174" s="8125"/>
      <c r="AU174" s="290"/>
      <c r="AV174" s="290"/>
      <c r="AW174" s="290"/>
      <c r="AX174" s="290"/>
      <c r="AY174" s="290"/>
      <c r="AZ174" s="290"/>
      <c r="BA174" s="290"/>
      <c r="BB174" s="290"/>
      <c r="BC174" s="290"/>
      <c r="BD174" s="290"/>
      <c r="BE174" s="290"/>
      <c r="BF174" s="290"/>
      <c r="BG174" s="290"/>
      <c r="BX174" s="165"/>
    </row>
    <row r="175" spans="1:111" ht="24" customHeight="1" x14ac:dyDescent="0.25">
      <c r="A175" s="9136"/>
      <c r="B175" s="9073"/>
      <c r="C175" s="200" t="s">
        <v>42</v>
      </c>
      <c r="D175" s="255" t="s">
        <v>104</v>
      </c>
      <c r="E175" s="2136" t="s">
        <v>69</v>
      </c>
      <c r="F175" s="1921" t="s">
        <v>104</v>
      </c>
      <c r="G175" s="1918" t="s">
        <v>69</v>
      </c>
      <c r="H175" s="1905" t="s">
        <v>104</v>
      </c>
      <c r="I175" s="2171" t="s">
        <v>69</v>
      </c>
      <c r="J175" s="1921" t="s">
        <v>104</v>
      </c>
      <c r="K175" s="1918" t="s">
        <v>69</v>
      </c>
      <c r="L175" s="1921" t="s">
        <v>104</v>
      </c>
      <c r="M175" s="1918" t="s">
        <v>69</v>
      </c>
      <c r="N175" s="1921" t="s">
        <v>104</v>
      </c>
      <c r="O175" s="1918" t="s">
        <v>69</v>
      </c>
      <c r="P175" s="1905" t="s">
        <v>104</v>
      </c>
      <c r="Q175" s="2171" t="s">
        <v>69</v>
      </c>
      <c r="R175" s="1905" t="s">
        <v>104</v>
      </c>
      <c r="S175" s="2171" t="s">
        <v>69</v>
      </c>
      <c r="T175" s="1921" t="s">
        <v>104</v>
      </c>
      <c r="U175" s="1918" t="s">
        <v>69</v>
      </c>
      <c r="V175" s="1905" t="s">
        <v>104</v>
      </c>
      <c r="W175" s="2171" t="s">
        <v>69</v>
      </c>
      <c r="X175" s="1905" t="s">
        <v>104</v>
      </c>
      <c r="Y175" s="2171" t="s">
        <v>69</v>
      </c>
      <c r="Z175" s="1921" t="s">
        <v>104</v>
      </c>
      <c r="AA175" s="1918" t="s">
        <v>69</v>
      </c>
      <c r="AB175" s="1921" t="s">
        <v>104</v>
      </c>
      <c r="AC175" s="1918" t="s">
        <v>69</v>
      </c>
      <c r="AD175" s="1905" t="s">
        <v>104</v>
      </c>
      <c r="AE175" s="2171" t="s">
        <v>69</v>
      </c>
      <c r="AF175" s="1905" t="s">
        <v>104</v>
      </c>
      <c r="AG175" s="2171" t="s">
        <v>69</v>
      </c>
      <c r="AH175" s="1921" t="s">
        <v>104</v>
      </c>
      <c r="AI175" s="1918" t="s">
        <v>69</v>
      </c>
      <c r="AJ175" s="1905" t="s">
        <v>104</v>
      </c>
      <c r="AK175" s="2171" t="s">
        <v>69</v>
      </c>
      <c r="AL175" s="1921" t="s">
        <v>104</v>
      </c>
      <c r="AM175" s="1922" t="s">
        <v>69</v>
      </c>
      <c r="AN175" s="8466"/>
      <c r="AO175" s="2172" t="s">
        <v>356</v>
      </c>
      <c r="AP175" s="1918" t="s">
        <v>357</v>
      </c>
      <c r="AQ175" s="9097"/>
      <c r="AR175" s="9077"/>
      <c r="AS175" s="9073"/>
      <c r="AT175" s="9073"/>
      <c r="AU175" s="290"/>
      <c r="AV175" s="290"/>
      <c r="AW175" s="290"/>
      <c r="AX175" s="290"/>
      <c r="AY175" s="290"/>
      <c r="AZ175" s="290"/>
      <c r="BA175" s="290"/>
      <c r="BB175" s="290"/>
      <c r="BC175" s="290"/>
      <c r="BD175" s="290"/>
      <c r="BE175" s="290"/>
      <c r="BF175" s="290"/>
      <c r="BG175" s="290"/>
      <c r="BX175" s="165"/>
    </row>
    <row r="176" spans="1:111" ht="16.350000000000001" customHeight="1" x14ac:dyDescent="0.25">
      <c r="A176" s="9137" t="s">
        <v>105</v>
      </c>
      <c r="B176" s="225" t="s">
        <v>2585</v>
      </c>
      <c r="C176" s="273">
        <f t="shared" ref="C176:C186" si="59">SUM(D176+E176)</f>
        <v>0</v>
      </c>
      <c r="D176" s="274">
        <f t="shared" ref="D176:D184" si="60">SUM(F176+H176+J176+L176+N176+P176+R176+T176+V176+X176+Z176+AB176+AD176+AF176+AH176+AJ176+AL176)</f>
        <v>0</v>
      </c>
      <c r="E176" s="155">
        <f t="shared" ref="E176:E184" si="61">SUM(G176+I176+K176+M176+O176+Q176+S176+U176+W176+Y176+AA176+AC176+AE176+AG176+AI176+AK176+AM176)</f>
        <v>0</v>
      </c>
      <c r="F176" s="1901"/>
      <c r="G176" s="1899"/>
      <c r="H176" s="1901"/>
      <c r="I176" s="1899"/>
      <c r="J176" s="1901"/>
      <c r="K176" s="1904"/>
      <c r="L176" s="1901"/>
      <c r="M176" s="1904"/>
      <c r="N176" s="1901"/>
      <c r="O176" s="1904"/>
      <c r="P176" s="1901"/>
      <c r="Q176" s="1904"/>
      <c r="R176" s="1901"/>
      <c r="S176" s="1904"/>
      <c r="T176" s="1901"/>
      <c r="U176" s="1904"/>
      <c r="V176" s="1901"/>
      <c r="W176" s="1904"/>
      <c r="X176" s="1901"/>
      <c r="Y176" s="1904"/>
      <c r="Z176" s="1901"/>
      <c r="AA176" s="1904"/>
      <c r="AB176" s="1901"/>
      <c r="AC176" s="1904"/>
      <c r="AD176" s="1901"/>
      <c r="AE176" s="1904"/>
      <c r="AF176" s="1901"/>
      <c r="AG176" s="1904"/>
      <c r="AH176" s="1901"/>
      <c r="AI176" s="1904"/>
      <c r="AJ176" s="1901"/>
      <c r="AK176" s="1904"/>
      <c r="AL176" s="1907"/>
      <c r="AM176" s="1906"/>
      <c r="AN176" s="1899"/>
      <c r="AO176" s="1900"/>
      <c r="AP176" s="1899"/>
      <c r="AQ176" s="303"/>
      <c r="AR176" s="126"/>
      <c r="AS176" s="126"/>
      <c r="AT176" s="126"/>
      <c r="AU176" s="1455" t="str">
        <f>CA176&amp;CB176&amp;CC176&amp;CD176&amp;CE176&amp;CF176&amp;CG176</f>
        <v/>
      </c>
      <c r="AV176" s="802"/>
      <c r="AW176" s="802"/>
      <c r="AX176" s="802"/>
      <c r="AY176" s="802"/>
      <c r="AZ176" s="802"/>
      <c r="BA176" s="802"/>
      <c r="BB176" s="802"/>
      <c r="BC176" s="802"/>
      <c r="BD176" s="802"/>
      <c r="BE176" s="290"/>
      <c r="BF176" s="290"/>
      <c r="BG176" s="290"/>
      <c r="BX176" s="165"/>
      <c r="CA176" s="1548" t="str">
        <f t="shared" ref="CA176:CA186" si="62">IF(DA176=1,"* El número de Beneficiarios NO DEBE ser mayor que el Total ","")</f>
        <v/>
      </c>
      <c r="CB176" s="1548" t="str">
        <f>IF(DB176=1,"* No olvide digitar las columnas Beneficiarios y/o Trans y/o Pueblos Originarios y/o Migrantes y/o Niños, Niñas, Adolescentes y Jóvenes Población SENAME/Mejor Niñez (Digite CEROS si no tiene.). ","")</f>
        <v/>
      </c>
      <c r="CC176" s="1548" t="str">
        <f t="shared" ref="CC176:CC186" si="63">IF(DC176=1,"* El número de Trans NO DEBE ser mayor que el Total. ","")</f>
        <v/>
      </c>
      <c r="CD176" s="1548" t="str">
        <f t="shared" ref="CD176:CD186" si="64">IF(DD176=1,"* El número de Pueblos Originarios NO DEBE ser mayor que el Total. ","")</f>
        <v/>
      </c>
      <c r="CE176" s="1548" t="str">
        <f t="shared" ref="CE176:CE186" si="65">IF(DE176=1,"* El número de Migrantes NO DEBE ser mayor que el Total. ","")</f>
        <v/>
      </c>
      <c r="CF176" s="1548" t="str">
        <f t="shared" ref="CF176:CF186" si="66">IF(DF176=1,"* El número de Niños, Niñas, Adolescentes y Jóvenes Población SENAME NO DEBE ser mayor que el Total. ","")</f>
        <v/>
      </c>
      <c r="CG176" s="1548" t="str">
        <f>IF(DG176=1,"* El número de Niños, Niñas, Adolescentes y Jóvenes Población Mejor Niñez NO DEBE ser mayor que el Total. ","")</f>
        <v/>
      </c>
      <c r="DA176" s="3311">
        <f t="shared" ref="DA176:DA186" si="67">IF(C176&lt;AN176,1,0)</f>
        <v>0</v>
      </c>
      <c r="DB176" s="3311">
        <f t="shared" ref="DB176:DB186" si="68">IF(AND(C176&lt;&gt;0,OR(AN176="",AO176="",AP176="",AQ176="",AR176="",AS176="")),1,0)</f>
        <v>0</v>
      </c>
      <c r="DC176" s="3311">
        <f t="shared" ref="DC176:DC186" si="69">IF(C176&lt;(AO176+AP176),1,0)</f>
        <v>0</v>
      </c>
      <c r="DD176" s="3311">
        <f t="shared" ref="DD176:DD186" si="70">IF(C176&lt;AQ176,1,0)</f>
        <v>0</v>
      </c>
      <c r="DE176" s="3311">
        <f t="shared" ref="DE176:DE186" si="71">IF(C176&lt;AR176,1,0)</f>
        <v>0</v>
      </c>
      <c r="DF176" s="3311">
        <f t="shared" ref="DF176:DF186" si="72">IF(C176&lt;AS176,1,0)</f>
        <v>0</v>
      </c>
      <c r="DG176" s="3311">
        <f>IF(C176&lt;AT176,1,0)</f>
        <v>0</v>
      </c>
    </row>
    <row r="177" spans="1:111" ht="16.350000000000001" customHeight="1" x14ac:dyDescent="0.25">
      <c r="A177" s="8389"/>
      <c r="B177" s="226" t="s">
        <v>2593</v>
      </c>
      <c r="C177" s="249">
        <f t="shared" si="59"/>
        <v>0</v>
      </c>
      <c r="D177" s="277">
        <f t="shared" si="60"/>
        <v>0</v>
      </c>
      <c r="E177" s="152">
        <f t="shared" si="61"/>
        <v>0</v>
      </c>
      <c r="F177" s="1654"/>
      <c r="G177" s="1669"/>
      <c r="H177" s="1654"/>
      <c r="I177" s="1669"/>
      <c r="J177" s="1654"/>
      <c r="K177" s="1883"/>
      <c r="L177" s="1654"/>
      <c r="M177" s="1883"/>
      <c r="N177" s="1654"/>
      <c r="O177" s="1883"/>
      <c r="P177" s="1654"/>
      <c r="Q177" s="1883"/>
      <c r="R177" s="1654"/>
      <c r="S177" s="1883"/>
      <c r="T177" s="1654"/>
      <c r="U177" s="1883"/>
      <c r="V177" s="1654"/>
      <c r="W177" s="1883"/>
      <c r="X177" s="1654"/>
      <c r="Y177" s="1883"/>
      <c r="Z177" s="1654"/>
      <c r="AA177" s="1883"/>
      <c r="AB177" s="1654"/>
      <c r="AC177" s="1883"/>
      <c r="AD177" s="1654"/>
      <c r="AE177" s="1883"/>
      <c r="AF177" s="1654"/>
      <c r="AG177" s="1883"/>
      <c r="AH177" s="1654"/>
      <c r="AI177" s="1883"/>
      <c r="AJ177" s="1654"/>
      <c r="AK177" s="1883"/>
      <c r="AL177" s="1670"/>
      <c r="AM177" s="1876"/>
      <c r="AN177" s="1669"/>
      <c r="AO177" s="1699"/>
      <c r="AP177" s="1669"/>
      <c r="AQ177" s="102"/>
      <c r="AR177" s="127"/>
      <c r="AS177" s="127"/>
      <c r="AT177" s="127"/>
      <c r="AU177" s="1455" t="str">
        <f t="shared" ref="AU177:AU186" si="73">CA177&amp;CB177&amp;CC177&amp;CD177&amp;CE177&amp;CF177&amp;CG177</f>
        <v/>
      </c>
      <c r="AV177" s="802"/>
      <c r="AW177" s="802"/>
      <c r="AX177" s="802"/>
      <c r="AY177" s="802"/>
      <c r="AZ177" s="802"/>
      <c r="BA177" s="802"/>
      <c r="BB177" s="802"/>
      <c r="BC177" s="802"/>
      <c r="BD177" s="802"/>
      <c r="BE177" s="290"/>
      <c r="BF177" s="290"/>
      <c r="BG177" s="290"/>
      <c r="BX177" s="165"/>
      <c r="CA177" s="1548" t="str">
        <f t="shared" si="62"/>
        <v/>
      </c>
      <c r="CB177" s="1548" t="str">
        <f t="shared" ref="CB177:CB186" si="74">IF(DB177=1,"* No olvide digitar las columnas Beneficiarios y/o Trans y/o Pueblos Originarios y/o Migrantes y/o Niños, Niñas, Adolescentes y Jóvenes Población SENAME/Mejor Niñez (Digite CEROS si no tiene.). ","")</f>
        <v/>
      </c>
      <c r="CC177" s="1548" t="str">
        <f t="shared" si="63"/>
        <v/>
      </c>
      <c r="CD177" s="1548" t="str">
        <f t="shared" si="64"/>
        <v/>
      </c>
      <c r="CE177" s="1548" t="str">
        <f t="shared" si="65"/>
        <v/>
      </c>
      <c r="CF177" s="1548" t="str">
        <f t="shared" si="66"/>
        <v/>
      </c>
      <c r="CG177" s="1548" t="str">
        <f t="shared" ref="CG177:CG186" si="75">IF(DG177=1,"* El número de Niños, Niñas, Adolescentes y Jóvenes Población Mejor Niñez NO DEBE ser mayor que el Total. ","")</f>
        <v/>
      </c>
      <c r="DA177" s="3311">
        <f t="shared" si="67"/>
        <v>0</v>
      </c>
      <c r="DB177" s="3311">
        <f t="shared" si="68"/>
        <v>0</v>
      </c>
      <c r="DC177" s="3311">
        <f t="shared" si="69"/>
        <v>0</v>
      </c>
      <c r="DD177" s="3311">
        <f t="shared" si="70"/>
        <v>0</v>
      </c>
      <c r="DE177" s="3311">
        <f t="shared" si="71"/>
        <v>0</v>
      </c>
      <c r="DF177" s="3311">
        <f t="shared" si="72"/>
        <v>0</v>
      </c>
      <c r="DG177" s="3311">
        <f t="shared" ref="DG177:DG186" si="76">IF(C177&lt;AT177,1,0)</f>
        <v>0</v>
      </c>
    </row>
    <row r="178" spans="1:111" ht="16.350000000000001" customHeight="1" x14ac:dyDescent="0.25">
      <c r="A178" s="9132" t="s">
        <v>106</v>
      </c>
      <c r="B178" s="225" t="s">
        <v>2585</v>
      </c>
      <c r="C178" s="273">
        <f t="shared" si="59"/>
        <v>0</v>
      </c>
      <c r="D178" s="274">
        <f t="shared" si="60"/>
        <v>0</v>
      </c>
      <c r="E178" s="155">
        <f>SUM(G178+I178+K178+M178+O178+Q178+S178+U178+W178+Y178+AA178+AC178+AE178+AG178+AI178+AK178+AM178)</f>
        <v>0</v>
      </c>
      <c r="F178" s="1901"/>
      <c r="G178" s="1899"/>
      <c r="H178" s="1901"/>
      <c r="I178" s="1899"/>
      <c r="J178" s="1901"/>
      <c r="K178" s="1904"/>
      <c r="L178" s="1901"/>
      <c r="M178" s="1904"/>
      <c r="N178" s="1901"/>
      <c r="O178" s="1904"/>
      <c r="P178" s="1901"/>
      <c r="Q178" s="1904"/>
      <c r="R178" s="1901"/>
      <c r="S178" s="1904"/>
      <c r="T178" s="1901"/>
      <c r="U178" s="1904"/>
      <c r="V178" s="1901"/>
      <c r="W178" s="1904"/>
      <c r="X178" s="1901"/>
      <c r="Y178" s="1904"/>
      <c r="Z178" s="1901"/>
      <c r="AA178" s="1904"/>
      <c r="AB178" s="1901"/>
      <c r="AC178" s="1904"/>
      <c r="AD178" s="1901"/>
      <c r="AE178" s="1904"/>
      <c r="AF178" s="1901"/>
      <c r="AG178" s="1904"/>
      <c r="AH178" s="1901"/>
      <c r="AI178" s="1904"/>
      <c r="AJ178" s="1901"/>
      <c r="AK178" s="1904"/>
      <c r="AL178" s="1907"/>
      <c r="AM178" s="1906"/>
      <c r="AN178" s="1899"/>
      <c r="AO178" s="1900"/>
      <c r="AP178" s="1899"/>
      <c r="AQ178" s="303"/>
      <c r="AR178" s="126"/>
      <c r="AS178" s="126"/>
      <c r="AT178" s="126"/>
      <c r="AU178" s="1455" t="str">
        <f t="shared" si="73"/>
        <v/>
      </c>
      <c r="AV178" s="802"/>
      <c r="AW178" s="802"/>
      <c r="AX178" s="802"/>
      <c r="AY178" s="802"/>
      <c r="AZ178" s="802"/>
      <c r="BA178" s="802"/>
      <c r="BB178" s="802"/>
      <c r="BC178" s="802"/>
      <c r="BD178" s="802"/>
      <c r="BE178" s="290"/>
      <c r="BF178" s="290"/>
      <c r="BG178" s="290"/>
      <c r="BX178" s="165"/>
      <c r="CA178" s="1548" t="str">
        <f t="shared" si="62"/>
        <v/>
      </c>
      <c r="CB178" s="1548" t="str">
        <f t="shared" si="74"/>
        <v/>
      </c>
      <c r="CC178" s="1548" t="str">
        <f t="shared" si="63"/>
        <v/>
      </c>
      <c r="CD178" s="1548" t="str">
        <f t="shared" si="64"/>
        <v/>
      </c>
      <c r="CE178" s="1548" t="str">
        <f t="shared" si="65"/>
        <v/>
      </c>
      <c r="CF178" s="1548" t="str">
        <f t="shared" si="66"/>
        <v/>
      </c>
      <c r="CG178" s="1548" t="str">
        <f t="shared" si="75"/>
        <v/>
      </c>
      <c r="DA178" s="3311">
        <f t="shared" si="67"/>
        <v>0</v>
      </c>
      <c r="DB178" s="3311">
        <f t="shared" si="68"/>
        <v>0</v>
      </c>
      <c r="DC178" s="3311">
        <f t="shared" si="69"/>
        <v>0</v>
      </c>
      <c r="DD178" s="3311">
        <f t="shared" si="70"/>
        <v>0</v>
      </c>
      <c r="DE178" s="3311">
        <f t="shared" si="71"/>
        <v>0</v>
      </c>
      <c r="DF178" s="3311">
        <f t="shared" si="72"/>
        <v>0</v>
      </c>
      <c r="DG178" s="3311">
        <f t="shared" si="76"/>
        <v>0</v>
      </c>
    </row>
    <row r="179" spans="1:111" ht="16.350000000000001" customHeight="1" x14ac:dyDescent="0.25">
      <c r="A179" s="9133"/>
      <c r="B179" s="3541" t="s">
        <v>2593</v>
      </c>
      <c r="C179" s="275">
        <f t="shared" si="59"/>
        <v>0</v>
      </c>
      <c r="D179" s="276">
        <f t="shared" si="60"/>
        <v>0</v>
      </c>
      <c r="E179" s="158">
        <f t="shared" si="61"/>
        <v>0</v>
      </c>
      <c r="F179" s="1880"/>
      <c r="G179" s="1881"/>
      <c r="H179" s="1880"/>
      <c r="I179" s="1881"/>
      <c r="J179" s="1880"/>
      <c r="K179" s="1882"/>
      <c r="L179" s="1880"/>
      <c r="M179" s="1882"/>
      <c r="N179" s="1880"/>
      <c r="O179" s="1882"/>
      <c r="P179" s="1880"/>
      <c r="Q179" s="1882"/>
      <c r="R179" s="1880"/>
      <c r="S179" s="1882"/>
      <c r="T179" s="1880"/>
      <c r="U179" s="1882"/>
      <c r="V179" s="1880"/>
      <c r="W179" s="1882"/>
      <c r="X179" s="1880"/>
      <c r="Y179" s="1882"/>
      <c r="Z179" s="1880"/>
      <c r="AA179" s="1882"/>
      <c r="AB179" s="1880"/>
      <c r="AC179" s="1882"/>
      <c r="AD179" s="1880"/>
      <c r="AE179" s="1882"/>
      <c r="AF179" s="1880"/>
      <c r="AG179" s="1882"/>
      <c r="AH179" s="1880"/>
      <c r="AI179" s="1882"/>
      <c r="AJ179" s="1880"/>
      <c r="AK179" s="1882"/>
      <c r="AL179" s="1908"/>
      <c r="AM179" s="1872"/>
      <c r="AN179" s="1881"/>
      <c r="AO179" s="1891"/>
      <c r="AP179" s="1881"/>
      <c r="AQ179" s="136"/>
      <c r="AR179" s="144"/>
      <c r="AS179" s="144"/>
      <c r="AT179" s="144"/>
      <c r="AU179" s="1455" t="str">
        <f t="shared" si="73"/>
        <v/>
      </c>
      <c r="AV179" s="802"/>
      <c r="AW179" s="802"/>
      <c r="AX179" s="802"/>
      <c r="AY179" s="802"/>
      <c r="AZ179" s="802"/>
      <c r="BA179" s="802"/>
      <c r="BB179" s="802"/>
      <c r="BC179" s="802"/>
      <c r="BD179" s="802"/>
      <c r="BE179" s="290"/>
      <c r="BF179" s="290"/>
      <c r="BG179" s="290"/>
      <c r="BX179" s="165"/>
      <c r="CA179" s="1548" t="str">
        <f t="shared" si="62"/>
        <v/>
      </c>
      <c r="CB179" s="1548" t="str">
        <f t="shared" si="74"/>
        <v/>
      </c>
      <c r="CC179" s="1548" t="str">
        <f t="shared" si="63"/>
        <v/>
      </c>
      <c r="CD179" s="1548" t="str">
        <f t="shared" si="64"/>
        <v/>
      </c>
      <c r="CE179" s="1548" t="str">
        <f t="shared" si="65"/>
        <v/>
      </c>
      <c r="CF179" s="1548" t="str">
        <f t="shared" si="66"/>
        <v/>
      </c>
      <c r="CG179" s="1548" t="str">
        <f t="shared" si="75"/>
        <v/>
      </c>
      <c r="DA179" s="3311">
        <f t="shared" si="67"/>
        <v>0</v>
      </c>
      <c r="DB179" s="3311">
        <f t="shared" si="68"/>
        <v>0</v>
      </c>
      <c r="DC179" s="3311">
        <f t="shared" si="69"/>
        <v>0</v>
      </c>
      <c r="DD179" s="3311">
        <f t="shared" si="70"/>
        <v>0</v>
      </c>
      <c r="DE179" s="3311">
        <f t="shared" si="71"/>
        <v>0</v>
      </c>
      <c r="DF179" s="3311">
        <f t="shared" si="72"/>
        <v>0</v>
      </c>
      <c r="DG179" s="3311">
        <f t="shared" si="76"/>
        <v>0</v>
      </c>
    </row>
    <row r="180" spans="1:111" ht="16.350000000000001" customHeight="1" x14ac:dyDescent="0.25">
      <c r="A180" s="9134"/>
      <c r="B180" s="3542" t="s">
        <v>60</v>
      </c>
      <c r="C180" s="249">
        <f t="shared" si="59"/>
        <v>0</v>
      </c>
      <c r="D180" s="277">
        <f t="shared" si="60"/>
        <v>0</v>
      </c>
      <c r="E180" s="152">
        <f t="shared" si="61"/>
        <v>0</v>
      </c>
      <c r="F180" s="1654"/>
      <c r="G180" s="1669"/>
      <c r="H180" s="1654"/>
      <c r="I180" s="1669"/>
      <c r="J180" s="1654"/>
      <c r="K180" s="1883"/>
      <c r="L180" s="1654"/>
      <c r="M180" s="1883"/>
      <c r="N180" s="1654"/>
      <c r="O180" s="1883"/>
      <c r="P180" s="1654"/>
      <c r="Q180" s="1883"/>
      <c r="R180" s="1654"/>
      <c r="S180" s="1883"/>
      <c r="T180" s="1654"/>
      <c r="U180" s="1883"/>
      <c r="V180" s="1654"/>
      <c r="W180" s="1883"/>
      <c r="X180" s="1654"/>
      <c r="Y180" s="1883"/>
      <c r="Z180" s="1654"/>
      <c r="AA180" s="1883"/>
      <c r="AB180" s="1654"/>
      <c r="AC180" s="1883"/>
      <c r="AD180" s="1654"/>
      <c r="AE180" s="1883"/>
      <c r="AF180" s="1654"/>
      <c r="AG180" s="1883"/>
      <c r="AH180" s="1654"/>
      <c r="AI180" s="1883"/>
      <c r="AJ180" s="1654"/>
      <c r="AK180" s="1883"/>
      <c r="AL180" s="1670"/>
      <c r="AM180" s="1876"/>
      <c r="AN180" s="1669"/>
      <c r="AO180" s="1699"/>
      <c r="AP180" s="1669"/>
      <c r="AQ180" s="102"/>
      <c r="AR180" s="127"/>
      <c r="AS180" s="127"/>
      <c r="AT180" s="127"/>
      <c r="AU180" s="1455" t="str">
        <f t="shared" si="73"/>
        <v/>
      </c>
      <c r="AV180" s="802"/>
      <c r="AW180" s="802"/>
      <c r="AX180" s="802"/>
      <c r="AY180" s="802"/>
      <c r="AZ180" s="802"/>
      <c r="BA180" s="802"/>
      <c r="BB180" s="802"/>
      <c r="BC180" s="802"/>
      <c r="BD180" s="802"/>
      <c r="BE180" s="290"/>
      <c r="BF180" s="290"/>
      <c r="BG180" s="290"/>
      <c r="BX180" s="165"/>
      <c r="CA180" s="1548" t="str">
        <f t="shared" si="62"/>
        <v/>
      </c>
      <c r="CB180" s="1548" t="str">
        <f t="shared" si="74"/>
        <v/>
      </c>
      <c r="CC180" s="1548" t="str">
        <f t="shared" si="63"/>
        <v/>
      </c>
      <c r="CD180" s="1548" t="str">
        <f t="shared" si="64"/>
        <v/>
      </c>
      <c r="CE180" s="1548" t="str">
        <f t="shared" si="65"/>
        <v/>
      </c>
      <c r="CF180" s="1548" t="str">
        <f t="shared" si="66"/>
        <v/>
      </c>
      <c r="CG180" s="1548" t="str">
        <f t="shared" si="75"/>
        <v/>
      </c>
      <c r="DA180" s="3311">
        <f t="shared" si="67"/>
        <v>0</v>
      </c>
      <c r="DB180" s="3311">
        <f t="shared" si="68"/>
        <v>0</v>
      </c>
      <c r="DC180" s="3311">
        <f t="shared" si="69"/>
        <v>0</v>
      </c>
      <c r="DD180" s="3311">
        <f t="shared" si="70"/>
        <v>0</v>
      </c>
      <c r="DE180" s="3311">
        <f t="shared" si="71"/>
        <v>0</v>
      </c>
      <c r="DF180" s="3311">
        <f t="shared" si="72"/>
        <v>0</v>
      </c>
      <c r="DG180" s="3311">
        <f t="shared" si="76"/>
        <v>0</v>
      </c>
    </row>
    <row r="181" spans="1:111" ht="16.350000000000001" customHeight="1" x14ac:dyDescent="0.25">
      <c r="A181" s="9088" t="s">
        <v>107</v>
      </c>
      <c r="B181" s="225" t="s">
        <v>2585</v>
      </c>
      <c r="C181" s="273">
        <f t="shared" si="59"/>
        <v>0</v>
      </c>
      <c r="D181" s="274">
        <f t="shared" si="60"/>
        <v>0</v>
      </c>
      <c r="E181" s="155">
        <f t="shared" si="61"/>
        <v>0</v>
      </c>
      <c r="F181" s="1901"/>
      <c r="G181" s="1899"/>
      <c r="H181" s="1901"/>
      <c r="I181" s="1899"/>
      <c r="J181" s="1901"/>
      <c r="K181" s="1904"/>
      <c r="L181" s="1901"/>
      <c r="M181" s="1904"/>
      <c r="N181" s="1901"/>
      <c r="O181" s="1904"/>
      <c r="P181" s="1901"/>
      <c r="Q181" s="1904"/>
      <c r="R181" s="1901"/>
      <c r="S181" s="1904"/>
      <c r="T181" s="1901"/>
      <c r="U181" s="1904"/>
      <c r="V181" s="1901"/>
      <c r="W181" s="1899"/>
      <c r="X181" s="1901"/>
      <c r="Y181" s="1904"/>
      <c r="Z181" s="1901"/>
      <c r="AA181" s="1904"/>
      <c r="AB181" s="1901"/>
      <c r="AC181" s="1904"/>
      <c r="AD181" s="1901"/>
      <c r="AE181" s="1904"/>
      <c r="AF181" s="1901"/>
      <c r="AG181" s="1904"/>
      <c r="AH181" s="1901"/>
      <c r="AI181" s="1904"/>
      <c r="AJ181" s="1901"/>
      <c r="AK181" s="1904"/>
      <c r="AL181" s="1907"/>
      <c r="AM181" s="1906"/>
      <c r="AN181" s="1899"/>
      <c r="AO181" s="1900"/>
      <c r="AP181" s="1899"/>
      <c r="AQ181" s="303"/>
      <c r="AR181" s="126"/>
      <c r="AS181" s="126"/>
      <c r="AT181" s="126"/>
      <c r="AU181" s="1455" t="str">
        <f t="shared" si="73"/>
        <v/>
      </c>
      <c r="AV181" s="802"/>
      <c r="AW181" s="802"/>
      <c r="AX181" s="802"/>
      <c r="AY181" s="802"/>
      <c r="AZ181" s="802"/>
      <c r="BA181" s="802"/>
      <c r="BB181" s="802"/>
      <c r="BC181" s="802"/>
      <c r="BD181" s="802"/>
      <c r="BE181" s="290"/>
      <c r="BF181" s="290"/>
      <c r="BG181" s="290"/>
      <c r="BX181" s="165"/>
      <c r="CA181" s="1548" t="str">
        <f t="shared" si="62"/>
        <v/>
      </c>
      <c r="CB181" s="1548" t="str">
        <f t="shared" si="74"/>
        <v/>
      </c>
      <c r="CC181" s="1548" t="str">
        <f t="shared" si="63"/>
        <v/>
      </c>
      <c r="CD181" s="1548" t="str">
        <f t="shared" si="64"/>
        <v/>
      </c>
      <c r="CE181" s="1548" t="str">
        <f t="shared" si="65"/>
        <v/>
      </c>
      <c r="CF181" s="1548" t="str">
        <f t="shared" si="66"/>
        <v/>
      </c>
      <c r="CG181" s="1548" t="str">
        <f t="shared" si="75"/>
        <v/>
      </c>
      <c r="DA181" s="3311">
        <f t="shared" si="67"/>
        <v>0</v>
      </c>
      <c r="DB181" s="3311">
        <f t="shared" si="68"/>
        <v>0</v>
      </c>
      <c r="DC181" s="3311">
        <f t="shared" si="69"/>
        <v>0</v>
      </c>
      <c r="DD181" s="3311">
        <f t="shared" si="70"/>
        <v>0</v>
      </c>
      <c r="DE181" s="3311">
        <f t="shared" si="71"/>
        <v>0</v>
      </c>
      <c r="DF181" s="3311">
        <f t="shared" si="72"/>
        <v>0</v>
      </c>
      <c r="DG181" s="3311">
        <f t="shared" si="76"/>
        <v>0</v>
      </c>
    </row>
    <row r="182" spans="1:111" ht="16.350000000000001" customHeight="1" x14ac:dyDescent="0.25">
      <c r="A182" s="8437"/>
      <c r="B182" s="226" t="s">
        <v>2593</v>
      </c>
      <c r="C182" s="275">
        <f t="shared" si="59"/>
        <v>0</v>
      </c>
      <c r="D182" s="276">
        <f t="shared" si="60"/>
        <v>0</v>
      </c>
      <c r="E182" s="158">
        <f t="shared" si="61"/>
        <v>0</v>
      </c>
      <c r="F182" s="1654"/>
      <c r="G182" s="1669"/>
      <c r="H182" s="1654"/>
      <c r="I182" s="1669"/>
      <c r="J182" s="1654"/>
      <c r="K182" s="1883"/>
      <c r="L182" s="1654"/>
      <c r="M182" s="1883"/>
      <c r="N182" s="1654"/>
      <c r="O182" s="1883"/>
      <c r="P182" s="1654"/>
      <c r="Q182" s="1883"/>
      <c r="R182" s="1654"/>
      <c r="S182" s="1883"/>
      <c r="T182" s="1654"/>
      <c r="U182" s="1883"/>
      <c r="V182" s="1654"/>
      <c r="W182" s="1883"/>
      <c r="X182" s="1654"/>
      <c r="Y182" s="1883"/>
      <c r="Z182" s="1654"/>
      <c r="AA182" s="1883"/>
      <c r="AB182" s="1654"/>
      <c r="AC182" s="1883"/>
      <c r="AD182" s="1654"/>
      <c r="AE182" s="1883"/>
      <c r="AF182" s="1654"/>
      <c r="AG182" s="1883"/>
      <c r="AH182" s="1654"/>
      <c r="AI182" s="1883"/>
      <c r="AJ182" s="1654"/>
      <c r="AK182" s="1883"/>
      <c r="AL182" s="1670"/>
      <c r="AM182" s="1876"/>
      <c r="AN182" s="1669"/>
      <c r="AO182" s="1699"/>
      <c r="AP182" s="1669"/>
      <c r="AQ182" s="102"/>
      <c r="AR182" s="127"/>
      <c r="AS182" s="127"/>
      <c r="AT182" s="127"/>
      <c r="AU182" s="1455" t="str">
        <f t="shared" si="73"/>
        <v/>
      </c>
      <c r="AV182" s="802"/>
      <c r="AW182" s="802"/>
      <c r="AX182" s="802"/>
      <c r="AY182" s="802"/>
      <c r="AZ182" s="802"/>
      <c r="BA182" s="802"/>
      <c r="BB182" s="802"/>
      <c r="BC182" s="802"/>
      <c r="BD182" s="802"/>
      <c r="BE182" s="290"/>
      <c r="BF182" s="290"/>
      <c r="BG182" s="290"/>
      <c r="BX182" s="165"/>
      <c r="CA182" s="1548" t="str">
        <f t="shared" si="62"/>
        <v/>
      </c>
      <c r="CB182" s="1548" t="str">
        <f t="shared" si="74"/>
        <v/>
      </c>
      <c r="CC182" s="1548" t="str">
        <f t="shared" si="63"/>
        <v/>
      </c>
      <c r="CD182" s="1548" t="str">
        <f t="shared" si="64"/>
        <v/>
      </c>
      <c r="CE182" s="1548" t="str">
        <f t="shared" si="65"/>
        <v/>
      </c>
      <c r="CF182" s="1548" t="str">
        <f t="shared" si="66"/>
        <v/>
      </c>
      <c r="CG182" s="1548" t="str">
        <f t="shared" si="75"/>
        <v/>
      </c>
      <c r="DA182" s="3311">
        <f t="shared" si="67"/>
        <v>0</v>
      </c>
      <c r="DB182" s="3311">
        <f t="shared" si="68"/>
        <v>0</v>
      </c>
      <c r="DC182" s="3311">
        <f t="shared" si="69"/>
        <v>0</v>
      </c>
      <c r="DD182" s="3311">
        <f t="shared" si="70"/>
        <v>0</v>
      </c>
      <c r="DE182" s="3311">
        <f t="shared" si="71"/>
        <v>0</v>
      </c>
      <c r="DF182" s="3311">
        <f t="shared" si="72"/>
        <v>0</v>
      </c>
      <c r="DG182" s="3311">
        <f t="shared" si="76"/>
        <v>0</v>
      </c>
    </row>
    <row r="183" spans="1:111" ht="16.350000000000001" customHeight="1" x14ac:dyDescent="0.25">
      <c r="A183" s="9088" t="s">
        <v>108</v>
      </c>
      <c r="B183" s="225" t="s">
        <v>2585</v>
      </c>
      <c r="C183" s="273">
        <f t="shared" si="59"/>
        <v>0</v>
      </c>
      <c r="D183" s="274">
        <f t="shared" si="60"/>
        <v>0</v>
      </c>
      <c r="E183" s="155">
        <f t="shared" si="61"/>
        <v>0</v>
      </c>
      <c r="F183" s="1901"/>
      <c r="G183" s="1899"/>
      <c r="H183" s="1901"/>
      <c r="I183" s="1899"/>
      <c r="J183" s="1901"/>
      <c r="K183" s="1904"/>
      <c r="L183" s="1901"/>
      <c r="M183" s="1904"/>
      <c r="N183" s="1901"/>
      <c r="O183" s="1904"/>
      <c r="P183" s="1901"/>
      <c r="Q183" s="1904"/>
      <c r="R183" s="1901"/>
      <c r="S183" s="1904"/>
      <c r="T183" s="1901"/>
      <c r="U183" s="1904"/>
      <c r="V183" s="1923"/>
      <c r="W183" s="1701"/>
      <c r="X183" s="1923"/>
      <c r="Y183" s="1701"/>
      <c r="Z183" s="1923"/>
      <c r="AA183" s="1701"/>
      <c r="AB183" s="1923"/>
      <c r="AC183" s="1701"/>
      <c r="AD183" s="1923"/>
      <c r="AE183" s="1701"/>
      <c r="AF183" s="1923"/>
      <c r="AG183" s="1701"/>
      <c r="AH183" s="1923"/>
      <c r="AI183" s="1701"/>
      <c r="AJ183" s="1923"/>
      <c r="AK183" s="1701"/>
      <c r="AL183" s="1924"/>
      <c r="AM183" s="1736"/>
      <c r="AN183" s="1899"/>
      <c r="AO183" s="1900"/>
      <c r="AP183" s="1899"/>
      <c r="AQ183" s="303"/>
      <c r="AR183" s="126"/>
      <c r="AS183" s="126"/>
      <c r="AT183" s="126"/>
      <c r="AU183" s="1455" t="str">
        <f t="shared" si="73"/>
        <v/>
      </c>
      <c r="AV183" s="802"/>
      <c r="AW183" s="802"/>
      <c r="AX183" s="802"/>
      <c r="AY183" s="802"/>
      <c r="AZ183" s="802"/>
      <c r="BA183" s="802"/>
      <c r="BB183" s="802"/>
      <c r="BC183" s="802"/>
      <c r="BD183" s="802"/>
      <c r="BE183" s="290"/>
      <c r="BF183" s="290"/>
      <c r="BG183" s="290"/>
      <c r="BX183" s="165"/>
      <c r="CA183" s="1548" t="str">
        <f t="shared" si="62"/>
        <v/>
      </c>
      <c r="CB183" s="1548" t="str">
        <f t="shared" si="74"/>
        <v/>
      </c>
      <c r="CC183" s="1548" t="str">
        <f t="shared" si="63"/>
        <v/>
      </c>
      <c r="CD183" s="1548" t="str">
        <f t="shared" si="64"/>
        <v/>
      </c>
      <c r="CE183" s="1548" t="str">
        <f t="shared" si="65"/>
        <v/>
      </c>
      <c r="CF183" s="1548" t="str">
        <f t="shared" si="66"/>
        <v/>
      </c>
      <c r="CG183" s="1548" t="str">
        <f t="shared" si="75"/>
        <v/>
      </c>
      <c r="DA183" s="3311">
        <f t="shared" si="67"/>
        <v>0</v>
      </c>
      <c r="DB183" s="3311">
        <f t="shared" si="68"/>
        <v>0</v>
      </c>
      <c r="DC183" s="3311">
        <f t="shared" si="69"/>
        <v>0</v>
      </c>
      <c r="DD183" s="3311">
        <f t="shared" si="70"/>
        <v>0</v>
      </c>
      <c r="DE183" s="3311">
        <f t="shared" si="71"/>
        <v>0</v>
      </c>
      <c r="DF183" s="3311">
        <f t="shared" si="72"/>
        <v>0</v>
      </c>
      <c r="DG183" s="3311">
        <f t="shared" si="76"/>
        <v>0</v>
      </c>
    </row>
    <row r="184" spans="1:111" ht="16.350000000000001" customHeight="1" x14ac:dyDescent="0.25">
      <c r="A184" s="8437"/>
      <c r="B184" s="226" t="s">
        <v>2593</v>
      </c>
      <c r="C184" s="275">
        <f t="shared" si="59"/>
        <v>0</v>
      </c>
      <c r="D184" s="276">
        <f t="shared" si="60"/>
        <v>0</v>
      </c>
      <c r="E184" s="158">
        <f t="shared" si="61"/>
        <v>0</v>
      </c>
      <c r="F184" s="1654"/>
      <c r="G184" s="1669"/>
      <c r="H184" s="1654"/>
      <c r="I184" s="1669"/>
      <c r="J184" s="1654"/>
      <c r="K184" s="1883"/>
      <c r="L184" s="1654"/>
      <c r="M184" s="1883"/>
      <c r="N184" s="1654"/>
      <c r="O184" s="1883"/>
      <c r="P184" s="1654"/>
      <c r="Q184" s="1883"/>
      <c r="R184" s="1654"/>
      <c r="S184" s="1883"/>
      <c r="T184" s="1654"/>
      <c r="U184" s="1883"/>
      <c r="V184" s="824"/>
      <c r="W184" s="914"/>
      <c r="X184" s="1923"/>
      <c r="Y184" s="1701"/>
      <c r="Z184" s="1923"/>
      <c r="AA184" s="1701"/>
      <c r="AB184" s="1923"/>
      <c r="AC184" s="1701"/>
      <c r="AD184" s="1923"/>
      <c r="AE184" s="1701"/>
      <c r="AF184" s="1923"/>
      <c r="AG184" s="1701"/>
      <c r="AH184" s="1923"/>
      <c r="AI184" s="1701"/>
      <c r="AJ184" s="1923"/>
      <c r="AK184" s="1701"/>
      <c r="AL184" s="1924"/>
      <c r="AM184" s="1736"/>
      <c r="AN184" s="914"/>
      <c r="AO184" s="1700"/>
      <c r="AP184" s="914"/>
      <c r="AQ184" s="100"/>
      <c r="AR184" s="143"/>
      <c r="AS184" s="143"/>
      <c r="AT184" s="143"/>
      <c r="AU184" s="1455" t="str">
        <f t="shared" si="73"/>
        <v/>
      </c>
      <c r="AV184" s="802"/>
      <c r="AW184" s="802"/>
      <c r="AX184" s="802"/>
      <c r="AY184" s="802"/>
      <c r="AZ184" s="802"/>
      <c r="BA184" s="802"/>
      <c r="BB184" s="802"/>
      <c r="BC184" s="802"/>
      <c r="BD184" s="802"/>
      <c r="BE184" s="290"/>
      <c r="BF184" s="290"/>
      <c r="BG184" s="290"/>
      <c r="BX184" s="165"/>
      <c r="CA184" s="1548" t="str">
        <f t="shared" si="62"/>
        <v/>
      </c>
      <c r="CB184" s="1548" t="str">
        <f t="shared" si="74"/>
        <v/>
      </c>
      <c r="CC184" s="1548" t="str">
        <f t="shared" si="63"/>
        <v/>
      </c>
      <c r="CD184" s="1548" t="str">
        <f t="shared" si="64"/>
        <v/>
      </c>
      <c r="CE184" s="1548" t="str">
        <f t="shared" si="65"/>
        <v/>
      </c>
      <c r="CF184" s="1548" t="str">
        <f t="shared" si="66"/>
        <v/>
      </c>
      <c r="CG184" s="1548" t="str">
        <f t="shared" si="75"/>
        <v/>
      </c>
      <c r="DA184" s="3311">
        <f t="shared" si="67"/>
        <v>0</v>
      </c>
      <c r="DB184" s="3311">
        <f t="shared" si="68"/>
        <v>0</v>
      </c>
      <c r="DC184" s="3311">
        <f t="shared" si="69"/>
        <v>0</v>
      </c>
      <c r="DD184" s="3311">
        <f t="shared" si="70"/>
        <v>0</v>
      </c>
      <c r="DE184" s="3311">
        <f t="shared" si="71"/>
        <v>0</v>
      </c>
      <c r="DF184" s="3311">
        <f t="shared" si="72"/>
        <v>0</v>
      </c>
      <c r="DG184" s="3311">
        <f t="shared" si="76"/>
        <v>0</v>
      </c>
    </row>
    <row r="185" spans="1:111" ht="16.350000000000001" customHeight="1" x14ac:dyDescent="0.25">
      <c r="A185" s="9072" t="s">
        <v>109</v>
      </c>
      <c r="B185" s="225" t="s">
        <v>2585</v>
      </c>
      <c r="C185" s="281">
        <f t="shared" si="59"/>
        <v>0</v>
      </c>
      <c r="D185" s="282">
        <f>SUM(L185+N185+P185+R185+T185+V185+X185+Z185+AB185+AD185+AF185+AH185+AJ185+AL185)</f>
        <v>0</v>
      </c>
      <c r="E185" s="217">
        <f>SUM(M185+O185+Q185+S185+U185+W185+Y185+AA185+AC185+AE185+AG185+AI185+AK185+AM185)</f>
        <v>0</v>
      </c>
      <c r="F185" s="1925"/>
      <c r="G185" s="1926"/>
      <c r="H185" s="1925"/>
      <c r="I185" s="1926"/>
      <c r="J185" s="1925"/>
      <c r="K185" s="1926"/>
      <c r="L185" s="1927"/>
      <c r="M185" s="1928"/>
      <c r="N185" s="1929"/>
      <c r="O185" s="1928"/>
      <c r="P185" s="1929"/>
      <c r="Q185" s="1928"/>
      <c r="R185" s="1929"/>
      <c r="S185" s="1928"/>
      <c r="T185" s="1929"/>
      <c r="U185" s="1928"/>
      <c r="V185" s="1929"/>
      <c r="W185" s="1928"/>
      <c r="X185" s="1929"/>
      <c r="Y185" s="1928"/>
      <c r="Z185" s="1929"/>
      <c r="AA185" s="1928"/>
      <c r="AB185" s="1929"/>
      <c r="AC185" s="1928"/>
      <c r="AD185" s="1929"/>
      <c r="AE185" s="1928"/>
      <c r="AF185" s="1929"/>
      <c r="AG185" s="1928"/>
      <c r="AH185" s="1929"/>
      <c r="AI185" s="1928"/>
      <c r="AJ185" s="1929"/>
      <c r="AK185" s="1928"/>
      <c r="AL185" s="1930"/>
      <c r="AM185" s="1931"/>
      <c r="AN185" s="1915"/>
      <c r="AO185" s="1919"/>
      <c r="AP185" s="1915"/>
      <c r="AQ185" s="307"/>
      <c r="AR185" s="216"/>
      <c r="AS185" s="216"/>
      <c r="AT185" s="216"/>
      <c r="AU185" s="1455" t="str">
        <f t="shared" si="73"/>
        <v/>
      </c>
      <c r="AV185" s="802"/>
      <c r="AW185" s="802"/>
      <c r="AX185" s="802"/>
      <c r="AY185" s="802"/>
      <c r="AZ185" s="802"/>
      <c r="BA185" s="802"/>
      <c r="BB185" s="802"/>
      <c r="BC185" s="802"/>
      <c r="BD185" s="802"/>
      <c r="BE185" s="290"/>
      <c r="BF185" s="290"/>
      <c r="BG185" s="290"/>
      <c r="BX185" s="165"/>
      <c r="CA185" s="1548" t="str">
        <f t="shared" si="62"/>
        <v/>
      </c>
      <c r="CB185" s="1548" t="str">
        <f t="shared" si="74"/>
        <v/>
      </c>
      <c r="CC185" s="1548" t="str">
        <f t="shared" si="63"/>
        <v/>
      </c>
      <c r="CD185" s="1548" t="str">
        <f t="shared" si="64"/>
        <v/>
      </c>
      <c r="CE185" s="1548" t="str">
        <f t="shared" si="65"/>
        <v/>
      </c>
      <c r="CF185" s="1548" t="str">
        <f t="shared" si="66"/>
        <v/>
      </c>
      <c r="CG185" s="1548" t="str">
        <f t="shared" si="75"/>
        <v/>
      </c>
      <c r="DA185" s="3311">
        <f t="shared" si="67"/>
        <v>0</v>
      </c>
      <c r="DB185" s="3311">
        <f t="shared" si="68"/>
        <v>0</v>
      </c>
      <c r="DC185" s="3311">
        <f t="shared" si="69"/>
        <v>0</v>
      </c>
      <c r="DD185" s="3311">
        <f t="shared" si="70"/>
        <v>0</v>
      </c>
      <c r="DE185" s="3311">
        <f t="shared" si="71"/>
        <v>0</v>
      </c>
      <c r="DF185" s="3311">
        <f t="shared" si="72"/>
        <v>0</v>
      </c>
      <c r="DG185" s="3311">
        <f t="shared" si="76"/>
        <v>0</v>
      </c>
    </row>
    <row r="186" spans="1:111" ht="16.350000000000001" customHeight="1" x14ac:dyDescent="0.25">
      <c r="A186" s="9073"/>
      <c r="B186" s="226" t="s">
        <v>2593</v>
      </c>
      <c r="C186" s="249">
        <f t="shared" si="59"/>
        <v>0</v>
      </c>
      <c r="D186" s="277">
        <f>SUM(L186+N186+P186+R186+T186+V186+X186+Z186+AB186+AD186+AF186+AH186+AJ186+AL186)</f>
        <v>0</v>
      </c>
      <c r="E186" s="152">
        <f>SUM(M186+O186+Q186+S186+U186+W186+Y186+AA186+AC186+AE186+AG186+AI186+AK186+AM186)</f>
        <v>0</v>
      </c>
      <c r="F186" s="1713"/>
      <c r="G186" s="1733"/>
      <c r="H186" s="1713"/>
      <c r="I186" s="1733"/>
      <c r="J186" s="1713"/>
      <c r="K186" s="1733"/>
      <c r="L186" s="1932"/>
      <c r="M186" s="1883"/>
      <c r="N186" s="1654"/>
      <c r="O186" s="1883"/>
      <c r="P186" s="1654"/>
      <c r="Q186" s="1883"/>
      <c r="R186" s="1654"/>
      <c r="S186" s="1883"/>
      <c r="T186" s="1654"/>
      <c r="U186" s="1883"/>
      <c r="V186" s="1654"/>
      <c r="W186" s="1883"/>
      <c r="X186" s="1654"/>
      <c r="Y186" s="1883"/>
      <c r="Z186" s="1654"/>
      <c r="AA186" s="1883"/>
      <c r="AB186" s="1654"/>
      <c r="AC186" s="1883"/>
      <c r="AD186" s="1654"/>
      <c r="AE186" s="1883"/>
      <c r="AF186" s="1654"/>
      <c r="AG186" s="1883"/>
      <c r="AH186" s="1654"/>
      <c r="AI186" s="1883"/>
      <c r="AJ186" s="1654"/>
      <c r="AK186" s="1883"/>
      <c r="AL186" s="1670"/>
      <c r="AM186" s="1876"/>
      <c r="AN186" s="1669"/>
      <c r="AO186" s="1699"/>
      <c r="AP186" s="1669"/>
      <c r="AQ186" s="102"/>
      <c r="AR186" s="127"/>
      <c r="AS186" s="127"/>
      <c r="AT186" s="127"/>
      <c r="AU186" s="1455" t="str">
        <f t="shared" si="73"/>
        <v/>
      </c>
      <c r="AV186" s="802"/>
      <c r="AW186" s="802"/>
      <c r="AX186" s="802"/>
      <c r="AY186" s="802"/>
      <c r="AZ186" s="802"/>
      <c r="BA186" s="802"/>
      <c r="BB186" s="802"/>
      <c r="BC186" s="802"/>
      <c r="BD186" s="802"/>
      <c r="BE186" s="290"/>
      <c r="BF186" s="290"/>
      <c r="BG186" s="290"/>
      <c r="BX186" s="165"/>
      <c r="CA186" s="1548" t="str">
        <f t="shared" si="62"/>
        <v/>
      </c>
      <c r="CB186" s="1548" t="str">
        <f t="shared" si="74"/>
        <v/>
      </c>
      <c r="CC186" s="1548" t="str">
        <f t="shared" si="63"/>
        <v/>
      </c>
      <c r="CD186" s="1548" t="str">
        <f t="shared" si="64"/>
        <v/>
      </c>
      <c r="CE186" s="1548" t="str">
        <f t="shared" si="65"/>
        <v/>
      </c>
      <c r="CF186" s="1548" t="str">
        <f t="shared" si="66"/>
        <v/>
      </c>
      <c r="CG186" s="1548" t="str">
        <f t="shared" si="75"/>
        <v/>
      </c>
      <c r="DA186" s="3311">
        <f t="shared" si="67"/>
        <v>0</v>
      </c>
      <c r="DB186" s="3311">
        <f t="shared" si="68"/>
        <v>0</v>
      </c>
      <c r="DC186" s="3311">
        <f t="shared" si="69"/>
        <v>0</v>
      </c>
      <c r="DD186" s="3311">
        <f t="shared" si="70"/>
        <v>0</v>
      </c>
      <c r="DE186" s="3311">
        <f t="shared" si="71"/>
        <v>0</v>
      </c>
      <c r="DF186" s="3311">
        <f t="shared" si="72"/>
        <v>0</v>
      </c>
      <c r="DG186" s="3311">
        <f t="shared" si="76"/>
        <v>0</v>
      </c>
    </row>
    <row r="187" spans="1:111" ht="24" customHeight="1" x14ac:dyDescent="0.25">
      <c r="AA187" s="140"/>
      <c r="AB187" s="140"/>
      <c r="AC187" s="140"/>
      <c r="AD187" s="140"/>
      <c r="AE187" s="140"/>
      <c r="AR187" s="165" t="s">
        <v>196</v>
      </c>
      <c r="AS187" s="290"/>
      <c r="AT187" s="290"/>
      <c r="AU187" s="290"/>
      <c r="AV187" s="290"/>
      <c r="AW187" s="290"/>
      <c r="AX187" s="290"/>
      <c r="AY187" s="290"/>
      <c r="AZ187" s="290"/>
      <c r="BA187" s="290"/>
      <c r="BB187" s="290"/>
      <c r="BC187" s="290"/>
      <c r="BD187" s="290"/>
      <c r="BE187" s="290"/>
      <c r="BF187" s="290"/>
      <c r="BG187" s="290"/>
    </row>
    <row r="188" spans="1:111" ht="22.15" customHeight="1" x14ac:dyDescent="0.25">
      <c r="AA188" s="140"/>
      <c r="AB188" s="140"/>
      <c r="AC188" s="140"/>
      <c r="AD188" s="140"/>
      <c r="AE188" s="140"/>
      <c r="AS188" s="290"/>
      <c r="AT188" s="290"/>
      <c r="AU188" s="290"/>
      <c r="AV188" s="290"/>
      <c r="AW188" s="290"/>
      <c r="AX188" s="290"/>
      <c r="AY188" s="290"/>
      <c r="AZ188" s="290"/>
      <c r="BA188" s="290"/>
      <c r="BB188" s="290"/>
      <c r="BC188" s="290"/>
      <c r="BD188" s="290"/>
      <c r="BE188" s="290"/>
      <c r="BF188" s="290"/>
      <c r="BG188" s="290"/>
    </row>
    <row r="189" spans="1:111" ht="27.6" customHeight="1" x14ac:dyDescent="0.25">
      <c r="AA189" s="140"/>
      <c r="AB189" s="140"/>
      <c r="AC189" s="140"/>
      <c r="AD189" s="140"/>
      <c r="AE189" s="140"/>
      <c r="AS189" s="290"/>
      <c r="AT189" s="290"/>
      <c r="AU189" s="290"/>
      <c r="AV189" s="290"/>
      <c r="AW189" s="290"/>
      <c r="AX189" s="290"/>
      <c r="AY189" s="290"/>
      <c r="AZ189" s="290"/>
      <c r="BA189" s="290"/>
      <c r="BB189" s="290"/>
      <c r="BC189" s="290"/>
      <c r="BD189" s="290"/>
      <c r="BE189" s="290"/>
      <c r="BF189" s="290"/>
      <c r="BG189" s="290"/>
    </row>
    <row r="190" spans="1:111" x14ac:dyDescent="0.25">
      <c r="AA190" s="140"/>
      <c r="AB190" s="140"/>
      <c r="AC190" s="140"/>
      <c r="AD190" s="140"/>
      <c r="AE190" s="140"/>
      <c r="AS190" s="290"/>
      <c r="AT190" s="290"/>
      <c r="AU190" s="290"/>
      <c r="AV190" s="290"/>
      <c r="AW190" s="290"/>
      <c r="AX190" s="290"/>
      <c r="AY190" s="290"/>
      <c r="AZ190" s="290"/>
      <c r="BA190" s="290"/>
      <c r="BB190" s="290"/>
      <c r="BC190" s="290"/>
      <c r="BD190" s="290"/>
    </row>
    <row r="191" spans="1:111" x14ac:dyDescent="0.25">
      <c r="AA191" s="140"/>
      <c r="AB191" s="140"/>
      <c r="AC191" s="140"/>
      <c r="AD191" s="140"/>
      <c r="AE191" s="140"/>
      <c r="AS191" s="290"/>
      <c r="AT191" s="290"/>
      <c r="AU191" s="290"/>
      <c r="AV191" s="290"/>
      <c r="AW191" s="290"/>
      <c r="AX191" s="290"/>
      <c r="AY191" s="290"/>
      <c r="AZ191" s="290"/>
      <c r="BA191" s="290"/>
      <c r="BB191" s="290"/>
      <c r="BC191" s="290"/>
      <c r="BD191" s="290"/>
    </row>
    <row r="192" spans="1:111" x14ac:dyDescent="0.25">
      <c r="AA192" s="140"/>
      <c r="AB192" s="140"/>
      <c r="AC192" s="140"/>
      <c r="AD192" s="140"/>
      <c r="AE192" s="140"/>
      <c r="AS192" s="290"/>
      <c r="AT192" s="290"/>
      <c r="AU192" s="290"/>
      <c r="AV192" s="290"/>
      <c r="AW192" s="290"/>
      <c r="AX192" s="290"/>
      <c r="AY192" s="290"/>
      <c r="AZ192" s="290"/>
      <c r="BA192" s="290"/>
      <c r="BB192" s="290"/>
      <c r="BC192" s="290"/>
      <c r="BD192" s="290"/>
    </row>
    <row r="193" spans="24:43" x14ac:dyDescent="0.25">
      <c r="AA193" s="140"/>
      <c r="AB193" s="140"/>
      <c r="AC193" s="140"/>
      <c r="AD193" s="140"/>
      <c r="AE193" s="140"/>
    </row>
    <row r="194" spans="24:43" x14ac:dyDescent="0.25">
      <c r="AA194" s="140"/>
      <c r="AB194" s="140"/>
      <c r="AC194" s="140"/>
      <c r="AD194" s="140"/>
      <c r="AE194" s="140"/>
    </row>
    <row r="195" spans="24:43" x14ac:dyDescent="0.25">
      <c r="AA195" s="140"/>
      <c r="AB195" s="140"/>
      <c r="AC195" s="140"/>
      <c r="AD195" s="140"/>
      <c r="AE195" s="140"/>
    </row>
    <row r="196" spans="24:43" x14ac:dyDescent="0.25">
      <c r="AA196" s="140"/>
      <c r="AB196" s="140"/>
      <c r="AC196" s="140"/>
      <c r="AD196" s="140"/>
      <c r="AE196" s="140"/>
    </row>
    <row r="197" spans="24:43" x14ac:dyDescent="0.25">
      <c r="AA197" s="140"/>
      <c r="AB197" s="140"/>
      <c r="AC197" s="140"/>
      <c r="AD197" s="140"/>
      <c r="AE197" s="140"/>
      <c r="AF197" s="140"/>
      <c r="AG197" s="140"/>
      <c r="AH197" s="140"/>
      <c r="AI197" s="140"/>
      <c r="AJ197" s="140"/>
      <c r="AK197" s="140"/>
      <c r="AL197" s="140"/>
    </row>
    <row r="198" spans="24:43" x14ac:dyDescent="0.25">
      <c r="AA198" s="140"/>
      <c r="AB198" s="140"/>
      <c r="AC198" s="140"/>
      <c r="AD198" s="140"/>
      <c r="AE198" s="140"/>
      <c r="AF198" s="140"/>
      <c r="AG198" s="140"/>
      <c r="AH198" s="140"/>
      <c r="AI198" s="140"/>
      <c r="AJ198" s="140"/>
      <c r="AK198" s="140"/>
      <c r="AL198" s="140"/>
    </row>
    <row r="199" spans="24:43" x14ac:dyDescent="0.25">
      <c r="AA199" s="140"/>
      <c r="AB199" s="140"/>
      <c r="AC199" s="140"/>
      <c r="AD199" s="140"/>
      <c r="AE199" s="140"/>
      <c r="AF199" s="140"/>
      <c r="AG199" s="140"/>
      <c r="AH199" s="140"/>
      <c r="AI199" s="140"/>
      <c r="AJ199" s="140"/>
      <c r="AK199" s="140"/>
      <c r="AL199" s="140"/>
    </row>
    <row r="200" spans="24:43" x14ac:dyDescent="0.25">
      <c r="AA200" s="140"/>
      <c r="AB200" s="140"/>
      <c r="AC200" s="140"/>
      <c r="AD200" s="140"/>
      <c r="AE200" s="140"/>
      <c r="AF200" s="140"/>
      <c r="AG200" s="140"/>
      <c r="AH200" s="140"/>
      <c r="AI200" s="140"/>
      <c r="AJ200" s="140"/>
      <c r="AK200" s="140"/>
      <c r="AL200" s="140"/>
    </row>
    <row r="201" spans="24:43" x14ac:dyDescent="0.25">
      <c r="AA201" s="140"/>
      <c r="AB201" s="140"/>
      <c r="AC201" s="140"/>
      <c r="AD201" s="140"/>
      <c r="AE201" s="140"/>
      <c r="AF201" s="140"/>
      <c r="AG201" s="140"/>
      <c r="AH201" s="140"/>
      <c r="AI201" s="140"/>
      <c r="AJ201" s="140"/>
      <c r="AK201" s="140"/>
      <c r="AL201" s="140"/>
    </row>
    <row r="202" spans="24:43" x14ac:dyDescent="0.25">
      <c r="AA202" s="140"/>
      <c r="AB202" s="140"/>
      <c r="AC202" s="140"/>
      <c r="AD202" s="140"/>
      <c r="AE202" s="140"/>
      <c r="AF202" s="140"/>
      <c r="AG202" s="140"/>
      <c r="AH202" s="140"/>
      <c r="AI202" s="140"/>
      <c r="AJ202" s="140"/>
      <c r="AK202" s="140"/>
      <c r="AL202" s="140"/>
    </row>
    <row r="203" spans="24:43" x14ac:dyDescent="0.25">
      <c r="AA203" s="140"/>
      <c r="AB203" s="140"/>
      <c r="AC203" s="140"/>
      <c r="AD203" s="140"/>
      <c r="AE203" s="140"/>
      <c r="AF203" s="140"/>
      <c r="AG203" s="140"/>
      <c r="AH203" s="140"/>
      <c r="AI203" s="140"/>
      <c r="AJ203" s="140"/>
      <c r="AK203" s="140"/>
      <c r="AL203" s="140"/>
    </row>
    <row r="204" spans="24:43" x14ac:dyDescent="0.25">
      <c r="AA204" s="140"/>
      <c r="AB204" s="140"/>
      <c r="AC204" s="140"/>
      <c r="AD204" s="140"/>
      <c r="AE204" s="140"/>
      <c r="AF204" s="140"/>
      <c r="AG204" s="140"/>
      <c r="AH204" s="140"/>
      <c r="AI204" s="140"/>
      <c r="AJ204" s="140"/>
      <c r="AK204" s="140"/>
      <c r="AL204" s="140"/>
    </row>
    <row r="205" spans="24:43" x14ac:dyDescent="0.25">
      <c r="X205" s="140"/>
      <c r="Y205" s="140"/>
      <c r="Z205" s="140"/>
      <c r="AA205" s="140"/>
      <c r="AB205" s="140"/>
      <c r="AC205" s="140"/>
      <c r="AD205" s="140"/>
      <c r="AE205" s="140"/>
      <c r="AF205" s="140"/>
      <c r="AG205" s="140"/>
      <c r="AH205" s="140"/>
      <c r="AI205" s="190"/>
      <c r="AJ205" s="140"/>
      <c r="AK205" s="140"/>
      <c r="AL205" s="140"/>
      <c r="AM205" s="140"/>
      <c r="AN205" s="140"/>
      <c r="AO205" s="140"/>
      <c r="AP205" s="140"/>
      <c r="AQ205" s="190"/>
    </row>
    <row r="261" spans="1:130" ht="12.75" customHeight="1" x14ac:dyDescent="0.25"/>
    <row r="262" spans="1:130" s="1440" customFormat="1" ht="14.25" x14ac:dyDescent="0.2">
      <c r="A262" s="1440">
        <f>SUM(B71,W71,AA71,AE71,AF71,B136,F136,J136,N136,Q136:AI136,B155,C171,C176:C186)</f>
        <v>0</v>
      </c>
      <c r="B262" s="1440">
        <f>SUM(DA7:DZ188)</f>
        <v>0</v>
      </c>
      <c r="BX262" s="1441"/>
      <c r="BY262" s="1441"/>
      <c r="BZ262" s="1441"/>
      <c r="CA262" s="1441"/>
      <c r="CB262" s="1441"/>
      <c r="CC262" s="1441"/>
      <c r="CD262" s="1441"/>
      <c r="CE262" s="1441"/>
      <c r="CF262" s="1441"/>
      <c r="CG262" s="1457"/>
      <c r="CH262" s="1457"/>
      <c r="CI262" s="1457"/>
      <c r="CJ262" s="1457"/>
      <c r="CK262" s="1457"/>
      <c r="CL262" s="1457"/>
      <c r="CM262" s="1457"/>
      <c r="CN262" s="1457"/>
      <c r="CO262" s="1457"/>
      <c r="CP262" s="1457"/>
      <c r="CQ262" s="1457"/>
      <c r="CR262" s="1457"/>
      <c r="CS262" s="1451"/>
      <c r="CT262" s="1451"/>
      <c r="CU262" s="1451"/>
      <c r="CV262" s="1451"/>
      <c r="CW262" s="1451"/>
      <c r="CX262" s="1451"/>
      <c r="CY262" s="1451"/>
      <c r="CZ262" s="1451"/>
      <c r="DA262" s="3308"/>
      <c r="DB262" s="3308"/>
      <c r="DC262" s="3308"/>
      <c r="DD262" s="3308"/>
      <c r="DE262" s="3308"/>
      <c r="DF262" s="3308"/>
      <c r="DG262" s="3308"/>
      <c r="DH262" s="3308"/>
      <c r="DI262" s="3308"/>
      <c r="DJ262" s="3308"/>
      <c r="DK262" s="3308"/>
      <c r="DL262" s="3308"/>
      <c r="DM262" s="3311"/>
      <c r="DN262" s="3311"/>
      <c r="DO262" s="3311"/>
      <c r="DP262" s="3311"/>
      <c r="DQ262" s="3311"/>
      <c r="DR262" s="3311"/>
      <c r="DS262" s="3311"/>
      <c r="DT262" s="3311"/>
      <c r="DU262" s="3311"/>
      <c r="DV262" s="3311"/>
      <c r="DW262" s="3311"/>
      <c r="DX262" s="3311"/>
      <c r="DY262" s="3311"/>
      <c r="DZ262" s="3311"/>
    </row>
  </sheetData>
  <sheetProtection algorithmName="SHA-512" hashValue="v5nNtEAoHEovIKEqKJpnh89xtmPZKioTplw+L/TejRobfVVBL6R9+AReDMdOfn2c5Zm33kgjZkCm5wy5V+7/hg==" saltValue="C1cunUWTJYVxOho3cZk9lg==" spinCount="100000" sheet="1" objects="1" scenarios="1"/>
  <mergeCells count="94">
    <mergeCell ref="AE8:AF9"/>
    <mergeCell ref="S73:T74"/>
    <mergeCell ref="AE73:AF74"/>
    <mergeCell ref="AG73:AI74"/>
    <mergeCell ref="U73:V74"/>
    <mergeCell ref="W73:W75"/>
    <mergeCell ref="Z73:AA74"/>
    <mergeCell ref="AB73:AC74"/>
    <mergeCell ref="AD73:AD75"/>
    <mergeCell ref="X73:Y74"/>
    <mergeCell ref="T9:T10"/>
    <mergeCell ref="U9:V9"/>
    <mergeCell ref="B8:V8"/>
    <mergeCell ref="A183:A184"/>
    <mergeCell ref="A171:B171"/>
    <mergeCell ref="A185:A186"/>
    <mergeCell ref="A178:A180"/>
    <mergeCell ref="A173:A175"/>
    <mergeCell ref="B173:B175"/>
    <mergeCell ref="A176:A177"/>
    <mergeCell ref="A181:A182"/>
    <mergeCell ref="C173:E174"/>
    <mergeCell ref="F173:AM173"/>
    <mergeCell ref="R174:S174"/>
    <mergeCell ref="T174:U174"/>
    <mergeCell ref="AH174:AI174"/>
    <mergeCell ref="F174:G174"/>
    <mergeCell ref="H174:I174"/>
    <mergeCell ref="AB174:AC174"/>
    <mergeCell ref="AL174:AM174"/>
    <mergeCell ref="AF174:AG174"/>
    <mergeCell ref="J174:K174"/>
    <mergeCell ref="L174:M174"/>
    <mergeCell ref="N174:O174"/>
    <mergeCell ref="AS7:AU7"/>
    <mergeCell ref="AP5:AP7"/>
    <mergeCell ref="AQ5:AR7"/>
    <mergeCell ref="Z158:AA158"/>
    <mergeCell ref="AB158:AC158"/>
    <mergeCell ref="AD158:AE158"/>
    <mergeCell ref="A6:AD6"/>
    <mergeCell ref="A8:A10"/>
    <mergeCell ref="W8:AD8"/>
    <mergeCell ref="W9:Z9"/>
    <mergeCell ref="B9:B10"/>
    <mergeCell ref="F157:AM157"/>
    <mergeCell ref="AL158:AM158"/>
    <mergeCell ref="T158:U158"/>
    <mergeCell ref="AF158:AG158"/>
    <mergeCell ref="AH158:AI158"/>
    <mergeCell ref="AQ173:AQ175"/>
    <mergeCell ref="C9:S9"/>
    <mergeCell ref="AA9:AD9"/>
    <mergeCell ref="N158:O158"/>
    <mergeCell ref="A165:B165"/>
    <mergeCell ref="Z174:AA174"/>
    <mergeCell ref="A166:B166"/>
    <mergeCell ref="A167:B167"/>
    <mergeCell ref="AJ174:AK174"/>
    <mergeCell ref="A73:A75"/>
    <mergeCell ref="F73:I74"/>
    <mergeCell ref="B73:E74"/>
    <mergeCell ref="AD174:AE174"/>
    <mergeCell ref="J73:M74"/>
    <mergeCell ref="N73:P74"/>
    <mergeCell ref="Q73:R74"/>
    <mergeCell ref="A169:B169"/>
    <mergeCell ref="A161:A164"/>
    <mergeCell ref="A157:B159"/>
    <mergeCell ref="C157:E158"/>
    <mergeCell ref="A160:B160"/>
    <mergeCell ref="A168:B168"/>
    <mergeCell ref="F158:G158"/>
    <mergeCell ref="H158:I158"/>
    <mergeCell ref="P158:Q158"/>
    <mergeCell ref="R158:S158"/>
    <mergeCell ref="J158:K158"/>
    <mergeCell ref="L158:M158"/>
    <mergeCell ref="A170:B170"/>
    <mergeCell ref="AT173:AT175"/>
    <mergeCell ref="AS173:AS175"/>
    <mergeCell ref="AN157:AN159"/>
    <mergeCell ref="V158:W158"/>
    <mergeCell ref="X158:Y158"/>
    <mergeCell ref="AN173:AN175"/>
    <mergeCell ref="AR173:AR175"/>
    <mergeCell ref="AQ157:AQ159"/>
    <mergeCell ref="AO173:AP174"/>
    <mergeCell ref="AP157:AP159"/>
    <mergeCell ref="AO157:AO159"/>
    <mergeCell ref="AJ158:AK158"/>
    <mergeCell ref="V174:W174"/>
    <mergeCell ref="X174:Y174"/>
    <mergeCell ref="P174:Q174"/>
  </mergeCells>
  <dataValidations count="2">
    <dataValidation type="whole" operator="greaterThanOrEqual" allowBlank="1" showInputMessage="1" showErrorMessage="1" errorTitle="Error" error="Favor Ingrese sólo Números." sqref="C11:AD70 C139:U154 F160:AQ170 F176:AT186" xr:uid="{00000000-0002-0000-0700-000000000000}">
      <formula1>0</formula1>
    </dataValidation>
    <dataValidation type="whole" operator="greaterThanOrEqual" allowBlank="1" showInputMessage="1" showErrorMessage="1" sqref="AE11:AF70 C76:E135 G76:I135 K76:M135 O76:AI135" xr:uid="{833F9FFE-FC48-420A-A52B-54072A8B3B6A}">
      <formula1>0</formula1>
    </dataValidation>
  </dataValidations>
  <pageMargins left="0.7" right="0.7" top="0.75" bottom="0.75" header="0.3" footer="0.3"/>
  <pageSetup paperSize="9" orientation="portrait" r:id="rId1"/>
  <ignoredErrors>
    <ignoredError sqref="B13 B35 B66 D164:E164" formula="1"/>
    <ignoredError sqref="B76:B135 F76:F135 J76:J135 N76:N135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EB220"/>
  <sheetViews>
    <sheetView showGridLines="0" zoomScaleNormal="100" workbookViewId="0">
      <selection activeCell="A6" sqref="A6:O6"/>
    </sheetView>
  </sheetViews>
  <sheetFormatPr baseColWidth="10" defaultColWidth="11.42578125" defaultRowHeight="14.25" x14ac:dyDescent="0.2"/>
  <cols>
    <col min="1" max="1" width="44.7109375" style="165" customWidth="1"/>
    <col min="2" max="2" width="32.5703125" style="165" customWidth="1"/>
    <col min="3" max="3" width="14.140625" style="165" customWidth="1"/>
    <col min="4" max="4" width="12.42578125" style="165" customWidth="1"/>
    <col min="5" max="5" width="13.140625" style="165" customWidth="1"/>
    <col min="6" max="6" width="11.42578125" style="165" customWidth="1"/>
    <col min="7" max="7" width="11.85546875" style="165" customWidth="1"/>
    <col min="8" max="9" width="14.42578125" style="165" customWidth="1"/>
    <col min="10" max="10" width="12.5703125" style="165" customWidth="1"/>
    <col min="11" max="13" width="11.42578125" style="165" customWidth="1"/>
    <col min="14" max="14" width="12.42578125" style="165" customWidth="1"/>
    <col min="15" max="15" width="12" style="165" customWidth="1"/>
    <col min="16" max="22" width="11.42578125" style="165" customWidth="1"/>
    <col min="23" max="25" width="13.5703125" style="165" customWidth="1"/>
    <col min="26" max="26" width="13" style="165" customWidth="1"/>
    <col min="27" max="30" width="11.42578125" style="165" customWidth="1"/>
    <col min="31" max="31" width="13.28515625" style="165" customWidth="1"/>
    <col min="32" max="37" width="11.42578125" style="165" customWidth="1"/>
    <col min="38" max="38" width="11.42578125" style="165"/>
    <col min="39" max="39" width="11.140625" style="165" customWidth="1"/>
    <col min="40" max="40" width="13" style="165" customWidth="1"/>
    <col min="41" max="41" width="13.140625" style="165" customWidth="1"/>
    <col min="42" max="43" width="11.42578125" style="165"/>
    <col min="44" max="44" width="11.42578125" style="165" customWidth="1"/>
    <col min="45" max="72" width="11.42578125" style="165"/>
    <col min="73" max="73" width="15.42578125" style="165" customWidth="1"/>
    <col min="74" max="74" width="15.42578125" style="290" customWidth="1"/>
    <col min="75" max="75" width="15.7109375" style="290" customWidth="1"/>
    <col min="76" max="77" width="15.7109375" style="1460" customWidth="1"/>
    <col min="78" max="78" width="15.42578125" style="290" customWidth="1"/>
    <col min="79" max="104" width="15.42578125" style="1451" hidden="1" customWidth="1"/>
    <col min="105" max="130" width="11.42578125" style="3308" hidden="1" customWidth="1"/>
    <col min="131" max="131" width="0" style="165" hidden="1" customWidth="1"/>
    <col min="132" max="16384" width="11.42578125" style="165"/>
  </cols>
  <sheetData>
    <row r="1" spans="1:108" ht="16.350000000000001" customHeight="1" x14ac:dyDescent="0.2">
      <c r="A1" s="233" t="s">
        <v>206</v>
      </c>
    </row>
    <row r="2" spans="1:108" ht="16.350000000000001" customHeight="1" x14ac:dyDescent="0.2">
      <c r="A2" s="150" t="str">
        <f>CONCATENATE("COMUNA: ",NOMBRE!B2," - ","( ",NOMBRE!C2,NOMBRE!D2,NOMBRE!E2,NOMBRE!F2,NOMBRE!G2," )")</f>
        <v>COMUNA:  - (  )</v>
      </c>
    </row>
    <row r="3" spans="1:108" ht="16.350000000000001" customHeight="1" x14ac:dyDescent="0.2">
      <c r="A3" s="150" t="str">
        <f>CONCATENATE("ESTABLECIMIENTO/ESTRATEGIA: ",NOMBRE!B3," - ","( ",NOMBRE!C3,NOMBRE!D3,NOMBRE!E3,NOMBRE!F3,NOMBRE!G3,NOMBRE!H3," )")</f>
        <v>ESTABLECIMIENTO/ESTRATEGIA:  - (  )</v>
      </c>
    </row>
    <row r="4" spans="1:108" ht="16.350000000000001" customHeight="1" x14ac:dyDescent="0.2">
      <c r="A4" s="150" t="str">
        <f>CONCATENATE("MES: ",NOMBRE!B6," - ","( ",NOMBRE!C6,NOMBRE!D6," )")</f>
        <v>MES:  - (  )</v>
      </c>
    </row>
    <row r="5" spans="1:108" ht="16.350000000000001" customHeight="1" x14ac:dyDescent="0.2">
      <c r="A5" s="150" t="str">
        <f>CONCATENATE("AÑO: ",NOMBRE!B7)</f>
        <v>AÑO: 2023</v>
      </c>
      <c r="AP5" s="1530"/>
    </row>
    <row r="6" spans="1:108" ht="15" x14ac:dyDescent="0.2">
      <c r="A6" s="9123" t="s">
        <v>1024</v>
      </c>
      <c r="B6" s="9123"/>
      <c r="C6" s="9123"/>
      <c r="D6" s="9123"/>
      <c r="E6" s="9123"/>
      <c r="F6" s="9123"/>
      <c r="G6" s="9123"/>
      <c r="H6" s="9123"/>
      <c r="I6" s="9123"/>
      <c r="J6" s="9123"/>
      <c r="K6" s="9123"/>
      <c r="L6" s="9123"/>
      <c r="M6" s="9123"/>
      <c r="N6" s="9123"/>
      <c r="O6" s="9123"/>
      <c r="P6" s="684"/>
      <c r="Q6" s="684"/>
      <c r="R6" s="684"/>
      <c r="S6" s="684"/>
      <c r="T6" s="598"/>
      <c r="U6" s="598"/>
      <c r="V6" s="598"/>
      <c r="W6" s="598"/>
      <c r="X6" s="598"/>
      <c r="Y6" s="598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</row>
    <row r="7" spans="1:108" ht="32.1" customHeight="1" x14ac:dyDescent="0.2">
      <c r="A7" s="524" t="s">
        <v>1023</v>
      </c>
      <c r="B7" s="524"/>
      <c r="C7" s="524"/>
      <c r="D7" s="524"/>
      <c r="E7" s="524"/>
      <c r="F7" s="524"/>
      <c r="G7" s="524"/>
      <c r="H7" s="524"/>
      <c r="I7" s="524"/>
      <c r="J7" s="524"/>
      <c r="K7" s="524"/>
      <c r="L7" s="524"/>
      <c r="M7" s="524"/>
      <c r="N7" s="524"/>
      <c r="O7" s="524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BX7" s="290"/>
      <c r="BY7" s="290"/>
    </row>
    <row r="8" spans="1:108" ht="32.1" customHeight="1" x14ac:dyDescent="0.2">
      <c r="A8" s="4071" t="s">
        <v>3806</v>
      </c>
      <c r="B8" s="365"/>
      <c r="C8" s="365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233"/>
      <c r="O8" s="233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290"/>
      <c r="AT8" s="290"/>
      <c r="AU8" s="290"/>
      <c r="AV8" s="290"/>
      <c r="AW8" s="290"/>
      <c r="AX8" s="290"/>
      <c r="AY8" s="290"/>
      <c r="AZ8" s="290"/>
      <c r="BA8" s="290"/>
      <c r="BB8" s="290"/>
      <c r="BC8" s="290"/>
      <c r="BD8" s="290"/>
      <c r="BE8" s="290"/>
      <c r="BF8" s="290"/>
      <c r="BG8" s="290"/>
      <c r="BX8" s="290"/>
      <c r="BY8" s="290"/>
    </row>
    <row r="9" spans="1:108" ht="32.1" customHeight="1" x14ac:dyDescent="0.2">
      <c r="A9" s="8186" t="s">
        <v>910</v>
      </c>
      <c r="B9" s="8182" t="s">
        <v>940</v>
      </c>
      <c r="C9" s="8167"/>
      <c r="D9" s="8183"/>
      <c r="E9" s="8340" t="s">
        <v>84</v>
      </c>
      <c r="F9" s="9157"/>
      <c r="G9" s="9157"/>
      <c r="H9" s="9157"/>
      <c r="I9" s="9157"/>
      <c r="J9" s="9157"/>
      <c r="K9" s="9157"/>
      <c r="L9" s="9157"/>
      <c r="M9" s="9157"/>
      <c r="N9" s="9157"/>
      <c r="O9" s="9157"/>
      <c r="P9" s="9157"/>
      <c r="Q9" s="9157"/>
      <c r="R9" s="9157"/>
      <c r="S9" s="9157"/>
      <c r="T9" s="9157"/>
      <c r="U9" s="9157"/>
      <c r="V9" s="9157"/>
      <c r="W9" s="9157"/>
      <c r="X9" s="9157"/>
      <c r="Y9" s="9157"/>
      <c r="Z9" s="9157"/>
      <c r="AA9" s="9157"/>
      <c r="AB9" s="9157"/>
      <c r="AC9" s="9157"/>
      <c r="AD9" s="9157"/>
      <c r="AE9" s="9157"/>
      <c r="AF9" s="9157"/>
      <c r="AG9" s="9157"/>
      <c r="AH9" s="9157"/>
      <c r="AI9" s="9157"/>
      <c r="AJ9" s="9157"/>
      <c r="AK9" s="9157"/>
      <c r="AL9" s="8341"/>
      <c r="AM9" s="8153" t="s">
        <v>358</v>
      </c>
      <c r="AN9" s="8340" t="s">
        <v>1022</v>
      </c>
      <c r="AO9" s="9157"/>
      <c r="AP9" s="9157"/>
      <c r="AQ9" s="8341"/>
      <c r="AR9" s="8153" t="s">
        <v>1021</v>
      </c>
      <c r="AS9" s="8153" t="s">
        <v>1015</v>
      </c>
      <c r="AT9" s="290"/>
      <c r="AU9" s="290"/>
      <c r="AV9" s="290"/>
      <c r="AW9" s="290"/>
      <c r="AX9" s="290"/>
      <c r="AY9" s="290"/>
      <c r="AZ9" s="290"/>
      <c r="BA9" s="290"/>
      <c r="BB9" s="290"/>
      <c r="BC9" s="290"/>
      <c r="BD9" s="290"/>
      <c r="BE9" s="290"/>
      <c r="BF9" s="290"/>
      <c r="BG9" s="290"/>
    </row>
    <row r="10" spans="1:108" ht="16.350000000000001" customHeight="1" x14ac:dyDescent="0.2">
      <c r="A10" s="8189"/>
      <c r="B10" s="8184"/>
      <c r="C10" s="8168"/>
      <c r="D10" s="8185"/>
      <c r="E10" s="9210" t="s">
        <v>397</v>
      </c>
      <c r="F10" s="9211"/>
      <c r="G10" s="9210" t="s">
        <v>54</v>
      </c>
      <c r="H10" s="9211"/>
      <c r="I10" s="9210" t="s">
        <v>79</v>
      </c>
      <c r="J10" s="9211"/>
      <c r="K10" s="9210" t="s">
        <v>80</v>
      </c>
      <c r="L10" s="9211"/>
      <c r="M10" s="9210" t="s">
        <v>81</v>
      </c>
      <c r="N10" s="9211"/>
      <c r="O10" s="9207" t="s">
        <v>82</v>
      </c>
      <c r="P10" s="9208"/>
      <c r="Q10" s="9207" t="s">
        <v>83</v>
      </c>
      <c r="R10" s="9208"/>
      <c r="S10" s="9207" t="s">
        <v>398</v>
      </c>
      <c r="T10" s="9208"/>
      <c r="U10" s="9207" t="s">
        <v>124</v>
      </c>
      <c r="V10" s="9208"/>
      <c r="W10" s="9207" t="s">
        <v>125</v>
      </c>
      <c r="X10" s="9208"/>
      <c r="Y10" s="9207" t="s">
        <v>126</v>
      </c>
      <c r="Z10" s="9208"/>
      <c r="AA10" s="9207" t="s">
        <v>127</v>
      </c>
      <c r="AB10" s="9208"/>
      <c r="AC10" s="9207" t="s">
        <v>128</v>
      </c>
      <c r="AD10" s="9208"/>
      <c r="AE10" s="9207" t="s">
        <v>129</v>
      </c>
      <c r="AF10" s="9208"/>
      <c r="AG10" s="9207" t="s">
        <v>130</v>
      </c>
      <c r="AH10" s="9208"/>
      <c r="AI10" s="9207" t="s">
        <v>131</v>
      </c>
      <c r="AJ10" s="9208"/>
      <c r="AK10" s="9207" t="s">
        <v>1403</v>
      </c>
      <c r="AL10" s="9209"/>
      <c r="AM10" s="8125"/>
      <c r="AN10" s="9219" t="s">
        <v>1020</v>
      </c>
      <c r="AO10" s="9215" t="s">
        <v>1019</v>
      </c>
      <c r="AP10" s="9215" t="s">
        <v>1018</v>
      </c>
      <c r="AQ10" s="9217" t="s">
        <v>1017</v>
      </c>
      <c r="AR10" s="8125"/>
      <c r="AS10" s="8125"/>
      <c r="AT10" s="290"/>
      <c r="AU10" s="290"/>
      <c r="AV10" s="290"/>
      <c r="AW10" s="290"/>
      <c r="AX10" s="290"/>
      <c r="AY10" s="290"/>
      <c r="AZ10" s="290"/>
      <c r="BA10" s="290"/>
      <c r="BB10" s="290"/>
      <c r="BC10" s="290"/>
      <c r="BD10" s="290"/>
      <c r="BE10" s="290"/>
      <c r="BF10" s="290"/>
      <c r="BG10" s="290"/>
    </row>
    <row r="11" spans="1:108" ht="32.1" customHeight="1" x14ac:dyDescent="0.2">
      <c r="A11" s="8187"/>
      <c r="B11" s="579" t="s">
        <v>42</v>
      </c>
      <c r="C11" s="588" t="s">
        <v>17</v>
      </c>
      <c r="D11" s="2122" t="s">
        <v>18</v>
      </c>
      <c r="E11" s="2160" t="s">
        <v>17</v>
      </c>
      <c r="F11" s="2120" t="s">
        <v>18</v>
      </c>
      <c r="G11" s="2160" t="s">
        <v>17</v>
      </c>
      <c r="H11" s="2120" t="s">
        <v>18</v>
      </c>
      <c r="I11" s="2160" t="s">
        <v>17</v>
      </c>
      <c r="J11" s="2120" t="s">
        <v>18</v>
      </c>
      <c r="K11" s="2160" t="s">
        <v>17</v>
      </c>
      <c r="L11" s="2120" t="s">
        <v>18</v>
      </c>
      <c r="M11" s="2160" t="s">
        <v>17</v>
      </c>
      <c r="N11" s="2120" t="s">
        <v>18</v>
      </c>
      <c r="O11" s="2160" t="s">
        <v>17</v>
      </c>
      <c r="P11" s="2120" t="s">
        <v>18</v>
      </c>
      <c r="Q11" s="2160" t="s">
        <v>17</v>
      </c>
      <c r="R11" s="2120" t="s">
        <v>18</v>
      </c>
      <c r="S11" s="2160" t="s">
        <v>17</v>
      </c>
      <c r="T11" s="2120" t="s">
        <v>18</v>
      </c>
      <c r="U11" s="2160" t="s">
        <v>17</v>
      </c>
      <c r="V11" s="2120" t="s">
        <v>18</v>
      </c>
      <c r="W11" s="2160" t="s">
        <v>17</v>
      </c>
      <c r="X11" s="2120" t="s">
        <v>18</v>
      </c>
      <c r="Y11" s="2160" t="s">
        <v>17</v>
      </c>
      <c r="Z11" s="2120" t="s">
        <v>18</v>
      </c>
      <c r="AA11" s="2160" t="s">
        <v>17</v>
      </c>
      <c r="AB11" s="2120" t="s">
        <v>18</v>
      </c>
      <c r="AC11" s="2160" t="s">
        <v>17</v>
      </c>
      <c r="AD11" s="2120" t="s">
        <v>18</v>
      </c>
      <c r="AE11" s="2160" t="s">
        <v>17</v>
      </c>
      <c r="AF11" s="2120" t="s">
        <v>18</v>
      </c>
      <c r="AG11" s="2162" t="s">
        <v>17</v>
      </c>
      <c r="AH11" s="2110" t="s">
        <v>18</v>
      </c>
      <c r="AI11" s="2160" t="s">
        <v>17</v>
      </c>
      <c r="AJ11" s="2120" t="s">
        <v>18</v>
      </c>
      <c r="AK11" s="2162" t="s">
        <v>17</v>
      </c>
      <c r="AL11" s="2120" t="s">
        <v>18</v>
      </c>
      <c r="AM11" s="8154"/>
      <c r="AN11" s="9220"/>
      <c r="AO11" s="9216"/>
      <c r="AP11" s="9216"/>
      <c r="AQ11" s="9218"/>
      <c r="AR11" s="8154"/>
      <c r="AS11" s="8154"/>
      <c r="AT11" s="290"/>
      <c r="AU11" s="290"/>
      <c r="AV11" s="290"/>
      <c r="AW11" s="290"/>
      <c r="AX11" s="290"/>
      <c r="AY11" s="290"/>
      <c r="AZ11" s="290"/>
      <c r="BA11" s="290"/>
      <c r="BB11" s="290"/>
      <c r="BC11" s="290"/>
      <c r="BD11" s="290"/>
      <c r="BE11" s="290"/>
      <c r="BF11" s="290"/>
      <c r="BG11" s="290"/>
    </row>
    <row r="12" spans="1:108" ht="16.350000000000001" customHeight="1" x14ac:dyDescent="0.2">
      <c r="A12" s="4072" t="s">
        <v>1016</v>
      </c>
      <c r="B12" s="2636">
        <f>SUM(C12+D12)</f>
        <v>0</v>
      </c>
      <c r="C12" s="2637">
        <f t="shared" ref="C12:D15" si="0">SUM(E12+G12+I12+K12+M12+O12+Q12+S12+U12+W12+Y12+AA12+AC12+AE12+AG12+AI12+AK12)</f>
        <v>0</v>
      </c>
      <c r="D12" s="2640">
        <f t="shared" si="0"/>
        <v>0</v>
      </c>
      <c r="E12" s="2635"/>
      <c r="F12" s="2643"/>
      <c r="G12" s="2635"/>
      <c r="H12" s="2643"/>
      <c r="I12" s="2635"/>
      <c r="J12" s="1628"/>
      <c r="K12" s="1626"/>
      <c r="L12" s="2643"/>
      <c r="M12" s="2635"/>
      <c r="N12" s="1628"/>
      <c r="O12" s="1626"/>
      <c r="P12" s="2643"/>
      <c r="Q12" s="2635"/>
      <c r="R12" s="2643"/>
      <c r="S12" s="2647"/>
      <c r="T12" s="2646"/>
      <c r="U12" s="2647"/>
      <c r="V12" s="2646"/>
      <c r="W12" s="2647"/>
      <c r="X12" s="2646"/>
      <c r="Y12" s="2647"/>
      <c r="Z12" s="2646"/>
      <c r="AA12" s="1626"/>
      <c r="AB12" s="1628"/>
      <c r="AC12" s="1626"/>
      <c r="AD12" s="1628"/>
      <c r="AE12" s="1626"/>
      <c r="AF12" s="1628"/>
      <c r="AG12" s="2647"/>
      <c r="AH12" s="2646"/>
      <c r="AI12" s="2647"/>
      <c r="AJ12" s="2646"/>
      <c r="AK12" s="2647"/>
      <c r="AL12" s="2646"/>
      <c r="AM12" s="1629"/>
      <c r="AN12" s="2647"/>
      <c r="AO12" s="2635"/>
      <c r="AP12" s="2635"/>
      <c r="AQ12" s="2646"/>
      <c r="AR12" s="2646"/>
      <c r="AS12" s="2646"/>
      <c r="AT12" s="1469"/>
      <c r="AU12" s="802"/>
      <c r="AV12" s="802"/>
      <c r="AW12" s="802"/>
      <c r="AX12" s="802"/>
      <c r="AY12" s="802"/>
      <c r="AZ12" s="802"/>
      <c r="BA12" s="802"/>
      <c r="BB12" s="802"/>
      <c r="BC12" s="802"/>
      <c r="BD12" s="802"/>
      <c r="BE12" s="290"/>
      <c r="BF12" s="290"/>
      <c r="BG12" s="290"/>
      <c r="DA12" s="3308">
        <v>0</v>
      </c>
      <c r="DB12" s="3308">
        <v>0</v>
      </c>
      <c r="DC12" s="3308">
        <v>0</v>
      </c>
      <c r="DD12" s="3308">
        <v>0</v>
      </c>
    </row>
    <row r="13" spans="1:108" ht="16.350000000000001" customHeight="1" x14ac:dyDescent="0.2">
      <c r="A13" s="4073" t="s">
        <v>3722</v>
      </c>
      <c r="B13" s="904">
        <f>SUM(C13+D13)</f>
        <v>0</v>
      </c>
      <c r="C13" s="907">
        <f t="shared" si="0"/>
        <v>0</v>
      </c>
      <c r="D13" s="2641">
        <f t="shared" si="0"/>
        <v>0</v>
      </c>
      <c r="E13" s="2547"/>
      <c r="F13" s="2551"/>
      <c r="G13" s="2547"/>
      <c r="H13" s="2551"/>
      <c r="I13" s="2547"/>
      <c r="J13" s="2551"/>
      <c r="K13" s="2547"/>
      <c r="L13" s="2551"/>
      <c r="M13" s="2548"/>
      <c r="N13" s="2555"/>
      <c r="O13" s="2548"/>
      <c r="P13" s="2555"/>
      <c r="Q13" s="2548"/>
      <c r="R13" s="2555"/>
      <c r="S13" s="2548"/>
      <c r="T13" s="2555"/>
      <c r="U13" s="2548"/>
      <c r="V13" s="2555"/>
      <c r="W13" s="2548"/>
      <c r="X13" s="2555"/>
      <c r="Y13" s="2548"/>
      <c r="Z13" s="2555"/>
      <c r="AA13" s="2548"/>
      <c r="AB13" s="2555"/>
      <c r="AC13" s="2548"/>
      <c r="AD13" s="2555"/>
      <c r="AE13" s="2548"/>
      <c r="AF13" s="2555"/>
      <c r="AG13" s="2548"/>
      <c r="AH13" s="2555"/>
      <c r="AI13" s="2548"/>
      <c r="AJ13" s="2555"/>
      <c r="AK13" s="2548"/>
      <c r="AL13" s="2555"/>
      <c r="AM13" s="2555"/>
      <c r="AN13" s="2548"/>
      <c r="AO13" s="2547"/>
      <c r="AP13" s="2547"/>
      <c r="AQ13" s="2555"/>
      <c r="AR13" s="2555"/>
      <c r="AS13" s="2555"/>
      <c r="AT13" s="1469"/>
      <c r="AU13" s="802"/>
      <c r="AV13" s="802"/>
      <c r="AW13" s="802"/>
      <c r="AX13" s="802"/>
      <c r="AY13" s="802"/>
      <c r="AZ13" s="802"/>
      <c r="BA13" s="802"/>
      <c r="BB13" s="802"/>
      <c r="BC13" s="802"/>
      <c r="BD13" s="802"/>
      <c r="BE13" s="290"/>
      <c r="BF13" s="290"/>
      <c r="BG13" s="290"/>
      <c r="DA13" s="3308">
        <v>0</v>
      </c>
      <c r="DB13" s="3308">
        <v>0</v>
      </c>
      <c r="DC13" s="3308">
        <v>0</v>
      </c>
      <c r="DD13" s="3308">
        <v>0</v>
      </c>
    </row>
    <row r="14" spans="1:108" ht="16.350000000000001" customHeight="1" x14ac:dyDescent="0.2">
      <c r="A14" s="4074" t="s">
        <v>2601</v>
      </c>
      <c r="B14" s="2638">
        <f>SUM(C14+D14)</f>
        <v>0</v>
      </c>
      <c r="C14" s="2639">
        <f t="shared" si="0"/>
        <v>0</v>
      </c>
      <c r="D14" s="2642">
        <f t="shared" si="0"/>
        <v>0</v>
      </c>
      <c r="E14" s="2548"/>
      <c r="F14" s="2555"/>
      <c r="G14" s="2548"/>
      <c r="H14" s="2555"/>
      <c r="I14" s="2548"/>
      <c r="J14" s="2555"/>
      <c r="K14" s="2548"/>
      <c r="L14" s="2555"/>
      <c r="M14" s="2548"/>
      <c r="N14" s="2555"/>
      <c r="O14" s="2548"/>
      <c r="P14" s="2555"/>
      <c r="Q14" s="2548"/>
      <c r="R14" s="2555"/>
      <c r="S14" s="2548"/>
      <c r="T14" s="2555"/>
      <c r="U14" s="2548"/>
      <c r="V14" s="2555"/>
      <c r="W14" s="2548"/>
      <c r="X14" s="2555"/>
      <c r="Y14" s="2548"/>
      <c r="Z14" s="2555"/>
      <c r="AA14" s="2548"/>
      <c r="AB14" s="2555"/>
      <c r="AC14" s="2548"/>
      <c r="AD14" s="2555"/>
      <c r="AE14" s="2548"/>
      <c r="AF14" s="2555"/>
      <c r="AG14" s="2548"/>
      <c r="AH14" s="2555"/>
      <c r="AI14" s="2548"/>
      <c r="AJ14" s="2555"/>
      <c r="AK14" s="2548"/>
      <c r="AL14" s="2555"/>
      <c r="AM14" s="2555"/>
      <c r="AN14" s="2645"/>
      <c r="AO14" s="2645"/>
      <c r="AP14" s="2645"/>
      <c r="AQ14" s="2482"/>
      <c r="AR14" s="2482"/>
      <c r="AS14" s="2482"/>
      <c r="AT14" s="1469"/>
      <c r="AU14" s="802"/>
      <c r="AV14" s="802"/>
      <c r="AW14" s="802"/>
      <c r="AX14" s="802"/>
      <c r="AY14" s="802"/>
      <c r="AZ14" s="802"/>
      <c r="BA14" s="802"/>
      <c r="BB14" s="802"/>
      <c r="BC14" s="802"/>
      <c r="BD14" s="802"/>
      <c r="BE14" s="290"/>
      <c r="BF14" s="290"/>
      <c r="BG14" s="290"/>
      <c r="DA14" s="3308">
        <v>0</v>
      </c>
      <c r="DB14" s="3308">
        <v>0</v>
      </c>
    </row>
    <row r="15" spans="1:108" ht="16.350000000000001" customHeight="1" x14ac:dyDescent="0.2">
      <c r="A15" s="7218" t="s">
        <v>2602</v>
      </c>
      <c r="B15" s="7219">
        <f>SUM(C15+D15)</f>
        <v>0</v>
      </c>
      <c r="C15" s="7220">
        <f t="shared" si="0"/>
        <v>0</v>
      </c>
      <c r="D15" s="3619">
        <f t="shared" si="0"/>
        <v>0</v>
      </c>
      <c r="E15" s="3248"/>
      <c r="F15" s="3249"/>
      <c r="G15" s="3248"/>
      <c r="H15" s="3249"/>
      <c r="I15" s="3248"/>
      <c r="J15" s="3249"/>
      <c r="K15" s="3248"/>
      <c r="L15" s="3249"/>
      <c r="M15" s="3248"/>
      <c r="N15" s="3249"/>
      <c r="O15" s="3248"/>
      <c r="P15" s="3249"/>
      <c r="Q15" s="3248"/>
      <c r="R15" s="3249"/>
      <c r="S15" s="3248"/>
      <c r="T15" s="3249"/>
      <c r="U15" s="3248"/>
      <c r="V15" s="3249"/>
      <c r="W15" s="3248"/>
      <c r="X15" s="3249"/>
      <c r="Y15" s="3248"/>
      <c r="Z15" s="3249"/>
      <c r="AA15" s="3248"/>
      <c r="AB15" s="3249"/>
      <c r="AC15" s="3248"/>
      <c r="AD15" s="3249"/>
      <c r="AE15" s="3248"/>
      <c r="AF15" s="3249"/>
      <c r="AG15" s="3248"/>
      <c r="AH15" s="3249"/>
      <c r="AI15" s="3248"/>
      <c r="AJ15" s="3249"/>
      <c r="AK15" s="3248"/>
      <c r="AL15" s="3249"/>
      <c r="AM15" s="3249"/>
      <c r="AN15" s="2905"/>
      <c r="AO15" s="2905"/>
      <c r="AP15" s="2905"/>
      <c r="AQ15" s="3292"/>
      <c r="AR15" s="3292"/>
      <c r="AS15" s="3292"/>
      <c r="AT15" s="1469"/>
      <c r="AU15" s="802"/>
      <c r="AV15" s="802"/>
      <c r="AW15" s="802"/>
      <c r="AX15" s="802"/>
      <c r="AY15" s="802"/>
      <c r="AZ15" s="802"/>
      <c r="BA15" s="802"/>
      <c r="BB15" s="802"/>
      <c r="BC15" s="802"/>
      <c r="BD15" s="802"/>
      <c r="BE15" s="290"/>
      <c r="BF15" s="290"/>
      <c r="BG15" s="290"/>
      <c r="DA15" s="3308">
        <v>0</v>
      </c>
      <c r="DB15" s="3308">
        <v>0</v>
      </c>
    </row>
    <row r="16" spans="1:108" ht="32.1" customHeight="1" x14ac:dyDescent="0.2">
      <c r="A16" s="292" t="s">
        <v>3992</v>
      </c>
      <c r="B16" s="290"/>
      <c r="C16" s="290"/>
      <c r="D16" s="290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  <c r="P16" s="290"/>
      <c r="Q16" s="290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0"/>
      <c r="AG16" s="290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290"/>
      <c r="AS16" s="290"/>
      <c r="AT16" s="290"/>
      <c r="AU16" s="290"/>
      <c r="AV16" s="290"/>
      <c r="AW16" s="290"/>
      <c r="AX16" s="290"/>
      <c r="AY16" s="290"/>
      <c r="AZ16" s="290"/>
      <c r="BA16" s="290"/>
      <c r="BB16" s="290"/>
      <c r="BC16" s="290"/>
      <c r="BD16" s="290"/>
      <c r="BE16" s="290"/>
      <c r="BF16" s="290"/>
      <c r="BG16" s="290"/>
      <c r="BH16" s="290"/>
      <c r="BI16" s="290"/>
      <c r="BX16" s="290"/>
      <c r="BY16" s="290"/>
    </row>
    <row r="17" spans="1:106" ht="16.350000000000001" customHeight="1" x14ac:dyDescent="0.2">
      <c r="A17" s="9050" t="s">
        <v>2600</v>
      </c>
      <c r="B17" s="9052" t="s">
        <v>940</v>
      </c>
      <c r="C17" s="9053"/>
      <c r="D17" s="9049"/>
      <c r="E17" s="9056" t="s">
        <v>84</v>
      </c>
      <c r="F17" s="9057"/>
      <c r="G17" s="9057"/>
      <c r="H17" s="9057"/>
      <c r="I17" s="9057"/>
      <c r="J17" s="9057"/>
      <c r="K17" s="9057"/>
      <c r="L17" s="9057"/>
      <c r="M17" s="9057"/>
      <c r="N17" s="9057"/>
      <c r="O17" s="9057"/>
      <c r="P17" s="9057"/>
      <c r="Q17" s="9057"/>
      <c r="R17" s="9057"/>
      <c r="S17" s="9057"/>
      <c r="T17" s="9057"/>
      <c r="U17" s="9057"/>
      <c r="V17" s="9057"/>
      <c r="W17" s="9057"/>
      <c r="X17" s="9057"/>
      <c r="Y17" s="9057"/>
      <c r="Z17" s="9057"/>
      <c r="AA17" s="9057"/>
      <c r="AB17" s="9057"/>
      <c r="AC17" s="9057"/>
      <c r="AD17" s="9057"/>
      <c r="AE17" s="9057"/>
      <c r="AF17" s="9057"/>
      <c r="AG17" s="9057"/>
      <c r="AH17" s="9057"/>
      <c r="AI17" s="9057"/>
      <c r="AJ17" s="9057"/>
      <c r="AK17" s="9057"/>
      <c r="AL17" s="9068"/>
      <c r="AM17" s="8176" t="s">
        <v>358</v>
      </c>
      <c r="AN17" s="8153" t="s">
        <v>3712</v>
      </c>
      <c r="AO17" s="8153" t="s">
        <v>1015</v>
      </c>
      <c r="AP17" s="8153" t="s">
        <v>2893</v>
      </c>
      <c r="AQ17" s="290"/>
      <c r="AR17" s="290"/>
      <c r="AS17" s="290"/>
      <c r="AT17" s="290"/>
      <c r="AU17" s="290"/>
      <c r="AV17" s="290"/>
      <c r="AW17" s="290"/>
      <c r="AX17" s="290"/>
      <c r="AY17" s="290"/>
      <c r="AZ17" s="290"/>
      <c r="BA17" s="290"/>
      <c r="BB17" s="290"/>
      <c r="BC17" s="290"/>
      <c r="BD17" s="290"/>
      <c r="BE17" s="290"/>
      <c r="BF17" s="290"/>
      <c r="BG17" s="290"/>
      <c r="BH17" s="290"/>
      <c r="BI17" s="290"/>
    </row>
    <row r="18" spans="1:106" ht="16.350000000000001" customHeight="1" x14ac:dyDescent="0.2">
      <c r="A18" s="8161"/>
      <c r="B18" s="9054"/>
      <c r="C18" s="9055"/>
      <c r="D18" s="8328"/>
      <c r="E18" s="9056" t="s">
        <v>397</v>
      </c>
      <c r="F18" s="9068"/>
      <c r="G18" s="9056" t="s">
        <v>54</v>
      </c>
      <c r="H18" s="9068"/>
      <c r="I18" s="9056" t="s">
        <v>79</v>
      </c>
      <c r="J18" s="9068"/>
      <c r="K18" s="9056" t="s">
        <v>80</v>
      </c>
      <c r="L18" s="9068"/>
      <c r="M18" s="9056" t="s">
        <v>81</v>
      </c>
      <c r="N18" s="9068"/>
      <c r="O18" s="9069" t="s">
        <v>82</v>
      </c>
      <c r="P18" s="9070"/>
      <c r="Q18" s="9069" t="s">
        <v>83</v>
      </c>
      <c r="R18" s="9070"/>
      <c r="S18" s="9069" t="s">
        <v>398</v>
      </c>
      <c r="T18" s="9070"/>
      <c r="U18" s="9069" t="s">
        <v>124</v>
      </c>
      <c r="V18" s="9070"/>
      <c r="W18" s="9069" t="s">
        <v>125</v>
      </c>
      <c r="X18" s="9070"/>
      <c r="Y18" s="9069" t="s">
        <v>126</v>
      </c>
      <c r="Z18" s="9070"/>
      <c r="AA18" s="9069" t="s">
        <v>127</v>
      </c>
      <c r="AB18" s="9070"/>
      <c r="AC18" s="9069" t="s">
        <v>128</v>
      </c>
      <c r="AD18" s="9070"/>
      <c r="AE18" s="9069" t="s">
        <v>129</v>
      </c>
      <c r="AF18" s="9070"/>
      <c r="AG18" s="9069" t="s">
        <v>130</v>
      </c>
      <c r="AH18" s="9070"/>
      <c r="AI18" s="9069" t="s">
        <v>131</v>
      </c>
      <c r="AJ18" s="9070"/>
      <c r="AK18" s="9069" t="s">
        <v>1403</v>
      </c>
      <c r="AL18" s="9070"/>
      <c r="AM18" s="8151"/>
      <c r="AN18" s="8125"/>
      <c r="AO18" s="8125"/>
      <c r="AP18" s="8125"/>
      <c r="AQ18" s="290"/>
      <c r="AR18" s="290"/>
      <c r="AS18" s="290"/>
      <c r="AT18" s="290"/>
      <c r="AU18" s="290"/>
      <c r="AV18" s="290"/>
      <c r="AW18" s="290"/>
      <c r="AX18" s="290"/>
      <c r="AY18" s="290"/>
      <c r="AZ18" s="290"/>
      <c r="BA18" s="290"/>
      <c r="BB18" s="290"/>
      <c r="BC18" s="290"/>
      <c r="BD18" s="290"/>
      <c r="BE18" s="290"/>
      <c r="BF18" s="290"/>
      <c r="BG18" s="290"/>
      <c r="BH18" s="290"/>
      <c r="BI18" s="290"/>
    </row>
    <row r="19" spans="1:106" ht="16.350000000000001" customHeight="1" x14ac:dyDescent="0.2">
      <c r="A19" s="9051"/>
      <c r="B19" s="7247" t="s">
        <v>42</v>
      </c>
      <c r="C19" s="7592" t="s">
        <v>706</v>
      </c>
      <c r="D19" s="7536" t="s">
        <v>18</v>
      </c>
      <c r="E19" s="7537" t="s">
        <v>706</v>
      </c>
      <c r="F19" s="7536" t="s">
        <v>18</v>
      </c>
      <c r="G19" s="7537" t="s">
        <v>706</v>
      </c>
      <c r="H19" s="7536" t="s">
        <v>18</v>
      </c>
      <c r="I19" s="7537" t="s">
        <v>706</v>
      </c>
      <c r="J19" s="7536" t="s">
        <v>18</v>
      </c>
      <c r="K19" s="7537" t="s">
        <v>706</v>
      </c>
      <c r="L19" s="7536" t="s">
        <v>18</v>
      </c>
      <c r="M19" s="7537" t="s">
        <v>706</v>
      </c>
      <c r="N19" s="7536" t="s">
        <v>18</v>
      </c>
      <c r="O19" s="7537" t="s">
        <v>706</v>
      </c>
      <c r="P19" s="7536" t="s">
        <v>18</v>
      </c>
      <c r="Q19" s="7537" t="s">
        <v>706</v>
      </c>
      <c r="R19" s="7536" t="s">
        <v>18</v>
      </c>
      <c r="S19" s="7537" t="s">
        <v>706</v>
      </c>
      <c r="T19" s="7536" t="s">
        <v>18</v>
      </c>
      <c r="U19" s="7537" t="s">
        <v>706</v>
      </c>
      <c r="V19" s="7536" t="s">
        <v>18</v>
      </c>
      <c r="W19" s="7537" t="s">
        <v>706</v>
      </c>
      <c r="X19" s="7536" t="s">
        <v>18</v>
      </c>
      <c r="Y19" s="7537" t="s">
        <v>706</v>
      </c>
      <c r="Z19" s="7536" t="s">
        <v>18</v>
      </c>
      <c r="AA19" s="7537" t="s">
        <v>706</v>
      </c>
      <c r="AB19" s="7536" t="s">
        <v>18</v>
      </c>
      <c r="AC19" s="7537" t="s">
        <v>706</v>
      </c>
      <c r="AD19" s="7536" t="s">
        <v>18</v>
      </c>
      <c r="AE19" s="7537" t="s">
        <v>706</v>
      </c>
      <c r="AF19" s="7536" t="s">
        <v>18</v>
      </c>
      <c r="AG19" s="7537" t="s">
        <v>706</v>
      </c>
      <c r="AH19" s="7536" t="s">
        <v>18</v>
      </c>
      <c r="AI19" s="7537" t="s">
        <v>706</v>
      </c>
      <c r="AJ19" s="7536" t="s">
        <v>18</v>
      </c>
      <c r="AK19" s="7537" t="s">
        <v>706</v>
      </c>
      <c r="AL19" s="7536" t="s">
        <v>18</v>
      </c>
      <c r="AM19" s="8271"/>
      <c r="AN19" s="8154"/>
      <c r="AO19" s="8154"/>
      <c r="AP19" s="8154"/>
      <c r="AQ19" s="290"/>
      <c r="AR19" s="290"/>
      <c r="AS19" s="290"/>
      <c r="AT19" s="290"/>
      <c r="AU19" s="290"/>
      <c r="AV19" s="290"/>
      <c r="AW19" s="290"/>
      <c r="AX19" s="290"/>
      <c r="AY19" s="290"/>
      <c r="AZ19" s="290"/>
      <c r="BA19" s="290"/>
      <c r="BB19" s="290"/>
      <c r="BC19" s="290"/>
      <c r="BD19" s="290"/>
      <c r="BE19" s="290"/>
      <c r="BF19" s="290"/>
      <c r="BG19" s="290"/>
      <c r="BH19" s="290"/>
      <c r="BI19" s="290"/>
    </row>
    <row r="20" spans="1:106" ht="16.350000000000001" customHeight="1" x14ac:dyDescent="0.2">
      <c r="A20" s="7593" t="s">
        <v>2571</v>
      </c>
      <c r="B20" s="3143">
        <f t="shared" ref="B20:B25" si="1">SUM(C20+D20)</f>
        <v>0</v>
      </c>
      <c r="C20" s="3144">
        <f t="shared" ref="C20:D25" si="2">SUM(E20+G20+I20+K20+M20+O20+Q20+S20+U20+W20+Y20+AA20+AC20+AE20+AG20+AI20+AK20)</f>
        <v>0</v>
      </c>
      <c r="D20" s="2992">
        <f t="shared" si="2"/>
        <v>0</v>
      </c>
      <c r="E20" s="4025"/>
      <c r="F20" s="2877"/>
      <c r="G20" s="4025"/>
      <c r="H20" s="2877"/>
      <c r="I20" s="4025"/>
      <c r="J20" s="4966"/>
      <c r="K20" s="4025"/>
      <c r="L20" s="4966"/>
      <c r="M20" s="4025"/>
      <c r="N20" s="4966"/>
      <c r="O20" s="7162"/>
      <c r="P20" s="4966"/>
      <c r="Q20" s="7162"/>
      <c r="R20" s="4966"/>
      <c r="S20" s="7162"/>
      <c r="T20" s="4966"/>
      <c r="U20" s="7162"/>
      <c r="V20" s="4966"/>
      <c r="W20" s="7162"/>
      <c r="X20" s="4966"/>
      <c r="Y20" s="7162"/>
      <c r="Z20" s="4966"/>
      <c r="AA20" s="7162"/>
      <c r="AB20" s="4966"/>
      <c r="AC20" s="7162"/>
      <c r="AD20" s="4966"/>
      <c r="AE20" s="7162"/>
      <c r="AF20" s="4966"/>
      <c r="AG20" s="7162"/>
      <c r="AH20" s="4966"/>
      <c r="AI20" s="7162"/>
      <c r="AJ20" s="4966"/>
      <c r="AK20" s="7162"/>
      <c r="AL20" s="4966"/>
      <c r="AM20" s="2877"/>
      <c r="AN20" s="91"/>
      <c r="AO20" s="91"/>
      <c r="AP20" s="91"/>
      <c r="AQ20" s="1469"/>
      <c r="AR20" s="802"/>
      <c r="AS20" s="802"/>
      <c r="AT20" s="802"/>
      <c r="AU20" s="802"/>
      <c r="AV20" s="802"/>
      <c r="AW20" s="802"/>
      <c r="AX20" s="802"/>
      <c r="AY20" s="802"/>
      <c r="AZ20" s="290"/>
      <c r="BA20" s="290"/>
      <c r="BB20" s="290"/>
      <c r="BC20" s="290"/>
      <c r="BD20" s="290"/>
      <c r="BE20" s="290"/>
      <c r="BF20" s="290"/>
      <c r="BG20" s="290"/>
      <c r="BH20" s="290"/>
      <c r="BI20" s="290"/>
      <c r="DA20" s="3308">
        <v>0</v>
      </c>
      <c r="DB20" s="3308">
        <v>0</v>
      </c>
    </row>
    <row r="21" spans="1:106" ht="16.350000000000001" customHeight="1" x14ac:dyDescent="0.2">
      <c r="A21" s="7594" t="s">
        <v>3040</v>
      </c>
      <c r="B21" s="3143">
        <f t="shared" si="1"/>
        <v>0</v>
      </c>
      <c r="C21" s="3144">
        <f t="shared" si="2"/>
        <v>0</v>
      </c>
      <c r="D21" s="2992">
        <f t="shared" si="2"/>
        <v>0</v>
      </c>
      <c r="E21" s="4025"/>
      <c r="F21" s="2877"/>
      <c r="G21" s="4025"/>
      <c r="H21" s="2877"/>
      <c r="I21" s="4025"/>
      <c r="J21" s="4966"/>
      <c r="K21" s="4025"/>
      <c r="L21" s="4966"/>
      <c r="M21" s="4025"/>
      <c r="N21" s="4966"/>
      <c r="O21" s="7162"/>
      <c r="P21" s="4966"/>
      <c r="Q21" s="7162"/>
      <c r="R21" s="4966"/>
      <c r="S21" s="7162"/>
      <c r="T21" s="4966"/>
      <c r="U21" s="7162"/>
      <c r="V21" s="4966"/>
      <c r="W21" s="7162"/>
      <c r="X21" s="4966"/>
      <c r="Y21" s="7162"/>
      <c r="Z21" s="4966"/>
      <c r="AA21" s="7162"/>
      <c r="AB21" s="4966"/>
      <c r="AC21" s="7162"/>
      <c r="AD21" s="4966"/>
      <c r="AE21" s="7162"/>
      <c r="AF21" s="4966"/>
      <c r="AG21" s="7162"/>
      <c r="AH21" s="4966"/>
      <c r="AI21" s="7162"/>
      <c r="AJ21" s="4966"/>
      <c r="AK21" s="7162"/>
      <c r="AL21" s="4966"/>
      <c r="AM21" s="2877"/>
      <c r="AN21" s="3113"/>
      <c r="AO21" s="3113"/>
      <c r="AP21" s="3113"/>
      <c r="AQ21" s="1469"/>
      <c r="AR21" s="802"/>
      <c r="AS21" s="802"/>
      <c r="AT21" s="802"/>
      <c r="AU21" s="802"/>
      <c r="AV21" s="802"/>
      <c r="AW21" s="802"/>
      <c r="AX21" s="802"/>
      <c r="AY21" s="802"/>
      <c r="AZ21" s="290"/>
      <c r="BA21" s="290"/>
      <c r="BB21" s="290"/>
      <c r="BC21" s="290"/>
      <c r="BD21" s="290"/>
      <c r="BE21" s="290"/>
      <c r="BF21" s="290"/>
      <c r="BG21" s="290"/>
      <c r="BH21" s="290"/>
      <c r="BI21" s="290"/>
      <c r="DA21" s="3308">
        <v>0</v>
      </c>
      <c r="DB21" s="3308">
        <v>0</v>
      </c>
    </row>
    <row r="22" spans="1:106" ht="16.350000000000001" customHeight="1" x14ac:dyDescent="0.2">
      <c r="A22" s="7595" t="s">
        <v>2572</v>
      </c>
      <c r="B22" s="3143">
        <f t="shared" si="1"/>
        <v>0</v>
      </c>
      <c r="C22" s="3144">
        <f t="shared" si="2"/>
        <v>0</v>
      </c>
      <c r="D22" s="7543">
        <f t="shared" si="2"/>
        <v>0</v>
      </c>
      <c r="E22" s="3028"/>
      <c r="F22" s="3121"/>
      <c r="G22" s="3028"/>
      <c r="H22" s="3121"/>
      <c r="I22" s="3028"/>
      <c r="J22" s="1882"/>
      <c r="K22" s="3028"/>
      <c r="L22" s="1882"/>
      <c r="M22" s="3028"/>
      <c r="N22" s="1882"/>
      <c r="O22" s="1908"/>
      <c r="P22" s="1882"/>
      <c r="Q22" s="1908"/>
      <c r="R22" s="1882"/>
      <c r="S22" s="1908"/>
      <c r="T22" s="1882"/>
      <c r="U22" s="1908"/>
      <c r="V22" s="1882"/>
      <c r="W22" s="1908"/>
      <c r="X22" s="1882"/>
      <c r="Y22" s="1908"/>
      <c r="Z22" s="1882"/>
      <c r="AA22" s="1908"/>
      <c r="AB22" s="1882"/>
      <c r="AC22" s="1908"/>
      <c r="AD22" s="1882"/>
      <c r="AE22" s="1908"/>
      <c r="AF22" s="1882"/>
      <c r="AG22" s="1908"/>
      <c r="AH22" s="1882"/>
      <c r="AI22" s="1908"/>
      <c r="AJ22" s="1882"/>
      <c r="AK22" s="1908"/>
      <c r="AL22" s="1882"/>
      <c r="AM22" s="3121"/>
      <c r="AN22" s="123"/>
      <c r="AO22" s="123"/>
      <c r="AP22" s="3145"/>
      <c r="AQ22" s="1469"/>
      <c r="AR22" s="802"/>
      <c r="AS22" s="802"/>
      <c r="AT22" s="802"/>
      <c r="AU22" s="802"/>
      <c r="AV22" s="802"/>
      <c r="AW22" s="802"/>
      <c r="AX22" s="802"/>
      <c r="AY22" s="802"/>
      <c r="AZ22" s="290"/>
      <c r="BA22" s="290"/>
      <c r="BB22" s="290"/>
      <c r="BC22" s="290"/>
      <c r="BD22" s="290"/>
      <c r="BE22" s="290"/>
      <c r="BF22" s="290"/>
      <c r="BG22" s="290"/>
      <c r="BH22" s="290"/>
      <c r="BI22" s="290"/>
      <c r="DA22" s="3308">
        <v>0</v>
      </c>
      <c r="DB22" s="3308">
        <v>0</v>
      </c>
    </row>
    <row r="23" spans="1:106" ht="16.350000000000001" customHeight="1" thickBot="1" x14ac:dyDescent="0.25">
      <c r="A23" s="7587" t="s">
        <v>3479</v>
      </c>
      <c r="B23" s="3862">
        <f t="shared" si="1"/>
        <v>0</v>
      </c>
      <c r="C23" s="5234">
        <f t="shared" si="2"/>
        <v>0</v>
      </c>
      <c r="D23" s="3277">
        <f t="shared" si="2"/>
        <v>0</v>
      </c>
      <c r="E23" s="3278"/>
      <c r="F23" s="3279"/>
      <c r="G23" s="3278"/>
      <c r="H23" s="3279"/>
      <c r="I23" s="3278"/>
      <c r="J23" s="2596"/>
      <c r="K23" s="2852"/>
      <c r="L23" s="3279"/>
      <c r="M23" s="3278"/>
      <c r="N23" s="3279"/>
      <c r="O23" s="3278"/>
      <c r="P23" s="3279"/>
      <c r="Q23" s="3278"/>
      <c r="R23" s="3279"/>
      <c r="S23" s="3278"/>
      <c r="T23" s="3279"/>
      <c r="U23" s="3278"/>
      <c r="V23" s="3279"/>
      <c r="W23" s="3278"/>
      <c r="X23" s="3279"/>
      <c r="Y23" s="3278"/>
      <c r="Z23" s="3279"/>
      <c r="AA23" s="3278"/>
      <c r="AB23" s="3279"/>
      <c r="AC23" s="3278"/>
      <c r="AD23" s="3279"/>
      <c r="AE23" s="3278"/>
      <c r="AF23" s="3279"/>
      <c r="AG23" s="3278"/>
      <c r="AH23" s="3279"/>
      <c r="AI23" s="3278"/>
      <c r="AJ23" s="3279"/>
      <c r="AK23" s="3278"/>
      <c r="AL23" s="3279"/>
      <c r="AM23" s="3279"/>
      <c r="AN23" s="3279"/>
      <c r="AO23" s="3279"/>
      <c r="AP23" s="3279"/>
      <c r="AQ23" s="1469"/>
      <c r="AR23" s="802"/>
      <c r="AS23" s="802"/>
      <c r="AT23" s="802"/>
      <c r="AU23" s="802"/>
      <c r="AV23" s="802"/>
      <c r="AW23" s="802"/>
      <c r="AX23" s="802"/>
      <c r="AY23" s="802"/>
      <c r="AZ23" s="290"/>
      <c r="BA23" s="290"/>
      <c r="BB23" s="290"/>
      <c r="BC23" s="290"/>
      <c r="BD23" s="290"/>
      <c r="BE23" s="290"/>
      <c r="BF23" s="290"/>
      <c r="BG23" s="290"/>
      <c r="BH23" s="290"/>
      <c r="BI23" s="290"/>
      <c r="DA23" s="3308">
        <v>0</v>
      </c>
      <c r="DB23" s="3308">
        <v>0</v>
      </c>
    </row>
    <row r="24" spans="1:106" ht="16.350000000000001" customHeight="1" thickTop="1" x14ac:dyDescent="0.2">
      <c r="A24" s="842" t="s">
        <v>2693</v>
      </c>
      <c r="B24" s="7588">
        <f t="shared" si="1"/>
        <v>0</v>
      </c>
      <c r="C24" s="7589">
        <f t="shared" si="2"/>
        <v>0</v>
      </c>
      <c r="D24" s="927">
        <f t="shared" si="2"/>
        <v>0</v>
      </c>
      <c r="E24" s="530"/>
      <c r="F24" s="528"/>
      <c r="G24" s="530"/>
      <c r="H24" s="528"/>
      <c r="I24" s="530"/>
      <c r="J24" s="568"/>
      <c r="K24" s="7590"/>
      <c r="L24" s="528"/>
      <c r="M24" s="530"/>
      <c r="N24" s="528"/>
      <c r="O24" s="530"/>
      <c r="P24" s="528"/>
      <c r="Q24" s="530"/>
      <c r="R24" s="528"/>
      <c r="S24" s="530"/>
      <c r="T24" s="528"/>
      <c r="U24" s="530"/>
      <c r="V24" s="528"/>
      <c r="W24" s="530"/>
      <c r="X24" s="528"/>
      <c r="Y24" s="530"/>
      <c r="Z24" s="528"/>
      <c r="AA24" s="530"/>
      <c r="AB24" s="528"/>
      <c r="AC24" s="530"/>
      <c r="AD24" s="528"/>
      <c r="AE24" s="530"/>
      <c r="AF24" s="528"/>
      <c r="AG24" s="530"/>
      <c r="AH24" s="528"/>
      <c r="AI24" s="530"/>
      <c r="AJ24" s="528"/>
      <c r="AK24" s="530"/>
      <c r="AL24" s="528"/>
      <c r="AM24" s="528"/>
      <c r="AN24" s="528"/>
      <c r="AO24" s="7666"/>
      <c r="AP24" s="7591"/>
      <c r="AQ24" s="1469"/>
      <c r="AR24" s="802"/>
      <c r="AS24" s="802"/>
      <c r="AT24" s="802"/>
      <c r="AU24" s="802"/>
      <c r="AV24" s="802"/>
      <c r="AW24" s="802"/>
      <c r="AX24" s="802"/>
      <c r="AY24" s="802"/>
      <c r="AZ24" s="290"/>
      <c r="BA24" s="290"/>
      <c r="BB24" s="290"/>
      <c r="BC24" s="290"/>
      <c r="BD24" s="290"/>
      <c r="BE24" s="290"/>
      <c r="BF24" s="290"/>
      <c r="BG24" s="290"/>
      <c r="BH24" s="290"/>
      <c r="BI24" s="290"/>
      <c r="DA24" s="3308">
        <v>0</v>
      </c>
      <c r="DB24" s="3308">
        <v>0</v>
      </c>
    </row>
    <row r="25" spans="1:106" ht="16.350000000000001" customHeight="1" x14ac:dyDescent="0.2">
      <c r="A25" s="7596" t="s">
        <v>2694</v>
      </c>
      <c r="B25" s="7597">
        <f t="shared" si="1"/>
        <v>0</v>
      </c>
      <c r="C25" s="3860">
        <f t="shared" si="2"/>
        <v>0</v>
      </c>
      <c r="D25" s="7555">
        <f t="shared" si="2"/>
        <v>0</v>
      </c>
      <c r="E25" s="7323"/>
      <c r="F25" s="7556"/>
      <c r="G25" s="7323"/>
      <c r="H25" s="7556"/>
      <c r="I25" s="7323"/>
      <c r="J25" s="7322"/>
      <c r="K25" s="7321"/>
      <c r="L25" s="7556"/>
      <c r="M25" s="7323"/>
      <c r="N25" s="7556"/>
      <c r="O25" s="7323"/>
      <c r="P25" s="7556"/>
      <c r="Q25" s="7323"/>
      <c r="R25" s="7556"/>
      <c r="S25" s="7323"/>
      <c r="T25" s="7556"/>
      <c r="U25" s="7323"/>
      <c r="V25" s="7556"/>
      <c r="W25" s="7323"/>
      <c r="X25" s="7556"/>
      <c r="Y25" s="7323"/>
      <c r="Z25" s="7556"/>
      <c r="AA25" s="7323"/>
      <c r="AB25" s="7556"/>
      <c r="AC25" s="7323"/>
      <c r="AD25" s="7556"/>
      <c r="AE25" s="7323"/>
      <c r="AF25" s="7556"/>
      <c r="AG25" s="7323"/>
      <c r="AH25" s="7556"/>
      <c r="AI25" s="7323"/>
      <c r="AJ25" s="7556"/>
      <c r="AK25" s="7323"/>
      <c r="AL25" s="7556"/>
      <c r="AM25" s="3329"/>
      <c r="AN25" s="3249"/>
      <c r="AO25" s="5156"/>
      <c r="AP25" s="7684"/>
      <c r="AQ25" s="1469"/>
      <c r="AR25" s="802"/>
      <c r="AS25" s="802"/>
      <c r="AT25" s="802"/>
      <c r="AU25" s="802"/>
      <c r="AV25" s="802"/>
      <c r="AW25" s="802"/>
      <c r="AX25" s="802"/>
      <c r="AY25" s="802"/>
      <c r="AZ25" s="290"/>
      <c r="BA25" s="290"/>
      <c r="BB25" s="290"/>
      <c r="BC25" s="290"/>
      <c r="BD25" s="290"/>
      <c r="BE25" s="290"/>
      <c r="BF25" s="290"/>
      <c r="BG25" s="290"/>
      <c r="BH25" s="290"/>
      <c r="BI25" s="290"/>
      <c r="DA25" s="3308">
        <v>0</v>
      </c>
      <c r="DB25" s="3308">
        <v>0</v>
      </c>
    </row>
    <row r="26" spans="1:106" ht="16.350000000000001" customHeight="1" x14ac:dyDescent="0.2">
      <c r="A26" s="9225" t="s">
        <v>3993</v>
      </c>
      <c r="B26" s="9225"/>
      <c r="C26" s="9225"/>
      <c r="D26" s="9225"/>
      <c r="E26" s="9225"/>
      <c r="F26" s="9225"/>
      <c r="G26" s="9225"/>
      <c r="H26" s="9225"/>
      <c r="I26" s="233"/>
      <c r="J26" s="233"/>
      <c r="K26" s="233"/>
      <c r="L26" s="72"/>
      <c r="M26" s="233"/>
      <c r="N26" s="233"/>
      <c r="O26" s="140"/>
      <c r="P26" s="140"/>
      <c r="Q26" s="140"/>
      <c r="R26" s="140"/>
      <c r="S26" s="140"/>
      <c r="T26" s="140"/>
      <c r="U26" s="140"/>
      <c r="V26" s="140"/>
      <c r="W26" s="140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7193"/>
      <c r="AN26" s="288"/>
      <c r="AO26" s="7205"/>
      <c r="AP26" s="7205"/>
      <c r="AQ26" s="1469"/>
      <c r="AR26" s="802"/>
      <c r="AS26" s="802"/>
      <c r="AT26" s="802"/>
      <c r="AU26" s="802"/>
      <c r="AV26" s="802"/>
      <c r="AW26" s="802"/>
      <c r="AX26" s="802"/>
      <c r="AY26" s="802"/>
      <c r="AZ26" s="290"/>
      <c r="BA26" s="290"/>
      <c r="BB26" s="290"/>
      <c r="BC26" s="290"/>
      <c r="BD26" s="290"/>
      <c r="BE26" s="290"/>
      <c r="BF26" s="290"/>
      <c r="BG26" s="290"/>
      <c r="BH26" s="290"/>
      <c r="BI26" s="290"/>
      <c r="DA26" s="3308">
        <v>0</v>
      </c>
      <c r="DB26" s="3308">
        <v>0</v>
      </c>
    </row>
    <row r="27" spans="1:106" ht="16.350000000000001" customHeight="1" x14ac:dyDescent="0.2">
      <c r="A27" s="9226" t="s">
        <v>0</v>
      </c>
      <c r="B27" s="9052" t="s">
        <v>940</v>
      </c>
      <c r="C27" s="9053"/>
      <c r="D27" s="9049"/>
      <c r="E27" s="8171" t="s">
        <v>84</v>
      </c>
      <c r="F27" s="8172"/>
      <c r="G27" s="8172"/>
      <c r="H27" s="8172"/>
      <c r="I27" s="8172"/>
      <c r="J27" s="8172"/>
      <c r="K27" s="8172"/>
      <c r="L27" s="8172"/>
      <c r="M27" s="8172"/>
      <c r="N27" s="8172"/>
      <c r="O27" s="8172"/>
      <c r="P27" s="8172"/>
      <c r="Q27" s="8172"/>
      <c r="R27" s="8172"/>
      <c r="S27" s="8172"/>
      <c r="T27" s="8172"/>
      <c r="U27" s="8172"/>
      <c r="V27" s="8172"/>
      <c r="W27" s="8172"/>
      <c r="X27" s="8172"/>
      <c r="Y27" s="8172"/>
      <c r="Z27" s="8172"/>
      <c r="AA27" s="8172"/>
      <c r="AB27" s="8172"/>
      <c r="AC27" s="8172"/>
      <c r="AD27" s="8172"/>
      <c r="AE27" s="8172"/>
      <c r="AF27" s="8172"/>
      <c r="AG27" s="8172"/>
      <c r="AH27" s="8172"/>
      <c r="AI27" s="8172"/>
      <c r="AJ27" s="8172"/>
      <c r="AK27" s="8172"/>
      <c r="AL27" s="9224"/>
      <c r="AM27" s="9062" t="s">
        <v>358</v>
      </c>
      <c r="AN27" s="9062" t="s">
        <v>1015</v>
      </c>
      <c r="AO27" s="7205"/>
      <c r="AP27" s="7205"/>
      <c r="AQ27" s="1469"/>
      <c r="AR27" s="802"/>
      <c r="AS27" s="802"/>
      <c r="AT27" s="802"/>
      <c r="AU27" s="802"/>
      <c r="AV27" s="802"/>
      <c r="AW27" s="802"/>
      <c r="AX27" s="802"/>
      <c r="AY27" s="802"/>
      <c r="AZ27" s="290"/>
      <c r="BA27" s="290"/>
      <c r="BB27" s="290"/>
      <c r="BC27" s="290"/>
      <c r="BD27" s="290"/>
      <c r="BE27" s="290"/>
      <c r="BF27" s="290"/>
      <c r="BG27" s="290"/>
      <c r="BH27" s="290"/>
      <c r="BI27" s="290"/>
    </row>
    <row r="28" spans="1:106" ht="16.350000000000001" customHeight="1" x14ac:dyDescent="0.2">
      <c r="A28" s="9227"/>
      <c r="B28" s="9229"/>
      <c r="C28" s="9230"/>
      <c r="D28" s="9182"/>
      <c r="E28" s="8171" t="s">
        <v>75</v>
      </c>
      <c r="F28" s="9224"/>
      <c r="G28" s="8171" t="s">
        <v>76</v>
      </c>
      <c r="H28" s="9224"/>
      <c r="I28" s="8171" t="s">
        <v>77</v>
      </c>
      <c r="J28" s="9224"/>
      <c r="K28" s="8171" t="s">
        <v>71</v>
      </c>
      <c r="L28" s="9224"/>
      <c r="M28" s="8171" t="s">
        <v>4</v>
      </c>
      <c r="N28" s="9224"/>
      <c r="O28" s="9222" t="s">
        <v>5</v>
      </c>
      <c r="P28" s="9223"/>
      <c r="Q28" s="9222" t="s">
        <v>6</v>
      </c>
      <c r="R28" s="9223"/>
      <c r="S28" s="9222" t="s">
        <v>7</v>
      </c>
      <c r="T28" s="9223"/>
      <c r="U28" s="9222" t="s">
        <v>8</v>
      </c>
      <c r="V28" s="9223"/>
      <c r="W28" s="9222" t="s">
        <v>9</v>
      </c>
      <c r="X28" s="9223"/>
      <c r="Y28" s="9222" t="s">
        <v>10</v>
      </c>
      <c r="Z28" s="9223"/>
      <c r="AA28" s="9222" t="s">
        <v>11</v>
      </c>
      <c r="AB28" s="9223"/>
      <c r="AC28" s="9222" t="s">
        <v>12</v>
      </c>
      <c r="AD28" s="9223"/>
      <c r="AE28" s="9222" t="s">
        <v>13</v>
      </c>
      <c r="AF28" s="9223"/>
      <c r="AG28" s="9222" t="s">
        <v>14</v>
      </c>
      <c r="AH28" s="9223"/>
      <c r="AI28" s="9222" t="s">
        <v>15</v>
      </c>
      <c r="AJ28" s="9223"/>
      <c r="AK28" s="9222" t="s">
        <v>16</v>
      </c>
      <c r="AL28" s="9223"/>
      <c r="AM28" s="8274"/>
      <c r="AN28" s="8274"/>
      <c r="AO28" s="7205"/>
      <c r="AP28" s="7205"/>
      <c r="AQ28" s="1469"/>
      <c r="AR28" s="802"/>
      <c r="AS28" s="802"/>
      <c r="AT28" s="802"/>
      <c r="AU28" s="802"/>
      <c r="AV28" s="802"/>
      <c r="AW28" s="802"/>
      <c r="AX28" s="802"/>
      <c r="AY28" s="802"/>
      <c r="AZ28" s="290"/>
      <c r="BA28" s="290"/>
      <c r="BB28" s="290"/>
      <c r="BC28" s="290"/>
      <c r="BD28" s="290"/>
      <c r="BE28" s="290"/>
      <c r="BF28" s="290"/>
      <c r="BG28" s="290"/>
      <c r="BH28" s="290"/>
      <c r="BI28" s="290"/>
      <c r="DA28" s="3308">
        <v>0</v>
      </c>
      <c r="DB28" s="3308">
        <v>0</v>
      </c>
    </row>
    <row r="29" spans="1:106" ht="16.350000000000001" customHeight="1" x14ac:dyDescent="0.2">
      <c r="A29" s="9228"/>
      <c r="B29" s="7196" t="s">
        <v>42</v>
      </c>
      <c r="C29" s="7197" t="s">
        <v>706</v>
      </c>
      <c r="D29" s="3355" t="s">
        <v>18</v>
      </c>
      <c r="E29" s="7194" t="s">
        <v>706</v>
      </c>
      <c r="F29" s="7195" t="s">
        <v>18</v>
      </c>
      <c r="G29" s="7194" t="s">
        <v>706</v>
      </c>
      <c r="H29" s="7195" t="s">
        <v>18</v>
      </c>
      <c r="I29" s="7194" t="s">
        <v>706</v>
      </c>
      <c r="J29" s="7195" t="s">
        <v>18</v>
      </c>
      <c r="K29" s="7194" t="s">
        <v>706</v>
      </c>
      <c r="L29" s="7195" t="s">
        <v>18</v>
      </c>
      <c r="M29" s="7194" t="s">
        <v>706</v>
      </c>
      <c r="N29" s="7195" t="s">
        <v>18</v>
      </c>
      <c r="O29" s="7194" t="s">
        <v>706</v>
      </c>
      <c r="P29" s="7195" t="s">
        <v>18</v>
      </c>
      <c r="Q29" s="7194" t="s">
        <v>706</v>
      </c>
      <c r="R29" s="7195" t="s">
        <v>18</v>
      </c>
      <c r="S29" s="7194" t="s">
        <v>706</v>
      </c>
      <c r="T29" s="7195" t="s">
        <v>18</v>
      </c>
      <c r="U29" s="7194" t="s">
        <v>706</v>
      </c>
      <c r="V29" s="7195" t="s">
        <v>18</v>
      </c>
      <c r="W29" s="7194" t="s">
        <v>706</v>
      </c>
      <c r="X29" s="7195" t="s">
        <v>18</v>
      </c>
      <c r="Y29" s="7194" t="s">
        <v>706</v>
      </c>
      <c r="Z29" s="7195" t="s">
        <v>18</v>
      </c>
      <c r="AA29" s="7194" t="s">
        <v>706</v>
      </c>
      <c r="AB29" s="7195" t="s">
        <v>18</v>
      </c>
      <c r="AC29" s="7194" t="s">
        <v>706</v>
      </c>
      <c r="AD29" s="7195" t="s">
        <v>18</v>
      </c>
      <c r="AE29" s="7194" t="s">
        <v>706</v>
      </c>
      <c r="AF29" s="7195" t="s">
        <v>18</v>
      </c>
      <c r="AG29" s="7194" t="s">
        <v>706</v>
      </c>
      <c r="AH29" s="7195" t="s">
        <v>18</v>
      </c>
      <c r="AI29" s="7194" t="s">
        <v>706</v>
      </c>
      <c r="AJ29" s="7195" t="s">
        <v>18</v>
      </c>
      <c r="AK29" s="7194" t="s">
        <v>706</v>
      </c>
      <c r="AL29" s="7195" t="s">
        <v>18</v>
      </c>
      <c r="AM29" s="8638"/>
      <c r="AN29" s="8638"/>
      <c r="AO29" s="7205"/>
      <c r="AP29" s="7205"/>
      <c r="AQ29" s="1469"/>
      <c r="AR29" s="802"/>
      <c r="AS29" s="802"/>
      <c r="AT29" s="802"/>
      <c r="AU29" s="802"/>
      <c r="AV29" s="802"/>
      <c r="AW29" s="802"/>
      <c r="AX29" s="802"/>
      <c r="AY29" s="802"/>
      <c r="AZ29" s="290"/>
      <c r="BA29" s="290"/>
      <c r="BB29" s="290"/>
      <c r="BC29" s="290"/>
      <c r="BD29" s="290"/>
      <c r="BE29" s="290"/>
      <c r="BF29" s="290"/>
      <c r="BG29" s="290"/>
      <c r="BH29" s="290"/>
      <c r="BI29" s="290"/>
    </row>
    <row r="30" spans="1:106" ht="16.350000000000001" customHeight="1" x14ac:dyDescent="0.2">
      <c r="A30" s="7198" t="s">
        <v>19</v>
      </c>
      <c r="B30" s="7199">
        <f t="shared" ref="B30:B35" si="3">SUM(C30+D30)</f>
        <v>0</v>
      </c>
      <c r="C30" s="7200">
        <f t="shared" ref="C30:D35" si="4">SUM(E30+G30+I30+K30+M30+O30+Q30+S30+U30+W30+Y30+AA30+AC30+AE30+AG30+AI30+AK30)</f>
        <v>0</v>
      </c>
      <c r="D30" s="7201">
        <f t="shared" si="4"/>
        <v>0</v>
      </c>
      <c r="E30" s="7157"/>
      <c r="F30" s="6141"/>
      <c r="G30" s="7157"/>
      <c r="H30" s="6141"/>
      <c r="I30" s="7157"/>
      <c r="J30" s="7202"/>
      <c r="K30" s="7157"/>
      <c r="L30" s="7202"/>
      <c r="M30" s="7157"/>
      <c r="N30" s="7202"/>
      <c r="O30" s="7160"/>
      <c r="P30" s="7202"/>
      <c r="Q30" s="7160"/>
      <c r="R30" s="7202"/>
      <c r="S30" s="7160"/>
      <c r="T30" s="7202"/>
      <c r="U30" s="7160"/>
      <c r="V30" s="7202"/>
      <c r="W30" s="7160"/>
      <c r="X30" s="7202"/>
      <c r="Y30" s="7160"/>
      <c r="Z30" s="7202"/>
      <c r="AA30" s="7160"/>
      <c r="AB30" s="7202"/>
      <c r="AC30" s="7160"/>
      <c r="AD30" s="7202"/>
      <c r="AE30" s="7160"/>
      <c r="AF30" s="7202"/>
      <c r="AG30" s="7160"/>
      <c r="AH30" s="7202"/>
      <c r="AI30" s="7160"/>
      <c r="AJ30" s="7202"/>
      <c r="AK30" s="7160"/>
      <c r="AL30" s="7202"/>
      <c r="AM30" s="7203"/>
      <c r="AN30" s="7203"/>
      <c r="AO30" s="7205"/>
      <c r="AP30" s="7205"/>
      <c r="AQ30" s="1469"/>
      <c r="AR30" s="802"/>
      <c r="AS30" s="802"/>
      <c r="AT30" s="802"/>
      <c r="AU30" s="802"/>
      <c r="AV30" s="802"/>
      <c r="AW30" s="802"/>
      <c r="AX30" s="802"/>
      <c r="AY30" s="802"/>
      <c r="AZ30" s="290"/>
      <c r="BA30" s="290"/>
      <c r="BB30" s="290"/>
      <c r="BC30" s="290"/>
      <c r="BD30" s="290"/>
      <c r="BE30" s="290"/>
      <c r="BF30" s="290"/>
      <c r="BG30" s="290"/>
      <c r="BH30" s="290"/>
      <c r="BI30" s="290"/>
      <c r="DA30" s="3308">
        <v>0</v>
      </c>
      <c r="DB30" s="3308">
        <v>0</v>
      </c>
    </row>
    <row r="31" spans="1:106" ht="16.350000000000001" customHeight="1" x14ac:dyDescent="0.2">
      <c r="A31" s="4018" t="s">
        <v>23</v>
      </c>
      <c r="B31" s="5082">
        <f t="shared" si="3"/>
        <v>0</v>
      </c>
      <c r="C31" s="3144">
        <f t="shared" si="4"/>
        <v>0</v>
      </c>
      <c r="D31" s="2993">
        <f t="shared" si="4"/>
        <v>0</v>
      </c>
      <c r="E31" s="2885"/>
      <c r="F31" s="2889"/>
      <c r="G31" s="2885"/>
      <c r="H31" s="2889"/>
      <c r="I31" s="2885"/>
      <c r="J31" s="2887"/>
      <c r="K31" s="2885"/>
      <c r="L31" s="2887"/>
      <c r="M31" s="2885"/>
      <c r="N31" s="2887"/>
      <c r="O31" s="3556"/>
      <c r="P31" s="2887"/>
      <c r="Q31" s="3556"/>
      <c r="R31" s="2887"/>
      <c r="S31" s="3556"/>
      <c r="T31" s="2887"/>
      <c r="U31" s="3556"/>
      <c r="V31" s="2887"/>
      <c r="W31" s="3556"/>
      <c r="X31" s="2887"/>
      <c r="Y31" s="3556"/>
      <c r="Z31" s="2887"/>
      <c r="AA31" s="3556"/>
      <c r="AB31" s="2887"/>
      <c r="AC31" s="3556"/>
      <c r="AD31" s="2887"/>
      <c r="AE31" s="3556"/>
      <c r="AF31" s="2887"/>
      <c r="AG31" s="3556"/>
      <c r="AH31" s="2887"/>
      <c r="AI31" s="3556"/>
      <c r="AJ31" s="2887"/>
      <c r="AK31" s="3556"/>
      <c r="AL31" s="2887"/>
      <c r="AM31" s="3600"/>
      <c r="AN31" s="7667"/>
      <c r="AO31" s="7205"/>
      <c r="AP31" s="7205"/>
      <c r="AQ31" s="1469"/>
      <c r="AR31" s="802"/>
      <c r="AS31" s="802"/>
      <c r="AT31" s="802"/>
      <c r="AU31" s="802"/>
      <c r="AV31" s="802"/>
      <c r="AW31" s="802"/>
      <c r="AX31" s="802"/>
      <c r="AY31" s="802"/>
      <c r="AZ31" s="290"/>
      <c r="BA31" s="290"/>
      <c r="BB31" s="290"/>
      <c r="BC31" s="290"/>
      <c r="BD31" s="290"/>
      <c r="BE31" s="290"/>
      <c r="BF31" s="290"/>
      <c r="BG31" s="290"/>
      <c r="BH31" s="290"/>
      <c r="BI31" s="290"/>
      <c r="DA31" s="3308">
        <v>0</v>
      </c>
      <c r="DB31" s="3308">
        <v>0</v>
      </c>
    </row>
    <row r="32" spans="1:106" ht="16.350000000000001" customHeight="1" x14ac:dyDescent="0.2">
      <c r="A32" s="4018" t="s">
        <v>20</v>
      </c>
      <c r="B32" s="5082">
        <f t="shared" si="3"/>
        <v>0</v>
      </c>
      <c r="C32" s="3144">
        <f t="shared" si="4"/>
        <v>0</v>
      </c>
      <c r="D32" s="2993">
        <f t="shared" si="4"/>
        <v>0</v>
      </c>
      <c r="E32" s="2885"/>
      <c r="F32" s="2889"/>
      <c r="G32" s="2885"/>
      <c r="H32" s="2889"/>
      <c r="I32" s="2885"/>
      <c r="J32" s="2887"/>
      <c r="K32" s="2885"/>
      <c r="L32" s="2887"/>
      <c r="M32" s="2885"/>
      <c r="N32" s="2887"/>
      <c r="O32" s="3556"/>
      <c r="P32" s="2887"/>
      <c r="Q32" s="3556"/>
      <c r="R32" s="2887"/>
      <c r="S32" s="3556"/>
      <c r="T32" s="2887"/>
      <c r="U32" s="3556"/>
      <c r="V32" s="2887"/>
      <c r="W32" s="3556"/>
      <c r="X32" s="2887"/>
      <c r="Y32" s="3556"/>
      <c r="Z32" s="2887"/>
      <c r="AA32" s="3556"/>
      <c r="AB32" s="2887"/>
      <c r="AC32" s="3556"/>
      <c r="AD32" s="2887"/>
      <c r="AE32" s="3556"/>
      <c r="AF32" s="2887"/>
      <c r="AG32" s="3556"/>
      <c r="AH32" s="2887"/>
      <c r="AI32" s="3556"/>
      <c r="AJ32" s="2887"/>
      <c r="AK32" s="3556"/>
      <c r="AL32" s="2887"/>
      <c r="AM32" s="3600"/>
      <c r="AN32" s="7667"/>
      <c r="AO32" s="7205"/>
      <c r="AP32" s="7205"/>
      <c r="AQ32" s="1469"/>
      <c r="AR32" s="802"/>
      <c r="AS32" s="802"/>
      <c r="AT32" s="802"/>
      <c r="AU32" s="802"/>
      <c r="AV32" s="802"/>
      <c r="AW32" s="802"/>
      <c r="AX32" s="802"/>
      <c r="AY32" s="802"/>
      <c r="AZ32" s="290"/>
      <c r="BA32" s="290"/>
      <c r="BB32" s="290"/>
      <c r="BC32" s="290"/>
      <c r="BD32" s="290"/>
      <c r="BE32" s="290"/>
      <c r="BF32" s="290"/>
      <c r="BG32" s="290"/>
      <c r="BH32" s="290"/>
      <c r="BI32" s="290"/>
      <c r="DA32" s="3308">
        <v>0</v>
      </c>
      <c r="DB32" s="3308">
        <v>0</v>
      </c>
    </row>
    <row r="33" spans="1:106" ht="16.350000000000001" customHeight="1" x14ac:dyDescent="0.2">
      <c r="A33" s="4018" t="s">
        <v>1014</v>
      </c>
      <c r="B33" s="5082">
        <f t="shared" si="3"/>
        <v>0</v>
      </c>
      <c r="C33" s="3144">
        <f t="shared" si="4"/>
        <v>0</v>
      </c>
      <c r="D33" s="2993">
        <f t="shared" si="4"/>
        <v>0</v>
      </c>
      <c r="E33" s="2885"/>
      <c r="F33" s="2889"/>
      <c r="G33" s="2885"/>
      <c r="H33" s="2889"/>
      <c r="I33" s="2885"/>
      <c r="J33" s="2887"/>
      <c r="K33" s="2885"/>
      <c r="L33" s="2887"/>
      <c r="M33" s="2885"/>
      <c r="N33" s="2887"/>
      <c r="O33" s="3556"/>
      <c r="P33" s="2887"/>
      <c r="Q33" s="3556"/>
      <c r="R33" s="2887"/>
      <c r="S33" s="3556"/>
      <c r="T33" s="2887"/>
      <c r="U33" s="3556"/>
      <c r="V33" s="2887"/>
      <c r="W33" s="3556"/>
      <c r="X33" s="2887"/>
      <c r="Y33" s="3556"/>
      <c r="Z33" s="2887"/>
      <c r="AA33" s="3556"/>
      <c r="AB33" s="2887"/>
      <c r="AC33" s="3556"/>
      <c r="AD33" s="2887"/>
      <c r="AE33" s="3556"/>
      <c r="AF33" s="2887"/>
      <c r="AG33" s="3556"/>
      <c r="AH33" s="2887"/>
      <c r="AI33" s="3556"/>
      <c r="AJ33" s="2887"/>
      <c r="AK33" s="3556"/>
      <c r="AL33" s="2887"/>
      <c r="AM33" s="3600"/>
      <c r="AN33" s="7667"/>
      <c r="AO33" s="7205"/>
      <c r="AP33" s="7205"/>
      <c r="AQ33" s="1469"/>
      <c r="AR33" s="802"/>
      <c r="AS33" s="802"/>
      <c r="AT33" s="802"/>
      <c r="AU33" s="802"/>
      <c r="AV33" s="802"/>
      <c r="AW33" s="802"/>
      <c r="AX33" s="802"/>
      <c r="AY33" s="802"/>
      <c r="AZ33" s="290"/>
      <c r="BA33" s="290"/>
      <c r="BB33" s="290"/>
      <c r="BC33" s="290"/>
      <c r="BD33" s="290"/>
      <c r="BE33" s="290"/>
      <c r="BF33" s="290"/>
      <c r="BG33" s="290"/>
      <c r="BH33" s="290"/>
      <c r="BI33" s="290"/>
      <c r="DA33" s="3308">
        <v>0</v>
      </c>
      <c r="DB33" s="3308">
        <v>0</v>
      </c>
    </row>
    <row r="34" spans="1:106" ht="16.350000000000001" customHeight="1" x14ac:dyDescent="0.2">
      <c r="A34" s="4018" t="s">
        <v>27</v>
      </c>
      <c r="B34" s="5082">
        <f t="shared" si="3"/>
        <v>0</v>
      </c>
      <c r="C34" s="3144">
        <f t="shared" si="4"/>
        <v>0</v>
      </c>
      <c r="D34" s="2993">
        <f t="shared" si="4"/>
        <v>0</v>
      </c>
      <c r="E34" s="2885"/>
      <c r="F34" s="2889"/>
      <c r="G34" s="2885"/>
      <c r="H34" s="2889"/>
      <c r="I34" s="2885"/>
      <c r="J34" s="2887"/>
      <c r="K34" s="2885"/>
      <c r="L34" s="2887"/>
      <c r="M34" s="2885"/>
      <c r="N34" s="2887"/>
      <c r="O34" s="3556"/>
      <c r="P34" s="2887"/>
      <c r="Q34" s="3556"/>
      <c r="R34" s="2887"/>
      <c r="S34" s="3556"/>
      <c r="T34" s="2887"/>
      <c r="U34" s="3556"/>
      <c r="V34" s="2887"/>
      <c r="W34" s="3556"/>
      <c r="X34" s="2887"/>
      <c r="Y34" s="3556"/>
      <c r="Z34" s="2887"/>
      <c r="AA34" s="3556"/>
      <c r="AB34" s="2887"/>
      <c r="AC34" s="3556"/>
      <c r="AD34" s="2887"/>
      <c r="AE34" s="3556"/>
      <c r="AF34" s="2887"/>
      <c r="AG34" s="3556"/>
      <c r="AH34" s="2887"/>
      <c r="AI34" s="3556"/>
      <c r="AJ34" s="2887"/>
      <c r="AK34" s="3556"/>
      <c r="AL34" s="2887"/>
      <c r="AM34" s="3600"/>
      <c r="AN34" s="7667"/>
      <c r="AO34" s="7205"/>
      <c r="AP34" s="7205"/>
      <c r="AQ34" s="1469"/>
      <c r="AR34" s="802"/>
      <c r="AS34" s="802"/>
      <c r="AT34" s="802"/>
      <c r="AU34" s="802"/>
      <c r="AV34" s="802"/>
      <c r="AW34" s="802"/>
      <c r="AX34" s="802"/>
      <c r="AY34" s="802"/>
      <c r="AZ34" s="290"/>
      <c r="BA34" s="290"/>
      <c r="BB34" s="290"/>
      <c r="BC34" s="290"/>
      <c r="BD34" s="290"/>
      <c r="BE34" s="290"/>
      <c r="BF34" s="290"/>
      <c r="BG34" s="290"/>
      <c r="BH34" s="290"/>
      <c r="BI34" s="290"/>
      <c r="DA34" s="3308">
        <v>0</v>
      </c>
      <c r="DB34" s="3308">
        <v>0</v>
      </c>
    </row>
    <row r="35" spans="1:106" ht="16.350000000000001" customHeight="1" x14ac:dyDescent="0.2">
      <c r="A35" s="3340" t="s">
        <v>63</v>
      </c>
      <c r="B35" s="5091">
        <f t="shared" si="3"/>
        <v>0</v>
      </c>
      <c r="C35" s="5221">
        <f t="shared" si="4"/>
        <v>0</v>
      </c>
      <c r="D35" s="7204">
        <f t="shared" si="4"/>
        <v>0</v>
      </c>
      <c r="E35" s="3248"/>
      <c r="F35" s="3249"/>
      <c r="G35" s="3248"/>
      <c r="H35" s="3249"/>
      <c r="I35" s="3248"/>
      <c r="J35" s="2884"/>
      <c r="K35" s="3248"/>
      <c r="L35" s="2884"/>
      <c r="M35" s="3248"/>
      <c r="N35" s="2884"/>
      <c r="O35" s="3250"/>
      <c r="P35" s="2884"/>
      <c r="Q35" s="3250"/>
      <c r="R35" s="2884"/>
      <c r="S35" s="3250"/>
      <c r="T35" s="2884"/>
      <c r="U35" s="3250"/>
      <c r="V35" s="2884"/>
      <c r="W35" s="3250"/>
      <c r="X35" s="2884"/>
      <c r="Y35" s="3250"/>
      <c r="Z35" s="2884"/>
      <c r="AA35" s="3250"/>
      <c r="AB35" s="2884"/>
      <c r="AC35" s="3250"/>
      <c r="AD35" s="2884"/>
      <c r="AE35" s="3250"/>
      <c r="AF35" s="2884"/>
      <c r="AG35" s="3250"/>
      <c r="AH35" s="2884"/>
      <c r="AI35" s="3250"/>
      <c r="AJ35" s="2884"/>
      <c r="AK35" s="3250"/>
      <c r="AL35" s="2884"/>
      <c r="AM35" s="3329"/>
      <c r="AN35" s="7668"/>
      <c r="AO35" s="7205"/>
      <c r="AP35" s="7205"/>
      <c r="AQ35" s="1469"/>
      <c r="AR35" s="802"/>
      <c r="AS35" s="802"/>
      <c r="AT35" s="802"/>
      <c r="AU35" s="802"/>
      <c r="AV35" s="802"/>
      <c r="AW35" s="802"/>
      <c r="AX35" s="802"/>
      <c r="AY35" s="802"/>
      <c r="AZ35" s="290"/>
      <c r="BA35" s="290"/>
      <c r="BB35" s="290"/>
      <c r="BC35" s="290"/>
      <c r="BD35" s="290"/>
      <c r="BE35" s="290"/>
      <c r="BF35" s="290"/>
      <c r="BG35" s="290"/>
      <c r="BH35" s="290"/>
      <c r="BI35" s="290"/>
      <c r="DA35" s="3308">
        <v>0</v>
      </c>
      <c r="DB35" s="3308">
        <v>0</v>
      </c>
    </row>
    <row r="36" spans="1:106" ht="32.1" customHeight="1" x14ac:dyDescent="0.2">
      <c r="A36" s="133" t="s">
        <v>3775</v>
      </c>
      <c r="B36" s="133"/>
      <c r="C36" s="133"/>
      <c r="D36" s="133"/>
      <c r="E36" s="133"/>
      <c r="F36" s="133"/>
      <c r="G36" s="233"/>
      <c r="H36" s="233"/>
      <c r="I36" s="233"/>
      <c r="J36" s="233"/>
      <c r="K36" s="133"/>
      <c r="L36" s="72"/>
      <c r="M36" s="233"/>
      <c r="N36" s="233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290"/>
      <c r="AQ36" s="290"/>
      <c r="AR36" s="290"/>
      <c r="AS36" s="290"/>
      <c r="AT36" s="290"/>
      <c r="AU36" s="290"/>
      <c r="AV36" s="290"/>
      <c r="AW36" s="290"/>
      <c r="AX36" s="290"/>
      <c r="AY36" s="290"/>
      <c r="AZ36" s="290"/>
      <c r="BA36" s="290"/>
      <c r="BB36" s="290"/>
      <c r="BC36" s="290"/>
      <c r="BD36" s="290"/>
      <c r="BE36" s="290"/>
      <c r="BF36" s="290"/>
      <c r="BG36" s="290"/>
      <c r="BH36" s="290"/>
      <c r="BI36" s="290"/>
      <c r="BX36" s="290"/>
      <c r="BY36" s="290"/>
    </row>
    <row r="37" spans="1:106" ht="16.350000000000001" customHeight="1" x14ac:dyDescent="0.2">
      <c r="A37" s="9152" t="s">
        <v>0</v>
      </c>
      <c r="B37" s="8182" t="s">
        <v>940</v>
      </c>
      <c r="C37" s="8167"/>
      <c r="D37" s="8183"/>
      <c r="E37" s="8340" t="s">
        <v>84</v>
      </c>
      <c r="F37" s="9157"/>
      <c r="G37" s="9157"/>
      <c r="H37" s="9157"/>
      <c r="I37" s="9157"/>
      <c r="J37" s="9157"/>
      <c r="K37" s="9157"/>
      <c r="L37" s="9157"/>
      <c r="M37" s="9157"/>
      <c r="N37" s="9157"/>
      <c r="O37" s="9157"/>
      <c r="P37" s="9157"/>
      <c r="Q37" s="9157"/>
      <c r="R37" s="9157"/>
      <c r="S37" s="9157"/>
      <c r="T37" s="9157"/>
      <c r="U37" s="9157"/>
      <c r="V37" s="9157"/>
      <c r="W37" s="9157"/>
      <c r="X37" s="9157"/>
      <c r="Y37" s="9157"/>
      <c r="Z37" s="9157"/>
      <c r="AA37" s="9157"/>
      <c r="AB37" s="9157"/>
      <c r="AC37" s="9157"/>
      <c r="AD37" s="9157"/>
      <c r="AE37" s="9157"/>
      <c r="AF37" s="9157"/>
      <c r="AG37" s="9157"/>
      <c r="AH37" s="9157"/>
      <c r="AI37" s="9157"/>
      <c r="AJ37" s="9157"/>
      <c r="AK37" s="9157"/>
      <c r="AL37" s="8341"/>
      <c r="AM37" s="8153" t="s">
        <v>358</v>
      </c>
      <c r="AN37" s="8153" t="s">
        <v>1015</v>
      </c>
      <c r="AO37" s="290"/>
      <c r="AP37" s="290"/>
      <c r="AQ37" s="290"/>
      <c r="AR37" s="290"/>
      <c r="AS37" s="290"/>
      <c r="AT37" s="290"/>
      <c r="AU37" s="290"/>
      <c r="AV37" s="290"/>
      <c r="AW37" s="290"/>
      <c r="AX37" s="290"/>
      <c r="AY37" s="290"/>
      <c r="AZ37" s="290"/>
      <c r="BA37" s="290"/>
      <c r="BB37" s="290"/>
      <c r="BC37" s="290"/>
      <c r="BD37" s="290"/>
      <c r="BE37" s="290"/>
      <c r="BF37" s="290"/>
      <c r="BG37" s="290"/>
      <c r="BH37" s="290"/>
      <c r="BI37" s="290"/>
    </row>
    <row r="38" spans="1:106" ht="16.350000000000001" customHeight="1" x14ac:dyDescent="0.2">
      <c r="A38" s="8458"/>
      <c r="B38" s="8184"/>
      <c r="C38" s="8168"/>
      <c r="D38" s="8185"/>
      <c r="E38" s="8193" t="s">
        <v>397</v>
      </c>
      <c r="F38" s="9187"/>
      <c r="G38" s="8193" t="s">
        <v>54</v>
      </c>
      <c r="H38" s="9187"/>
      <c r="I38" s="8193" t="s">
        <v>79</v>
      </c>
      <c r="J38" s="9187"/>
      <c r="K38" s="8193" t="s">
        <v>80</v>
      </c>
      <c r="L38" s="9187"/>
      <c r="M38" s="8193" t="s">
        <v>81</v>
      </c>
      <c r="N38" s="9187"/>
      <c r="O38" s="8571" t="s">
        <v>82</v>
      </c>
      <c r="P38" s="9188"/>
      <c r="Q38" s="8571" t="s">
        <v>83</v>
      </c>
      <c r="R38" s="9188"/>
      <c r="S38" s="8571" t="s">
        <v>398</v>
      </c>
      <c r="T38" s="9188"/>
      <c r="U38" s="8571" t="s">
        <v>124</v>
      </c>
      <c r="V38" s="9188"/>
      <c r="W38" s="8571" t="s">
        <v>125</v>
      </c>
      <c r="X38" s="9188"/>
      <c r="Y38" s="8571" t="s">
        <v>126</v>
      </c>
      <c r="Z38" s="9188"/>
      <c r="AA38" s="8571" t="s">
        <v>127</v>
      </c>
      <c r="AB38" s="9188"/>
      <c r="AC38" s="8571" t="s">
        <v>128</v>
      </c>
      <c r="AD38" s="9188"/>
      <c r="AE38" s="8571" t="s">
        <v>129</v>
      </c>
      <c r="AF38" s="9188"/>
      <c r="AG38" s="8571" t="s">
        <v>130</v>
      </c>
      <c r="AH38" s="9188"/>
      <c r="AI38" s="8571" t="s">
        <v>131</v>
      </c>
      <c r="AJ38" s="9188"/>
      <c r="AK38" s="8571" t="s">
        <v>1403</v>
      </c>
      <c r="AL38" s="9221"/>
      <c r="AM38" s="8125"/>
      <c r="AN38" s="8125"/>
      <c r="AO38" s="290"/>
      <c r="AP38" s="290"/>
      <c r="AQ38" s="290"/>
      <c r="AR38" s="290"/>
      <c r="AS38" s="290"/>
      <c r="AT38" s="290"/>
      <c r="AU38" s="290"/>
      <c r="AV38" s="290"/>
      <c r="AW38" s="290"/>
      <c r="AX38" s="290"/>
      <c r="AY38" s="290"/>
      <c r="AZ38" s="290"/>
      <c r="BA38" s="290"/>
      <c r="BB38" s="290"/>
      <c r="BC38" s="290"/>
      <c r="BD38" s="290"/>
      <c r="BE38" s="290"/>
      <c r="BF38" s="290"/>
      <c r="BG38" s="290"/>
      <c r="BH38" s="290"/>
      <c r="BI38" s="290"/>
    </row>
    <row r="39" spans="1:106" ht="16.350000000000001" customHeight="1" x14ac:dyDescent="0.2">
      <c r="A39" s="9153"/>
      <c r="B39" s="2130" t="s">
        <v>42</v>
      </c>
      <c r="C39" s="588" t="s">
        <v>706</v>
      </c>
      <c r="D39" s="2122" t="s">
        <v>18</v>
      </c>
      <c r="E39" s="2115" t="s">
        <v>706</v>
      </c>
      <c r="F39" s="2117" t="s">
        <v>18</v>
      </c>
      <c r="G39" s="2115" t="s">
        <v>706</v>
      </c>
      <c r="H39" s="2117" t="s">
        <v>18</v>
      </c>
      <c r="I39" s="2115" t="s">
        <v>706</v>
      </c>
      <c r="J39" s="2117" t="s">
        <v>18</v>
      </c>
      <c r="K39" s="2115" t="s">
        <v>706</v>
      </c>
      <c r="L39" s="2117" t="s">
        <v>18</v>
      </c>
      <c r="M39" s="2115" t="s">
        <v>706</v>
      </c>
      <c r="N39" s="2117" t="s">
        <v>18</v>
      </c>
      <c r="O39" s="2115" t="s">
        <v>706</v>
      </c>
      <c r="P39" s="2117" t="s">
        <v>18</v>
      </c>
      <c r="Q39" s="2115" t="s">
        <v>706</v>
      </c>
      <c r="R39" s="2117" t="s">
        <v>18</v>
      </c>
      <c r="S39" s="2115" t="s">
        <v>706</v>
      </c>
      <c r="T39" s="2117" t="s">
        <v>18</v>
      </c>
      <c r="U39" s="2115" t="s">
        <v>706</v>
      </c>
      <c r="V39" s="2117" t="s">
        <v>18</v>
      </c>
      <c r="W39" s="2115" t="s">
        <v>706</v>
      </c>
      <c r="X39" s="2117" t="s">
        <v>18</v>
      </c>
      <c r="Y39" s="2115" t="s">
        <v>706</v>
      </c>
      <c r="Z39" s="2117" t="s">
        <v>18</v>
      </c>
      <c r="AA39" s="2115" t="s">
        <v>706</v>
      </c>
      <c r="AB39" s="2117" t="s">
        <v>18</v>
      </c>
      <c r="AC39" s="2115" t="s">
        <v>706</v>
      </c>
      <c r="AD39" s="2117" t="s">
        <v>18</v>
      </c>
      <c r="AE39" s="2115" t="s">
        <v>706</v>
      </c>
      <c r="AF39" s="2117" t="s">
        <v>18</v>
      </c>
      <c r="AG39" s="2115" t="s">
        <v>706</v>
      </c>
      <c r="AH39" s="2117" t="s">
        <v>18</v>
      </c>
      <c r="AI39" s="2115" t="s">
        <v>706</v>
      </c>
      <c r="AJ39" s="2117" t="s">
        <v>18</v>
      </c>
      <c r="AK39" s="2115" t="s">
        <v>706</v>
      </c>
      <c r="AL39" s="2117" t="s">
        <v>18</v>
      </c>
      <c r="AM39" s="8154"/>
      <c r="AN39" s="8154"/>
      <c r="AO39" s="1460"/>
      <c r="AP39" s="290"/>
      <c r="AQ39" s="290"/>
      <c r="AR39" s="290"/>
      <c r="AS39" s="290"/>
      <c r="AT39" s="290"/>
      <c r="AU39" s="290"/>
      <c r="AV39" s="290"/>
      <c r="AW39" s="290"/>
      <c r="AX39" s="290"/>
      <c r="AY39" s="290"/>
      <c r="AZ39" s="290"/>
      <c r="BA39" s="290"/>
      <c r="BB39" s="290"/>
      <c r="BC39" s="290"/>
      <c r="BD39" s="290"/>
      <c r="BE39" s="290"/>
      <c r="BF39" s="290"/>
      <c r="BG39" s="290"/>
      <c r="BH39" s="290"/>
      <c r="BI39" s="290"/>
    </row>
    <row r="40" spans="1:106" ht="16.350000000000001" customHeight="1" x14ac:dyDescent="0.2">
      <c r="A40" s="1348" t="s">
        <v>19</v>
      </c>
      <c r="B40" s="596">
        <f t="shared" ref="B40:B45" si="5">SUM(C40+D40)</f>
        <v>0</v>
      </c>
      <c r="C40" s="610">
        <f>SUM(E40+G40+I40+K40+M40+O40+Q40+S40+U40+W40+Y40+AA40+AC40+AE40+AG40+AI40+AK40)</f>
        <v>0</v>
      </c>
      <c r="D40" s="546">
        <f>SUM(F40+H40+J40+L40+N40+P40+R40+T40+V40+X40+Z40+AB40+AD40+AF40+AH40+AJ40+AL40)</f>
        <v>0</v>
      </c>
      <c r="E40" s="129"/>
      <c r="F40" s="143"/>
      <c r="G40" s="129"/>
      <c r="H40" s="143"/>
      <c r="I40" s="129"/>
      <c r="J40" s="130"/>
      <c r="K40" s="129"/>
      <c r="L40" s="130"/>
      <c r="M40" s="129"/>
      <c r="N40" s="130"/>
      <c r="O40" s="156"/>
      <c r="P40" s="130"/>
      <c r="Q40" s="156"/>
      <c r="R40" s="130"/>
      <c r="S40" s="156"/>
      <c r="T40" s="130"/>
      <c r="U40" s="156"/>
      <c r="V40" s="130"/>
      <c r="W40" s="156"/>
      <c r="X40" s="130"/>
      <c r="Y40" s="156"/>
      <c r="Z40" s="130"/>
      <c r="AA40" s="156"/>
      <c r="AB40" s="130"/>
      <c r="AC40" s="156"/>
      <c r="AD40" s="130"/>
      <c r="AE40" s="156"/>
      <c r="AF40" s="130"/>
      <c r="AG40" s="156"/>
      <c r="AH40" s="130"/>
      <c r="AI40" s="156"/>
      <c r="AJ40" s="130"/>
      <c r="AK40" s="156"/>
      <c r="AL40" s="130"/>
      <c r="AM40" s="123"/>
      <c r="AN40" s="539"/>
      <c r="AO40" s="1466"/>
      <c r="AP40" s="802"/>
      <c r="AQ40" s="802"/>
      <c r="AR40" s="802"/>
      <c r="AS40" s="802"/>
      <c r="AT40" s="802"/>
      <c r="AU40" s="802"/>
      <c r="AV40" s="802"/>
      <c r="AW40" s="802"/>
      <c r="AX40" s="802"/>
      <c r="AY40" s="802"/>
      <c r="AZ40" s="290"/>
      <c r="BA40" s="290"/>
      <c r="BB40" s="290"/>
      <c r="BC40" s="290"/>
      <c r="BD40" s="290"/>
      <c r="BE40" s="290"/>
      <c r="BF40" s="290"/>
      <c r="BG40" s="290"/>
      <c r="BH40" s="290"/>
      <c r="BI40" s="290"/>
      <c r="DA40" s="3308">
        <v>0</v>
      </c>
      <c r="DB40" s="3308">
        <v>0</v>
      </c>
    </row>
    <row r="41" spans="1:106" ht="16.350000000000001" customHeight="1" x14ac:dyDescent="0.2">
      <c r="A41" s="2112" t="s">
        <v>23</v>
      </c>
      <c r="B41" s="251">
        <f t="shared" si="5"/>
        <v>0</v>
      </c>
      <c r="C41" s="617">
        <f t="shared" ref="C41:D45" si="6">SUM(E41+G41+I41+K41+M41+O41+Q41+S41+U41+W41+Y41+AA41+AC41+AE41+AG41+AI41+AK41)</f>
        <v>0</v>
      </c>
      <c r="D41" s="158">
        <f t="shared" si="6"/>
        <v>0</v>
      </c>
      <c r="E41" s="110"/>
      <c r="F41" s="144"/>
      <c r="G41" s="110"/>
      <c r="H41" s="144"/>
      <c r="I41" s="110"/>
      <c r="J41" s="122"/>
      <c r="K41" s="110"/>
      <c r="L41" s="122"/>
      <c r="M41" s="110"/>
      <c r="N41" s="122"/>
      <c r="O41" s="157"/>
      <c r="P41" s="122"/>
      <c r="Q41" s="157"/>
      <c r="R41" s="122"/>
      <c r="S41" s="157"/>
      <c r="T41" s="122"/>
      <c r="U41" s="157"/>
      <c r="V41" s="122"/>
      <c r="W41" s="157"/>
      <c r="X41" s="122"/>
      <c r="Y41" s="157"/>
      <c r="Z41" s="122"/>
      <c r="AA41" s="157"/>
      <c r="AB41" s="122"/>
      <c r="AC41" s="157"/>
      <c r="AD41" s="122"/>
      <c r="AE41" s="157"/>
      <c r="AF41" s="122"/>
      <c r="AG41" s="157"/>
      <c r="AH41" s="122"/>
      <c r="AI41" s="157"/>
      <c r="AJ41" s="122"/>
      <c r="AK41" s="157"/>
      <c r="AL41" s="122"/>
      <c r="AM41" s="123"/>
      <c r="AN41" s="123"/>
      <c r="AO41" s="1466"/>
      <c r="AP41" s="802"/>
      <c r="AQ41" s="802"/>
      <c r="AR41" s="802"/>
      <c r="AS41" s="802"/>
      <c r="AT41" s="802"/>
      <c r="AU41" s="802"/>
      <c r="AV41" s="802"/>
      <c r="AW41" s="802"/>
      <c r="AX41" s="802"/>
      <c r="AY41" s="802"/>
      <c r="AZ41" s="290"/>
      <c r="BA41" s="290"/>
      <c r="BB41" s="290"/>
      <c r="BC41" s="290"/>
      <c r="BD41" s="290"/>
      <c r="BE41" s="290"/>
      <c r="BF41" s="290"/>
      <c r="BG41" s="290"/>
      <c r="BH41" s="290"/>
      <c r="BI41" s="290"/>
      <c r="DA41" s="3308">
        <v>0</v>
      </c>
      <c r="DB41" s="3308">
        <v>0</v>
      </c>
    </row>
    <row r="42" spans="1:106" ht="16.350000000000001" customHeight="1" x14ac:dyDescent="0.2">
      <c r="A42" s="2112" t="s">
        <v>20</v>
      </c>
      <c r="B42" s="251">
        <f t="shared" si="5"/>
        <v>0</v>
      </c>
      <c r="C42" s="617">
        <f t="shared" si="6"/>
        <v>0</v>
      </c>
      <c r="D42" s="158">
        <f t="shared" si="6"/>
        <v>0</v>
      </c>
      <c r="E42" s="110"/>
      <c r="F42" s="144"/>
      <c r="G42" s="110"/>
      <c r="H42" s="144"/>
      <c r="I42" s="110"/>
      <c r="J42" s="122"/>
      <c r="K42" s="110"/>
      <c r="L42" s="122"/>
      <c r="M42" s="110"/>
      <c r="N42" s="122"/>
      <c r="O42" s="157"/>
      <c r="P42" s="122"/>
      <c r="Q42" s="157"/>
      <c r="R42" s="122"/>
      <c r="S42" s="157"/>
      <c r="T42" s="122"/>
      <c r="U42" s="157"/>
      <c r="V42" s="122"/>
      <c r="W42" s="157"/>
      <c r="X42" s="122"/>
      <c r="Y42" s="157"/>
      <c r="Z42" s="122"/>
      <c r="AA42" s="157"/>
      <c r="AB42" s="122"/>
      <c r="AC42" s="157"/>
      <c r="AD42" s="122"/>
      <c r="AE42" s="157"/>
      <c r="AF42" s="122"/>
      <c r="AG42" s="157"/>
      <c r="AH42" s="122"/>
      <c r="AI42" s="157"/>
      <c r="AJ42" s="122"/>
      <c r="AK42" s="157"/>
      <c r="AL42" s="122"/>
      <c r="AM42" s="123"/>
      <c r="AN42" s="123"/>
      <c r="AO42" s="1466"/>
      <c r="AP42" s="802"/>
      <c r="AQ42" s="802"/>
      <c r="AR42" s="802"/>
      <c r="AS42" s="802"/>
      <c r="AT42" s="802"/>
      <c r="AU42" s="802"/>
      <c r="AV42" s="802"/>
      <c r="AW42" s="802"/>
      <c r="AX42" s="802"/>
      <c r="AY42" s="802"/>
      <c r="AZ42" s="290"/>
      <c r="BA42" s="290"/>
      <c r="BB42" s="290"/>
      <c r="BC42" s="290"/>
      <c r="BD42" s="290"/>
      <c r="BE42" s="290"/>
      <c r="BF42" s="290"/>
      <c r="BG42" s="290"/>
      <c r="BH42" s="290"/>
      <c r="BI42" s="290"/>
      <c r="DA42" s="3308">
        <v>0</v>
      </c>
      <c r="DB42" s="3308">
        <v>0</v>
      </c>
    </row>
    <row r="43" spans="1:106" ht="16.350000000000001" customHeight="1" x14ac:dyDescent="0.2">
      <c r="A43" s="2112" t="s">
        <v>1014</v>
      </c>
      <c r="B43" s="251">
        <f t="shared" si="5"/>
        <v>0</v>
      </c>
      <c r="C43" s="617">
        <f t="shared" si="6"/>
        <v>0</v>
      </c>
      <c r="D43" s="158">
        <f t="shared" si="6"/>
        <v>0</v>
      </c>
      <c r="E43" s="110"/>
      <c r="F43" s="144"/>
      <c r="G43" s="110"/>
      <c r="H43" s="144"/>
      <c r="I43" s="110"/>
      <c r="J43" s="122"/>
      <c r="K43" s="110"/>
      <c r="L43" s="122"/>
      <c r="M43" s="110"/>
      <c r="N43" s="122"/>
      <c r="O43" s="157"/>
      <c r="P43" s="122"/>
      <c r="Q43" s="157"/>
      <c r="R43" s="122"/>
      <c r="S43" s="157"/>
      <c r="T43" s="122"/>
      <c r="U43" s="157"/>
      <c r="V43" s="122"/>
      <c r="W43" s="157"/>
      <c r="X43" s="122"/>
      <c r="Y43" s="157"/>
      <c r="Z43" s="122"/>
      <c r="AA43" s="157"/>
      <c r="AB43" s="122"/>
      <c r="AC43" s="157"/>
      <c r="AD43" s="122"/>
      <c r="AE43" s="157"/>
      <c r="AF43" s="122"/>
      <c r="AG43" s="157"/>
      <c r="AH43" s="122"/>
      <c r="AI43" s="157"/>
      <c r="AJ43" s="122"/>
      <c r="AK43" s="157"/>
      <c r="AL43" s="122"/>
      <c r="AM43" s="123"/>
      <c r="AN43" s="123"/>
      <c r="AO43" s="1466"/>
      <c r="AP43" s="802"/>
      <c r="AQ43" s="802"/>
      <c r="AR43" s="802"/>
      <c r="AS43" s="802"/>
      <c r="AT43" s="802"/>
      <c r="AU43" s="802"/>
      <c r="AV43" s="802"/>
      <c r="AW43" s="802"/>
      <c r="AX43" s="802"/>
      <c r="AY43" s="802"/>
      <c r="AZ43" s="290"/>
      <c r="BA43" s="290"/>
      <c r="BB43" s="290"/>
      <c r="BC43" s="290"/>
      <c r="BD43" s="290"/>
      <c r="BE43" s="290"/>
      <c r="BF43" s="290"/>
      <c r="BG43" s="290"/>
      <c r="BH43" s="290"/>
      <c r="BI43" s="290"/>
      <c r="DA43" s="3308">
        <v>0</v>
      </c>
      <c r="DB43" s="3308">
        <v>0</v>
      </c>
    </row>
    <row r="44" spans="1:106" ht="16.350000000000001" customHeight="1" x14ac:dyDescent="0.2">
      <c r="A44" s="2112" t="s">
        <v>2785</v>
      </c>
      <c r="B44" s="251">
        <f t="shared" si="5"/>
        <v>0</v>
      </c>
      <c r="C44" s="617">
        <f t="shared" si="6"/>
        <v>0</v>
      </c>
      <c r="D44" s="158">
        <f t="shared" si="6"/>
        <v>0</v>
      </c>
      <c r="E44" s="110"/>
      <c r="F44" s="144"/>
      <c r="G44" s="110"/>
      <c r="H44" s="144"/>
      <c r="I44" s="110"/>
      <c r="J44" s="122"/>
      <c r="K44" s="110"/>
      <c r="L44" s="122"/>
      <c r="M44" s="110"/>
      <c r="N44" s="122"/>
      <c r="O44" s="157"/>
      <c r="P44" s="122"/>
      <c r="Q44" s="157"/>
      <c r="R44" s="122"/>
      <c r="S44" s="157"/>
      <c r="T44" s="122"/>
      <c r="U44" s="157"/>
      <c r="V44" s="122"/>
      <c r="W44" s="157"/>
      <c r="X44" s="122"/>
      <c r="Y44" s="157"/>
      <c r="Z44" s="122"/>
      <c r="AA44" s="157"/>
      <c r="AB44" s="122"/>
      <c r="AC44" s="157"/>
      <c r="AD44" s="122"/>
      <c r="AE44" s="157"/>
      <c r="AF44" s="122"/>
      <c r="AG44" s="157"/>
      <c r="AH44" s="122"/>
      <c r="AI44" s="157"/>
      <c r="AJ44" s="122"/>
      <c r="AK44" s="157"/>
      <c r="AL44" s="122"/>
      <c r="AM44" s="123"/>
      <c r="AN44" s="123"/>
      <c r="AO44" s="1466"/>
      <c r="AP44" s="802"/>
      <c r="AQ44" s="802"/>
      <c r="AR44" s="802"/>
      <c r="AS44" s="802"/>
      <c r="AT44" s="802"/>
      <c r="AU44" s="802"/>
      <c r="AV44" s="802"/>
      <c r="AW44" s="802"/>
      <c r="AX44" s="802"/>
      <c r="AY44" s="802"/>
      <c r="AZ44" s="290"/>
      <c r="BA44" s="290"/>
      <c r="BB44" s="290"/>
      <c r="BC44" s="290"/>
      <c r="BD44" s="290"/>
      <c r="BE44" s="290"/>
      <c r="BF44" s="290"/>
      <c r="BG44" s="290"/>
      <c r="BH44" s="290"/>
      <c r="BI44" s="290"/>
      <c r="DA44" s="3308">
        <v>0</v>
      </c>
      <c r="DB44" s="3308">
        <v>0</v>
      </c>
    </row>
    <row r="45" spans="1:106" ht="16.350000000000001" customHeight="1" x14ac:dyDescent="0.2">
      <c r="A45" s="1349" t="s">
        <v>63</v>
      </c>
      <c r="B45" s="544">
        <f t="shared" si="5"/>
        <v>0</v>
      </c>
      <c r="C45" s="543">
        <f t="shared" si="6"/>
        <v>0</v>
      </c>
      <c r="D45" s="152">
        <f t="shared" si="6"/>
        <v>0</v>
      </c>
      <c r="E45" s="125"/>
      <c r="F45" s="127"/>
      <c r="G45" s="125"/>
      <c r="H45" s="127"/>
      <c r="I45" s="125"/>
      <c r="J45" s="101"/>
      <c r="K45" s="125"/>
      <c r="L45" s="101"/>
      <c r="M45" s="125"/>
      <c r="N45" s="101"/>
      <c r="O45" s="159"/>
      <c r="P45" s="101"/>
      <c r="Q45" s="159"/>
      <c r="R45" s="101"/>
      <c r="S45" s="159"/>
      <c r="T45" s="101"/>
      <c r="U45" s="159"/>
      <c r="V45" s="101"/>
      <c r="W45" s="159"/>
      <c r="X45" s="101"/>
      <c r="Y45" s="159"/>
      <c r="Z45" s="101"/>
      <c r="AA45" s="159"/>
      <c r="AB45" s="101"/>
      <c r="AC45" s="159"/>
      <c r="AD45" s="101"/>
      <c r="AE45" s="159"/>
      <c r="AF45" s="101"/>
      <c r="AG45" s="159"/>
      <c r="AH45" s="101"/>
      <c r="AI45" s="159"/>
      <c r="AJ45" s="101"/>
      <c r="AK45" s="159"/>
      <c r="AL45" s="101"/>
      <c r="AM45" s="86"/>
      <c r="AN45" s="86"/>
      <c r="AO45" s="1466"/>
      <c r="AP45" s="802"/>
      <c r="AQ45" s="802"/>
      <c r="AR45" s="802"/>
      <c r="AS45" s="802"/>
      <c r="AT45" s="802"/>
      <c r="AU45" s="802"/>
      <c r="AV45" s="802"/>
      <c r="AW45" s="802"/>
      <c r="AX45" s="802"/>
      <c r="AY45" s="802"/>
      <c r="AZ45" s="290"/>
      <c r="BA45" s="290"/>
      <c r="BB45" s="290"/>
      <c r="BC45" s="290"/>
      <c r="BD45" s="290"/>
      <c r="BE45" s="290"/>
      <c r="BF45" s="290"/>
      <c r="BG45" s="290"/>
      <c r="BH45" s="290"/>
      <c r="BI45" s="290"/>
      <c r="DA45" s="3308">
        <v>0</v>
      </c>
      <c r="DB45" s="3308">
        <v>0</v>
      </c>
    </row>
    <row r="46" spans="1:106" ht="16.350000000000001" customHeight="1" x14ac:dyDescent="0.2">
      <c r="A46" s="133" t="s">
        <v>3776</v>
      </c>
      <c r="B46" s="133"/>
      <c r="C46" s="133"/>
      <c r="D46" s="133"/>
      <c r="E46" s="133"/>
      <c r="F46" s="133"/>
      <c r="G46" s="133"/>
      <c r="H46" s="233"/>
      <c r="I46" s="233"/>
      <c r="J46" s="233"/>
      <c r="K46" s="233"/>
      <c r="L46" s="72"/>
      <c r="M46" s="233"/>
      <c r="N46" s="233"/>
      <c r="O46" s="140"/>
      <c r="P46" s="140"/>
      <c r="Q46" s="140"/>
      <c r="R46" s="140"/>
      <c r="S46" s="140"/>
      <c r="T46" s="140"/>
      <c r="U46" s="140"/>
      <c r="V46" s="140"/>
      <c r="W46" s="140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  <c r="AI46" s="153"/>
      <c r="AJ46" s="153"/>
      <c r="AK46" s="153"/>
      <c r="AL46" s="153"/>
      <c r="AM46" s="7193"/>
      <c r="AN46" s="290"/>
      <c r="AO46" s="1469"/>
      <c r="AP46" s="802"/>
      <c r="AQ46" s="802"/>
      <c r="AR46" s="802"/>
      <c r="AS46" s="802"/>
      <c r="AT46" s="802"/>
      <c r="AU46" s="802"/>
      <c r="AV46" s="802"/>
      <c r="AW46" s="802"/>
      <c r="AX46" s="802"/>
      <c r="AY46" s="802"/>
      <c r="AZ46" s="290"/>
      <c r="BA46" s="290"/>
      <c r="BB46" s="290"/>
      <c r="BC46" s="290"/>
      <c r="BD46" s="290"/>
      <c r="BE46" s="290"/>
      <c r="BF46" s="290"/>
      <c r="BG46" s="290"/>
      <c r="BH46" s="290"/>
      <c r="BI46" s="290"/>
    </row>
    <row r="47" spans="1:106" ht="16.350000000000001" customHeight="1" x14ac:dyDescent="0.2">
      <c r="A47" s="9226" t="s">
        <v>0</v>
      </c>
      <c r="B47" s="9052" t="s">
        <v>940</v>
      </c>
      <c r="C47" s="9053"/>
      <c r="D47" s="9049"/>
      <c r="E47" s="8171" t="s">
        <v>84</v>
      </c>
      <c r="F47" s="8172"/>
      <c r="G47" s="8172"/>
      <c r="H47" s="8172"/>
      <c r="I47" s="8172"/>
      <c r="J47" s="8172"/>
      <c r="K47" s="8172"/>
      <c r="L47" s="8172"/>
      <c r="M47" s="8172"/>
      <c r="N47" s="8172"/>
      <c r="O47" s="8172"/>
      <c r="P47" s="8172"/>
      <c r="Q47" s="8172"/>
      <c r="R47" s="8172"/>
      <c r="S47" s="8172"/>
      <c r="T47" s="8172"/>
      <c r="U47" s="8172"/>
      <c r="V47" s="8172"/>
      <c r="W47" s="8172"/>
      <c r="X47" s="8172"/>
      <c r="Y47" s="8172"/>
      <c r="Z47" s="8172"/>
      <c r="AA47" s="8172"/>
      <c r="AB47" s="8172"/>
      <c r="AC47" s="8172"/>
      <c r="AD47" s="8172"/>
      <c r="AE47" s="8172"/>
      <c r="AF47" s="8172"/>
      <c r="AG47" s="8172"/>
      <c r="AH47" s="8172"/>
      <c r="AI47" s="8172"/>
      <c r="AJ47" s="8172"/>
      <c r="AK47" s="8172"/>
      <c r="AL47" s="9224"/>
      <c r="AM47" s="9062" t="s">
        <v>358</v>
      </c>
      <c r="AN47" s="9062" t="s">
        <v>1015</v>
      </c>
      <c r="AO47" s="1469"/>
      <c r="AP47" s="802"/>
      <c r="AQ47" s="802"/>
      <c r="AR47" s="802"/>
      <c r="AS47" s="802"/>
      <c r="AT47" s="802"/>
      <c r="AU47" s="802"/>
      <c r="AV47" s="802"/>
      <c r="AW47" s="802"/>
      <c r="AX47" s="802"/>
      <c r="AY47" s="802"/>
      <c r="AZ47" s="290"/>
      <c r="BA47" s="290"/>
      <c r="BB47" s="290"/>
      <c r="BC47" s="290"/>
      <c r="BD47" s="290"/>
      <c r="BE47" s="290"/>
      <c r="BF47" s="290"/>
      <c r="BG47" s="290"/>
      <c r="BH47" s="290"/>
      <c r="BI47" s="290"/>
    </row>
    <row r="48" spans="1:106" ht="16.350000000000001" customHeight="1" x14ac:dyDescent="0.2">
      <c r="A48" s="9227"/>
      <c r="B48" s="9229"/>
      <c r="C48" s="9230"/>
      <c r="D48" s="9182"/>
      <c r="E48" s="8171" t="s">
        <v>75</v>
      </c>
      <c r="F48" s="9224"/>
      <c r="G48" s="8171" t="s">
        <v>76</v>
      </c>
      <c r="H48" s="9224"/>
      <c r="I48" s="8171" t="s">
        <v>77</v>
      </c>
      <c r="J48" s="9224"/>
      <c r="K48" s="8171" t="s">
        <v>71</v>
      </c>
      <c r="L48" s="9224"/>
      <c r="M48" s="8171" t="s">
        <v>4</v>
      </c>
      <c r="N48" s="9224"/>
      <c r="O48" s="9222" t="s">
        <v>5</v>
      </c>
      <c r="P48" s="9223"/>
      <c r="Q48" s="9222" t="s">
        <v>6</v>
      </c>
      <c r="R48" s="9223"/>
      <c r="S48" s="9222" t="s">
        <v>7</v>
      </c>
      <c r="T48" s="9223"/>
      <c r="U48" s="9222" t="s">
        <v>8</v>
      </c>
      <c r="V48" s="9223"/>
      <c r="W48" s="9222" t="s">
        <v>9</v>
      </c>
      <c r="X48" s="9223"/>
      <c r="Y48" s="9222" t="s">
        <v>10</v>
      </c>
      <c r="Z48" s="9223"/>
      <c r="AA48" s="9222" t="s">
        <v>11</v>
      </c>
      <c r="AB48" s="9223"/>
      <c r="AC48" s="9222" t="s">
        <v>12</v>
      </c>
      <c r="AD48" s="9223"/>
      <c r="AE48" s="9222" t="s">
        <v>13</v>
      </c>
      <c r="AF48" s="9223"/>
      <c r="AG48" s="9222" t="s">
        <v>14</v>
      </c>
      <c r="AH48" s="9223"/>
      <c r="AI48" s="9222" t="s">
        <v>15</v>
      </c>
      <c r="AJ48" s="9223"/>
      <c r="AK48" s="9222" t="s">
        <v>16</v>
      </c>
      <c r="AL48" s="9223"/>
      <c r="AM48" s="8274"/>
      <c r="AN48" s="8274"/>
      <c r="AO48" s="1469"/>
      <c r="AP48" s="802"/>
      <c r="AQ48" s="802"/>
      <c r="AR48" s="802"/>
      <c r="AS48" s="802"/>
      <c r="AT48" s="802"/>
      <c r="AU48" s="802"/>
      <c r="AV48" s="802"/>
      <c r="AW48" s="802"/>
      <c r="AX48" s="802"/>
      <c r="AY48" s="802"/>
      <c r="AZ48" s="290"/>
      <c r="BA48" s="290"/>
      <c r="BB48" s="290"/>
      <c r="BC48" s="290"/>
      <c r="BD48" s="290"/>
      <c r="BE48" s="290"/>
      <c r="BF48" s="290"/>
      <c r="BG48" s="290"/>
      <c r="BH48" s="290"/>
      <c r="BI48" s="290"/>
    </row>
    <row r="49" spans="1:130" ht="16.350000000000001" customHeight="1" x14ac:dyDescent="0.2">
      <c r="A49" s="9228"/>
      <c r="B49" s="7196" t="s">
        <v>42</v>
      </c>
      <c r="C49" s="7197" t="s">
        <v>706</v>
      </c>
      <c r="D49" s="3355" t="s">
        <v>18</v>
      </c>
      <c r="E49" s="7194" t="s">
        <v>706</v>
      </c>
      <c r="F49" s="7195" t="s">
        <v>18</v>
      </c>
      <c r="G49" s="7194" t="s">
        <v>706</v>
      </c>
      <c r="H49" s="7195" t="s">
        <v>18</v>
      </c>
      <c r="I49" s="7194" t="s">
        <v>706</v>
      </c>
      <c r="J49" s="7195" t="s">
        <v>18</v>
      </c>
      <c r="K49" s="7194" t="s">
        <v>706</v>
      </c>
      <c r="L49" s="7195" t="s">
        <v>18</v>
      </c>
      <c r="M49" s="7194" t="s">
        <v>706</v>
      </c>
      <c r="N49" s="7195" t="s">
        <v>18</v>
      </c>
      <c r="O49" s="7194" t="s">
        <v>706</v>
      </c>
      <c r="P49" s="7195" t="s">
        <v>18</v>
      </c>
      <c r="Q49" s="7194" t="s">
        <v>706</v>
      </c>
      <c r="R49" s="7195" t="s">
        <v>18</v>
      </c>
      <c r="S49" s="7194" t="s">
        <v>706</v>
      </c>
      <c r="T49" s="7195" t="s">
        <v>18</v>
      </c>
      <c r="U49" s="7194" t="s">
        <v>706</v>
      </c>
      <c r="V49" s="7195" t="s">
        <v>18</v>
      </c>
      <c r="W49" s="7194" t="s">
        <v>706</v>
      </c>
      <c r="X49" s="7195" t="s">
        <v>18</v>
      </c>
      <c r="Y49" s="7194" t="s">
        <v>706</v>
      </c>
      <c r="Z49" s="7195" t="s">
        <v>18</v>
      </c>
      <c r="AA49" s="7194" t="s">
        <v>706</v>
      </c>
      <c r="AB49" s="7195" t="s">
        <v>18</v>
      </c>
      <c r="AC49" s="7194" t="s">
        <v>706</v>
      </c>
      <c r="AD49" s="7195" t="s">
        <v>18</v>
      </c>
      <c r="AE49" s="7194" t="s">
        <v>706</v>
      </c>
      <c r="AF49" s="7195" t="s">
        <v>18</v>
      </c>
      <c r="AG49" s="7194" t="s">
        <v>706</v>
      </c>
      <c r="AH49" s="7195" t="s">
        <v>18</v>
      </c>
      <c r="AI49" s="7194" t="s">
        <v>706</v>
      </c>
      <c r="AJ49" s="7195" t="s">
        <v>18</v>
      </c>
      <c r="AK49" s="7194" t="s">
        <v>706</v>
      </c>
      <c r="AL49" s="7195" t="s">
        <v>18</v>
      </c>
      <c r="AM49" s="8638"/>
      <c r="AN49" s="8638"/>
      <c r="AO49" s="1469"/>
      <c r="AP49" s="802"/>
      <c r="AQ49" s="802"/>
      <c r="AR49" s="802"/>
      <c r="AS49" s="802"/>
      <c r="AT49" s="802"/>
      <c r="AU49" s="802"/>
      <c r="AV49" s="802"/>
      <c r="AW49" s="802"/>
      <c r="AX49" s="802"/>
      <c r="AY49" s="802"/>
      <c r="AZ49" s="290"/>
      <c r="BA49" s="290"/>
      <c r="BB49" s="290"/>
      <c r="BC49" s="290"/>
      <c r="BD49" s="290"/>
      <c r="BE49" s="290"/>
      <c r="BF49" s="290"/>
      <c r="BG49" s="290"/>
      <c r="BH49" s="290"/>
      <c r="BI49" s="290"/>
    </row>
    <row r="50" spans="1:130" ht="16.350000000000001" customHeight="1" x14ac:dyDescent="0.2">
      <c r="A50" s="7198" t="s">
        <v>19</v>
      </c>
      <c r="B50" s="7199">
        <f t="shared" ref="B50:B55" si="7">SUM(C50+D50)</f>
        <v>0</v>
      </c>
      <c r="C50" s="7200">
        <f t="shared" ref="C50:D55" si="8">SUM(E50+G50+I50+K50+M50+O50+Q50+S50+U50+W50+Y50+AA50+AC50+AE50+AG50+AI50+AK50)</f>
        <v>0</v>
      </c>
      <c r="D50" s="7201">
        <f t="shared" si="8"/>
        <v>0</v>
      </c>
      <c r="E50" s="7157"/>
      <c r="F50" s="6141"/>
      <c r="G50" s="7157"/>
      <c r="H50" s="6141"/>
      <c r="I50" s="7157"/>
      <c r="J50" s="7202"/>
      <c r="K50" s="7157"/>
      <c r="L50" s="7202"/>
      <c r="M50" s="7157"/>
      <c r="N50" s="7202"/>
      <c r="O50" s="7160"/>
      <c r="P50" s="7202"/>
      <c r="Q50" s="7160"/>
      <c r="R50" s="7202"/>
      <c r="S50" s="7160"/>
      <c r="T50" s="7202"/>
      <c r="U50" s="7160"/>
      <c r="V50" s="7202"/>
      <c r="W50" s="7160"/>
      <c r="X50" s="7202"/>
      <c r="Y50" s="7160"/>
      <c r="Z50" s="7202"/>
      <c r="AA50" s="7160"/>
      <c r="AB50" s="7202"/>
      <c r="AC50" s="7160"/>
      <c r="AD50" s="7202"/>
      <c r="AE50" s="7160"/>
      <c r="AF50" s="7202"/>
      <c r="AG50" s="7160"/>
      <c r="AH50" s="7202"/>
      <c r="AI50" s="7160"/>
      <c r="AJ50" s="7202"/>
      <c r="AK50" s="7160"/>
      <c r="AL50" s="7202"/>
      <c r="AM50" s="7203"/>
      <c r="AN50" s="7203"/>
      <c r="AO50" s="1469"/>
      <c r="AP50" s="802"/>
      <c r="AQ50" s="802"/>
      <c r="AR50" s="802"/>
      <c r="AS50" s="802"/>
      <c r="AT50" s="802"/>
      <c r="AU50" s="802"/>
      <c r="AV50" s="802"/>
      <c r="AW50" s="802"/>
      <c r="AX50" s="802"/>
      <c r="AY50" s="802"/>
      <c r="AZ50" s="290"/>
      <c r="BA50" s="290"/>
      <c r="BB50" s="290"/>
      <c r="BC50" s="290"/>
      <c r="BD50" s="290"/>
      <c r="BE50" s="290"/>
      <c r="BF50" s="290"/>
      <c r="BG50" s="290"/>
      <c r="BH50" s="290"/>
      <c r="BI50" s="290"/>
      <c r="DA50" s="3308">
        <v>0</v>
      </c>
      <c r="DB50" s="3308">
        <v>0</v>
      </c>
    </row>
    <row r="51" spans="1:130" ht="16.350000000000001" customHeight="1" x14ac:dyDescent="0.2">
      <c r="A51" s="4018" t="s">
        <v>23</v>
      </c>
      <c r="B51" s="5082">
        <f t="shared" si="7"/>
        <v>0</v>
      </c>
      <c r="C51" s="3144">
        <f t="shared" si="8"/>
        <v>0</v>
      </c>
      <c r="D51" s="2993">
        <f t="shared" si="8"/>
        <v>0</v>
      </c>
      <c r="E51" s="2885"/>
      <c r="F51" s="2889"/>
      <c r="G51" s="2885"/>
      <c r="H51" s="2889"/>
      <c r="I51" s="2885"/>
      <c r="J51" s="2887"/>
      <c r="K51" s="2885"/>
      <c r="L51" s="2887"/>
      <c r="M51" s="2885"/>
      <c r="N51" s="2887"/>
      <c r="O51" s="3556"/>
      <c r="P51" s="2887"/>
      <c r="Q51" s="3556"/>
      <c r="R51" s="2887"/>
      <c r="S51" s="3556"/>
      <c r="T51" s="2887"/>
      <c r="U51" s="3556"/>
      <c r="V51" s="2887"/>
      <c r="W51" s="3556"/>
      <c r="X51" s="2887"/>
      <c r="Y51" s="3556"/>
      <c r="Z51" s="2887"/>
      <c r="AA51" s="3556"/>
      <c r="AB51" s="2887"/>
      <c r="AC51" s="3556"/>
      <c r="AD51" s="2887"/>
      <c r="AE51" s="3556"/>
      <c r="AF51" s="2887"/>
      <c r="AG51" s="3556"/>
      <c r="AH51" s="2887"/>
      <c r="AI51" s="3556"/>
      <c r="AJ51" s="2887"/>
      <c r="AK51" s="3556"/>
      <c r="AL51" s="2887"/>
      <c r="AM51" s="3600"/>
      <c r="AN51" s="3600"/>
      <c r="AO51" s="1469"/>
      <c r="AP51" s="802"/>
      <c r="AQ51" s="802"/>
      <c r="AR51" s="802"/>
      <c r="AS51" s="802"/>
      <c r="AT51" s="802"/>
      <c r="AU51" s="802"/>
      <c r="AV51" s="802"/>
      <c r="AW51" s="802"/>
      <c r="AX51" s="802"/>
      <c r="AY51" s="802"/>
      <c r="AZ51" s="290"/>
      <c r="BA51" s="290"/>
      <c r="BB51" s="290"/>
      <c r="BC51" s="290"/>
      <c r="BD51" s="290"/>
      <c r="BE51" s="290"/>
      <c r="BF51" s="290"/>
      <c r="BG51" s="290"/>
      <c r="BH51" s="290"/>
      <c r="BI51" s="290"/>
      <c r="DA51" s="3308">
        <v>0</v>
      </c>
      <c r="DB51" s="3308">
        <v>0</v>
      </c>
    </row>
    <row r="52" spans="1:130" ht="16.350000000000001" customHeight="1" x14ac:dyDescent="0.2">
      <c r="A52" s="4018" t="s">
        <v>20</v>
      </c>
      <c r="B52" s="5082">
        <f t="shared" si="7"/>
        <v>0</v>
      </c>
      <c r="C52" s="3144">
        <f t="shared" si="8"/>
        <v>0</v>
      </c>
      <c r="D52" s="2993">
        <f t="shared" si="8"/>
        <v>0</v>
      </c>
      <c r="E52" s="2885"/>
      <c r="F52" s="2889"/>
      <c r="G52" s="2885"/>
      <c r="H52" s="2889"/>
      <c r="I52" s="2885"/>
      <c r="J52" s="2887"/>
      <c r="K52" s="2885"/>
      <c r="L52" s="2887"/>
      <c r="M52" s="2885"/>
      <c r="N52" s="2887"/>
      <c r="O52" s="3556"/>
      <c r="P52" s="2887"/>
      <c r="Q52" s="3556"/>
      <c r="R52" s="2887"/>
      <c r="S52" s="3556"/>
      <c r="T52" s="2887"/>
      <c r="U52" s="3556"/>
      <c r="V52" s="2887"/>
      <c r="W52" s="3556"/>
      <c r="X52" s="2887"/>
      <c r="Y52" s="3556"/>
      <c r="Z52" s="2887"/>
      <c r="AA52" s="3556"/>
      <c r="AB52" s="2887"/>
      <c r="AC52" s="3556"/>
      <c r="AD52" s="2887"/>
      <c r="AE52" s="3556"/>
      <c r="AF52" s="2887"/>
      <c r="AG52" s="3556"/>
      <c r="AH52" s="2887"/>
      <c r="AI52" s="3556"/>
      <c r="AJ52" s="2887"/>
      <c r="AK52" s="3556"/>
      <c r="AL52" s="2887"/>
      <c r="AM52" s="3600"/>
      <c r="AN52" s="3600"/>
      <c r="AO52" s="1469"/>
      <c r="AP52" s="802"/>
      <c r="AQ52" s="802"/>
      <c r="AR52" s="802"/>
      <c r="AS52" s="802"/>
      <c r="AT52" s="802"/>
      <c r="AU52" s="802"/>
      <c r="AV52" s="802"/>
      <c r="AW52" s="802"/>
      <c r="AX52" s="802"/>
      <c r="AY52" s="802"/>
      <c r="AZ52" s="290"/>
      <c r="BA52" s="290"/>
      <c r="BB52" s="290"/>
      <c r="BC52" s="290"/>
      <c r="BD52" s="290"/>
      <c r="BE52" s="290"/>
      <c r="BF52" s="290"/>
      <c r="BG52" s="290"/>
      <c r="BH52" s="290"/>
      <c r="BI52" s="290"/>
      <c r="DA52" s="3308">
        <v>0</v>
      </c>
      <c r="DB52" s="3308">
        <v>0</v>
      </c>
    </row>
    <row r="53" spans="1:130" ht="16.350000000000001" customHeight="1" x14ac:dyDescent="0.2">
      <c r="A53" s="4018" t="s">
        <v>1014</v>
      </c>
      <c r="B53" s="5082">
        <f t="shared" si="7"/>
        <v>0</v>
      </c>
      <c r="C53" s="3144">
        <f t="shared" si="8"/>
        <v>0</v>
      </c>
      <c r="D53" s="2993">
        <f t="shared" si="8"/>
        <v>0</v>
      </c>
      <c r="E53" s="2885"/>
      <c r="F53" s="2889"/>
      <c r="G53" s="2885"/>
      <c r="H53" s="2889"/>
      <c r="I53" s="2885"/>
      <c r="J53" s="2887"/>
      <c r="K53" s="2885"/>
      <c r="L53" s="2887"/>
      <c r="M53" s="2885"/>
      <c r="N53" s="2887"/>
      <c r="O53" s="3556"/>
      <c r="P53" s="2887"/>
      <c r="Q53" s="3556"/>
      <c r="R53" s="2887"/>
      <c r="S53" s="3556"/>
      <c r="T53" s="2887"/>
      <c r="U53" s="3556"/>
      <c r="V53" s="2887"/>
      <c r="W53" s="3556"/>
      <c r="X53" s="2887"/>
      <c r="Y53" s="3556"/>
      <c r="Z53" s="2887"/>
      <c r="AA53" s="3556"/>
      <c r="AB53" s="2887"/>
      <c r="AC53" s="3556"/>
      <c r="AD53" s="2887"/>
      <c r="AE53" s="3556"/>
      <c r="AF53" s="2887"/>
      <c r="AG53" s="3556"/>
      <c r="AH53" s="2887"/>
      <c r="AI53" s="3556"/>
      <c r="AJ53" s="2887"/>
      <c r="AK53" s="3556"/>
      <c r="AL53" s="2887"/>
      <c r="AM53" s="3600"/>
      <c r="AN53" s="3600"/>
      <c r="AO53" s="1469"/>
      <c r="AP53" s="802"/>
      <c r="AQ53" s="802"/>
      <c r="AR53" s="802"/>
      <c r="AS53" s="802"/>
      <c r="AT53" s="802"/>
      <c r="AU53" s="802"/>
      <c r="AV53" s="802"/>
      <c r="AW53" s="802"/>
      <c r="AX53" s="802"/>
      <c r="AY53" s="802"/>
      <c r="AZ53" s="290"/>
      <c r="BA53" s="290"/>
      <c r="BB53" s="290"/>
      <c r="BC53" s="290"/>
      <c r="BD53" s="290"/>
      <c r="BE53" s="290"/>
      <c r="BF53" s="290"/>
      <c r="BG53" s="290"/>
      <c r="BH53" s="290"/>
      <c r="BI53" s="290"/>
      <c r="DA53" s="3308">
        <v>0</v>
      </c>
      <c r="DB53" s="3308">
        <v>0</v>
      </c>
    </row>
    <row r="54" spans="1:130" ht="16.350000000000001" customHeight="1" x14ac:dyDescent="0.2">
      <c r="A54" s="4018" t="s">
        <v>27</v>
      </c>
      <c r="B54" s="5082">
        <f t="shared" si="7"/>
        <v>0</v>
      </c>
      <c r="C54" s="3144">
        <f t="shared" si="8"/>
        <v>0</v>
      </c>
      <c r="D54" s="2993">
        <f t="shared" si="8"/>
        <v>0</v>
      </c>
      <c r="E54" s="2885"/>
      <c r="F54" s="2889"/>
      <c r="G54" s="2885"/>
      <c r="H54" s="2889"/>
      <c r="I54" s="2885"/>
      <c r="J54" s="2887"/>
      <c r="K54" s="2885"/>
      <c r="L54" s="2887"/>
      <c r="M54" s="2885"/>
      <c r="N54" s="2887"/>
      <c r="O54" s="3556"/>
      <c r="P54" s="2887"/>
      <c r="Q54" s="3556"/>
      <c r="R54" s="2887"/>
      <c r="S54" s="3556"/>
      <c r="T54" s="2887"/>
      <c r="U54" s="3556"/>
      <c r="V54" s="2887"/>
      <c r="W54" s="3556"/>
      <c r="X54" s="2887"/>
      <c r="Y54" s="3556"/>
      <c r="Z54" s="2887"/>
      <c r="AA54" s="3556"/>
      <c r="AB54" s="2887"/>
      <c r="AC54" s="3556"/>
      <c r="AD54" s="2887"/>
      <c r="AE54" s="3556"/>
      <c r="AF54" s="2887"/>
      <c r="AG54" s="3556"/>
      <c r="AH54" s="2887"/>
      <c r="AI54" s="3556"/>
      <c r="AJ54" s="2887"/>
      <c r="AK54" s="3556"/>
      <c r="AL54" s="2887"/>
      <c r="AM54" s="3600"/>
      <c r="AN54" s="3600"/>
      <c r="AO54" s="1469"/>
      <c r="AP54" s="802"/>
      <c r="AQ54" s="802"/>
      <c r="AR54" s="802"/>
      <c r="AS54" s="802"/>
      <c r="AT54" s="802"/>
      <c r="AU54" s="802"/>
      <c r="AV54" s="802"/>
      <c r="AW54" s="802"/>
      <c r="AX54" s="802"/>
      <c r="AY54" s="802"/>
      <c r="AZ54" s="290"/>
      <c r="BA54" s="290"/>
      <c r="BB54" s="290"/>
      <c r="BC54" s="290"/>
      <c r="BD54" s="290"/>
      <c r="BE54" s="290"/>
      <c r="BF54" s="290"/>
      <c r="BG54" s="290"/>
      <c r="BH54" s="290"/>
      <c r="BI54" s="290"/>
      <c r="DA54" s="3308">
        <v>0</v>
      </c>
      <c r="DB54" s="3308">
        <v>0</v>
      </c>
    </row>
    <row r="55" spans="1:130" ht="16.350000000000001" customHeight="1" x14ac:dyDescent="0.2">
      <c r="A55" s="3340" t="s">
        <v>63</v>
      </c>
      <c r="B55" s="5091">
        <f t="shared" si="7"/>
        <v>0</v>
      </c>
      <c r="C55" s="5221">
        <f t="shared" si="8"/>
        <v>0</v>
      </c>
      <c r="D55" s="7204">
        <f t="shared" si="8"/>
        <v>0</v>
      </c>
      <c r="E55" s="3248"/>
      <c r="F55" s="3249"/>
      <c r="G55" s="3248"/>
      <c r="H55" s="3249"/>
      <c r="I55" s="3248"/>
      <c r="J55" s="2884"/>
      <c r="K55" s="3248"/>
      <c r="L55" s="2884"/>
      <c r="M55" s="3248"/>
      <c r="N55" s="2884"/>
      <c r="O55" s="3250"/>
      <c r="P55" s="2884"/>
      <c r="Q55" s="3250"/>
      <c r="R55" s="2884"/>
      <c r="S55" s="3250"/>
      <c r="T55" s="2884"/>
      <c r="U55" s="3250"/>
      <c r="V55" s="2884"/>
      <c r="W55" s="3250"/>
      <c r="X55" s="2884"/>
      <c r="Y55" s="3250"/>
      <c r="Z55" s="2884"/>
      <c r="AA55" s="3250"/>
      <c r="AB55" s="2884"/>
      <c r="AC55" s="3250"/>
      <c r="AD55" s="2884"/>
      <c r="AE55" s="3250"/>
      <c r="AF55" s="2884"/>
      <c r="AG55" s="3250"/>
      <c r="AH55" s="2884"/>
      <c r="AI55" s="3250"/>
      <c r="AJ55" s="2884"/>
      <c r="AK55" s="3250"/>
      <c r="AL55" s="2884"/>
      <c r="AM55" s="3329"/>
      <c r="AN55" s="3329"/>
      <c r="AO55" s="1469"/>
      <c r="AP55" s="802"/>
      <c r="AQ55" s="802"/>
      <c r="AR55" s="802"/>
      <c r="AS55" s="802"/>
      <c r="AT55" s="802"/>
      <c r="AU55" s="802"/>
      <c r="AV55" s="802"/>
      <c r="AW55" s="802"/>
      <c r="AX55" s="802"/>
      <c r="AY55" s="802"/>
      <c r="AZ55" s="290"/>
      <c r="BA55" s="290"/>
      <c r="BB55" s="290"/>
      <c r="BC55" s="290"/>
      <c r="BD55" s="290"/>
      <c r="BE55" s="290"/>
      <c r="BF55" s="290"/>
      <c r="BG55" s="290"/>
      <c r="BH55" s="290"/>
      <c r="BI55" s="290"/>
      <c r="DA55" s="3308">
        <v>0</v>
      </c>
      <c r="DB55" s="3308">
        <v>0</v>
      </c>
    </row>
    <row r="56" spans="1:130" s="199" customFormat="1" ht="32.1" customHeight="1" x14ac:dyDescent="0.2">
      <c r="A56" s="674" t="s">
        <v>3723</v>
      </c>
      <c r="B56" s="674"/>
      <c r="C56" s="674"/>
      <c r="D56" s="674"/>
      <c r="E56" s="674"/>
      <c r="F56" s="674"/>
      <c r="G56" s="674"/>
      <c r="H56" s="674"/>
      <c r="I56" s="674"/>
      <c r="J56" s="223"/>
      <c r="K56" s="223"/>
      <c r="L56" s="223"/>
      <c r="M56" s="223"/>
      <c r="N56" s="223"/>
      <c r="O56" s="223"/>
      <c r="P56" s="223"/>
      <c r="Q56" s="223"/>
      <c r="R56" s="223"/>
      <c r="S56" s="223"/>
      <c r="T56" s="223"/>
      <c r="U56" s="223"/>
      <c r="V56" s="223"/>
      <c r="W56" s="223"/>
      <c r="X56" s="223"/>
      <c r="Y56" s="223"/>
      <c r="Z56" s="223"/>
      <c r="AA56" s="223"/>
      <c r="AB56" s="223"/>
      <c r="AC56" s="223"/>
      <c r="AD56" s="223"/>
      <c r="AE56" s="223"/>
      <c r="AF56" s="223"/>
      <c r="AG56" s="223"/>
      <c r="AH56" s="223"/>
      <c r="AI56" s="223"/>
      <c r="AJ56" s="223"/>
      <c r="AK56" s="223"/>
      <c r="AL56" s="223"/>
      <c r="AM56" s="223"/>
      <c r="AN56" s="223"/>
      <c r="AO56" s="140"/>
      <c r="AP56" s="140"/>
      <c r="AQ56" s="140"/>
      <c r="AR56" s="288"/>
      <c r="AS56" s="288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288"/>
      <c r="BW56" s="288"/>
      <c r="BX56" s="288"/>
      <c r="BY56" s="288"/>
      <c r="BZ56" s="288"/>
      <c r="CA56" s="683"/>
      <c r="CB56" s="683"/>
      <c r="CC56" s="683"/>
      <c r="CD56" s="683"/>
      <c r="CE56" s="683"/>
      <c r="CF56" s="683"/>
      <c r="CG56" s="683"/>
      <c r="CH56" s="683"/>
      <c r="CI56" s="683"/>
      <c r="CJ56" s="683"/>
      <c r="CK56" s="683"/>
      <c r="CL56" s="683"/>
      <c r="CM56" s="683"/>
      <c r="CN56" s="683"/>
      <c r="CO56" s="683"/>
      <c r="CP56" s="683"/>
      <c r="CQ56" s="683"/>
      <c r="CR56" s="683"/>
      <c r="CS56" s="683"/>
      <c r="CT56" s="683"/>
      <c r="CU56" s="683"/>
      <c r="CV56" s="683"/>
      <c r="CW56" s="683"/>
      <c r="CX56" s="683"/>
      <c r="CY56" s="683"/>
      <c r="CZ56" s="683"/>
      <c r="DA56" s="3308"/>
      <c r="DB56" s="3308"/>
      <c r="DC56" s="3308"/>
      <c r="DD56" s="3308"/>
      <c r="DE56" s="3308"/>
      <c r="DF56" s="3308"/>
      <c r="DG56" s="3308"/>
      <c r="DH56" s="3308"/>
      <c r="DI56" s="3308"/>
      <c r="DJ56" s="3308"/>
      <c r="DK56" s="3308"/>
      <c r="DL56" s="3308"/>
      <c r="DM56" s="3308"/>
      <c r="DN56" s="3308"/>
      <c r="DO56" s="3308"/>
      <c r="DP56" s="3308"/>
      <c r="DQ56" s="3308"/>
      <c r="DR56" s="3308"/>
      <c r="DS56" s="3308"/>
      <c r="DT56" s="3308"/>
      <c r="DU56" s="3308"/>
      <c r="DV56" s="3308"/>
      <c r="DW56" s="3308"/>
      <c r="DX56" s="3308"/>
      <c r="DY56" s="3308"/>
      <c r="DZ56" s="3308"/>
    </row>
    <row r="57" spans="1:130" ht="16.350000000000001" customHeight="1" x14ac:dyDescent="0.2">
      <c r="A57" s="8167" t="s">
        <v>1013</v>
      </c>
      <c r="B57" s="9257" t="s">
        <v>24</v>
      </c>
      <c r="C57" s="9258"/>
      <c r="D57" s="9259"/>
      <c r="E57" s="9286" t="s">
        <v>84</v>
      </c>
      <c r="F57" s="9287"/>
      <c r="G57" s="9287"/>
      <c r="H57" s="9287"/>
      <c r="I57" s="9287"/>
      <c r="J57" s="9287"/>
      <c r="K57" s="9287"/>
      <c r="L57" s="9287"/>
      <c r="M57" s="9287"/>
      <c r="N57" s="9287"/>
      <c r="O57" s="9287"/>
      <c r="P57" s="9287"/>
      <c r="Q57" s="9287"/>
      <c r="R57" s="9287"/>
      <c r="S57" s="9287"/>
      <c r="T57" s="9287"/>
      <c r="U57" s="9287"/>
      <c r="V57" s="9287"/>
      <c r="W57" s="9287"/>
      <c r="X57" s="9287"/>
      <c r="Y57" s="9287"/>
      <c r="Z57" s="9287"/>
      <c r="AA57" s="9287"/>
      <c r="AB57" s="9287"/>
      <c r="AC57" s="9287"/>
      <c r="AD57" s="9287"/>
      <c r="AE57" s="9287"/>
      <c r="AF57" s="9287"/>
      <c r="AG57" s="9287"/>
      <c r="AH57" s="9287"/>
      <c r="AI57" s="9287"/>
      <c r="AJ57" s="9287"/>
      <c r="AK57" s="9287"/>
      <c r="AL57" s="9288"/>
      <c r="AM57" s="9183" t="s">
        <v>1012</v>
      </c>
      <c r="AN57" s="9184"/>
      <c r="AO57" s="598"/>
      <c r="AP57" s="598"/>
      <c r="AQ57" s="598"/>
      <c r="AR57" s="597"/>
      <c r="AS57" s="597"/>
      <c r="AT57" s="598"/>
      <c r="BX57" s="290"/>
      <c r="BY57" s="290"/>
    </row>
    <row r="58" spans="1:130" ht="16.350000000000001" customHeight="1" x14ac:dyDescent="0.2">
      <c r="A58" s="8130"/>
      <c r="B58" s="9260"/>
      <c r="C58" s="9261"/>
      <c r="D58" s="9262"/>
      <c r="E58" s="8193" t="s">
        <v>397</v>
      </c>
      <c r="F58" s="9187"/>
      <c r="G58" s="8193" t="s">
        <v>54</v>
      </c>
      <c r="H58" s="9187"/>
      <c r="I58" s="8193" t="s">
        <v>79</v>
      </c>
      <c r="J58" s="9187"/>
      <c r="K58" s="8193" t="s">
        <v>80</v>
      </c>
      <c r="L58" s="9187"/>
      <c r="M58" s="8193" t="s">
        <v>81</v>
      </c>
      <c r="N58" s="9187"/>
      <c r="O58" s="8571" t="s">
        <v>82</v>
      </c>
      <c r="P58" s="9188"/>
      <c r="Q58" s="8571" t="s">
        <v>83</v>
      </c>
      <c r="R58" s="9188"/>
      <c r="S58" s="8571" t="s">
        <v>398</v>
      </c>
      <c r="T58" s="9188"/>
      <c r="U58" s="8571" t="s">
        <v>124</v>
      </c>
      <c r="V58" s="9188"/>
      <c r="W58" s="8571" t="s">
        <v>125</v>
      </c>
      <c r="X58" s="9188"/>
      <c r="Y58" s="8571" t="s">
        <v>126</v>
      </c>
      <c r="Z58" s="9188"/>
      <c r="AA58" s="8571" t="s">
        <v>127</v>
      </c>
      <c r="AB58" s="9188"/>
      <c r="AC58" s="8571" t="s">
        <v>128</v>
      </c>
      <c r="AD58" s="9188"/>
      <c r="AE58" s="8571" t="s">
        <v>129</v>
      </c>
      <c r="AF58" s="9188"/>
      <c r="AG58" s="8571" t="s">
        <v>130</v>
      </c>
      <c r="AH58" s="9188"/>
      <c r="AI58" s="8571" t="s">
        <v>131</v>
      </c>
      <c r="AJ58" s="9188"/>
      <c r="AK58" s="8571" t="s">
        <v>1403</v>
      </c>
      <c r="AL58" s="9221"/>
      <c r="AM58" s="9185"/>
      <c r="AN58" s="9186"/>
      <c r="AO58" s="597"/>
      <c r="AP58" s="597"/>
      <c r="AQ58" s="597"/>
      <c r="AR58" s="597"/>
      <c r="AS58" s="597"/>
      <c r="AT58" s="597"/>
      <c r="AU58" s="290"/>
      <c r="AV58" s="290"/>
      <c r="AW58" s="290"/>
      <c r="AX58" s="290"/>
      <c r="AY58" s="290"/>
      <c r="AZ58" s="290"/>
      <c r="BA58" s="290"/>
      <c r="BB58" s="290"/>
      <c r="BC58" s="290"/>
      <c r="BX58" s="290"/>
      <c r="BY58" s="290"/>
    </row>
    <row r="59" spans="1:130" ht="32.1" customHeight="1" x14ac:dyDescent="0.2">
      <c r="A59" s="8168"/>
      <c r="B59" s="2160" t="s">
        <v>42</v>
      </c>
      <c r="C59" s="2178" t="s">
        <v>17</v>
      </c>
      <c r="D59" s="2117" t="s">
        <v>18</v>
      </c>
      <c r="E59" s="2133" t="s">
        <v>17</v>
      </c>
      <c r="F59" s="2117" t="s">
        <v>18</v>
      </c>
      <c r="G59" s="2133" t="s">
        <v>17</v>
      </c>
      <c r="H59" s="2117" t="s">
        <v>18</v>
      </c>
      <c r="I59" s="2133" t="s">
        <v>17</v>
      </c>
      <c r="J59" s="2117" t="s">
        <v>18</v>
      </c>
      <c r="K59" s="2133" t="s">
        <v>17</v>
      </c>
      <c r="L59" s="2117" t="s">
        <v>18</v>
      </c>
      <c r="M59" s="2133" t="s">
        <v>17</v>
      </c>
      <c r="N59" s="2117" t="s">
        <v>18</v>
      </c>
      <c r="O59" s="2133" t="s">
        <v>17</v>
      </c>
      <c r="P59" s="2117" t="s">
        <v>18</v>
      </c>
      <c r="Q59" s="2133" t="s">
        <v>17</v>
      </c>
      <c r="R59" s="2117" t="s">
        <v>18</v>
      </c>
      <c r="S59" s="2133" t="s">
        <v>17</v>
      </c>
      <c r="T59" s="2117" t="s">
        <v>18</v>
      </c>
      <c r="U59" s="2133" t="s">
        <v>17</v>
      </c>
      <c r="V59" s="2116" t="s">
        <v>18</v>
      </c>
      <c r="W59" s="2133" t="s">
        <v>17</v>
      </c>
      <c r="X59" s="2117" t="s">
        <v>18</v>
      </c>
      <c r="Y59" s="2133" t="s">
        <v>17</v>
      </c>
      <c r="Z59" s="2117" t="s">
        <v>18</v>
      </c>
      <c r="AA59" s="2133" t="s">
        <v>17</v>
      </c>
      <c r="AB59" s="2117" t="s">
        <v>18</v>
      </c>
      <c r="AC59" s="2133" t="s">
        <v>17</v>
      </c>
      <c r="AD59" s="2117" t="s">
        <v>18</v>
      </c>
      <c r="AE59" s="2133" t="s">
        <v>17</v>
      </c>
      <c r="AF59" s="2117" t="s">
        <v>18</v>
      </c>
      <c r="AG59" s="2133" t="s">
        <v>17</v>
      </c>
      <c r="AH59" s="2117" t="s">
        <v>18</v>
      </c>
      <c r="AI59" s="2133" t="s">
        <v>17</v>
      </c>
      <c r="AJ59" s="2117" t="s">
        <v>18</v>
      </c>
      <c r="AK59" s="2133" t="s">
        <v>17</v>
      </c>
      <c r="AL59" s="2117" t="s">
        <v>18</v>
      </c>
      <c r="AM59" s="2125" t="s">
        <v>1011</v>
      </c>
      <c r="AN59" s="2117" t="s">
        <v>1010</v>
      </c>
      <c r="AO59" s="597"/>
      <c r="AP59" s="597"/>
      <c r="AQ59" s="597"/>
      <c r="AR59" s="597"/>
      <c r="AS59" s="597"/>
      <c r="AT59" s="597"/>
      <c r="AU59" s="290"/>
      <c r="AV59" s="290"/>
      <c r="AW59" s="290"/>
      <c r="AX59" s="290"/>
      <c r="AY59" s="290"/>
      <c r="AZ59" s="290"/>
      <c r="BA59" s="290"/>
      <c r="BB59" s="290"/>
      <c r="BC59" s="290"/>
      <c r="BX59" s="290"/>
      <c r="BY59" s="290"/>
    </row>
    <row r="60" spans="1:130" ht="16.350000000000001" customHeight="1" x14ac:dyDescent="0.2">
      <c r="A60" s="682" t="s">
        <v>1009</v>
      </c>
      <c r="B60" s="596">
        <f t="shared" ref="B60:B65" si="9">SUM(C60+D60)</f>
        <v>0</v>
      </c>
      <c r="C60" s="610">
        <f>SUM(E60+G60+I60+K60+M60+O60+Q60+S60+U60+W60+Y60+AA60+AC60+AE60+AG60+AI60+AK60)</f>
        <v>0</v>
      </c>
      <c r="D60" s="546">
        <f>SUM(F60+H60+J60+L60+N60+P60+R60+T60+V60+X60+Z60+AB60+AD60+AF60+AH60+AJ60+AL60)</f>
        <v>0</v>
      </c>
      <c r="E60" s="540"/>
      <c r="F60" s="538"/>
      <c r="G60" s="540"/>
      <c r="H60" s="554"/>
      <c r="I60" s="540"/>
      <c r="J60" s="554"/>
      <c r="K60" s="540"/>
      <c r="L60" s="554"/>
      <c r="M60" s="540"/>
      <c r="N60" s="554"/>
      <c r="O60" s="540"/>
      <c r="P60" s="554"/>
      <c r="Q60" s="540"/>
      <c r="R60" s="554"/>
      <c r="S60" s="540"/>
      <c r="T60" s="554"/>
      <c r="U60" s="540"/>
      <c r="V60" s="585"/>
      <c r="W60" s="540"/>
      <c r="X60" s="554"/>
      <c r="Y60" s="540"/>
      <c r="Z60" s="554"/>
      <c r="AA60" s="540"/>
      <c r="AB60" s="554"/>
      <c r="AC60" s="540"/>
      <c r="AD60" s="554"/>
      <c r="AE60" s="540"/>
      <c r="AF60" s="554"/>
      <c r="AG60" s="540"/>
      <c r="AH60" s="554"/>
      <c r="AI60" s="540"/>
      <c r="AJ60" s="554"/>
      <c r="AK60" s="580"/>
      <c r="AL60" s="554"/>
      <c r="AM60" s="580"/>
      <c r="AN60" s="554"/>
      <c r="AO60" s="1455" t="str">
        <f>CA60</f>
        <v/>
      </c>
      <c r="AP60" s="802"/>
      <c r="AQ60" s="802"/>
      <c r="AR60" s="802"/>
      <c r="AS60" s="802"/>
      <c r="AT60" s="802"/>
      <c r="AU60" s="802"/>
      <c r="AV60" s="802"/>
      <c r="AW60" s="802"/>
      <c r="AX60" s="802"/>
      <c r="AY60" s="802"/>
      <c r="AZ60" s="802"/>
      <c r="BA60" s="290"/>
      <c r="BB60" s="290"/>
      <c r="BC60" s="290"/>
      <c r="BX60" s="290"/>
      <c r="BY60" s="290"/>
      <c r="CA60" s="1451" t="str">
        <f>IF(DA60=1,"* La suma de las Herramientas de Categorización debe ser igual al total. ","")</f>
        <v/>
      </c>
      <c r="DA60" s="3308">
        <f>IF(B60&lt;&gt;(AM60+AN60),1,0)</f>
        <v>0</v>
      </c>
    </row>
    <row r="61" spans="1:130" ht="16.350000000000001" customHeight="1" x14ac:dyDescent="0.2">
      <c r="A61" s="681" t="s">
        <v>1008</v>
      </c>
      <c r="B61" s="251">
        <f t="shared" si="9"/>
        <v>0</v>
      </c>
      <c r="C61" s="617">
        <f t="shared" ref="C61:D65" si="10">SUM(E61+G61+I61+K61+M61+O61+Q61+S61+U61+W61+Y61+AA61+AC61+AE61+AG61+AI61+AK61)</f>
        <v>0</v>
      </c>
      <c r="D61" s="158">
        <f t="shared" si="10"/>
        <v>0</v>
      </c>
      <c r="E61" s="110"/>
      <c r="F61" s="144"/>
      <c r="G61" s="110"/>
      <c r="H61" s="122"/>
      <c r="I61" s="110"/>
      <c r="J61" s="122"/>
      <c r="K61" s="110"/>
      <c r="L61" s="122"/>
      <c r="M61" s="110"/>
      <c r="N61" s="122"/>
      <c r="O61" s="110"/>
      <c r="P61" s="122"/>
      <c r="Q61" s="110"/>
      <c r="R61" s="122"/>
      <c r="S61" s="110"/>
      <c r="T61" s="122"/>
      <c r="U61" s="110"/>
      <c r="V61" s="168"/>
      <c r="W61" s="110"/>
      <c r="X61" s="122"/>
      <c r="Y61" s="110"/>
      <c r="Z61" s="122"/>
      <c r="AA61" s="110"/>
      <c r="AB61" s="122"/>
      <c r="AC61" s="110"/>
      <c r="AD61" s="122"/>
      <c r="AE61" s="110"/>
      <c r="AF61" s="122"/>
      <c r="AG61" s="110"/>
      <c r="AH61" s="122"/>
      <c r="AI61" s="110"/>
      <c r="AJ61" s="122"/>
      <c r="AK61" s="157"/>
      <c r="AL61" s="122"/>
      <c r="AM61" s="157"/>
      <c r="AN61" s="122"/>
      <c r="AO61" s="1455" t="str">
        <f>CA61</f>
        <v/>
      </c>
      <c r="AP61" s="802"/>
      <c r="AQ61" s="802"/>
      <c r="AR61" s="802"/>
      <c r="AS61" s="802"/>
      <c r="AT61" s="802"/>
      <c r="AU61" s="802"/>
      <c r="AV61" s="802"/>
      <c r="AW61" s="802"/>
      <c r="AX61" s="802"/>
      <c r="AY61" s="802"/>
      <c r="AZ61" s="802"/>
      <c r="BA61" s="290"/>
      <c r="BB61" s="290"/>
      <c r="BC61" s="290"/>
      <c r="BX61" s="290"/>
      <c r="BY61" s="290"/>
      <c r="CA61" s="1451" t="str">
        <f>IF(DA61=1,"* La suma de las Herramientas de Categorización debe ser igual al total. ","")</f>
        <v/>
      </c>
      <c r="DA61" s="3308">
        <f>IF(B61&lt;&gt;(AM61+AN61),1,0)</f>
        <v>0</v>
      </c>
    </row>
    <row r="62" spans="1:130" ht="16.350000000000001" customHeight="1" x14ac:dyDescent="0.2">
      <c r="A62" s="681" t="s">
        <v>1007</v>
      </c>
      <c r="B62" s="251">
        <f t="shared" si="9"/>
        <v>0</v>
      </c>
      <c r="C62" s="617">
        <f t="shared" si="10"/>
        <v>0</v>
      </c>
      <c r="D62" s="158">
        <f t="shared" si="10"/>
        <v>0</v>
      </c>
      <c r="E62" s="110"/>
      <c r="F62" s="144"/>
      <c r="G62" s="110"/>
      <c r="H62" s="122"/>
      <c r="I62" s="110"/>
      <c r="J62" s="122"/>
      <c r="K62" s="110"/>
      <c r="L62" s="122"/>
      <c r="M62" s="110"/>
      <c r="N62" s="122"/>
      <c r="O62" s="110"/>
      <c r="P62" s="122"/>
      <c r="Q62" s="110"/>
      <c r="R62" s="122"/>
      <c r="S62" s="110"/>
      <c r="T62" s="122"/>
      <c r="U62" s="110"/>
      <c r="V62" s="168"/>
      <c r="W62" s="110"/>
      <c r="X62" s="122"/>
      <c r="Y62" s="110"/>
      <c r="Z62" s="122"/>
      <c r="AA62" s="110"/>
      <c r="AB62" s="122"/>
      <c r="AC62" s="110"/>
      <c r="AD62" s="122"/>
      <c r="AE62" s="110"/>
      <c r="AF62" s="122"/>
      <c r="AG62" s="110"/>
      <c r="AH62" s="122"/>
      <c r="AI62" s="110"/>
      <c r="AJ62" s="122"/>
      <c r="AK62" s="157"/>
      <c r="AL62" s="122"/>
      <c r="AM62" s="157"/>
      <c r="AN62" s="122"/>
      <c r="AO62" s="1455" t="str">
        <f>CA62</f>
        <v/>
      </c>
      <c r="AP62" s="802"/>
      <c r="AQ62" s="802"/>
      <c r="AR62" s="802"/>
      <c r="AS62" s="802"/>
      <c r="AT62" s="802"/>
      <c r="AU62" s="802"/>
      <c r="AV62" s="802"/>
      <c r="AW62" s="802"/>
      <c r="AX62" s="802"/>
      <c r="AY62" s="802"/>
      <c r="AZ62" s="802"/>
      <c r="BA62" s="290"/>
      <c r="BB62" s="290"/>
      <c r="BC62" s="290"/>
      <c r="BX62" s="290"/>
      <c r="BY62" s="290"/>
      <c r="CA62" s="1451" t="str">
        <f>IF(DA62=1,"* La suma de las Herramientas de Categorización debe ser igual al total. ","")</f>
        <v/>
      </c>
      <c r="DA62" s="3308">
        <f>IF(B62&lt;&gt;(AM62+AN62),1,0)</f>
        <v>0</v>
      </c>
    </row>
    <row r="63" spans="1:130" ht="16.350000000000001" customHeight="1" x14ac:dyDescent="0.2">
      <c r="A63" s="681" t="s">
        <v>1006</v>
      </c>
      <c r="B63" s="251">
        <f t="shared" si="9"/>
        <v>0</v>
      </c>
      <c r="C63" s="617">
        <f t="shared" si="10"/>
        <v>0</v>
      </c>
      <c r="D63" s="158">
        <f t="shared" si="10"/>
        <v>0</v>
      </c>
      <c r="E63" s="110"/>
      <c r="F63" s="144"/>
      <c r="G63" s="110"/>
      <c r="H63" s="122"/>
      <c r="I63" s="110"/>
      <c r="J63" s="122"/>
      <c r="K63" s="110"/>
      <c r="L63" s="122"/>
      <c r="M63" s="110"/>
      <c r="N63" s="122"/>
      <c r="O63" s="110"/>
      <c r="P63" s="122"/>
      <c r="Q63" s="110"/>
      <c r="R63" s="122"/>
      <c r="S63" s="110"/>
      <c r="T63" s="122"/>
      <c r="U63" s="110"/>
      <c r="V63" s="168"/>
      <c r="W63" s="110"/>
      <c r="X63" s="122"/>
      <c r="Y63" s="110"/>
      <c r="Z63" s="122"/>
      <c r="AA63" s="110"/>
      <c r="AB63" s="122"/>
      <c r="AC63" s="110"/>
      <c r="AD63" s="122"/>
      <c r="AE63" s="110"/>
      <c r="AF63" s="122"/>
      <c r="AG63" s="110"/>
      <c r="AH63" s="122"/>
      <c r="AI63" s="110"/>
      <c r="AJ63" s="122"/>
      <c r="AK63" s="157"/>
      <c r="AL63" s="122"/>
      <c r="AM63" s="157"/>
      <c r="AN63" s="122"/>
      <c r="AO63" s="1455" t="str">
        <f>CA63</f>
        <v/>
      </c>
      <c r="AP63" s="802"/>
      <c r="AQ63" s="802"/>
      <c r="AR63" s="802"/>
      <c r="AS63" s="802"/>
      <c r="AT63" s="802"/>
      <c r="AU63" s="802"/>
      <c r="AV63" s="802"/>
      <c r="AW63" s="802"/>
      <c r="AX63" s="802"/>
      <c r="AY63" s="802"/>
      <c r="AZ63" s="802"/>
      <c r="BA63" s="290"/>
      <c r="BB63" s="290"/>
      <c r="BC63" s="290"/>
      <c r="BX63" s="290"/>
      <c r="BY63" s="290"/>
      <c r="CA63" s="1451" t="str">
        <f>IF(DA63=1,"* La suma de las Herramientas de Categorización debe ser igual al total. ","")</f>
        <v/>
      </c>
      <c r="DA63" s="3308">
        <f>IF(B63&lt;&gt;(AM63+AN63),1,0)</f>
        <v>0</v>
      </c>
    </row>
    <row r="64" spans="1:130" ht="16.350000000000001" customHeight="1" x14ac:dyDescent="0.2">
      <c r="A64" s="680" t="s">
        <v>1005</v>
      </c>
      <c r="B64" s="639">
        <f t="shared" si="9"/>
        <v>0</v>
      </c>
      <c r="C64" s="679">
        <f t="shared" si="10"/>
        <v>0</v>
      </c>
      <c r="D64" s="160">
        <f t="shared" si="10"/>
        <v>0</v>
      </c>
      <c r="E64" s="137"/>
      <c r="F64" s="164"/>
      <c r="G64" s="137"/>
      <c r="H64" s="138"/>
      <c r="I64" s="137"/>
      <c r="J64" s="138"/>
      <c r="K64" s="137"/>
      <c r="L64" s="138"/>
      <c r="M64" s="137"/>
      <c r="N64" s="138"/>
      <c r="O64" s="137"/>
      <c r="P64" s="138"/>
      <c r="Q64" s="137"/>
      <c r="R64" s="138"/>
      <c r="S64" s="137"/>
      <c r="T64" s="138"/>
      <c r="U64" s="137"/>
      <c r="V64" s="116"/>
      <c r="W64" s="137"/>
      <c r="X64" s="138"/>
      <c r="Y64" s="137"/>
      <c r="Z64" s="138"/>
      <c r="AA64" s="137"/>
      <c r="AB64" s="138"/>
      <c r="AC64" s="137"/>
      <c r="AD64" s="138"/>
      <c r="AE64" s="137"/>
      <c r="AF64" s="138"/>
      <c r="AG64" s="137"/>
      <c r="AH64" s="138"/>
      <c r="AI64" s="137"/>
      <c r="AJ64" s="138"/>
      <c r="AK64" s="161"/>
      <c r="AL64" s="138"/>
      <c r="AM64" s="161"/>
      <c r="AN64" s="138"/>
      <c r="AO64" s="1455" t="str">
        <f>CA64</f>
        <v/>
      </c>
      <c r="AP64" s="802"/>
      <c r="AQ64" s="802"/>
      <c r="AR64" s="802"/>
      <c r="AS64" s="802"/>
      <c r="AT64" s="802"/>
      <c r="AU64" s="802"/>
      <c r="AV64" s="802"/>
      <c r="AW64" s="802"/>
      <c r="AX64" s="802"/>
      <c r="AY64" s="802"/>
      <c r="AZ64" s="802"/>
      <c r="BA64" s="290"/>
      <c r="BB64" s="290"/>
      <c r="BC64" s="290"/>
      <c r="BX64" s="290"/>
      <c r="BY64" s="290"/>
      <c r="CA64" s="1451" t="str">
        <f>IF(DA64=1,"* La suma de las Herramientas de Categorización debe ser igual al total. ","")</f>
        <v/>
      </c>
      <c r="DA64" s="3308">
        <f>IF(B64&lt;&gt;(AM64+AN64),1,0)</f>
        <v>0</v>
      </c>
    </row>
    <row r="65" spans="1:105" ht="16.350000000000001" customHeight="1" x14ac:dyDescent="0.2">
      <c r="A65" s="678" t="s">
        <v>1004</v>
      </c>
      <c r="B65" s="544">
        <f t="shared" si="9"/>
        <v>0</v>
      </c>
      <c r="C65" s="543">
        <f t="shared" si="10"/>
        <v>0</v>
      </c>
      <c r="D65" s="152">
        <f t="shared" si="10"/>
        <v>0</v>
      </c>
      <c r="E65" s="125"/>
      <c r="F65" s="127"/>
      <c r="G65" s="125"/>
      <c r="H65" s="101"/>
      <c r="I65" s="125"/>
      <c r="J65" s="101"/>
      <c r="K65" s="125"/>
      <c r="L65" s="101"/>
      <c r="M65" s="125"/>
      <c r="N65" s="101"/>
      <c r="O65" s="125"/>
      <c r="P65" s="101"/>
      <c r="Q65" s="125"/>
      <c r="R65" s="101"/>
      <c r="S65" s="125"/>
      <c r="T65" s="101"/>
      <c r="U65" s="125"/>
      <c r="V65" s="175"/>
      <c r="W65" s="125"/>
      <c r="X65" s="101"/>
      <c r="Y65" s="125"/>
      <c r="Z65" s="101"/>
      <c r="AA65" s="125"/>
      <c r="AB65" s="101"/>
      <c r="AC65" s="125"/>
      <c r="AD65" s="101"/>
      <c r="AE65" s="125"/>
      <c r="AF65" s="101"/>
      <c r="AG65" s="125"/>
      <c r="AH65" s="101"/>
      <c r="AI65" s="125"/>
      <c r="AJ65" s="101"/>
      <c r="AK65" s="159"/>
      <c r="AL65" s="101"/>
      <c r="AM65" s="84"/>
      <c r="AN65" s="84"/>
      <c r="AO65" s="1455"/>
      <c r="AP65" s="802"/>
      <c r="AQ65" s="802"/>
      <c r="AR65" s="802"/>
      <c r="AS65" s="802"/>
      <c r="AT65" s="802"/>
      <c r="AU65" s="802"/>
      <c r="AV65" s="802"/>
      <c r="AW65" s="802"/>
      <c r="AX65" s="802"/>
      <c r="AY65" s="802"/>
      <c r="AZ65" s="802"/>
      <c r="BA65" s="290"/>
      <c r="BB65" s="290"/>
      <c r="BC65" s="290"/>
      <c r="BX65" s="290"/>
      <c r="BY65" s="290"/>
      <c r="DA65" s="3308">
        <v>0</v>
      </c>
    </row>
    <row r="66" spans="1:105" ht="16.350000000000001" customHeight="1" x14ac:dyDescent="0.2">
      <c r="A66" s="2115" t="s">
        <v>24</v>
      </c>
      <c r="B66" s="669">
        <f t="shared" ref="B66:AL66" si="11">SUM(B60:B65)</f>
        <v>0</v>
      </c>
      <c r="C66" s="677">
        <f t="shared" si="11"/>
        <v>0</v>
      </c>
      <c r="D66" s="467">
        <f t="shared" si="11"/>
        <v>0</v>
      </c>
      <c r="E66" s="561">
        <f t="shared" si="11"/>
        <v>0</v>
      </c>
      <c r="F66" s="1360">
        <f t="shared" si="11"/>
        <v>0</v>
      </c>
      <c r="G66" s="561">
        <f t="shared" si="11"/>
        <v>0</v>
      </c>
      <c r="H66" s="675">
        <f t="shared" si="11"/>
        <v>0</v>
      </c>
      <c r="I66" s="561">
        <f t="shared" si="11"/>
        <v>0</v>
      </c>
      <c r="J66" s="675">
        <f t="shared" si="11"/>
        <v>0</v>
      </c>
      <c r="K66" s="561">
        <f t="shared" si="11"/>
        <v>0</v>
      </c>
      <c r="L66" s="675">
        <f t="shared" si="11"/>
        <v>0</v>
      </c>
      <c r="M66" s="561">
        <f t="shared" si="11"/>
        <v>0</v>
      </c>
      <c r="N66" s="675">
        <f t="shared" si="11"/>
        <v>0</v>
      </c>
      <c r="O66" s="561">
        <f t="shared" si="11"/>
        <v>0</v>
      </c>
      <c r="P66" s="675">
        <f t="shared" si="11"/>
        <v>0</v>
      </c>
      <c r="Q66" s="561">
        <f t="shared" si="11"/>
        <v>0</v>
      </c>
      <c r="R66" s="675">
        <f t="shared" si="11"/>
        <v>0</v>
      </c>
      <c r="S66" s="561">
        <f t="shared" si="11"/>
        <v>0</v>
      </c>
      <c r="T66" s="675">
        <f t="shared" si="11"/>
        <v>0</v>
      </c>
      <c r="U66" s="492">
        <f t="shared" si="11"/>
        <v>0</v>
      </c>
      <c r="V66" s="676">
        <f t="shared" si="11"/>
        <v>0</v>
      </c>
      <c r="W66" s="561">
        <f t="shared" si="11"/>
        <v>0</v>
      </c>
      <c r="X66" s="675">
        <f t="shared" si="11"/>
        <v>0</v>
      </c>
      <c r="Y66" s="561">
        <f t="shared" si="11"/>
        <v>0</v>
      </c>
      <c r="Z66" s="675">
        <f t="shared" si="11"/>
        <v>0</v>
      </c>
      <c r="AA66" s="561">
        <f t="shared" si="11"/>
        <v>0</v>
      </c>
      <c r="AB66" s="675">
        <f t="shared" si="11"/>
        <v>0</v>
      </c>
      <c r="AC66" s="561">
        <f t="shared" si="11"/>
        <v>0</v>
      </c>
      <c r="AD66" s="675">
        <f t="shared" si="11"/>
        <v>0</v>
      </c>
      <c r="AE66" s="561">
        <f t="shared" si="11"/>
        <v>0</v>
      </c>
      <c r="AF66" s="675">
        <f t="shared" si="11"/>
        <v>0</v>
      </c>
      <c r="AG66" s="561">
        <f t="shared" si="11"/>
        <v>0</v>
      </c>
      <c r="AH66" s="675">
        <f t="shared" si="11"/>
        <v>0</v>
      </c>
      <c r="AI66" s="561">
        <f t="shared" si="11"/>
        <v>0</v>
      </c>
      <c r="AJ66" s="675">
        <f t="shared" si="11"/>
        <v>0</v>
      </c>
      <c r="AK66" s="481">
        <f t="shared" si="11"/>
        <v>0</v>
      </c>
      <c r="AL66" s="675">
        <f t="shared" si="11"/>
        <v>0</v>
      </c>
      <c r="AM66" s="481">
        <f>SUM(AM60:AM64)</f>
        <v>0</v>
      </c>
      <c r="AN66" s="675">
        <f>SUM(AN60:AN64)</f>
        <v>0</v>
      </c>
      <c r="AO66" s="597"/>
      <c r="AP66" s="597"/>
      <c r="AQ66" s="597"/>
      <c r="AR66" s="597"/>
      <c r="AS66" s="597"/>
      <c r="AT66" s="597"/>
      <c r="AU66" s="597"/>
      <c r="AV66" s="597"/>
      <c r="AW66" s="597"/>
      <c r="AX66" s="597"/>
      <c r="AY66" s="597"/>
      <c r="AZ66" s="597"/>
      <c r="BA66" s="597"/>
      <c r="BB66" s="597"/>
      <c r="BC66" s="597"/>
      <c r="BD66" s="598"/>
      <c r="BE66" s="598"/>
      <c r="BX66" s="290"/>
      <c r="BY66" s="290"/>
    </row>
    <row r="67" spans="1:105" ht="32.1" customHeight="1" x14ac:dyDescent="0.2">
      <c r="A67" s="674" t="s">
        <v>1003</v>
      </c>
      <c r="B67" s="673"/>
      <c r="C67" s="673"/>
      <c r="D67" s="673"/>
      <c r="E67" s="673"/>
      <c r="F67" s="673"/>
      <c r="G67" s="673"/>
      <c r="H67" s="673"/>
      <c r="I67" s="72"/>
      <c r="J67" s="72"/>
      <c r="K67" s="72"/>
      <c r="L67" s="72"/>
      <c r="M67" s="72"/>
      <c r="N67" s="72"/>
      <c r="O67" s="72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AO67" s="290"/>
      <c r="AP67" s="290"/>
      <c r="AQ67" s="290"/>
      <c r="AR67" s="290"/>
      <c r="AS67" s="290"/>
      <c r="AT67" s="290"/>
      <c r="AU67" s="290"/>
      <c r="AV67" s="290"/>
      <c r="AW67" s="290"/>
      <c r="AX67" s="290"/>
      <c r="AY67" s="290"/>
      <c r="AZ67" s="290"/>
      <c r="BA67" s="290"/>
      <c r="BB67" s="290"/>
      <c r="BC67" s="290"/>
      <c r="BX67" s="290"/>
      <c r="BY67" s="290"/>
    </row>
    <row r="68" spans="1:105" ht="32.1" customHeight="1" x14ac:dyDescent="0.2">
      <c r="A68" s="1344" t="s">
        <v>1002</v>
      </c>
      <c r="B68" s="2156" t="s">
        <v>940</v>
      </c>
      <c r="C68" s="2156" t="s">
        <v>909</v>
      </c>
      <c r="D68" s="2156" t="s">
        <v>1001</v>
      </c>
      <c r="E68" s="2156" t="s">
        <v>70</v>
      </c>
      <c r="F68" s="150"/>
      <c r="G68" s="140"/>
      <c r="H68" s="140"/>
      <c r="I68" s="140"/>
      <c r="J68" s="140"/>
      <c r="K68" s="140"/>
      <c r="L68" s="140"/>
      <c r="M68" s="140"/>
      <c r="N68" s="223" t="s">
        <v>45</v>
      </c>
      <c r="O68" s="140"/>
      <c r="P68" s="140"/>
      <c r="Q68" s="140"/>
      <c r="R68" s="598"/>
      <c r="S68" s="598"/>
      <c r="T68" s="598"/>
      <c r="U68" s="598"/>
      <c r="V68" s="598"/>
      <c r="W68" s="598"/>
      <c r="X68" s="140"/>
      <c r="Y68" s="140"/>
      <c r="AO68" s="290"/>
      <c r="AP68" s="290"/>
      <c r="AQ68" s="290"/>
      <c r="AR68" s="290"/>
      <c r="AS68" s="290"/>
      <c r="AT68" s="290"/>
      <c r="AU68" s="290"/>
      <c r="AV68" s="290"/>
      <c r="AW68" s="290"/>
      <c r="AX68" s="290"/>
      <c r="AY68" s="290"/>
      <c r="AZ68" s="290"/>
      <c r="BA68" s="290"/>
      <c r="BB68" s="290"/>
      <c r="BC68" s="290"/>
    </row>
    <row r="69" spans="1:105" ht="16.350000000000001" customHeight="1" x14ac:dyDescent="0.2">
      <c r="A69" s="672" t="s">
        <v>110</v>
      </c>
      <c r="B69" s="586">
        <f>SUM(C69:E69)</f>
        <v>0</v>
      </c>
      <c r="C69" s="539"/>
      <c r="D69" s="539"/>
      <c r="E69" s="539"/>
      <c r="F69" s="105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598"/>
      <c r="S69" s="598"/>
      <c r="T69" s="598"/>
      <c r="U69" s="598"/>
      <c r="V69" s="598"/>
      <c r="W69" s="598"/>
      <c r="X69" s="140"/>
      <c r="Y69" s="140"/>
      <c r="AO69" s="290"/>
      <c r="AP69" s="290"/>
      <c r="AQ69" s="290"/>
      <c r="AR69" s="290"/>
      <c r="AS69" s="290"/>
      <c r="AT69" s="290"/>
      <c r="AU69" s="290"/>
      <c r="AV69" s="290"/>
      <c r="AW69" s="290"/>
      <c r="AX69" s="290"/>
      <c r="AY69" s="290"/>
      <c r="AZ69" s="290"/>
      <c r="BA69" s="290"/>
      <c r="BB69" s="290"/>
      <c r="BC69" s="290"/>
    </row>
    <row r="70" spans="1:105" ht="16.350000000000001" customHeight="1" x14ac:dyDescent="0.2">
      <c r="A70" s="2148" t="s">
        <v>1000</v>
      </c>
      <c r="B70" s="141">
        <f t="shared" ref="B70:B86" si="12">SUM(C70:E70)</f>
        <v>0</v>
      </c>
      <c r="C70" s="123"/>
      <c r="D70" s="123"/>
      <c r="E70" s="123"/>
      <c r="F70" s="105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598"/>
      <c r="S70" s="598"/>
      <c r="T70" s="598"/>
      <c r="U70" s="598"/>
      <c r="V70" s="598"/>
      <c r="W70" s="598"/>
      <c r="X70" s="140"/>
      <c r="Y70" s="140"/>
      <c r="AO70" s="290"/>
      <c r="AP70" s="290"/>
      <c r="AQ70" s="290"/>
      <c r="AR70" s="290"/>
      <c r="AS70" s="290"/>
      <c r="AT70" s="290"/>
      <c r="AU70" s="290"/>
      <c r="AV70" s="290"/>
      <c r="AW70" s="290"/>
      <c r="AX70" s="290"/>
      <c r="AY70" s="290"/>
      <c r="AZ70" s="290"/>
      <c r="BA70" s="290"/>
      <c r="BB70" s="290"/>
      <c r="BC70" s="290"/>
    </row>
    <row r="71" spans="1:105" ht="16.350000000000001" customHeight="1" x14ac:dyDescent="0.2">
      <c r="A71" s="2148" t="s">
        <v>273</v>
      </c>
      <c r="B71" s="141">
        <f t="shared" si="12"/>
        <v>0</v>
      </c>
      <c r="C71" s="123"/>
      <c r="D71" s="123"/>
      <c r="E71" s="123"/>
      <c r="F71" s="105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598"/>
      <c r="S71" s="598"/>
      <c r="T71" s="598"/>
      <c r="U71" s="598"/>
      <c r="V71" s="598"/>
      <c r="W71" s="598"/>
      <c r="X71" s="140"/>
      <c r="Y71" s="140"/>
      <c r="AO71" s="290"/>
      <c r="AP71" s="290"/>
      <c r="AQ71" s="290"/>
      <c r="AR71" s="290"/>
      <c r="AS71" s="290"/>
      <c r="AT71" s="290"/>
      <c r="AU71" s="290"/>
      <c r="AV71" s="290"/>
      <c r="AW71" s="290"/>
      <c r="AX71" s="290"/>
      <c r="AY71" s="290"/>
      <c r="AZ71" s="290"/>
      <c r="BA71" s="290"/>
      <c r="BB71" s="290"/>
      <c r="BC71" s="290"/>
    </row>
    <row r="72" spans="1:105" ht="16.350000000000001" customHeight="1" x14ac:dyDescent="0.2">
      <c r="A72" s="2148" t="s">
        <v>999</v>
      </c>
      <c r="B72" s="141">
        <f t="shared" si="12"/>
        <v>0</v>
      </c>
      <c r="C72" s="123"/>
      <c r="D72" s="123"/>
      <c r="E72" s="123"/>
      <c r="F72" s="105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598"/>
      <c r="S72" s="598"/>
      <c r="T72" s="598"/>
      <c r="U72" s="598"/>
      <c r="V72" s="598"/>
      <c r="W72" s="598"/>
      <c r="X72" s="140"/>
      <c r="Y72" s="140"/>
      <c r="AO72" s="290"/>
      <c r="AP72" s="290"/>
      <c r="AQ72" s="290"/>
      <c r="AR72" s="290"/>
      <c r="AS72" s="290"/>
      <c r="AT72" s="290"/>
      <c r="AU72" s="290"/>
      <c r="AV72" s="290"/>
      <c r="AW72" s="290"/>
      <c r="AX72" s="290"/>
      <c r="AY72" s="290"/>
      <c r="AZ72" s="290"/>
      <c r="BA72" s="290"/>
      <c r="BB72" s="290"/>
      <c r="BC72" s="290"/>
    </row>
    <row r="73" spans="1:105" ht="16.350000000000001" customHeight="1" x14ac:dyDescent="0.2">
      <c r="A73" s="2148" t="s">
        <v>38</v>
      </c>
      <c r="B73" s="141">
        <f t="shared" si="12"/>
        <v>0</v>
      </c>
      <c r="C73" s="123"/>
      <c r="D73" s="123"/>
      <c r="E73" s="123"/>
      <c r="F73" s="105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598"/>
      <c r="S73" s="598"/>
      <c r="T73" s="598"/>
      <c r="U73" s="598"/>
      <c r="V73" s="598"/>
      <c r="W73" s="598"/>
      <c r="X73" s="140"/>
      <c r="Y73" s="140"/>
      <c r="AO73" s="290"/>
      <c r="AP73" s="290"/>
      <c r="AQ73" s="290"/>
      <c r="AR73" s="290"/>
      <c r="AS73" s="290"/>
      <c r="AT73" s="290"/>
      <c r="AU73" s="290"/>
      <c r="AV73" s="290"/>
      <c r="AW73" s="290"/>
      <c r="AX73" s="290"/>
      <c r="AY73" s="290"/>
      <c r="AZ73" s="290"/>
      <c r="BA73" s="290"/>
      <c r="BB73" s="290"/>
      <c r="BC73" s="290"/>
    </row>
    <row r="74" spans="1:105" ht="16.350000000000001" customHeight="1" x14ac:dyDescent="0.2">
      <c r="A74" s="2148" t="s">
        <v>37</v>
      </c>
      <c r="B74" s="141">
        <f t="shared" si="12"/>
        <v>0</v>
      </c>
      <c r="C74" s="123"/>
      <c r="D74" s="123"/>
      <c r="E74" s="123"/>
      <c r="F74" s="105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598"/>
      <c r="S74" s="598"/>
      <c r="T74" s="598"/>
      <c r="U74" s="598"/>
      <c r="V74" s="598"/>
      <c r="W74" s="598"/>
      <c r="X74" s="140"/>
      <c r="Y74" s="140"/>
      <c r="AO74" s="290"/>
      <c r="AP74" s="290"/>
      <c r="AQ74" s="290"/>
      <c r="AR74" s="290"/>
      <c r="AS74" s="290"/>
      <c r="AT74" s="290"/>
      <c r="AU74" s="290"/>
      <c r="AV74" s="290"/>
      <c r="AW74" s="290"/>
      <c r="AX74" s="290"/>
      <c r="AY74" s="290"/>
      <c r="AZ74" s="290"/>
      <c r="BA74" s="290"/>
      <c r="BB74" s="290"/>
      <c r="BC74" s="290"/>
    </row>
    <row r="75" spans="1:105" ht="16.350000000000001" customHeight="1" x14ac:dyDescent="0.2">
      <c r="A75" s="2148" t="s">
        <v>111</v>
      </c>
      <c r="B75" s="141">
        <f t="shared" si="12"/>
        <v>0</v>
      </c>
      <c r="C75" s="123"/>
      <c r="D75" s="123"/>
      <c r="E75" s="123"/>
      <c r="F75" s="105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598"/>
      <c r="S75" s="598"/>
      <c r="T75" s="598"/>
      <c r="U75" s="598"/>
      <c r="V75" s="598"/>
      <c r="W75" s="598"/>
      <c r="X75" s="140"/>
      <c r="Y75" s="140"/>
      <c r="AO75" s="290"/>
      <c r="AP75" s="290"/>
      <c r="AQ75" s="290"/>
      <c r="AR75" s="290"/>
      <c r="AS75" s="290"/>
      <c r="AT75" s="290"/>
      <c r="AU75" s="290"/>
      <c r="AV75" s="290"/>
      <c r="AW75" s="290"/>
      <c r="AX75" s="290"/>
      <c r="AY75" s="290"/>
      <c r="AZ75" s="290"/>
      <c r="BA75" s="290"/>
      <c r="BB75" s="290"/>
      <c r="BC75" s="290"/>
    </row>
    <row r="76" spans="1:105" ht="16.350000000000001" customHeight="1" x14ac:dyDescent="0.2">
      <c r="A76" s="2148" t="s">
        <v>998</v>
      </c>
      <c r="B76" s="141">
        <f t="shared" si="12"/>
        <v>0</v>
      </c>
      <c r="C76" s="123"/>
      <c r="D76" s="123"/>
      <c r="E76" s="123"/>
      <c r="F76" s="105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598"/>
      <c r="S76" s="598"/>
      <c r="T76" s="598"/>
      <c r="U76" s="598"/>
      <c r="V76" s="598"/>
      <c r="W76" s="598"/>
      <c r="X76" s="140"/>
      <c r="Y76" s="140"/>
      <c r="AO76" s="290"/>
      <c r="AP76" s="290"/>
      <c r="AQ76" s="290"/>
      <c r="AR76" s="290"/>
      <c r="AS76" s="290"/>
      <c r="AT76" s="290"/>
      <c r="AU76" s="290"/>
      <c r="AV76" s="290"/>
      <c r="AW76" s="290"/>
      <c r="AX76" s="290"/>
      <c r="AY76" s="290"/>
      <c r="AZ76" s="290"/>
      <c r="BA76" s="290"/>
      <c r="BB76" s="290"/>
      <c r="BC76" s="290"/>
    </row>
    <row r="77" spans="1:105" ht="16.350000000000001" customHeight="1" x14ac:dyDescent="0.2">
      <c r="A77" s="2148" t="s">
        <v>36</v>
      </c>
      <c r="B77" s="141">
        <f t="shared" si="12"/>
        <v>0</v>
      </c>
      <c r="C77" s="123"/>
      <c r="D77" s="123"/>
      <c r="E77" s="123"/>
      <c r="F77" s="105"/>
      <c r="G77" s="670"/>
      <c r="H77" s="670"/>
      <c r="I77" s="140"/>
      <c r="J77" s="140"/>
      <c r="K77" s="140"/>
      <c r="L77" s="140"/>
      <c r="M77" s="140"/>
      <c r="N77" s="140"/>
      <c r="O77" s="140"/>
      <c r="P77" s="140"/>
      <c r="Q77" s="140"/>
      <c r="R77" s="598"/>
      <c r="S77" s="598"/>
      <c r="T77" s="598"/>
      <c r="U77" s="598"/>
      <c r="V77" s="598"/>
      <c r="W77" s="598"/>
      <c r="X77" s="140"/>
      <c r="Y77" s="140"/>
    </row>
    <row r="78" spans="1:105" ht="16.350000000000001" customHeight="1" x14ac:dyDescent="0.2">
      <c r="A78" s="2148" t="s">
        <v>997</v>
      </c>
      <c r="B78" s="141">
        <f t="shared" si="12"/>
        <v>0</v>
      </c>
      <c r="C78" s="123"/>
      <c r="D78" s="123"/>
      <c r="E78" s="123"/>
      <c r="F78" s="105"/>
      <c r="G78" s="670"/>
      <c r="H78" s="670"/>
      <c r="I78" s="140"/>
      <c r="J78" s="140"/>
      <c r="K78" s="140"/>
      <c r="L78" s="140"/>
      <c r="M78" s="140"/>
      <c r="N78" s="140"/>
      <c r="O78" s="140"/>
      <c r="P78" s="140"/>
      <c r="Q78" s="140"/>
      <c r="R78" s="598"/>
      <c r="S78" s="598"/>
      <c r="T78" s="598"/>
      <c r="U78" s="598"/>
      <c r="V78" s="598"/>
      <c r="W78" s="598"/>
      <c r="X78" s="140"/>
      <c r="Y78" s="140"/>
    </row>
    <row r="79" spans="1:105" ht="16.350000000000001" customHeight="1" x14ac:dyDescent="0.2">
      <c r="A79" s="2148" t="s">
        <v>996</v>
      </c>
      <c r="B79" s="141">
        <f t="shared" si="12"/>
        <v>0</v>
      </c>
      <c r="C79" s="123"/>
      <c r="D79" s="123"/>
      <c r="E79" s="123"/>
      <c r="F79" s="105"/>
      <c r="G79" s="670"/>
      <c r="H79" s="670"/>
      <c r="I79" s="140"/>
      <c r="J79" s="140"/>
      <c r="K79" s="140"/>
      <c r="L79" s="140"/>
      <c r="M79" s="140"/>
      <c r="N79" s="140"/>
      <c r="O79" s="140"/>
      <c r="P79" s="140"/>
      <c r="Q79" s="140"/>
      <c r="R79" s="598"/>
      <c r="S79" s="598"/>
      <c r="T79" s="598"/>
      <c r="U79" s="598"/>
      <c r="V79" s="598"/>
      <c r="W79" s="598"/>
      <c r="X79" s="140"/>
      <c r="Y79" s="140"/>
    </row>
    <row r="80" spans="1:105" ht="16.350000000000001" customHeight="1" x14ac:dyDescent="0.2">
      <c r="A80" s="671" t="s">
        <v>995</v>
      </c>
      <c r="B80" s="141">
        <f t="shared" si="12"/>
        <v>0</v>
      </c>
      <c r="C80" s="123"/>
      <c r="D80" s="123"/>
      <c r="E80" s="123"/>
      <c r="F80" s="105"/>
      <c r="G80" s="670"/>
      <c r="H80" s="670"/>
      <c r="I80" s="140"/>
      <c r="J80" s="140"/>
      <c r="K80" s="140"/>
      <c r="L80" s="140"/>
      <c r="M80" s="140"/>
      <c r="N80" s="140"/>
      <c r="O80" s="140"/>
      <c r="P80" s="140"/>
      <c r="Q80" s="140"/>
      <c r="R80" s="598"/>
      <c r="S80" s="598"/>
      <c r="T80" s="598"/>
      <c r="U80" s="598"/>
      <c r="V80" s="598"/>
      <c r="W80" s="598"/>
      <c r="X80" s="140"/>
      <c r="Y80" s="140"/>
    </row>
    <row r="81" spans="1:108" ht="16.350000000000001" customHeight="1" x14ac:dyDescent="0.2">
      <c r="A81" s="2148" t="s">
        <v>994</v>
      </c>
      <c r="B81" s="141">
        <f t="shared" si="12"/>
        <v>0</v>
      </c>
      <c r="C81" s="123"/>
      <c r="D81" s="123"/>
      <c r="E81" s="123"/>
      <c r="F81" s="105"/>
      <c r="G81" s="670"/>
      <c r="H81" s="670"/>
      <c r="I81" s="140"/>
      <c r="J81" s="140"/>
      <c r="K81" s="140"/>
      <c r="L81" s="140"/>
      <c r="M81" s="140"/>
      <c r="N81" s="140"/>
      <c r="O81" s="140"/>
      <c r="P81" s="140"/>
      <c r="Q81" s="140"/>
      <c r="R81" s="598"/>
      <c r="S81" s="598"/>
      <c r="T81" s="598"/>
      <c r="U81" s="598"/>
      <c r="V81" s="598"/>
      <c r="W81" s="598"/>
      <c r="X81" s="140"/>
      <c r="Y81" s="140"/>
    </row>
    <row r="82" spans="1:108" ht="16.350000000000001" customHeight="1" x14ac:dyDescent="0.2">
      <c r="A82" s="2148" t="s">
        <v>279</v>
      </c>
      <c r="B82" s="141">
        <f t="shared" si="12"/>
        <v>0</v>
      </c>
      <c r="C82" s="123"/>
      <c r="D82" s="123"/>
      <c r="E82" s="123"/>
      <c r="F82" s="105"/>
      <c r="G82" s="670"/>
      <c r="H82" s="670"/>
      <c r="I82" s="140"/>
      <c r="J82" s="140"/>
      <c r="K82" s="140"/>
      <c r="L82" s="140"/>
      <c r="M82" s="140"/>
      <c r="N82" s="140"/>
      <c r="O82" s="140"/>
      <c r="P82" s="140"/>
      <c r="Q82" s="140"/>
      <c r="R82" s="598"/>
      <c r="S82" s="598"/>
      <c r="T82" s="598"/>
      <c r="U82" s="598"/>
      <c r="V82" s="598"/>
      <c r="W82" s="598"/>
      <c r="X82" s="140"/>
      <c r="Y82" s="140"/>
    </row>
    <row r="83" spans="1:108" ht="16.350000000000001" customHeight="1" x14ac:dyDescent="0.2">
      <c r="A83" s="2148" t="s">
        <v>993</v>
      </c>
      <c r="B83" s="141">
        <f t="shared" si="12"/>
        <v>0</v>
      </c>
      <c r="C83" s="123"/>
      <c r="D83" s="123"/>
      <c r="E83" s="123"/>
      <c r="F83" s="105"/>
      <c r="G83" s="670"/>
      <c r="H83" s="670"/>
      <c r="I83" s="140"/>
      <c r="J83" s="140"/>
      <c r="K83" s="140"/>
      <c r="L83" s="140"/>
      <c r="M83" s="140"/>
      <c r="N83" s="140"/>
      <c r="O83" s="140"/>
      <c r="P83" s="140"/>
      <c r="Q83" s="140"/>
      <c r="R83" s="598"/>
      <c r="S83" s="598"/>
      <c r="T83" s="598"/>
      <c r="U83" s="598"/>
      <c r="V83" s="598"/>
      <c r="W83" s="598"/>
      <c r="X83" s="140"/>
      <c r="Y83" s="140"/>
    </row>
    <row r="84" spans="1:108" ht="16.350000000000001" customHeight="1" x14ac:dyDescent="0.2">
      <c r="A84" s="2148" t="s">
        <v>276</v>
      </c>
      <c r="B84" s="141">
        <f t="shared" si="12"/>
        <v>0</v>
      </c>
      <c r="C84" s="123"/>
      <c r="D84" s="123"/>
      <c r="E84" s="123"/>
      <c r="F84" s="105"/>
      <c r="G84" s="670"/>
      <c r="H84" s="670"/>
      <c r="I84" s="140"/>
      <c r="J84" s="140"/>
      <c r="K84" s="140"/>
      <c r="L84" s="140"/>
      <c r="M84" s="140"/>
      <c r="N84" s="140"/>
      <c r="O84" s="140"/>
      <c r="P84" s="140"/>
      <c r="Q84" s="140"/>
      <c r="R84" s="598"/>
      <c r="S84" s="598"/>
      <c r="T84" s="598"/>
      <c r="U84" s="598"/>
      <c r="V84" s="598"/>
      <c r="W84" s="598"/>
      <c r="X84" s="140"/>
      <c r="Y84" s="140"/>
    </row>
    <row r="85" spans="1:108" ht="16.350000000000001" customHeight="1" x14ac:dyDescent="0.2">
      <c r="A85" s="2148" t="s">
        <v>992</v>
      </c>
      <c r="B85" s="141">
        <f t="shared" si="12"/>
        <v>0</v>
      </c>
      <c r="C85" s="123"/>
      <c r="D85" s="123"/>
      <c r="E85" s="123"/>
      <c r="F85" s="105"/>
      <c r="G85" s="670"/>
      <c r="H85" s="670"/>
      <c r="I85" s="140"/>
      <c r="J85" s="140"/>
      <c r="K85" s="140"/>
      <c r="L85" s="140"/>
      <c r="M85" s="140"/>
      <c r="N85" s="140"/>
      <c r="O85" s="140"/>
      <c r="P85" s="140"/>
      <c r="Q85" s="140"/>
      <c r="R85" s="598"/>
      <c r="S85" s="598"/>
      <c r="T85" s="598"/>
      <c r="U85" s="598"/>
      <c r="V85" s="598"/>
      <c r="W85" s="598"/>
      <c r="X85" s="140"/>
      <c r="Y85" s="140"/>
    </row>
    <row r="86" spans="1:108" ht="16.350000000000001" customHeight="1" x14ac:dyDescent="0.2">
      <c r="A86" s="2148" t="s">
        <v>280</v>
      </c>
      <c r="B86" s="141">
        <f t="shared" si="12"/>
        <v>0</v>
      </c>
      <c r="C86" s="123"/>
      <c r="D86" s="123"/>
      <c r="E86" s="123"/>
      <c r="F86" s="105"/>
      <c r="G86" s="670"/>
      <c r="H86" s="670"/>
      <c r="I86" s="140"/>
      <c r="J86" s="140"/>
      <c r="K86" s="140"/>
      <c r="L86" s="140"/>
      <c r="M86" s="140"/>
      <c r="N86" s="140"/>
      <c r="O86" s="140"/>
      <c r="P86" s="140"/>
      <c r="Q86" s="140"/>
      <c r="R86" s="598"/>
      <c r="S86" s="598"/>
      <c r="T86" s="598"/>
      <c r="U86" s="598"/>
      <c r="V86" s="598"/>
      <c r="W86" s="598"/>
      <c r="X86" s="140"/>
      <c r="Y86" s="140"/>
    </row>
    <row r="87" spans="1:108" ht="16.350000000000001" customHeight="1" x14ac:dyDescent="0.2">
      <c r="A87" s="2148" t="s">
        <v>277</v>
      </c>
      <c r="B87" s="141">
        <f>SUM(C87:E87)</f>
        <v>0</v>
      </c>
      <c r="C87" s="123"/>
      <c r="D87" s="123"/>
      <c r="E87" s="123"/>
      <c r="F87" s="105"/>
      <c r="G87" s="670"/>
      <c r="H87" s="670"/>
      <c r="I87" s="140"/>
      <c r="J87" s="140"/>
      <c r="K87" s="140"/>
      <c r="L87" s="140"/>
      <c r="M87" s="140"/>
      <c r="N87" s="140"/>
      <c r="O87" s="140"/>
      <c r="P87" s="140"/>
      <c r="Q87" s="140"/>
      <c r="R87" s="598"/>
      <c r="S87" s="598"/>
      <c r="T87" s="598"/>
      <c r="U87" s="598"/>
      <c r="V87" s="598"/>
      <c r="W87" s="598"/>
      <c r="X87" s="140"/>
      <c r="Y87" s="140"/>
    </row>
    <row r="88" spans="1:108" ht="16.350000000000001" customHeight="1" x14ac:dyDescent="0.2">
      <c r="A88" s="2148" t="s">
        <v>3580</v>
      </c>
      <c r="B88" s="141">
        <f>SUM(C88:E88)</f>
        <v>0</v>
      </c>
      <c r="C88" s="123"/>
      <c r="D88" s="123"/>
      <c r="E88" s="123"/>
      <c r="F88" s="105"/>
      <c r="G88" s="670"/>
      <c r="H88" s="670"/>
      <c r="I88" s="140"/>
      <c r="J88" s="140"/>
      <c r="K88" s="140"/>
      <c r="L88" s="140"/>
      <c r="M88" s="140"/>
      <c r="N88" s="140"/>
      <c r="O88" s="140"/>
      <c r="P88" s="140"/>
      <c r="Q88" s="140"/>
      <c r="R88" s="598"/>
      <c r="S88" s="598"/>
      <c r="T88" s="598"/>
      <c r="U88" s="598"/>
      <c r="V88" s="598"/>
      <c r="W88" s="598"/>
      <c r="X88" s="140"/>
      <c r="Y88" s="140"/>
    </row>
    <row r="89" spans="1:108" ht="16.350000000000001" customHeight="1" x14ac:dyDescent="0.2">
      <c r="A89" s="2115" t="s">
        <v>24</v>
      </c>
      <c r="B89" s="581">
        <f>SUM(B69:B88)</f>
        <v>0</v>
      </c>
      <c r="C89" s="581">
        <f>SUM(C69:C88)</f>
        <v>0</v>
      </c>
      <c r="D89" s="581">
        <f t="shared" ref="D89:E89" si="13">SUM(D69:D88)</f>
        <v>0</v>
      </c>
      <c r="E89" s="581">
        <f t="shared" si="13"/>
        <v>0</v>
      </c>
      <c r="F89" s="105"/>
      <c r="G89" s="670"/>
      <c r="H89" s="670"/>
      <c r="I89" s="140"/>
      <c r="J89" s="140"/>
      <c r="K89" s="140"/>
      <c r="L89" s="140"/>
      <c r="M89" s="140"/>
      <c r="N89" s="140"/>
      <c r="O89" s="140"/>
      <c r="P89" s="140"/>
      <c r="Q89" s="140"/>
      <c r="R89" s="598"/>
      <c r="S89" s="598"/>
      <c r="T89" s="598"/>
      <c r="U89" s="598"/>
      <c r="V89" s="598"/>
      <c r="W89" s="598"/>
      <c r="X89" s="140"/>
      <c r="Y89" s="140"/>
    </row>
    <row r="90" spans="1:108" ht="32.1" customHeight="1" x14ac:dyDescent="0.2">
      <c r="A90" s="72" t="s">
        <v>3581</v>
      </c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0"/>
      <c r="AP90" s="140"/>
      <c r="BX90" s="290"/>
      <c r="BY90" s="290"/>
    </row>
    <row r="91" spans="1:108" ht="16.350000000000001" customHeight="1" x14ac:dyDescent="0.2">
      <c r="A91" s="8182" t="s">
        <v>977</v>
      </c>
      <c r="B91" s="8183"/>
      <c r="C91" s="8182" t="s">
        <v>940</v>
      </c>
      <c r="D91" s="8167"/>
      <c r="E91" s="8183"/>
      <c r="F91" s="8340" t="s">
        <v>84</v>
      </c>
      <c r="G91" s="9157"/>
      <c r="H91" s="9157"/>
      <c r="I91" s="9157"/>
      <c r="J91" s="9157"/>
      <c r="K91" s="9157"/>
      <c r="L91" s="9157"/>
      <c r="M91" s="9157"/>
      <c r="N91" s="9157"/>
      <c r="O91" s="9157"/>
      <c r="P91" s="9157"/>
      <c r="Q91" s="9157"/>
      <c r="R91" s="9157"/>
      <c r="S91" s="9157"/>
      <c r="T91" s="9157"/>
      <c r="U91" s="9157"/>
      <c r="V91" s="9157"/>
      <c r="W91" s="9157"/>
      <c r="X91" s="9157"/>
      <c r="Y91" s="9157"/>
      <c r="Z91" s="9157"/>
      <c r="AA91" s="9157"/>
      <c r="AB91" s="9157"/>
      <c r="AC91" s="9157"/>
      <c r="AD91" s="9157"/>
      <c r="AE91" s="9157"/>
      <c r="AF91" s="9157"/>
      <c r="AG91" s="9157"/>
      <c r="AH91" s="9157"/>
      <c r="AI91" s="9157"/>
      <c r="AJ91" s="9157"/>
      <c r="AK91" s="9157"/>
      <c r="AL91" s="9157"/>
      <c r="AM91" s="8341"/>
      <c r="AN91" s="8153" t="s">
        <v>358</v>
      </c>
      <c r="AO91" s="8153" t="s">
        <v>991</v>
      </c>
      <c r="AP91" s="290"/>
      <c r="AQ91" s="290"/>
      <c r="AR91" s="290"/>
      <c r="AS91" s="290"/>
      <c r="AT91" s="290"/>
      <c r="AU91" s="290"/>
      <c r="AV91" s="290"/>
      <c r="AW91" s="290"/>
      <c r="AX91" s="290"/>
      <c r="AY91" s="290"/>
      <c r="AZ91" s="290"/>
      <c r="BA91" s="290"/>
      <c r="BB91" s="290"/>
    </row>
    <row r="92" spans="1:108" ht="16.350000000000001" customHeight="1" x14ac:dyDescent="0.2">
      <c r="A92" s="8191"/>
      <c r="B92" s="8192"/>
      <c r="C92" s="8184"/>
      <c r="D92" s="8168"/>
      <c r="E92" s="8185"/>
      <c r="F92" s="9165" t="s">
        <v>397</v>
      </c>
      <c r="G92" s="9166"/>
      <c r="H92" s="9165" t="s">
        <v>54</v>
      </c>
      <c r="I92" s="9166"/>
      <c r="J92" s="9165" t="s">
        <v>79</v>
      </c>
      <c r="K92" s="9166"/>
      <c r="L92" s="9165" t="s">
        <v>80</v>
      </c>
      <c r="M92" s="9166"/>
      <c r="N92" s="9165" t="s">
        <v>81</v>
      </c>
      <c r="O92" s="9166"/>
      <c r="P92" s="9155" t="s">
        <v>82</v>
      </c>
      <c r="Q92" s="9158"/>
      <c r="R92" s="9155" t="s">
        <v>83</v>
      </c>
      <c r="S92" s="9158"/>
      <c r="T92" s="9155" t="s">
        <v>398</v>
      </c>
      <c r="U92" s="9158"/>
      <c r="V92" s="9155" t="s">
        <v>124</v>
      </c>
      <c r="W92" s="9158"/>
      <c r="X92" s="9155" t="s">
        <v>125</v>
      </c>
      <c r="Y92" s="9158"/>
      <c r="Z92" s="9155" t="s">
        <v>126</v>
      </c>
      <c r="AA92" s="9158"/>
      <c r="AB92" s="9155" t="s">
        <v>127</v>
      </c>
      <c r="AC92" s="9158"/>
      <c r="AD92" s="9155" t="s">
        <v>128</v>
      </c>
      <c r="AE92" s="9158"/>
      <c r="AF92" s="9155" t="s">
        <v>129</v>
      </c>
      <c r="AG92" s="9158"/>
      <c r="AH92" s="9155" t="s">
        <v>130</v>
      </c>
      <c r="AI92" s="9158"/>
      <c r="AJ92" s="9155" t="s">
        <v>131</v>
      </c>
      <c r="AK92" s="9158"/>
      <c r="AL92" s="8571" t="s">
        <v>1403</v>
      </c>
      <c r="AM92" s="8572"/>
      <c r="AN92" s="8151"/>
      <c r="AO92" s="8125"/>
      <c r="AP92" s="290"/>
      <c r="AQ92" s="290"/>
      <c r="AR92" s="290"/>
      <c r="AS92" s="290"/>
      <c r="AT92" s="290"/>
      <c r="AU92" s="290"/>
      <c r="AV92" s="290"/>
      <c r="AW92" s="290"/>
      <c r="AX92" s="290"/>
      <c r="AY92" s="290"/>
      <c r="AZ92" s="290"/>
      <c r="BA92" s="290"/>
      <c r="BB92" s="290"/>
    </row>
    <row r="93" spans="1:108" ht="16.350000000000001" customHeight="1" x14ac:dyDescent="0.2">
      <c r="A93" s="8184"/>
      <c r="B93" s="8168"/>
      <c r="C93" s="2133" t="s">
        <v>42</v>
      </c>
      <c r="D93" s="1949" t="s">
        <v>706</v>
      </c>
      <c r="E93" s="2168" t="s">
        <v>18</v>
      </c>
      <c r="F93" s="2115" t="s">
        <v>706</v>
      </c>
      <c r="G93" s="2117" t="s">
        <v>18</v>
      </c>
      <c r="H93" s="2116" t="s">
        <v>706</v>
      </c>
      <c r="I93" s="2116" t="s">
        <v>18</v>
      </c>
      <c r="J93" s="2115" t="s">
        <v>706</v>
      </c>
      <c r="K93" s="2117" t="s">
        <v>18</v>
      </c>
      <c r="L93" s="2116" t="s">
        <v>706</v>
      </c>
      <c r="M93" s="2116" t="s">
        <v>18</v>
      </c>
      <c r="N93" s="2115" t="s">
        <v>706</v>
      </c>
      <c r="O93" s="2117" t="s">
        <v>18</v>
      </c>
      <c r="P93" s="2116" t="s">
        <v>706</v>
      </c>
      <c r="Q93" s="2116" t="s">
        <v>18</v>
      </c>
      <c r="R93" s="2115" t="s">
        <v>706</v>
      </c>
      <c r="S93" s="2117" t="s">
        <v>18</v>
      </c>
      <c r="T93" s="2116" t="s">
        <v>706</v>
      </c>
      <c r="U93" s="2116" t="s">
        <v>18</v>
      </c>
      <c r="V93" s="2115" t="s">
        <v>706</v>
      </c>
      <c r="W93" s="2117" t="s">
        <v>18</v>
      </c>
      <c r="X93" s="2116" t="s">
        <v>706</v>
      </c>
      <c r="Y93" s="2117" t="s">
        <v>18</v>
      </c>
      <c r="Z93" s="2115" t="s">
        <v>706</v>
      </c>
      <c r="AA93" s="2116" t="s">
        <v>18</v>
      </c>
      <c r="AB93" s="2115" t="s">
        <v>706</v>
      </c>
      <c r="AC93" s="2117" t="s">
        <v>18</v>
      </c>
      <c r="AD93" s="2116" t="s">
        <v>706</v>
      </c>
      <c r="AE93" s="2116" t="s">
        <v>18</v>
      </c>
      <c r="AF93" s="2115" t="s">
        <v>706</v>
      </c>
      <c r="AG93" s="2117" t="s">
        <v>18</v>
      </c>
      <c r="AH93" s="2116" t="s">
        <v>706</v>
      </c>
      <c r="AI93" s="2116" t="s">
        <v>18</v>
      </c>
      <c r="AJ93" s="2115" t="s">
        <v>706</v>
      </c>
      <c r="AK93" s="2117" t="s">
        <v>18</v>
      </c>
      <c r="AL93" s="2116" t="s">
        <v>706</v>
      </c>
      <c r="AM93" s="2117" t="s">
        <v>18</v>
      </c>
      <c r="AN93" s="8154"/>
      <c r="AO93" s="8154"/>
      <c r="AP93" s="290"/>
      <c r="AQ93" s="290"/>
      <c r="AR93" s="290"/>
      <c r="AS93" s="290"/>
      <c r="AT93" s="290"/>
      <c r="AU93" s="290"/>
      <c r="AV93" s="290"/>
      <c r="AW93" s="290"/>
      <c r="AX93" s="290"/>
      <c r="AY93" s="290"/>
      <c r="AZ93" s="290"/>
      <c r="BA93" s="290"/>
      <c r="BB93" s="290"/>
    </row>
    <row r="94" spans="1:108" ht="16.350000000000001" customHeight="1" x14ac:dyDescent="0.2">
      <c r="A94" s="8340" t="s">
        <v>990</v>
      </c>
      <c r="B94" s="8341"/>
      <c r="C94" s="596">
        <f>SUM(C95:C101)</f>
        <v>0</v>
      </c>
      <c r="D94" s="1950">
        <f>SUM(D95:D101)</f>
        <v>0</v>
      </c>
      <c r="E94" s="1944">
        <f>SUM(E95:E101)</f>
        <v>0</v>
      </c>
      <c r="F94" s="669">
        <f t="shared" ref="F94:AN94" si="14">SUM(F95:F101)</f>
        <v>0</v>
      </c>
      <c r="G94" s="668">
        <f t="shared" si="14"/>
        <v>0</v>
      </c>
      <c r="H94" s="669">
        <f t="shared" si="14"/>
        <v>0</v>
      </c>
      <c r="I94" s="668">
        <f t="shared" si="14"/>
        <v>0</v>
      </c>
      <c r="J94" s="669">
        <f t="shared" si="14"/>
        <v>0</v>
      </c>
      <c r="K94" s="668">
        <f t="shared" si="14"/>
        <v>0</v>
      </c>
      <c r="L94" s="669">
        <f t="shared" si="14"/>
        <v>0</v>
      </c>
      <c r="M94" s="668">
        <f t="shared" si="14"/>
        <v>0</v>
      </c>
      <c r="N94" s="669">
        <f t="shared" si="14"/>
        <v>0</v>
      </c>
      <c r="O94" s="668">
        <f t="shared" si="14"/>
        <v>0</v>
      </c>
      <c r="P94" s="669">
        <f t="shared" si="14"/>
        <v>0</v>
      </c>
      <c r="Q94" s="668">
        <f t="shared" si="14"/>
        <v>0</v>
      </c>
      <c r="R94" s="669">
        <f t="shared" si="14"/>
        <v>0</v>
      </c>
      <c r="S94" s="668">
        <f t="shared" si="14"/>
        <v>0</v>
      </c>
      <c r="T94" s="669">
        <f t="shared" si="14"/>
        <v>0</v>
      </c>
      <c r="U94" s="668">
        <f t="shared" si="14"/>
        <v>0</v>
      </c>
      <c r="V94" s="669">
        <f t="shared" si="14"/>
        <v>0</v>
      </c>
      <c r="W94" s="668">
        <f t="shared" si="14"/>
        <v>0</v>
      </c>
      <c r="X94" s="669">
        <f t="shared" si="14"/>
        <v>0</v>
      </c>
      <c r="Y94" s="668">
        <f t="shared" si="14"/>
        <v>0</v>
      </c>
      <c r="Z94" s="669">
        <f t="shared" si="14"/>
        <v>0</v>
      </c>
      <c r="AA94" s="668">
        <f t="shared" si="14"/>
        <v>0</v>
      </c>
      <c r="AB94" s="669">
        <f t="shared" si="14"/>
        <v>0</v>
      </c>
      <c r="AC94" s="668">
        <f t="shared" si="14"/>
        <v>0</v>
      </c>
      <c r="AD94" s="669">
        <f t="shared" si="14"/>
        <v>0</v>
      </c>
      <c r="AE94" s="668">
        <f t="shared" si="14"/>
        <v>0</v>
      </c>
      <c r="AF94" s="669">
        <f t="shared" si="14"/>
        <v>0</v>
      </c>
      <c r="AG94" s="668">
        <f t="shared" si="14"/>
        <v>0</v>
      </c>
      <c r="AH94" s="669">
        <f t="shared" si="14"/>
        <v>0</v>
      </c>
      <c r="AI94" s="668">
        <f t="shared" si="14"/>
        <v>0</v>
      </c>
      <c r="AJ94" s="669">
        <f t="shared" si="14"/>
        <v>0</v>
      </c>
      <c r="AK94" s="668">
        <f t="shared" si="14"/>
        <v>0</v>
      </c>
      <c r="AL94" s="669">
        <f t="shared" si="14"/>
        <v>0</v>
      </c>
      <c r="AM94" s="668">
        <f t="shared" si="14"/>
        <v>0</v>
      </c>
      <c r="AN94" s="667">
        <f t="shared" si="14"/>
        <v>0</v>
      </c>
      <c r="AO94" s="667">
        <f>SUM(AO95:AO97)</f>
        <v>0</v>
      </c>
      <c r="AP94" s="290"/>
      <c r="AQ94" s="290"/>
      <c r="AR94" s="290"/>
      <c r="AS94" s="290"/>
      <c r="AT94" s="290"/>
      <c r="AU94" s="290"/>
      <c r="AV94" s="290"/>
      <c r="AW94" s="290"/>
      <c r="AX94" s="290"/>
      <c r="AY94" s="290"/>
      <c r="AZ94" s="290"/>
      <c r="BA94" s="290"/>
      <c r="BB94" s="290"/>
    </row>
    <row r="95" spans="1:108" ht="16.350000000000001" customHeight="1" x14ac:dyDescent="0.2">
      <c r="A95" s="8153" t="s">
        <v>989</v>
      </c>
      <c r="B95" s="2136" t="s">
        <v>988</v>
      </c>
      <c r="C95" s="596">
        <f t="shared" ref="C95:C101" si="15">SUM(D95+E95)</f>
        <v>0</v>
      </c>
      <c r="D95" s="1950">
        <f t="shared" ref="D95:E101" si="16">SUM(F95+H95+J95+L95+N95+P95+R95+T95+V95+X95+Z95+AB95+AD95+AF95+AH95+AJ95+AL95)</f>
        <v>0</v>
      </c>
      <c r="E95" s="1944">
        <f t="shared" si="16"/>
        <v>0</v>
      </c>
      <c r="F95" s="595"/>
      <c r="G95" s="593"/>
      <c r="H95" s="609"/>
      <c r="I95" s="594"/>
      <c r="J95" s="609"/>
      <c r="K95" s="594"/>
      <c r="L95" s="595"/>
      <c r="M95" s="593"/>
      <c r="N95" s="609"/>
      <c r="O95" s="594"/>
      <c r="P95" s="609"/>
      <c r="Q95" s="594"/>
      <c r="R95" s="609"/>
      <c r="S95" s="594"/>
      <c r="T95" s="609"/>
      <c r="U95" s="594"/>
      <c r="V95" s="609"/>
      <c r="W95" s="594"/>
      <c r="X95" s="609"/>
      <c r="Y95" s="594"/>
      <c r="Z95" s="609"/>
      <c r="AA95" s="594"/>
      <c r="AB95" s="609"/>
      <c r="AC95" s="594"/>
      <c r="AD95" s="609"/>
      <c r="AE95" s="594"/>
      <c r="AF95" s="609"/>
      <c r="AG95" s="594"/>
      <c r="AH95" s="609"/>
      <c r="AI95" s="594"/>
      <c r="AJ95" s="609"/>
      <c r="AK95" s="594"/>
      <c r="AL95" s="609"/>
      <c r="AM95" s="594"/>
      <c r="AN95" s="592"/>
      <c r="AO95" s="592"/>
      <c r="AP95" s="1466"/>
      <c r="AQ95" s="802"/>
      <c r="AR95" s="802"/>
      <c r="AS95" s="802"/>
      <c r="AT95" s="802"/>
      <c r="AU95" s="802"/>
      <c r="AV95" s="802"/>
      <c r="AW95" s="802"/>
      <c r="AX95" s="802"/>
      <c r="AY95" s="802"/>
      <c r="AZ95" s="802"/>
      <c r="BA95" s="290"/>
      <c r="BB95" s="290"/>
      <c r="DB95" s="3308">
        <v>0</v>
      </c>
      <c r="DD95" s="3308">
        <v>0</v>
      </c>
    </row>
    <row r="96" spans="1:108" ht="16.350000000000001" customHeight="1" x14ac:dyDescent="0.2">
      <c r="A96" s="8125"/>
      <c r="B96" s="1531" t="s">
        <v>987</v>
      </c>
      <c r="C96" s="639">
        <f t="shared" si="15"/>
        <v>0</v>
      </c>
      <c r="D96" s="907">
        <f t="shared" si="16"/>
        <v>0</v>
      </c>
      <c r="E96" s="1945">
        <f t="shared" si="16"/>
        <v>0</v>
      </c>
      <c r="F96" s="636"/>
      <c r="G96" s="638"/>
      <c r="H96" s="637"/>
      <c r="I96" s="633"/>
      <c r="J96" s="636"/>
      <c r="K96" s="632"/>
      <c r="L96" s="637"/>
      <c r="M96" s="635"/>
      <c r="N96" s="636"/>
      <c r="O96" s="632"/>
      <c r="P96" s="633"/>
      <c r="Q96" s="635"/>
      <c r="R96" s="634"/>
      <c r="S96" s="632"/>
      <c r="T96" s="633"/>
      <c r="U96" s="635"/>
      <c r="V96" s="634"/>
      <c r="W96" s="632"/>
      <c r="X96" s="633"/>
      <c r="Y96" s="632"/>
      <c r="Z96" s="634"/>
      <c r="AA96" s="635"/>
      <c r="AB96" s="634"/>
      <c r="AC96" s="632"/>
      <c r="AD96" s="633"/>
      <c r="AE96" s="635"/>
      <c r="AF96" s="634"/>
      <c r="AG96" s="632"/>
      <c r="AH96" s="633"/>
      <c r="AI96" s="635"/>
      <c r="AJ96" s="634"/>
      <c r="AK96" s="632"/>
      <c r="AL96" s="633"/>
      <c r="AM96" s="632"/>
      <c r="AN96" s="621"/>
      <c r="AO96" s="621"/>
      <c r="AP96" s="1466"/>
      <c r="AQ96" s="802"/>
      <c r="AR96" s="802"/>
      <c r="AS96" s="802"/>
      <c r="AT96" s="802"/>
      <c r="AU96" s="802"/>
      <c r="AV96" s="802"/>
      <c r="AW96" s="802"/>
      <c r="AX96" s="802"/>
      <c r="AY96" s="802"/>
      <c r="AZ96" s="802"/>
      <c r="BA96" s="290"/>
      <c r="BB96" s="290"/>
      <c r="DB96" s="3308">
        <v>0</v>
      </c>
      <c r="DD96" s="3308">
        <v>0</v>
      </c>
    </row>
    <row r="97" spans="1:108" ht="16.350000000000001" customHeight="1" thickBot="1" x14ac:dyDescent="0.25">
      <c r="A97" s="9214"/>
      <c r="B97" s="1532" t="s">
        <v>986</v>
      </c>
      <c r="C97" s="665">
        <f t="shared" si="15"/>
        <v>0</v>
      </c>
      <c r="D97" s="1951">
        <f t="shared" si="16"/>
        <v>0</v>
      </c>
      <c r="E97" s="1946">
        <f t="shared" si="16"/>
        <v>0</v>
      </c>
      <c r="F97" s="662"/>
      <c r="G97" s="664"/>
      <c r="H97" s="663"/>
      <c r="I97" s="659"/>
      <c r="J97" s="662"/>
      <c r="K97" s="658"/>
      <c r="L97" s="663"/>
      <c r="M97" s="661"/>
      <c r="N97" s="662"/>
      <c r="O97" s="658"/>
      <c r="P97" s="659"/>
      <c r="Q97" s="661"/>
      <c r="R97" s="660"/>
      <c r="S97" s="658"/>
      <c r="T97" s="659"/>
      <c r="U97" s="661"/>
      <c r="V97" s="660"/>
      <c r="W97" s="658"/>
      <c r="X97" s="659"/>
      <c r="Y97" s="658"/>
      <c r="Z97" s="660"/>
      <c r="AA97" s="661"/>
      <c r="AB97" s="660"/>
      <c r="AC97" s="658"/>
      <c r="AD97" s="659"/>
      <c r="AE97" s="661"/>
      <c r="AF97" s="660"/>
      <c r="AG97" s="658"/>
      <c r="AH97" s="659"/>
      <c r="AI97" s="661"/>
      <c r="AJ97" s="660"/>
      <c r="AK97" s="658"/>
      <c r="AL97" s="659"/>
      <c r="AM97" s="658"/>
      <c r="AN97" s="657"/>
      <c r="AO97" s="657"/>
      <c r="AP97" s="1466"/>
      <c r="AQ97" s="802"/>
      <c r="AR97" s="802"/>
      <c r="AS97" s="802"/>
      <c r="AT97" s="802"/>
      <c r="AU97" s="802"/>
      <c r="AV97" s="802"/>
      <c r="AW97" s="802"/>
      <c r="AX97" s="802"/>
      <c r="AY97" s="802"/>
      <c r="AZ97" s="802"/>
      <c r="BA97" s="290"/>
      <c r="BB97" s="290"/>
      <c r="DB97" s="3308">
        <v>0</v>
      </c>
      <c r="DD97" s="3308">
        <v>0</v>
      </c>
    </row>
    <row r="98" spans="1:108" ht="16.350000000000001" customHeight="1" thickTop="1" x14ac:dyDescent="0.2">
      <c r="A98" s="9244" t="s">
        <v>2052</v>
      </c>
      <c r="B98" s="9245"/>
      <c r="C98" s="250">
        <f t="shared" si="15"/>
        <v>0</v>
      </c>
      <c r="D98" s="1853">
        <f t="shared" si="16"/>
        <v>0</v>
      </c>
      <c r="E98" s="901">
        <f t="shared" si="16"/>
        <v>0</v>
      </c>
      <c r="F98" s="645"/>
      <c r="G98" s="650"/>
      <c r="H98" s="655"/>
      <c r="I98" s="651"/>
      <c r="J98" s="654"/>
      <c r="K98" s="650"/>
      <c r="L98" s="655"/>
      <c r="M98" s="653"/>
      <c r="N98" s="654"/>
      <c r="O98" s="650"/>
      <c r="P98" s="651"/>
      <c r="Q98" s="653"/>
      <c r="R98" s="652"/>
      <c r="S98" s="650"/>
      <c r="T98" s="651"/>
      <c r="U98" s="653"/>
      <c r="V98" s="652"/>
      <c r="W98" s="650"/>
      <c r="X98" s="651"/>
      <c r="Y98" s="650"/>
      <c r="Z98" s="652"/>
      <c r="AA98" s="653"/>
      <c r="AB98" s="652"/>
      <c r="AC98" s="650"/>
      <c r="AD98" s="651"/>
      <c r="AE98" s="653"/>
      <c r="AF98" s="652"/>
      <c r="AG98" s="650"/>
      <c r="AH98" s="651"/>
      <c r="AI98" s="653"/>
      <c r="AJ98" s="652"/>
      <c r="AK98" s="650"/>
      <c r="AL98" s="651"/>
      <c r="AM98" s="650"/>
      <c r="AN98" s="649"/>
      <c r="AO98" s="1606"/>
      <c r="AP98" s="1466"/>
      <c r="AQ98" s="802"/>
      <c r="AR98" s="802"/>
      <c r="AS98" s="802"/>
      <c r="AT98" s="802"/>
      <c r="AU98" s="802"/>
      <c r="AV98" s="802"/>
      <c r="AW98" s="802"/>
      <c r="AX98" s="802"/>
      <c r="AY98" s="802"/>
      <c r="AZ98" s="802"/>
      <c r="BA98" s="290"/>
      <c r="BB98" s="290"/>
      <c r="DB98" s="3308">
        <v>0</v>
      </c>
    </row>
    <row r="99" spans="1:108" ht="16.350000000000001" customHeight="1" x14ac:dyDescent="0.2">
      <c r="A99" s="8407" t="s">
        <v>985</v>
      </c>
      <c r="B99" s="9095"/>
      <c r="C99" s="545">
        <f t="shared" si="15"/>
        <v>0</v>
      </c>
      <c r="D99" s="1853">
        <f t="shared" si="16"/>
        <v>0</v>
      </c>
      <c r="E99" s="1947">
        <f t="shared" si="16"/>
        <v>0</v>
      </c>
      <c r="F99" s="648"/>
      <c r="G99" s="647"/>
      <c r="H99" s="646"/>
      <c r="I99" s="642"/>
      <c r="J99" s="645"/>
      <c r="K99" s="641"/>
      <c r="L99" s="646"/>
      <c r="M99" s="644"/>
      <c r="N99" s="645"/>
      <c r="O99" s="641"/>
      <c r="P99" s="642"/>
      <c r="Q99" s="644"/>
      <c r="R99" s="643"/>
      <c r="S99" s="641"/>
      <c r="T99" s="642"/>
      <c r="U99" s="644"/>
      <c r="V99" s="643"/>
      <c r="W99" s="641"/>
      <c r="X99" s="642"/>
      <c r="Y99" s="641"/>
      <c r="Z99" s="643"/>
      <c r="AA99" s="644"/>
      <c r="AB99" s="643"/>
      <c r="AC99" s="641"/>
      <c r="AD99" s="642"/>
      <c r="AE99" s="644"/>
      <c r="AF99" s="643"/>
      <c r="AG99" s="641"/>
      <c r="AH99" s="642"/>
      <c r="AI99" s="644"/>
      <c r="AJ99" s="643"/>
      <c r="AK99" s="641"/>
      <c r="AL99" s="642"/>
      <c r="AM99" s="641"/>
      <c r="AN99" s="640"/>
      <c r="AO99" s="1607"/>
      <c r="AP99" s="1466"/>
      <c r="AQ99" s="802"/>
      <c r="AR99" s="802"/>
      <c r="AS99" s="802"/>
      <c r="AT99" s="802"/>
      <c r="AU99" s="802"/>
      <c r="AV99" s="802"/>
      <c r="AW99" s="802"/>
      <c r="AX99" s="802"/>
      <c r="AY99" s="802"/>
      <c r="AZ99" s="802"/>
      <c r="BA99" s="290"/>
      <c r="BB99" s="290"/>
      <c r="DB99" s="3308">
        <v>0</v>
      </c>
    </row>
    <row r="100" spans="1:108" ht="16.350000000000001" customHeight="1" x14ac:dyDescent="0.2">
      <c r="A100" s="8407" t="s">
        <v>984</v>
      </c>
      <c r="B100" s="9095"/>
      <c r="C100" s="639">
        <f t="shared" si="15"/>
        <v>0</v>
      </c>
      <c r="D100" s="907">
        <f t="shared" si="16"/>
        <v>0</v>
      </c>
      <c r="E100" s="1948">
        <f t="shared" si="16"/>
        <v>0</v>
      </c>
      <c r="F100" s="636"/>
      <c r="G100" s="638"/>
      <c r="H100" s="637"/>
      <c r="I100" s="633"/>
      <c r="J100" s="636"/>
      <c r="K100" s="632"/>
      <c r="L100" s="637"/>
      <c r="M100" s="635"/>
      <c r="N100" s="636"/>
      <c r="O100" s="632"/>
      <c r="P100" s="633"/>
      <c r="Q100" s="635"/>
      <c r="R100" s="634"/>
      <c r="S100" s="632"/>
      <c r="T100" s="633"/>
      <c r="U100" s="635"/>
      <c r="V100" s="634"/>
      <c r="W100" s="632"/>
      <c r="X100" s="633"/>
      <c r="Y100" s="632"/>
      <c r="Z100" s="634"/>
      <c r="AA100" s="635"/>
      <c r="AB100" s="634"/>
      <c r="AC100" s="632"/>
      <c r="AD100" s="633"/>
      <c r="AE100" s="635"/>
      <c r="AF100" s="634"/>
      <c r="AG100" s="632"/>
      <c r="AH100" s="633"/>
      <c r="AI100" s="635"/>
      <c r="AJ100" s="634"/>
      <c r="AK100" s="632"/>
      <c r="AL100" s="633"/>
      <c r="AM100" s="632"/>
      <c r="AN100" s="621"/>
      <c r="AO100" s="1608"/>
      <c r="AP100" s="1466"/>
      <c r="AQ100" s="802"/>
      <c r="AR100" s="802"/>
      <c r="AS100" s="802"/>
      <c r="AT100" s="802"/>
      <c r="AU100" s="802"/>
      <c r="AV100" s="802"/>
      <c r="AW100" s="802"/>
      <c r="AX100" s="802"/>
      <c r="AY100" s="802"/>
      <c r="AZ100" s="802"/>
      <c r="BA100" s="290"/>
      <c r="BB100" s="290"/>
      <c r="DB100" s="3308">
        <v>0</v>
      </c>
    </row>
    <row r="101" spans="1:108" ht="16.350000000000001" customHeight="1" x14ac:dyDescent="0.2">
      <c r="A101" s="9212" t="s">
        <v>983</v>
      </c>
      <c r="B101" s="9213"/>
      <c r="C101" s="544">
        <f t="shared" si="15"/>
        <v>0</v>
      </c>
      <c r="D101" s="1859">
        <f t="shared" si="16"/>
        <v>0</v>
      </c>
      <c r="E101" s="1656">
        <f t="shared" si="16"/>
        <v>0</v>
      </c>
      <c r="F101" s="628"/>
      <c r="G101" s="630"/>
      <c r="H101" s="629"/>
      <c r="I101" s="625"/>
      <c r="J101" s="628"/>
      <c r="K101" s="624"/>
      <c r="L101" s="629"/>
      <c r="M101" s="627"/>
      <c r="N101" s="628"/>
      <c r="O101" s="624"/>
      <c r="P101" s="625"/>
      <c r="Q101" s="627"/>
      <c r="R101" s="626"/>
      <c r="S101" s="624"/>
      <c r="T101" s="625"/>
      <c r="U101" s="627"/>
      <c r="V101" s="626"/>
      <c r="W101" s="624"/>
      <c r="X101" s="625"/>
      <c r="Y101" s="624"/>
      <c r="Z101" s="626"/>
      <c r="AA101" s="627"/>
      <c r="AB101" s="626"/>
      <c r="AC101" s="624"/>
      <c r="AD101" s="625"/>
      <c r="AE101" s="627"/>
      <c r="AF101" s="626"/>
      <c r="AG101" s="624"/>
      <c r="AH101" s="625"/>
      <c r="AI101" s="627"/>
      <c r="AJ101" s="626"/>
      <c r="AK101" s="624"/>
      <c r="AL101" s="625"/>
      <c r="AM101" s="624"/>
      <c r="AN101" s="623"/>
      <c r="AO101" s="1609"/>
      <c r="AP101" s="1466"/>
      <c r="AQ101" s="802"/>
      <c r="AR101" s="802"/>
      <c r="AS101" s="802"/>
      <c r="AT101" s="802"/>
      <c r="AU101" s="802"/>
      <c r="AV101" s="802"/>
      <c r="AW101" s="802"/>
      <c r="AX101" s="802"/>
      <c r="AY101" s="802"/>
      <c r="AZ101" s="802"/>
      <c r="BA101" s="290"/>
      <c r="BB101" s="290"/>
      <c r="DB101" s="3308">
        <v>0</v>
      </c>
    </row>
    <row r="102" spans="1:108" ht="32.1" customHeight="1" x14ac:dyDescent="0.2">
      <c r="A102" s="72" t="s">
        <v>3582</v>
      </c>
      <c r="B102" s="140"/>
      <c r="C102" s="140"/>
      <c r="D102" s="140"/>
      <c r="AO102" s="290"/>
      <c r="AP102" s="290"/>
      <c r="AQ102" s="290"/>
      <c r="AR102" s="290"/>
      <c r="AS102" s="290"/>
      <c r="AT102" s="290"/>
      <c r="AU102" s="290"/>
      <c r="AV102" s="290"/>
      <c r="AW102" s="290"/>
      <c r="AX102" s="290"/>
      <c r="AY102" s="290"/>
      <c r="AZ102" s="290"/>
      <c r="BA102" s="290"/>
      <c r="BB102" s="290"/>
      <c r="BX102" s="290"/>
      <c r="BY102" s="290"/>
    </row>
    <row r="103" spans="1:108" ht="16.350000000000001" customHeight="1" x14ac:dyDescent="0.2">
      <c r="A103" s="8340" t="s">
        <v>982</v>
      </c>
      <c r="B103" s="9157"/>
      <c r="C103" s="8341"/>
      <c r="D103" s="2156" t="s">
        <v>24</v>
      </c>
      <c r="AO103" s="290"/>
      <c r="AP103" s="290"/>
      <c r="AQ103" s="290"/>
      <c r="AR103" s="290"/>
      <c r="AS103" s="290"/>
      <c r="AT103" s="290"/>
      <c r="AU103" s="290"/>
      <c r="AV103" s="290"/>
      <c r="AW103" s="290"/>
      <c r="AX103" s="290"/>
      <c r="AY103" s="290"/>
      <c r="AZ103" s="290"/>
      <c r="BA103" s="290"/>
      <c r="BB103" s="290"/>
    </row>
    <row r="104" spans="1:108" ht="25.35" customHeight="1" x14ac:dyDescent="0.2">
      <c r="A104" s="8182" t="s">
        <v>981</v>
      </c>
      <c r="B104" s="8183"/>
      <c r="C104" s="2159" t="s">
        <v>980</v>
      </c>
      <c r="D104" s="622"/>
      <c r="E104" s="105"/>
    </row>
    <row r="105" spans="1:108" ht="25.35" customHeight="1" x14ac:dyDescent="0.2">
      <c r="A105" s="8191"/>
      <c r="B105" s="8192"/>
      <c r="C105" s="2137" t="s">
        <v>979</v>
      </c>
      <c r="D105" s="621"/>
      <c r="E105" s="105"/>
    </row>
    <row r="106" spans="1:108" ht="25.35" customHeight="1" x14ac:dyDescent="0.2">
      <c r="A106" s="8184"/>
      <c r="B106" s="8185"/>
      <c r="C106" s="2138" t="s">
        <v>978</v>
      </c>
      <c r="D106" s="620"/>
      <c r="E106" s="105"/>
    </row>
    <row r="107" spans="1:108" ht="32.1" customHeight="1" x14ac:dyDescent="0.2">
      <c r="A107" s="9060" t="s">
        <v>3989</v>
      </c>
      <c r="B107" s="9060"/>
      <c r="C107" s="9060"/>
      <c r="D107" s="9060"/>
      <c r="E107" s="9060"/>
      <c r="F107" s="9060"/>
      <c r="G107" s="9060"/>
      <c r="H107" s="9060"/>
      <c r="I107" s="9060"/>
      <c r="J107" s="9060"/>
      <c r="K107" s="9283"/>
      <c r="L107" s="619"/>
      <c r="M107" s="485"/>
      <c r="N107" s="485"/>
      <c r="O107" s="483"/>
      <c r="P107" s="153"/>
      <c r="Q107" s="485"/>
      <c r="R107" s="483"/>
      <c r="S107" s="153"/>
      <c r="T107" s="485"/>
      <c r="U107" s="153"/>
      <c r="V107" s="153"/>
      <c r="W107" s="483"/>
      <c r="X107" s="483"/>
      <c r="Y107" s="483"/>
      <c r="Z107" s="484"/>
      <c r="AA107" s="153"/>
      <c r="AB107" s="483"/>
      <c r="AC107" s="483"/>
      <c r="AD107" s="483"/>
      <c r="AE107" s="483"/>
      <c r="AF107" s="484"/>
      <c r="AG107" s="153"/>
      <c r="AH107" s="483"/>
      <c r="AI107" s="483"/>
      <c r="AJ107" s="483"/>
      <c r="AK107" s="153"/>
      <c r="AL107" s="485"/>
      <c r="AM107" s="483"/>
      <c r="AN107" s="485"/>
      <c r="AO107" s="154"/>
      <c r="AP107" s="153"/>
      <c r="BX107" s="290"/>
      <c r="BY107" s="290"/>
    </row>
    <row r="108" spans="1:108" ht="16.350000000000001" customHeight="1" x14ac:dyDescent="0.2">
      <c r="A108" s="9152" t="s">
        <v>977</v>
      </c>
      <c r="B108" s="8436"/>
      <c r="C108" s="8182" t="s">
        <v>940</v>
      </c>
      <c r="D108" s="8167"/>
      <c r="E108" s="8183"/>
      <c r="F108" s="8340" t="s">
        <v>84</v>
      </c>
      <c r="G108" s="9157"/>
      <c r="H108" s="9157"/>
      <c r="I108" s="9157"/>
      <c r="J108" s="9157"/>
      <c r="K108" s="9157"/>
      <c r="L108" s="9157"/>
      <c r="M108" s="9157"/>
      <c r="N108" s="9157"/>
      <c r="O108" s="9157"/>
      <c r="P108" s="9157"/>
      <c r="Q108" s="9157"/>
      <c r="R108" s="9157"/>
      <c r="S108" s="9157"/>
      <c r="T108" s="9157"/>
      <c r="U108" s="9157"/>
      <c r="V108" s="9157"/>
      <c r="W108" s="9157"/>
      <c r="X108" s="9157"/>
      <c r="Y108" s="9157"/>
      <c r="Z108" s="9157"/>
      <c r="AA108" s="9157"/>
      <c r="AB108" s="9157"/>
      <c r="AC108" s="9157"/>
      <c r="AD108" s="9157"/>
      <c r="AE108" s="9157"/>
      <c r="AF108" s="9157"/>
      <c r="AG108" s="9157"/>
      <c r="AH108" s="9157"/>
      <c r="AI108" s="9157"/>
      <c r="AJ108" s="9157"/>
      <c r="AK108" s="9157"/>
      <c r="AL108" s="9157"/>
      <c r="AM108" s="8341"/>
      <c r="AN108" s="8153" t="s">
        <v>358</v>
      </c>
      <c r="AO108" s="1534"/>
    </row>
    <row r="109" spans="1:108" ht="16.350000000000001" customHeight="1" x14ac:dyDescent="0.2">
      <c r="A109" s="8458"/>
      <c r="B109" s="8437"/>
      <c r="C109" s="8184"/>
      <c r="D109" s="8168"/>
      <c r="E109" s="8185"/>
      <c r="F109" s="9165" t="s">
        <v>397</v>
      </c>
      <c r="G109" s="9166"/>
      <c r="H109" s="9165" t="s">
        <v>54</v>
      </c>
      <c r="I109" s="9166"/>
      <c r="J109" s="9165" t="s">
        <v>79</v>
      </c>
      <c r="K109" s="9166"/>
      <c r="L109" s="9165" t="s">
        <v>80</v>
      </c>
      <c r="M109" s="9166"/>
      <c r="N109" s="9165" t="s">
        <v>81</v>
      </c>
      <c r="O109" s="9166"/>
      <c r="P109" s="9155" t="s">
        <v>82</v>
      </c>
      <c r="Q109" s="9158"/>
      <c r="R109" s="9155" t="s">
        <v>83</v>
      </c>
      <c r="S109" s="9158"/>
      <c r="T109" s="9155" t="s">
        <v>398</v>
      </c>
      <c r="U109" s="9158"/>
      <c r="V109" s="9155" t="s">
        <v>124</v>
      </c>
      <c r="W109" s="9158"/>
      <c r="X109" s="9155" t="s">
        <v>125</v>
      </c>
      <c r="Y109" s="9158"/>
      <c r="Z109" s="9155" t="s">
        <v>126</v>
      </c>
      <c r="AA109" s="9158"/>
      <c r="AB109" s="9155" t="s">
        <v>127</v>
      </c>
      <c r="AC109" s="9158"/>
      <c r="AD109" s="9155" t="s">
        <v>128</v>
      </c>
      <c r="AE109" s="9158"/>
      <c r="AF109" s="9155" t="s">
        <v>129</v>
      </c>
      <c r="AG109" s="9158"/>
      <c r="AH109" s="9155" t="s">
        <v>130</v>
      </c>
      <c r="AI109" s="9158"/>
      <c r="AJ109" s="9155" t="s">
        <v>131</v>
      </c>
      <c r="AK109" s="9158"/>
      <c r="AL109" s="9155" t="s">
        <v>1403</v>
      </c>
      <c r="AM109" s="9156"/>
      <c r="AN109" s="8125"/>
      <c r="AO109" s="290"/>
      <c r="AP109" s="290"/>
      <c r="AQ109" s="290"/>
      <c r="AR109" s="290"/>
      <c r="AS109" s="290"/>
      <c r="AT109" s="290"/>
      <c r="AU109" s="290"/>
      <c r="AV109" s="290"/>
      <c r="AW109" s="290"/>
      <c r="AX109" s="290"/>
      <c r="AY109" s="290"/>
      <c r="AZ109" s="290"/>
      <c r="BA109" s="290"/>
    </row>
    <row r="110" spans="1:108" ht="16.350000000000001" customHeight="1" x14ac:dyDescent="0.2">
      <c r="A110" s="9153"/>
      <c r="B110" s="9154"/>
      <c r="C110" s="2130" t="s">
        <v>42</v>
      </c>
      <c r="D110" s="2131" t="s">
        <v>706</v>
      </c>
      <c r="E110" s="2117" t="s">
        <v>18</v>
      </c>
      <c r="F110" s="2115" t="s">
        <v>706</v>
      </c>
      <c r="G110" s="2117" t="s">
        <v>18</v>
      </c>
      <c r="H110" s="2115" t="s">
        <v>706</v>
      </c>
      <c r="I110" s="2117" t="s">
        <v>18</v>
      </c>
      <c r="J110" s="2115" t="s">
        <v>706</v>
      </c>
      <c r="K110" s="2117" t="s">
        <v>18</v>
      </c>
      <c r="L110" s="2115" t="s">
        <v>706</v>
      </c>
      <c r="M110" s="2117" t="s">
        <v>18</v>
      </c>
      <c r="N110" s="2115" t="s">
        <v>706</v>
      </c>
      <c r="O110" s="2117" t="s">
        <v>18</v>
      </c>
      <c r="P110" s="2115" t="s">
        <v>706</v>
      </c>
      <c r="Q110" s="2117" t="s">
        <v>18</v>
      </c>
      <c r="R110" s="2115" t="s">
        <v>706</v>
      </c>
      <c r="S110" s="2117" t="s">
        <v>18</v>
      </c>
      <c r="T110" s="2115" t="s">
        <v>706</v>
      </c>
      <c r="U110" s="2117" t="s">
        <v>18</v>
      </c>
      <c r="V110" s="2115" t="s">
        <v>706</v>
      </c>
      <c r="W110" s="2117" t="s">
        <v>18</v>
      </c>
      <c r="X110" s="2115" t="s">
        <v>706</v>
      </c>
      <c r="Y110" s="2117" t="s">
        <v>18</v>
      </c>
      <c r="Z110" s="2115" t="s">
        <v>706</v>
      </c>
      <c r="AA110" s="2117" t="s">
        <v>18</v>
      </c>
      <c r="AB110" s="2115" t="s">
        <v>706</v>
      </c>
      <c r="AC110" s="2117" t="s">
        <v>18</v>
      </c>
      <c r="AD110" s="2116" t="s">
        <v>706</v>
      </c>
      <c r="AE110" s="2116" t="s">
        <v>18</v>
      </c>
      <c r="AF110" s="2115" t="s">
        <v>706</v>
      </c>
      <c r="AG110" s="2117" t="s">
        <v>18</v>
      </c>
      <c r="AH110" s="2116" t="s">
        <v>706</v>
      </c>
      <c r="AI110" s="2116" t="s">
        <v>18</v>
      </c>
      <c r="AJ110" s="2115" t="s">
        <v>706</v>
      </c>
      <c r="AK110" s="2117" t="s">
        <v>18</v>
      </c>
      <c r="AL110" s="2116" t="s">
        <v>706</v>
      </c>
      <c r="AM110" s="2117" t="s">
        <v>18</v>
      </c>
      <c r="AN110" s="8154"/>
      <c r="AO110" s="1488"/>
      <c r="AP110" s="290"/>
      <c r="AQ110" s="290"/>
      <c r="AR110" s="290"/>
      <c r="AS110" s="290"/>
      <c r="AT110" s="290"/>
      <c r="AU110" s="290"/>
      <c r="AV110" s="290"/>
      <c r="AW110" s="290"/>
      <c r="AX110" s="290"/>
      <c r="AY110" s="290"/>
      <c r="AZ110" s="290"/>
      <c r="BA110" s="290"/>
    </row>
    <row r="111" spans="1:108" ht="16.350000000000001" customHeight="1" x14ac:dyDescent="0.2">
      <c r="A111" s="9284" t="s">
        <v>976</v>
      </c>
      <c r="B111" s="9285"/>
      <c r="C111" s="250">
        <f>SUM(D111+E111)</f>
        <v>0</v>
      </c>
      <c r="D111" s="269">
        <f t="shared" ref="D111:E113" si="17">SUM(F111+H111+J111+L111+N111+P111+R111+T111+V111+X111+Z111+AB111+AD111+AF111+AH111+AJ111+AL111)</f>
        <v>0</v>
      </c>
      <c r="E111" s="151">
        <f t="shared" si="17"/>
        <v>0</v>
      </c>
      <c r="F111" s="191"/>
      <c r="G111" s="193"/>
      <c r="H111" s="191"/>
      <c r="I111" s="193"/>
      <c r="J111" s="191"/>
      <c r="K111" s="193"/>
      <c r="L111" s="191"/>
      <c r="M111" s="193"/>
      <c r="N111" s="191"/>
      <c r="O111" s="193"/>
      <c r="P111" s="191"/>
      <c r="Q111" s="193"/>
      <c r="R111" s="191"/>
      <c r="S111" s="193"/>
      <c r="T111" s="191"/>
      <c r="U111" s="193"/>
      <c r="V111" s="191"/>
      <c r="W111" s="193"/>
      <c r="X111" s="191"/>
      <c r="Y111" s="193"/>
      <c r="Z111" s="191"/>
      <c r="AA111" s="193"/>
      <c r="AB111" s="191"/>
      <c r="AC111" s="193"/>
      <c r="AD111" s="229"/>
      <c r="AE111" s="618"/>
      <c r="AF111" s="191"/>
      <c r="AG111" s="193"/>
      <c r="AH111" s="229"/>
      <c r="AI111" s="618"/>
      <c r="AJ111" s="191"/>
      <c r="AK111" s="193"/>
      <c r="AL111" s="229"/>
      <c r="AM111" s="193"/>
      <c r="AN111" s="192"/>
      <c r="AO111" s="1466"/>
      <c r="AP111" s="802"/>
      <c r="AQ111" s="802"/>
      <c r="AR111" s="802"/>
      <c r="AS111" s="802"/>
      <c r="AT111" s="802"/>
      <c r="AU111" s="802"/>
      <c r="AV111" s="802"/>
      <c r="AW111" s="802"/>
      <c r="AX111" s="802"/>
      <c r="AY111" s="802"/>
      <c r="AZ111" s="802"/>
      <c r="BA111" s="290"/>
      <c r="DB111" s="3308">
        <v>0</v>
      </c>
    </row>
    <row r="112" spans="1:108" ht="16.350000000000001" customHeight="1" x14ac:dyDescent="0.2">
      <c r="A112" s="9169" t="s">
        <v>975</v>
      </c>
      <c r="B112" s="9170"/>
      <c r="C112" s="251">
        <f>SUM(D112+E112)</f>
        <v>0</v>
      </c>
      <c r="D112" s="617">
        <f t="shared" si="17"/>
        <v>0</v>
      </c>
      <c r="E112" s="158">
        <f t="shared" si="17"/>
        <v>0</v>
      </c>
      <c r="F112" s="230"/>
      <c r="G112" s="231"/>
      <c r="H112" s="230"/>
      <c r="I112" s="231"/>
      <c r="J112" s="230"/>
      <c r="K112" s="231"/>
      <c r="L112" s="230"/>
      <c r="M112" s="231"/>
      <c r="N112" s="230"/>
      <c r="O112" s="231"/>
      <c r="P112" s="230"/>
      <c r="Q112" s="231"/>
      <c r="R112" s="230"/>
      <c r="S112" s="231"/>
      <c r="T112" s="230"/>
      <c r="U112" s="231"/>
      <c r="V112" s="230"/>
      <c r="W112" s="231"/>
      <c r="X112" s="230"/>
      <c r="Y112" s="231"/>
      <c r="Z112" s="230"/>
      <c r="AA112" s="231"/>
      <c r="AB112" s="230"/>
      <c r="AC112" s="231"/>
      <c r="AD112" s="232"/>
      <c r="AE112" s="591"/>
      <c r="AF112" s="230"/>
      <c r="AG112" s="231"/>
      <c r="AH112" s="232"/>
      <c r="AI112" s="591"/>
      <c r="AJ112" s="230"/>
      <c r="AK112" s="231"/>
      <c r="AL112" s="232"/>
      <c r="AM112" s="231"/>
      <c r="AN112" s="222"/>
      <c r="AO112" s="1466"/>
      <c r="AP112" s="802"/>
      <c r="AQ112" s="802"/>
      <c r="AR112" s="802"/>
      <c r="AS112" s="802"/>
      <c r="AT112" s="802"/>
      <c r="AU112" s="802"/>
      <c r="AV112" s="802"/>
      <c r="AW112" s="802"/>
      <c r="AX112" s="802"/>
      <c r="AY112" s="802"/>
      <c r="AZ112" s="802"/>
      <c r="BA112" s="290"/>
      <c r="DB112" s="3308">
        <v>0</v>
      </c>
    </row>
    <row r="113" spans="1:132" ht="16.350000000000001" customHeight="1" x14ac:dyDescent="0.2">
      <c r="A113" s="9167" t="s">
        <v>974</v>
      </c>
      <c r="B113" s="9168"/>
      <c r="C113" s="544">
        <f>SUM(D113+E113)</f>
        <v>0</v>
      </c>
      <c r="D113" s="543">
        <f t="shared" si="17"/>
        <v>0</v>
      </c>
      <c r="E113" s="152">
        <f t="shared" si="17"/>
        <v>0</v>
      </c>
      <c r="F113" s="615"/>
      <c r="G113" s="613"/>
      <c r="H113" s="615"/>
      <c r="I113" s="613"/>
      <c r="J113" s="615"/>
      <c r="K113" s="613"/>
      <c r="L113" s="615"/>
      <c r="M113" s="613"/>
      <c r="N113" s="615"/>
      <c r="O113" s="613"/>
      <c r="P113" s="615"/>
      <c r="Q113" s="613"/>
      <c r="R113" s="615"/>
      <c r="S113" s="613"/>
      <c r="T113" s="615"/>
      <c r="U113" s="613"/>
      <c r="V113" s="615"/>
      <c r="W113" s="613"/>
      <c r="X113" s="615"/>
      <c r="Y113" s="613"/>
      <c r="Z113" s="615"/>
      <c r="AA113" s="613"/>
      <c r="AB113" s="615"/>
      <c r="AC113" s="613"/>
      <c r="AD113" s="614"/>
      <c r="AE113" s="616"/>
      <c r="AF113" s="615"/>
      <c r="AG113" s="613"/>
      <c r="AH113" s="614"/>
      <c r="AI113" s="616"/>
      <c r="AJ113" s="615"/>
      <c r="AK113" s="613"/>
      <c r="AL113" s="614"/>
      <c r="AM113" s="613"/>
      <c r="AN113" s="612"/>
      <c r="AO113" s="1466"/>
      <c r="AP113" s="802"/>
      <c r="AQ113" s="802"/>
      <c r="AR113" s="802"/>
      <c r="AS113" s="802"/>
      <c r="AT113" s="802"/>
      <c r="AU113" s="802"/>
      <c r="AV113" s="802"/>
      <c r="AW113" s="802"/>
      <c r="AX113" s="802"/>
      <c r="AY113" s="802"/>
      <c r="AZ113" s="802"/>
      <c r="BA113" s="290"/>
      <c r="DB113" s="3308">
        <v>0</v>
      </c>
    </row>
    <row r="114" spans="1:132" ht="21" customHeight="1" x14ac:dyDescent="0.2">
      <c r="A114" s="72" t="s">
        <v>3777</v>
      </c>
      <c r="B114" s="140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290"/>
      <c r="Y114" s="290"/>
    </row>
    <row r="115" spans="1:132" ht="21" customHeight="1" x14ac:dyDescent="0.2">
      <c r="A115" s="9279" t="s">
        <v>31</v>
      </c>
      <c r="B115" s="9280"/>
      <c r="C115" s="9279" t="s">
        <v>24</v>
      </c>
      <c r="D115" s="8445"/>
      <c r="E115" s="9280"/>
      <c r="F115" s="9263" t="s">
        <v>3691</v>
      </c>
      <c r="G115" s="9264"/>
      <c r="H115" s="9265" t="s">
        <v>3692</v>
      </c>
      <c r="I115" s="9264"/>
      <c r="J115" s="9263" t="s">
        <v>3699</v>
      </c>
      <c r="K115" s="9264"/>
      <c r="L115" s="9263" t="s">
        <v>4</v>
      </c>
      <c r="M115" s="9264"/>
      <c r="N115" s="9263" t="s">
        <v>3693</v>
      </c>
      <c r="O115" s="9264"/>
      <c r="P115" s="9263" t="s">
        <v>3694</v>
      </c>
      <c r="Q115" s="9264"/>
      <c r="R115" s="9189" t="s">
        <v>3695</v>
      </c>
      <c r="S115" s="9190"/>
      <c r="T115" s="9189" t="s">
        <v>3696</v>
      </c>
      <c r="U115" s="9190"/>
      <c r="V115" s="9189" t="s">
        <v>3697</v>
      </c>
      <c r="W115" s="9243"/>
      <c r="X115" s="9189" t="s">
        <v>3698</v>
      </c>
      <c r="Y115" s="9190"/>
      <c r="Z115" s="290"/>
      <c r="AA115" s="290"/>
      <c r="BV115" s="165"/>
      <c r="BW115" s="165"/>
      <c r="BX115" s="290"/>
      <c r="BY115" s="290"/>
      <c r="CA115" s="1460"/>
      <c r="CB115" s="1460"/>
      <c r="DA115" s="1451"/>
      <c r="DB115" s="1451"/>
      <c r="EA115" s="3311"/>
      <c r="EB115" s="3311"/>
    </row>
    <row r="116" spans="1:132" ht="21" customHeight="1" x14ac:dyDescent="0.2">
      <c r="A116" s="9281"/>
      <c r="B116" s="9282"/>
      <c r="C116" s="3918" t="s">
        <v>42</v>
      </c>
      <c r="D116" s="3919" t="s">
        <v>17</v>
      </c>
      <c r="E116" s="3920" t="s">
        <v>18</v>
      </c>
      <c r="F116" s="3921" t="s">
        <v>706</v>
      </c>
      <c r="G116" s="3922" t="s">
        <v>18</v>
      </c>
      <c r="H116" s="3921" t="s">
        <v>706</v>
      </c>
      <c r="I116" s="3922" t="s">
        <v>18</v>
      </c>
      <c r="J116" s="3921" t="s">
        <v>706</v>
      </c>
      <c r="K116" s="3922" t="s">
        <v>18</v>
      </c>
      <c r="L116" s="3921" t="s">
        <v>706</v>
      </c>
      <c r="M116" s="3922" t="s">
        <v>18</v>
      </c>
      <c r="N116" s="3921" t="s">
        <v>706</v>
      </c>
      <c r="O116" s="3922" t="s">
        <v>18</v>
      </c>
      <c r="P116" s="3921" t="s">
        <v>706</v>
      </c>
      <c r="Q116" s="3922" t="s">
        <v>18</v>
      </c>
      <c r="R116" s="3921" t="s">
        <v>706</v>
      </c>
      <c r="S116" s="3922" t="s">
        <v>18</v>
      </c>
      <c r="T116" s="3921" t="s">
        <v>706</v>
      </c>
      <c r="U116" s="3922" t="s">
        <v>18</v>
      </c>
      <c r="V116" s="3921" t="s">
        <v>706</v>
      </c>
      <c r="W116" s="3923" t="s">
        <v>18</v>
      </c>
      <c r="X116" s="3921" t="s">
        <v>706</v>
      </c>
      <c r="Y116" s="3922" t="s">
        <v>18</v>
      </c>
      <c r="Z116" s="290"/>
      <c r="AA116" s="290"/>
      <c r="BV116" s="165"/>
      <c r="BW116" s="165"/>
      <c r="BX116" s="290"/>
      <c r="BY116" s="290"/>
      <c r="CA116" s="1460"/>
      <c r="CB116" s="1460"/>
      <c r="DA116" s="1451"/>
      <c r="DB116" s="1451"/>
      <c r="EA116" s="3311"/>
      <c r="EB116" s="3311"/>
    </row>
    <row r="117" spans="1:132" ht="21" customHeight="1" x14ac:dyDescent="0.2">
      <c r="A117" s="9246" t="s">
        <v>969</v>
      </c>
      <c r="B117" s="9247"/>
      <c r="C117" s="3934">
        <f>SUM(D117+E117)</f>
        <v>0</v>
      </c>
      <c r="D117" s="3924">
        <f>SUM(F117+H117+J117+L117+N117+P117+R117+T117+V117+X117)</f>
        <v>0</v>
      </c>
      <c r="E117" s="3936">
        <f>SUM(G117+I117+K117+M117+O117+Q117+S117+U117+W117+Y117)</f>
        <v>0</v>
      </c>
      <c r="F117" s="3925"/>
      <c r="G117" s="3926"/>
      <c r="H117" s="3927"/>
      <c r="I117" s="3928"/>
      <c r="J117" s="3927"/>
      <c r="K117" s="3928"/>
      <c r="L117" s="3925"/>
      <c r="M117" s="3926"/>
      <c r="N117" s="3927"/>
      <c r="O117" s="3928"/>
      <c r="P117" s="3925"/>
      <c r="Q117" s="3926"/>
      <c r="R117" s="3927"/>
      <c r="S117" s="3928"/>
      <c r="T117" s="3925"/>
      <c r="U117" s="3926"/>
      <c r="V117" s="3927"/>
      <c r="W117" s="3928"/>
      <c r="X117" s="3927"/>
      <c r="Y117" s="3933"/>
      <c r="Z117" s="1460"/>
      <c r="AA117" s="290"/>
      <c r="BV117" s="165"/>
      <c r="BW117" s="165"/>
      <c r="BX117" s="290"/>
      <c r="BY117" s="290"/>
      <c r="CA117" s="1460"/>
      <c r="CB117" s="1460"/>
      <c r="DA117" s="1451"/>
      <c r="DB117" s="1451"/>
      <c r="EA117" s="3311"/>
      <c r="EB117" s="3311"/>
    </row>
    <row r="118" spans="1:132" ht="21" customHeight="1" x14ac:dyDescent="0.2">
      <c r="A118" s="9248" t="s">
        <v>968</v>
      </c>
      <c r="B118" s="9249"/>
      <c r="C118" s="3935">
        <f>SUM(D118+E118)</f>
        <v>0</v>
      </c>
      <c r="D118" s="3805">
        <f>SUM(F118+H118+J118+L118+N118+P118+R118+T118+V118+X118)</f>
        <v>0</v>
      </c>
      <c r="E118" s="3619">
        <f>SUM(G118+I118+K118+M118+O118+Q118+S118+U118+W118+Y118)</f>
        <v>0</v>
      </c>
      <c r="F118" s="3929"/>
      <c r="G118" s="3930"/>
      <c r="H118" s="3931"/>
      <c r="I118" s="3932"/>
      <c r="J118" s="3931"/>
      <c r="K118" s="3932"/>
      <c r="L118" s="3929"/>
      <c r="M118" s="3930"/>
      <c r="N118" s="3931"/>
      <c r="O118" s="3932"/>
      <c r="P118" s="3929"/>
      <c r="Q118" s="3930"/>
      <c r="R118" s="3931"/>
      <c r="S118" s="3932"/>
      <c r="T118" s="3929"/>
      <c r="U118" s="3930"/>
      <c r="V118" s="3931"/>
      <c r="W118" s="3932"/>
      <c r="X118" s="3931"/>
      <c r="Y118" s="2995"/>
      <c r="Z118" s="1460"/>
      <c r="AA118" s="290"/>
      <c r="BV118" s="165"/>
      <c r="BW118" s="165"/>
      <c r="BX118" s="290"/>
      <c r="BY118" s="290"/>
      <c r="CA118" s="1460"/>
      <c r="CB118" s="1460"/>
      <c r="DA118" s="1451"/>
      <c r="DB118" s="1451"/>
      <c r="EA118" s="3311"/>
      <c r="EB118" s="3311"/>
    </row>
    <row r="119" spans="1:132" ht="32.1" customHeight="1" x14ac:dyDescent="0.2">
      <c r="A119" s="292" t="s">
        <v>3807</v>
      </c>
      <c r="B119" s="290"/>
      <c r="C119" s="290"/>
      <c r="D119" s="290"/>
      <c r="E119" s="290"/>
      <c r="F119" s="290"/>
      <c r="G119" s="290"/>
      <c r="H119" s="290"/>
      <c r="I119" s="290"/>
      <c r="J119" s="290"/>
      <c r="K119" s="290"/>
      <c r="L119" s="290"/>
      <c r="M119" s="290"/>
      <c r="N119" s="290"/>
      <c r="O119" s="290"/>
      <c r="P119" s="290"/>
      <c r="Q119" s="290"/>
      <c r="R119" s="290"/>
      <c r="AL119" s="290"/>
      <c r="AM119" s="290"/>
      <c r="AN119" s="290"/>
      <c r="AO119" s="290"/>
      <c r="AP119" s="290"/>
      <c r="AQ119" s="290"/>
      <c r="AR119" s="1460"/>
      <c r="AS119" s="1460"/>
      <c r="AT119" s="1460"/>
      <c r="AU119" s="1460"/>
      <c r="AV119" s="1460"/>
      <c r="AW119" s="1460"/>
      <c r="AX119" s="1460"/>
      <c r="AY119" s="1460"/>
      <c r="AZ119" s="1460"/>
      <c r="BA119" s="1460"/>
      <c r="BB119" s="1460"/>
      <c r="BC119" s="1460"/>
      <c r="BD119" s="1460"/>
      <c r="BE119" s="1460"/>
      <c r="BF119" s="1460"/>
      <c r="BG119" s="1460"/>
      <c r="BH119" s="1460"/>
      <c r="BI119" s="1460"/>
      <c r="BJ119" s="1460"/>
      <c r="BK119" s="1460"/>
      <c r="BL119" s="1460"/>
      <c r="BM119" s="1460"/>
      <c r="BN119" s="1460"/>
      <c r="BO119" s="1460"/>
      <c r="BP119" s="1460"/>
      <c r="BQ119" s="1460"/>
      <c r="BX119" s="290"/>
      <c r="BY119" s="290"/>
    </row>
    <row r="120" spans="1:132" ht="16.350000000000001" customHeight="1" x14ac:dyDescent="0.2">
      <c r="A120" s="9250" t="s">
        <v>31</v>
      </c>
      <c r="B120" s="9252" t="s">
        <v>973</v>
      </c>
      <c r="C120" s="8204"/>
      <c r="D120" s="8204"/>
      <c r="E120" s="8205"/>
      <c r="F120" s="9276" t="s">
        <v>44</v>
      </c>
      <c r="G120" s="9289"/>
      <c r="H120" s="9290" t="s">
        <v>972</v>
      </c>
      <c r="I120" s="8509"/>
      <c r="J120" s="8509"/>
      <c r="K120" s="8510"/>
      <c r="L120" s="9203" t="s">
        <v>971</v>
      </c>
      <c r="M120" s="9266" t="s">
        <v>2851</v>
      </c>
      <c r="N120" s="9203" t="s">
        <v>112</v>
      </c>
      <c r="O120" s="9191" t="s">
        <v>360</v>
      </c>
      <c r="P120" s="9191" t="s">
        <v>359</v>
      </c>
      <c r="AC120" s="1452"/>
      <c r="AD120" s="1452"/>
      <c r="AE120" s="1452"/>
      <c r="AI120" s="1452"/>
      <c r="AJ120" s="1452"/>
      <c r="AK120" s="1452"/>
      <c r="AL120" s="1460"/>
      <c r="AM120" s="1460"/>
      <c r="AN120" s="1460"/>
      <c r="AO120" s="1460"/>
      <c r="AP120" s="1460"/>
      <c r="AQ120" s="1460"/>
      <c r="AR120" s="1460"/>
      <c r="AS120" s="1460"/>
      <c r="AT120" s="1460"/>
      <c r="AU120" s="1460"/>
      <c r="AV120" s="1460"/>
      <c r="AW120" s="1460"/>
      <c r="AX120" s="1460"/>
      <c r="AY120" s="1460"/>
      <c r="AZ120" s="1460"/>
      <c r="BA120" s="1460"/>
      <c r="BB120" s="1460"/>
      <c r="BC120" s="1460"/>
      <c r="BD120" s="1460"/>
      <c r="BE120" s="1460"/>
      <c r="BF120" s="1460"/>
      <c r="BG120" s="1460"/>
      <c r="BH120" s="1460"/>
      <c r="BI120" s="1460"/>
      <c r="BJ120" s="1460"/>
      <c r="BK120" s="1460"/>
      <c r="BL120" s="290"/>
      <c r="BM120" s="290"/>
      <c r="BN120" s="290"/>
      <c r="BO120" s="290"/>
      <c r="BP120" s="290"/>
      <c r="BQ120" s="290"/>
      <c r="BX120" s="290"/>
      <c r="BY120" s="290"/>
    </row>
    <row r="121" spans="1:132" ht="21" customHeight="1" x14ac:dyDescent="0.2">
      <c r="A121" s="9251"/>
      <c r="B121" s="7206" t="s">
        <v>917</v>
      </c>
      <c r="C121" s="3004" t="s">
        <v>916</v>
      </c>
      <c r="D121" s="2979" t="s">
        <v>915</v>
      </c>
      <c r="E121" s="2982" t="s">
        <v>914</v>
      </c>
      <c r="F121" s="3272" t="s">
        <v>104</v>
      </c>
      <c r="G121" s="611" t="s">
        <v>69</v>
      </c>
      <c r="H121" s="4035" t="s">
        <v>2690</v>
      </c>
      <c r="I121" s="2979" t="s">
        <v>2689</v>
      </c>
      <c r="J121" s="3273" t="s">
        <v>2688</v>
      </c>
      <c r="K121" s="3274" t="s">
        <v>970</v>
      </c>
      <c r="L121" s="8444"/>
      <c r="M121" s="8518"/>
      <c r="N121" s="8444"/>
      <c r="O121" s="9192"/>
      <c r="P121" s="9192"/>
      <c r="AC121" s="1452"/>
      <c r="AD121" s="1452"/>
      <c r="AE121" s="1452"/>
      <c r="AI121" s="1452"/>
      <c r="AJ121" s="1452"/>
      <c r="AK121" s="1452"/>
      <c r="AL121" s="1460"/>
      <c r="AM121" s="1460"/>
      <c r="AN121" s="1460"/>
      <c r="AO121" s="1460"/>
      <c r="AP121" s="1460"/>
      <c r="AQ121" s="1460"/>
      <c r="AR121" s="1460"/>
      <c r="AS121" s="1460"/>
      <c r="AT121" s="1460"/>
      <c r="AU121" s="1460"/>
      <c r="AV121" s="1460"/>
      <c r="AW121" s="1460"/>
      <c r="AX121" s="1460"/>
      <c r="AY121" s="1460"/>
      <c r="AZ121" s="1460"/>
      <c r="BA121" s="1460"/>
      <c r="BB121" s="1460"/>
      <c r="BC121" s="1460"/>
      <c r="BD121" s="1460"/>
      <c r="BE121" s="1460"/>
      <c r="BF121" s="1460"/>
      <c r="BG121" s="1460"/>
      <c r="BH121" s="1460"/>
      <c r="BI121" s="1460"/>
      <c r="BJ121" s="1460"/>
      <c r="BK121" s="1460"/>
      <c r="BL121" s="290"/>
      <c r="BM121" s="290"/>
      <c r="BN121" s="290"/>
      <c r="BO121" s="290"/>
      <c r="BP121" s="290"/>
      <c r="BQ121" s="290"/>
      <c r="BX121" s="290"/>
      <c r="BY121" s="290"/>
    </row>
    <row r="122" spans="1:132" ht="26.25" customHeight="1" x14ac:dyDescent="0.2">
      <c r="A122" s="3108" t="s">
        <v>969</v>
      </c>
      <c r="B122" s="2996"/>
      <c r="C122" s="2994"/>
      <c r="D122" s="3003"/>
      <c r="E122" s="3002"/>
      <c r="F122" s="608"/>
      <c r="G122" s="607"/>
      <c r="H122" s="2998"/>
      <c r="I122" s="2996"/>
      <c r="J122" s="2996"/>
      <c r="K122" s="2999"/>
      <c r="L122" s="2994"/>
      <c r="M122" s="2996"/>
      <c r="N122" s="2994"/>
      <c r="O122" s="2832"/>
      <c r="P122" s="2832"/>
      <c r="Q122" s="1452"/>
      <c r="AC122" s="1452"/>
      <c r="AD122" s="1452"/>
      <c r="AE122" s="1452"/>
      <c r="AI122" s="1452"/>
      <c r="AJ122" s="1452"/>
      <c r="AK122" s="1452"/>
      <c r="AL122" s="1460"/>
      <c r="AM122" s="1460"/>
      <c r="AN122" s="1460"/>
      <c r="AO122" s="1460"/>
      <c r="AP122" s="1460"/>
      <c r="AQ122" s="1460"/>
      <c r="AR122" s="1460"/>
      <c r="AS122" s="1460"/>
      <c r="AT122" s="1460"/>
      <c r="AU122" s="1460"/>
      <c r="AV122" s="1460"/>
      <c r="AW122" s="1460"/>
      <c r="AX122" s="1460"/>
      <c r="AY122" s="1460"/>
      <c r="AZ122" s="1460"/>
      <c r="BA122" s="1460"/>
      <c r="BB122" s="1460"/>
      <c r="BC122" s="1460"/>
      <c r="BD122" s="1460"/>
      <c r="BE122" s="1460"/>
      <c r="BF122" s="1460"/>
      <c r="BG122" s="1460"/>
      <c r="BH122" s="1460"/>
      <c r="BI122" s="1460"/>
      <c r="BJ122" s="1460"/>
      <c r="BK122" s="1460"/>
      <c r="BL122" s="290"/>
      <c r="BM122" s="290"/>
      <c r="BN122" s="290"/>
      <c r="BO122" s="290"/>
      <c r="BP122" s="290"/>
      <c r="BQ122" s="290"/>
      <c r="BX122" s="290"/>
      <c r="BY122" s="290"/>
      <c r="DA122" s="3308">
        <v>0</v>
      </c>
      <c r="DB122" s="3308">
        <v>0</v>
      </c>
      <c r="DC122" s="3308">
        <v>0</v>
      </c>
      <c r="DD122" s="3308">
        <v>0</v>
      </c>
      <c r="DE122" s="3308">
        <v>0</v>
      </c>
      <c r="DF122" s="3308">
        <v>0</v>
      </c>
      <c r="DG122" s="3308">
        <v>0</v>
      </c>
    </row>
    <row r="123" spans="1:132" ht="18" customHeight="1" x14ac:dyDescent="0.2">
      <c r="A123" s="3107" t="s">
        <v>968</v>
      </c>
      <c r="B123" s="3006"/>
      <c r="C123" s="3005"/>
      <c r="D123" s="2997"/>
      <c r="E123" s="2995"/>
      <c r="F123" s="606"/>
      <c r="G123" s="605"/>
      <c r="H123" s="3000"/>
      <c r="I123" s="2997"/>
      <c r="J123" s="2997"/>
      <c r="K123" s="3001"/>
      <c r="L123" s="2995"/>
      <c r="M123" s="2997"/>
      <c r="N123" s="2995"/>
      <c r="O123" s="2833"/>
      <c r="P123" s="2833"/>
      <c r="Q123" s="1452"/>
      <c r="AC123" s="1452"/>
      <c r="AD123" s="1452"/>
      <c r="AE123" s="1452"/>
      <c r="AI123" s="1452"/>
      <c r="AJ123" s="1452"/>
      <c r="AK123" s="1452"/>
      <c r="AL123" s="1460"/>
      <c r="AM123" s="1460"/>
      <c r="AN123" s="1460"/>
      <c r="AO123" s="1460"/>
      <c r="AP123" s="1460"/>
      <c r="AQ123" s="1460"/>
      <c r="AR123" s="1460"/>
      <c r="AS123" s="1460"/>
      <c r="AT123" s="1460"/>
      <c r="AU123" s="1460"/>
      <c r="AV123" s="1460"/>
      <c r="AW123" s="1460"/>
      <c r="AX123" s="1460"/>
      <c r="AY123" s="1460"/>
      <c r="AZ123" s="1460"/>
      <c r="BA123" s="1460"/>
      <c r="BB123" s="1460"/>
      <c r="BC123" s="1460"/>
      <c r="BD123" s="1460"/>
      <c r="BE123" s="1460"/>
      <c r="BF123" s="1460"/>
      <c r="BG123" s="1460"/>
      <c r="BH123" s="1460"/>
      <c r="BI123" s="1460"/>
      <c r="BJ123" s="1460"/>
      <c r="BK123" s="1460"/>
      <c r="BL123" s="290"/>
      <c r="BM123" s="290"/>
      <c r="BN123" s="290"/>
      <c r="BO123" s="290"/>
      <c r="BP123" s="290"/>
      <c r="BQ123" s="290"/>
      <c r="BX123" s="290"/>
      <c r="BY123" s="290"/>
      <c r="DA123" s="3308">
        <v>0</v>
      </c>
      <c r="DB123" s="3308">
        <v>0</v>
      </c>
      <c r="DC123" s="3308">
        <v>0</v>
      </c>
      <c r="DD123" s="3308">
        <v>0</v>
      </c>
      <c r="DE123" s="3308">
        <v>0</v>
      </c>
      <c r="DF123" s="3308">
        <v>0</v>
      </c>
      <c r="DG123" s="3308">
        <v>0</v>
      </c>
    </row>
    <row r="124" spans="1:132" ht="32.1" customHeight="1" x14ac:dyDescent="0.2">
      <c r="A124" s="72" t="s">
        <v>3778</v>
      </c>
      <c r="B124" s="233"/>
      <c r="C124" s="233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140"/>
      <c r="V124" s="140"/>
      <c r="W124" s="140"/>
      <c r="AJ124" s="290"/>
      <c r="AK124" s="290"/>
      <c r="AL124" s="290"/>
      <c r="AM124" s="290"/>
      <c r="AN124" s="290"/>
      <c r="AO124" s="290"/>
      <c r="AP124" s="290"/>
      <c r="AQ124" s="290"/>
      <c r="AR124" s="290"/>
      <c r="AS124" s="290"/>
      <c r="AT124" s="290"/>
      <c r="AU124" s="290"/>
      <c r="AV124" s="290"/>
      <c r="AW124" s="290"/>
      <c r="AX124" s="290"/>
      <c r="BX124" s="290"/>
      <c r="BY124" s="290"/>
    </row>
    <row r="125" spans="1:132" ht="16.350000000000001" customHeight="1" x14ac:dyDescent="0.2">
      <c r="A125" s="9152" t="s">
        <v>31</v>
      </c>
      <c r="B125" s="8436"/>
      <c r="C125" s="8186" t="s">
        <v>24</v>
      </c>
      <c r="D125" s="9171" t="s">
        <v>84</v>
      </c>
      <c r="E125" s="9172"/>
      <c r="F125" s="9172"/>
      <c r="G125" s="9172"/>
      <c r="H125" s="9172"/>
      <c r="I125" s="9173"/>
      <c r="J125" s="9174" t="s">
        <v>358</v>
      </c>
      <c r="K125" s="140"/>
      <c r="L125" s="598"/>
      <c r="M125" s="598"/>
      <c r="N125" s="598"/>
      <c r="O125" s="598"/>
      <c r="P125" s="598"/>
      <c r="Q125" s="598"/>
      <c r="AD125" s="290"/>
      <c r="AE125" s="290"/>
      <c r="AF125" s="290"/>
      <c r="AG125" s="290"/>
      <c r="AH125" s="290"/>
      <c r="AI125" s="290"/>
      <c r="AJ125" s="290"/>
      <c r="AK125" s="290"/>
      <c r="AL125" s="290"/>
      <c r="AM125" s="290"/>
      <c r="AN125" s="290"/>
      <c r="AO125" s="290"/>
      <c r="AP125" s="290"/>
      <c r="AQ125" s="290"/>
      <c r="AR125" s="290"/>
    </row>
    <row r="126" spans="1:132" ht="16.350000000000001" customHeight="1" x14ac:dyDescent="0.2">
      <c r="A126" s="9153"/>
      <c r="B126" s="9154"/>
      <c r="C126" s="8187"/>
      <c r="D126" s="1986" t="s">
        <v>79</v>
      </c>
      <c r="E126" s="2008" t="s">
        <v>80</v>
      </c>
      <c r="F126" s="2008" t="s">
        <v>81</v>
      </c>
      <c r="G126" s="2008" t="s">
        <v>3472</v>
      </c>
      <c r="H126" s="2008" t="s">
        <v>3473</v>
      </c>
      <c r="I126" s="2035" t="s">
        <v>3474</v>
      </c>
      <c r="J126" s="8466"/>
      <c r="K126" s="140"/>
      <c r="L126" s="598"/>
      <c r="M126" s="598"/>
      <c r="N126" s="598"/>
      <c r="O126" s="598"/>
      <c r="P126" s="598"/>
      <c r="Q126" s="598"/>
    </row>
    <row r="127" spans="1:132" ht="28.5" customHeight="1" x14ac:dyDescent="0.2">
      <c r="A127" s="8153" t="s">
        <v>967</v>
      </c>
      <c r="B127" s="604" t="s">
        <v>966</v>
      </c>
      <c r="C127" s="574">
        <f>SUM(D127:I127)</f>
        <v>0</v>
      </c>
      <c r="D127" s="1987"/>
      <c r="E127" s="1835"/>
      <c r="F127" s="1835"/>
      <c r="G127" s="1835"/>
      <c r="H127" s="1835"/>
      <c r="I127" s="1870"/>
      <c r="J127" s="538"/>
      <c r="K127" s="1466"/>
      <c r="L127" s="802"/>
      <c r="M127" s="802"/>
      <c r="N127" s="802"/>
      <c r="O127" s="802"/>
      <c r="P127" s="802"/>
      <c r="Q127" s="802"/>
      <c r="R127" s="802"/>
      <c r="S127" s="802"/>
      <c r="T127" s="802"/>
      <c r="U127" s="802"/>
      <c r="V127" s="802"/>
      <c r="W127" s="290"/>
      <c r="X127" s="290"/>
      <c r="Y127" s="290"/>
    </row>
    <row r="128" spans="1:132" ht="21" customHeight="1" x14ac:dyDescent="0.2">
      <c r="A128" s="8154"/>
      <c r="B128" s="603" t="s">
        <v>965</v>
      </c>
      <c r="C128" s="81">
        <f>SUM(D128:I128)</f>
        <v>0</v>
      </c>
      <c r="D128" s="1990"/>
      <c r="E128" s="1989"/>
      <c r="F128" s="1989"/>
      <c r="G128" s="1989"/>
      <c r="H128" s="1989"/>
      <c r="I128" s="1997"/>
      <c r="J128" s="127"/>
      <c r="K128" s="1466"/>
      <c r="L128" s="802"/>
      <c r="M128" s="802"/>
      <c r="N128" s="802"/>
      <c r="O128" s="802"/>
      <c r="P128" s="802"/>
      <c r="Q128" s="802"/>
      <c r="R128" s="802"/>
      <c r="S128" s="802"/>
      <c r="T128" s="802"/>
      <c r="U128" s="802"/>
      <c r="V128" s="802"/>
      <c r="W128" s="290"/>
      <c r="X128" s="290"/>
      <c r="Y128" s="290"/>
    </row>
    <row r="129" spans="1:77" ht="21" customHeight="1" x14ac:dyDescent="0.2">
      <c r="A129" s="72" t="s">
        <v>3779</v>
      </c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140"/>
      <c r="P129" s="140"/>
      <c r="Q129" s="288"/>
      <c r="R129" s="288"/>
      <c r="S129" s="288"/>
      <c r="T129" s="288"/>
      <c r="U129" s="288"/>
      <c r="V129" s="288"/>
      <c r="W129" s="288"/>
      <c r="X129" s="290"/>
      <c r="Y129" s="290"/>
      <c r="Z129" s="290"/>
      <c r="AA129" s="290"/>
      <c r="AB129" s="290"/>
      <c r="AC129" s="290"/>
      <c r="AD129" s="290"/>
      <c r="AE129" s="290"/>
    </row>
    <row r="130" spans="1:77" ht="16.350000000000001" customHeight="1" x14ac:dyDescent="0.2">
      <c r="A130" s="8153" t="s">
        <v>886</v>
      </c>
      <c r="B130" s="8153" t="s">
        <v>964</v>
      </c>
      <c r="C130" s="140"/>
      <c r="D130" s="108"/>
      <c r="E130" s="140"/>
      <c r="F130" s="140"/>
      <c r="G130" s="140"/>
      <c r="H130" s="140"/>
      <c r="I130" s="140"/>
      <c r="J130" s="140"/>
      <c r="K130" s="140"/>
      <c r="L130" s="140"/>
      <c r="M130" s="140"/>
      <c r="N130" s="140"/>
      <c r="O130" s="140"/>
      <c r="P130" s="140"/>
      <c r="Q130" s="140"/>
      <c r="R130" s="140"/>
      <c r="S130" s="140"/>
      <c r="T130" s="140"/>
      <c r="U130" s="140"/>
      <c r="V130" s="140"/>
      <c r="W130" s="140"/>
    </row>
    <row r="131" spans="1:77" ht="16.350000000000001" customHeight="1" x14ac:dyDescent="0.2">
      <c r="A131" s="8154"/>
      <c r="B131" s="8154"/>
      <c r="C131" s="140"/>
      <c r="D131" s="108"/>
      <c r="E131" s="140"/>
      <c r="F131" s="140"/>
      <c r="G131" s="140"/>
      <c r="H131" s="140"/>
      <c r="I131" s="140"/>
      <c r="J131" s="140"/>
      <c r="K131" s="140"/>
      <c r="L131" s="140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</row>
    <row r="132" spans="1:77" ht="16.350000000000001" customHeight="1" x14ac:dyDescent="0.2">
      <c r="A132" s="602" t="s">
        <v>963</v>
      </c>
      <c r="B132" s="539"/>
      <c r="C132" s="105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</row>
    <row r="133" spans="1:77" ht="16.350000000000001" customHeight="1" x14ac:dyDescent="0.2">
      <c r="A133" s="601" t="s">
        <v>962</v>
      </c>
      <c r="B133" s="91"/>
      <c r="C133" s="105"/>
      <c r="D133" s="140"/>
      <c r="E133" s="140"/>
      <c r="F133" s="140"/>
      <c r="G133" s="140"/>
      <c r="H133" s="140"/>
      <c r="I133" s="140"/>
      <c r="J133" s="140"/>
      <c r="K133" s="140"/>
      <c r="L133" s="140"/>
      <c r="M133" s="140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</row>
    <row r="134" spans="1:77" ht="16.350000000000001" customHeight="1" x14ac:dyDescent="0.2">
      <c r="A134" s="601" t="s">
        <v>881</v>
      </c>
      <c r="B134" s="91"/>
      <c r="C134" s="105"/>
      <c r="D134" s="140"/>
      <c r="E134" s="140"/>
      <c r="F134" s="140"/>
      <c r="G134" s="140"/>
      <c r="H134" s="140"/>
      <c r="I134" s="140"/>
      <c r="J134" s="140"/>
      <c r="K134" s="140"/>
      <c r="L134" s="140"/>
      <c r="M134" s="140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</row>
    <row r="135" spans="1:77" ht="16.350000000000001" customHeight="1" x14ac:dyDescent="0.2">
      <c r="A135" s="601" t="s">
        <v>879</v>
      </c>
      <c r="B135" s="91"/>
      <c r="C135" s="105"/>
      <c r="D135" s="140"/>
      <c r="E135" s="140"/>
      <c r="F135" s="140"/>
      <c r="G135" s="140"/>
      <c r="H135" s="140"/>
      <c r="I135" s="140"/>
      <c r="J135" s="140"/>
      <c r="K135" s="140"/>
      <c r="L135" s="140"/>
      <c r="M135" s="140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</row>
    <row r="136" spans="1:77" ht="16.350000000000001" customHeight="1" x14ac:dyDescent="0.2">
      <c r="A136" s="601" t="s">
        <v>961</v>
      </c>
      <c r="B136" s="91"/>
      <c r="C136" s="105"/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</row>
    <row r="137" spans="1:77" ht="16.350000000000001" customHeight="1" x14ac:dyDescent="0.2">
      <c r="A137" s="203" t="s">
        <v>960</v>
      </c>
      <c r="B137" s="123"/>
      <c r="C137" s="105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</row>
    <row r="138" spans="1:77" ht="16.350000000000001" customHeight="1" x14ac:dyDescent="0.2">
      <c r="A138" s="203" t="s">
        <v>959</v>
      </c>
      <c r="B138" s="123"/>
      <c r="C138" s="105"/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</row>
    <row r="139" spans="1:77" ht="16.350000000000001" customHeight="1" x14ac:dyDescent="0.2">
      <c r="A139" s="203" t="s">
        <v>958</v>
      </c>
      <c r="B139" s="91"/>
      <c r="C139" s="105"/>
      <c r="D139" s="140"/>
      <c r="E139" s="140"/>
      <c r="F139" s="140"/>
      <c r="G139" s="140"/>
      <c r="H139" s="140"/>
      <c r="I139" s="140"/>
      <c r="J139" s="140"/>
      <c r="K139" s="140"/>
      <c r="L139" s="140"/>
      <c r="M139" s="140"/>
      <c r="N139" s="140"/>
      <c r="O139" s="140"/>
      <c r="P139" s="140"/>
      <c r="Q139" s="140"/>
      <c r="R139" s="140"/>
      <c r="S139" s="140"/>
      <c r="T139" s="140"/>
      <c r="U139" s="140"/>
      <c r="V139" s="140"/>
      <c r="W139" s="140"/>
    </row>
    <row r="140" spans="1:77" ht="16.350000000000001" customHeight="1" x14ac:dyDescent="0.2">
      <c r="A140" s="203" t="s">
        <v>957</v>
      </c>
      <c r="B140" s="123"/>
      <c r="C140" s="105"/>
      <c r="D140" s="140"/>
      <c r="E140" s="140"/>
      <c r="F140" s="140"/>
      <c r="G140" s="140"/>
      <c r="H140" s="140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BX140" s="290"/>
      <c r="BY140" s="290"/>
    </row>
    <row r="141" spans="1:77" ht="16.350000000000001" customHeight="1" x14ac:dyDescent="0.2">
      <c r="A141" s="600" t="s">
        <v>956</v>
      </c>
      <c r="B141" s="97"/>
      <c r="C141" s="105"/>
      <c r="D141" s="140"/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</row>
    <row r="142" spans="1:77" ht="16.350000000000001" customHeight="1" x14ac:dyDescent="0.2">
      <c r="A142" s="599" t="s">
        <v>955</v>
      </c>
      <c r="B142" s="97"/>
      <c r="C142" s="105"/>
      <c r="D142" s="140"/>
      <c r="E142" s="140"/>
      <c r="F142" s="140"/>
      <c r="G142" s="288"/>
      <c r="H142" s="288"/>
      <c r="I142" s="288"/>
      <c r="J142" s="288"/>
      <c r="K142" s="288"/>
      <c r="L142" s="288"/>
      <c r="M142" s="288"/>
      <c r="N142" s="288"/>
      <c r="O142" s="288"/>
      <c r="P142" s="288"/>
      <c r="Q142" s="288"/>
      <c r="R142" s="288"/>
      <c r="S142" s="288"/>
      <c r="T142" s="288"/>
      <c r="U142" s="288"/>
      <c r="V142" s="288"/>
      <c r="W142" s="140"/>
    </row>
    <row r="143" spans="1:77" ht="16.350000000000001" customHeight="1" x14ac:dyDescent="0.2">
      <c r="A143" s="599" t="s">
        <v>954</v>
      </c>
      <c r="B143" s="97"/>
      <c r="C143" s="105"/>
      <c r="D143" s="140"/>
      <c r="E143" s="140"/>
      <c r="F143" s="140"/>
      <c r="G143" s="288"/>
      <c r="H143" s="288"/>
      <c r="I143" s="288"/>
      <c r="J143" s="288"/>
      <c r="K143" s="288"/>
      <c r="L143" s="288"/>
      <c r="M143" s="288"/>
      <c r="N143" s="288"/>
      <c r="O143" s="288"/>
      <c r="P143" s="288"/>
      <c r="Q143" s="288"/>
      <c r="R143" s="288"/>
      <c r="S143" s="288"/>
      <c r="T143" s="288"/>
      <c r="U143" s="288"/>
      <c r="V143" s="288"/>
      <c r="W143" s="140"/>
    </row>
    <row r="144" spans="1:77" ht="26.25" customHeight="1" x14ac:dyDescent="0.2">
      <c r="A144" s="2167" t="s">
        <v>24</v>
      </c>
      <c r="B144" s="581">
        <f>SUM(B132:B143)</f>
        <v>0</v>
      </c>
      <c r="C144" s="140"/>
      <c r="D144" s="140"/>
      <c r="E144" s="140"/>
      <c r="F144" s="140"/>
      <c r="G144" s="288"/>
      <c r="H144" s="288"/>
      <c r="I144" s="288"/>
      <c r="J144" s="288"/>
      <c r="K144" s="288"/>
      <c r="L144" s="288"/>
      <c r="M144" s="288"/>
      <c r="N144" s="288"/>
      <c r="O144" s="288"/>
      <c r="P144" s="288"/>
      <c r="Q144" s="288"/>
      <c r="R144" s="288"/>
      <c r="S144" s="288"/>
      <c r="T144" s="288"/>
      <c r="U144" s="288"/>
      <c r="V144" s="288"/>
      <c r="W144" s="140"/>
      <c r="BW144" s="1460"/>
    </row>
    <row r="145" spans="1:106" ht="18.600000000000001" customHeight="1" x14ac:dyDescent="0.2">
      <c r="A145" s="133" t="s">
        <v>3780</v>
      </c>
      <c r="B145" s="150"/>
      <c r="C145" s="150"/>
      <c r="D145" s="140"/>
      <c r="F145" s="2443"/>
    </row>
    <row r="146" spans="1:106" ht="24" customHeight="1" x14ac:dyDescent="0.2">
      <c r="A146" s="9291" t="s">
        <v>937</v>
      </c>
      <c r="B146" s="9292"/>
      <c r="C146" s="2156" t="s">
        <v>2611</v>
      </c>
      <c r="D146" s="2156" t="s">
        <v>2612</v>
      </c>
      <c r="BV146" s="1460"/>
      <c r="BW146" s="1460"/>
    </row>
    <row r="147" spans="1:106" ht="21.75" customHeight="1" x14ac:dyDescent="0.2">
      <c r="A147" s="2156" t="s">
        <v>953</v>
      </c>
      <c r="B147" s="2115" t="s">
        <v>952</v>
      </c>
      <c r="C147" s="559"/>
      <c r="D147" s="559"/>
      <c r="E147" s="165" t="str">
        <f>CA147</f>
        <v/>
      </c>
      <c r="BV147" s="1460"/>
      <c r="BW147" s="1460"/>
      <c r="CA147" s="1451" t="str">
        <f>IF(C147&lt;D147,"* El número de llamadas válidas NO DEBE ser mayor al total de llamadas.","")</f>
        <v/>
      </c>
      <c r="DA147" s="1454">
        <f>IF(C147&lt;D147,1,0)</f>
        <v>0</v>
      </c>
    </row>
    <row r="148" spans="1:106" ht="22.5" customHeight="1" x14ac:dyDescent="0.2">
      <c r="A148" s="72" t="s">
        <v>3781</v>
      </c>
      <c r="B148" s="72"/>
      <c r="C148" s="72"/>
      <c r="D148" s="72"/>
      <c r="E148" s="72"/>
      <c r="F148" s="72"/>
      <c r="G148" s="292"/>
      <c r="H148" s="292"/>
      <c r="I148" s="292"/>
      <c r="J148" s="292"/>
      <c r="K148" s="292"/>
      <c r="L148" s="3969"/>
      <c r="M148" s="2650"/>
    </row>
    <row r="149" spans="1:106" ht="24" customHeight="1" x14ac:dyDescent="0.2">
      <c r="A149" s="9231" t="s">
        <v>937</v>
      </c>
      <c r="B149" s="9232"/>
      <c r="C149" s="8203" t="s">
        <v>951</v>
      </c>
      <c r="D149" s="8204"/>
      <c r="E149" s="8205"/>
      <c r="F149" s="8153" t="s">
        <v>358</v>
      </c>
      <c r="G149" s="9157" t="s">
        <v>950</v>
      </c>
      <c r="H149" s="9157"/>
      <c r="I149" s="8341"/>
      <c r="J149" s="8340" t="s">
        <v>949</v>
      </c>
      <c r="K149" s="9157"/>
      <c r="L149" s="8341"/>
      <c r="BW149" s="1460"/>
    </row>
    <row r="150" spans="1:106" ht="22.15" customHeight="1" x14ac:dyDescent="0.2">
      <c r="A150" s="9233"/>
      <c r="B150" s="9234"/>
      <c r="C150" s="3361" t="s">
        <v>24</v>
      </c>
      <c r="D150" s="2160" t="s">
        <v>948</v>
      </c>
      <c r="E150" s="2120" t="s">
        <v>947</v>
      </c>
      <c r="F150" s="8154"/>
      <c r="G150" s="2160" t="s">
        <v>946</v>
      </c>
      <c r="H150" s="2162" t="s">
        <v>945</v>
      </c>
      <c r="I150" s="2120" t="s">
        <v>944</v>
      </c>
      <c r="J150" s="2160" t="s">
        <v>946</v>
      </c>
      <c r="K150" s="2162" t="s">
        <v>945</v>
      </c>
      <c r="L150" s="2120" t="s">
        <v>944</v>
      </c>
      <c r="BW150" s="1460"/>
    </row>
    <row r="151" spans="1:106" ht="18" customHeight="1" x14ac:dyDescent="0.2">
      <c r="A151" s="8153" t="s">
        <v>943</v>
      </c>
      <c r="B151" s="3374" t="s">
        <v>942</v>
      </c>
      <c r="C151" s="574">
        <f>SUM(D151+E151)</f>
        <v>0</v>
      </c>
      <c r="D151" s="540"/>
      <c r="E151" s="538"/>
      <c r="F151" s="539"/>
      <c r="G151" s="540"/>
      <c r="H151" s="541"/>
      <c r="I151" s="538"/>
      <c r="J151" s="540"/>
      <c r="K151" s="541"/>
      <c r="L151" s="538"/>
      <c r="BW151" s="1460"/>
    </row>
    <row r="152" spans="1:106" ht="21.75" customHeight="1" x14ac:dyDescent="0.2">
      <c r="A152" s="8154"/>
      <c r="B152" s="3970" t="s">
        <v>941</v>
      </c>
      <c r="C152" s="478">
        <f>SUM(D152+E152)</f>
        <v>0</v>
      </c>
      <c r="D152" s="302"/>
      <c r="E152" s="337"/>
      <c r="F152" s="470"/>
      <c r="G152" s="302"/>
      <c r="H152" s="305"/>
      <c r="I152" s="337"/>
      <c r="J152" s="302"/>
      <c r="K152" s="305"/>
      <c r="L152" s="337"/>
      <c r="BW152" s="1460"/>
    </row>
    <row r="153" spans="1:106" ht="26.45" customHeight="1" x14ac:dyDescent="0.2">
      <c r="A153" s="133" t="s">
        <v>3782</v>
      </c>
      <c r="B153" s="140"/>
      <c r="C153" s="71"/>
      <c r="D153" s="71"/>
      <c r="E153" s="214"/>
      <c r="F153" s="140"/>
      <c r="G153" s="140"/>
    </row>
    <row r="154" spans="1:106" ht="28.15" customHeight="1" x14ac:dyDescent="0.2">
      <c r="A154" s="8203" t="s">
        <v>47</v>
      </c>
      <c r="B154" s="8205"/>
      <c r="C154" s="2156" t="s">
        <v>44</v>
      </c>
      <c r="D154" s="7537" t="s">
        <v>358</v>
      </c>
      <c r="E154" s="7680" t="s">
        <v>2603</v>
      </c>
      <c r="F154" s="7536" t="s">
        <v>135</v>
      </c>
      <c r="G154" s="288"/>
    </row>
    <row r="155" spans="1:106" ht="20.25" customHeight="1" x14ac:dyDescent="0.2">
      <c r="A155" s="8153" t="s">
        <v>934</v>
      </c>
      <c r="B155" s="3971" t="s">
        <v>938</v>
      </c>
      <c r="C155" s="202"/>
      <c r="D155" s="3399"/>
      <c r="E155" s="7681"/>
      <c r="F155" s="7682"/>
      <c r="G155" s="1466"/>
      <c r="DB155" s="3308">
        <v>0</v>
      </c>
    </row>
    <row r="156" spans="1:106" ht="22.5" customHeight="1" x14ac:dyDescent="0.2">
      <c r="A156" s="8154"/>
      <c r="B156" s="1349" t="s">
        <v>748</v>
      </c>
      <c r="C156" s="86"/>
      <c r="D156" s="125"/>
      <c r="E156" s="7683"/>
      <c r="F156" s="1706"/>
      <c r="G156" s="1466"/>
    </row>
    <row r="157" spans="1:106" ht="21" customHeight="1" x14ac:dyDescent="0.2">
      <c r="A157" s="3360" t="s">
        <v>939</v>
      </c>
      <c r="B157" s="476" t="s">
        <v>938</v>
      </c>
      <c r="C157" s="559"/>
      <c r="D157" s="558"/>
      <c r="E157" s="474"/>
      <c r="F157" s="3810"/>
      <c r="G157" s="1466"/>
    </row>
    <row r="158" spans="1:106" ht="21" customHeight="1" x14ac:dyDescent="0.2">
      <c r="A158" s="8153" t="s">
        <v>933</v>
      </c>
      <c r="B158" s="3971" t="s">
        <v>113</v>
      </c>
      <c r="C158" s="202"/>
      <c r="D158" s="177"/>
      <c r="E158" s="7178"/>
      <c r="F158" s="7679"/>
      <c r="G158" s="1466"/>
    </row>
    <row r="159" spans="1:106" ht="17.45" customHeight="1" x14ac:dyDescent="0.2">
      <c r="A159" s="8125"/>
      <c r="B159" s="2112" t="s">
        <v>929</v>
      </c>
      <c r="C159" s="123"/>
      <c r="D159" s="110"/>
      <c r="E159" s="4024"/>
      <c r="F159" s="2877"/>
      <c r="G159" s="1466"/>
    </row>
    <row r="160" spans="1:106" ht="19.899999999999999" customHeight="1" x14ac:dyDescent="0.2">
      <c r="A160" s="8154"/>
      <c r="B160" s="1349" t="s">
        <v>930</v>
      </c>
      <c r="C160" s="86"/>
      <c r="D160" s="125"/>
      <c r="E160" s="102"/>
      <c r="F160" s="127"/>
      <c r="G160" s="1466"/>
    </row>
    <row r="161" spans="1:106" ht="25.9" customHeight="1" x14ac:dyDescent="0.2">
      <c r="A161" s="3972" t="s">
        <v>3783</v>
      </c>
      <c r="B161" s="72"/>
      <c r="C161" s="72"/>
      <c r="D161" s="72"/>
      <c r="E161" s="72"/>
      <c r="F161" s="72"/>
      <c r="G161" s="72"/>
      <c r="H161" s="72"/>
      <c r="I161" s="2438"/>
    </row>
    <row r="162" spans="1:106" x14ac:dyDescent="0.2">
      <c r="A162" s="9231" t="s">
        <v>937</v>
      </c>
      <c r="B162" s="9232"/>
      <c r="C162" s="8203" t="s">
        <v>936</v>
      </c>
      <c r="D162" s="8204"/>
      <c r="E162" s="9235"/>
      <c r="F162" s="9236" t="s">
        <v>358</v>
      </c>
      <c r="G162" s="9238" t="s">
        <v>2603</v>
      </c>
      <c r="H162" s="9240" t="s">
        <v>135</v>
      </c>
      <c r="BW162" s="1460"/>
    </row>
    <row r="163" spans="1:106" x14ac:dyDescent="0.2">
      <c r="A163" s="9233"/>
      <c r="B163" s="9234"/>
      <c r="C163" s="3361" t="s">
        <v>935</v>
      </c>
      <c r="D163" s="2133" t="s">
        <v>934</v>
      </c>
      <c r="E163" s="2176" t="s">
        <v>933</v>
      </c>
      <c r="F163" s="9237"/>
      <c r="G163" s="9239"/>
      <c r="H163" s="9241"/>
      <c r="BW163" s="1460"/>
    </row>
    <row r="164" spans="1:106" ht="15.6" customHeight="1" x14ac:dyDescent="0.2">
      <c r="A164" s="9242" t="s">
        <v>932</v>
      </c>
      <c r="B164" s="3973" t="s">
        <v>930</v>
      </c>
      <c r="C164" s="574">
        <f t="shared" ref="C164:C169" si="18">SUM(D164:E164)</f>
        <v>0</v>
      </c>
      <c r="D164" s="540"/>
      <c r="E164" s="556"/>
      <c r="F164" s="541"/>
      <c r="G164" s="555"/>
      <c r="H164" s="538"/>
      <c r="I164" s="1452"/>
      <c r="BW164" s="1460"/>
      <c r="DB164" s="3308">
        <v>0</v>
      </c>
    </row>
    <row r="165" spans="1:106" ht="15.6" customHeight="1" x14ac:dyDescent="0.2">
      <c r="A165" s="8388"/>
      <c r="B165" s="2148" t="s">
        <v>113</v>
      </c>
      <c r="C165" s="109">
        <f t="shared" si="18"/>
        <v>0</v>
      </c>
      <c r="D165" s="110"/>
      <c r="E165" s="197"/>
      <c r="F165" s="136"/>
      <c r="G165" s="111"/>
      <c r="H165" s="144"/>
      <c r="I165" s="1452"/>
      <c r="BW165" s="1460"/>
      <c r="DB165" s="3308">
        <v>0</v>
      </c>
    </row>
    <row r="166" spans="1:106" ht="15.6" customHeight="1" x14ac:dyDescent="0.2">
      <c r="A166" s="8389"/>
      <c r="B166" s="3974" t="s">
        <v>929</v>
      </c>
      <c r="C166" s="81">
        <f t="shared" si="18"/>
        <v>0</v>
      </c>
      <c r="D166" s="125"/>
      <c r="E166" s="198"/>
      <c r="F166" s="102"/>
      <c r="G166" s="83"/>
      <c r="H166" s="127"/>
      <c r="I166" s="1452"/>
      <c r="BW166" s="1460"/>
    </row>
    <row r="167" spans="1:106" ht="18.600000000000001" customHeight="1" x14ac:dyDescent="0.2">
      <c r="A167" s="8153" t="s">
        <v>931</v>
      </c>
      <c r="B167" s="3973" t="s">
        <v>930</v>
      </c>
      <c r="C167" s="574">
        <f t="shared" si="18"/>
        <v>0</v>
      </c>
      <c r="D167" s="540"/>
      <c r="E167" s="556"/>
      <c r="F167" s="541"/>
      <c r="G167" s="555"/>
      <c r="H167" s="538"/>
      <c r="I167" s="1452"/>
      <c r="BW167" s="1460"/>
    </row>
    <row r="168" spans="1:106" ht="20.45" customHeight="1" x14ac:dyDescent="0.2">
      <c r="A168" s="8125"/>
      <c r="B168" s="2148" t="s">
        <v>113</v>
      </c>
      <c r="C168" s="109">
        <f t="shared" si="18"/>
        <v>0</v>
      </c>
      <c r="D168" s="110"/>
      <c r="E168" s="197"/>
      <c r="F168" s="136"/>
      <c r="G168" s="111"/>
      <c r="H168" s="144"/>
      <c r="I168" s="1452"/>
      <c r="BW168" s="1460"/>
    </row>
    <row r="169" spans="1:106" ht="21" customHeight="1" x14ac:dyDescent="0.2">
      <c r="A169" s="8154"/>
      <c r="B169" s="3974" t="s">
        <v>929</v>
      </c>
      <c r="C169" s="81">
        <f t="shared" si="18"/>
        <v>0</v>
      </c>
      <c r="D169" s="125"/>
      <c r="E169" s="198"/>
      <c r="F169" s="102"/>
      <c r="G169" s="83"/>
      <c r="H169" s="127"/>
      <c r="I169" s="1452"/>
      <c r="BW169" s="1460"/>
    </row>
    <row r="170" spans="1:106" ht="27" customHeight="1" x14ac:dyDescent="0.2">
      <c r="A170" s="365" t="s">
        <v>3784</v>
      </c>
      <c r="B170" s="365"/>
      <c r="C170" s="365"/>
      <c r="D170" s="365"/>
      <c r="E170" s="140"/>
      <c r="G170" s="140"/>
      <c r="H170" s="140"/>
      <c r="I170" s="140"/>
      <c r="J170" s="288"/>
      <c r="K170" s="288"/>
      <c r="L170" s="288"/>
      <c r="M170" s="288"/>
      <c r="N170" s="288"/>
      <c r="O170" s="290"/>
      <c r="P170" s="288"/>
      <c r="Q170" s="288"/>
      <c r="R170" s="288"/>
      <c r="S170" s="288"/>
      <c r="T170" s="288"/>
      <c r="U170" s="288"/>
      <c r="V170" s="288"/>
      <c r="W170" s="288"/>
      <c r="X170" s="290"/>
      <c r="Y170" s="290"/>
      <c r="Z170" s="290"/>
      <c r="AA170" s="290"/>
      <c r="AM170" s="2437"/>
    </row>
    <row r="171" spans="1:106" x14ac:dyDescent="0.2">
      <c r="A171" s="9267" t="s">
        <v>928</v>
      </c>
      <c r="B171" s="9270" t="s">
        <v>927</v>
      </c>
      <c r="C171" s="9271"/>
      <c r="D171" s="9272"/>
      <c r="E171" s="9276" t="s">
        <v>84</v>
      </c>
      <c r="F171" s="9277"/>
      <c r="G171" s="9277"/>
      <c r="H171" s="9277"/>
      <c r="I171" s="9277"/>
      <c r="J171" s="9277"/>
      <c r="K171" s="9277"/>
      <c r="L171" s="9277"/>
      <c r="M171" s="9277"/>
      <c r="N171" s="9277"/>
      <c r="O171" s="9277"/>
      <c r="P171" s="9277"/>
      <c r="Q171" s="9277"/>
      <c r="R171" s="9277"/>
      <c r="S171" s="9277"/>
      <c r="T171" s="9277"/>
      <c r="U171" s="9277"/>
      <c r="V171" s="9277"/>
      <c r="W171" s="9277"/>
      <c r="X171" s="9277"/>
      <c r="Y171" s="9277"/>
      <c r="Z171" s="9277"/>
      <c r="AA171" s="9277"/>
      <c r="AB171" s="9277"/>
      <c r="AC171" s="9277"/>
      <c r="AD171" s="9277"/>
      <c r="AE171" s="9277"/>
      <c r="AF171" s="9277"/>
      <c r="AG171" s="9277"/>
      <c r="AH171" s="9277"/>
      <c r="AI171" s="9277"/>
      <c r="AJ171" s="9277"/>
      <c r="AK171" s="9277"/>
      <c r="AL171" s="9278"/>
      <c r="BW171" s="1460"/>
    </row>
    <row r="172" spans="1:106" x14ac:dyDescent="0.2">
      <c r="A172" s="9268"/>
      <c r="B172" s="9273"/>
      <c r="C172" s="9274"/>
      <c r="D172" s="9275"/>
      <c r="E172" s="9165" t="s">
        <v>397</v>
      </c>
      <c r="F172" s="9166"/>
      <c r="G172" s="9165" t="s">
        <v>54</v>
      </c>
      <c r="H172" s="9166"/>
      <c r="I172" s="9165" t="s">
        <v>79</v>
      </c>
      <c r="J172" s="9166"/>
      <c r="K172" s="9165" t="s">
        <v>80</v>
      </c>
      <c r="L172" s="9166"/>
      <c r="M172" s="9165" t="s">
        <v>81</v>
      </c>
      <c r="N172" s="9166"/>
      <c r="O172" s="9155" t="s">
        <v>82</v>
      </c>
      <c r="P172" s="9158"/>
      <c r="Q172" s="9155" t="s">
        <v>83</v>
      </c>
      <c r="R172" s="9158"/>
      <c r="S172" s="9155" t="s">
        <v>398</v>
      </c>
      <c r="T172" s="9158"/>
      <c r="U172" s="9155" t="s">
        <v>124</v>
      </c>
      <c r="V172" s="9158"/>
      <c r="W172" s="9155" t="s">
        <v>125</v>
      </c>
      <c r="X172" s="9158"/>
      <c r="Y172" s="9155" t="s">
        <v>126</v>
      </c>
      <c r="Z172" s="9158"/>
      <c r="AA172" s="9155" t="s">
        <v>127</v>
      </c>
      <c r="AB172" s="9158"/>
      <c r="AC172" s="9155" t="s">
        <v>128</v>
      </c>
      <c r="AD172" s="9158"/>
      <c r="AE172" s="9155" t="s">
        <v>129</v>
      </c>
      <c r="AF172" s="9158"/>
      <c r="AG172" s="9155" t="s">
        <v>130</v>
      </c>
      <c r="AH172" s="9158"/>
      <c r="AI172" s="9155" t="s">
        <v>131</v>
      </c>
      <c r="AJ172" s="9158"/>
      <c r="AK172" s="8571" t="s">
        <v>1403</v>
      </c>
      <c r="AL172" s="9193"/>
      <c r="BW172" s="1460"/>
    </row>
    <row r="173" spans="1:106" x14ac:dyDescent="0.2">
      <c r="A173" s="9269"/>
      <c r="B173" s="3975" t="s">
        <v>42</v>
      </c>
      <c r="C173" s="3976" t="s">
        <v>17</v>
      </c>
      <c r="D173" s="3977" t="s">
        <v>18</v>
      </c>
      <c r="E173" s="2133" t="s">
        <v>706</v>
      </c>
      <c r="F173" s="2117" t="s">
        <v>18</v>
      </c>
      <c r="G173" s="2133" t="s">
        <v>706</v>
      </c>
      <c r="H173" s="2117" t="s">
        <v>18</v>
      </c>
      <c r="I173" s="2133" t="s">
        <v>706</v>
      </c>
      <c r="J173" s="2117" t="s">
        <v>18</v>
      </c>
      <c r="K173" s="2133" t="s">
        <v>706</v>
      </c>
      <c r="L173" s="2116" t="s">
        <v>18</v>
      </c>
      <c r="M173" s="2133" t="s">
        <v>706</v>
      </c>
      <c r="N173" s="2117" t="s">
        <v>18</v>
      </c>
      <c r="O173" s="2133" t="s">
        <v>706</v>
      </c>
      <c r="P173" s="2116" t="s">
        <v>18</v>
      </c>
      <c r="Q173" s="2133" t="s">
        <v>706</v>
      </c>
      <c r="R173" s="2117" t="s">
        <v>18</v>
      </c>
      <c r="S173" s="2133" t="s">
        <v>706</v>
      </c>
      <c r="T173" s="2116" t="s">
        <v>18</v>
      </c>
      <c r="U173" s="2133" t="s">
        <v>706</v>
      </c>
      <c r="V173" s="2117" t="s">
        <v>18</v>
      </c>
      <c r="W173" s="2133" t="s">
        <v>706</v>
      </c>
      <c r="X173" s="2116" t="s">
        <v>18</v>
      </c>
      <c r="Y173" s="2133" t="s">
        <v>706</v>
      </c>
      <c r="Z173" s="2117" t="s">
        <v>18</v>
      </c>
      <c r="AA173" s="2133" t="s">
        <v>706</v>
      </c>
      <c r="AB173" s="2117" t="s">
        <v>18</v>
      </c>
      <c r="AC173" s="2133" t="s">
        <v>706</v>
      </c>
      <c r="AD173" s="2117" t="s">
        <v>18</v>
      </c>
      <c r="AE173" s="2133" t="s">
        <v>706</v>
      </c>
      <c r="AF173" s="2117" t="s">
        <v>18</v>
      </c>
      <c r="AG173" s="2133" t="s">
        <v>706</v>
      </c>
      <c r="AH173" s="2117" t="s">
        <v>18</v>
      </c>
      <c r="AI173" s="2133" t="s">
        <v>706</v>
      </c>
      <c r="AJ173" s="2117" t="s">
        <v>18</v>
      </c>
      <c r="AK173" s="2133" t="s">
        <v>706</v>
      </c>
      <c r="AL173" s="2117" t="s">
        <v>18</v>
      </c>
      <c r="BW173" s="1460"/>
    </row>
    <row r="174" spans="1:106" x14ac:dyDescent="0.2">
      <c r="A174" s="3978" t="s">
        <v>926</v>
      </c>
      <c r="B174" s="3979">
        <f>SUM(C174+D174)</f>
        <v>0</v>
      </c>
      <c r="C174" s="3980">
        <f>SUM(O174+Q174+S174+U174+W174+Y174+AA174+AC174+AE174+AG174+AI174+AK174)</f>
        <v>0</v>
      </c>
      <c r="D174" s="3981">
        <f>SUM(P174+R174+T174+V174+X174+Z174+AB174+AD174+AF174+AH174+AJ174+AL174)</f>
        <v>0</v>
      </c>
      <c r="E174" s="3982"/>
      <c r="F174" s="3983"/>
      <c r="G174" s="3984"/>
      <c r="H174" s="3985"/>
      <c r="I174" s="3982"/>
      <c r="J174" s="3983"/>
      <c r="K174" s="3984"/>
      <c r="L174" s="3985"/>
      <c r="M174" s="3984"/>
      <c r="N174" s="3985"/>
      <c r="O174" s="3986"/>
      <c r="P174" s="3987"/>
      <c r="Q174" s="3988"/>
      <c r="R174" s="3989"/>
      <c r="S174" s="3986"/>
      <c r="T174" s="3987"/>
      <c r="U174" s="3988"/>
      <c r="V174" s="3989"/>
      <c r="W174" s="3986"/>
      <c r="X174" s="3987"/>
      <c r="Y174" s="3988"/>
      <c r="Z174" s="3989"/>
      <c r="AA174" s="3988"/>
      <c r="AB174" s="3989"/>
      <c r="AC174" s="3988"/>
      <c r="AD174" s="3989"/>
      <c r="AE174" s="3988"/>
      <c r="AF174" s="3989"/>
      <c r="AG174" s="3988"/>
      <c r="AH174" s="3989"/>
      <c r="AI174" s="3988"/>
      <c r="AJ174" s="3989"/>
      <c r="AK174" s="3988"/>
      <c r="AL174" s="3989"/>
      <c r="BW174" s="1460"/>
    </row>
    <row r="175" spans="1:106" x14ac:dyDescent="0.2">
      <c r="A175" s="3055" t="s">
        <v>925</v>
      </c>
      <c r="B175" s="2973">
        <f>SUM(C175+D175)</f>
        <v>0</v>
      </c>
      <c r="C175" s="3990">
        <f t="shared" ref="C175:D177" si="19">SUM(E175+G175+I175+K175+M175+O175+Q175+S175+U175+W175+Y175+AA175+AC175+AE175+AG175+AI175+AK175)</f>
        <v>0</v>
      </c>
      <c r="D175" s="184">
        <f t="shared" si="19"/>
        <v>0</v>
      </c>
      <c r="E175" s="3991"/>
      <c r="F175" s="3992"/>
      <c r="G175" s="3991"/>
      <c r="H175" s="3992"/>
      <c r="I175" s="3991"/>
      <c r="J175" s="3992"/>
      <c r="K175" s="3993"/>
      <c r="L175" s="3994"/>
      <c r="M175" s="3991"/>
      <c r="N175" s="3992"/>
      <c r="O175" s="3993"/>
      <c r="P175" s="3994"/>
      <c r="Q175" s="3991"/>
      <c r="R175" s="3992"/>
      <c r="S175" s="3993"/>
      <c r="T175" s="3994"/>
      <c r="U175" s="3991"/>
      <c r="V175" s="3992"/>
      <c r="W175" s="3993"/>
      <c r="X175" s="3994"/>
      <c r="Y175" s="3991"/>
      <c r="Z175" s="3992"/>
      <c r="AA175" s="3991"/>
      <c r="AB175" s="3992"/>
      <c r="AC175" s="3991"/>
      <c r="AD175" s="3992"/>
      <c r="AE175" s="3991"/>
      <c r="AF175" s="3992"/>
      <c r="AG175" s="3991"/>
      <c r="AH175" s="3992"/>
      <c r="AI175" s="3991"/>
      <c r="AJ175" s="3992"/>
      <c r="AK175" s="3991"/>
      <c r="AL175" s="3992"/>
      <c r="BW175" s="1460"/>
    </row>
    <row r="176" spans="1:106" x14ac:dyDescent="0.2">
      <c r="A176" s="3995" t="s">
        <v>924</v>
      </c>
      <c r="B176" s="2973">
        <f>SUM(C176+D176)</f>
        <v>0</v>
      </c>
      <c r="C176" s="3990">
        <f t="shared" si="19"/>
        <v>0</v>
      </c>
      <c r="D176" s="184">
        <f t="shared" si="19"/>
        <v>0</v>
      </c>
      <c r="E176" s="3991"/>
      <c r="F176" s="3992"/>
      <c r="G176" s="3991"/>
      <c r="H176" s="3992"/>
      <c r="I176" s="3991"/>
      <c r="J176" s="3992"/>
      <c r="K176" s="3993"/>
      <c r="L176" s="3994"/>
      <c r="M176" s="3991"/>
      <c r="N176" s="3992"/>
      <c r="O176" s="3993"/>
      <c r="P176" s="3994"/>
      <c r="Q176" s="3991"/>
      <c r="R176" s="3992"/>
      <c r="S176" s="3993"/>
      <c r="T176" s="3994"/>
      <c r="U176" s="3991"/>
      <c r="V176" s="3992"/>
      <c r="W176" s="3993"/>
      <c r="X176" s="3994"/>
      <c r="Y176" s="3991"/>
      <c r="Z176" s="3992"/>
      <c r="AA176" s="3991"/>
      <c r="AB176" s="3992"/>
      <c r="AC176" s="3991"/>
      <c r="AD176" s="3992"/>
      <c r="AE176" s="3991"/>
      <c r="AF176" s="3992"/>
      <c r="AG176" s="3991"/>
      <c r="AH176" s="3992"/>
      <c r="AI176" s="3991"/>
      <c r="AJ176" s="3992"/>
      <c r="AK176" s="3991"/>
      <c r="AL176" s="3992"/>
      <c r="BW176" s="1460"/>
    </row>
    <row r="177" spans="1:112" x14ac:dyDescent="0.2">
      <c r="A177" s="3996" t="s">
        <v>70</v>
      </c>
      <c r="B177" s="3997">
        <f>SUM(C177+D177)</f>
        <v>0</v>
      </c>
      <c r="C177" s="3998">
        <f t="shared" si="19"/>
        <v>0</v>
      </c>
      <c r="D177" s="402">
        <f t="shared" si="19"/>
        <v>0</v>
      </c>
      <c r="E177" s="3999"/>
      <c r="F177" s="4000"/>
      <c r="G177" s="3999"/>
      <c r="H177" s="4000"/>
      <c r="I177" s="3999"/>
      <c r="J177" s="4000"/>
      <c r="K177" s="4001"/>
      <c r="L177" s="4002"/>
      <c r="M177" s="3999"/>
      <c r="N177" s="4000"/>
      <c r="O177" s="4001"/>
      <c r="P177" s="4002"/>
      <c r="Q177" s="3999"/>
      <c r="R177" s="4000"/>
      <c r="S177" s="4001"/>
      <c r="T177" s="4002"/>
      <c r="U177" s="3999"/>
      <c r="V177" s="4000"/>
      <c r="W177" s="4001"/>
      <c r="X177" s="4002"/>
      <c r="Y177" s="3999"/>
      <c r="Z177" s="4000"/>
      <c r="AA177" s="3999"/>
      <c r="AB177" s="4000"/>
      <c r="AC177" s="3999"/>
      <c r="AD177" s="4000"/>
      <c r="AE177" s="3999"/>
      <c r="AF177" s="4000"/>
      <c r="AG177" s="3999"/>
      <c r="AH177" s="4000"/>
      <c r="AI177" s="3999"/>
      <c r="AJ177" s="4000"/>
      <c r="AK177" s="3999"/>
      <c r="AL177" s="4000"/>
      <c r="BW177" s="1460"/>
    </row>
    <row r="178" spans="1:112" ht="26.25" customHeight="1" x14ac:dyDescent="0.2">
      <c r="A178" s="7209" t="s">
        <v>3785</v>
      </c>
      <c r="B178" s="7208"/>
      <c r="C178" s="140"/>
      <c r="D178" s="140"/>
      <c r="E178" s="140"/>
      <c r="F178" s="140"/>
      <c r="G178" s="288"/>
      <c r="H178" s="288"/>
      <c r="I178" s="288"/>
      <c r="J178" s="288"/>
      <c r="K178" s="288"/>
      <c r="L178" s="288"/>
      <c r="M178" s="288"/>
      <c r="N178" s="288"/>
      <c r="O178" s="288"/>
      <c r="P178" s="288"/>
      <c r="Q178" s="288"/>
      <c r="R178" s="288"/>
      <c r="S178" s="288"/>
      <c r="T178" s="288"/>
      <c r="U178" s="288"/>
      <c r="V178" s="288"/>
      <c r="W178" s="140"/>
      <c r="BW178" s="1460"/>
    </row>
    <row r="179" spans="1:112" ht="32.1" customHeight="1" x14ac:dyDescent="0.2">
      <c r="A179" s="9152" t="s">
        <v>31</v>
      </c>
      <c r="B179" s="8436"/>
      <c r="C179" s="9152" t="s">
        <v>24</v>
      </c>
      <c r="D179" s="9194"/>
      <c r="E179" s="8436"/>
      <c r="F179" s="9159" t="s">
        <v>923</v>
      </c>
      <c r="G179" s="9160"/>
      <c r="H179" s="9160"/>
      <c r="I179" s="9160"/>
      <c r="J179" s="9160"/>
      <c r="K179" s="9160"/>
      <c r="L179" s="9160"/>
      <c r="M179" s="9160"/>
      <c r="N179" s="9160"/>
      <c r="O179" s="9160"/>
      <c r="P179" s="9160"/>
      <c r="Q179" s="9160"/>
      <c r="R179" s="9160"/>
      <c r="S179" s="9160"/>
      <c r="T179" s="9160"/>
      <c r="U179" s="9161"/>
      <c r="V179" s="8176" t="s">
        <v>78</v>
      </c>
      <c r="W179" s="9175" t="s">
        <v>922</v>
      </c>
      <c r="X179" s="9175" t="s">
        <v>921</v>
      </c>
      <c r="Y179" s="9175" t="s">
        <v>920</v>
      </c>
      <c r="Z179" s="9175" t="s">
        <v>919</v>
      </c>
      <c r="AA179" s="9202" t="s">
        <v>1766</v>
      </c>
      <c r="AB179" s="9176" t="s">
        <v>918</v>
      </c>
      <c r="AC179" s="9176"/>
      <c r="AD179" s="9176"/>
      <c r="AE179" s="9176"/>
      <c r="AF179" s="9205" t="s">
        <v>44</v>
      </c>
      <c r="AG179" s="9206"/>
      <c r="AH179" s="9203" t="s">
        <v>971</v>
      </c>
      <c r="AI179" s="8446" t="s">
        <v>2659</v>
      </c>
      <c r="AJ179" s="8446" t="s">
        <v>360</v>
      </c>
      <c r="AK179" s="8446" t="s">
        <v>359</v>
      </c>
      <c r="AL179" s="290"/>
      <c r="AM179" s="290"/>
      <c r="AN179" s="290"/>
      <c r="AO179" s="290"/>
      <c r="AP179" s="290"/>
      <c r="AQ179" s="290"/>
      <c r="AR179" s="290"/>
      <c r="AS179" s="290"/>
      <c r="AT179" s="290"/>
      <c r="AU179" s="290"/>
      <c r="BX179" s="290"/>
      <c r="BY179" s="290"/>
    </row>
    <row r="180" spans="1:112" ht="16.350000000000001" customHeight="1" x14ac:dyDescent="0.2">
      <c r="A180" s="8458"/>
      <c r="B180" s="8437"/>
      <c r="C180" s="8458"/>
      <c r="D180" s="9254"/>
      <c r="E180" s="8437"/>
      <c r="F180" s="8497" t="s">
        <v>397</v>
      </c>
      <c r="G180" s="8497"/>
      <c r="H180" s="8497" t="s">
        <v>54</v>
      </c>
      <c r="I180" s="8497"/>
      <c r="J180" s="8497" t="s">
        <v>79</v>
      </c>
      <c r="K180" s="8497"/>
      <c r="L180" s="8497" t="s">
        <v>3475</v>
      </c>
      <c r="M180" s="8497"/>
      <c r="N180" s="8497" t="s">
        <v>3476</v>
      </c>
      <c r="O180" s="8497"/>
      <c r="P180" s="9253" t="s">
        <v>3477</v>
      </c>
      <c r="Q180" s="9253"/>
      <c r="R180" s="9253" t="s">
        <v>52</v>
      </c>
      <c r="S180" s="9253"/>
      <c r="T180" s="9255" t="s">
        <v>3478</v>
      </c>
      <c r="U180" s="9256"/>
      <c r="V180" s="8151"/>
      <c r="W180" s="9175"/>
      <c r="X180" s="9175"/>
      <c r="Y180" s="9175"/>
      <c r="Z180" s="9175"/>
      <c r="AA180" s="9202"/>
      <c r="AB180" s="9175" t="s">
        <v>917</v>
      </c>
      <c r="AC180" s="9175" t="s">
        <v>916</v>
      </c>
      <c r="AD180" s="9175" t="s">
        <v>915</v>
      </c>
      <c r="AE180" s="9202" t="s">
        <v>914</v>
      </c>
      <c r="AF180" s="9177" t="s">
        <v>104</v>
      </c>
      <c r="AG180" s="9178" t="s">
        <v>69</v>
      </c>
      <c r="AH180" s="8151"/>
      <c r="AI180" s="8125"/>
      <c r="AJ180" s="8125"/>
      <c r="AK180" s="8125"/>
      <c r="AL180" s="290"/>
      <c r="AM180" s="290"/>
      <c r="AN180" s="290"/>
      <c r="AO180" s="290"/>
      <c r="AP180" s="290"/>
      <c r="AQ180" s="290"/>
      <c r="AR180" s="290"/>
      <c r="AS180" s="290"/>
      <c r="AT180" s="290"/>
      <c r="AU180" s="290"/>
      <c r="BX180" s="290"/>
    </row>
    <row r="181" spans="1:112" ht="16.350000000000001" customHeight="1" x14ac:dyDescent="0.2">
      <c r="A181" s="9153"/>
      <c r="B181" s="9154"/>
      <c r="C181" s="2130" t="s">
        <v>42</v>
      </c>
      <c r="D181" s="2131" t="s">
        <v>706</v>
      </c>
      <c r="E181" s="2123" t="s">
        <v>18</v>
      </c>
      <c r="F181" s="3076" t="s">
        <v>706</v>
      </c>
      <c r="G181" s="3074" t="s">
        <v>18</v>
      </c>
      <c r="H181" s="3076" t="s">
        <v>706</v>
      </c>
      <c r="I181" s="3074" t="s">
        <v>18</v>
      </c>
      <c r="J181" s="3076" t="s">
        <v>706</v>
      </c>
      <c r="K181" s="3074" t="s">
        <v>18</v>
      </c>
      <c r="L181" s="3076" t="s">
        <v>706</v>
      </c>
      <c r="M181" s="3074" t="s">
        <v>18</v>
      </c>
      <c r="N181" s="3076" t="s">
        <v>706</v>
      </c>
      <c r="O181" s="3074" t="s">
        <v>18</v>
      </c>
      <c r="P181" s="3076" t="s">
        <v>706</v>
      </c>
      <c r="Q181" s="3074" t="s">
        <v>18</v>
      </c>
      <c r="R181" s="3076" t="s">
        <v>706</v>
      </c>
      <c r="S181" s="3074" t="s">
        <v>18</v>
      </c>
      <c r="T181" s="3066" t="s">
        <v>706</v>
      </c>
      <c r="U181" s="3102" t="s">
        <v>18</v>
      </c>
      <c r="V181" s="8271"/>
      <c r="W181" s="9175"/>
      <c r="X181" s="9175"/>
      <c r="Y181" s="9175"/>
      <c r="Z181" s="9175"/>
      <c r="AA181" s="9202"/>
      <c r="AB181" s="9175"/>
      <c r="AC181" s="9175"/>
      <c r="AD181" s="9175"/>
      <c r="AE181" s="9202"/>
      <c r="AF181" s="9177"/>
      <c r="AG181" s="9178"/>
      <c r="AH181" s="9204"/>
      <c r="AI181" s="8447"/>
      <c r="AJ181" s="8447"/>
      <c r="AK181" s="8447"/>
      <c r="AL181" s="290"/>
      <c r="AM181" s="290"/>
      <c r="AN181" s="290"/>
      <c r="AO181" s="290"/>
      <c r="AP181" s="290"/>
      <c r="AQ181" s="290"/>
      <c r="AR181" s="290"/>
      <c r="AS181" s="290"/>
      <c r="AT181" s="290"/>
      <c r="AU181" s="290"/>
      <c r="BX181" s="290"/>
    </row>
    <row r="182" spans="1:112" ht="20.25" customHeight="1" x14ac:dyDescent="0.2">
      <c r="A182" s="9151" t="s">
        <v>913</v>
      </c>
      <c r="B182" s="1348" t="s">
        <v>912</v>
      </c>
      <c r="C182" s="596">
        <f>SUM(D182:E182)</f>
        <v>0</v>
      </c>
      <c r="D182" s="573">
        <f>SUM(F182+H182+J182+L182+N182+P182+R182+T182)</f>
        <v>0</v>
      </c>
      <c r="E182" s="7207">
        <f>G182+I182+K182+M182+O182+Q182+S182+U182</f>
        <v>0</v>
      </c>
      <c r="F182" s="3103"/>
      <c r="G182" s="3104"/>
      <c r="H182" s="3103"/>
      <c r="I182" s="3104"/>
      <c r="J182" s="3103"/>
      <c r="K182" s="3104"/>
      <c r="L182" s="3103"/>
      <c r="M182" s="3104"/>
      <c r="N182" s="3103"/>
      <c r="O182" s="3104"/>
      <c r="P182" s="3103"/>
      <c r="Q182" s="3104"/>
      <c r="R182" s="3103"/>
      <c r="S182" s="3104"/>
      <c r="T182" s="3103"/>
      <c r="U182" s="3105"/>
      <c r="V182" s="3101"/>
      <c r="W182" s="2771"/>
      <c r="X182" s="2771"/>
      <c r="Y182" s="2771"/>
      <c r="Z182" s="2771"/>
      <c r="AA182" s="2773"/>
      <c r="AB182" s="2771"/>
      <c r="AC182" s="2771"/>
      <c r="AD182" s="2771"/>
      <c r="AE182" s="2770"/>
      <c r="AF182" s="2996"/>
      <c r="AG182" s="3013"/>
      <c r="AH182" s="2994"/>
      <c r="AI182" s="2771"/>
      <c r="AJ182" s="2771"/>
      <c r="AK182" s="2771"/>
      <c r="AL182" s="1493"/>
      <c r="AM182" s="802"/>
      <c r="AN182" s="802"/>
      <c r="AO182" s="802"/>
      <c r="AP182" s="802"/>
      <c r="AQ182" s="802"/>
      <c r="AR182" s="802"/>
      <c r="AS182" s="290"/>
      <c r="AT182" s="290"/>
      <c r="BX182" s="290"/>
      <c r="DB182" s="3308">
        <v>0</v>
      </c>
      <c r="DD182" s="3308">
        <v>0</v>
      </c>
      <c r="DF182" s="3308">
        <v>0</v>
      </c>
      <c r="DH182" s="3308">
        <v>0</v>
      </c>
    </row>
    <row r="183" spans="1:112" ht="20.25" customHeight="1" x14ac:dyDescent="0.2">
      <c r="A183" s="9151"/>
      <c r="B183" s="1349" t="s">
        <v>911</v>
      </c>
      <c r="C183" s="900">
        <f>SUM(D183:E183)</f>
        <v>0</v>
      </c>
      <c r="D183" s="277">
        <f>SUM(F183+H183+J183+L183+N183+P183+R183+T183)</f>
        <v>0</v>
      </c>
      <c r="E183" s="2898">
        <f>G183+I183+K183+M183+O183+Q183+S183+U183</f>
        <v>0</v>
      </c>
      <c r="F183" s="3025"/>
      <c r="G183" s="3027"/>
      <c r="H183" s="3025"/>
      <c r="I183" s="3027"/>
      <c r="J183" s="3025"/>
      <c r="K183" s="3027"/>
      <c r="L183" s="3025"/>
      <c r="M183" s="3027"/>
      <c r="N183" s="3025"/>
      <c r="O183" s="3027"/>
      <c r="P183" s="3025"/>
      <c r="Q183" s="3027"/>
      <c r="R183" s="3025"/>
      <c r="S183" s="3027"/>
      <c r="T183" s="3025"/>
      <c r="U183" s="3106"/>
      <c r="V183" s="2790"/>
      <c r="W183" s="2772"/>
      <c r="X183" s="2772"/>
      <c r="Y183" s="2772"/>
      <c r="Z183" s="2772"/>
      <c r="AA183" s="2774"/>
      <c r="AB183" s="2772"/>
      <c r="AC183" s="2772"/>
      <c r="AD183" s="2772"/>
      <c r="AE183" s="2543"/>
      <c r="AF183" s="3014"/>
      <c r="AG183" s="3015"/>
      <c r="AH183" s="2543"/>
      <c r="AI183" s="2772"/>
      <c r="AJ183" s="2772"/>
      <c r="AK183" s="2772"/>
      <c r="AL183" s="3299"/>
      <c r="AM183" s="802"/>
      <c r="AN183" s="802"/>
      <c r="AO183" s="802"/>
      <c r="AP183" s="802"/>
      <c r="AQ183" s="802"/>
      <c r="AR183" s="802"/>
      <c r="AS183" s="290"/>
      <c r="AT183" s="290"/>
      <c r="BX183" s="290"/>
      <c r="DB183" s="3308">
        <v>0</v>
      </c>
      <c r="DD183" s="3308">
        <v>0</v>
      </c>
      <c r="DF183" s="3308">
        <v>0</v>
      </c>
      <c r="DH183" s="3308">
        <v>0</v>
      </c>
    </row>
    <row r="184" spans="1:112" ht="32.1" customHeight="1" x14ac:dyDescent="0.2">
      <c r="A184" s="72" t="s">
        <v>3786</v>
      </c>
      <c r="B184" s="72"/>
      <c r="AH184" s="290"/>
      <c r="AI184" s="290"/>
      <c r="AJ184" s="290"/>
      <c r="AK184" s="290"/>
      <c r="AL184" s="290"/>
      <c r="AM184" s="290"/>
      <c r="AN184" s="290"/>
      <c r="AO184" s="290"/>
      <c r="AP184" s="290"/>
      <c r="AQ184" s="290"/>
      <c r="AR184" s="290"/>
      <c r="AS184" s="290"/>
      <c r="AT184" s="290"/>
      <c r="AU184" s="290"/>
      <c r="BX184" s="290"/>
      <c r="BY184" s="290"/>
    </row>
    <row r="185" spans="1:112" ht="16.350000000000001" customHeight="1" x14ac:dyDescent="0.2">
      <c r="A185" s="8186" t="s">
        <v>910</v>
      </c>
      <c r="B185" s="8186" t="s">
        <v>24</v>
      </c>
      <c r="C185" s="8153" t="s">
        <v>909</v>
      </c>
      <c r="D185" s="8183" t="s">
        <v>908</v>
      </c>
      <c r="AI185" s="290"/>
      <c r="AJ185" s="290"/>
      <c r="AK185" s="290"/>
      <c r="AL185" s="290"/>
      <c r="AM185" s="290"/>
      <c r="AN185" s="290"/>
      <c r="AO185" s="290"/>
      <c r="AP185" s="290"/>
      <c r="AQ185" s="290"/>
      <c r="AR185" s="290"/>
      <c r="AS185" s="290"/>
      <c r="AT185" s="290"/>
      <c r="AU185" s="290"/>
      <c r="AV185" s="290"/>
    </row>
    <row r="186" spans="1:112" ht="16.350000000000001" customHeight="1" x14ac:dyDescent="0.2">
      <c r="A186" s="8187"/>
      <c r="B186" s="8187"/>
      <c r="C186" s="8154"/>
      <c r="D186" s="8185"/>
      <c r="AI186" s="290"/>
      <c r="AJ186" s="290"/>
      <c r="AK186" s="290"/>
      <c r="AL186" s="290"/>
      <c r="AM186" s="290"/>
      <c r="AN186" s="290"/>
      <c r="AO186" s="290"/>
      <c r="AP186" s="290"/>
      <c r="AQ186" s="290"/>
      <c r="AR186" s="290"/>
      <c r="AS186" s="290"/>
      <c r="AT186" s="290"/>
      <c r="AU186" s="290"/>
      <c r="AV186" s="290"/>
    </row>
    <row r="187" spans="1:112" ht="16.350000000000001" customHeight="1" x14ac:dyDescent="0.2">
      <c r="A187" s="1348" t="s">
        <v>907</v>
      </c>
      <c r="B187" s="1535">
        <f>SUM(C187:D187)</f>
        <v>0</v>
      </c>
      <c r="C187" s="592"/>
      <c r="D187" s="1536"/>
      <c r="AI187" s="290"/>
      <c r="AJ187" s="290"/>
      <c r="AK187" s="290"/>
      <c r="AL187" s="290"/>
      <c r="AM187" s="290"/>
      <c r="AN187" s="290"/>
      <c r="AO187" s="290"/>
      <c r="AP187" s="290"/>
      <c r="AQ187" s="290"/>
      <c r="AR187" s="290"/>
      <c r="AS187" s="290"/>
      <c r="AT187" s="290"/>
      <c r="AU187" s="290"/>
      <c r="AV187" s="290"/>
    </row>
    <row r="188" spans="1:112" ht="16.350000000000001" customHeight="1" x14ac:dyDescent="0.2">
      <c r="A188" s="1349" t="s">
        <v>906</v>
      </c>
      <c r="B188" s="471">
        <f>SUM(C188)</f>
        <v>0</v>
      </c>
      <c r="C188" s="1229"/>
      <c r="D188" s="1610"/>
      <c r="AI188" s="290"/>
      <c r="AJ188" s="290"/>
      <c r="AK188" s="290"/>
      <c r="AL188" s="290"/>
      <c r="AM188" s="290"/>
      <c r="AN188" s="290"/>
      <c r="AO188" s="290"/>
      <c r="AP188" s="290"/>
      <c r="AQ188" s="290"/>
      <c r="AR188" s="290"/>
      <c r="AS188" s="290"/>
      <c r="AT188" s="290"/>
      <c r="AU188" s="290"/>
      <c r="AV188" s="290"/>
    </row>
    <row r="189" spans="1:112" ht="32.1" customHeight="1" x14ac:dyDescent="0.2">
      <c r="A189" s="3545" t="s">
        <v>3787</v>
      </c>
      <c r="B189" s="590"/>
      <c r="C189" s="589"/>
      <c r="D189" s="365"/>
      <c r="F189" s="2864"/>
      <c r="G189" s="2865"/>
      <c r="H189" s="153"/>
      <c r="I189" s="2865"/>
      <c r="J189" s="2866"/>
      <c r="K189" s="2866"/>
      <c r="L189" s="2865"/>
      <c r="M189" s="153"/>
      <c r="N189" s="2865"/>
      <c r="O189" s="2865"/>
      <c r="P189" s="153"/>
      <c r="Q189" s="2865"/>
      <c r="R189" s="2865"/>
      <c r="S189" s="153"/>
      <c r="T189" s="2865"/>
      <c r="U189" s="2865"/>
      <c r="V189" s="2866"/>
      <c r="AH189" s="290"/>
      <c r="AI189" s="290"/>
      <c r="AJ189" s="290"/>
      <c r="AK189" s="290"/>
      <c r="AL189" s="290"/>
      <c r="AM189" s="290"/>
      <c r="AN189" s="290"/>
      <c r="AO189" s="290"/>
      <c r="AP189" s="290"/>
      <c r="AQ189" s="290"/>
      <c r="AR189" s="290"/>
      <c r="AS189" s="290"/>
      <c r="AT189" s="290"/>
      <c r="AU189" s="290"/>
      <c r="BX189" s="290"/>
      <c r="BY189" s="290"/>
    </row>
    <row r="190" spans="1:112" ht="16.350000000000001" customHeight="1" x14ac:dyDescent="0.2">
      <c r="A190" s="8186" t="s">
        <v>31</v>
      </c>
      <c r="B190" s="9152" t="s">
        <v>24</v>
      </c>
      <c r="C190" s="9194"/>
      <c r="D190" s="8436"/>
      <c r="E190" s="9162" t="s">
        <v>84</v>
      </c>
      <c r="F190" s="9163"/>
      <c r="G190" s="9163"/>
      <c r="H190" s="9163"/>
      <c r="I190" s="9163"/>
      <c r="J190" s="9163"/>
      <c r="K190" s="9163"/>
      <c r="L190" s="9163"/>
      <c r="M190" s="9163"/>
      <c r="N190" s="9163"/>
      <c r="O190" s="9163"/>
      <c r="P190" s="9163"/>
      <c r="Q190" s="9163"/>
      <c r="R190" s="9163"/>
      <c r="S190" s="9163"/>
      <c r="T190" s="9163"/>
      <c r="U190" s="9163"/>
      <c r="V190" s="9163"/>
      <c r="W190" s="9163"/>
      <c r="X190" s="9163"/>
      <c r="Y190" s="9163"/>
      <c r="Z190" s="9163"/>
      <c r="AA190" s="9163"/>
      <c r="AB190" s="9163"/>
      <c r="AC190" s="9163"/>
      <c r="AD190" s="9163"/>
      <c r="AE190" s="9163"/>
      <c r="AF190" s="9163"/>
      <c r="AG190" s="9163"/>
      <c r="AH190" s="9163"/>
      <c r="AI190" s="9163"/>
      <c r="AJ190" s="9163"/>
      <c r="AK190" s="9163"/>
      <c r="AL190" s="9164"/>
      <c r="AM190" s="9179" t="s">
        <v>3752</v>
      </c>
      <c r="AN190" s="9180"/>
      <c r="BX190" s="290"/>
      <c r="BY190" s="290"/>
    </row>
    <row r="191" spans="1:112" ht="16.350000000000001" customHeight="1" x14ac:dyDescent="0.2">
      <c r="A191" s="8189"/>
      <c r="B191" s="9153"/>
      <c r="C191" s="9195"/>
      <c r="D191" s="9154"/>
      <c r="E191" s="9165" t="s">
        <v>397</v>
      </c>
      <c r="F191" s="9166"/>
      <c r="G191" s="9165" t="s">
        <v>54</v>
      </c>
      <c r="H191" s="9166"/>
      <c r="I191" s="9165" t="s">
        <v>79</v>
      </c>
      <c r="J191" s="9166"/>
      <c r="K191" s="9165" t="s">
        <v>80</v>
      </c>
      <c r="L191" s="9166"/>
      <c r="M191" s="9165" t="s">
        <v>81</v>
      </c>
      <c r="N191" s="9166"/>
      <c r="O191" s="9155" t="s">
        <v>82</v>
      </c>
      <c r="P191" s="9158"/>
      <c r="Q191" s="9155" t="s">
        <v>83</v>
      </c>
      <c r="R191" s="9158"/>
      <c r="S191" s="9155" t="s">
        <v>398</v>
      </c>
      <c r="T191" s="9158"/>
      <c r="U191" s="9155" t="s">
        <v>124</v>
      </c>
      <c r="V191" s="9158"/>
      <c r="W191" s="9155" t="s">
        <v>125</v>
      </c>
      <c r="X191" s="9158"/>
      <c r="Y191" s="9155" t="s">
        <v>126</v>
      </c>
      <c r="Z191" s="9158"/>
      <c r="AA191" s="9155" t="s">
        <v>127</v>
      </c>
      <c r="AB191" s="9158"/>
      <c r="AC191" s="9155" t="s">
        <v>128</v>
      </c>
      <c r="AD191" s="9158"/>
      <c r="AE191" s="9155" t="s">
        <v>129</v>
      </c>
      <c r="AF191" s="9158"/>
      <c r="AG191" s="9155" t="s">
        <v>130</v>
      </c>
      <c r="AH191" s="9158"/>
      <c r="AI191" s="9155" t="s">
        <v>131</v>
      </c>
      <c r="AJ191" s="9158"/>
      <c r="AK191" s="9155" t="s">
        <v>1403</v>
      </c>
      <c r="AL191" s="9156"/>
      <c r="AM191" s="9181"/>
      <c r="AN191" s="9182"/>
      <c r="BX191" s="290"/>
      <c r="BY191" s="290"/>
    </row>
    <row r="192" spans="1:112" ht="16.350000000000001" customHeight="1" x14ac:dyDescent="0.2">
      <c r="A192" s="8187"/>
      <c r="B192" s="579" t="s">
        <v>42</v>
      </c>
      <c r="C192" s="588" t="s">
        <v>17</v>
      </c>
      <c r="D192" s="2134" t="s">
        <v>18</v>
      </c>
      <c r="E192" s="2981" t="s">
        <v>706</v>
      </c>
      <c r="F192" s="3008" t="s">
        <v>18</v>
      </c>
      <c r="G192" s="2981" t="s">
        <v>706</v>
      </c>
      <c r="H192" s="3008" t="s">
        <v>18</v>
      </c>
      <c r="I192" s="2981" t="s">
        <v>706</v>
      </c>
      <c r="J192" s="3008" t="s">
        <v>18</v>
      </c>
      <c r="K192" s="2981" t="s">
        <v>706</v>
      </c>
      <c r="L192" s="3008" t="s">
        <v>18</v>
      </c>
      <c r="M192" s="2981" t="s">
        <v>706</v>
      </c>
      <c r="N192" s="3008" t="s">
        <v>18</v>
      </c>
      <c r="O192" s="2981" t="s">
        <v>706</v>
      </c>
      <c r="P192" s="2982" t="s">
        <v>18</v>
      </c>
      <c r="Q192" s="2981" t="s">
        <v>706</v>
      </c>
      <c r="R192" s="2982" t="s">
        <v>18</v>
      </c>
      <c r="S192" s="2981" t="s">
        <v>706</v>
      </c>
      <c r="T192" s="2982" t="s">
        <v>18</v>
      </c>
      <c r="U192" s="2981" t="s">
        <v>706</v>
      </c>
      <c r="V192" s="3008" t="s">
        <v>18</v>
      </c>
      <c r="W192" s="2981" t="s">
        <v>706</v>
      </c>
      <c r="X192" s="3008" t="s">
        <v>18</v>
      </c>
      <c r="Y192" s="2980" t="s">
        <v>706</v>
      </c>
      <c r="Z192" s="3008" t="s">
        <v>18</v>
      </c>
      <c r="AA192" s="2980" t="s">
        <v>706</v>
      </c>
      <c r="AB192" s="3008" t="s">
        <v>18</v>
      </c>
      <c r="AC192" s="2980" t="s">
        <v>706</v>
      </c>
      <c r="AD192" s="3008" t="s">
        <v>18</v>
      </c>
      <c r="AE192" s="2980" t="s">
        <v>706</v>
      </c>
      <c r="AF192" s="3008" t="s">
        <v>18</v>
      </c>
      <c r="AG192" s="2980" t="s">
        <v>706</v>
      </c>
      <c r="AH192" s="3008" t="s">
        <v>18</v>
      </c>
      <c r="AI192" s="2980" t="s">
        <v>706</v>
      </c>
      <c r="AJ192" s="3008" t="s">
        <v>18</v>
      </c>
      <c r="AK192" s="2980" t="s">
        <v>706</v>
      </c>
      <c r="AL192" s="3009"/>
      <c r="AM192" s="7122" t="s">
        <v>356</v>
      </c>
      <c r="AN192" s="4948" t="s">
        <v>357</v>
      </c>
      <c r="BX192" s="290"/>
      <c r="BY192" s="290"/>
    </row>
    <row r="193" spans="1:106" ht="24" customHeight="1" x14ac:dyDescent="0.2">
      <c r="A193" s="2158" t="s">
        <v>905</v>
      </c>
      <c r="B193" s="572">
        <f>SUM(C193+D193)</f>
        <v>0</v>
      </c>
      <c r="C193" s="571">
        <f>+E193+G193+I193+K193+M193+O193+Q193+S193+U193+W193+Y193+AA193+AC193+AE193+AG193+AI193+AK193</f>
        <v>0</v>
      </c>
      <c r="D193" s="467">
        <f>+F193+H193+J193+L193+N193+P193+R193+T193+V193+X193+Z193+AB193+AD193+AF193+AH193+AJ193+AL193</f>
        <v>0</v>
      </c>
      <c r="E193" s="3010"/>
      <c r="F193" s="3011"/>
      <c r="G193" s="3010"/>
      <c r="H193" s="3011"/>
      <c r="I193" s="3010"/>
      <c r="J193" s="3011"/>
      <c r="K193" s="3010"/>
      <c r="L193" s="3011"/>
      <c r="M193" s="3010"/>
      <c r="N193" s="3011"/>
      <c r="O193" s="3010"/>
      <c r="P193" s="3007"/>
      <c r="Q193" s="3010"/>
      <c r="R193" s="3007"/>
      <c r="S193" s="3010"/>
      <c r="T193" s="3007"/>
      <c r="U193" s="3010"/>
      <c r="V193" s="3011"/>
      <c r="W193" s="3010"/>
      <c r="X193" s="3011"/>
      <c r="Y193" s="3010"/>
      <c r="Z193" s="3007"/>
      <c r="AA193" s="3010"/>
      <c r="AB193" s="3007"/>
      <c r="AC193" s="3010"/>
      <c r="AD193" s="3007"/>
      <c r="AE193" s="3010"/>
      <c r="AF193" s="3007"/>
      <c r="AG193" s="3010"/>
      <c r="AH193" s="3007"/>
      <c r="AI193" s="3010"/>
      <c r="AJ193" s="3007"/>
      <c r="AK193" s="3010"/>
      <c r="AL193" s="3012"/>
      <c r="AM193" s="3007"/>
      <c r="AN193" s="3007"/>
      <c r="AO193" s="165" t="str">
        <f>CA193&amp;CB193</f>
        <v/>
      </c>
      <c r="BX193" s="290"/>
      <c r="BY193" s="290"/>
      <c r="CA193" s="1451" t="str">
        <f>IF(DA193=1,"* La Suma de las columnas Trans no debe ser mayor al total. ","")</f>
        <v/>
      </c>
      <c r="CB193" s="1451" t="str">
        <f>IF(DB193=1,"* No olvide digitar las columnas Trans (Digite CERO si no tiene). ","")</f>
        <v/>
      </c>
      <c r="DA193" s="3308">
        <f>IF(AM193+AN193&gt;B193,1,0)</f>
        <v>0</v>
      </c>
      <c r="DB193" s="3308">
        <f>IF(AND(B193&lt;&gt;0,OR(AM193="",AN193="")),1,0)</f>
        <v>0</v>
      </c>
    </row>
    <row r="194" spans="1:106" ht="21" customHeight="1" x14ac:dyDescent="0.2">
      <c r="A194" s="72" t="s">
        <v>3788</v>
      </c>
      <c r="B194" s="72"/>
      <c r="BX194" s="290"/>
      <c r="BY194" s="290"/>
    </row>
    <row r="195" spans="1:106" ht="16.350000000000001" customHeight="1" x14ac:dyDescent="0.2">
      <c r="A195" s="8436" t="s">
        <v>904</v>
      </c>
      <c r="B195" s="8182" t="s">
        <v>24</v>
      </c>
      <c r="C195" s="8167"/>
      <c r="D195" s="8183"/>
      <c r="E195" s="9196" t="s">
        <v>84</v>
      </c>
      <c r="F195" s="9197"/>
      <c r="G195" s="9197"/>
      <c r="H195" s="9197"/>
      <c r="I195" s="9197"/>
      <c r="J195" s="9197"/>
      <c r="K195" s="9197"/>
      <c r="L195" s="9198"/>
      <c r="M195" s="8167" t="s">
        <v>903</v>
      </c>
      <c r="N195" s="9200"/>
      <c r="O195" s="8183" t="s">
        <v>902</v>
      </c>
      <c r="BX195" s="290"/>
      <c r="BY195" s="290"/>
    </row>
    <row r="196" spans="1:106" ht="16.350000000000001" customHeight="1" x14ac:dyDescent="0.2">
      <c r="A196" s="8437"/>
      <c r="B196" s="8184"/>
      <c r="C196" s="8168"/>
      <c r="D196" s="8185"/>
      <c r="E196" s="8340" t="s">
        <v>397</v>
      </c>
      <c r="F196" s="8341"/>
      <c r="G196" s="9165" t="s">
        <v>54</v>
      </c>
      <c r="H196" s="9166"/>
      <c r="I196" s="9165" t="s">
        <v>79</v>
      </c>
      <c r="J196" s="9166"/>
      <c r="K196" s="8340" t="s">
        <v>901</v>
      </c>
      <c r="L196" s="9199"/>
      <c r="M196" s="8168"/>
      <c r="N196" s="9201"/>
      <c r="O196" s="8192"/>
    </row>
    <row r="197" spans="1:106" ht="16.350000000000001" customHeight="1" x14ac:dyDescent="0.2">
      <c r="A197" s="8437"/>
      <c r="B197" s="2123" t="s">
        <v>42</v>
      </c>
      <c r="C197" s="2158" t="s">
        <v>17</v>
      </c>
      <c r="D197" s="2123" t="s">
        <v>18</v>
      </c>
      <c r="E197" s="2133" t="s">
        <v>706</v>
      </c>
      <c r="F197" s="2163" t="s">
        <v>18</v>
      </c>
      <c r="G197" s="2133" t="s">
        <v>706</v>
      </c>
      <c r="H197" s="2163" t="s">
        <v>18</v>
      </c>
      <c r="I197" s="2161" t="s">
        <v>706</v>
      </c>
      <c r="J197" s="2180" t="s">
        <v>18</v>
      </c>
      <c r="K197" s="2133" t="s">
        <v>706</v>
      </c>
      <c r="L197" s="2157" t="s">
        <v>18</v>
      </c>
      <c r="M197" s="575" t="s">
        <v>900</v>
      </c>
      <c r="N197" s="2177" t="s">
        <v>899</v>
      </c>
      <c r="O197" s="8185"/>
    </row>
    <row r="198" spans="1:106" ht="16.350000000000001" customHeight="1" x14ac:dyDescent="0.2">
      <c r="A198" s="9154"/>
      <c r="B198" s="490">
        <f t="shared" ref="B198:B203" si="20">+C198+D198</f>
        <v>0</v>
      </c>
      <c r="C198" s="1537">
        <f>+E198+G198+I198+K198</f>
        <v>0</v>
      </c>
      <c r="D198" s="563">
        <f>+F198+H198+J198+L198</f>
        <v>0</v>
      </c>
      <c r="E198" s="1538">
        <f t="shared" ref="E198:O198" si="21">SUM(E199:E203)</f>
        <v>0</v>
      </c>
      <c r="F198" s="488">
        <f t="shared" si="21"/>
        <v>0</v>
      </c>
      <c r="G198" s="1538">
        <f t="shared" si="21"/>
        <v>0</v>
      </c>
      <c r="H198" s="488">
        <f t="shared" si="21"/>
        <v>0</v>
      </c>
      <c r="I198" s="1538">
        <f t="shared" si="21"/>
        <v>0</v>
      </c>
      <c r="J198" s="1539">
        <f t="shared" si="21"/>
        <v>0</v>
      </c>
      <c r="K198" s="572">
        <f t="shared" si="21"/>
        <v>0</v>
      </c>
      <c r="L198" s="1540">
        <f t="shared" si="21"/>
        <v>0</v>
      </c>
      <c r="M198" s="489">
        <f t="shared" si="21"/>
        <v>0</v>
      </c>
      <c r="N198" s="488">
        <f t="shared" si="21"/>
        <v>0</v>
      </c>
      <c r="O198" s="1541">
        <f t="shared" si="21"/>
        <v>0</v>
      </c>
      <c r="P198" s="290"/>
      <c r="Q198" s="290"/>
      <c r="R198" s="290"/>
      <c r="S198" s="290"/>
      <c r="T198" s="290"/>
      <c r="U198" s="290"/>
      <c r="V198" s="290"/>
      <c r="W198" s="290"/>
      <c r="X198" s="290"/>
      <c r="Y198" s="290"/>
      <c r="Z198" s="290"/>
      <c r="AA198" s="290"/>
      <c r="AB198" s="290"/>
      <c r="AC198" s="290"/>
      <c r="AD198" s="290"/>
      <c r="AE198" s="290"/>
    </row>
    <row r="199" spans="1:106" ht="15" customHeight="1" x14ac:dyDescent="0.2">
      <c r="A199" s="1348" t="s">
        <v>898</v>
      </c>
      <c r="B199" s="1535">
        <f t="shared" si="20"/>
        <v>0</v>
      </c>
      <c r="C199" s="1535">
        <f>+E199+G199+I199+K199</f>
        <v>0</v>
      </c>
      <c r="D199" s="1542">
        <f>+F199+H199+J199+L199</f>
        <v>0</v>
      </c>
      <c r="E199" s="191"/>
      <c r="F199" s="192"/>
      <c r="G199" s="191"/>
      <c r="H199" s="192"/>
      <c r="I199" s="191"/>
      <c r="J199" s="193"/>
      <c r="K199" s="191"/>
      <c r="L199" s="287"/>
      <c r="M199" s="229"/>
      <c r="N199" s="192"/>
      <c r="O199" s="443"/>
      <c r="P199" s="1466"/>
      <c r="Q199" s="802"/>
      <c r="R199" s="802"/>
      <c r="S199" s="802"/>
      <c r="T199" s="802"/>
      <c r="U199" s="802"/>
      <c r="V199" s="802"/>
      <c r="W199" s="802"/>
      <c r="X199" s="802"/>
      <c r="Y199" s="802"/>
      <c r="Z199" s="802"/>
      <c r="AA199" s="802"/>
      <c r="AB199" s="290"/>
      <c r="AC199" s="290"/>
      <c r="AD199" s="290"/>
      <c r="AE199" s="290"/>
      <c r="DA199" s="3308">
        <v>0</v>
      </c>
      <c r="DB199" s="3308">
        <v>0</v>
      </c>
    </row>
    <row r="200" spans="1:106" ht="15" customHeight="1" x14ac:dyDescent="0.2">
      <c r="A200" s="2112" t="s">
        <v>897</v>
      </c>
      <c r="B200" s="258">
        <f t="shared" si="20"/>
        <v>0</v>
      </c>
      <c r="C200" s="258">
        <f t="shared" ref="C200:D203" si="22">+E200+G200+I200+K200</f>
        <v>0</v>
      </c>
      <c r="D200" s="1543">
        <f t="shared" si="22"/>
        <v>0</v>
      </c>
      <c r="E200" s="230"/>
      <c r="F200" s="222"/>
      <c r="G200" s="230"/>
      <c r="H200" s="222"/>
      <c r="I200" s="230"/>
      <c r="J200" s="231"/>
      <c r="K200" s="230"/>
      <c r="L200" s="311"/>
      <c r="M200" s="232"/>
      <c r="N200" s="222"/>
      <c r="O200" s="1544"/>
      <c r="P200" s="1466"/>
      <c r="Q200" s="802"/>
      <c r="R200" s="802"/>
      <c r="S200" s="802"/>
      <c r="T200" s="802"/>
      <c r="U200" s="802"/>
      <c r="V200" s="802"/>
      <c r="W200" s="802"/>
      <c r="X200" s="802"/>
      <c r="Y200" s="802"/>
      <c r="Z200" s="802"/>
      <c r="AA200" s="802"/>
      <c r="AB200" s="290"/>
      <c r="AC200" s="290"/>
      <c r="AD200" s="290"/>
      <c r="AE200" s="290"/>
      <c r="DA200" s="3308">
        <v>0</v>
      </c>
      <c r="DB200" s="3308">
        <v>0</v>
      </c>
    </row>
    <row r="201" spans="1:106" ht="15" customHeight="1" x14ac:dyDescent="0.2">
      <c r="A201" s="2112" t="s">
        <v>896</v>
      </c>
      <c r="B201" s="258">
        <f t="shared" si="20"/>
        <v>0</v>
      </c>
      <c r="C201" s="258">
        <f t="shared" si="22"/>
        <v>0</v>
      </c>
      <c r="D201" s="1543">
        <f t="shared" si="22"/>
        <v>0</v>
      </c>
      <c r="E201" s="230"/>
      <c r="F201" s="222"/>
      <c r="G201" s="230"/>
      <c r="H201" s="222"/>
      <c r="I201" s="230"/>
      <c r="J201" s="231"/>
      <c r="K201" s="230"/>
      <c r="L201" s="311"/>
      <c r="M201" s="232"/>
      <c r="N201" s="222"/>
      <c r="O201" s="1544"/>
      <c r="P201" s="1466"/>
      <c r="Q201" s="802"/>
      <c r="R201" s="802"/>
      <c r="S201" s="802"/>
      <c r="T201" s="802"/>
      <c r="U201" s="802"/>
      <c r="V201" s="802"/>
      <c r="W201" s="802"/>
      <c r="X201" s="802"/>
      <c r="Y201" s="802"/>
      <c r="Z201" s="802"/>
      <c r="AA201" s="802"/>
      <c r="AB201" s="290"/>
      <c r="AC201" s="290"/>
      <c r="AD201" s="290"/>
      <c r="AE201" s="290"/>
      <c r="DA201" s="3308">
        <v>0</v>
      </c>
      <c r="DB201" s="3308">
        <v>0</v>
      </c>
    </row>
    <row r="202" spans="1:106" ht="15" customHeight="1" x14ac:dyDescent="0.2">
      <c r="A202" s="2112" t="s">
        <v>895</v>
      </c>
      <c r="B202" s="258">
        <f t="shared" si="20"/>
        <v>0</v>
      </c>
      <c r="C202" s="258">
        <f t="shared" si="22"/>
        <v>0</v>
      </c>
      <c r="D202" s="1543">
        <f t="shared" si="22"/>
        <v>0</v>
      </c>
      <c r="E202" s="1545"/>
      <c r="F202" s="194"/>
      <c r="G202" s="1545"/>
      <c r="H202" s="194"/>
      <c r="I202" s="1545"/>
      <c r="J202" s="1495"/>
      <c r="K202" s="1545"/>
      <c r="L202" s="1546"/>
      <c r="M202" s="1494"/>
      <c r="N202" s="194"/>
      <c r="O202" s="444"/>
      <c r="P202" s="1466"/>
      <c r="Q202" s="802"/>
      <c r="R202" s="802"/>
      <c r="S202" s="802"/>
      <c r="T202" s="802"/>
      <c r="U202" s="802"/>
      <c r="V202" s="802"/>
      <c r="W202" s="802"/>
      <c r="X202" s="802"/>
      <c r="Y202" s="802"/>
      <c r="Z202" s="802"/>
      <c r="AA202" s="802"/>
      <c r="AB202" s="290"/>
      <c r="AC202" s="290"/>
      <c r="AD202" s="290"/>
      <c r="AE202" s="290"/>
      <c r="DA202" s="3308">
        <v>0</v>
      </c>
      <c r="DB202" s="3308">
        <v>0</v>
      </c>
    </row>
    <row r="203" spans="1:106" ht="15" customHeight="1" x14ac:dyDescent="0.2">
      <c r="A203" s="2208" t="s">
        <v>894</v>
      </c>
      <c r="B203" s="1429">
        <f t="shared" si="20"/>
        <v>0</v>
      </c>
      <c r="C203" s="1429">
        <f t="shared" si="22"/>
        <v>0</v>
      </c>
      <c r="D203" s="1547">
        <f t="shared" si="22"/>
        <v>0</v>
      </c>
      <c r="E203" s="615"/>
      <c r="F203" s="613"/>
      <c r="G203" s="615"/>
      <c r="H203" s="613"/>
      <c r="I203" s="615"/>
      <c r="J203" s="613"/>
      <c r="K203" s="615"/>
      <c r="L203" s="1058"/>
      <c r="M203" s="614"/>
      <c r="N203" s="613"/>
      <c r="O203" s="1057"/>
      <c r="P203" s="1466"/>
      <c r="Q203" s="802"/>
      <c r="R203" s="802"/>
      <c r="S203" s="802"/>
      <c r="T203" s="802"/>
      <c r="U203" s="802"/>
      <c r="V203" s="802"/>
      <c r="W203" s="802"/>
      <c r="X203" s="802"/>
      <c r="Y203" s="802"/>
      <c r="Z203" s="802"/>
      <c r="AA203" s="802"/>
      <c r="AB203" s="290"/>
      <c r="AC203" s="290"/>
      <c r="AD203" s="290"/>
      <c r="AE203" s="290"/>
      <c r="DA203" s="3308">
        <v>0</v>
      </c>
      <c r="DB203" s="3308">
        <v>0</v>
      </c>
    </row>
    <row r="220" spans="1:13" hidden="1" x14ac:dyDescent="0.2">
      <c r="A220" s="1440">
        <f>SUM(B12:B15,B20:B25,B40:B45,B66,B89,C94:C101,D104:D106,C111:C113,C117:C118,B122,C122,D123,E123,C127:C128,B144,C147:D147,C151:C152,C155:C160,C164:C169,B174:B177,C182:C183,B187:B188,B193,B198)</f>
        <v>0</v>
      </c>
      <c r="B220" s="1440">
        <f>SUM(DA10:DZ203)</f>
        <v>0</v>
      </c>
      <c r="C220" s="1440"/>
      <c r="D220" s="1440"/>
      <c r="E220" s="1440"/>
      <c r="F220" s="1440"/>
      <c r="G220" s="1440"/>
      <c r="H220" s="1440"/>
      <c r="I220" s="1440"/>
      <c r="J220" s="1440"/>
      <c r="K220" s="1440"/>
      <c r="L220" s="1440"/>
      <c r="M220" s="1440"/>
    </row>
  </sheetData>
  <sheetProtection algorithmName="SHA-512" hashValue="NCtBnPUnsZRkP+i6ekyCJQ5FwnCmakYWLhLpMAK4MxHEJCDAvNb31icsoOjl0p6QATr+PC3zle2vtfGp8/kCKQ==" saltValue="/nraqd4OFNWJ5qtA1zdIcg==" spinCount="100000" sheet="1" objects="1" scenarios="1"/>
  <mergeCells count="327">
    <mergeCell ref="A151:A152"/>
    <mergeCell ref="A154:B154"/>
    <mergeCell ref="A158:A160"/>
    <mergeCell ref="F120:G120"/>
    <mergeCell ref="H120:K120"/>
    <mergeCell ref="L120:L121"/>
    <mergeCell ref="A125:B126"/>
    <mergeCell ref="A37:A39"/>
    <mergeCell ref="X92:Y92"/>
    <mergeCell ref="A146:B146"/>
    <mergeCell ref="Z92:AA92"/>
    <mergeCell ref="F91:AM91"/>
    <mergeCell ref="AM47:AM49"/>
    <mergeCell ref="X109:Y109"/>
    <mergeCell ref="H109:I109"/>
    <mergeCell ref="AI58:AJ58"/>
    <mergeCell ref="A115:B116"/>
    <mergeCell ref="C115:E115"/>
    <mergeCell ref="A130:A131"/>
    <mergeCell ref="B130:B131"/>
    <mergeCell ref="A127:A128"/>
    <mergeCell ref="A107:K107"/>
    <mergeCell ref="A111:B111"/>
    <mergeCell ref="A108:B110"/>
    <mergeCell ref="A47:A49"/>
    <mergeCell ref="A57:A59"/>
    <mergeCell ref="E57:AL57"/>
    <mergeCell ref="M58:N58"/>
    <mergeCell ref="A171:A173"/>
    <mergeCell ref="B171:D172"/>
    <mergeCell ref="E171:AL171"/>
    <mergeCell ref="E172:F172"/>
    <mergeCell ref="G172:H172"/>
    <mergeCell ref="I172:J172"/>
    <mergeCell ref="K172:L172"/>
    <mergeCell ref="M172:N172"/>
    <mergeCell ref="O172:P172"/>
    <mergeCell ref="Q172:R172"/>
    <mergeCell ref="S172:T172"/>
    <mergeCell ref="U172:V172"/>
    <mergeCell ref="W172:X172"/>
    <mergeCell ref="Y172:Z172"/>
    <mergeCell ref="AA172:AB172"/>
    <mergeCell ref="AC172:AD172"/>
    <mergeCell ref="AN47:AN49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AE48:AF48"/>
    <mergeCell ref="AG48:AH48"/>
    <mergeCell ref="AI48:AJ48"/>
    <mergeCell ref="U28:V28"/>
    <mergeCell ref="M38:N38"/>
    <mergeCell ref="B57:D58"/>
    <mergeCell ref="F115:G115"/>
    <mergeCell ref="H115:I115"/>
    <mergeCell ref="J115:K115"/>
    <mergeCell ref="L115:M115"/>
    <mergeCell ref="M120:M121"/>
    <mergeCell ref="N120:N121"/>
    <mergeCell ref="N115:O115"/>
    <mergeCell ref="P115:Q115"/>
    <mergeCell ref="R115:S115"/>
    <mergeCell ref="J109:K109"/>
    <mergeCell ref="N109:O109"/>
    <mergeCell ref="B37:D38"/>
    <mergeCell ref="D185:D186"/>
    <mergeCell ref="B185:B186"/>
    <mergeCell ref="V179:V181"/>
    <mergeCell ref="R180:S180"/>
    <mergeCell ref="L180:M180"/>
    <mergeCell ref="C179:E180"/>
    <mergeCell ref="P180:Q180"/>
    <mergeCell ref="T180:U180"/>
    <mergeCell ref="J180:K180"/>
    <mergeCell ref="A162:B163"/>
    <mergeCell ref="C162:E162"/>
    <mergeCell ref="F162:F163"/>
    <mergeCell ref="G162:G163"/>
    <mergeCell ref="H162:H163"/>
    <mergeCell ref="A164:A166"/>
    <mergeCell ref="A167:A169"/>
    <mergeCell ref="A149:B150"/>
    <mergeCell ref="V92:W92"/>
    <mergeCell ref="V115:W115"/>
    <mergeCell ref="C108:E109"/>
    <mergeCell ref="A103:C103"/>
    <mergeCell ref="T115:U115"/>
    <mergeCell ref="A100:B100"/>
    <mergeCell ref="A98:B98"/>
    <mergeCell ref="A117:B117"/>
    <mergeCell ref="A118:B118"/>
    <mergeCell ref="A120:A121"/>
    <mergeCell ref="B120:E120"/>
    <mergeCell ref="C149:E149"/>
    <mergeCell ref="F149:F150"/>
    <mergeCell ref="G149:I149"/>
    <mergeCell ref="J149:L149"/>
    <mergeCell ref="A155:A156"/>
    <mergeCell ref="E18:F18"/>
    <mergeCell ref="G18:H18"/>
    <mergeCell ref="Q18:R18"/>
    <mergeCell ref="E37:AL37"/>
    <mergeCell ref="AB92:AC92"/>
    <mergeCell ref="AD92:AE92"/>
    <mergeCell ref="AK58:AL58"/>
    <mergeCell ref="AE58:AF58"/>
    <mergeCell ref="K58:L58"/>
    <mergeCell ref="W58:X58"/>
    <mergeCell ref="G58:H58"/>
    <mergeCell ref="Y58:Z58"/>
    <mergeCell ref="AA58:AB58"/>
    <mergeCell ref="O58:P58"/>
    <mergeCell ref="C91:E92"/>
    <mergeCell ref="W28:X28"/>
    <mergeCell ref="Y28:Z28"/>
    <mergeCell ref="AF92:AG92"/>
    <mergeCell ref="I28:J28"/>
    <mergeCell ref="K28:L28"/>
    <mergeCell ref="M28:N28"/>
    <mergeCell ref="O28:P28"/>
    <mergeCell ref="Q28:R28"/>
    <mergeCell ref="S28:T28"/>
    <mergeCell ref="K10:L10"/>
    <mergeCell ref="M10:N10"/>
    <mergeCell ref="O10:P10"/>
    <mergeCell ref="Y10:Z10"/>
    <mergeCell ref="U58:V58"/>
    <mergeCell ref="AA10:AB10"/>
    <mergeCell ref="AE18:AF18"/>
    <mergeCell ref="AG18:AH18"/>
    <mergeCell ref="W18:X18"/>
    <mergeCell ref="E27:AL27"/>
    <mergeCell ref="A26:H26"/>
    <mergeCell ref="A27:A29"/>
    <mergeCell ref="B27:D28"/>
    <mergeCell ref="AA28:AB28"/>
    <mergeCell ref="AC28:AD28"/>
    <mergeCell ref="AE28:AF28"/>
    <mergeCell ref="B47:D48"/>
    <mergeCell ref="E47:AL47"/>
    <mergeCell ref="I58:J58"/>
    <mergeCell ref="AK48:AL48"/>
    <mergeCell ref="O38:P38"/>
    <mergeCell ref="E28:F28"/>
    <mergeCell ref="G28:H28"/>
    <mergeCell ref="I18:J18"/>
    <mergeCell ref="U10:V10"/>
    <mergeCell ref="AK38:AL38"/>
    <mergeCell ref="AA38:AB38"/>
    <mergeCell ref="AI38:AJ38"/>
    <mergeCell ref="AJ92:AK92"/>
    <mergeCell ref="U18:V18"/>
    <mergeCell ref="S18:T18"/>
    <mergeCell ref="AC10:AD10"/>
    <mergeCell ref="Y38:Z38"/>
    <mergeCell ref="E17:AL17"/>
    <mergeCell ref="AG28:AH28"/>
    <mergeCell ref="AI28:AJ28"/>
    <mergeCell ref="AK28:AL28"/>
    <mergeCell ref="AI18:AJ18"/>
    <mergeCell ref="R92:S92"/>
    <mergeCell ref="T92:U92"/>
    <mergeCell ref="E58:F58"/>
    <mergeCell ref="K18:L18"/>
    <mergeCell ref="M18:N18"/>
    <mergeCell ref="E38:F38"/>
    <mergeCell ref="Q10:R10"/>
    <mergeCell ref="S10:T10"/>
    <mergeCell ref="AI10:AJ10"/>
    <mergeCell ref="I10:J10"/>
    <mergeCell ref="AS9:AS11"/>
    <mergeCell ref="AO17:AO19"/>
    <mergeCell ref="AN37:AN39"/>
    <mergeCell ref="AO10:AO11"/>
    <mergeCell ref="AP10:AP11"/>
    <mergeCell ref="AQ10:AQ11"/>
    <mergeCell ref="AR9:AR11"/>
    <mergeCell ref="AM17:AM19"/>
    <mergeCell ref="AN9:AQ9"/>
    <mergeCell ref="AN10:AN11"/>
    <mergeCell ref="AM9:AM11"/>
    <mergeCell ref="AM37:AM39"/>
    <mergeCell ref="AN17:AN19"/>
    <mergeCell ref="AP17:AP19"/>
    <mergeCell ref="AM27:AM29"/>
    <mergeCell ref="AN27:AN29"/>
    <mergeCell ref="AO91:AO93"/>
    <mergeCell ref="AB109:AC109"/>
    <mergeCell ref="A104:B106"/>
    <mergeCell ref="AN108:AN110"/>
    <mergeCell ref="AN91:AN93"/>
    <mergeCell ref="AD109:AE109"/>
    <mergeCell ref="F109:G109"/>
    <mergeCell ref="Z109:AA109"/>
    <mergeCell ref="AF109:AG109"/>
    <mergeCell ref="V109:W109"/>
    <mergeCell ref="L109:M109"/>
    <mergeCell ref="AJ109:AK109"/>
    <mergeCell ref="AH109:AI109"/>
    <mergeCell ref="AL109:AM109"/>
    <mergeCell ref="R109:S109"/>
    <mergeCell ref="T109:U109"/>
    <mergeCell ref="F92:G92"/>
    <mergeCell ref="A99:B99"/>
    <mergeCell ref="AH92:AI92"/>
    <mergeCell ref="A94:B94"/>
    <mergeCell ref="A91:B93"/>
    <mergeCell ref="A101:B101"/>
    <mergeCell ref="A95:A97"/>
    <mergeCell ref="P92:Q92"/>
    <mergeCell ref="A6:O6"/>
    <mergeCell ref="A9:A11"/>
    <mergeCell ref="B9:D10"/>
    <mergeCell ref="E9:AL9"/>
    <mergeCell ref="AE10:AF10"/>
    <mergeCell ref="AG10:AH10"/>
    <mergeCell ref="W10:X10"/>
    <mergeCell ref="AE38:AF38"/>
    <mergeCell ref="AG38:AH38"/>
    <mergeCell ref="W38:X38"/>
    <mergeCell ref="AK10:AL10"/>
    <mergeCell ref="O18:P18"/>
    <mergeCell ref="Y18:Z18"/>
    <mergeCell ref="AK18:AL18"/>
    <mergeCell ref="AA18:AB18"/>
    <mergeCell ref="E10:F10"/>
    <mergeCell ref="G10:H10"/>
    <mergeCell ref="A17:A19"/>
    <mergeCell ref="B17:D18"/>
    <mergeCell ref="AC18:AD18"/>
    <mergeCell ref="Q38:R38"/>
    <mergeCell ref="S38:T38"/>
    <mergeCell ref="U38:V38"/>
    <mergeCell ref="AC38:AD38"/>
    <mergeCell ref="O195:O197"/>
    <mergeCell ref="AC191:AD191"/>
    <mergeCell ref="S191:T191"/>
    <mergeCell ref="K196:L196"/>
    <mergeCell ref="M195:N196"/>
    <mergeCell ref="AJ179:AJ181"/>
    <mergeCell ref="AK179:AK181"/>
    <mergeCell ref="E191:F191"/>
    <mergeCell ref="O191:P191"/>
    <mergeCell ref="AE191:AF191"/>
    <mergeCell ref="AE180:AE181"/>
    <mergeCell ref="AA179:AA181"/>
    <mergeCell ref="AD180:AD181"/>
    <mergeCell ref="AC180:AC181"/>
    <mergeCell ref="W179:W181"/>
    <mergeCell ref="AB180:AB181"/>
    <mergeCell ref="F180:G180"/>
    <mergeCell ref="N180:O180"/>
    <mergeCell ref="Q191:R191"/>
    <mergeCell ref="AA191:AB191"/>
    <mergeCell ref="Z179:Z181"/>
    <mergeCell ref="AH179:AH181"/>
    <mergeCell ref="AI179:AI181"/>
    <mergeCell ref="AF179:AG179"/>
    <mergeCell ref="A195:A198"/>
    <mergeCell ref="B190:D191"/>
    <mergeCell ref="G191:H191"/>
    <mergeCell ref="I191:J191"/>
    <mergeCell ref="E195:L195"/>
    <mergeCell ref="E196:F196"/>
    <mergeCell ref="G196:H196"/>
    <mergeCell ref="I196:J196"/>
    <mergeCell ref="B195:D196"/>
    <mergeCell ref="A190:A192"/>
    <mergeCell ref="AF180:AF181"/>
    <mergeCell ref="AG180:AG181"/>
    <mergeCell ref="AM190:AN191"/>
    <mergeCell ref="AL92:AM92"/>
    <mergeCell ref="AM57:AN58"/>
    <mergeCell ref="G38:H38"/>
    <mergeCell ref="M191:N191"/>
    <mergeCell ref="AC58:AD58"/>
    <mergeCell ref="AG58:AH58"/>
    <mergeCell ref="H92:I92"/>
    <mergeCell ref="J92:K92"/>
    <mergeCell ref="L92:M92"/>
    <mergeCell ref="N92:O92"/>
    <mergeCell ref="Q58:R58"/>
    <mergeCell ref="X115:Y115"/>
    <mergeCell ref="O120:O121"/>
    <mergeCell ref="P120:P121"/>
    <mergeCell ref="AE172:AF172"/>
    <mergeCell ref="AG172:AH172"/>
    <mergeCell ref="AI172:AJ172"/>
    <mergeCell ref="AK172:AL172"/>
    <mergeCell ref="I38:J38"/>
    <mergeCell ref="K38:L38"/>
    <mergeCell ref="S58:T58"/>
    <mergeCell ref="A185:A186"/>
    <mergeCell ref="A182:A183"/>
    <mergeCell ref="C185:C186"/>
    <mergeCell ref="A179:B181"/>
    <mergeCell ref="AK191:AL191"/>
    <mergeCell ref="F108:AM108"/>
    <mergeCell ref="P109:Q109"/>
    <mergeCell ref="F179:U179"/>
    <mergeCell ref="U191:V191"/>
    <mergeCell ref="W191:X191"/>
    <mergeCell ref="E190:AL190"/>
    <mergeCell ref="K191:L191"/>
    <mergeCell ref="A113:B113"/>
    <mergeCell ref="A112:B112"/>
    <mergeCell ref="D125:I125"/>
    <mergeCell ref="J125:J126"/>
    <mergeCell ref="C125:C126"/>
    <mergeCell ref="Y179:Y181"/>
    <mergeCell ref="H180:I180"/>
    <mergeCell ref="X179:X181"/>
    <mergeCell ref="AB179:AE179"/>
    <mergeCell ref="AG191:AH191"/>
    <mergeCell ref="Y191:Z191"/>
    <mergeCell ref="AI191:AJ191"/>
  </mergeCells>
  <dataValidations count="1">
    <dataValidation type="whole" operator="greaterThanOrEqual" allowBlank="1" showInputMessage="1" showErrorMessage="1" errorTitle="Error" error="Favor Ingrese sólo Números." sqref="E30:AN35 E60:AN65 C69:E88 F95:AO101 D104:D106 AO20:AP35 E174:AL177 C187:D188 E12:AS15 F182:AK183 E199:O203 F117:Y118 E20:AN25 E40:AN45 E50:AN55 F111:AN113 B122:P123 D127:J128 B132:B143 C147:D147 D151:L152 C155:F160 D164:H169 E193:AN193" xr:uid="{00000000-0002-0000-0800-000000000000}">
      <formula1>0</formula1>
    </dataValidation>
  </dataValidations>
  <pageMargins left="0.7" right="0.7" top="0.75" bottom="0.75" header="0.3" footer="0.3"/>
  <pageSetup paperSize="9" orientation="portrait" r:id="rId1"/>
  <ignoredErrors>
    <ignoredError sqref="H115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55EDA-7B91-4077-A8D6-12C5C186802F}">
  <sheetPr codeName="Hoja10"/>
  <dimension ref="A1:DH412"/>
  <sheetViews>
    <sheetView showGridLines="0" zoomScaleNormal="100" workbookViewId="0">
      <selection activeCell="A6" sqref="A6:P6"/>
    </sheetView>
  </sheetViews>
  <sheetFormatPr baseColWidth="10" defaultColWidth="11.42578125" defaultRowHeight="14.25" x14ac:dyDescent="0.2"/>
  <cols>
    <col min="1" max="1" width="38.5703125" style="165" customWidth="1"/>
    <col min="2" max="2" width="27.28515625" style="165" customWidth="1"/>
    <col min="3" max="3" width="51.42578125" style="165" customWidth="1"/>
    <col min="4" max="4" width="14.140625" style="165" customWidth="1"/>
    <col min="5" max="6" width="13.28515625" style="165" customWidth="1"/>
    <col min="7" max="7" width="14.42578125" style="165" customWidth="1"/>
    <col min="8" max="9" width="13.28515625" style="165" customWidth="1"/>
    <col min="10" max="40" width="11.42578125" style="165"/>
    <col min="41" max="41" width="12.42578125" style="165" customWidth="1"/>
    <col min="42" max="42" width="12.140625" style="165" customWidth="1"/>
    <col min="43" max="43" width="13.7109375" style="165" customWidth="1"/>
    <col min="44" max="44" width="13.28515625" style="165" customWidth="1"/>
    <col min="45" max="45" width="14.28515625" style="165" customWidth="1"/>
    <col min="46" max="46" width="11.85546875" style="165" customWidth="1"/>
    <col min="47" max="47" width="12" style="165" customWidth="1"/>
    <col min="48" max="48" width="16.140625" style="165" customWidth="1"/>
    <col min="49" max="49" width="14.7109375" style="165" customWidth="1"/>
    <col min="50" max="50" width="13.140625" style="165" customWidth="1"/>
    <col min="51" max="51" width="11.42578125" style="199"/>
    <col min="52" max="72" width="11.42578125" style="165"/>
    <col min="73" max="73" width="10.140625" style="165" customWidth="1"/>
    <col min="74" max="75" width="11.42578125" style="165"/>
    <col min="76" max="78" width="11.42578125" style="1460"/>
    <col min="79" max="98" width="11.42578125" style="1451" hidden="1" customWidth="1"/>
    <col min="99" max="112" width="11.42578125" style="165" hidden="1" customWidth="1"/>
    <col min="113" max="130" width="11.42578125" style="165" customWidth="1"/>
    <col min="131" max="16384" width="11.42578125" style="165"/>
  </cols>
  <sheetData>
    <row r="1" spans="1:112" ht="16.350000000000001" customHeight="1" x14ac:dyDescent="0.2">
      <c r="A1" s="233" t="s">
        <v>206</v>
      </c>
      <c r="BU1" s="1452"/>
      <c r="BV1" s="1452"/>
      <c r="BW1" s="1452"/>
    </row>
    <row r="2" spans="1:112" ht="16.350000000000001" customHeight="1" x14ac:dyDescent="0.2">
      <c r="A2" s="150" t="str">
        <f>CONCATENATE("COMUNA: ",NOMBRE!B2," - ","( ",NOMBRE!C2,NOMBRE!D2,NOMBRE!E2,NOMBRE!F2,NOMBRE!G2," )")</f>
        <v>COMUNA:  - (  )</v>
      </c>
      <c r="BU2" s="1452"/>
      <c r="BV2" s="1452"/>
      <c r="BW2" s="1452"/>
    </row>
    <row r="3" spans="1:112" ht="16.350000000000001" customHeight="1" x14ac:dyDescent="0.2">
      <c r="A3" s="150" t="str">
        <f>CONCATENATE("ESTABLECIMIENTO/ESTRATEGIA: ",NOMBRE!B3," - ","( ",NOMBRE!C3,NOMBRE!D3,NOMBRE!E3,NOMBRE!F3,NOMBRE!G3,NOMBRE!H3," )")</f>
        <v>ESTABLECIMIENTO/ESTRATEGIA:  - (  )</v>
      </c>
      <c r="BU3" s="1452"/>
      <c r="BV3" s="1452"/>
      <c r="BW3" s="1452"/>
    </row>
    <row r="4" spans="1:112" ht="16.350000000000001" customHeight="1" x14ac:dyDescent="0.2">
      <c r="A4" s="150" t="str">
        <f>CONCATENATE("MES: ",NOMBRE!B6," - ","( ",NOMBRE!C6,NOMBRE!D6," )")</f>
        <v>MES:  - (  )</v>
      </c>
      <c r="BU4" s="1452"/>
      <c r="BV4" s="1452"/>
      <c r="BW4" s="1452"/>
    </row>
    <row r="5" spans="1:112" ht="16.350000000000001" customHeight="1" x14ac:dyDescent="0.2">
      <c r="A5" s="150" t="str">
        <f>CONCATENATE("AÑO: ",NOMBRE!B7)</f>
        <v>AÑO: 2023</v>
      </c>
      <c r="BU5" s="1452"/>
      <c r="BV5" s="1452"/>
      <c r="BW5" s="1452"/>
    </row>
    <row r="6" spans="1:112" s="199" customFormat="1" ht="15" customHeight="1" x14ac:dyDescent="0.25">
      <c r="A6" s="9293" t="s">
        <v>2047</v>
      </c>
      <c r="B6" s="9293"/>
      <c r="C6" s="9293"/>
      <c r="D6" s="9293"/>
      <c r="E6" s="9293"/>
      <c r="F6" s="9293"/>
      <c r="G6" s="9293"/>
      <c r="H6" s="9293"/>
      <c r="I6" s="9293"/>
      <c r="J6" s="9293"/>
      <c r="K6" s="9293"/>
      <c r="L6" s="9293"/>
      <c r="M6" s="9293"/>
      <c r="N6" s="9293"/>
      <c r="O6" s="9293"/>
      <c r="P6" s="9293"/>
      <c r="Q6" s="4929"/>
      <c r="R6" s="4929"/>
      <c r="S6" s="4929"/>
      <c r="T6" s="4929"/>
      <c r="U6" s="4929"/>
      <c r="V6" s="4929"/>
      <c r="W6" s="4929"/>
      <c r="X6" s="4929"/>
      <c r="Y6" s="4929"/>
      <c r="Z6" s="4929"/>
      <c r="AA6" s="4929"/>
      <c r="AB6" s="4929"/>
      <c r="AC6" s="4929"/>
      <c r="AD6" s="4929"/>
      <c r="AE6" s="4929"/>
      <c r="AF6" s="4929"/>
      <c r="AG6" s="4929"/>
      <c r="AH6" s="4929"/>
      <c r="AI6" s="4929"/>
      <c r="AJ6" s="4929"/>
      <c r="AK6" s="4929"/>
      <c r="AL6" s="4929"/>
      <c r="AM6" s="4929"/>
      <c r="AN6" s="4929"/>
      <c r="AO6" s="4929"/>
      <c r="AP6" s="4929"/>
      <c r="AQ6" s="4929"/>
      <c r="AR6" s="4929"/>
      <c r="AS6" s="4929"/>
      <c r="AT6" s="4929"/>
      <c r="AU6" s="4929"/>
      <c r="AV6" s="4929"/>
      <c r="AW6" s="9294"/>
      <c r="AX6" s="9294"/>
      <c r="AY6" s="9294"/>
      <c r="AZ6" s="9294"/>
      <c r="BA6" s="9294"/>
      <c r="BB6" s="9294"/>
      <c r="BC6" s="9294"/>
      <c r="BD6" s="9294"/>
      <c r="BE6" s="9294"/>
      <c r="BF6" s="9294"/>
      <c r="BG6" s="9294"/>
      <c r="BH6" s="9294"/>
      <c r="BI6" s="9294"/>
      <c r="BJ6" s="9294"/>
      <c r="BK6" s="9294"/>
      <c r="BL6" s="9294"/>
      <c r="BM6" s="9295"/>
      <c r="BN6" s="9295"/>
      <c r="BO6" s="9295"/>
      <c r="BP6" s="9295"/>
      <c r="BQ6" s="9295"/>
      <c r="BR6" s="9295"/>
      <c r="BS6" s="9295"/>
      <c r="BT6" s="9295"/>
      <c r="BU6" s="9295"/>
      <c r="BV6" s="9295"/>
      <c r="BW6" s="9295"/>
      <c r="BX6" s="9295"/>
      <c r="BY6" s="9295"/>
      <c r="BZ6" s="9295"/>
      <c r="CA6" s="9295"/>
      <c r="CB6" s="9295"/>
      <c r="CC6" s="9295"/>
      <c r="CD6" s="9295"/>
      <c r="CE6" s="9295"/>
      <c r="CF6" s="9295"/>
      <c r="CG6" s="9295"/>
      <c r="CH6" s="9295"/>
      <c r="CI6" s="9295"/>
      <c r="CJ6" s="9295"/>
      <c r="CK6" s="9295"/>
      <c r="CL6" s="9295"/>
      <c r="CM6" s="9295"/>
      <c r="CN6" s="9295"/>
      <c r="CO6" s="9295"/>
      <c r="CP6" s="9295"/>
      <c r="CQ6" s="9295"/>
      <c r="CR6" s="9295"/>
      <c r="CS6" s="9295"/>
      <c r="CT6" s="9295"/>
    </row>
    <row r="7" spans="1:112" x14ac:dyDescent="0.2">
      <c r="A7" s="740"/>
      <c r="B7" s="740"/>
      <c r="C7" s="740"/>
      <c r="D7" s="740"/>
      <c r="E7" s="740"/>
      <c r="F7" s="740"/>
      <c r="G7" s="740"/>
      <c r="H7" s="740"/>
      <c r="I7" s="740"/>
      <c r="J7" s="740"/>
      <c r="K7" s="740"/>
      <c r="L7" s="740"/>
      <c r="M7" s="740"/>
      <c r="N7" s="740"/>
      <c r="O7" s="740"/>
      <c r="P7" s="740"/>
      <c r="AH7" s="290"/>
      <c r="AI7" s="290"/>
      <c r="AJ7" s="290"/>
      <c r="AK7" s="290"/>
      <c r="AL7" s="290"/>
      <c r="AM7" s="290"/>
      <c r="AN7" s="290"/>
      <c r="AO7" s="290"/>
      <c r="AP7" s="290"/>
      <c r="AQ7" s="290"/>
      <c r="AR7" s="290"/>
      <c r="AS7" s="290"/>
      <c r="AT7" s="290"/>
      <c r="AU7" s="290"/>
      <c r="AV7" s="290"/>
      <c r="AW7" s="290"/>
      <c r="BU7" s="1452"/>
      <c r="BV7" s="1452"/>
      <c r="BW7" s="1452"/>
    </row>
    <row r="8" spans="1:112" ht="32.1" customHeight="1" x14ac:dyDescent="0.2">
      <c r="A8" s="2153" t="s">
        <v>2514</v>
      </c>
      <c r="B8" s="1342"/>
      <c r="C8" s="1342"/>
      <c r="D8" s="1343"/>
      <c r="E8" s="1343"/>
      <c r="F8" s="738"/>
      <c r="G8" s="199"/>
      <c r="H8" s="738"/>
      <c r="I8" s="738"/>
      <c r="J8" s="738"/>
      <c r="K8" s="738"/>
      <c r="L8" s="738"/>
      <c r="M8" s="738"/>
      <c r="N8" s="738"/>
      <c r="O8" s="738"/>
      <c r="P8" s="199"/>
      <c r="AH8" s="290"/>
      <c r="AI8" s="290"/>
      <c r="AJ8" s="290"/>
      <c r="AK8" s="290"/>
      <c r="AL8" s="290"/>
      <c r="AM8" s="290"/>
      <c r="AN8" s="290"/>
      <c r="AO8" s="290"/>
      <c r="AP8" s="290"/>
      <c r="AQ8" s="290"/>
      <c r="AR8" s="290"/>
      <c r="AS8" s="290"/>
      <c r="AT8" s="290"/>
      <c r="AU8" s="290"/>
      <c r="AV8" s="290"/>
      <c r="AW8" s="290"/>
      <c r="BU8" s="1452"/>
      <c r="BV8" s="1452"/>
      <c r="BW8" s="1452"/>
    </row>
    <row r="9" spans="1:112" ht="30.75" customHeight="1" x14ac:dyDescent="0.2">
      <c r="A9" s="8619" t="s">
        <v>1195</v>
      </c>
      <c r="B9" s="8619"/>
      <c r="C9" s="9280"/>
      <c r="D9" s="9098" t="s">
        <v>24</v>
      </c>
      <c r="E9" s="9098"/>
      <c r="F9" s="9140"/>
      <c r="G9" s="9299" t="s">
        <v>1061</v>
      </c>
      <c r="H9" s="9300"/>
      <c r="I9" s="9300"/>
      <c r="J9" s="9300"/>
      <c r="K9" s="9300"/>
      <c r="L9" s="9300"/>
      <c r="M9" s="9300"/>
      <c r="N9" s="9300"/>
      <c r="O9" s="9300"/>
      <c r="P9" s="9300"/>
      <c r="Q9" s="9300"/>
      <c r="R9" s="9300"/>
      <c r="S9" s="9300"/>
      <c r="T9" s="9300"/>
      <c r="U9" s="9300"/>
      <c r="V9" s="9300"/>
      <c r="W9" s="9300"/>
      <c r="X9" s="9300"/>
      <c r="Y9" s="9300"/>
      <c r="Z9" s="9300"/>
      <c r="AA9" s="9300"/>
      <c r="AB9" s="9300"/>
      <c r="AC9" s="9300"/>
      <c r="AD9" s="9300"/>
      <c r="AE9" s="9300"/>
      <c r="AF9" s="9300"/>
      <c r="AG9" s="9300"/>
      <c r="AH9" s="9300"/>
      <c r="AI9" s="9300"/>
      <c r="AJ9" s="9300"/>
      <c r="AK9" s="9300"/>
      <c r="AL9" s="9300"/>
      <c r="AM9" s="9300"/>
      <c r="AN9" s="9300"/>
      <c r="AO9" s="9300"/>
      <c r="AP9" s="9301"/>
      <c r="AQ9" s="9140" t="s">
        <v>2532</v>
      </c>
      <c r="AR9" s="8197" t="s">
        <v>112</v>
      </c>
      <c r="AS9" s="8197" t="s">
        <v>2526</v>
      </c>
      <c r="AT9" s="8197" t="s">
        <v>2546</v>
      </c>
      <c r="AU9" s="8197" t="s">
        <v>359</v>
      </c>
      <c r="AV9" s="9303" t="s">
        <v>3666</v>
      </c>
      <c r="AW9" s="8197" t="s">
        <v>2994</v>
      </c>
      <c r="AX9" s="8197" t="s">
        <v>2894</v>
      </c>
      <c r="AZ9" s="290"/>
      <c r="BA9" s="290"/>
      <c r="BB9" s="290"/>
      <c r="BC9" s="290"/>
      <c r="BD9" s="290"/>
      <c r="BE9" s="290"/>
      <c r="BF9" s="290"/>
      <c r="BG9" s="290"/>
      <c r="BH9" s="290"/>
      <c r="BI9" s="290"/>
      <c r="BX9" s="165"/>
      <c r="BY9" s="165"/>
      <c r="DA9" s="1454"/>
      <c r="DB9" s="1454"/>
      <c r="DC9" s="1454"/>
      <c r="DD9" s="1454"/>
      <c r="DE9" s="1454"/>
      <c r="DF9" s="1454"/>
      <c r="DG9" s="1454"/>
    </row>
    <row r="10" spans="1:112" ht="27.75" customHeight="1" x14ac:dyDescent="0.2">
      <c r="A10" s="9254"/>
      <c r="B10" s="9254"/>
      <c r="C10" s="9296"/>
      <c r="D10" s="9230"/>
      <c r="E10" s="9230"/>
      <c r="F10" s="8527"/>
      <c r="G10" s="9304" t="s">
        <v>3667</v>
      </c>
      <c r="H10" s="9305"/>
      <c r="I10" s="9306" t="s">
        <v>1077</v>
      </c>
      <c r="J10" s="9307"/>
      <c r="K10" s="9308" t="s">
        <v>1076</v>
      </c>
      <c r="L10" s="9307"/>
      <c r="M10" s="9306" t="s">
        <v>3668</v>
      </c>
      <c r="N10" s="9307"/>
      <c r="O10" s="9306" t="s">
        <v>1075</v>
      </c>
      <c r="P10" s="9307"/>
      <c r="Q10" s="9306" t="s">
        <v>1074</v>
      </c>
      <c r="R10" s="9307"/>
      <c r="S10" s="9306" t="s">
        <v>1045</v>
      </c>
      <c r="T10" s="9307"/>
      <c r="U10" s="9306" t="s">
        <v>1044</v>
      </c>
      <c r="V10" s="9307"/>
      <c r="W10" s="9306" t="s">
        <v>3669</v>
      </c>
      <c r="X10" s="9307"/>
      <c r="Y10" s="9306" t="s">
        <v>48</v>
      </c>
      <c r="Z10" s="9309"/>
      <c r="AA10" s="9306" t="s">
        <v>49</v>
      </c>
      <c r="AB10" s="9309"/>
      <c r="AC10" s="9306" t="s">
        <v>3736</v>
      </c>
      <c r="AD10" s="9309"/>
      <c r="AE10" s="9306" t="s">
        <v>3737</v>
      </c>
      <c r="AF10" s="9309"/>
      <c r="AG10" s="9306" t="s">
        <v>3738</v>
      </c>
      <c r="AH10" s="9309"/>
      <c r="AI10" s="9306" t="s">
        <v>3739</v>
      </c>
      <c r="AJ10" s="9309"/>
      <c r="AK10" s="9306" t="s">
        <v>2127</v>
      </c>
      <c r="AL10" s="9309"/>
      <c r="AM10" s="9306" t="s">
        <v>2128</v>
      </c>
      <c r="AN10" s="9309"/>
      <c r="AO10" s="9306" t="s">
        <v>2126</v>
      </c>
      <c r="AP10" s="9310"/>
      <c r="AQ10" s="8151"/>
      <c r="AR10" s="8274"/>
      <c r="AS10" s="8274"/>
      <c r="AT10" s="8274"/>
      <c r="AU10" s="8274"/>
      <c r="AV10" s="9081"/>
      <c r="AW10" s="8274"/>
      <c r="AX10" s="8274"/>
      <c r="AZ10" s="290"/>
      <c r="BA10" s="290"/>
      <c r="BB10" s="290"/>
      <c r="BC10" s="290"/>
      <c r="BD10" s="290"/>
      <c r="BE10" s="290"/>
      <c r="BF10" s="290"/>
      <c r="BG10" s="290"/>
      <c r="BH10" s="290"/>
      <c r="BI10" s="290"/>
      <c r="BX10" s="165"/>
      <c r="BY10" s="165"/>
      <c r="DA10" s="1454"/>
      <c r="DB10" s="1454"/>
      <c r="DC10" s="1454"/>
      <c r="DD10" s="1454"/>
      <c r="DE10" s="1454"/>
      <c r="DF10" s="1454"/>
      <c r="DG10" s="1454"/>
    </row>
    <row r="11" spans="1:112" ht="32.25" customHeight="1" x14ac:dyDescent="0.2">
      <c r="A11" s="9297"/>
      <c r="B11" s="9297"/>
      <c r="C11" s="9298"/>
      <c r="D11" s="4959" t="s">
        <v>42</v>
      </c>
      <c r="E11" s="3919" t="s">
        <v>17</v>
      </c>
      <c r="F11" s="4960" t="s">
        <v>18</v>
      </c>
      <c r="G11" s="3921" t="s">
        <v>17</v>
      </c>
      <c r="H11" s="4960" t="s">
        <v>18</v>
      </c>
      <c r="I11" s="3921" t="s">
        <v>17</v>
      </c>
      <c r="J11" s="4960" t="s">
        <v>18</v>
      </c>
      <c r="K11" s="3921" t="s">
        <v>17</v>
      </c>
      <c r="L11" s="4960" t="s">
        <v>18</v>
      </c>
      <c r="M11" s="3921" t="s">
        <v>17</v>
      </c>
      <c r="N11" s="4960" t="s">
        <v>18</v>
      </c>
      <c r="O11" s="3921" t="s">
        <v>17</v>
      </c>
      <c r="P11" s="4960" t="s">
        <v>18</v>
      </c>
      <c r="Q11" s="3921" t="s">
        <v>17</v>
      </c>
      <c r="R11" s="4960" t="s">
        <v>18</v>
      </c>
      <c r="S11" s="3921" t="s">
        <v>17</v>
      </c>
      <c r="T11" s="4960" t="s">
        <v>18</v>
      </c>
      <c r="U11" s="3921" t="s">
        <v>17</v>
      </c>
      <c r="V11" s="4960" t="s">
        <v>18</v>
      </c>
      <c r="W11" s="3921" t="s">
        <v>17</v>
      </c>
      <c r="X11" s="4960" t="s">
        <v>18</v>
      </c>
      <c r="Y11" s="3921" t="s">
        <v>17</v>
      </c>
      <c r="Z11" s="4960" t="s">
        <v>18</v>
      </c>
      <c r="AA11" s="3921" t="s">
        <v>17</v>
      </c>
      <c r="AB11" s="4960" t="s">
        <v>18</v>
      </c>
      <c r="AC11" s="3921" t="s">
        <v>17</v>
      </c>
      <c r="AD11" s="4960" t="s">
        <v>18</v>
      </c>
      <c r="AE11" s="3921" t="s">
        <v>17</v>
      </c>
      <c r="AF11" s="4960" t="s">
        <v>18</v>
      </c>
      <c r="AG11" s="3921" t="s">
        <v>17</v>
      </c>
      <c r="AH11" s="4960" t="s">
        <v>18</v>
      </c>
      <c r="AI11" s="3921" t="s">
        <v>17</v>
      </c>
      <c r="AJ11" s="4960" t="s">
        <v>18</v>
      </c>
      <c r="AK11" s="3921" t="s">
        <v>17</v>
      </c>
      <c r="AL11" s="4960" t="s">
        <v>18</v>
      </c>
      <c r="AM11" s="3921" t="s">
        <v>17</v>
      </c>
      <c r="AN11" s="4960" t="s">
        <v>18</v>
      </c>
      <c r="AO11" s="3921" t="s">
        <v>17</v>
      </c>
      <c r="AP11" s="4961" t="s">
        <v>18</v>
      </c>
      <c r="AQ11" s="8527"/>
      <c r="AR11" s="9302"/>
      <c r="AS11" s="9302"/>
      <c r="AT11" s="9302"/>
      <c r="AU11" s="9302"/>
      <c r="AV11" s="9108"/>
      <c r="AW11" s="9302"/>
      <c r="AX11" s="9302"/>
      <c r="AZ11" s="290"/>
      <c r="BA11" s="290"/>
      <c r="BB11" s="290"/>
      <c r="BC11" s="290"/>
      <c r="BD11" s="290"/>
      <c r="BE11" s="290"/>
      <c r="BF11" s="290"/>
      <c r="BG11" s="290"/>
      <c r="BH11" s="290"/>
      <c r="BI11" s="290"/>
      <c r="BX11" s="165"/>
      <c r="BY11" s="165"/>
      <c r="DA11" s="1454"/>
      <c r="DB11" s="1454"/>
      <c r="DC11" s="1454"/>
      <c r="DD11" s="1454"/>
      <c r="DE11" s="1454"/>
      <c r="DF11" s="1454"/>
      <c r="DG11" s="1454"/>
    </row>
    <row r="12" spans="1:112" ht="16.350000000000001" customHeight="1" x14ac:dyDescent="0.2">
      <c r="A12" s="9312" t="s">
        <v>1194</v>
      </c>
      <c r="B12" s="9313"/>
      <c r="C12" s="9314"/>
      <c r="D12" s="4962">
        <f>SUM(E12+F12)</f>
        <v>0</v>
      </c>
      <c r="E12" s="4963">
        <f>SUM(G12+I12+K12+M12+O12+Q12+S12+U12+W12+Y12+AA12+AC12+AE12+AG12+AI12+AK12+AM12+AO12)</f>
        <v>0</v>
      </c>
      <c r="F12" s="4964">
        <f t="shared" ref="E12:F15" si="0">SUM(H12+J12+L12+N12+P12+R12+T12+V12+X12+Z12+AB12+AD12+AF12+AH12+AJ12+AL12+AN12+AP12)</f>
        <v>0</v>
      </c>
      <c r="G12" s="4025"/>
      <c r="H12" s="2877"/>
      <c r="I12" s="4965"/>
      <c r="J12" s="2877"/>
      <c r="K12" s="4965"/>
      <c r="L12" s="2877"/>
      <c r="M12" s="4025"/>
      <c r="N12" s="2877"/>
      <c r="O12" s="4025"/>
      <c r="P12" s="2877"/>
      <c r="Q12" s="4025"/>
      <c r="R12" s="4966"/>
      <c r="S12" s="4025"/>
      <c r="T12" s="4966"/>
      <c r="U12" s="4025"/>
      <c r="V12" s="4966"/>
      <c r="W12" s="4025"/>
      <c r="X12" s="4966"/>
      <c r="Y12" s="4025"/>
      <c r="Z12" s="4966"/>
      <c r="AA12" s="4025"/>
      <c r="AB12" s="4966"/>
      <c r="AC12" s="4025"/>
      <c r="AD12" s="4966"/>
      <c r="AE12" s="4025"/>
      <c r="AF12" s="4966"/>
      <c r="AG12" s="4025"/>
      <c r="AH12" s="4966"/>
      <c r="AI12" s="4025"/>
      <c r="AJ12" s="4966"/>
      <c r="AK12" s="4025"/>
      <c r="AL12" s="4966"/>
      <c r="AM12" s="4025"/>
      <c r="AN12" s="4966"/>
      <c r="AO12" s="4025"/>
      <c r="AP12" s="4967"/>
      <c r="AQ12" s="2877"/>
      <c r="AR12" s="2877"/>
      <c r="AS12" s="4026"/>
      <c r="AT12" s="4026"/>
      <c r="AU12" s="4026"/>
      <c r="AV12" s="4026"/>
      <c r="AW12" s="4026"/>
      <c r="AX12" s="4026"/>
      <c r="AY12" s="1529" t="str">
        <f>$CA12&amp;$CB12&amp;$CC12&amp;$CD12&amp;$CE12&amp;$CF12&amp;$CG12&amp;$CH12&amp;$CI12&amp;$CJ12&amp;$CK12&amp;$CL12&amp;$CM12&amp;$CN12&amp;$CO12&amp;$CP12&amp;$CQ12&amp;$CR12</f>
        <v/>
      </c>
      <c r="AZ12" s="802"/>
      <c r="BA12" s="802"/>
      <c r="BB12" s="802"/>
      <c r="BC12" s="802"/>
      <c r="BD12" s="802"/>
      <c r="BE12" s="802"/>
      <c r="BF12" s="290"/>
      <c r="BG12" s="290"/>
      <c r="BH12" s="290"/>
      <c r="BI12" s="290"/>
      <c r="BX12" s="165"/>
      <c r="BY12" s="165"/>
      <c r="CA12" s="1457" t="str">
        <f>IF(DA12=1,"* Las consultas de 60 años NO DEBEN ser mayor que el total de Consultas entre 60-64 Años. ","")</f>
        <v/>
      </c>
      <c r="CB12" s="1457" t="str">
        <f>IF(DB12=1,"* Las actividades de usuarios en situación de discapacidad NO DEBEN superar el total. ","")</f>
        <v/>
      </c>
      <c r="CC12" s="1457" t="str">
        <f>IF(DC12=1,"* Las consultas de 12 años NO DEBEN ser mayor que el total de Consultas entre 10-14 Años. ","")</f>
        <v/>
      </c>
      <c r="CD12" s="1457" t="str">
        <f>IF(DD12=1,"* Las consultas de Pacientes en control PSCV NO DEBEN ser mayor que el total de Consultas. ","")</f>
        <v/>
      </c>
      <c r="CE12" s="1457" t="str">
        <f>IF(AND(AR12="",D12&lt;&gt;0),"* Recuerde que las Embarazadas deben ser incluídas en el ingreso por rango Etario (Digite CEROS si no tiene). ",IF(F12&lt;AR12,"* Las Embarazadas NO DEBEN ser mayor al total de mujeres. ",""))</f>
        <v/>
      </c>
      <c r="CF12" s="1457" t="str">
        <f>IF(AND(AW12="",D12&lt;&gt;0),"* No olvide digitar la población SENAME (Digite CEROS si no tiene). ",IF(D12&lt;AW12,"* La Población SENAME NO DEBE ser mayor al Total. ",""))</f>
        <v/>
      </c>
      <c r="CG12" s="1457" t="str">
        <f>IF(AND(AX12="",E12&lt;&gt;0),"* No olvide digitar la población Mejor Niñez (Digite CEROS si no tiene). ",IF(E12&lt;AX12,"* La Población Mejor Niñez NO DEBE ser mayor al Total. ",""))</f>
        <v/>
      </c>
      <c r="CH12" s="1457" t="str">
        <f>IF(AND(AU12="",D12&lt;&gt;0),"* No olvide digitar la población Migrante (Digite CEROS si no tiene). ",IF(D12&lt;AU12,"* La Población Migrante NO DEBE ser mayor al Total. ",""))</f>
        <v/>
      </c>
      <c r="DA12" s="1458">
        <f>IF(AS12&gt;(AK12+AL12),1,0)</f>
        <v>0</v>
      </c>
      <c r="DB12" s="1458">
        <f>IF(D12&lt;AT12,1,0)</f>
        <v>0</v>
      </c>
      <c r="DC12" s="1458">
        <f>IF((Y12+Z12)&lt;AQ12,1,0)</f>
        <v>0</v>
      </c>
      <c r="DD12" s="1458">
        <f>IF(D12&lt;AV12,1,0)</f>
        <v>0</v>
      </c>
      <c r="DE12" s="1458">
        <f>IF(AND(AR12="",D12&lt;&gt;0),1,IF(F12&lt;AR12,1,0))</f>
        <v>0</v>
      </c>
      <c r="DF12" s="1458">
        <f t="shared" ref="DF12:DF15" si="1">IF(AND(AW12="",D12&lt;&gt;0),1,IF(D12&lt;AW12,1,0))</f>
        <v>0</v>
      </c>
      <c r="DG12" s="1458">
        <f>IF(AND(AU12="",D12&lt;&gt;0),1,IF(D12&lt;AU12,1,0))</f>
        <v>0</v>
      </c>
      <c r="DH12" s="1458">
        <f>IF(AND(AX12="",F12&lt;&gt;0),1,IF(F12&lt;AX12,1,0))</f>
        <v>0</v>
      </c>
    </row>
    <row r="13" spans="1:112" ht="16.350000000000001" customHeight="1" x14ac:dyDescent="0.2">
      <c r="A13" s="9315" t="s">
        <v>1193</v>
      </c>
      <c r="B13" s="9316"/>
      <c r="C13" s="9317"/>
      <c r="D13" s="2985">
        <f>SUM(E13+F13)</f>
        <v>0</v>
      </c>
      <c r="E13" s="4968">
        <f t="shared" si="0"/>
        <v>0</v>
      </c>
      <c r="F13" s="1879">
        <f>SUM(H13+J13+L13+N13+P13+R13+T13+V13+X13+Z13+AB13+AD13+AF13+AH13+AJ13+AL13+AN13+AP13)</f>
        <v>0</v>
      </c>
      <c r="G13" s="2885"/>
      <c r="H13" s="2889"/>
      <c r="I13" s="2885"/>
      <c r="J13" s="2889"/>
      <c r="K13" s="2885"/>
      <c r="L13" s="2889"/>
      <c r="M13" s="2885"/>
      <c r="N13" s="2889"/>
      <c r="O13" s="2885"/>
      <c r="P13" s="2889"/>
      <c r="Q13" s="2885"/>
      <c r="R13" s="1882"/>
      <c r="S13" s="2885"/>
      <c r="T13" s="1882"/>
      <c r="U13" s="2885"/>
      <c r="V13" s="1882"/>
      <c r="W13" s="2885"/>
      <c r="X13" s="1882"/>
      <c r="Y13" s="2885"/>
      <c r="Z13" s="1882"/>
      <c r="AA13" s="2885"/>
      <c r="AB13" s="1882"/>
      <c r="AC13" s="2885"/>
      <c r="AD13" s="1882"/>
      <c r="AE13" s="2885"/>
      <c r="AF13" s="1882"/>
      <c r="AG13" s="2885"/>
      <c r="AH13" s="1882"/>
      <c r="AI13" s="2885"/>
      <c r="AJ13" s="1882"/>
      <c r="AK13" s="2885"/>
      <c r="AL13" s="1882"/>
      <c r="AM13" s="2885"/>
      <c r="AN13" s="1882"/>
      <c r="AO13" s="2885"/>
      <c r="AP13" s="3029"/>
      <c r="AQ13" s="2889"/>
      <c r="AR13" s="2889"/>
      <c r="AS13" s="3600"/>
      <c r="AT13" s="3600"/>
      <c r="AU13" s="3600"/>
      <c r="AV13" s="3600"/>
      <c r="AW13" s="3600"/>
      <c r="AX13" s="3600"/>
      <c r="AY13" s="1529" t="str">
        <f t="shared" ref="AY13:AY15" si="2">$CA13&amp;$CB13&amp;$CC13&amp;$CD13&amp;$CE13&amp;$CF13&amp;$CG13&amp;$CH13&amp;$CI13&amp;$CJ13&amp;$CK13&amp;$CL13&amp;$CM13&amp;$CN13&amp;$CO13&amp;$CP13&amp;$CQ13&amp;$CR13</f>
        <v/>
      </c>
      <c r="AZ13" s="802"/>
      <c r="BA13" s="802"/>
      <c r="BB13" s="802"/>
      <c r="BC13" s="802"/>
      <c r="BD13" s="802"/>
      <c r="BE13" s="802"/>
      <c r="BF13" s="290"/>
      <c r="BG13" s="290"/>
      <c r="BH13" s="290"/>
      <c r="BI13" s="290"/>
      <c r="BX13" s="165"/>
      <c r="BY13" s="165"/>
      <c r="CA13" s="1457" t="str">
        <f>IF(DA13=1,"* Las consultas de 60 años NO DEBEN ser mayor que el total de Consultas entre 60-64 Años. ","")</f>
        <v/>
      </c>
      <c r="CB13" s="1457" t="str">
        <f>IF(DB13=1,"* Las actividades de usuarios en situación de discapacidad NO DEBEN superar el total. ","")</f>
        <v/>
      </c>
      <c r="CC13" s="1457" t="str">
        <f>IF(DC13=1,"* Las consultas de 12 años NO DEBEN ser mayor que el total de Consultas entre 10-14 Años. ","")</f>
        <v/>
      </c>
      <c r="CD13" s="1457" t="str">
        <f>IF(DD13=1,"* Las consultas de Pacientes en control PSCV NO DEBEN ser mayor que el total de Consultas. ","")</f>
        <v/>
      </c>
      <c r="CE13" s="1457" t="str">
        <f>IF(AND(AR13="",D13&lt;&gt;0),"* Recuerde que las Embarazadas deben ser incluídas en el ingreso por rango Etario (Digite CEROS si no tiene). ",IF(F13&lt;AR13,"* Las Embarazadas NO DEBEN ser mayor al total de mujeres. ",""))</f>
        <v/>
      </c>
      <c r="CF13" s="1457" t="str">
        <f t="shared" ref="CF13:CF15" si="3">IF(AND(AW13="",D13&lt;&gt;0),"* No olvide digitar la población SENAME (Digite CEROS si no tiene). ",IF(D13&lt;AW13,"* La Población SENAME NO DEBE ser mayor al Total. ",""))</f>
        <v/>
      </c>
      <c r="CG13" s="1457" t="str">
        <f t="shared" ref="CG13:CG15" si="4">IF(AND(AX13="",E13&lt;&gt;0),"* No olvide digitar la población Mejor Niñez (Digite CEROS si no tiene). ",IF(E13&lt;AX13,"* La Población Mejor Niñez NO DEBE ser mayor al Total. ",""))</f>
        <v/>
      </c>
      <c r="CH13" s="1457" t="str">
        <f t="shared" ref="CH13:CH15" si="5">IF(AND(AU13="",D13&lt;&gt;0),"* No olvide digitar la población Migrante (Digite CEROS si no tiene). ",IF(D13&lt;AU13,"* La Población Migrante NO DEBE ser mayor al Total. ",""))</f>
        <v/>
      </c>
      <c r="DA13" s="1458">
        <f>IF(AS13&gt;(AK13+AL13),1,0)</f>
        <v>0</v>
      </c>
      <c r="DB13" s="1458">
        <f>IF(D13&lt;AT13,1,0)</f>
        <v>0</v>
      </c>
      <c r="DC13" s="1458">
        <f>IF((Y13+Z13)&lt;AQ13,1,0)</f>
        <v>0</v>
      </c>
      <c r="DD13" s="1458">
        <f>IF(D13&lt;AV13,1,0)</f>
        <v>0</v>
      </c>
      <c r="DE13" s="1458">
        <f>IF(AND(AR13="",D13&lt;&gt;0),1,IF(F13&lt;AR13,1,0))</f>
        <v>0</v>
      </c>
      <c r="DF13" s="1458">
        <f t="shared" si="1"/>
        <v>0</v>
      </c>
      <c r="DG13" s="1458">
        <f>IF(AND(AU13="",D13&lt;&gt;0),1,IF(D13&lt;AU13,1,0))</f>
        <v>0</v>
      </c>
      <c r="DH13" s="1458">
        <f t="shared" ref="DH13:DH15" si="6">IF(AND(AX13="",F13&lt;&gt;0),1,IF(F13&lt;AX13,1,0))</f>
        <v>0</v>
      </c>
    </row>
    <row r="14" spans="1:112" ht="16.350000000000001" customHeight="1" x14ac:dyDescent="0.2">
      <c r="A14" s="9315" t="s">
        <v>1192</v>
      </c>
      <c r="B14" s="9316"/>
      <c r="C14" s="9317"/>
      <c r="D14" s="2985">
        <f>SUM(E14+F14)</f>
        <v>0</v>
      </c>
      <c r="E14" s="4968">
        <f t="shared" si="0"/>
        <v>0</v>
      </c>
      <c r="F14" s="1879">
        <f t="shared" si="0"/>
        <v>0</v>
      </c>
      <c r="G14" s="2885"/>
      <c r="H14" s="2889"/>
      <c r="I14" s="2885"/>
      <c r="J14" s="2889"/>
      <c r="K14" s="2885"/>
      <c r="L14" s="2889"/>
      <c r="M14" s="2885"/>
      <c r="N14" s="1882"/>
      <c r="O14" s="2885"/>
      <c r="P14" s="1882"/>
      <c r="Q14" s="2885"/>
      <c r="R14" s="1882"/>
      <c r="S14" s="2885"/>
      <c r="T14" s="1882"/>
      <c r="U14" s="2885"/>
      <c r="V14" s="1882"/>
      <c r="W14" s="2885"/>
      <c r="X14" s="1882"/>
      <c r="Y14" s="2885"/>
      <c r="Z14" s="1882"/>
      <c r="AA14" s="2885"/>
      <c r="AB14" s="1882"/>
      <c r="AC14" s="2885"/>
      <c r="AD14" s="1882"/>
      <c r="AE14" s="2885"/>
      <c r="AF14" s="1882"/>
      <c r="AG14" s="2885"/>
      <c r="AH14" s="1882"/>
      <c r="AI14" s="2885"/>
      <c r="AJ14" s="1882"/>
      <c r="AK14" s="2885"/>
      <c r="AL14" s="1882"/>
      <c r="AM14" s="2885"/>
      <c r="AN14" s="1882"/>
      <c r="AO14" s="2885"/>
      <c r="AP14" s="3029"/>
      <c r="AQ14" s="2889"/>
      <c r="AR14" s="2889"/>
      <c r="AS14" s="3600"/>
      <c r="AT14" s="3600"/>
      <c r="AU14" s="3600"/>
      <c r="AV14" s="3600"/>
      <c r="AW14" s="3600"/>
      <c r="AX14" s="3600"/>
      <c r="AY14" s="1529" t="str">
        <f t="shared" si="2"/>
        <v/>
      </c>
      <c r="AZ14" s="802"/>
      <c r="BA14" s="802"/>
      <c r="BB14" s="802"/>
      <c r="BC14" s="802"/>
      <c r="BD14" s="802"/>
      <c r="BE14" s="802"/>
      <c r="BF14" s="290"/>
      <c r="BG14" s="290"/>
      <c r="BH14" s="290"/>
      <c r="BI14" s="290"/>
      <c r="BX14" s="165"/>
      <c r="BY14" s="165"/>
      <c r="CA14" s="1457" t="str">
        <f>IF(DA14=1,"* Las consultas de 60 años NO DEBEN ser mayor que el total de Consultas entre 60-64 Años. ","")</f>
        <v/>
      </c>
      <c r="CB14" s="1457" t="str">
        <f>IF(DB14=1,"* Las actividades de usuarios en situación de discapacidad NO DEBEN superar el total. ","")</f>
        <v/>
      </c>
      <c r="CC14" s="1457" t="str">
        <f>IF(DC14=1,"* Las consultas de 12 años NO DEBEN ser mayor que el total de Consultas entre 10-14 Años. ","")</f>
        <v/>
      </c>
      <c r="CD14" s="1457" t="str">
        <f>IF(DD14=1,"* Las consultas de Pacientes en control PSCV NO DEBEN ser mayor que el total de Consultas. ","")</f>
        <v/>
      </c>
      <c r="CE14" s="1457" t="str">
        <f>IF(AND(AR14="",D14&lt;&gt;0),"* Recuerde que las Embarazadas deben ser incluídas en el ingreso por rango Etario (Digite CEROS si no tiene). ",IF(F14&lt;AR14,"* Las Embarazadas NO DEBEN ser mayor al total de mujeres. ",""))</f>
        <v/>
      </c>
      <c r="CF14" s="1457" t="str">
        <f t="shared" si="3"/>
        <v/>
      </c>
      <c r="CG14" s="1457" t="str">
        <f t="shared" si="4"/>
        <v/>
      </c>
      <c r="CH14" s="1457" t="str">
        <f t="shared" si="5"/>
        <v/>
      </c>
      <c r="DA14" s="1458">
        <f>IF(AS14&gt;(AK14+AL14),1,0)</f>
        <v>0</v>
      </c>
      <c r="DB14" s="1458">
        <f>IF(D14&lt;AT14,1,0)</f>
        <v>0</v>
      </c>
      <c r="DC14" s="1458">
        <f>IF((Y14+Z14)&lt;AQ14,1,0)</f>
        <v>0</v>
      </c>
      <c r="DD14" s="1458">
        <f>IF(D14&lt;AV14,1,0)</f>
        <v>0</v>
      </c>
      <c r="DE14" s="1458">
        <f>IF(AND(AR14="",D14&lt;&gt;0),1,IF(F14&lt;AR14,1,0))</f>
        <v>0</v>
      </c>
      <c r="DF14" s="1458">
        <f t="shared" si="1"/>
        <v>0</v>
      </c>
      <c r="DG14" s="1458">
        <f>IF(AND(AU14="",D14&lt;&gt;0),1,IF(D14&lt;AU14,1,0))</f>
        <v>0</v>
      </c>
      <c r="DH14" s="1458">
        <f t="shared" si="6"/>
        <v>0</v>
      </c>
    </row>
    <row r="15" spans="1:112" ht="16.350000000000001" customHeight="1" x14ac:dyDescent="0.2">
      <c r="A15" s="9318" t="s">
        <v>1191</v>
      </c>
      <c r="B15" s="9319"/>
      <c r="C15" s="9320"/>
      <c r="D15" s="2798">
        <f>SUM(E15+F15)</f>
        <v>0</v>
      </c>
      <c r="E15" s="4969">
        <f>SUM(G15+I15+K15+M15+O15+Q15+S15+U15+W15+Y15+AA15+AC15+AE15+AG15+AI15+AK15+AM15+AO15)</f>
        <v>0</v>
      </c>
      <c r="F15" s="2898">
        <f t="shared" si="0"/>
        <v>0</v>
      </c>
      <c r="G15" s="3248"/>
      <c r="H15" s="3249"/>
      <c r="I15" s="3248"/>
      <c r="J15" s="3249"/>
      <c r="K15" s="3248"/>
      <c r="L15" s="3249"/>
      <c r="M15" s="3248"/>
      <c r="N15" s="2884"/>
      <c r="O15" s="3248"/>
      <c r="P15" s="2884"/>
      <c r="Q15" s="3248"/>
      <c r="R15" s="2884"/>
      <c r="S15" s="3248"/>
      <c r="T15" s="2884"/>
      <c r="U15" s="3248"/>
      <c r="V15" s="2884"/>
      <c r="W15" s="3248"/>
      <c r="X15" s="2884"/>
      <c r="Y15" s="3248"/>
      <c r="Z15" s="2884"/>
      <c r="AA15" s="3248"/>
      <c r="AB15" s="2884"/>
      <c r="AC15" s="3248"/>
      <c r="AD15" s="2884"/>
      <c r="AE15" s="3248"/>
      <c r="AF15" s="2884"/>
      <c r="AG15" s="3248"/>
      <c r="AH15" s="2884"/>
      <c r="AI15" s="3248"/>
      <c r="AJ15" s="2884"/>
      <c r="AK15" s="3248"/>
      <c r="AL15" s="2884"/>
      <c r="AM15" s="3248"/>
      <c r="AN15" s="2884"/>
      <c r="AO15" s="3248"/>
      <c r="AP15" s="2893"/>
      <c r="AQ15" s="3249"/>
      <c r="AR15" s="3249"/>
      <c r="AS15" s="3329"/>
      <c r="AT15" s="3329"/>
      <c r="AU15" s="3329"/>
      <c r="AV15" s="3329"/>
      <c r="AW15" s="3329"/>
      <c r="AX15" s="3329"/>
      <c r="AY15" s="1529" t="str">
        <f t="shared" si="2"/>
        <v/>
      </c>
      <c r="AZ15" s="802"/>
      <c r="BA15" s="802"/>
      <c r="BB15" s="802"/>
      <c r="BC15" s="802"/>
      <c r="BD15" s="802"/>
      <c r="BE15" s="802"/>
      <c r="BF15" s="290"/>
      <c r="BG15" s="290"/>
      <c r="BH15" s="290"/>
      <c r="BI15" s="290"/>
      <c r="BJ15" s="290"/>
      <c r="BK15" s="290"/>
      <c r="BX15" s="165"/>
      <c r="BY15" s="165"/>
      <c r="CA15" s="1457" t="str">
        <f>IF(DA15=1,"* Las consultas de 60 años NO DEBEN ser mayor que el total de Consultas entre 60-64 Años. ","")</f>
        <v/>
      </c>
      <c r="CB15" s="1457" t="str">
        <f>IF(DB15=1,"* Las actividades de usuarios en situación de discapacidad NO DEBEN superar el total. ","")</f>
        <v/>
      </c>
      <c r="CC15" s="1457" t="str">
        <f>IF(DC15=1,"* Las consultas de 12 años NO DEBEN ser mayor que el total de Consultas entre 10-14 Años. ","")</f>
        <v/>
      </c>
      <c r="CD15" s="1457" t="str">
        <f>IF(DD15=1,"* Las consultas de Pacientes en control PSCV NO DEBEN ser mayor que el total de Consultas. ","")</f>
        <v/>
      </c>
      <c r="CE15" s="1457" t="str">
        <f>IF(AND(AR15="",D15&lt;&gt;0),"* Recuerde que las Embarazadas deben ser incluídas en el ingreso por rango Etario (Digite CEROS si no tiene). ",IF(F15&lt;AR15,"* Las Embarazadas NO DEBEN ser mayor al total de mujeres. ",""))</f>
        <v/>
      </c>
      <c r="CF15" s="1457" t="str">
        <f t="shared" si="3"/>
        <v/>
      </c>
      <c r="CG15" s="1457" t="str">
        <f t="shared" si="4"/>
        <v/>
      </c>
      <c r="CH15" s="1457" t="str">
        <f t="shared" si="5"/>
        <v/>
      </c>
      <c r="DA15" s="1458">
        <f>IF(AS15&gt;(AK15+AL15),1,0)</f>
        <v>0</v>
      </c>
      <c r="DB15" s="1458">
        <f>IF(D15&lt;AT15,1,0)</f>
        <v>0</v>
      </c>
      <c r="DC15" s="1458">
        <f>IF((Y15+Z15)&lt;AQ15,1,0)</f>
        <v>0</v>
      </c>
      <c r="DD15" s="1458">
        <f>IF(D15&lt;AV15,1,0)</f>
        <v>0</v>
      </c>
      <c r="DE15" s="1458">
        <f>IF(AND(AR15="",D15&lt;&gt;0),1,IF(F15&lt;AR15,1,0))</f>
        <v>0</v>
      </c>
      <c r="DF15" s="1458">
        <f t="shared" si="1"/>
        <v>0</v>
      </c>
      <c r="DG15" s="1458">
        <f>IF(AND(AU15="",D15&lt;&gt;0),1,IF(D15&lt;AU15,1,0))</f>
        <v>0</v>
      </c>
      <c r="DH15" s="1458">
        <f t="shared" si="6"/>
        <v>0</v>
      </c>
    </row>
    <row r="16" spans="1:112" ht="32.1" customHeight="1" x14ac:dyDescent="0.2">
      <c r="A16" s="133" t="s">
        <v>2129</v>
      </c>
      <c r="B16" s="739"/>
      <c r="C16" s="739"/>
      <c r="D16" s="738"/>
      <c r="E16" s="738"/>
      <c r="F16" s="738"/>
      <c r="G16" s="4970"/>
      <c r="H16" s="4970"/>
      <c r="I16" s="738"/>
      <c r="J16" s="738"/>
      <c r="K16" s="738"/>
      <c r="L16" s="738"/>
      <c r="M16" s="738"/>
      <c r="N16" s="738"/>
      <c r="O16" s="738"/>
      <c r="P16" s="235"/>
      <c r="Q16" s="738"/>
      <c r="R16" s="738"/>
      <c r="S16" s="738"/>
      <c r="T16" s="738"/>
      <c r="U16" s="738"/>
      <c r="V16" s="738"/>
      <c r="W16" s="738"/>
      <c r="X16" s="738"/>
      <c r="Y16" s="738"/>
      <c r="Z16" s="738"/>
      <c r="AA16" s="738"/>
      <c r="AB16" s="738"/>
      <c r="AC16" s="738"/>
      <c r="AD16" s="738"/>
      <c r="AE16" s="738"/>
      <c r="AF16" s="738"/>
      <c r="AG16" s="738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290"/>
      <c r="AS16" s="290"/>
      <c r="AT16" s="290"/>
      <c r="AU16" s="290"/>
      <c r="AV16" s="290"/>
      <c r="AW16" s="290"/>
      <c r="AX16" s="290"/>
      <c r="BU16" s="1452"/>
      <c r="BV16" s="1452"/>
      <c r="BW16" s="1452"/>
      <c r="DA16" s="1454"/>
      <c r="DB16" s="1454"/>
      <c r="DC16" s="1454"/>
      <c r="DD16" s="1454"/>
      <c r="DE16" s="1454"/>
      <c r="DF16" s="1454"/>
      <c r="DG16" s="1454"/>
    </row>
    <row r="17" spans="1:112" ht="33" customHeight="1" x14ac:dyDescent="0.2">
      <c r="A17" s="9321" t="s">
        <v>1047</v>
      </c>
      <c r="B17" s="8619"/>
      <c r="C17" s="9280"/>
      <c r="D17" s="9306" t="s">
        <v>39</v>
      </c>
      <c r="E17" s="9308"/>
      <c r="F17" s="9307"/>
      <c r="G17" s="9336" t="s">
        <v>3667</v>
      </c>
      <c r="H17" s="9337"/>
      <c r="I17" s="9307" t="s">
        <v>1077</v>
      </c>
      <c r="J17" s="9311"/>
      <c r="K17" s="9306" t="s">
        <v>1076</v>
      </c>
      <c r="L17" s="9307"/>
      <c r="M17" s="9307" t="s">
        <v>3668</v>
      </c>
      <c r="N17" s="9311"/>
      <c r="O17" s="9306" t="s">
        <v>1075</v>
      </c>
      <c r="P17" s="9307"/>
      <c r="Q17" s="9306" t="s">
        <v>1074</v>
      </c>
      <c r="R17" s="9307"/>
      <c r="S17" s="9306" t="s">
        <v>1045</v>
      </c>
      <c r="T17" s="9307"/>
      <c r="U17" s="9306" t="s">
        <v>1044</v>
      </c>
      <c r="V17" s="9307"/>
      <c r="W17" s="9308" t="s">
        <v>3669</v>
      </c>
      <c r="X17" s="9308"/>
      <c r="Y17" s="9306" t="s">
        <v>48</v>
      </c>
      <c r="Z17" s="9309"/>
      <c r="AA17" s="9308" t="s">
        <v>49</v>
      </c>
      <c r="AB17" s="9335"/>
      <c r="AC17" s="9308" t="s">
        <v>3736</v>
      </c>
      <c r="AD17" s="9335"/>
      <c r="AE17" s="9308" t="s">
        <v>3737</v>
      </c>
      <c r="AF17" s="9335"/>
      <c r="AG17" s="9308" t="s">
        <v>3738</v>
      </c>
      <c r="AH17" s="9335"/>
      <c r="AI17" s="9308" t="s">
        <v>3739</v>
      </c>
      <c r="AJ17" s="9335"/>
      <c r="AK17" s="9308" t="s">
        <v>2127</v>
      </c>
      <c r="AL17" s="9335"/>
      <c r="AM17" s="9308" t="s">
        <v>2128</v>
      </c>
      <c r="AN17" s="9309"/>
      <c r="AO17" s="9308" t="s">
        <v>2126</v>
      </c>
      <c r="AP17" s="9310"/>
      <c r="AQ17" s="9140" t="s">
        <v>2532</v>
      </c>
      <c r="AR17" s="9140" t="s">
        <v>112</v>
      </c>
      <c r="AS17" s="8197" t="s">
        <v>2526</v>
      </c>
      <c r="AT17" s="8197" t="s">
        <v>1735</v>
      </c>
      <c r="AU17" s="9140" t="s">
        <v>2546</v>
      </c>
      <c r="AV17" s="9323" t="s">
        <v>359</v>
      </c>
      <c r="AW17" s="9323" t="s">
        <v>2994</v>
      </c>
      <c r="AX17" s="9323" t="s">
        <v>2894</v>
      </c>
      <c r="AZ17" s="290"/>
      <c r="BA17" s="290"/>
      <c r="BB17" s="290"/>
      <c r="BC17" s="290"/>
      <c r="BD17" s="290"/>
      <c r="BE17" s="290"/>
      <c r="BF17" s="290"/>
      <c r="BG17" s="290"/>
      <c r="BH17" s="290"/>
      <c r="BI17" s="290"/>
      <c r="BJ17" s="290"/>
      <c r="BK17" s="290"/>
      <c r="BL17" s="290"/>
      <c r="BM17" s="290"/>
      <c r="BN17" s="290"/>
      <c r="BO17" s="290"/>
      <c r="BP17" s="290"/>
      <c r="BQ17" s="290"/>
      <c r="BR17" s="290"/>
      <c r="BS17" s="1460"/>
      <c r="BT17" s="1460"/>
      <c r="BU17" s="1460"/>
      <c r="BV17" s="1460"/>
      <c r="BW17" s="1460"/>
      <c r="DA17" s="1454"/>
      <c r="DB17" s="1454"/>
      <c r="DC17" s="1454"/>
      <c r="DD17" s="1454"/>
      <c r="DE17" s="1454"/>
      <c r="DF17" s="1454"/>
      <c r="DG17" s="1454"/>
    </row>
    <row r="18" spans="1:112" ht="44.25" customHeight="1" x14ac:dyDescent="0.2">
      <c r="A18" s="9322"/>
      <c r="B18" s="9297"/>
      <c r="C18" s="9298"/>
      <c r="D18" s="3921" t="s">
        <v>42</v>
      </c>
      <c r="E18" s="4971" t="s">
        <v>17</v>
      </c>
      <c r="F18" s="3355" t="s">
        <v>18</v>
      </c>
      <c r="G18" s="3921" t="s">
        <v>17</v>
      </c>
      <c r="H18" s="4960" t="s">
        <v>18</v>
      </c>
      <c r="I18" s="3433" t="s">
        <v>17</v>
      </c>
      <c r="J18" s="3355" t="s">
        <v>18</v>
      </c>
      <c r="K18" s="3433" t="s">
        <v>17</v>
      </c>
      <c r="L18" s="3393" t="s">
        <v>18</v>
      </c>
      <c r="M18" s="3433" t="s">
        <v>17</v>
      </c>
      <c r="N18" s="3355" t="s">
        <v>18</v>
      </c>
      <c r="O18" s="3433" t="s">
        <v>17</v>
      </c>
      <c r="P18" s="3355" t="s">
        <v>18</v>
      </c>
      <c r="Q18" s="3433" t="s">
        <v>17</v>
      </c>
      <c r="R18" s="3355" t="s">
        <v>18</v>
      </c>
      <c r="S18" s="3433" t="s">
        <v>17</v>
      </c>
      <c r="T18" s="3355" t="s">
        <v>18</v>
      </c>
      <c r="U18" s="3921" t="s">
        <v>17</v>
      </c>
      <c r="V18" s="4960" t="s">
        <v>18</v>
      </c>
      <c r="W18" s="4972" t="s">
        <v>17</v>
      </c>
      <c r="X18" s="4973" t="s">
        <v>18</v>
      </c>
      <c r="Y18" s="3921" t="s">
        <v>17</v>
      </c>
      <c r="Z18" s="4960" t="s">
        <v>18</v>
      </c>
      <c r="AA18" s="4972" t="s">
        <v>17</v>
      </c>
      <c r="AB18" s="4973" t="s">
        <v>18</v>
      </c>
      <c r="AC18" s="3921" t="s">
        <v>17</v>
      </c>
      <c r="AD18" s="4960" t="s">
        <v>18</v>
      </c>
      <c r="AE18" s="4972" t="s">
        <v>17</v>
      </c>
      <c r="AF18" s="4973" t="s">
        <v>18</v>
      </c>
      <c r="AG18" s="3921" t="s">
        <v>17</v>
      </c>
      <c r="AH18" s="4960" t="s">
        <v>18</v>
      </c>
      <c r="AI18" s="4972" t="s">
        <v>17</v>
      </c>
      <c r="AJ18" s="4973" t="s">
        <v>18</v>
      </c>
      <c r="AK18" s="3921" t="s">
        <v>17</v>
      </c>
      <c r="AL18" s="4960" t="s">
        <v>18</v>
      </c>
      <c r="AM18" s="4972" t="s">
        <v>17</v>
      </c>
      <c r="AN18" s="4960" t="s">
        <v>18</v>
      </c>
      <c r="AO18" s="4972" t="s">
        <v>17</v>
      </c>
      <c r="AP18" s="4961" t="s">
        <v>18</v>
      </c>
      <c r="AQ18" s="8151"/>
      <c r="AR18" s="9334"/>
      <c r="AS18" s="9302"/>
      <c r="AT18" s="9302"/>
      <c r="AU18" s="8527"/>
      <c r="AV18" s="9324"/>
      <c r="AW18" s="9324"/>
      <c r="AX18" s="9324"/>
      <c r="AZ18" s="290"/>
      <c r="BA18" s="290"/>
      <c r="BB18" s="290"/>
      <c r="BC18" s="290"/>
      <c r="BD18" s="290"/>
      <c r="BE18" s="290"/>
      <c r="BF18" s="290"/>
      <c r="BG18" s="290"/>
      <c r="BH18" s="290"/>
      <c r="BI18" s="290"/>
      <c r="BJ18" s="290"/>
      <c r="BK18" s="290"/>
      <c r="BL18" s="290"/>
      <c r="BM18" s="290"/>
      <c r="BN18" s="290"/>
      <c r="BO18" s="290"/>
      <c r="BP18" s="290"/>
      <c r="BQ18" s="290"/>
      <c r="BR18" s="290"/>
      <c r="BS18" s="1460"/>
      <c r="BT18" s="1460"/>
      <c r="BU18" s="1460"/>
      <c r="BV18" s="1460"/>
      <c r="BW18" s="1460"/>
      <c r="DA18" s="1454"/>
      <c r="DB18" s="1454"/>
      <c r="DC18" s="1454"/>
      <c r="DD18" s="1454"/>
      <c r="DE18" s="1454"/>
      <c r="DF18" s="1454"/>
      <c r="DG18" s="1454"/>
    </row>
    <row r="19" spans="1:112" ht="16.350000000000001" customHeight="1" x14ac:dyDescent="0.2">
      <c r="A19" s="9325" t="s">
        <v>1040</v>
      </c>
      <c r="B19" s="9326"/>
      <c r="C19" s="9327"/>
      <c r="D19" s="4974">
        <f>SUM(E19+F19)</f>
        <v>0</v>
      </c>
      <c r="E19" s="4963">
        <f>SUM(G19+I19+K19+M19+O19+Q19+S19+U19+W19+Y19+AA19+AC19+AE19+AG19+AI19+AK19+AM19+AO19)</f>
        <v>0</v>
      </c>
      <c r="F19" s="4964">
        <f>SUM(H19+J19+L19+N19+P19+R19+T19+V19+X19+Z19+AB19+AD19+AF19+AH19+AJ19+AL19+AN19+AP19)</f>
        <v>0</v>
      </c>
      <c r="G19" s="4965"/>
      <c r="H19" s="4975"/>
      <c r="I19" s="4965"/>
      <c r="J19" s="4023"/>
      <c r="K19" s="4965"/>
      <c r="L19" s="4975"/>
      <c r="M19" s="4965"/>
      <c r="N19" s="4023"/>
      <c r="O19" s="4965"/>
      <c r="P19" s="4975"/>
      <c r="Q19" s="4965"/>
      <c r="R19" s="4975"/>
      <c r="S19" s="4965"/>
      <c r="T19" s="4975"/>
      <c r="U19" s="4965"/>
      <c r="V19" s="4975"/>
      <c r="W19" s="4909"/>
      <c r="X19" s="4976"/>
      <c r="Y19" s="4965"/>
      <c r="Z19" s="4975"/>
      <c r="AA19" s="4909"/>
      <c r="AB19" s="4976"/>
      <c r="AC19" s="4965"/>
      <c r="AD19" s="4975"/>
      <c r="AE19" s="4909"/>
      <c r="AF19" s="4976"/>
      <c r="AG19" s="4965"/>
      <c r="AH19" s="4975"/>
      <c r="AI19" s="4909"/>
      <c r="AJ19" s="4976"/>
      <c r="AK19" s="4965"/>
      <c r="AL19" s="4975"/>
      <c r="AM19" s="4909"/>
      <c r="AN19" s="4975"/>
      <c r="AO19" s="4909"/>
      <c r="AP19" s="4977"/>
      <c r="AQ19" s="4978"/>
      <c r="AR19" s="4023"/>
      <c r="AS19" s="4979"/>
      <c r="AT19" s="4979"/>
      <c r="AU19" s="4979"/>
      <c r="AV19" s="4979"/>
      <c r="AW19" s="4979"/>
      <c r="AX19" s="4979"/>
      <c r="AY19" s="1529" t="str">
        <f t="shared" ref="AY19:AY35" si="7">$CA19&amp;$CB19&amp;$CC19&amp;$CD19&amp;$CE19&amp;$CF19&amp;$CG19&amp;$CH19&amp;$CI19&amp;$CJ19&amp;$CK19&amp;$CL19&amp;$CM19&amp;$CN19&amp;$CO19&amp;$CP19&amp;$CQ19&amp;$CR19</f>
        <v/>
      </c>
      <c r="AZ19" s="290"/>
      <c r="BA19" s="290"/>
      <c r="BB19" s="290"/>
      <c r="BC19" s="290"/>
      <c r="BD19" s="290"/>
      <c r="BE19" s="290"/>
      <c r="BF19" s="290"/>
      <c r="BG19" s="290"/>
      <c r="BH19" s="290"/>
      <c r="BI19" s="290"/>
      <c r="BJ19" s="290"/>
      <c r="BK19" s="290"/>
      <c r="BL19" s="290"/>
      <c r="BM19" s="290"/>
      <c r="BN19" s="290"/>
      <c r="BO19" s="290"/>
      <c r="BP19" s="290"/>
      <c r="BQ19" s="290"/>
      <c r="BR19" s="290"/>
      <c r="BS19" s="1460"/>
      <c r="BT19" s="1460"/>
      <c r="BU19" s="1460"/>
      <c r="BV19" s="1460"/>
      <c r="BW19" s="1460"/>
      <c r="CA19" s="1457" t="str">
        <f>IF(DA19=1,"* Las consultas de 60 años NO DEBEN ser mayor que el total de Consultas entre 60-64 Años. ","")</f>
        <v/>
      </c>
      <c r="CB19" s="1457" t="str">
        <f>IF(DB19=1,"* Las actividades de usuarios en situación de discapacidad NO DEBEN superar el total. ","")</f>
        <v/>
      </c>
      <c r="CC19" s="1457" t="str">
        <f>IF(DC19=1,"* Las consultas de 12 años NO DEBEN ser mayor que el total de Consultas entre 10-14 Años. ","")</f>
        <v/>
      </c>
      <c r="CD19" s="1457" t="str">
        <f>IF(DD19=1,"* Las consultas de Pacientes en control PSCV NO DEBEN ser mayor que el total de Consultas. ","")</f>
        <v/>
      </c>
      <c r="CE19" s="1457" t="str">
        <f>IF(AND(AR19="",D19&lt;&gt;0),"* Recuerde que las Embarazadas deben ser incluídas en el ingreso por rango Etario (Digite CEROS si no tiene). ",IF(F19&lt;AR19,"* Las Embarazadas NO DEBEN ser mayor al total de mujeres. ",""))</f>
        <v/>
      </c>
      <c r="CF19" s="1457" t="str">
        <f>IF(AND(AW19="",D19&lt;&gt;0),"* No olvide digitar la población SENAME (Digite CEROS si no tiene). ",IF(D19&lt;AW19,"* La Población SENAME NO DEBE ser mayor al Total. ",""))</f>
        <v/>
      </c>
      <c r="CG19" s="1457" t="str">
        <f>IF(AND(AX19="",E19&lt;&gt;0),"* No olvide digitar la población Mejor Niñez (Digite CEROS si no tiene). ",IF(E19&lt;AX19,"* La Población Mejor Niñez NO DEBE ser mayor al Total. ",""))</f>
        <v/>
      </c>
      <c r="CH19" s="1457" t="str">
        <f>IF(AND(AU19="",D19&lt;&gt;0),"* No olvide digitar la población Migrante (Digite CEROS si no tiene). ",IF(D19&lt;AU19,"* La Población Migrante NO DEBE ser mayor al Total. ",""))</f>
        <v/>
      </c>
      <c r="DA19" s="1458">
        <f t="shared" ref="DA19:DA35" si="8">IF(AS19&gt;(AK19+AL19),1,0)</f>
        <v>0</v>
      </c>
      <c r="DB19" s="1458">
        <f t="shared" ref="DB19:DB35" si="9">IF(D19&lt;AT19,1,0)</f>
        <v>0</v>
      </c>
      <c r="DC19" s="1458">
        <f t="shared" ref="DC19:DC35" si="10">IF((Y19+Z19)&lt;AQ19,1,0)</f>
        <v>0</v>
      </c>
      <c r="DD19" s="1458">
        <f t="shared" ref="DD19:DD35" si="11">IF(D19&lt;AV19,1,0)</f>
        <v>0</v>
      </c>
      <c r="DE19" s="1458">
        <f t="shared" ref="DE19:DE35" si="12">IF(AND(AR19="",D19&lt;&gt;0),1,IF(F19&lt;AR19,1,0))</f>
        <v>0</v>
      </c>
      <c r="DF19" s="1458">
        <f>IF(AND(AW19="",D19&lt;&gt;0),1,IF(D19&lt;AW19,1,0))</f>
        <v>0</v>
      </c>
      <c r="DG19" s="1458">
        <f t="shared" ref="DG19:DG35" si="13">IF(AND(AU19="",D19&lt;&gt;0),1,IF(D19&lt;AU19,1,0))</f>
        <v>0</v>
      </c>
      <c r="DH19" s="1458">
        <f t="shared" ref="DH19:DH35" si="14">IF(AND(AX19="",F19&lt;&gt;0),1,IF(F19&lt;AX19,1,0))</f>
        <v>0</v>
      </c>
    </row>
    <row r="20" spans="1:112" ht="16.350000000000001" customHeight="1" x14ac:dyDescent="0.2">
      <c r="A20" s="9328" t="s">
        <v>1190</v>
      </c>
      <c r="B20" s="9329"/>
      <c r="C20" s="9330"/>
      <c r="D20" s="4980">
        <f t="shared" ref="D20:D35" si="15">SUM(E20+F20)</f>
        <v>0</v>
      </c>
      <c r="E20" s="4968">
        <f>SUM(U20+W20+Y20+AA20+AC20+AE20+AG20+AI20+AK20+AM20+AO20)</f>
        <v>0</v>
      </c>
      <c r="F20" s="1879">
        <f>SUM(V20+X20+Z20+AB20+AD20+AF20+AH20+AJ20+AL20+AN20+AP20)</f>
        <v>0</v>
      </c>
      <c r="G20" s="2909"/>
      <c r="H20" s="1888"/>
      <c r="I20" s="2909"/>
      <c r="J20" s="2906"/>
      <c r="K20" s="2909"/>
      <c r="L20" s="1888"/>
      <c r="M20" s="2909"/>
      <c r="N20" s="2906"/>
      <c r="O20" s="2909"/>
      <c r="P20" s="1888"/>
      <c r="Q20" s="2909"/>
      <c r="R20" s="1888"/>
      <c r="S20" s="2909"/>
      <c r="T20" s="1888"/>
      <c r="U20" s="2885"/>
      <c r="V20" s="1882"/>
      <c r="W20" s="2915"/>
      <c r="X20" s="1897"/>
      <c r="Y20" s="2885"/>
      <c r="Z20" s="1882"/>
      <c r="AA20" s="2915"/>
      <c r="AB20" s="1897"/>
      <c r="AC20" s="2885"/>
      <c r="AD20" s="1882"/>
      <c r="AE20" s="2915"/>
      <c r="AF20" s="1897"/>
      <c r="AG20" s="2885"/>
      <c r="AH20" s="1882"/>
      <c r="AI20" s="2915"/>
      <c r="AJ20" s="1897"/>
      <c r="AK20" s="2885"/>
      <c r="AL20" s="1882"/>
      <c r="AM20" s="2915"/>
      <c r="AN20" s="1882"/>
      <c r="AO20" s="2915"/>
      <c r="AP20" s="3029"/>
      <c r="AQ20" s="4981"/>
      <c r="AR20" s="2889"/>
      <c r="AS20" s="4982"/>
      <c r="AT20" s="4982"/>
      <c r="AU20" s="4982"/>
      <c r="AV20" s="4982"/>
      <c r="AW20" s="4982"/>
      <c r="AX20" s="4982"/>
      <c r="AY20" s="1529" t="str">
        <f t="shared" si="7"/>
        <v/>
      </c>
      <c r="AZ20" s="290"/>
      <c r="BA20" s="290"/>
      <c r="BB20" s="290"/>
      <c r="BC20" s="290"/>
      <c r="BD20" s="290"/>
      <c r="BE20" s="290"/>
      <c r="BF20" s="290"/>
      <c r="BG20" s="290"/>
      <c r="BH20" s="290"/>
      <c r="BI20" s="290"/>
      <c r="BJ20" s="290"/>
      <c r="BK20" s="290"/>
      <c r="BL20" s="290"/>
      <c r="BM20" s="290"/>
      <c r="BN20" s="290"/>
      <c r="BO20" s="290"/>
      <c r="BP20" s="290"/>
      <c r="BQ20" s="290"/>
      <c r="BR20" s="290"/>
      <c r="BS20" s="1460"/>
      <c r="BT20" s="1460"/>
      <c r="BU20" s="1460"/>
      <c r="BV20" s="1460"/>
      <c r="BW20" s="1460"/>
      <c r="CA20" s="1457" t="str">
        <f t="shared" ref="CA20:CA35" si="16">IF(DA20=1,"* Las consultas de 60 años NO DEBEN ser mayor que el total de Consultas entre 60-64 Años. ","")</f>
        <v/>
      </c>
      <c r="CB20" s="1457" t="str">
        <f t="shared" ref="CB20:CB35" si="17">IF(DB20=1,"* Las actividades de usuarios en situación de discapacidad NO DEBEN superar el total. ","")</f>
        <v/>
      </c>
      <c r="CC20" s="1457" t="str">
        <f t="shared" ref="CC20:CC35" si="18">IF(DC20=1,"* Las consultas de 12 años NO DEBEN ser mayor que el total de Consultas entre 10-14 Años. ","")</f>
        <v/>
      </c>
      <c r="CD20" s="1457" t="str">
        <f t="shared" ref="CD20:CD35" si="19">IF(DD20=1,"* Las consultas de Pacientes en control PSCV NO DEBEN ser mayor que el total de Consultas. ","")</f>
        <v/>
      </c>
      <c r="CE20" s="1457" t="str">
        <f t="shared" ref="CE20:CE35" si="20">IF(AND(AR20="",D20&lt;&gt;0),"* Recuerde que las Embarazadas deben ser incluídas en el ingreso por rango Etario (Digite CEROS si no tiene). ",IF(F20&lt;AR20,"* Las Embarazadas NO DEBEN ser mayor al total de mujeres. ",""))</f>
        <v/>
      </c>
      <c r="CF20" s="1457" t="str">
        <f t="shared" ref="CF20:CF35" si="21">IF(AND(AW20="",D20&lt;&gt;0),"* No olvide digitar la población SENAME (Digite CEROS si no tiene). ",IF(D20&lt;AW20,"* La Población SENAME NO DEBE ser mayor al Total. ",""))</f>
        <v/>
      </c>
      <c r="CG20" s="1457" t="str">
        <f t="shared" ref="CG20:CG35" si="22">IF(AND(AX20="",E20&lt;&gt;0),"* No olvide digitar la población Mejor Niñez (Digite CEROS si no tiene). ",IF(E20&lt;AX20,"* La Población Mejor Niñez NO DEBE ser mayor al Total. ",""))</f>
        <v/>
      </c>
      <c r="CH20" s="1457" t="str">
        <f t="shared" ref="CH20:CH35" si="23">IF(AND(AU20="",D20&lt;&gt;0),"* No olvide digitar la población Migrante (Digite CEROS si no tiene). ",IF(D20&lt;AU20,"* La Población Migrante NO DEBE ser mayor al Total. ",""))</f>
        <v/>
      </c>
      <c r="DA20" s="1458">
        <f t="shared" si="8"/>
        <v>0</v>
      </c>
      <c r="DB20" s="1458">
        <f t="shared" si="9"/>
        <v>0</v>
      </c>
      <c r="DC20" s="1458">
        <f t="shared" si="10"/>
        <v>0</v>
      </c>
      <c r="DD20" s="1458">
        <f t="shared" si="11"/>
        <v>0</v>
      </c>
      <c r="DE20" s="1458">
        <f t="shared" si="12"/>
        <v>0</v>
      </c>
      <c r="DF20" s="1458">
        <f t="shared" ref="DF20:DF35" si="24">IF(AND(AW20="",D20&lt;&gt;0),1,IF(D20&lt;AW20,1,0))</f>
        <v>0</v>
      </c>
      <c r="DG20" s="1458">
        <f t="shared" si="13"/>
        <v>0</v>
      </c>
      <c r="DH20" s="1458">
        <f t="shared" si="14"/>
        <v>0</v>
      </c>
    </row>
    <row r="21" spans="1:112" ht="16.350000000000001" customHeight="1" x14ac:dyDescent="0.2">
      <c r="A21" s="9331" t="s">
        <v>1189</v>
      </c>
      <c r="B21" s="9332"/>
      <c r="C21" s="9333"/>
      <c r="D21" s="4980">
        <f t="shared" si="15"/>
        <v>0</v>
      </c>
      <c r="E21" s="4968">
        <f t="shared" ref="E21:F31" si="25">SUM(G21+I21+K21+M21+O21+Q21+S21+U21+W21+Y21+AA21+AC21+AE21+AG21+AI21+AK21+AM21+AO21)</f>
        <v>0</v>
      </c>
      <c r="F21" s="1879">
        <f t="shared" si="25"/>
        <v>0</v>
      </c>
      <c r="G21" s="2885"/>
      <c r="H21" s="1882"/>
      <c r="I21" s="2885"/>
      <c r="J21" s="2889"/>
      <c r="K21" s="2885"/>
      <c r="L21" s="1882"/>
      <c r="M21" s="2885"/>
      <c r="N21" s="2889"/>
      <c r="O21" s="2885"/>
      <c r="P21" s="1882"/>
      <c r="Q21" s="2885"/>
      <c r="R21" s="1882"/>
      <c r="S21" s="2885"/>
      <c r="T21" s="1882"/>
      <c r="U21" s="2885"/>
      <c r="V21" s="1882"/>
      <c r="W21" s="2915"/>
      <c r="X21" s="1897"/>
      <c r="Y21" s="2885"/>
      <c r="Z21" s="1882"/>
      <c r="AA21" s="2915"/>
      <c r="AB21" s="1897"/>
      <c r="AC21" s="2885"/>
      <c r="AD21" s="1882"/>
      <c r="AE21" s="2915"/>
      <c r="AF21" s="1897"/>
      <c r="AG21" s="2885"/>
      <c r="AH21" s="1882"/>
      <c r="AI21" s="2915"/>
      <c r="AJ21" s="1897"/>
      <c r="AK21" s="2885"/>
      <c r="AL21" s="1882"/>
      <c r="AM21" s="2915"/>
      <c r="AN21" s="1882"/>
      <c r="AO21" s="2915"/>
      <c r="AP21" s="3029"/>
      <c r="AQ21" s="4981"/>
      <c r="AR21" s="2889"/>
      <c r="AS21" s="4982"/>
      <c r="AT21" s="4982"/>
      <c r="AU21" s="4982"/>
      <c r="AV21" s="4982"/>
      <c r="AW21" s="4982"/>
      <c r="AX21" s="4982"/>
      <c r="AY21" s="1529" t="str">
        <f t="shared" si="7"/>
        <v/>
      </c>
      <c r="AZ21" s="1401"/>
      <c r="BA21" s="1401"/>
      <c r="BB21" s="1401"/>
      <c r="BC21" s="1401"/>
      <c r="BD21" s="1401"/>
      <c r="BE21" s="1401"/>
      <c r="BF21" s="1401"/>
      <c r="BG21" s="1401"/>
      <c r="BH21" s="1401"/>
      <c r="BI21" s="1401"/>
      <c r="BJ21" s="1401"/>
      <c r="BK21" s="1401"/>
      <c r="BL21" s="1401"/>
      <c r="BM21" s="1401"/>
      <c r="BN21" s="1401"/>
      <c r="BO21" s="1401"/>
      <c r="BP21" s="1401"/>
      <c r="BQ21" s="1401"/>
      <c r="BR21" s="1401"/>
      <c r="BS21" s="1460"/>
      <c r="BT21" s="1460"/>
      <c r="BU21" s="1460"/>
      <c r="BV21" s="3787"/>
      <c r="BW21" s="3787"/>
      <c r="BX21" s="3787"/>
      <c r="CA21" s="1457" t="str">
        <f t="shared" si="16"/>
        <v/>
      </c>
      <c r="CB21" s="1457" t="str">
        <f t="shared" si="17"/>
        <v/>
      </c>
      <c r="CC21" s="1457" t="str">
        <f t="shared" si="18"/>
        <v/>
      </c>
      <c r="CD21" s="1457" t="str">
        <f t="shared" si="19"/>
        <v/>
      </c>
      <c r="CE21" s="1457" t="str">
        <f t="shared" si="20"/>
        <v/>
      </c>
      <c r="CF21" s="1457" t="str">
        <f t="shared" si="21"/>
        <v/>
      </c>
      <c r="CG21" s="1457" t="str">
        <f t="shared" si="22"/>
        <v/>
      </c>
      <c r="CH21" s="1457" t="str">
        <f t="shared" si="23"/>
        <v/>
      </c>
      <c r="CO21" s="1362"/>
      <c r="CP21" s="1362"/>
      <c r="CQ21" s="1362"/>
      <c r="DA21" s="1458">
        <f t="shared" si="8"/>
        <v>0</v>
      </c>
      <c r="DB21" s="1458">
        <f t="shared" si="9"/>
        <v>0</v>
      </c>
      <c r="DC21" s="1458">
        <f t="shared" si="10"/>
        <v>0</v>
      </c>
      <c r="DD21" s="1458">
        <f t="shared" si="11"/>
        <v>0</v>
      </c>
      <c r="DE21" s="1458">
        <f t="shared" si="12"/>
        <v>0</v>
      </c>
      <c r="DF21" s="1458">
        <f t="shared" si="24"/>
        <v>0</v>
      </c>
      <c r="DG21" s="1458">
        <f t="shared" si="13"/>
        <v>0</v>
      </c>
      <c r="DH21" s="1458">
        <f t="shared" si="14"/>
        <v>0</v>
      </c>
    </row>
    <row r="22" spans="1:112" ht="16.350000000000001" customHeight="1" x14ac:dyDescent="0.2">
      <c r="A22" s="9331" t="s">
        <v>1043</v>
      </c>
      <c r="B22" s="9332"/>
      <c r="C22" s="9333"/>
      <c r="D22" s="4980">
        <f t="shared" si="15"/>
        <v>0</v>
      </c>
      <c r="E22" s="4968">
        <f t="shared" si="25"/>
        <v>0</v>
      </c>
      <c r="F22" s="1879">
        <f t="shared" si="25"/>
        <v>0</v>
      </c>
      <c r="G22" s="2885"/>
      <c r="H22" s="1882"/>
      <c r="I22" s="2885"/>
      <c r="J22" s="2889"/>
      <c r="K22" s="2885"/>
      <c r="L22" s="1882"/>
      <c r="M22" s="2885"/>
      <c r="N22" s="2889"/>
      <c r="O22" s="2885"/>
      <c r="P22" s="1882"/>
      <c r="Q22" s="2885"/>
      <c r="R22" s="1882"/>
      <c r="S22" s="2885"/>
      <c r="T22" s="1882"/>
      <c r="U22" s="2885"/>
      <c r="V22" s="1882"/>
      <c r="W22" s="2915"/>
      <c r="X22" s="1897"/>
      <c r="Y22" s="2885"/>
      <c r="Z22" s="1882"/>
      <c r="AA22" s="2915"/>
      <c r="AB22" s="1897"/>
      <c r="AC22" s="2885"/>
      <c r="AD22" s="1882"/>
      <c r="AE22" s="2915"/>
      <c r="AF22" s="1897"/>
      <c r="AG22" s="2885"/>
      <c r="AH22" s="1882"/>
      <c r="AI22" s="2915"/>
      <c r="AJ22" s="1897"/>
      <c r="AK22" s="2885"/>
      <c r="AL22" s="1882"/>
      <c r="AM22" s="2915"/>
      <c r="AN22" s="1882"/>
      <c r="AO22" s="2915"/>
      <c r="AP22" s="3029"/>
      <c r="AQ22" s="4981"/>
      <c r="AR22" s="2889"/>
      <c r="AS22" s="4982"/>
      <c r="AT22" s="4982"/>
      <c r="AU22" s="4982"/>
      <c r="AV22" s="4982"/>
      <c r="AW22" s="4982"/>
      <c r="AX22" s="4982"/>
      <c r="AY22" s="1529" t="str">
        <f t="shared" si="7"/>
        <v/>
      </c>
      <c r="AZ22" s="290"/>
      <c r="BA22" s="290"/>
      <c r="BB22" s="290"/>
      <c r="BC22" s="290"/>
      <c r="BD22" s="290"/>
      <c r="BE22" s="290"/>
      <c r="BF22" s="290"/>
      <c r="BG22" s="290"/>
      <c r="BH22" s="290"/>
      <c r="BI22" s="290"/>
      <c r="BJ22" s="290"/>
      <c r="BK22" s="290"/>
      <c r="BL22" s="290"/>
      <c r="BM22" s="290"/>
      <c r="BN22" s="290"/>
      <c r="BO22" s="290"/>
      <c r="BP22" s="290"/>
      <c r="BQ22" s="290"/>
      <c r="BR22" s="290"/>
      <c r="BS22" s="1460"/>
      <c r="BT22" s="1460"/>
      <c r="BU22" s="1460"/>
      <c r="BV22" s="1460"/>
      <c r="BW22" s="1460"/>
      <c r="CA22" s="1457" t="str">
        <f t="shared" si="16"/>
        <v/>
      </c>
      <c r="CB22" s="1457" t="str">
        <f t="shared" si="17"/>
        <v/>
      </c>
      <c r="CC22" s="1457" t="str">
        <f t="shared" si="18"/>
        <v/>
      </c>
      <c r="CD22" s="1457" t="str">
        <f t="shared" si="19"/>
        <v/>
      </c>
      <c r="CE22" s="1457" t="str">
        <f t="shared" si="20"/>
        <v/>
      </c>
      <c r="CF22" s="1457" t="str">
        <f t="shared" si="21"/>
        <v/>
      </c>
      <c r="CG22" s="1457" t="str">
        <f t="shared" si="22"/>
        <v/>
      </c>
      <c r="CH22" s="1457" t="str">
        <f t="shared" si="23"/>
        <v/>
      </c>
      <c r="DA22" s="1458">
        <f t="shared" si="8"/>
        <v>0</v>
      </c>
      <c r="DB22" s="1458">
        <f t="shared" si="9"/>
        <v>0</v>
      </c>
      <c r="DC22" s="1458">
        <f t="shared" si="10"/>
        <v>0</v>
      </c>
      <c r="DD22" s="1458">
        <f t="shared" si="11"/>
        <v>0</v>
      </c>
      <c r="DE22" s="1458">
        <f t="shared" si="12"/>
        <v>0</v>
      </c>
      <c r="DF22" s="1458">
        <f t="shared" si="24"/>
        <v>0</v>
      </c>
      <c r="DG22" s="1458">
        <f t="shared" si="13"/>
        <v>0</v>
      </c>
      <c r="DH22" s="1458">
        <f t="shared" si="14"/>
        <v>0</v>
      </c>
    </row>
    <row r="23" spans="1:112" ht="16.350000000000001" customHeight="1" x14ac:dyDescent="0.2">
      <c r="A23" s="9331" t="s">
        <v>1188</v>
      </c>
      <c r="B23" s="9332"/>
      <c r="C23" s="9333"/>
      <c r="D23" s="4980">
        <f t="shared" si="15"/>
        <v>0</v>
      </c>
      <c r="E23" s="4968">
        <f t="shared" si="25"/>
        <v>0</v>
      </c>
      <c r="F23" s="1879">
        <f t="shared" si="25"/>
        <v>0</v>
      </c>
      <c r="G23" s="2885"/>
      <c r="H23" s="1882"/>
      <c r="I23" s="2885"/>
      <c r="J23" s="2889"/>
      <c r="K23" s="2885"/>
      <c r="L23" s="1882"/>
      <c r="M23" s="2885"/>
      <c r="N23" s="2889"/>
      <c r="O23" s="2885"/>
      <c r="P23" s="1882"/>
      <c r="Q23" s="2885"/>
      <c r="R23" s="1882"/>
      <c r="S23" s="2885"/>
      <c r="T23" s="1882"/>
      <c r="U23" s="2885"/>
      <c r="V23" s="1882"/>
      <c r="W23" s="2915"/>
      <c r="X23" s="1897"/>
      <c r="Y23" s="2885"/>
      <c r="Z23" s="1882"/>
      <c r="AA23" s="2915"/>
      <c r="AB23" s="1897"/>
      <c r="AC23" s="2885"/>
      <c r="AD23" s="1882"/>
      <c r="AE23" s="2915"/>
      <c r="AF23" s="1897"/>
      <c r="AG23" s="2885"/>
      <c r="AH23" s="1882"/>
      <c r="AI23" s="2915"/>
      <c r="AJ23" s="1897"/>
      <c r="AK23" s="2885"/>
      <c r="AL23" s="1882"/>
      <c r="AM23" s="2915"/>
      <c r="AN23" s="1882"/>
      <c r="AO23" s="2915"/>
      <c r="AP23" s="3029"/>
      <c r="AQ23" s="4981"/>
      <c r="AR23" s="2889"/>
      <c r="AS23" s="4982"/>
      <c r="AT23" s="4982"/>
      <c r="AU23" s="4982"/>
      <c r="AV23" s="4982"/>
      <c r="AW23" s="4982"/>
      <c r="AX23" s="4982"/>
      <c r="AY23" s="1529" t="str">
        <f t="shared" si="7"/>
        <v/>
      </c>
      <c r="AZ23" s="290"/>
      <c r="BA23" s="290"/>
      <c r="BB23" s="290"/>
      <c r="BC23" s="290"/>
      <c r="BD23" s="290"/>
      <c r="BE23" s="290"/>
      <c r="BF23" s="290"/>
      <c r="BG23" s="290"/>
      <c r="BH23" s="290"/>
      <c r="BI23" s="290"/>
      <c r="BJ23" s="290"/>
      <c r="BK23" s="290"/>
      <c r="BL23" s="290"/>
      <c r="BM23" s="290"/>
      <c r="BN23" s="290"/>
      <c r="BO23" s="290"/>
      <c r="BP23" s="290"/>
      <c r="BQ23" s="290"/>
      <c r="BR23" s="290"/>
      <c r="BS23" s="1460"/>
      <c r="BT23" s="1460"/>
      <c r="BU23" s="1460"/>
      <c r="BV23" s="1460"/>
      <c r="BW23" s="1460"/>
      <c r="CA23" s="1457" t="str">
        <f t="shared" si="16"/>
        <v/>
      </c>
      <c r="CB23" s="1457" t="str">
        <f t="shared" si="17"/>
        <v/>
      </c>
      <c r="CC23" s="1457" t="str">
        <f t="shared" si="18"/>
        <v/>
      </c>
      <c r="CD23" s="1457" t="str">
        <f t="shared" si="19"/>
        <v/>
      </c>
      <c r="CE23" s="1457" t="str">
        <f t="shared" si="20"/>
        <v/>
      </c>
      <c r="CF23" s="1457" t="str">
        <f t="shared" si="21"/>
        <v/>
      </c>
      <c r="CG23" s="1457" t="str">
        <f t="shared" si="22"/>
        <v/>
      </c>
      <c r="CH23" s="1457" t="str">
        <f t="shared" si="23"/>
        <v/>
      </c>
      <c r="DA23" s="1458">
        <f t="shared" si="8"/>
        <v>0</v>
      </c>
      <c r="DB23" s="1458">
        <f t="shared" si="9"/>
        <v>0</v>
      </c>
      <c r="DC23" s="1458">
        <f t="shared" si="10"/>
        <v>0</v>
      </c>
      <c r="DD23" s="1458">
        <f t="shared" si="11"/>
        <v>0</v>
      </c>
      <c r="DE23" s="1458">
        <f t="shared" si="12"/>
        <v>0</v>
      </c>
      <c r="DF23" s="1458">
        <f t="shared" si="24"/>
        <v>0</v>
      </c>
      <c r="DG23" s="1458">
        <f t="shared" si="13"/>
        <v>0</v>
      </c>
      <c r="DH23" s="1458">
        <f t="shared" si="14"/>
        <v>0</v>
      </c>
    </row>
    <row r="24" spans="1:112" ht="16.350000000000001" customHeight="1" x14ac:dyDescent="0.2">
      <c r="A24" s="9331" t="s">
        <v>1187</v>
      </c>
      <c r="B24" s="9332"/>
      <c r="C24" s="9333"/>
      <c r="D24" s="4980">
        <f t="shared" si="15"/>
        <v>0</v>
      </c>
      <c r="E24" s="4968">
        <f t="shared" si="25"/>
        <v>0</v>
      </c>
      <c r="F24" s="1879">
        <f t="shared" si="25"/>
        <v>0</v>
      </c>
      <c r="G24" s="2885"/>
      <c r="H24" s="1882"/>
      <c r="I24" s="2885"/>
      <c r="J24" s="2889"/>
      <c r="K24" s="2885"/>
      <c r="L24" s="1882"/>
      <c r="M24" s="2885"/>
      <c r="N24" s="2889"/>
      <c r="O24" s="2885"/>
      <c r="P24" s="1882"/>
      <c r="Q24" s="2885"/>
      <c r="R24" s="1882"/>
      <c r="S24" s="2885"/>
      <c r="T24" s="1882"/>
      <c r="U24" s="2885"/>
      <c r="V24" s="1882"/>
      <c r="W24" s="2915"/>
      <c r="X24" s="1897"/>
      <c r="Y24" s="2885"/>
      <c r="Z24" s="1882"/>
      <c r="AA24" s="2915"/>
      <c r="AB24" s="1897"/>
      <c r="AC24" s="2885"/>
      <c r="AD24" s="1882"/>
      <c r="AE24" s="2915"/>
      <c r="AF24" s="1897"/>
      <c r="AG24" s="2885"/>
      <c r="AH24" s="1882"/>
      <c r="AI24" s="2915"/>
      <c r="AJ24" s="1897"/>
      <c r="AK24" s="2885"/>
      <c r="AL24" s="1882"/>
      <c r="AM24" s="2915"/>
      <c r="AN24" s="1882"/>
      <c r="AO24" s="2915"/>
      <c r="AP24" s="3029"/>
      <c r="AQ24" s="4981"/>
      <c r="AR24" s="2889"/>
      <c r="AS24" s="4982"/>
      <c r="AT24" s="4982"/>
      <c r="AU24" s="4982"/>
      <c r="AV24" s="4982"/>
      <c r="AW24" s="4982"/>
      <c r="AX24" s="4982"/>
      <c r="AY24" s="1529" t="str">
        <f t="shared" si="7"/>
        <v/>
      </c>
      <c r="AZ24" s="290"/>
      <c r="BA24" s="290"/>
      <c r="BB24" s="290"/>
      <c r="BC24" s="290"/>
      <c r="BD24" s="290"/>
      <c r="BE24" s="290"/>
      <c r="BF24" s="290"/>
      <c r="BG24" s="290"/>
      <c r="BH24" s="290"/>
      <c r="BI24" s="290"/>
      <c r="BJ24" s="290"/>
      <c r="BK24" s="290"/>
      <c r="BL24" s="290"/>
      <c r="BM24" s="290"/>
      <c r="BN24" s="290"/>
      <c r="BO24" s="290"/>
      <c r="BP24" s="290"/>
      <c r="BQ24" s="290"/>
      <c r="BR24" s="290"/>
      <c r="BS24" s="1460"/>
      <c r="BT24" s="1460"/>
      <c r="BU24" s="1460"/>
      <c r="BV24" s="1460"/>
      <c r="BW24" s="1460"/>
      <c r="CA24" s="1457" t="str">
        <f t="shared" si="16"/>
        <v/>
      </c>
      <c r="CB24" s="1457" t="str">
        <f t="shared" si="17"/>
        <v/>
      </c>
      <c r="CC24" s="1457" t="str">
        <f t="shared" si="18"/>
        <v/>
      </c>
      <c r="CD24" s="1457" t="str">
        <f t="shared" si="19"/>
        <v/>
      </c>
      <c r="CE24" s="1457" t="str">
        <f t="shared" si="20"/>
        <v/>
      </c>
      <c r="CF24" s="1457" t="str">
        <f t="shared" si="21"/>
        <v/>
      </c>
      <c r="CG24" s="1457" t="str">
        <f t="shared" si="22"/>
        <v/>
      </c>
      <c r="CH24" s="1457" t="str">
        <f t="shared" si="23"/>
        <v/>
      </c>
      <c r="DA24" s="1458">
        <f t="shared" si="8"/>
        <v>0</v>
      </c>
      <c r="DB24" s="1458">
        <f t="shared" si="9"/>
        <v>0</v>
      </c>
      <c r="DC24" s="1458">
        <f t="shared" si="10"/>
        <v>0</v>
      </c>
      <c r="DD24" s="1458">
        <f t="shared" si="11"/>
        <v>0</v>
      </c>
      <c r="DE24" s="1458">
        <f t="shared" si="12"/>
        <v>0</v>
      </c>
      <c r="DF24" s="1458">
        <f t="shared" si="24"/>
        <v>0</v>
      </c>
      <c r="DG24" s="1458">
        <f t="shared" si="13"/>
        <v>0</v>
      </c>
      <c r="DH24" s="1458">
        <f t="shared" si="14"/>
        <v>0</v>
      </c>
    </row>
    <row r="25" spans="1:112" ht="16.350000000000001" customHeight="1" x14ac:dyDescent="0.2">
      <c r="A25" s="9331" t="s">
        <v>2131</v>
      </c>
      <c r="B25" s="9332"/>
      <c r="C25" s="9333"/>
      <c r="D25" s="4980">
        <f t="shared" si="15"/>
        <v>0</v>
      </c>
      <c r="E25" s="4968">
        <f t="shared" si="25"/>
        <v>0</v>
      </c>
      <c r="F25" s="1879">
        <f t="shared" si="25"/>
        <v>0</v>
      </c>
      <c r="G25" s="2885"/>
      <c r="H25" s="1882"/>
      <c r="I25" s="2885"/>
      <c r="J25" s="2889"/>
      <c r="K25" s="2885"/>
      <c r="L25" s="1882"/>
      <c r="M25" s="2885"/>
      <c r="N25" s="2889"/>
      <c r="O25" s="2885"/>
      <c r="P25" s="1882"/>
      <c r="Q25" s="2885"/>
      <c r="R25" s="1882"/>
      <c r="S25" s="2885"/>
      <c r="T25" s="1882"/>
      <c r="U25" s="2885"/>
      <c r="V25" s="1882"/>
      <c r="W25" s="2915"/>
      <c r="X25" s="1897"/>
      <c r="Y25" s="2885"/>
      <c r="Z25" s="1882"/>
      <c r="AA25" s="2915"/>
      <c r="AB25" s="1897"/>
      <c r="AC25" s="2885"/>
      <c r="AD25" s="1882"/>
      <c r="AE25" s="2915"/>
      <c r="AF25" s="1897"/>
      <c r="AG25" s="2885"/>
      <c r="AH25" s="1882"/>
      <c r="AI25" s="2915"/>
      <c r="AJ25" s="1897"/>
      <c r="AK25" s="2885"/>
      <c r="AL25" s="1882"/>
      <c r="AM25" s="2915"/>
      <c r="AN25" s="1882"/>
      <c r="AO25" s="2915"/>
      <c r="AP25" s="3029"/>
      <c r="AQ25" s="4981"/>
      <c r="AR25" s="2889"/>
      <c r="AS25" s="4982"/>
      <c r="AT25" s="4982"/>
      <c r="AU25" s="4982"/>
      <c r="AV25" s="4982"/>
      <c r="AW25" s="4982"/>
      <c r="AX25" s="4982"/>
      <c r="AY25" s="1529" t="str">
        <f t="shared" si="7"/>
        <v/>
      </c>
      <c r="BS25" s="1452"/>
      <c r="BT25" s="1452"/>
      <c r="BU25" s="1452"/>
      <c r="BV25" s="1460"/>
      <c r="BW25" s="1460"/>
      <c r="CA25" s="1457" t="str">
        <f t="shared" si="16"/>
        <v/>
      </c>
      <c r="CB25" s="1457" t="str">
        <f t="shared" si="17"/>
        <v/>
      </c>
      <c r="CC25" s="1457" t="str">
        <f t="shared" si="18"/>
        <v/>
      </c>
      <c r="CD25" s="1457" t="str">
        <f t="shared" si="19"/>
        <v/>
      </c>
      <c r="CE25" s="1457" t="str">
        <f t="shared" si="20"/>
        <v/>
      </c>
      <c r="CF25" s="1457" t="str">
        <f t="shared" si="21"/>
        <v/>
      </c>
      <c r="CG25" s="1457" t="str">
        <f t="shared" si="22"/>
        <v/>
      </c>
      <c r="CH25" s="1457" t="str">
        <f t="shared" si="23"/>
        <v/>
      </c>
      <c r="DA25" s="1458">
        <f t="shared" si="8"/>
        <v>0</v>
      </c>
      <c r="DB25" s="1458">
        <f t="shared" si="9"/>
        <v>0</v>
      </c>
      <c r="DC25" s="1458">
        <f t="shared" si="10"/>
        <v>0</v>
      </c>
      <c r="DD25" s="1458">
        <f t="shared" si="11"/>
        <v>0</v>
      </c>
      <c r="DE25" s="1458">
        <f t="shared" si="12"/>
        <v>0</v>
      </c>
      <c r="DF25" s="1458">
        <f t="shared" si="24"/>
        <v>0</v>
      </c>
      <c r="DG25" s="1458">
        <f t="shared" si="13"/>
        <v>0</v>
      </c>
      <c r="DH25" s="1458">
        <f t="shared" si="14"/>
        <v>0</v>
      </c>
    </row>
    <row r="26" spans="1:112" ht="16.350000000000001" customHeight="1" x14ac:dyDescent="0.2">
      <c r="A26" s="9331" t="s">
        <v>1186</v>
      </c>
      <c r="B26" s="9332"/>
      <c r="C26" s="9333"/>
      <c r="D26" s="4983">
        <f t="shared" si="15"/>
        <v>0</v>
      </c>
      <c r="E26" s="4968">
        <f t="shared" si="25"/>
        <v>0</v>
      </c>
      <c r="F26" s="1879">
        <f t="shared" si="25"/>
        <v>0</v>
      </c>
      <c r="G26" s="2885"/>
      <c r="H26" s="1882"/>
      <c r="I26" s="2885"/>
      <c r="J26" s="2889"/>
      <c r="K26" s="2885"/>
      <c r="L26" s="1882"/>
      <c r="M26" s="2885"/>
      <c r="N26" s="2889"/>
      <c r="O26" s="2885"/>
      <c r="P26" s="1882"/>
      <c r="Q26" s="2885"/>
      <c r="R26" s="1882"/>
      <c r="S26" s="2885"/>
      <c r="T26" s="1882"/>
      <c r="U26" s="2885"/>
      <c r="V26" s="1882"/>
      <c r="W26" s="2915"/>
      <c r="X26" s="1897"/>
      <c r="Y26" s="2885"/>
      <c r="Z26" s="1882"/>
      <c r="AA26" s="2915"/>
      <c r="AB26" s="1897"/>
      <c r="AC26" s="2885"/>
      <c r="AD26" s="1882"/>
      <c r="AE26" s="2915"/>
      <c r="AF26" s="1897"/>
      <c r="AG26" s="2885"/>
      <c r="AH26" s="1882"/>
      <c r="AI26" s="2915"/>
      <c r="AJ26" s="1897"/>
      <c r="AK26" s="2885"/>
      <c r="AL26" s="1882"/>
      <c r="AM26" s="2915"/>
      <c r="AN26" s="1882"/>
      <c r="AO26" s="2915"/>
      <c r="AP26" s="3029"/>
      <c r="AQ26" s="4981"/>
      <c r="AR26" s="2889"/>
      <c r="AS26" s="4981"/>
      <c r="AT26" s="4981"/>
      <c r="AU26" s="4981"/>
      <c r="AV26" s="4981"/>
      <c r="AW26" s="4981"/>
      <c r="AX26" s="4981"/>
      <c r="AY26" s="1529" t="str">
        <f t="shared" si="7"/>
        <v/>
      </c>
      <c r="BS26" s="1452"/>
      <c r="BT26" s="1452"/>
      <c r="BU26" s="1452"/>
      <c r="BV26" s="1460"/>
      <c r="BW26" s="1460"/>
      <c r="CA26" s="1457" t="str">
        <f t="shared" si="16"/>
        <v/>
      </c>
      <c r="CB26" s="1457" t="str">
        <f t="shared" si="17"/>
        <v/>
      </c>
      <c r="CC26" s="1457" t="str">
        <f t="shared" si="18"/>
        <v/>
      </c>
      <c r="CD26" s="1457" t="str">
        <f t="shared" si="19"/>
        <v/>
      </c>
      <c r="CE26" s="1457" t="str">
        <f t="shared" si="20"/>
        <v/>
      </c>
      <c r="CF26" s="1457" t="str">
        <f t="shared" si="21"/>
        <v/>
      </c>
      <c r="CG26" s="1457" t="str">
        <f t="shared" si="22"/>
        <v/>
      </c>
      <c r="CH26" s="1457" t="str">
        <f t="shared" si="23"/>
        <v/>
      </c>
      <c r="DA26" s="1458">
        <f t="shared" si="8"/>
        <v>0</v>
      </c>
      <c r="DB26" s="1458">
        <f t="shared" si="9"/>
        <v>0</v>
      </c>
      <c r="DC26" s="1458">
        <f t="shared" si="10"/>
        <v>0</v>
      </c>
      <c r="DD26" s="1458">
        <f t="shared" si="11"/>
        <v>0</v>
      </c>
      <c r="DE26" s="1458">
        <f t="shared" si="12"/>
        <v>0</v>
      </c>
      <c r="DF26" s="1458">
        <f t="shared" si="24"/>
        <v>0</v>
      </c>
      <c r="DG26" s="1458">
        <f t="shared" si="13"/>
        <v>0</v>
      </c>
      <c r="DH26" s="1458">
        <f t="shared" si="14"/>
        <v>0</v>
      </c>
    </row>
    <row r="27" spans="1:112" ht="16.350000000000001" customHeight="1" x14ac:dyDescent="0.2">
      <c r="A27" s="9331" t="s">
        <v>2341</v>
      </c>
      <c r="B27" s="9332"/>
      <c r="C27" s="9333"/>
      <c r="D27" s="4983">
        <f t="shared" si="15"/>
        <v>0</v>
      </c>
      <c r="E27" s="4968">
        <f t="shared" si="25"/>
        <v>0</v>
      </c>
      <c r="F27" s="1879">
        <f t="shared" si="25"/>
        <v>0</v>
      </c>
      <c r="G27" s="2885"/>
      <c r="H27" s="1882"/>
      <c r="I27" s="2885"/>
      <c r="J27" s="2889"/>
      <c r="K27" s="2885"/>
      <c r="L27" s="1882"/>
      <c r="M27" s="2885"/>
      <c r="N27" s="2889"/>
      <c r="O27" s="2885"/>
      <c r="P27" s="1882"/>
      <c r="Q27" s="2885"/>
      <c r="R27" s="1882"/>
      <c r="S27" s="2885"/>
      <c r="T27" s="1882"/>
      <c r="U27" s="2885"/>
      <c r="V27" s="1882"/>
      <c r="W27" s="2915"/>
      <c r="X27" s="1897"/>
      <c r="Y27" s="2885"/>
      <c r="Z27" s="1882"/>
      <c r="AA27" s="2915"/>
      <c r="AB27" s="1897"/>
      <c r="AC27" s="2885"/>
      <c r="AD27" s="1882"/>
      <c r="AE27" s="2915"/>
      <c r="AF27" s="1897"/>
      <c r="AG27" s="2885"/>
      <c r="AH27" s="1882"/>
      <c r="AI27" s="2915"/>
      <c r="AJ27" s="1897"/>
      <c r="AK27" s="2885"/>
      <c r="AL27" s="1882"/>
      <c r="AM27" s="2915"/>
      <c r="AN27" s="1882"/>
      <c r="AO27" s="2915"/>
      <c r="AP27" s="3029"/>
      <c r="AQ27" s="4981"/>
      <c r="AR27" s="2889"/>
      <c r="AS27" s="4982"/>
      <c r="AT27" s="4982"/>
      <c r="AU27" s="4982"/>
      <c r="AV27" s="4982"/>
      <c r="AW27" s="4982"/>
      <c r="AX27" s="4982"/>
      <c r="AY27" s="1529" t="str">
        <f t="shared" si="7"/>
        <v/>
      </c>
      <c r="BS27" s="1452"/>
      <c r="BT27" s="1452"/>
      <c r="BU27" s="1452"/>
      <c r="BV27" s="1460"/>
      <c r="BW27" s="1460"/>
      <c r="CA27" s="1457" t="str">
        <f t="shared" si="16"/>
        <v/>
      </c>
      <c r="CB27" s="1457" t="str">
        <f t="shared" si="17"/>
        <v/>
      </c>
      <c r="CC27" s="1457" t="str">
        <f t="shared" si="18"/>
        <v/>
      </c>
      <c r="CD27" s="1457" t="str">
        <f t="shared" si="19"/>
        <v/>
      </c>
      <c r="CE27" s="1457" t="str">
        <f t="shared" si="20"/>
        <v/>
      </c>
      <c r="CF27" s="1457" t="str">
        <f t="shared" si="21"/>
        <v/>
      </c>
      <c r="CG27" s="1457" t="str">
        <f t="shared" si="22"/>
        <v/>
      </c>
      <c r="CH27" s="1457" t="str">
        <f t="shared" si="23"/>
        <v/>
      </c>
      <c r="DA27" s="1458">
        <f t="shared" si="8"/>
        <v>0</v>
      </c>
      <c r="DB27" s="1458">
        <f t="shared" si="9"/>
        <v>0</v>
      </c>
      <c r="DC27" s="1458">
        <f t="shared" si="10"/>
        <v>0</v>
      </c>
      <c r="DD27" s="1458">
        <f t="shared" si="11"/>
        <v>0</v>
      </c>
      <c r="DE27" s="1458">
        <f t="shared" si="12"/>
        <v>0</v>
      </c>
      <c r="DF27" s="1458">
        <f t="shared" si="24"/>
        <v>0</v>
      </c>
      <c r="DG27" s="1458">
        <f t="shared" si="13"/>
        <v>0</v>
      </c>
      <c r="DH27" s="1458">
        <f t="shared" si="14"/>
        <v>0</v>
      </c>
    </row>
    <row r="28" spans="1:112" s="199" customFormat="1" ht="16.350000000000001" customHeight="1" x14ac:dyDescent="0.2">
      <c r="A28" s="9331" t="s">
        <v>2132</v>
      </c>
      <c r="B28" s="9332"/>
      <c r="C28" s="9333"/>
      <c r="D28" s="4980">
        <f>SUM(E28+F28)</f>
        <v>0</v>
      </c>
      <c r="E28" s="4968">
        <f t="shared" si="25"/>
        <v>0</v>
      </c>
      <c r="F28" s="1879">
        <f t="shared" si="25"/>
        <v>0</v>
      </c>
      <c r="G28" s="2885"/>
      <c r="H28" s="1882"/>
      <c r="I28" s="2885"/>
      <c r="J28" s="2889"/>
      <c r="K28" s="2885"/>
      <c r="L28" s="1882"/>
      <c r="M28" s="2885"/>
      <c r="N28" s="2889"/>
      <c r="O28" s="2885"/>
      <c r="P28" s="1882"/>
      <c r="Q28" s="2885"/>
      <c r="R28" s="1882"/>
      <c r="S28" s="2885"/>
      <c r="T28" s="1882"/>
      <c r="U28" s="2885"/>
      <c r="V28" s="1882"/>
      <c r="W28" s="2915"/>
      <c r="X28" s="1897"/>
      <c r="Y28" s="2885"/>
      <c r="Z28" s="1882"/>
      <c r="AA28" s="2915"/>
      <c r="AB28" s="1897"/>
      <c r="AC28" s="2885"/>
      <c r="AD28" s="1882"/>
      <c r="AE28" s="2915"/>
      <c r="AF28" s="1897"/>
      <c r="AG28" s="2885"/>
      <c r="AH28" s="1882"/>
      <c r="AI28" s="2915"/>
      <c r="AJ28" s="1897"/>
      <c r="AK28" s="2885"/>
      <c r="AL28" s="1882"/>
      <c r="AM28" s="2915"/>
      <c r="AN28" s="1882"/>
      <c r="AO28" s="2915"/>
      <c r="AP28" s="3029"/>
      <c r="AQ28" s="4981"/>
      <c r="AR28" s="2889"/>
      <c r="AS28" s="4981"/>
      <c r="AT28" s="4981"/>
      <c r="AU28" s="4981"/>
      <c r="AV28" s="4981"/>
      <c r="AW28" s="4981"/>
      <c r="AX28" s="4981"/>
      <c r="AY28" s="1529" t="str">
        <f t="shared" si="7"/>
        <v/>
      </c>
      <c r="AZ28" s="165"/>
      <c r="BA28" s="165"/>
      <c r="BB28" s="165"/>
      <c r="BC28" s="165"/>
      <c r="BD28" s="165"/>
      <c r="BE28" s="165"/>
      <c r="BF28" s="165"/>
      <c r="BG28" s="165"/>
      <c r="BH28" s="165"/>
      <c r="BI28" s="165"/>
      <c r="BJ28" s="165"/>
      <c r="BK28" s="165"/>
      <c r="BL28" s="165"/>
      <c r="BM28" s="165"/>
      <c r="BN28" s="165"/>
      <c r="BO28" s="165"/>
      <c r="BP28" s="165"/>
      <c r="BQ28" s="165"/>
      <c r="BR28" s="165"/>
      <c r="BS28" s="165"/>
      <c r="BT28" s="165"/>
      <c r="BU28" s="165"/>
      <c r="BV28" s="165"/>
      <c r="BW28" s="165"/>
      <c r="BX28" s="3788"/>
      <c r="CA28" s="1457" t="str">
        <f t="shared" si="16"/>
        <v/>
      </c>
      <c r="CB28" s="1457" t="str">
        <f t="shared" si="17"/>
        <v/>
      </c>
      <c r="CC28" s="1457" t="str">
        <f t="shared" si="18"/>
        <v/>
      </c>
      <c r="CD28" s="1457" t="str">
        <f t="shared" si="19"/>
        <v/>
      </c>
      <c r="CE28" s="1457" t="str">
        <f t="shared" si="20"/>
        <v/>
      </c>
      <c r="CF28" s="1457" t="str">
        <f t="shared" si="21"/>
        <v/>
      </c>
      <c r="CG28" s="1457" t="str">
        <f t="shared" si="22"/>
        <v/>
      </c>
      <c r="CH28" s="1457" t="str">
        <f t="shared" si="23"/>
        <v/>
      </c>
      <c r="CO28" s="1451"/>
      <c r="CP28" s="1451"/>
      <c r="CQ28" s="1451"/>
      <c r="CR28" s="1451"/>
      <c r="CS28" s="1451"/>
      <c r="CT28" s="1451"/>
      <c r="DA28" s="1458">
        <f t="shared" si="8"/>
        <v>0</v>
      </c>
      <c r="DB28" s="1458">
        <f t="shared" si="9"/>
        <v>0</v>
      </c>
      <c r="DC28" s="1458">
        <f t="shared" si="10"/>
        <v>0</v>
      </c>
      <c r="DD28" s="1458">
        <f t="shared" si="11"/>
        <v>0</v>
      </c>
      <c r="DE28" s="1458">
        <f t="shared" si="12"/>
        <v>0</v>
      </c>
      <c r="DF28" s="1458">
        <f t="shared" si="24"/>
        <v>0</v>
      </c>
      <c r="DG28" s="1458">
        <f t="shared" si="13"/>
        <v>0</v>
      </c>
      <c r="DH28" s="1458">
        <f t="shared" si="14"/>
        <v>0</v>
      </c>
    </row>
    <row r="29" spans="1:112" ht="16.350000000000001" customHeight="1" x14ac:dyDescent="0.2">
      <c r="A29" s="9331" t="s">
        <v>1185</v>
      </c>
      <c r="B29" s="9332"/>
      <c r="C29" s="9333"/>
      <c r="D29" s="4980">
        <f t="shared" si="15"/>
        <v>0</v>
      </c>
      <c r="E29" s="4968">
        <f t="shared" si="25"/>
        <v>0</v>
      </c>
      <c r="F29" s="1879">
        <f t="shared" si="25"/>
        <v>0</v>
      </c>
      <c r="G29" s="2885"/>
      <c r="H29" s="1882"/>
      <c r="I29" s="2885"/>
      <c r="J29" s="2889"/>
      <c r="K29" s="2885"/>
      <c r="L29" s="1882"/>
      <c r="M29" s="2885"/>
      <c r="N29" s="2889"/>
      <c r="O29" s="2885"/>
      <c r="P29" s="1882"/>
      <c r="Q29" s="2885"/>
      <c r="R29" s="1882"/>
      <c r="S29" s="2885"/>
      <c r="T29" s="1882"/>
      <c r="U29" s="2885"/>
      <c r="V29" s="1882"/>
      <c r="W29" s="2915"/>
      <c r="X29" s="1897"/>
      <c r="Y29" s="2885"/>
      <c r="Z29" s="1882"/>
      <c r="AA29" s="2915"/>
      <c r="AB29" s="1897"/>
      <c r="AC29" s="2885"/>
      <c r="AD29" s="1882"/>
      <c r="AE29" s="2915"/>
      <c r="AF29" s="1897"/>
      <c r="AG29" s="2885"/>
      <c r="AH29" s="1882"/>
      <c r="AI29" s="2915"/>
      <c r="AJ29" s="1897"/>
      <c r="AK29" s="2885"/>
      <c r="AL29" s="1882"/>
      <c r="AM29" s="2915"/>
      <c r="AN29" s="1882"/>
      <c r="AO29" s="2915"/>
      <c r="AP29" s="3029"/>
      <c r="AQ29" s="4981"/>
      <c r="AR29" s="2889"/>
      <c r="AS29" s="4981"/>
      <c r="AT29" s="4981"/>
      <c r="AU29" s="4981"/>
      <c r="AV29" s="4981"/>
      <c r="AW29" s="4981"/>
      <c r="AX29" s="4981"/>
      <c r="AY29" s="1529" t="str">
        <f t="shared" si="7"/>
        <v/>
      </c>
      <c r="BS29" s="1452"/>
      <c r="BT29" s="1452"/>
      <c r="BU29" s="1452"/>
      <c r="BV29" s="1460"/>
      <c r="BW29" s="1460"/>
      <c r="CA29" s="1457" t="str">
        <f t="shared" si="16"/>
        <v/>
      </c>
      <c r="CB29" s="1457" t="str">
        <f t="shared" si="17"/>
        <v/>
      </c>
      <c r="CC29" s="1457" t="str">
        <f t="shared" si="18"/>
        <v/>
      </c>
      <c r="CD29" s="1457" t="str">
        <f t="shared" si="19"/>
        <v/>
      </c>
      <c r="CE29" s="1457" t="str">
        <f t="shared" si="20"/>
        <v/>
      </c>
      <c r="CF29" s="1457" t="str">
        <f t="shared" si="21"/>
        <v/>
      </c>
      <c r="CG29" s="1457" t="str">
        <f t="shared" si="22"/>
        <v/>
      </c>
      <c r="CH29" s="1457" t="str">
        <f t="shared" si="23"/>
        <v/>
      </c>
      <c r="DA29" s="1458">
        <f t="shared" si="8"/>
        <v>0</v>
      </c>
      <c r="DB29" s="1458">
        <f t="shared" si="9"/>
        <v>0</v>
      </c>
      <c r="DC29" s="1458">
        <f t="shared" si="10"/>
        <v>0</v>
      </c>
      <c r="DD29" s="1458">
        <f t="shared" si="11"/>
        <v>0</v>
      </c>
      <c r="DE29" s="1458">
        <f t="shared" si="12"/>
        <v>0</v>
      </c>
      <c r="DF29" s="1458">
        <f t="shared" si="24"/>
        <v>0</v>
      </c>
      <c r="DG29" s="1458">
        <f t="shared" si="13"/>
        <v>0</v>
      </c>
      <c r="DH29" s="1458">
        <f t="shared" si="14"/>
        <v>0</v>
      </c>
    </row>
    <row r="30" spans="1:112" ht="16.350000000000001" customHeight="1" x14ac:dyDescent="0.2">
      <c r="A30" s="9331" t="s">
        <v>1184</v>
      </c>
      <c r="B30" s="9332"/>
      <c r="C30" s="9333"/>
      <c r="D30" s="4980">
        <f t="shared" si="15"/>
        <v>0</v>
      </c>
      <c r="E30" s="4968">
        <f t="shared" si="25"/>
        <v>0</v>
      </c>
      <c r="F30" s="1879">
        <f t="shared" si="25"/>
        <v>0</v>
      </c>
      <c r="G30" s="2885"/>
      <c r="H30" s="1882"/>
      <c r="I30" s="2885"/>
      <c r="J30" s="2889"/>
      <c r="K30" s="2885"/>
      <c r="L30" s="1882"/>
      <c r="M30" s="2885"/>
      <c r="N30" s="2889"/>
      <c r="O30" s="2885"/>
      <c r="P30" s="1882"/>
      <c r="Q30" s="2885"/>
      <c r="R30" s="1882"/>
      <c r="S30" s="2885"/>
      <c r="T30" s="1882"/>
      <c r="U30" s="2885"/>
      <c r="V30" s="1882"/>
      <c r="W30" s="2915"/>
      <c r="X30" s="1897"/>
      <c r="Y30" s="2885"/>
      <c r="Z30" s="1882"/>
      <c r="AA30" s="2915"/>
      <c r="AB30" s="1897"/>
      <c r="AC30" s="2885"/>
      <c r="AD30" s="1882"/>
      <c r="AE30" s="2915"/>
      <c r="AF30" s="1897"/>
      <c r="AG30" s="2885"/>
      <c r="AH30" s="1882"/>
      <c r="AI30" s="2915"/>
      <c r="AJ30" s="1897"/>
      <c r="AK30" s="2885"/>
      <c r="AL30" s="1882"/>
      <c r="AM30" s="2915"/>
      <c r="AN30" s="1882"/>
      <c r="AO30" s="2915"/>
      <c r="AP30" s="3029"/>
      <c r="AQ30" s="4981"/>
      <c r="AR30" s="2889"/>
      <c r="AS30" s="4981"/>
      <c r="AT30" s="4981"/>
      <c r="AU30" s="4981"/>
      <c r="AV30" s="4981"/>
      <c r="AW30" s="4981"/>
      <c r="AX30" s="4981"/>
      <c r="AY30" s="1529" t="str">
        <f t="shared" si="7"/>
        <v/>
      </c>
      <c r="BS30" s="1452"/>
      <c r="BT30" s="1452"/>
      <c r="BU30" s="1452"/>
      <c r="BV30" s="1460"/>
      <c r="BW30" s="1460"/>
      <c r="CA30" s="1457" t="str">
        <f t="shared" si="16"/>
        <v/>
      </c>
      <c r="CB30" s="1457" t="str">
        <f t="shared" si="17"/>
        <v/>
      </c>
      <c r="CC30" s="1457" t="str">
        <f t="shared" si="18"/>
        <v/>
      </c>
      <c r="CD30" s="1457" t="str">
        <f t="shared" si="19"/>
        <v/>
      </c>
      <c r="CE30" s="1457" t="str">
        <f t="shared" si="20"/>
        <v/>
      </c>
      <c r="CF30" s="1457" t="str">
        <f t="shared" si="21"/>
        <v/>
      </c>
      <c r="CG30" s="1457" t="str">
        <f t="shared" si="22"/>
        <v/>
      </c>
      <c r="CH30" s="1457" t="str">
        <f t="shared" si="23"/>
        <v/>
      </c>
      <c r="DA30" s="1458">
        <f t="shared" si="8"/>
        <v>0</v>
      </c>
      <c r="DB30" s="1458">
        <f t="shared" si="9"/>
        <v>0</v>
      </c>
      <c r="DC30" s="1458">
        <f t="shared" si="10"/>
        <v>0</v>
      </c>
      <c r="DD30" s="1458">
        <f t="shared" si="11"/>
        <v>0</v>
      </c>
      <c r="DE30" s="1458">
        <f t="shared" si="12"/>
        <v>0</v>
      </c>
      <c r="DF30" s="1458">
        <f t="shared" si="24"/>
        <v>0</v>
      </c>
      <c r="DG30" s="1458">
        <f t="shared" si="13"/>
        <v>0</v>
      </c>
      <c r="DH30" s="1458">
        <f t="shared" si="14"/>
        <v>0</v>
      </c>
    </row>
    <row r="31" spans="1:112" ht="16.350000000000001" customHeight="1" x14ac:dyDescent="0.2">
      <c r="A31" s="9331" t="s">
        <v>2342</v>
      </c>
      <c r="B31" s="9332"/>
      <c r="C31" s="9333"/>
      <c r="D31" s="4980">
        <f t="shared" si="15"/>
        <v>0</v>
      </c>
      <c r="E31" s="4968">
        <f t="shared" si="25"/>
        <v>0</v>
      </c>
      <c r="F31" s="1879">
        <f t="shared" si="25"/>
        <v>0</v>
      </c>
      <c r="G31" s="2885"/>
      <c r="H31" s="1882"/>
      <c r="I31" s="2885"/>
      <c r="J31" s="2889"/>
      <c r="K31" s="2885"/>
      <c r="L31" s="1882"/>
      <c r="M31" s="2885"/>
      <c r="N31" s="2889"/>
      <c r="O31" s="2885"/>
      <c r="P31" s="1882"/>
      <c r="Q31" s="2885"/>
      <c r="R31" s="1882"/>
      <c r="S31" s="2885"/>
      <c r="T31" s="1882"/>
      <c r="U31" s="2885"/>
      <c r="V31" s="1882"/>
      <c r="W31" s="2915"/>
      <c r="X31" s="1897"/>
      <c r="Y31" s="2885"/>
      <c r="Z31" s="1882"/>
      <c r="AA31" s="2915"/>
      <c r="AB31" s="1897"/>
      <c r="AC31" s="2885"/>
      <c r="AD31" s="1882"/>
      <c r="AE31" s="2915"/>
      <c r="AF31" s="1897"/>
      <c r="AG31" s="2885"/>
      <c r="AH31" s="1882"/>
      <c r="AI31" s="2915"/>
      <c r="AJ31" s="1897"/>
      <c r="AK31" s="2885"/>
      <c r="AL31" s="1882"/>
      <c r="AM31" s="2915"/>
      <c r="AN31" s="1882"/>
      <c r="AO31" s="2915"/>
      <c r="AP31" s="3029"/>
      <c r="AQ31" s="4981"/>
      <c r="AR31" s="2889"/>
      <c r="AS31" s="4981"/>
      <c r="AT31" s="4981"/>
      <c r="AU31" s="4981"/>
      <c r="AV31" s="4981"/>
      <c r="AW31" s="4981"/>
      <c r="AX31" s="4981"/>
      <c r="AY31" s="1529" t="str">
        <f t="shared" si="7"/>
        <v/>
      </c>
      <c r="BS31" s="1452"/>
      <c r="BT31" s="1452"/>
      <c r="BU31" s="1452"/>
      <c r="BV31" s="1460"/>
      <c r="BW31" s="1460"/>
      <c r="CA31" s="1457" t="str">
        <f t="shared" si="16"/>
        <v/>
      </c>
      <c r="CB31" s="1457" t="str">
        <f t="shared" si="17"/>
        <v/>
      </c>
      <c r="CC31" s="1457" t="str">
        <f t="shared" si="18"/>
        <v/>
      </c>
      <c r="CD31" s="1457" t="str">
        <f t="shared" si="19"/>
        <v/>
      </c>
      <c r="CE31" s="1457" t="str">
        <f t="shared" si="20"/>
        <v/>
      </c>
      <c r="CF31" s="1457" t="str">
        <f t="shared" si="21"/>
        <v/>
      </c>
      <c r="CG31" s="1457" t="str">
        <f t="shared" si="22"/>
        <v/>
      </c>
      <c r="CH31" s="1457" t="str">
        <f t="shared" si="23"/>
        <v/>
      </c>
      <c r="DA31" s="1458">
        <f t="shared" si="8"/>
        <v>0</v>
      </c>
      <c r="DB31" s="1458">
        <f t="shared" si="9"/>
        <v>0</v>
      </c>
      <c r="DC31" s="1458">
        <f t="shared" si="10"/>
        <v>0</v>
      </c>
      <c r="DD31" s="1458">
        <f t="shared" si="11"/>
        <v>0</v>
      </c>
      <c r="DE31" s="1458">
        <f t="shared" si="12"/>
        <v>0</v>
      </c>
      <c r="DF31" s="1458">
        <f t="shared" si="24"/>
        <v>0</v>
      </c>
      <c r="DG31" s="1458">
        <f t="shared" si="13"/>
        <v>0</v>
      </c>
      <c r="DH31" s="1458">
        <f t="shared" si="14"/>
        <v>0</v>
      </c>
    </row>
    <row r="32" spans="1:112" ht="16.350000000000001" customHeight="1" x14ac:dyDescent="0.2">
      <c r="A32" s="9331" t="s">
        <v>1183</v>
      </c>
      <c r="B32" s="9332"/>
      <c r="C32" s="9333"/>
      <c r="D32" s="4980">
        <f>SUM(E32+F32)</f>
        <v>0</v>
      </c>
      <c r="E32" s="4968">
        <f>SUM(U32+W32+Y32+AA32+AC32+AE32+AG32+AI32+AK32+AM32+AO32)</f>
        <v>0</v>
      </c>
      <c r="F32" s="1879">
        <f>SUM(V32+X32+Z32+AB32+AD32+AF32+AH32+AJ32+AL32+AN32+AP32)</f>
        <v>0</v>
      </c>
      <c r="G32" s="2909"/>
      <c r="H32" s="1888"/>
      <c r="I32" s="2909"/>
      <c r="J32" s="2906"/>
      <c r="K32" s="2909"/>
      <c r="L32" s="1888"/>
      <c r="M32" s="2909"/>
      <c r="N32" s="2906"/>
      <c r="O32" s="2909"/>
      <c r="P32" s="1888"/>
      <c r="Q32" s="2909"/>
      <c r="R32" s="1888"/>
      <c r="S32" s="2909"/>
      <c r="T32" s="1888"/>
      <c r="U32" s="2885"/>
      <c r="V32" s="1882"/>
      <c r="W32" s="2915"/>
      <c r="X32" s="1897"/>
      <c r="Y32" s="2885"/>
      <c r="Z32" s="1882"/>
      <c r="AA32" s="2915"/>
      <c r="AB32" s="1897"/>
      <c r="AC32" s="2885"/>
      <c r="AD32" s="1882"/>
      <c r="AE32" s="2915"/>
      <c r="AF32" s="1897"/>
      <c r="AG32" s="2885"/>
      <c r="AH32" s="1882"/>
      <c r="AI32" s="2915"/>
      <c r="AJ32" s="1897"/>
      <c r="AK32" s="2885"/>
      <c r="AL32" s="1882"/>
      <c r="AM32" s="2915"/>
      <c r="AN32" s="1882"/>
      <c r="AO32" s="2915"/>
      <c r="AP32" s="3029"/>
      <c r="AQ32" s="4981"/>
      <c r="AR32" s="2889"/>
      <c r="AS32" s="4981"/>
      <c r="AT32" s="4981"/>
      <c r="AU32" s="4981"/>
      <c r="AV32" s="4981"/>
      <c r="AW32" s="4981"/>
      <c r="AX32" s="4981"/>
      <c r="AY32" s="1529" t="str">
        <f t="shared" si="7"/>
        <v/>
      </c>
      <c r="BS32" s="1452"/>
      <c r="BT32" s="1452"/>
      <c r="BU32" s="1452"/>
      <c r="BV32" s="1460"/>
      <c r="BW32" s="1460"/>
      <c r="CA32" s="1457" t="str">
        <f t="shared" si="16"/>
        <v/>
      </c>
      <c r="CB32" s="1457" t="str">
        <f t="shared" si="17"/>
        <v/>
      </c>
      <c r="CC32" s="1457" t="str">
        <f t="shared" si="18"/>
        <v/>
      </c>
      <c r="CD32" s="1457" t="str">
        <f t="shared" si="19"/>
        <v/>
      </c>
      <c r="CE32" s="1457" t="str">
        <f t="shared" si="20"/>
        <v/>
      </c>
      <c r="CF32" s="1457" t="str">
        <f t="shared" si="21"/>
        <v/>
      </c>
      <c r="CG32" s="1457" t="str">
        <f t="shared" si="22"/>
        <v/>
      </c>
      <c r="CH32" s="1457" t="str">
        <f t="shared" si="23"/>
        <v/>
      </c>
      <c r="DA32" s="1458">
        <f t="shared" si="8"/>
        <v>0</v>
      </c>
      <c r="DB32" s="1458">
        <f t="shared" si="9"/>
        <v>0</v>
      </c>
      <c r="DC32" s="1458">
        <f t="shared" si="10"/>
        <v>0</v>
      </c>
      <c r="DD32" s="1458">
        <f t="shared" si="11"/>
        <v>0</v>
      </c>
      <c r="DE32" s="1458">
        <f t="shared" si="12"/>
        <v>0</v>
      </c>
      <c r="DF32" s="1458">
        <f t="shared" si="24"/>
        <v>0</v>
      </c>
      <c r="DG32" s="1458">
        <f t="shared" si="13"/>
        <v>0</v>
      </c>
      <c r="DH32" s="1458">
        <f t="shared" si="14"/>
        <v>0</v>
      </c>
    </row>
    <row r="33" spans="1:112" ht="16.350000000000001" customHeight="1" x14ac:dyDescent="0.2">
      <c r="A33" s="9331" t="s">
        <v>2133</v>
      </c>
      <c r="B33" s="9332"/>
      <c r="C33" s="9333"/>
      <c r="D33" s="4980">
        <f>SUM(E33+F33)</f>
        <v>0</v>
      </c>
      <c r="E33" s="4968">
        <f t="shared" ref="E33:F35" si="26">SUM(G33+I33+K33+M33+O33+Q33+S33+U33+W33+Y33+AA33+AC33+AE33+AG33+AI33+AK33+AM33+AO33)</f>
        <v>0</v>
      </c>
      <c r="F33" s="1879">
        <f t="shared" si="26"/>
        <v>0</v>
      </c>
      <c r="G33" s="2885"/>
      <c r="H33" s="1882"/>
      <c r="I33" s="2885"/>
      <c r="J33" s="2889"/>
      <c r="K33" s="2885"/>
      <c r="L33" s="1882"/>
      <c r="M33" s="2885"/>
      <c r="N33" s="2889"/>
      <c r="O33" s="2885"/>
      <c r="P33" s="1882"/>
      <c r="Q33" s="2885"/>
      <c r="R33" s="1882"/>
      <c r="S33" s="2885"/>
      <c r="T33" s="1882"/>
      <c r="U33" s="2885"/>
      <c r="V33" s="1882"/>
      <c r="W33" s="2915"/>
      <c r="X33" s="1897"/>
      <c r="Y33" s="2885"/>
      <c r="Z33" s="1882"/>
      <c r="AA33" s="2915"/>
      <c r="AB33" s="1897"/>
      <c r="AC33" s="2885"/>
      <c r="AD33" s="1882"/>
      <c r="AE33" s="2915"/>
      <c r="AF33" s="1897"/>
      <c r="AG33" s="2885"/>
      <c r="AH33" s="1882"/>
      <c r="AI33" s="2915"/>
      <c r="AJ33" s="1897"/>
      <c r="AK33" s="2885"/>
      <c r="AL33" s="1882"/>
      <c r="AM33" s="2915"/>
      <c r="AN33" s="1882"/>
      <c r="AO33" s="2915"/>
      <c r="AP33" s="3029"/>
      <c r="AQ33" s="4981"/>
      <c r="AR33" s="2889"/>
      <c r="AS33" s="4981"/>
      <c r="AT33" s="4981"/>
      <c r="AU33" s="4981"/>
      <c r="AV33" s="4981"/>
      <c r="AW33" s="4981"/>
      <c r="AX33" s="4981"/>
      <c r="AY33" s="1529" t="str">
        <f t="shared" si="7"/>
        <v/>
      </c>
      <c r="BS33" s="1452"/>
      <c r="BT33" s="1452"/>
      <c r="BU33" s="1452"/>
      <c r="BV33" s="1460"/>
      <c r="BW33" s="1460"/>
      <c r="CA33" s="1457" t="str">
        <f t="shared" si="16"/>
        <v/>
      </c>
      <c r="CB33" s="1457" t="str">
        <f t="shared" si="17"/>
        <v/>
      </c>
      <c r="CC33" s="1457" t="str">
        <f t="shared" si="18"/>
        <v/>
      </c>
      <c r="CD33" s="1457" t="str">
        <f t="shared" si="19"/>
        <v/>
      </c>
      <c r="CE33" s="1457" t="str">
        <f t="shared" si="20"/>
        <v/>
      </c>
      <c r="CF33" s="1457" t="str">
        <f t="shared" si="21"/>
        <v/>
      </c>
      <c r="CG33" s="1457" t="str">
        <f t="shared" si="22"/>
        <v/>
      </c>
      <c r="CH33" s="1457" t="str">
        <f t="shared" si="23"/>
        <v/>
      </c>
      <c r="DA33" s="1458">
        <f t="shared" si="8"/>
        <v>0</v>
      </c>
      <c r="DB33" s="1458">
        <f t="shared" si="9"/>
        <v>0</v>
      </c>
      <c r="DC33" s="1458">
        <f t="shared" si="10"/>
        <v>0</v>
      </c>
      <c r="DD33" s="1458">
        <f t="shared" si="11"/>
        <v>0</v>
      </c>
      <c r="DE33" s="1458">
        <f t="shared" si="12"/>
        <v>0</v>
      </c>
      <c r="DF33" s="1458">
        <f t="shared" si="24"/>
        <v>0</v>
      </c>
      <c r="DG33" s="1458">
        <f t="shared" si="13"/>
        <v>0</v>
      </c>
      <c r="DH33" s="1458">
        <f t="shared" si="14"/>
        <v>0</v>
      </c>
    </row>
    <row r="34" spans="1:112" ht="16.350000000000001" customHeight="1" x14ac:dyDescent="0.2">
      <c r="A34" s="9331" t="s">
        <v>1182</v>
      </c>
      <c r="B34" s="9332"/>
      <c r="C34" s="9333"/>
      <c r="D34" s="4980">
        <f t="shared" si="15"/>
        <v>0</v>
      </c>
      <c r="E34" s="4968">
        <f t="shared" si="26"/>
        <v>0</v>
      </c>
      <c r="F34" s="1879">
        <f t="shared" si="26"/>
        <v>0</v>
      </c>
      <c r="G34" s="2885"/>
      <c r="H34" s="1882"/>
      <c r="I34" s="2885"/>
      <c r="J34" s="2889"/>
      <c r="K34" s="2885"/>
      <c r="L34" s="1882"/>
      <c r="M34" s="2885"/>
      <c r="N34" s="2889"/>
      <c r="O34" s="2885"/>
      <c r="P34" s="1882"/>
      <c r="Q34" s="2885"/>
      <c r="R34" s="1882"/>
      <c r="S34" s="2885"/>
      <c r="T34" s="1882"/>
      <c r="U34" s="2885"/>
      <c r="V34" s="1882"/>
      <c r="W34" s="2915"/>
      <c r="X34" s="1897"/>
      <c r="Y34" s="2885"/>
      <c r="Z34" s="1882"/>
      <c r="AA34" s="2915"/>
      <c r="AB34" s="1897"/>
      <c r="AC34" s="2885"/>
      <c r="AD34" s="1882"/>
      <c r="AE34" s="2915"/>
      <c r="AF34" s="1897"/>
      <c r="AG34" s="2885"/>
      <c r="AH34" s="1882"/>
      <c r="AI34" s="2915"/>
      <c r="AJ34" s="1897"/>
      <c r="AK34" s="2885"/>
      <c r="AL34" s="1882"/>
      <c r="AM34" s="2915"/>
      <c r="AN34" s="1882"/>
      <c r="AO34" s="2915"/>
      <c r="AP34" s="3029"/>
      <c r="AQ34" s="4981"/>
      <c r="AR34" s="2889"/>
      <c r="AS34" s="4981"/>
      <c r="AT34" s="4981"/>
      <c r="AU34" s="4981"/>
      <c r="AV34" s="4981"/>
      <c r="AW34" s="4981"/>
      <c r="AX34" s="4981"/>
      <c r="AY34" s="1529" t="str">
        <f t="shared" si="7"/>
        <v/>
      </c>
      <c r="BS34" s="1452"/>
      <c r="BT34" s="1452"/>
      <c r="BU34" s="1452"/>
      <c r="BV34" s="1460"/>
      <c r="BW34" s="1460"/>
      <c r="CA34" s="1457" t="str">
        <f t="shared" si="16"/>
        <v/>
      </c>
      <c r="CB34" s="1457" t="str">
        <f t="shared" si="17"/>
        <v/>
      </c>
      <c r="CC34" s="1457" t="str">
        <f t="shared" si="18"/>
        <v/>
      </c>
      <c r="CD34" s="1457" t="str">
        <f t="shared" si="19"/>
        <v/>
      </c>
      <c r="CE34" s="1457" t="str">
        <f t="shared" si="20"/>
        <v/>
      </c>
      <c r="CF34" s="1457" t="str">
        <f t="shared" si="21"/>
        <v/>
      </c>
      <c r="CG34" s="1457" t="str">
        <f t="shared" si="22"/>
        <v/>
      </c>
      <c r="CH34" s="1457" t="str">
        <f t="shared" si="23"/>
        <v/>
      </c>
      <c r="DA34" s="1458">
        <f t="shared" si="8"/>
        <v>0</v>
      </c>
      <c r="DB34" s="1458">
        <f t="shared" si="9"/>
        <v>0</v>
      </c>
      <c r="DC34" s="1458">
        <f t="shared" si="10"/>
        <v>0</v>
      </c>
      <c r="DD34" s="1458">
        <f t="shared" si="11"/>
        <v>0</v>
      </c>
      <c r="DE34" s="1458">
        <f t="shared" si="12"/>
        <v>0</v>
      </c>
      <c r="DF34" s="1458">
        <f t="shared" si="24"/>
        <v>0</v>
      </c>
      <c r="DG34" s="1458">
        <f t="shared" si="13"/>
        <v>0</v>
      </c>
      <c r="DH34" s="1458">
        <f t="shared" si="14"/>
        <v>0</v>
      </c>
    </row>
    <row r="35" spans="1:112" ht="16.350000000000001" customHeight="1" x14ac:dyDescent="0.2">
      <c r="A35" s="9338" t="s">
        <v>1181</v>
      </c>
      <c r="B35" s="9339"/>
      <c r="C35" s="9340"/>
      <c r="D35" s="3252">
        <f t="shared" si="15"/>
        <v>0</v>
      </c>
      <c r="E35" s="4969">
        <f t="shared" si="26"/>
        <v>0</v>
      </c>
      <c r="F35" s="2898">
        <f t="shared" si="26"/>
        <v>0</v>
      </c>
      <c r="G35" s="3248"/>
      <c r="H35" s="2884"/>
      <c r="I35" s="3248"/>
      <c r="J35" s="3249"/>
      <c r="K35" s="3248"/>
      <c r="L35" s="2884"/>
      <c r="M35" s="3248"/>
      <c r="N35" s="3249"/>
      <c r="O35" s="3248"/>
      <c r="P35" s="2884"/>
      <c r="Q35" s="3248"/>
      <c r="R35" s="2884"/>
      <c r="S35" s="3248"/>
      <c r="T35" s="2884"/>
      <c r="U35" s="3248"/>
      <c r="V35" s="2884"/>
      <c r="W35" s="2533"/>
      <c r="X35" s="2711"/>
      <c r="Y35" s="3248"/>
      <c r="Z35" s="2884"/>
      <c r="AA35" s="2533"/>
      <c r="AB35" s="2711"/>
      <c r="AC35" s="3248"/>
      <c r="AD35" s="2884"/>
      <c r="AE35" s="2533"/>
      <c r="AF35" s="2711"/>
      <c r="AG35" s="3248"/>
      <c r="AH35" s="2884"/>
      <c r="AI35" s="2533"/>
      <c r="AJ35" s="2711"/>
      <c r="AK35" s="3248"/>
      <c r="AL35" s="2884"/>
      <c r="AM35" s="2533"/>
      <c r="AN35" s="2884"/>
      <c r="AO35" s="2533"/>
      <c r="AP35" s="2893"/>
      <c r="AQ35" s="1145"/>
      <c r="AR35" s="1145"/>
      <c r="AS35" s="1145"/>
      <c r="AT35" s="1145"/>
      <c r="AU35" s="1145"/>
      <c r="AV35" s="1145"/>
      <c r="AW35" s="1145"/>
      <c r="AX35" s="1145"/>
      <c r="AY35" s="1529" t="str">
        <f t="shared" si="7"/>
        <v/>
      </c>
      <c r="BS35" s="1452"/>
      <c r="BT35" s="1452"/>
      <c r="BU35" s="1452"/>
      <c r="BV35" s="1460"/>
      <c r="BW35" s="1460"/>
      <c r="CA35" s="1457" t="str">
        <f t="shared" si="16"/>
        <v/>
      </c>
      <c r="CB35" s="1457" t="str">
        <f t="shared" si="17"/>
        <v/>
      </c>
      <c r="CC35" s="1457" t="str">
        <f t="shared" si="18"/>
        <v/>
      </c>
      <c r="CD35" s="1457" t="str">
        <f t="shared" si="19"/>
        <v/>
      </c>
      <c r="CE35" s="1457" t="str">
        <f t="shared" si="20"/>
        <v/>
      </c>
      <c r="CF35" s="1457" t="str">
        <f t="shared" si="21"/>
        <v/>
      </c>
      <c r="CG35" s="1457" t="str">
        <f t="shared" si="22"/>
        <v/>
      </c>
      <c r="CH35" s="1457" t="str">
        <f t="shared" si="23"/>
        <v/>
      </c>
      <c r="DA35" s="1458">
        <f t="shared" si="8"/>
        <v>0</v>
      </c>
      <c r="DB35" s="1458">
        <f t="shared" si="9"/>
        <v>0</v>
      </c>
      <c r="DC35" s="1458">
        <f t="shared" si="10"/>
        <v>0</v>
      </c>
      <c r="DD35" s="1458">
        <f t="shared" si="11"/>
        <v>0</v>
      </c>
      <c r="DE35" s="1458">
        <f t="shared" si="12"/>
        <v>0</v>
      </c>
      <c r="DF35" s="1458">
        <f t="shared" si="24"/>
        <v>0</v>
      </c>
      <c r="DG35" s="1458">
        <f t="shared" si="13"/>
        <v>0</v>
      </c>
      <c r="DH35" s="1458">
        <f t="shared" si="14"/>
        <v>0</v>
      </c>
    </row>
    <row r="36" spans="1:112" ht="16.350000000000001" customHeight="1" x14ac:dyDescent="0.2">
      <c r="A36" s="9311" t="s">
        <v>1212</v>
      </c>
      <c r="B36" s="9311"/>
      <c r="C36" s="9311"/>
      <c r="D36" s="4912">
        <f t="shared" ref="D36:AV36" si="27">SUM(D19:D35)</f>
        <v>0</v>
      </c>
      <c r="E36" s="4922">
        <f t="shared" si="27"/>
        <v>0</v>
      </c>
      <c r="F36" s="4984">
        <f t="shared" si="27"/>
        <v>0</v>
      </c>
      <c r="G36" s="4912">
        <f t="shared" si="27"/>
        <v>0</v>
      </c>
      <c r="H36" s="4984">
        <f t="shared" si="27"/>
        <v>0</v>
      </c>
      <c r="I36" s="4912">
        <f t="shared" si="27"/>
        <v>0</v>
      </c>
      <c r="J36" s="4984">
        <f t="shared" si="27"/>
        <v>0</v>
      </c>
      <c r="K36" s="4912">
        <f t="shared" si="27"/>
        <v>0</v>
      </c>
      <c r="L36" s="4984">
        <f t="shared" si="27"/>
        <v>0</v>
      </c>
      <c r="M36" s="4912">
        <f t="shared" si="27"/>
        <v>0</v>
      </c>
      <c r="N36" s="4984">
        <f t="shared" si="27"/>
        <v>0</v>
      </c>
      <c r="O36" s="4912">
        <f t="shared" si="27"/>
        <v>0</v>
      </c>
      <c r="P36" s="4984">
        <f t="shared" si="27"/>
        <v>0</v>
      </c>
      <c r="Q36" s="4912">
        <f t="shared" si="27"/>
        <v>0</v>
      </c>
      <c r="R36" s="4984">
        <f t="shared" si="27"/>
        <v>0</v>
      </c>
      <c r="S36" s="4912">
        <f t="shared" si="27"/>
        <v>0</v>
      </c>
      <c r="T36" s="4984">
        <f t="shared" si="27"/>
        <v>0</v>
      </c>
      <c r="U36" s="4912">
        <f t="shared" si="27"/>
        <v>0</v>
      </c>
      <c r="V36" s="4984">
        <f t="shared" si="27"/>
        <v>0</v>
      </c>
      <c r="W36" s="4985">
        <f t="shared" si="27"/>
        <v>0</v>
      </c>
      <c r="X36" s="4986">
        <f t="shared" si="27"/>
        <v>0</v>
      </c>
      <c r="Y36" s="4912">
        <f t="shared" si="27"/>
        <v>0</v>
      </c>
      <c r="Z36" s="4984">
        <f t="shared" si="27"/>
        <v>0</v>
      </c>
      <c r="AA36" s="4985">
        <f t="shared" si="27"/>
        <v>0</v>
      </c>
      <c r="AB36" s="4986">
        <f t="shared" si="27"/>
        <v>0</v>
      </c>
      <c r="AC36" s="4912">
        <f t="shared" si="27"/>
        <v>0</v>
      </c>
      <c r="AD36" s="4984">
        <f t="shared" si="27"/>
        <v>0</v>
      </c>
      <c r="AE36" s="4912">
        <f t="shared" si="27"/>
        <v>0</v>
      </c>
      <c r="AF36" s="4986">
        <f t="shared" si="27"/>
        <v>0</v>
      </c>
      <c r="AG36" s="4912">
        <f t="shared" si="27"/>
        <v>0</v>
      </c>
      <c r="AH36" s="4984">
        <f t="shared" si="27"/>
        <v>0</v>
      </c>
      <c r="AI36" s="4912">
        <f t="shared" si="27"/>
        <v>0</v>
      </c>
      <c r="AJ36" s="4986">
        <f t="shared" si="27"/>
        <v>0</v>
      </c>
      <c r="AK36" s="4912">
        <f t="shared" si="27"/>
        <v>0</v>
      </c>
      <c r="AL36" s="4984">
        <f t="shared" si="27"/>
        <v>0</v>
      </c>
      <c r="AM36" s="4912">
        <f t="shared" si="27"/>
        <v>0</v>
      </c>
      <c r="AN36" s="4984">
        <f t="shared" si="27"/>
        <v>0</v>
      </c>
      <c r="AO36" s="4912">
        <f t="shared" si="27"/>
        <v>0</v>
      </c>
      <c r="AP36" s="4987">
        <f t="shared" si="27"/>
        <v>0</v>
      </c>
      <c r="AQ36" s="4984">
        <f t="shared" si="27"/>
        <v>0</v>
      </c>
      <c r="AR36" s="4984">
        <f t="shared" si="27"/>
        <v>0</v>
      </c>
      <c r="AS36" s="4988">
        <f t="shared" si="27"/>
        <v>0</v>
      </c>
      <c r="AT36" s="4988">
        <f t="shared" si="27"/>
        <v>0</v>
      </c>
      <c r="AU36" s="4988">
        <f t="shared" si="27"/>
        <v>0</v>
      </c>
      <c r="AV36" s="4988">
        <f t="shared" si="27"/>
        <v>0</v>
      </c>
      <c r="AW36" s="4988">
        <f>SUM(AW19:AW35)</f>
        <v>0</v>
      </c>
      <c r="AX36" s="4988">
        <f>SUM(AX19:AX35)</f>
        <v>0</v>
      </c>
      <c r="BS36" s="1452"/>
      <c r="BT36" s="1452"/>
      <c r="BU36" s="1452"/>
      <c r="BV36" s="1460"/>
      <c r="BW36" s="1460"/>
      <c r="CA36" s="1457"/>
      <c r="CB36" s="1457"/>
      <c r="CC36" s="1457"/>
      <c r="CD36" s="1457"/>
      <c r="CE36" s="1457"/>
      <c r="CF36" s="1457"/>
      <c r="CG36" s="1457"/>
      <c r="DA36" s="1458"/>
      <c r="DB36" s="1458"/>
      <c r="DC36" s="1458"/>
      <c r="DD36" s="1458"/>
      <c r="DE36" s="1458"/>
      <c r="DF36" s="1458"/>
      <c r="DG36" s="1458"/>
    </row>
    <row r="37" spans="1:112" ht="30" customHeight="1" x14ac:dyDescent="0.2">
      <c r="A37" s="133" t="s">
        <v>2515</v>
      </c>
      <c r="B37" s="685"/>
      <c r="C37" s="685"/>
      <c r="D37" s="214"/>
      <c r="AR37" s="802"/>
      <c r="AS37" s="802"/>
      <c r="AT37" s="802"/>
      <c r="AU37" s="290"/>
      <c r="AV37" s="290"/>
      <c r="AW37" s="290"/>
      <c r="AX37" s="290"/>
      <c r="BT37" s="1452"/>
      <c r="BU37" s="1452"/>
      <c r="BV37" s="1452"/>
      <c r="BW37" s="1460"/>
      <c r="DA37" s="1454"/>
      <c r="DB37" s="1454"/>
      <c r="DC37" s="1454"/>
      <c r="DD37" s="1454"/>
      <c r="DE37" s="1454"/>
      <c r="DF37" s="1454"/>
      <c r="DG37" s="1454"/>
    </row>
    <row r="38" spans="1:112" ht="31.5" customHeight="1" x14ac:dyDescent="0.2">
      <c r="A38" s="9341" t="s">
        <v>1180</v>
      </c>
      <c r="B38" s="9098"/>
      <c r="C38" s="9098"/>
      <c r="D38" s="9341" t="s">
        <v>805</v>
      </c>
      <c r="E38" s="9098"/>
      <c r="F38" s="9140"/>
      <c r="G38" s="9306" t="s">
        <v>1046</v>
      </c>
      <c r="H38" s="9308"/>
      <c r="I38" s="9308"/>
      <c r="J38" s="9308"/>
      <c r="K38" s="9308"/>
      <c r="L38" s="9308"/>
      <c r="M38" s="9308"/>
      <c r="N38" s="9308"/>
      <c r="O38" s="9308"/>
      <c r="P38" s="9308"/>
      <c r="Q38" s="9308"/>
      <c r="R38" s="9308"/>
      <c r="S38" s="9308"/>
      <c r="T38" s="9308"/>
      <c r="U38" s="9308"/>
      <c r="V38" s="9308"/>
      <c r="W38" s="9308"/>
      <c r="X38" s="9308"/>
      <c r="Y38" s="9308"/>
      <c r="Z38" s="9308"/>
      <c r="AA38" s="9308"/>
      <c r="AB38" s="9308"/>
      <c r="AC38" s="9308"/>
      <c r="AD38" s="9308"/>
      <c r="AE38" s="9308"/>
      <c r="AF38" s="9308"/>
      <c r="AG38" s="9308"/>
      <c r="AH38" s="9308"/>
      <c r="AI38" s="9308"/>
      <c r="AJ38" s="9308"/>
      <c r="AK38" s="9308"/>
      <c r="AL38" s="9308"/>
      <c r="AM38" s="9308"/>
      <c r="AN38" s="9308"/>
      <c r="AO38" s="9308"/>
      <c r="AP38" s="9345"/>
      <c r="AQ38" s="9140" t="s">
        <v>2532</v>
      </c>
      <c r="AR38" s="9140" t="s">
        <v>112</v>
      </c>
      <c r="AS38" s="9140" t="s">
        <v>2526</v>
      </c>
      <c r="AT38" s="9140" t="s">
        <v>2546</v>
      </c>
      <c r="AU38" s="8197" t="s">
        <v>3665</v>
      </c>
      <c r="AV38" s="8197" t="s">
        <v>2894</v>
      </c>
      <c r="AW38" s="8197" t="s">
        <v>359</v>
      </c>
      <c r="AX38" s="9303" t="s">
        <v>3674</v>
      </c>
      <c r="BJ38" s="1452"/>
      <c r="BK38" s="1452"/>
      <c r="BL38" s="1452"/>
      <c r="BM38" s="1460"/>
      <c r="BN38" s="1460"/>
      <c r="BO38" s="1460"/>
      <c r="BP38" s="1460"/>
      <c r="BX38" s="165"/>
      <c r="DA38" s="1454"/>
      <c r="DB38" s="1454"/>
      <c r="DC38" s="1454"/>
      <c r="DD38" s="1454"/>
      <c r="DE38" s="1454"/>
      <c r="DF38" s="1454"/>
      <c r="DG38" s="1454"/>
    </row>
    <row r="39" spans="1:112" ht="32.1" customHeight="1" x14ac:dyDescent="0.2">
      <c r="A39" s="8166"/>
      <c r="B39" s="8130"/>
      <c r="C39" s="9342"/>
      <c r="D39" s="9343"/>
      <c r="E39" s="9344"/>
      <c r="F39" s="8527"/>
      <c r="G39" s="9304" t="s">
        <v>3667</v>
      </c>
      <c r="H39" s="9305"/>
      <c r="I39" s="9306" t="s">
        <v>1077</v>
      </c>
      <c r="J39" s="9307"/>
      <c r="K39" s="9308" t="s">
        <v>1076</v>
      </c>
      <c r="L39" s="9307"/>
      <c r="M39" s="9306" t="s">
        <v>3668</v>
      </c>
      <c r="N39" s="9307"/>
      <c r="O39" s="9306" t="s">
        <v>1075</v>
      </c>
      <c r="P39" s="9307"/>
      <c r="Q39" s="9306" t="s">
        <v>1074</v>
      </c>
      <c r="R39" s="9307"/>
      <c r="S39" s="9306" t="s">
        <v>1045</v>
      </c>
      <c r="T39" s="9307"/>
      <c r="U39" s="9306" t="s">
        <v>1044</v>
      </c>
      <c r="V39" s="9307"/>
      <c r="W39" s="9306" t="s">
        <v>3669</v>
      </c>
      <c r="X39" s="9307"/>
      <c r="Y39" s="9306" t="s">
        <v>48</v>
      </c>
      <c r="Z39" s="9309"/>
      <c r="AA39" s="9306" t="s">
        <v>49</v>
      </c>
      <c r="AB39" s="9309"/>
      <c r="AC39" s="9306" t="s">
        <v>3736</v>
      </c>
      <c r="AD39" s="9309"/>
      <c r="AE39" s="9306" t="s">
        <v>3737</v>
      </c>
      <c r="AF39" s="9309"/>
      <c r="AG39" s="9306" t="s">
        <v>3738</v>
      </c>
      <c r="AH39" s="9309"/>
      <c r="AI39" s="9306" t="s">
        <v>3739</v>
      </c>
      <c r="AJ39" s="9309"/>
      <c r="AK39" s="9306" t="s">
        <v>2127</v>
      </c>
      <c r="AL39" s="9309"/>
      <c r="AM39" s="9306" t="s">
        <v>2128</v>
      </c>
      <c r="AN39" s="9309"/>
      <c r="AO39" s="9306" t="s">
        <v>2126</v>
      </c>
      <c r="AP39" s="9310"/>
      <c r="AQ39" s="8151"/>
      <c r="AR39" s="8151"/>
      <c r="AS39" s="8151"/>
      <c r="AT39" s="8151"/>
      <c r="AU39" s="8274"/>
      <c r="AV39" s="8274"/>
      <c r="AW39" s="8274"/>
      <c r="AX39" s="9081"/>
      <c r="BK39" s="1452"/>
      <c r="BL39" s="1452"/>
      <c r="BM39" s="1452"/>
      <c r="BN39" s="1460"/>
      <c r="BO39" s="1460"/>
      <c r="BP39" s="1460"/>
      <c r="BX39" s="165"/>
      <c r="DA39" s="1454"/>
      <c r="DB39" s="1454"/>
      <c r="DC39" s="1454"/>
      <c r="DD39" s="1454"/>
      <c r="DE39" s="1454"/>
      <c r="DF39" s="1454"/>
      <c r="DG39" s="1454"/>
    </row>
    <row r="40" spans="1:112" ht="26.25" customHeight="1" x14ac:dyDescent="0.2">
      <c r="A40" s="9342"/>
      <c r="B40" s="9342"/>
      <c r="C40" s="8151"/>
      <c r="D40" s="3918" t="s">
        <v>42</v>
      </c>
      <c r="E40" s="3919" t="s">
        <v>17</v>
      </c>
      <c r="F40" s="4989" t="s">
        <v>18</v>
      </c>
      <c r="G40" s="3918" t="s">
        <v>17</v>
      </c>
      <c r="H40" s="4989" t="s">
        <v>18</v>
      </c>
      <c r="I40" s="3918" t="s">
        <v>17</v>
      </c>
      <c r="J40" s="4989" t="s">
        <v>18</v>
      </c>
      <c r="K40" s="4959" t="s">
        <v>17</v>
      </c>
      <c r="L40" s="4989" t="s">
        <v>18</v>
      </c>
      <c r="M40" s="3919" t="s">
        <v>17</v>
      </c>
      <c r="N40" s="4989" t="s">
        <v>18</v>
      </c>
      <c r="O40" s="3919" t="s">
        <v>17</v>
      </c>
      <c r="P40" s="4989" t="s">
        <v>18</v>
      </c>
      <c r="Q40" s="3919" t="s">
        <v>17</v>
      </c>
      <c r="R40" s="4989" t="s">
        <v>18</v>
      </c>
      <c r="S40" s="3919" t="s">
        <v>17</v>
      </c>
      <c r="T40" s="4989" t="s">
        <v>18</v>
      </c>
      <c r="U40" s="4990" t="s">
        <v>17</v>
      </c>
      <c r="V40" s="4960" t="s">
        <v>18</v>
      </c>
      <c r="W40" s="4990" t="s">
        <v>17</v>
      </c>
      <c r="X40" s="4960" t="s">
        <v>18</v>
      </c>
      <c r="Y40" s="4990" t="s">
        <v>17</v>
      </c>
      <c r="Z40" s="4960" t="s">
        <v>18</v>
      </c>
      <c r="AA40" s="4990" t="s">
        <v>17</v>
      </c>
      <c r="AB40" s="4960" t="s">
        <v>18</v>
      </c>
      <c r="AC40" s="4990" t="s">
        <v>17</v>
      </c>
      <c r="AD40" s="4960" t="s">
        <v>18</v>
      </c>
      <c r="AE40" s="4990" t="s">
        <v>17</v>
      </c>
      <c r="AF40" s="4960" t="s">
        <v>18</v>
      </c>
      <c r="AG40" s="4990" t="s">
        <v>17</v>
      </c>
      <c r="AH40" s="4960" t="s">
        <v>18</v>
      </c>
      <c r="AI40" s="4990" t="s">
        <v>17</v>
      </c>
      <c r="AJ40" s="4960" t="s">
        <v>18</v>
      </c>
      <c r="AK40" s="4990" t="s">
        <v>17</v>
      </c>
      <c r="AL40" s="4960" t="s">
        <v>18</v>
      </c>
      <c r="AM40" s="4990" t="s">
        <v>17</v>
      </c>
      <c r="AN40" s="4960" t="s">
        <v>18</v>
      </c>
      <c r="AO40" s="4990" t="s">
        <v>17</v>
      </c>
      <c r="AP40" s="4961" t="s">
        <v>18</v>
      </c>
      <c r="AQ40" s="8527"/>
      <c r="AR40" s="8527"/>
      <c r="AS40" s="8527"/>
      <c r="AT40" s="8527"/>
      <c r="AU40" s="9302"/>
      <c r="AV40" s="9302"/>
      <c r="AW40" s="9302"/>
      <c r="AX40" s="9108"/>
      <c r="BK40" s="1452"/>
      <c r="BL40" s="1452"/>
      <c r="BM40" s="1452"/>
      <c r="BN40" s="1460"/>
      <c r="BO40" s="1460"/>
      <c r="BP40" s="1460"/>
      <c r="BX40" s="165"/>
      <c r="DA40" s="1454"/>
      <c r="DB40" s="1454"/>
      <c r="DC40" s="1454"/>
      <c r="DD40" s="1454"/>
      <c r="DE40" s="1454"/>
      <c r="DF40" s="1454"/>
      <c r="DG40" s="1454"/>
    </row>
    <row r="41" spans="1:112" ht="27" customHeight="1" x14ac:dyDescent="0.2">
      <c r="A41" s="9355" t="s">
        <v>1179</v>
      </c>
      <c r="B41" s="9356"/>
      <c r="C41" s="9357"/>
      <c r="D41" s="4991">
        <f>SUM(E41+F41)</f>
        <v>0</v>
      </c>
      <c r="E41" s="4992">
        <f>+S41+Y41+AA41+AC41+AE41+AG41+AI41+AK41+AM41+AO41</f>
        <v>0</v>
      </c>
      <c r="F41" s="4993">
        <f>+T41+Z41+AB41+AD41+AF41+AH41+AJ41+AL41+AN41+AP41</f>
        <v>0</v>
      </c>
      <c r="G41" s="2909"/>
      <c r="H41" s="2906"/>
      <c r="I41" s="2909"/>
      <c r="J41" s="2906"/>
      <c r="K41" s="2909"/>
      <c r="L41" s="2906"/>
      <c r="M41" s="2909"/>
      <c r="N41" s="2906"/>
      <c r="O41" s="2909"/>
      <c r="P41" s="2906"/>
      <c r="Q41" s="2909"/>
      <c r="R41" s="2906"/>
      <c r="S41" s="4994"/>
      <c r="T41" s="4995"/>
      <c r="U41" s="2909"/>
      <c r="V41" s="2906"/>
      <c r="W41" s="2909"/>
      <c r="X41" s="2906"/>
      <c r="Y41" s="4994"/>
      <c r="Z41" s="4995"/>
      <c r="AA41" s="4996"/>
      <c r="AB41" s="4995"/>
      <c r="AC41" s="4997"/>
      <c r="AD41" s="4995"/>
      <c r="AE41" s="4996"/>
      <c r="AF41" s="4995"/>
      <c r="AG41" s="4994"/>
      <c r="AH41" s="4995"/>
      <c r="AI41" s="4994"/>
      <c r="AJ41" s="4995"/>
      <c r="AK41" s="4996"/>
      <c r="AL41" s="4995"/>
      <c r="AM41" s="4997"/>
      <c r="AN41" s="4995"/>
      <c r="AO41" s="4998"/>
      <c r="AP41" s="4999"/>
      <c r="AQ41" s="7116"/>
      <c r="AR41" s="7117"/>
      <c r="AS41" s="5000"/>
      <c r="AT41" s="5000"/>
      <c r="AU41" s="5000"/>
      <c r="AV41" s="5000"/>
      <c r="AW41" s="5000"/>
      <c r="AX41" s="5000"/>
      <c r="AY41" s="1529" t="str">
        <f t="shared" ref="AY41:AY63" si="28">$CA41&amp;$CB41&amp;$CC41&amp;$CD41&amp;$CE41&amp;$CF41&amp;$CG41&amp;$CH41&amp;$CI41&amp;$CJ41&amp;$CK41&amp;$CL41&amp;$CM41&amp;$CN41&amp;$CO41&amp;$CP41&amp;$CQ41&amp;$CR41</f>
        <v/>
      </c>
      <c r="BK41" s="1452"/>
      <c r="BL41" s="1452"/>
      <c r="BM41" s="1452"/>
      <c r="BN41" s="1460"/>
      <c r="BO41" s="1460"/>
      <c r="BP41" s="1460"/>
      <c r="BX41" s="165"/>
      <c r="CA41" s="1457" t="str">
        <f>IF(DA41=1,"* Las consultas de 60 años NO DEBEN ser mayor que el total de Consultas entre 60-64 Años. ","")</f>
        <v/>
      </c>
      <c r="CB41" s="1457" t="str">
        <f>IF(DB41=1,"* Las actividades de usuarios en situación de discapacidad NO DEBEN superar el total. ","")</f>
        <v/>
      </c>
      <c r="CC41" s="1457" t="str">
        <f>IF(DC41=1,"* Las consultas de 12 años NO DEBEN ser mayor que el total de Consultas entre 10-14 Años. ","")</f>
        <v/>
      </c>
      <c r="CD41" s="1457" t="str">
        <f>IF(DD41=1,"* Las consultas de Pacientes en control PSCV NO DEBEN ser mayor que el total de Consultas. ","")</f>
        <v/>
      </c>
      <c r="CE41" s="1457" t="str">
        <f>IF(AND(AR41="",D41&lt;&gt;0),"* Recuerde que las Embarazadas deben ser incluídas en el ingreso por rango Etario (Digite CEROS si no tiene). ",IF(F41&lt;AR41,"* Las Embarazadas NO DEBEN ser mayor al total de mujeres. ",""))</f>
        <v/>
      </c>
      <c r="CF41" s="1457" t="str">
        <f>IF(AND(AU41="",D41&lt;&gt;0),"* No olvide digitar la población SENAME (Digite CEROS si no tiene). ",IF(D41&lt;AU41,"* La Población SENAME NO DEBE ser mayor al Total. ",""))</f>
        <v/>
      </c>
      <c r="CG41" s="1457" t="str">
        <f>IF(AND(AV41="",E41&lt;&gt;0),"* No olvide digitar la población Mejor Niñez (Digite CEROS si no tiene). ",IF(E41&lt;AV41,"* La Población Mejor Niñez NO DEBE ser mayor al Total. ",""))</f>
        <v/>
      </c>
      <c r="CH41" s="1457" t="str">
        <f>IF(AND(AW41="",D41&lt;&gt;0),"* No olvide digitar la población Migrante (Digite CEROS si no tiene). ",IF(D41&lt;AW41,"* La Población Migrante NO DEBE ser mayor al Total. ",""))</f>
        <v/>
      </c>
      <c r="DA41" s="1458">
        <f>IF(AS41&gt;(AK41+AL41),1,0)</f>
        <v>0</v>
      </c>
      <c r="DB41" s="1458">
        <f>IF(D41&lt;AT41,1,0)</f>
        <v>0</v>
      </c>
      <c r="DC41" s="1458">
        <f>IF((Y41+Z41)&lt;AQ41,1,0)</f>
        <v>0</v>
      </c>
      <c r="DD41" s="1458">
        <f>IF(D41&lt;AX41,1,0)</f>
        <v>0</v>
      </c>
      <c r="DE41" s="1458">
        <f>IF(AND(AR41="",D41&lt;&gt;0),1,IF(F41&lt;AR41,1,0))</f>
        <v>0</v>
      </c>
      <c r="DF41" s="1458">
        <f>IF(AND(AU41="",D41&lt;&gt;0),1,IF(D41&lt;AU41,1,0))</f>
        <v>0</v>
      </c>
      <c r="DG41" s="1458">
        <f>IF(AND(AW41="",D41&lt;&gt;0),1,IF(D41&lt;AW41,1,0))</f>
        <v>0</v>
      </c>
      <c r="DH41" s="1458">
        <f>IF(AND(AV41="",F41&lt;&gt;0),1,IF(F41&lt;AV41,1,0))</f>
        <v>0</v>
      </c>
    </row>
    <row r="42" spans="1:112" ht="24" customHeight="1" x14ac:dyDescent="0.2">
      <c r="A42" s="9331" t="s">
        <v>1178</v>
      </c>
      <c r="B42" s="9332"/>
      <c r="C42" s="9333"/>
      <c r="D42" s="3789">
        <f>SUM(E42+F42)</f>
        <v>0</v>
      </c>
      <c r="E42" s="3790">
        <f>+G42+I42+K42+M42+O42+Q42+S42+U42+W42+Y42+AA42</f>
        <v>0</v>
      </c>
      <c r="F42" s="4928">
        <f>+H42+J42+L42+N42+P42+R42+T42+V42+X42+Z42+AB42</f>
        <v>0</v>
      </c>
      <c r="G42" s="3254"/>
      <c r="H42" s="3791"/>
      <c r="I42" s="3254"/>
      <c r="J42" s="732"/>
      <c r="K42" s="3254"/>
      <c r="L42" s="3791"/>
      <c r="M42" s="3254"/>
      <c r="N42" s="3791"/>
      <c r="O42" s="3254"/>
      <c r="P42" s="3791"/>
      <c r="Q42" s="3254"/>
      <c r="R42" s="3255"/>
      <c r="S42" s="3254"/>
      <c r="T42" s="3255"/>
      <c r="U42" s="3254"/>
      <c r="V42" s="3791"/>
      <c r="W42" s="3254"/>
      <c r="X42" s="3255"/>
      <c r="Y42" s="3254"/>
      <c r="Z42" s="3255"/>
      <c r="AA42" s="3254"/>
      <c r="AB42" s="3791"/>
      <c r="AC42" s="2909"/>
      <c r="AD42" s="1888"/>
      <c r="AE42" s="2910"/>
      <c r="AF42" s="1888"/>
      <c r="AG42" s="2909"/>
      <c r="AH42" s="2906"/>
      <c r="AI42" s="2909"/>
      <c r="AJ42" s="2906"/>
      <c r="AK42" s="2910"/>
      <c r="AL42" s="2907"/>
      <c r="AM42" s="2909"/>
      <c r="AN42" s="1888"/>
      <c r="AO42" s="2910"/>
      <c r="AP42" s="5001"/>
      <c r="AQ42" s="7118"/>
      <c r="AR42" s="7119"/>
      <c r="AS42" s="2906"/>
      <c r="AT42" s="3791"/>
      <c r="AU42" s="3791"/>
      <c r="AV42" s="3791"/>
      <c r="AW42" s="3791"/>
      <c r="AX42" s="3791"/>
      <c r="AY42" s="1529" t="str">
        <f t="shared" si="28"/>
        <v/>
      </c>
      <c r="BK42" s="1452"/>
      <c r="BL42" s="1452"/>
      <c r="BM42" s="1452"/>
      <c r="BN42" s="1460"/>
      <c r="BO42" s="1460"/>
      <c r="BP42" s="1460"/>
      <c r="BX42" s="165"/>
      <c r="CA42" s="1457"/>
      <c r="CB42" s="1457" t="str">
        <f>IF(DB42=1,"* Las actividades de usuarios en situación de discapacidad NO DEBEN superar el total. ","")</f>
        <v/>
      </c>
      <c r="CC42" s="1457" t="str">
        <f>IF(DC42=1,"* Las consultas de 12 años NO DEBEN ser mayor que el total de Consultas entre 10-14 Años. ","")</f>
        <v/>
      </c>
      <c r="CD42" s="1457" t="str">
        <f>IF(DD42=1,"* Las consultas de Pacientes en control PSCV NO DEBEN ser mayor que el total de Consultas. ","")</f>
        <v/>
      </c>
      <c r="CE42" s="1457" t="str">
        <f t="shared" ref="CE42:CE43" si="29">IF(AND(AR42="",D42&lt;&gt;0),"* Recuerde que las Embarazadas deben ser incluídas en el ingreso por rango Etario (Digite CEROS si no tiene). ",IF(F42&lt;AR42,"* Las Embarazadas NO DEBEN ser mayor al total de mujeres. ",""))</f>
        <v/>
      </c>
      <c r="CF42" s="1457" t="str">
        <f>IF(AND(AU42="",D42&lt;&gt;0),"* No olvide digitar la población SENAME (Digite CEROS si no tiene). ",IF(D42&lt;AU42,"* La Población SENAME NO DEBE ser mayor al Total. ",""))</f>
        <v/>
      </c>
      <c r="CG42" s="1457" t="str">
        <f t="shared" ref="CG42:CG45" si="30">IF(AND(AV42="",E42&lt;&gt;0),"* No olvide digitar la población Mejor Niñez (Digite CEROS si no tiene). ",IF(E42&lt;AV42,"* La Población Mejor Niñez NO DEBE ser mayor al Total. ",""))</f>
        <v/>
      </c>
      <c r="CH42" s="1457" t="str">
        <f t="shared" ref="CH42:CH63" si="31">IF(AND(AW42="",D42&lt;&gt;0),"* No olvide digitar la población Migrante (Digite CEROS si no tiene). ",IF(D42&lt;AW42,"* La Población Migrante NO DEBE ser mayor al Total. ",""))</f>
        <v/>
      </c>
      <c r="DA42" s="1458"/>
      <c r="DB42" s="1458">
        <f>IF(D42&lt;AT42,1,0)</f>
        <v>0</v>
      </c>
      <c r="DC42" s="1458">
        <f>IF((Y42+Z42)&lt;AQ42,1,0)</f>
        <v>0</v>
      </c>
      <c r="DD42" s="1458">
        <f>IF(D42&lt;AX42,1,0)</f>
        <v>0</v>
      </c>
      <c r="DE42" s="1458">
        <f t="shared" ref="DE42:DE43" si="32">IF(AND(AR42="",D42&lt;&gt;0),1,IF(F42&lt;AR42,1,0))</f>
        <v>0</v>
      </c>
      <c r="DF42" s="1458">
        <f>IF(AND(AU42="",D42&lt;&gt;0),1,IF(D42&lt;AU42,1,0))</f>
        <v>0</v>
      </c>
      <c r="DG42" s="1458">
        <f>IF(AND(AW42="",D42&lt;&gt;0),1,IF(D42&lt;AW42,1,0))</f>
        <v>0</v>
      </c>
      <c r="DH42" s="1458">
        <f t="shared" ref="DH42:DH63" si="33">IF(AND(AV42="",F42&lt;&gt;0),1,IF(F42&lt;AV42,1,0))</f>
        <v>0</v>
      </c>
    </row>
    <row r="43" spans="1:112" ht="16.350000000000001" customHeight="1" x14ac:dyDescent="0.2">
      <c r="A43" s="9331" t="s">
        <v>1177</v>
      </c>
      <c r="B43" s="9332"/>
      <c r="C43" s="9333"/>
      <c r="D43" s="3789">
        <f>SUM(E43+F43)</f>
        <v>0</v>
      </c>
      <c r="E43" s="3790">
        <f>+G43+I43+K43+M43+O43+Q43+S43+U43+W43+Y43+AA43</f>
        <v>0</v>
      </c>
      <c r="F43" s="4928">
        <f>+H43+J43+L43+N43+P43+R43+T43+V43+X43+Z43+AB43</f>
        <v>0</v>
      </c>
      <c r="G43" s="3254"/>
      <c r="H43" s="3791"/>
      <c r="I43" s="3254"/>
      <c r="J43" s="732"/>
      <c r="K43" s="3254"/>
      <c r="L43" s="3791"/>
      <c r="M43" s="3254"/>
      <c r="N43" s="3791"/>
      <c r="O43" s="3254"/>
      <c r="P43" s="3791"/>
      <c r="Q43" s="3254"/>
      <c r="R43" s="3255"/>
      <c r="S43" s="3254"/>
      <c r="T43" s="3255"/>
      <c r="U43" s="3254"/>
      <c r="V43" s="3791"/>
      <c r="W43" s="3254"/>
      <c r="X43" s="3255"/>
      <c r="Y43" s="3254"/>
      <c r="Z43" s="3255"/>
      <c r="AA43" s="3254"/>
      <c r="AB43" s="3791"/>
      <c r="AC43" s="2909"/>
      <c r="AD43" s="1888"/>
      <c r="AE43" s="2910"/>
      <c r="AF43" s="1888"/>
      <c r="AG43" s="2909"/>
      <c r="AH43" s="2906"/>
      <c r="AI43" s="2909"/>
      <c r="AJ43" s="2906"/>
      <c r="AK43" s="2910"/>
      <c r="AL43" s="2907"/>
      <c r="AM43" s="2909"/>
      <c r="AN43" s="1888"/>
      <c r="AO43" s="2910"/>
      <c r="AP43" s="5001"/>
      <c r="AQ43" s="5002"/>
      <c r="AR43" s="7119"/>
      <c r="AS43" s="2906"/>
      <c r="AT43" s="3791"/>
      <c r="AU43" s="3791"/>
      <c r="AV43" s="3791"/>
      <c r="AW43" s="3791"/>
      <c r="AX43" s="3791"/>
      <c r="AY43" s="1529" t="str">
        <f t="shared" si="28"/>
        <v/>
      </c>
      <c r="BK43" s="1452"/>
      <c r="BL43" s="1452"/>
      <c r="BM43" s="1452"/>
      <c r="BN43" s="1460"/>
      <c r="BO43" s="1460"/>
      <c r="BP43" s="1460"/>
      <c r="BX43" s="165"/>
      <c r="CA43" s="1457"/>
      <c r="CB43" s="1457" t="str">
        <f>IF(DB43=1,"* Las actividades de usuarios en situación de discapacidad NO DEBEN superar el total. ","")</f>
        <v/>
      </c>
      <c r="CC43" s="1457"/>
      <c r="CD43" s="1457" t="str">
        <f>IF(DD43=1,"* Las consultas de Pacientes en control PSCV NO DEBEN ser mayor que el total de Consultas. ","")</f>
        <v/>
      </c>
      <c r="CE43" s="1457" t="str">
        <f t="shared" si="29"/>
        <v/>
      </c>
      <c r="CF43" s="1457" t="str">
        <f>IF(AND(AU43="",D43&lt;&gt;0),"* No olvide digitar la población SENAME (Digite CEROS si no tiene). ",IF(D43&lt;AU43,"* La Población SENAME NO DEBE ser mayor al Total. ",""))</f>
        <v/>
      </c>
      <c r="CG43" s="1457" t="str">
        <f t="shared" si="30"/>
        <v/>
      </c>
      <c r="CH43" s="1457" t="str">
        <f t="shared" si="31"/>
        <v/>
      </c>
      <c r="DA43" s="1458"/>
      <c r="DB43" s="1458">
        <f>IF(D43&lt;AT43,1,0)</f>
        <v>0</v>
      </c>
      <c r="DC43" s="1458"/>
      <c r="DD43" s="1458">
        <f>IF(D43&lt;AX43,1,0)</f>
        <v>0</v>
      </c>
      <c r="DE43" s="1458">
        <f t="shared" si="32"/>
        <v>0</v>
      </c>
      <c r="DF43" s="1458">
        <f>IF(AND(AU43="",D43&lt;&gt;0),1,IF(D43&lt;AU43,1,0))</f>
        <v>0</v>
      </c>
      <c r="DG43" s="1458">
        <f>IF(AND(AW43="",D43&lt;&gt;0),1,IF(D43&lt;AW43,1,0))</f>
        <v>0</v>
      </c>
      <c r="DH43" s="1458">
        <f t="shared" si="33"/>
        <v>0</v>
      </c>
    </row>
    <row r="44" spans="1:112" ht="16.350000000000001" customHeight="1" x14ac:dyDescent="0.2">
      <c r="A44" s="9331" t="s">
        <v>1176</v>
      </c>
      <c r="B44" s="9332"/>
      <c r="C44" s="9333"/>
      <c r="D44" s="5003">
        <f>SUM(E44+F44)</f>
        <v>0</v>
      </c>
      <c r="E44" s="5004">
        <f>+S44+U44+W44+Y44+AA44+AC44+AE44+AG44+AI44+AK44+AM44+AO44</f>
        <v>0</v>
      </c>
      <c r="F44" s="5005">
        <f>+T44+V44+X44+Z44+AB44+AD44+AF44+AH44+AJ44+AL44+AN44+AP44</f>
        <v>0</v>
      </c>
      <c r="G44" s="2909"/>
      <c r="H44" s="2906"/>
      <c r="I44" s="2909"/>
      <c r="J44" s="2906"/>
      <c r="K44" s="2909"/>
      <c r="L44" s="2906"/>
      <c r="M44" s="2909"/>
      <c r="N44" s="2906"/>
      <c r="O44" s="2909"/>
      <c r="P44" s="2906"/>
      <c r="Q44" s="2909"/>
      <c r="R44" s="2906"/>
      <c r="S44" s="3254"/>
      <c r="T44" s="3255"/>
      <c r="U44" s="3254"/>
      <c r="V44" s="3255"/>
      <c r="W44" s="3254"/>
      <c r="X44" s="3255"/>
      <c r="Y44" s="5006"/>
      <c r="Z44" s="3792"/>
      <c r="AA44" s="5007"/>
      <c r="AB44" s="3793"/>
      <c r="AC44" s="5006"/>
      <c r="AD44" s="3792"/>
      <c r="AE44" s="5007"/>
      <c r="AF44" s="3792"/>
      <c r="AG44" s="5006"/>
      <c r="AH44" s="3792"/>
      <c r="AI44" s="5006"/>
      <c r="AJ44" s="3792"/>
      <c r="AK44" s="5007"/>
      <c r="AL44" s="3793"/>
      <c r="AM44" s="5006"/>
      <c r="AN44" s="3792"/>
      <c r="AO44" s="5007"/>
      <c r="AP44" s="5008"/>
      <c r="AQ44" s="5009"/>
      <c r="AR44" s="5010"/>
      <c r="AS44" s="5010"/>
      <c r="AT44" s="5010"/>
      <c r="AU44" s="5010"/>
      <c r="AV44" s="5010"/>
      <c r="AW44" s="5010"/>
      <c r="AX44" s="5010"/>
      <c r="AY44" s="1529" t="str">
        <f t="shared" si="28"/>
        <v/>
      </c>
      <c r="BK44" s="1452"/>
      <c r="BL44" s="1452"/>
      <c r="BM44" s="1452"/>
      <c r="BN44" s="1460"/>
      <c r="BO44" s="1460"/>
      <c r="BP44" s="1460"/>
      <c r="BX44" s="165"/>
      <c r="CA44" s="1457" t="str">
        <f>IF(DA44=1,"* Las consultas de 60 años NO DEBEN ser mayor que el total de Consultas entre 60-64 Años. ","")</f>
        <v/>
      </c>
      <c r="CB44" s="1457" t="str">
        <f>IF(DB44=1,"* Las actividades de usuarios en situación de discapacidad NO DEBEN superar el total. ","")</f>
        <v/>
      </c>
      <c r="CC44" s="1457" t="str">
        <f>IF(DC44=1,"* Las consultas de 12 años NO DEBEN ser mayor que el total de Consultas entre 10-14 Años. ","")</f>
        <v/>
      </c>
      <c r="CD44" s="1457" t="str">
        <f>IF(DD44=1,"* Las consultas de Pacientes en control PSCV NO DEBEN ser mayor que el total de Consultas. ","")</f>
        <v/>
      </c>
      <c r="CE44" s="1457" t="str">
        <f>IF(AND(AR44="",D44&lt;&gt;0),"* Recuerde que las Embarazadas deben ser incluídas en el ingreso por rango Etario (Digite CEROS si no tiene). ",IF(F44&lt;AR44,"* Las Embarazadas NO DEBEN ser mayor al total de mujeres. ",""))</f>
        <v/>
      </c>
      <c r="CF44" s="1457" t="str">
        <f>IF(AND(AU44="",D44&lt;&gt;0),"* No olvide digitar la población SENAME (Digite CEROS si no tiene). ",IF(D44&lt;AU44,"* La Población SENAME NO DEBE ser mayor al Total. ",""))</f>
        <v/>
      </c>
      <c r="CG44" s="1457" t="str">
        <f t="shared" si="30"/>
        <v/>
      </c>
      <c r="CH44" s="1457" t="str">
        <f t="shared" si="31"/>
        <v/>
      </c>
      <c r="DA44" s="1458">
        <f>IF(AS44&gt;(AK44+AL44),1,0)</f>
        <v>0</v>
      </c>
      <c r="DB44" s="1458">
        <f>IF(D44&lt;AT44,1,0)</f>
        <v>0</v>
      </c>
      <c r="DC44" s="1458">
        <f>IF((Y44+Z44)&lt;AQ44,1,0)</f>
        <v>0</v>
      </c>
      <c r="DD44" s="1458">
        <f>IF(D44&lt;AX44,1,0)</f>
        <v>0</v>
      </c>
      <c r="DE44" s="1458">
        <f>IF(AND(AR44="",D44&lt;&gt;0),1,IF(F44&lt;AR44,1,0))</f>
        <v>0</v>
      </c>
      <c r="DF44" s="1458">
        <f>IF(AND(AU44="",D44&lt;&gt;0),1,IF(D44&lt;AU44,1,0))</f>
        <v>0</v>
      </c>
      <c r="DG44" s="1458">
        <f>IF(AND(AW44="",D44&lt;&gt;0),1,IF(D44&lt;AW44,1,0))</f>
        <v>0</v>
      </c>
      <c r="DH44" s="1458">
        <f t="shared" si="33"/>
        <v>0</v>
      </c>
    </row>
    <row r="45" spans="1:112" ht="16.350000000000001" customHeight="1" x14ac:dyDescent="0.2">
      <c r="A45" s="9331" t="s">
        <v>1175</v>
      </c>
      <c r="B45" s="9332"/>
      <c r="C45" s="9333"/>
      <c r="D45" s="5011">
        <f>SUM(E45+F45)</f>
        <v>0</v>
      </c>
      <c r="E45" s="5012">
        <f>S45+U45+W45+Y45+AA45+AC45+AE45+AG45+AI45+AK45+AM45+AO45</f>
        <v>0</v>
      </c>
      <c r="F45" s="5013">
        <f>T45+V45+X45+Z45+AB45+AD45+AF45+AH45+AJ45+AL45+AN45+AP45</f>
        <v>0</v>
      </c>
      <c r="G45" s="5014"/>
      <c r="H45" s="5015"/>
      <c r="I45" s="5014"/>
      <c r="J45" s="5015"/>
      <c r="K45" s="5014"/>
      <c r="L45" s="5015"/>
      <c r="M45" s="5014"/>
      <c r="N45" s="5015"/>
      <c r="O45" s="5014"/>
      <c r="P45" s="5015"/>
      <c r="Q45" s="5014"/>
      <c r="R45" s="5015"/>
      <c r="S45" s="3254"/>
      <c r="T45" s="3255"/>
      <c r="U45" s="3254"/>
      <c r="V45" s="3255"/>
      <c r="W45" s="3254"/>
      <c r="X45" s="3255"/>
      <c r="Y45" s="5016"/>
      <c r="Z45" s="3256"/>
      <c r="AA45" s="3257"/>
      <c r="AB45" s="3794"/>
      <c r="AC45" s="5016"/>
      <c r="AD45" s="3256"/>
      <c r="AE45" s="3258"/>
      <c r="AF45" s="3256"/>
      <c r="AG45" s="5016"/>
      <c r="AH45" s="3256"/>
      <c r="AI45" s="5016"/>
      <c r="AJ45" s="3256"/>
      <c r="AK45" s="3257"/>
      <c r="AL45" s="3794"/>
      <c r="AM45" s="5016"/>
      <c r="AN45" s="3256"/>
      <c r="AO45" s="3258"/>
      <c r="AP45" s="5017"/>
      <c r="AQ45" s="3795"/>
      <c r="AR45" s="5018"/>
      <c r="AS45" s="3292"/>
      <c r="AT45" s="5018"/>
      <c r="AU45" s="5018"/>
      <c r="AV45" s="5018"/>
      <c r="AW45" s="5018"/>
      <c r="AX45" s="5018"/>
      <c r="AY45" s="1529" t="str">
        <f t="shared" si="28"/>
        <v/>
      </c>
      <c r="BK45" s="1452"/>
      <c r="BL45" s="1452"/>
      <c r="BM45" s="1452"/>
      <c r="BN45" s="1460"/>
      <c r="BO45" s="1460"/>
      <c r="BP45" s="1460"/>
      <c r="BX45" s="165"/>
      <c r="CA45" s="1457"/>
      <c r="CB45" s="1457" t="str">
        <f>IF(DB45=1,"* Las actividades de usuarios en situación de discapacidad NO DEBEN superar el total. ","")</f>
        <v/>
      </c>
      <c r="CC45" s="1457" t="str">
        <f>IF(DC45=1,"* Las consultas de 12 años NO DEBEN ser mayor que el total de Consultas entre 10-14 Años. ","")</f>
        <v/>
      </c>
      <c r="CD45" s="1457" t="str">
        <f>IF(DD45=1,"* Las consultas de Pacientes en control PSCV NO DEBEN ser mayor que el total de Consultas. ","")</f>
        <v/>
      </c>
      <c r="CE45" s="1457" t="str">
        <f>IF(AND(AR45="",D45&lt;&gt;0),"* Recuerde que las Embarazadas deben ser incluídas en el ingreso por rango Etario (Digite CEROS si no tiene). ",IF(F45&lt;AR45,"* Las Embarazadas NO DEBEN ser mayor al total de mujeres. ",""))</f>
        <v/>
      </c>
      <c r="CF45" s="1457" t="str">
        <f>IF(AND(AU45="",D45&lt;&gt;0),"* No olvide digitar la población SENAME (Digite CEROS si no tiene). ",IF(D45&lt;AU45,"* La Población SENAME NO DEBE ser mayor al Total. ",""))</f>
        <v/>
      </c>
      <c r="CG45" s="1457" t="str">
        <f t="shared" si="30"/>
        <v/>
      </c>
      <c r="CH45" s="1457" t="str">
        <f t="shared" si="31"/>
        <v/>
      </c>
      <c r="DA45" s="1458"/>
      <c r="DB45" s="1458">
        <f>IF(D45&lt;AT45,1,0)</f>
        <v>0</v>
      </c>
      <c r="DC45" s="1458">
        <f>IF((Y45+Z45)&lt;AQ45,1,0)</f>
        <v>0</v>
      </c>
      <c r="DD45" s="1458">
        <f>IF(D45&lt;AX45,1,0)</f>
        <v>0</v>
      </c>
      <c r="DE45" s="1458">
        <f>IF(AND(AR45="",D45&lt;&gt;0),1,IF(F45&lt;AR45,1,0))</f>
        <v>0</v>
      </c>
      <c r="DF45" s="1458">
        <f>IF(AND(AU45="",D45&lt;&gt;0),1,IF(D45&lt;AU45,1,0))</f>
        <v>0</v>
      </c>
      <c r="DG45" s="1458">
        <f>IF(AND(AW45="",D45&lt;&gt;0),1,IF(D45&lt;AW45,1,0))</f>
        <v>0</v>
      </c>
      <c r="DH45" s="1458">
        <f t="shared" si="33"/>
        <v>0</v>
      </c>
    </row>
    <row r="46" spans="1:112" ht="16.350000000000001" customHeight="1" x14ac:dyDescent="0.2">
      <c r="A46" s="9306" t="s">
        <v>1174</v>
      </c>
      <c r="B46" s="9308"/>
      <c r="C46" s="9307"/>
      <c r="D46" s="3921">
        <f t="shared" ref="D46:D59" si="34">SUM(E46+F46)</f>
        <v>0</v>
      </c>
      <c r="E46" s="4971">
        <f>S46+U46+W46+Y46+AA46+AC46+AE46+AG46+AI46+AK46+AM46+AO46</f>
        <v>0</v>
      </c>
      <c r="F46" s="4960">
        <f>T46+V46+X46+Z46+AB46+AD46+AF46+AH46+AJ46+AL46+AN46+AP46</f>
        <v>0</v>
      </c>
      <c r="G46" s="5019"/>
      <c r="H46" s="5020"/>
      <c r="I46" s="5019"/>
      <c r="J46" s="5020"/>
      <c r="K46" s="5019"/>
      <c r="L46" s="5020"/>
      <c r="M46" s="5019"/>
      <c r="N46" s="5020"/>
      <c r="O46" s="5019"/>
      <c r="P46" s="5020"/>
      <c r="Q46" s="5019"/>
      <c r="R46" s="5020"/>
      <c r="S46" s="5305">
        <f t="shared" ref="S46:AB46" si="35">SUM(S44:S45)</f>
        <v>0</v>
      </c>
      <c r="T46" s="5304">
        <f t="shared" si="35"/>
        <v>0</v>
      </c>
      <c r="U46" s="5305">
        <f t="shared" si="35"/>
        <v>0</v>
      </c>
      <c r="V46" s="5304">
        <f t="shared" si="35"/>
        <v>0</v>
      </c>
      <c r="W46" s="4972">
        <f t="shared" si="35"/>
        <v>0</v>
      </c>
      <c r="X46" s="4972">
        <f t="shared" si="35"/>
        <v>0</v>
      </c>
      <c r="Y46" s="3921">
        <f t="shared" si="35"/>
        <v>0</v>
      </c>
      <c r="Z46" s="4972">
        <f t="shared" si="35"/>
        <v>0</v>
      </c>
      <c r="AA46" s="3921">
        <f t="shared" si="35"/>
        <v>0</v>
      </c>
      <c r="AB46" s="4972">
        <f t="shared" si="35"/>
        <v>0</v>
      </c>
      <c r="AC46" s="3921">
        <f>SUM(AC44:AC45)</f>
        <v>0</v>
      </c>
      <c r="AD46" s="4960">
        <f>SUM(AD44:AD45)</f>
        <v>0</v>
      </c>
      <c r="AE46" s="4972">
        <f>SUM(AE44:AE45)</f>
        <v>0</v>
      </c>
      <c r="AF46" s="4972">
        <f t="shared" ref="AF46:AN46" si="36">SUM(AF44:AF45)</f>
        <v>0</v>
      </c>
      <c r="AG46" s="3921">
        <f t="shared" si="36"/>
        <v>0</v>
      </c>
      <c r="AH46" s="4972">
        <f t="shared" si="36"/>
        <v>0</v>
      </c>
      <c r="AI46" s="3921">
        <f t="shared" si="36"/>
        <v>0</v>
      </c>
      <c r="AJ46" s="4972">
        <f t="shared" si="36"/>
        <v>0</v>
      </c>
      <c r="AK46" s="3921">
        <f t="shared" si="36"/>
        <v>0</v>
      </c>
      <c r="AL46" s="4972">
        <f t="shared" si="36"/>
        <v>0</v>
      </c>
      <c r="AM46" s="3921">
        <f t="shared" si="36"/>
        <v>0</v>
      </c>
      <c r="AN46" s="4960">
        <f t="shared" si="36"/>
        <v>0</v>
      </c>
      <c r="AO46" s="4972">
        <f>SUM(AO44:AO45)</f>
        <v>0</v>
      </c>
      <c r="AP46" s="5021">
        <f>SUM(AP44:AP45)</f>
        <v>0</v>
      </c>
      <c r="AQ46" s="4972">
        <f>SUM(AQ44:AQ45)</f>
        <v>0</v>
      </c>
      <c r="AR46" s="5022">
        <f>SUM(AR44:AR45)</f>
        <v>0</v>
      </c>
      <c r="AS46" s="4960">
        <f>SUM(AS44)</f>
        <v>0</v>
      </c>
      <c r="AT46" s="4960">
        <f>SUM(AT44:AT45)</f>
        <v>0</v>
      </c>
      <c r="AU46" s="4960">
        <f>SUM(AU44:AU45)</f>
        <v>0</v>
      </c>
      <c r="AV46" s="4960">
        <f>SUM(AV44:AV45)</f>
        <v>0</v>
      </c>
      <c r="AW46" s="4960">
        <f>SUM(AW44:AW45)</f>
        <v>0</v>
      </c>
      <c r="AX46" s="4960">
        <f>SUM(AX44:AX45)</f>
        <v>0</v>
      </c>
      <c r="AY46" s="1529"/>
      <c r="BK46" s="1452"/>
      <c r="BL46" s="1452"/>
      <c r="BM46" s="1452"/>
      <c r="BN46" s="1460"/>
      <c r="BO46" s="1460"/>
      <c r="BP46" s="1460"/>
      <c r="BX46" s="165"/>
      <c r="CA46" s="1457"/>
      <c r="CB46" s="1457"/>
      <c r="CC46" s="1457"/>
      <c r="CD46" s="1457"/>
      <c r="CE46" s="1457"/>
      <c r="CF46" s="1457"/>
      <c r="CG46" s="1457"/>
      <c r="DA46" s="1458"/>
      <c r="DB46" s="1458"/>
      <c r="DC46" s="1458"/>
      <c r="DD46" s="1458"/>
      <c r="DE46" s="1458"/>
      <c r="DF46" s="1458"/>
      <c r="DG46" s="1458"/>
      <c r="DH46" s="1458"/>
    </row>
    <row r="47" spans="1:112" ht="16.350000000000001" customHeight="1" x14ac:dyDescent="0.2">
      <c r="A47" s="9346" t="s">
        <v>153</v>
      </c>
      <c r="B47" s="9347"/>
      <c r="C47" s="9348"/>
      <c r="D47" s="3921">
        <f t="shared" si="34"/>
        <v>0</v>
      </c>
      <c r="E47" s="4971">
        <f>+G47+I47+K47+M47+O47+Q47+S47+U47+W47+Y47+AA47+AC47+AE47+AG47+AI47+AK47+AM47+AO47</f>
        <v>0</v>
      </c>
      <c r="F47" s="4960">
        <f>+H47+J47+L47+N47+P47+R47+T47+V47+X47+Z47+AB47+AD47+AF47+AH47+AJ47+AL47+AN47+AP47</f>
        <v>0</v>
      </c>
      <c r="G47" s="5023"/>
      <c r="H47" s="5024"/>
      <c r="I47" s="5023"/>
      <c r="J47" s="5025"/>
      <c r="K47" s="5023"/>
      <c r="L47" s="5024"/>
      <c r="M47" s="5023"/>
      <c r="N47" s="5024"/>
      <c r="O47" s="5023"/>
      <c r="P47" s="5024"/>
      <c r="Q47" s="5023"/>
      <c r="R47" s="5026"/>
      <c r="S47" s="5023"/>
      <c r="T47" s="5026"/>
      <c r="U47" s="5023"/>
      <c r="V47" s="5026"/>
      <c r="W47" s="5023"/>
      <c r="X47" s="5026"/>
      <c r="Y47" s="5023"/>
      <c r="Z47" s="5026"/>
      <c r="AA47" s="5023"/>
      <c r="AB47" s="5026"/>
      <c r="AC47" s="5027"/>
      <c r="AD47" s="5026"/>
      <c r="AE47" s="5028"/>
      <c r="AF47" s="5026"/>
      <c r="AG47" s="5023"/>
      <c r="AH47" s="5026"/>
      <c r="AI47" s="5023"/>
      <c r="AJ47" s="5026"/>
      <c r="AK47" s="5023"/>
      <c r="AL47" s="5026"/>
      <c r="AM47" s="5027"/>
      <c r="AN47" s="5026"/>
      <c r="AO47" s="5025"/>
      <c r="AP47" s="5029"/>
      <c r="AQ47" s="5030"/>
      <c r="AR47" s="5024"/>
      <c r="AS47" s="5024"/>
      <c r="AT47" s="5024"/>
      <c r="AU47" s="5024"/>
      <c r="AV47" s="5024"/>
      <c r="AW47" s="5024"/>
      <c r="AX47" s="5024"/>
      <c r="AY47" s="1529" t="str">
        <f t="shared" si="28"/>
        <v/>
      </c>
      <c r="BK47" s="1452"/>
      <c r="BL47" s="1452"/>
      <c r="BM47" s="1452"/>
      <c r="BN47" s="1460"/>
      <c r="BO47" s="1460"/>
      <c r="BP47" s="1460"/>
      <c r="BX47" s="165"/>
      <c r="CA47" s="1457" t="str">
        <f t="shared" ref="CA47:CA53" si="37">IF(DA47=1,"* Las consultas de 60 años NO DEBEN ser mayor que el total de Consultas entre 60-64 Años. ","")</f>
        <v/>
      </c>
      <c r="CB47" s="1457" t="str">
        <f t="shared" ref="CB47:CB53" si="38">IF(DB47=1,"* Las actividades de usuarios en situación de discapacidad NO DEBEN superar el total. ","")</f>
        <v/>
      </c>
      <c r="CC47" s="1457" t="str">
        <f t="shared" ref="CC47:CC53" si="39">IF(DC47=1,"* Las consultas de 12 años NO DEBEN ser mayor que el total de Consultas entre 10-14 Años. ","")</f>
        <v/>
      </c>
      <c r="CD47" s="1457" t="str">
        <f t="shared" ref="CD47:CD53" si="40">IF(DD47=1,"* Las consultas de Pacientes en control PSCV NO DEBEN ser mayor que el total de Consultas. ","")</f>
        <v/>
      </c>
      <c r="CE47" s="1457" t="str">
        <f t="shared" ref="CE47:CE53" si="41">IF(AND(AR47="",D47&lt;&gt;0),"* Recuerde que las Embarazadas deben ser incluídas en el ingreso por rango Etario (Digite CEROS si no tiene). ",IF(F47&lt;AR47,"* Las Embarazadas NO DEBEN ser mayor al total de mujeres. ",""))</f>
        <v/>
      </c>
      <c r="CF47" s="1457" t="str">
        <f t="shared" ref="CF47:CF53" si="42">IF(AND(AU47="",D47&lt;&gt;0),"* No olvide digitar la población SENAME (Digite CEROS si no tiene). ",IF(D47&lt;AU47,"* La Población SENAME NO DEBE ser mayor al Total. ",""))</f>
        <v/>
      </c>
      <c r="CG47" s="1457" t="str">
        <f t="shared" ref="CG47:CG63" si="43">IF(AND(AV47="",E47&lt;&gt;0),"* No olvide digitar la población Mejor Niñez (Digite CEROS si no tiene). ",IF(E47&lt;AV47,"* La Población Mejor Niñez NO DEBE ser mayor al Total. ",""))</f>
        <v/>
      </c>
      <c r="CH47" s="1457" t="str">
        <f t="shared" si="31"/>
        <v/>
      </c>
      <c r="DA47" s="1458">
        <f t="shared" ref="DA47:DA53" si="44">IF(AS47&gt;(AK47+AL47),1,0)</f>
        <v>0</v>
      </c>
      <c r="DB47" s="1458">
        <f t="shared" ref="DB47:DB53" si="45">IF(D47&lt;AT47,1,0)</f>
        <v>0</v>
      </c>
      <c r="DC47" s="1458">
        <f t="shared" ref="DC47:DC53" si="46">IF((Y47+Z47)&lt;AQ47,1,0)</f>
        <v>0</v>
      </c>
      <c r="DD47" s="1458">
        <f t="shared" ref="DD47:DD53" si="47">IF(D47&lt;AX47,1,0)</f>
        <v>0</v>
      </c>
      <c r="DE47" s="1458">
        <f t="shared" ref="DE47:DE53" si="48">IF(AND(AR47="",D47&lt;&gt;0),1,IF(F47&lt;AR47,1,0))</f>
        <v>0</v>
      </c>
      <c r="DF47" s="1458">
        <f t="shared" ref="DF47:DF53" si="49">IF(AND(AU47="",D47&lt;&gt;0),1,IF(D47&lt;AU47,1,0))</f>
        <v>0</v>
      </c>
      <c r="DG47" s="1458">
        <f t="shared" ref="DG47:DG53" si="50">IF(AND(AW47="",D47&lt;&gt;0),1,IF(D47&lt;AW47,1,0))</f>
        <v>0</v>
      </c>
      <c r="DH47" s="1458">
        <f t="shared" si="33"/>
        <v>0</v>
      </c>
    </row>
    <row r="48" spans="1:112" ht="16.350000000000001" customHeight="1" x14ac:dyDescent="0.2">
      <c r="A48" s="9349" t="s">
        <v>1173</v>
      </c>
      <c r="B48" s="9350"/>
      <c r="C48" s="5031">
        <v>0</v>
      </c>
      <c r="D48" s="3796">
        <f t="shared" si="34"/>
        <v>0</v>
      </c>
      <c r="E48" s="3797">
        <f>SUM(G48+I48+K48+M48+O48+Q48+S48+U48+W48+Y48+AA48+AC48+AE48+AG48+AI48+AK48+AM48+AO48)</f>
        <v>0</v>
      </c>
      <c r="F48" s="4928">
        <f>SUM(H48+J48+L48+N48+P48+R48+T48+V48+X48+Z48+AB48+AD48+AF48+AH48+AJ48+AL48+AN48+AP48)</f>
        <v>0</v>
      </c>
      <c r="G48" s="3254"/>
      <c r="H48" s="3791"/>
      <c r="I48" s="3254"/>
      <c r="J48" s="732"/>
      <c r="K48" s="3254"/>
      <c r="L48" s="3791"/>
      <c r="M48" s="3254"/>
      <c r="N48" s="3791"/>
      <c r="O48" s="3254"/>
      <c r="P48" s="3791"/>
      <c r="Q48" s="3254"/>
      <c r="R48" s="3255"/>
      <c r="S48" s="3254"/>
      <c r="T48" s="3255"/>
      <c r="U48" s="3254"/>
      <c r="V48" s="3255"/>
      <c r="W48" s="3254"/>
      <c r="X48" s="3255"/>
      <c r="Y48" s="3254"/>
      <c r="Z48" s="3255"/>
      <c r="AA48" s="3254"/>
      <c r="AB48" s="3255"/>
      <c r="AC48" s="3259"/>
      <c r="AD48" s="3255"/>
      <c r="AE48" s="5032"/>
      <c r="AF48" s="3255"/>
      <c r="AG48" s="3254"/>
      <c r="AH48" s="3255"/>
      <c r="AI48" s="3254"/>
      <c r="AJ48" s="3255"/>
      <c r="AK48" s="3254"/>
      <c r="AL48" s="3255"/>
      <c r="AM48" s="3259"/>
      <c r="AN48" s="3255"/>
      <c r="AO48" s="732"/>
      <c r="AP48" s="3260"/>
      <c r="AQ48" s="3798"/>
      <c r="AR48" s="3791"/>
      <c r="AS48" s="3791"/>
      <c r="AT48" s="3791"/>
      <c r="AU48" s="3791"/>
      <c r="AV48" s="3791"/>
      <c r="AW48" s="3791"/>
      <c r="AX48" s="3791"/>
      <c r="AY48" s="1529" t="str">
        <f t="shared" si="28"/>
        <v/>
      </c>
      <c r="BK48" s="1452"/>
      <c r="BL48" s="1452"/>
      <c r="BM48" s="1452"/>
      <c r="BN48" s="1460"/>
      <c r="BO48" s="1460"/>
      <c r="BP48" s="1460"/>
      <c r="BX48" s="165"/>
      <c r="CA48" s="1457" t="str">
        <f t="shared" si="37"/>
        <v/>
      </c>
      <c r="CB48" s="1457" t="str">
        <f t="shared" si="38"/>
        <v/>
      </c>
      <c r="CC48" s="1457" t="str">
        <f t="shared" si="39"/>
        <v/>
      </c>
      <c r="CD48" s="1457" t="str">
        <f t="shared" si="40"/>
        <v/>
      </c>
      <c r="CE48" s="1457" t="str">
        <f t="shared" si="41"/>
        <v/>
      </c>
      <c r="CF48" s="1457" t="str">
        <f t="shared" si="42"/>
        <v/>
      </c>
      <c r="CG48" s="1457" t="str">
        <f t="shared" si="43"/>
        <v/>
      </c>
      <c r="CH48" s="1457" t="str">
        <f t="shared" si="31"/>
        <v/>
      </c>
      <c r="DA48" s="1458">
        <f t="shared" si="44"/>
        <v>0</v>
      </c>
      <c r="DB48" s="1458">
        <f t="shared" si="45"/>
        <v>0</v>
      </c>
      <c r="DC48" s="1458">
        <f t="shared" si="46"/>
        <v>0</v>
      </c>
      <c r="DD48" s="1458">
        <f t="shared" si="47"/>
        <v>0</v>
      </c>
      <c r="DE48" s="1458">
        <f t="shared" si="48"/>
        <v>0</v>
      </c>
      <c r="DF48" s="1458">
        <f t="shared" si="49"/>
        <v>0</v>
      </c>
      <c r="DG48" s="1458">
        <f t="shared" si="50"/>
        <v>0</v>
      </c>
      <c r="DH48" s="1458">
        <f t="shared" si="33"/>
        <v>0</v>
      </c>
    </row>
    <row r="49" spans="1:112" ht="16.350000000000001" customHeight="1" x14ac:dyDescent="0.2">
      <c r="A49" s="9351"/>
      <c r="B49" s="9352"/>
      <c r="C49" s="5033" t="s">
        <v>1172</v>
      </c>
      <c r="D49" s="5003">
        <f t="shared" si="34"/>
        <v>0</v>
      </c>
      <c r="E49" s="3797">
        <f t="shared" ref="E49:F58" si="51">SUM(G49+I49+K49+M49+O49+Q49+S49+U49+W49+Y49+AA49+AC49+AE49+AG49+AI49+AK49+AM49+AO49)</f>
        <v>0</v>
      </c>
      <c r="F49" s="4928">
        <f t="shared" si="51"/>
        <v>0</v>
      </c>
      <c r="G49" s="5006"/>
      <c r="H49" s="5010"/>
      <c r="I49" s="5006"/>
      <c r="J49" s="5034"/>
      <c r="K49" s="5006"/>
      <c r="L49" s="5010"/>
      <c r="M49" s="5006"/>
      <c r="N49" s="5010"/>
      <c r="O49" s="5006"/>
      <c r="P49" s="5010"/>
      <c r="Q49" s="5006"/>
      <c r="R49" s="3792"/>
      <c r="S49" s="5006"/>
      <c r="T49" s="3792"/>
      <c r="U49" s="5006"/>
      <c r="V49" s="3792"/>
      <c r="W49" s="5006"/>
      <c r="X49" s="3792"/>
      <c r="Y49" s="5006"/>
      <c r="Z49" s="3792"/>
      <c r="AA49" s="5006"/>
      <c r="AB49" s="3792"/>
      <c r="AC49" s="5035"/>
      <c r="AD49" s="3792"/>
      <c r="AE49" s="5007"/>
      <c r="AF49" s="3792"/>
      <c r="AG49" s="5006"/>
      <c r="AH49" s="3792"/>
      <c r="AI49" s="5006"/>
      <c r="AJ49" s="3792"/>
      <c r="AK49" s="5006"/>
      <c r="AL49" s="3792"/>
      <c r="AM49" s="5035"/>
      <c r="AN49" s="3792"/>
      <c r="AO49" s="5034"/>
      <c r="AP49" s="5008"/>
      <c r="AQ49" s="5009"/>
      <c r="AR49" s="5010"/>
      <c r="AS49" s="5010"/>
      <c r="AT49" s="5010"/>
      <c r="AU49" s="5010"/>
      <c r="AV49" s="5010"/>
      <c r="AW49" s="5010"/>
      <c r="AX49" s="5010"/>
      <c r="AY49" s="1529" t="str">
        <f t="shared" si="28"/>
        <v/>
      </c>
      <c r="BK49" s="1452"/>
      <c r="BL49" s="1452"/>
      <c r="BM49" s="1452"/>
      <c r="BN49" s="1460"/>
      <c r="BO49" s="1460"/>
      <c r="BP49" s="1460"/>
      <c r="BX49" s="165"/>
      <c r="CA49" s="1457" t="str">
        <f t="shared" si="37"/>
        <v/>
      </c>
      <c r="CB49" s="1457" t="str">
        <f t="shared" si="38"/>
        <v/>
      </c>
      <c r="CC49" s="1457" t="str">
        <f t="shared" si="39"/>
        <v/>
      </c>
      <c r="CD49" s="1457" t="str">
        <f t="shared" si="40"/>
        <v/>
      </c>
      <c r="CE49" s="1457" t="str">
        <f t="shared" si="41"/>
        <v/>
      </c>
      <c r="CF49" s="1457" t="str">
        <f t="shared" si="42"/>
        <v/>
      </c>
      <c r="CG49" s="1457" t="str">
        <f t="shared" si="43"/>
        <v/>
      </c>
      <c r="CH49" s="1457" t="str">
        <f t="shared" si="31"/>
        <v/>
      </c>
      <c r="DA49" s="1458">
        <f t="shared" si="44"/>
        <v>0</v>
      </c>
      <c r="DB49" s="1458">
        <f t="shared" si="45"/>
        <v>0</v>
      </c>
      <c r="DC49" s="1458">
        <f t="shared" si="46"/>
        <v>0</v>
      </c>
      <c r="DD49" s="1458">
        <f t="shared" si="47"/>
        <v>0</v>
      </c>
      <c r="DE49" s="1458">
        <f t="shared" si="48"/>
        <v>0</v>
      </c>
      <c r="DF49" s="1458">
        <f t="shared" si="49"/>
        <v>0</v>
      </c>
      <c r="DG49" s="1458">
        <f t="shared" si="50"/>
        <v>0</v>
      </c>
      <c r="DH49" s="1458">
        <f t="shared" si="33"/>
        <v>0</v>
      </c>
    </row>
    <row r="50" spans="1:112" ht="16.350000000000001" customHeight="1" x14ac:dyDescent="0.2">
      <c r="A50" s="9351"/>
      <c r="B50" s="9352"/>
      <c r="C50" s="5033" t="s">
        <v>719</v>
      </c>
      <c r="D50" s="5003">
        <f t="shared" si="34"/>
        <v>0</v>
      </c>
      <c r="E50" s="3797">
        <f t="shared" si="51"/>
        <v>0</v>
      </c>
      <c r="F50" s="4928">
        <f t="shared" si="51"/>
        <v>0</v>
      </c>
      <c r="G50" s="5006"/>
      <c r="H50" s="5010"/>
      <c r="I50" s="5006"/>
      <c r="J50" s="5034"/>
      <c r="K50" s="5006"/>
      <c r="L50" s="5010"/>
      <c r="M50" s="5006"/>
      <c r="N50" s="5010"/>
      <c r="O50" s="5006"/>
      <c r="P50" s="5010"/>
      <c r="Q50" s="5006"/>
      <c r="R50" s="3792"/>
      <c r="S50" s="5006"/>
      <c r="T50" s="3792"/>
      <c r="U50" s="5006"/>
      <c r="V50" s="3792"/>
      <c r="W50" s="5006"/>
      <c r="X50" s="3792"/>
      <c r="Y50" s="5006"/>
      <c r="Z50" s="3792"/>
      <c r="AA50" s="5006"/>
      <c r="AB50" s="3792"/>
      <c r="AC50" s="5035"/>
      <c r="AD50" s="3792"/>
      <c r="AE50" s="5007"/>
      <c r="AF50" s="3792"/>
      <c r="AG50" s="5006"/>
      <c r="AH50" s="3792"/>
      <c r="AI50" s="5006"/>
      <c r="AJ50" s="3792"/>
      <c r="AK50" s="5006"/>
      <c r="AL50" s="3792"/>
      <c r="AM50" s="5035"/>
      <c r="AN50" s="3792"/>
      <c r="AO50" s="5034"/>
      <c r="AP50" s="5008"/>
      <c r="AQ50" s="5009"/>
      <c r="AR50" s="5010"/>
      <c r="AS50" s="5010"/>
      <c r="AT50" s="5010"/>
      <c r="AU50" s="5010"/>
      <c r="AV50" s="5010"/>
      <c r="AW50" s="5010"/>
      <c r="AX50" s="5010"/>
      <c r="AY50" s="1529" t="str">
        <f t="shared" si="28"/>
        <v/>
      </c>
      <c r="BK50" s="1452"/>
      <c r="BL50" s="1452"/>
      <c r="BM50" s="1452"/>
      <c r="BN50" s="1460"/>
      <c r="BO50" s="1460"/>
      <c r="BP50" s="1460"/>
      <c r="BX50" s="165"/>
      <c r="CA50" s="1457" t="str">
        <f t="shared" si="37"/>
        <v/>
      </c>
      <c r="CB50" s="1457" t="str">
        <f t="shared" si="38"/>
        <v/>
      </c>
      <c r="CC50" s="1457" t="str">
        <f t="shared" si="39"/>
        <v/>
      </c>
      <c r="CD50" s="1457" t="str">
        <f t="shared" si="40"/>
        <v/>
      </c>
      <c r="CE50" s="1457" t="str">
        <f t="shared" si="41"/>
        <v/>
      </c>
      <c r="CF50" s="1457" t="str">
        <f t="shared" si="42"/>
        <v/>
      </c>
      <c r="CG50" s="1457" t="str">
        <f t="shared" si="43"/>
        <v/>
      </c>
      <c r="CH50" s="1457" t="str">
        <f t="shared" si="31"/>
        <v/>
      </c>
      <c r="DA50" s="1458">
        <f t="shared" si="44"/>
        <v>0</v>
      </c>
      <c r="DB50" s="1458">
        <f t="shared" si="45"/>
        <v>0</v>
      </c>
      <c r="DC50" s="1458">
        <f t="shared" si="46"/>
        <v>0</v>
      </c>
      <c r="DD50" s="1458">
        <f t="shared" si="47"/>
        <v>0</v>
      </c>
      <c r="DE50" s="1458">
        <f t="shared" si="48"/>
        <v>0</v>
      </c>
      <c r="DF50" s="1458">
        <f t="shared" si="49"/>
        <v>0</v>
      </c>
      <c r="DG50" s="1458">
        <f t="shared" si="50"/>
        <v>0</v>
      </c>
      <c r="DH50" s="1458">
        <f t="shared" si="33"/>
        <v>0</v>
      </c>
    </row>
    <row r="51" spans="1:112" ht="16.350000000000001" customHeight="1" x14ac:dyDescent="0.2">
      <c r="A51" s="9351"/>
      <c r="B51" s="9352"/>
      <c r="C51" s="5033" t="s">
        <v>1171</v>
      </c>
      <c r="D51" s="5003">
        <f t="shared" si="34"/>
        <v>0</v>
      </c>
      <c r="E51" s="3797">
        <f t="shared" si="51"/>
        <v>0</v>
      </c>
      <c r="F51" s="4928">
        <f t="shared" si="51"/>
        <v>0</v>
      </c>
      <c r="G51" s="5006"/>
      <c r="H51" s="5010"/>
      <c r="I51" s="5006"/>
      <c r="J51" s="5034"/>
      <c r="K51" s="5006"/>
      <c r="L51" s="5010"/>
      <c r="M51" s="5006"/>
      <c r="N51" s="5010"/>
      <c r="O51" s="5006"/>
      <c r="P51" s="5010"/>
      <c r="Q51" s="5006"/>
      <c r="R51" s="3792"/>
      <c r="S51" s="5006"/>
      <c r="T51" s="3792"/>
      <c r="U51" s="5006"/>
      <c r="V51" s="3792"/>
      <c r="W51" s="5006"/>
      <c r="X51" s="3792"/>
      <c r="Y51" s="5006"/>
      <c r="Z51" s="3792"/>
      <c r="AA51" s="5006"/>
      <c r="AB51" s="3792"/>
      <c r="AC51" s="5035"/>
      <c r="AD51" s="3792"/>
      <c r="AE51" s="5007"/>
      <c r="AF51" s="3792"/>
      <c r="AG51" s="5006"/>
      <c r="AH51" s="3792"/>
      <c r="AI51" s="5006"/>
      <c r="AJ51" s="3792"/>
      <c r="AK51" s="5006"/>
      <c r="AL51" s="3792"/>
      <c r="AM51" s="5035"/>
      <c r="AN51" s="3792"/>
      <c r="AO51" s="5034"/>
      <c r="AP51" s="5008"/>
      <c r="AQ51" s="5009"/>
      <c r="AR51" s="5010"/>
      <c r="AS51" s="5010"/>
      <c r="AT51" s="5010"/>
      <c r="AU51" s="5010"/>
      <c r="AV51" s="5010"/>
      <c r="AW51" s="5010"/>
      <c r="AX51" s="5010"/>
      <c r="AY51" s="1529" t="str">
        <f t="shared" si="28"/>
        <v/>
      </c>
      <c r="BK51" s="1452"/>
      <c r="BL51" s="1452"/>
      <c r="BM51" s="1452"/>
      <c r="BN51" s="1460"/>
      <c r="BO51" s="1460"/>
      <c r="BP51" s="1460"/>
      <c r="BX51" s="165"/>
      <c r="CA51" s="1457" t="str">
        <f t="shared" si="37"/>
        <v/>
      </c>
      <c r="CB51" s="1457" t="str">
        <f t="shared" si="38"/>
        <v/>
      </c>
      <c r="CC51" s="1457" t="str">
        <f t="shared" si="39"/>
        <v/>
      </c>
      <c r="CD51" s="1457" t="str">
        <f t="shared" si="40"/>
        <v/>
      </c>
      <c r="CE51" s="1457" t="str">
        <f t="shared" si="41"/>
        <v/>
      </c>
      <c r="CF51" s="1457" t="str">
        <f t="shared" si="42"/>
        <v/>
      </c>
      <c r="CG51" s="1457" t="str">
        <f t="shared" si="43"/>
        <v/>
      </c>
      <c r="CH51" s="1457" t="str">
        <f t="shared" si="31"/>
        <v/>
      </c>
      <c r="DA51" s="1458">
        <f t="shared" si="44"/>
        <v>0</v>
      </c>
      <c r="DB51" s="1458">
        <f t="shared" si="45"/>
        <v>0</v>
      </c>
      <c r="DC51" s="1458">
        <f t="shared" si="46"/>
        <v>0</v>
      </c>
      <c r="DD51" s="1458">
        <f t="shared" si="47"/>
        <v>0</v>
      </c>
      <c r="DE51" s="1458">
        <f t="shared" si="48"/>
        <v>0</v>
      </c>
      <c r="DF51" s="1458">
        <f t="shared" si="49"/>
        <v>0</v>
      </c>
      <c r="DG51" s="1458">
        <f t="shared" si="50"/>
        <v>0</v>
      </c>
      <c r="DH51" s="1458">
        <f t="shared" si="33"/>
        <v>0</v>
      </c>
    </row>
    <row r="52" spans="1:112" ht="16.350000000000001" customHeight="1" x14ac:dyDescent="0.2">
      <c r="A52" s="9351"/>
      <c r="B52" s="9352"/>
      <c r="C52" s="5036" t="s">
        <v>1170</v>
      </c>
      <c r="D52" s="5011">
        <f>SUM(E52+F52)</f>
        <v>0</v>
      </c>
      <c r="E52" s="3797">
        <f t="shared" si="51"/>
        <v>0</v>
      </c>
      <c r="F52" s="4928">
        <f t="shared" si="51"/>
        <v>0</v>
      </c>
      <c r="G52" s="5037"/>
      <c r="H52" s="5038"/>
      <c r="I52" s="5037"/>
      <c r="J52" s="731"/>
      <c r="K52" s="5037"/>
      <c r="L52" s="5038"/>
      <c r="M52" s="5037"/>
      <c r="N52" s="5038"/>
      <c r="O52" s="5037"/>
      <c r="P52" s="5038"/>
      <c r="Q52" s="5037"/>
      <c r="R52" s="3261"/>
      <c r="S52" s="5037"/>
      <c r="T52" s="3261"/>
      <c r="U52" s="5037"/>
      <c r="V52" s="3261"/>
      <c r="W52" s="5037"/>
      <c r="X52" s="3261"/>
      <c r="Y52" s="5037"/>
      <c r="Z52" s="3261"/>
      <c r="AA52" s="5037"/>
      <c r="AB52" s="3261"/>
      <c r="AC52" s="3262"/>
      <c r="AD52" s="3261"/>
      <c r="AE52" s="3257"/>
      <c r="AF52" s="3261"/>
      <c r="AG52" s="5037"/>
      <c r="AH52" s="3261"/>
      <c r="AI52" s="5037"/>
      <c r="AJ52" s="3261"/>
      <c r="AK52" s="5037"/>
      <c r="AL52" s="3261"/>
      <c r="AM52" s="3262"/>
      <c r="AN52" s="3261"/>
      <c r="AO52" s="731"/>
      <c r="AP52" s="3799"/>
      <c r="AQ52" s="3800"/>
      <c r="AR52" s="5038"/>
      <c r="AS52" s="5038"/>
      <c r="AT52" s="5038"/>
      <c r="AU52" s="5038"/>
      <c r="AV52" s="5038"/>
      <c r="AW52" s="5038"/>
      <c r="AX52" s="5038"/>
      <c r="AY52" s="1529" t="str">
        <f t="shared" si="28"/>
        <v/>
      </c>
      <c r="BK52" s="1452"/>
      <c r="BL52" s="1452"/>
      <c r="BM52" s="1452"/>
      <c r="BN52" s="1460"/>
      <c r="BO52" s="1460"/>
      <c r="BP52" s="1460"/>
      <c r="BX52" s="165"/>
      <c r="CA52" s="1457" t="str">
        <f t="shared" si="37"/>
        <v/>
      </c>
      <c r="CB52" s="1457" t="str">
        <f t="shared" si="38"/>
        <v/>
      </c>
      <c r="CC52" s="1457" t="str">
        <f t="shared" si="39"/>
        <v/>
      </c>
      <c r="CD52" s="1457" t="str">
        <f t="shared" si="40"/>
        <v/>
      </c>
      <c r="CE52" s="1457" t="str">
        <f t="shared" si="41"/>
        <v/>
      </c>
      <c r="CF52" s="1457" t="str">
        <f t="shared" si="42"/>
        <v/>
      </c>
      <c r="CG52" s="1457" t="str">
        <f t="shared" si="43"/>
        <v/>
      </c>
      <c r="CH52" s="1457" t="str">
        <f t="shared" si="31"/>
        <v/>
      </c>
      <c r="DA52" s="1458">
        <f t="shared" si="44"/>
        <v>0</v>
      </c>
      <c r="DB52" s="1458">
        <f t="shared" si="45"/>
        <v>0</v>
      </c>
      <c r="DC52" s="1458">
        <f t="shared" si="46"/>
        <v>0</v>
      </c>
      <c r="DD52" s="1458">
        <f t="shared" si="47"/>
        <v>0</v>
      </c>
      <c r="DE52" s="1458">
        <f t="shared" si="48"/>
        <v>0</v>
      </c>
      <c r="DF52" s="1458">
        <f t="shared" si="49"/>
        <v>0</v>
      </c>
      <c r="DG52" s="1458">
        <f t="shared" si="50"/>
        <v>0</v>
      </c>
      <c r="DH52" s="1458">
        <f t="shared" si="33"/>
        <v>0</v>
      </c>
    </row>
    <row r="53" spans="1:112" ht="16.350000000000001" customHeight="1" x14ac:dyDescent="0.2">
      <c r="A53" s="9351"/>
      <c r="B53" s="9352"/>
      <c r="C53" s="5036" t="s">
        <v>1169</v>
      </c>
      <c r="D53" s="5039">
        <f t="shared" si="34"/>
        <v>0</v>
      </c>
      <c r="E53" s="5040">
        <f t="shared" si="51"/>
        <v>0</v>
      </c>
      <c r="F53" s="5041">
        <f t="shared" si="51"/>
        <v>0</v>
      </c>
      <c r="G53" s="5016"/>
      <c r="H53" s="5018"/>
      <c r="I53" s="5016"/>
      <c r="J53" s="5042"/>
      <c r="K53" s="5016"/>
      <c r="L53" s="5018"/>
      <c r="M53" s="5016"/>
      <c r="N53" s="5018"/>
      <c r="O53" s="5016"/>
      <c r="P53" s="5018"/>
      <c r="Q53" s="5016"/>
      <c r="R53" s="3256"/>
      <c r="S53" s="5016"/>
      <c r="T53" s="3256"/>
      <c r="U53" s="5016"/>
      <c r="V53" s="3256"/>
      <c r="W53" s="5016"/>
      <c r="X53" s="3256"/>
      <c r="Y53" s="5016"/>
      <c r="Z53" s="3256"/>
      <c r="AA53" s="5016"/>
      <c r="AB53" s="3256"/>
      <c r="AC53" s="5043"/>
      <c r="AD53" s="3256"/>
      <c r="AE53" s="3258"/>
      <c r="AF53" s="3256"/>
      <c r="AG53" s="5016"/>
      <c r="AH53" s="3256"/>
      <c r="AI53" s="5016"/>
      <c r="AJ53" s="3256"/>
      <c r="AK53" s="5016"/>
      <c r="AL53" s="3256"/>
      <c r="AM53" s="5043"/>
      <c r="AN53" s="3256"/>
      <c r="AO53" s="5042"/>
      <c r="AP53" s="5017"/>
      <c r="AQ53" s="5018"/>
      <c r="AR53" s="5018"/>
      <c r="AS53" s="5018"/>
      <c r="AT53" s="5018"/>
      <c r="AU53" s="5018"/>
      <c r="AV53" s="5018"/>
      <c r="AW53" s="5018"/>
      <c r="AX53" s="5018"/>
      <c r="AY53" s="1529" t="str">
        <f t="shared" si="28"/>
        <v/>
      </c>
      <c r="BK53" s="1452"/>
      <c r="BL53" s="1452"/>
      <c r="BM53" s="1452"/>
      <c r="BN53" s="1460"/>
      <c r="BO53" s="1460"/>
      <c r="BP53" s="1460"/>
      <c r="BX53" s="165"/>
      <c r="CA53" s="1457" t="str">
        <f t="shared" si="37"/>
        <v/>
      </c>
      <c r="CB53" s="1457" t="str">
        <f t="shared" si="38"/>
        <v/>
      </c>
      <c r="CC53" s="1457" t="str">
        <f t="shared" si="39"/>
        <v/>
      </c>
      <c r="CD53" s="1457" t="str">
        <f t="shared" si="40"/>
        <v/>
      </c>
      <c r="CE53" s="1457" t="str">
        <f t="shared" si="41"/>
        <v/>
      </c>
      <c r="CF53" s="1457" t="str">
        <f t="shared" si="42"/>
        <v/>
      </c>
      <c r="CG53" s="1457" t="str">
        <f t="shared" si="43"/>
        <v/>
      </c>
      <c r="CH53" s="1457" t="str">
        <f t="shared" si="31"/>
        <v/>
      </c>
      <c r="DA53" s="1458">
        <f t="shared" si="44"/>
        <v>0</v>
      </c>
      <c r="DB53" s="1458">
        <f t="shared" si="45"/>
        <v>0</v>
      </c>
      <c r="DC53" s="1458">
        <f t="shared" si="46"/>
        <v>0</v>
      </c>
      <c r="DD53" s="1458">
        <f t="shared" si="47"/>
        <v>0</v>
      </c>
      <c r="DE53" s="1458">
        <f t="shared" si="48"/>
        <v>0</v>
      </c>
      <c r="DF53" s="1458">
        <f t="shared" si="49"/>
        <v>0</v>
      </c>
      <c r="DG53" s="1458">
        <f t="shared" si="50"/>
        <v>0</v>
      </c>
      <c r="DH53" s="1458">
        <f t="shared" si="33"/>
        <v>0</v>
      </c>
    </row>
    <row r="54" spans="1:112" ht="16.350000000000001" customHeight="1" x14ac:dyDescent="0.2">
      <c r="A54" s="9311" t="s">
        <v>24</v>
      </c>
      <c r="B54" s="9311"/>
      <c r="C54" s="9311"/>
      <c r="D54" s="3921">
        <f>SUM(D48:D53)</f>
        <v>0</v>
      </c>
      <c r="E54" s="4972">
        <f>SUM(E48:E53)</f>
        <v>0</v>
      </c>
      <c r="F54" s="4960">
        <f>SUM(F48:F53)</f>
        <v>0</v>
      </c>
      <c r="G54" s="3921">
        <f>SUM(G48:G53)</f>
        <v>0</v>
      </c>
      <c r="H54" s="3921">
        <f t="shared" ref="H54:AW54" si="52">SUM(H48:H53)</f>
        <v>0</v>
      </c>
      <c r="I54" s="3921">
        <f t="shared" si="52"/>
        <v>0</v>
      </c>
      <c r="J54" s="3921">
        <f t="shared" si="52"/>
        <v>0</v>
      </c>
      <c r="K54" s="3921">
        <f t="shared" si="52"/>
        <v>0</v>
      </c>
      <c r="L54" s="3921">
        <f t="shared" si="52"/>
        <v>0</v>
      </c>
      <c r="M54" s="3921">
        <f t="shared" si="52"/>
        <v>0</v>
      </c>
      <c r="N54" s="3921">
        <f t="shared" si="52"/>
        <v>0</v>
      </c>
      <c r="O54" s="3921">
        <f t="shared" si="52"/>
        <v>0</v>
      </c>
      <c r="P54" s="3921">
        <f t="shared" si="52"/>
        <v>0</v>
      </c>
      <c r="Q54" s="3921">
        <f t="shared" si="52"/>
        <v>0</v>
      </c>
      <c r="R54" s="3921">
        <f t="shared" si="52"/>
        <v>0</v>
      </c>
      <c r="S54" s="3921">
        <f t="shared" si="52"/>
        <v>0</v>
      </c>
      <c r="T54" s="3921">
        <f t="shared" si="52"/>
        <v>0</v>
      </c>
      <c r="U54" s="3921">
        <f t="shared" si="52"/>
        <v>0</v>
      </c>
      <c r="V54" s="3921">
        <f t="shared" si="52"/>
        <v>0</v>
      </c>
      <c r="W54" s="3921">
        <f t="shared" si="52"/>
        <v>0</v>
      </c>
      <c r="X54" s="3921">
        <f t="shared" si="52"/>
        <v>0</v>
      </c>
      <c r="Y54" s="3921">
        <f>SUM(Y48:Y53)</f>
        <v>0</v>
      </c>
      <c r="Z54" s="3921">
        <f>SUM(Z48:Z53)</f>
        <v>0</v>
      </c>
      <c r="AA54" s="3921">
        <f t="shared" si="52"/>
        <v>0</v>
      </c>
      <c r="AB54" s="3921">
        <f t="shared" si="52"/>
        <v>0</v>
      </c>
      <c r="AC54" s="3921">
        <f t="shared" si="52"/>
        <v>0</v>
      </c>
      <c r="AD54" s="3921">
        <f t="shared" si="52"/>
        <v>0</v>
      </c>
      <c r="AE54" s="3921">
        <f t="shared" si="52"/>
        <v>0</v>
      </c>
      <c r="AF54" s="3921">
        <f t="shared" si="52"/>
        <v>0</v>
      </c>
      <c r="AG54" s="3921">
        <f t="shared" si="52"/>
        <v>0</v>
      </c>
      <c r="AH54" s="3921">
        <f t="shared" si="52"/>
        <v>0</v>
      </c>
      <c r="AI54" s="3921">
        <f t="shared" si="52"/>
        <v>0</v>
      </c>
      <c r="AJ54" s="3921">
        <f t="shared" si="52"/>
        <v>0</v>
      </c>
      <c r="AK54" s="3921">
        <f t="shared" si="52"/>
        <v>0</v>
      </c>
      <c r="AL54" s="3921">
        <f t="shared" si="52"/>
        <v>0</v>
      </c>
      <c r="AM54" s="3921">
        <f t="shared" si="52"/>
        <v>0</v>
      </c>
      <c r="AN54" s="3921">
        <f t="shared" si="52"/>
        <v>0</v>
      </c>
      <c r="AO54" s="3921">
        <f t="shared" si="52"/>
        <v>0</v>
      </c>
      <c r="AP54" s="3921">
        <f t="shared" si="52"/>
        <v>0</v>
      </c>
      <c r="AQ54" s="3921">
        <f t="shared" si="52"/>
        <v>0</v>
      </c>
      <c r="AR54" s="3921">
        <f t="shared" si="52"/>
        <v>0</v>
      </c>
      <c r="AS54" s="3921">
        <f t="shared" si="52"/>
        <v>0</v>
      </c>
      <c r="AT54" s="3921">
        <f t="shared" si="52"/>
        <v>0</v>
      </c>
      <c r="AU54" s="3921">
        <f t="shared" si="52"/>
        <v>0</v>
      </c>
      <c r="AV54" s="4960">
        <f>SUM(AV48:AV53)</f>
        <v>0</v>
      </c>
      <c r="AW54" s="3921">
        <f t="shared" si="52"/>
        <v>0</v>
      </c>
      <c r="AX54" s="3921">
        <f>SUM(AX48:AX53)</f>
        <v>0</v>
      </c>
      <c r="AY54" s="1529"/>
      <c r="BK54" s="1452"/>
      <c r="BL54" s="1452"/>
      <c r="BM54" s="1452"/>
      <c r="BN54" s="1460"/>
      <c r="BO54" s="1460"/>
      <c r="BP54" s="1460"/>
      <c r="BX54" s="165"/>
      <c r="CA54" s="1457"/>
      <c r="CB54" s="1457"/>
      <c r="CC54" s="1457"/>
      <c r="CD54" s="1457"/>
      <c r="CE54" s="1457"/>
      <c r="CF54" s="1457"/>
      <c r="CG54" s="1457"/>
      <c r="DA54" s="1458"/>
      <c r="DB54" s="1458"/>
      <c r="DC54" s="1458"/>
      <c r="DD54" s="1458"/>
      <c r="DE54" s="1458"/>
      <c r="DF54" s="1458"/>
      <c r="DG54" s="1458"/>
      <c r="DH54" s="1458"/>
    </row>
    <row r="55" spans="1:112" ht="16.350000000000001" customHeight="1" x14ac:dyDescent="0.2">
      <c r="A55" s="9351" t="s">
        <v>2119</v>
      </c>
      <c r="B55" s="9352"/>
      <c r="C55" s="5044">
        <v>0</v>
      </c>
      <c r="D55" s="4991">
        <f t="shared" si="34"/>
        <v>0</v>
      </c>
      <c r="E55" s="5045">
        <f t="shared" si="51"/>
        <v>0</v>
      </c>
      <c r="F55" s="5046">
        <f t="shared" si="51"/>
        <v>0</v>
      </c>
      <c r="G55" s="4994"/>
      <c r="H55" s="4995"/>
      <c r="I55" s="4994"/>
      <c r="J55" s="4995"/>
      <c r="K55" s="4994"/>
      <c r="L55" s="4995"/>
      <c r="M55" s="4994"/>
      <c r="N55" s="4995"/>
      <c r="O55" s="4994"/>
      <c r="P55" s="4995"/>
      <c r="Q55" s="4994"/>
      <c r="R55" s="4995"/>
      <c r="S55" s="4994"/>
      <c r="T55" s="4995"/>
      <c r="U55" s="4994"/>
      <c r="V55" s="4995"/>
      <c r="W55" s="4994"/>
      <c r="X55" s="4995"/>
      <c r="Y55" s="4994"/>
      <c r="Z55" s="4995"/>
      <c r="AA55" s="4994"/>
      <c r="AB55" s="4995"/>
      <c r="AC55" s="4994"/>
      <c r="AD55" s="4995"/>
      <c r="AE55" s="4994"/>
      <c r="AF55" s="4995"/>
      <c r="AG55" s="4994"/>
      <c r="AH55" s="4995"/>
      <c r="AI55" s="4994"/>
      <c r="AJ55" s="4995"/>
      <c r="AK55" s="4994"/>
      <c r="AL55" s="4995"/>
      <c r="AM55" s="4994"/>
      <c r="AN55" s="4995"/>
      <c r="AO55" s="4994"/>
      <c r="AP55" s="4999"/>
      <c r="AQ55" s="5000"/>
      <c r="AR55" s="5000"/>
      <c r="AS55" s="5047"/>
      <c r="AT55" s="5047"/>
      <c r="AU55" s="5047"/>
      <c r="AV55" s="5047"/>
      <c r="AW55" s="5047"/>
      <c r="AX55" s="5047"/>
      <c r="AY55" s="1529" t="str">
        <f t="shared" si="28"/>
        <v/>
      </c>
      <c r="BK55" s="1452"/>
      <c r="BL55" s="1452"/>
      <c r="BM55" s="1452"/>
      <c r="BN55" s="1460"/>
      <c r="BO55" s="1460"/>
      <c r="BP55" s="1460"/>
      <c r="BX55" s="165"/>
      <c r="CA55" s="1457" t="str">
        <f>IF(DA55=1,"* Las consultas de 60 años NO DEBEN ser mayor que el total de Consultas entre 60-64 Años. ","")</f>
        <v/>
      </c>
      <c r="CB55" s="1457" t="str">
        <f>IF(DB55=1,"* Las actividades de usuarios en situación de discapacidad NO DEBEN superar el total. ","")</f>
        <v/>
      </c>
      <c r="CC55" s="1457" t="str">
        <f>IF(DC55=1,"* Las consultas de 12 años NO DEBEN ser mayor que el total de Consultas entre 10-14 Años. ","")</f>
        <v/>
      </c>
      <c r="CD55" s="1457" t="str">
        <f>IF(DD55=1,"* Las consultas de Pacientes en control PSCV NO DEBEN ser mayor que el total de Consultas. ","")</f>
        <v/>
      </c>
      <c r="CE55" s="1457" t="str">
        <f>IF(AND(AR55="",D55&lt;&gt;0),"* Recuerde que las Embarazadas deben ser incluídas en el ingreso por rango Etario (Digite CEROS si no tiene). ",IF(F55&lt;AR55,"* Las Embarazadas NO DEBEN ser mayor al total de mujeres. ",""))</f>
        <v/>
      </c>
      <c r="CF55" s="1457" t="str">
        <f>IF(AND(AU55="",D55&lt;&gt;0),"* No olvide digitar la población SENAME (Digite CEROS si no tiene). ",IF(D55&lt;AU55,"* La Población SENAME NO DEBE ser mayor al Total. ",""))</f>
        <v/>
      </c>
      <c r="CG55" s="1457" t="str">
        <f t="shared" si="43"/>
        <v/>
      </c>
      <c r="CH55" s="1457" t="str">
        <f t="shared" si="31"/>
        <v/>
      </c>
      <c r="DA55" s="1458">
        <f>IF(AS55&gt;(AK55+AL55),1,0)</f>
        <v>0</v>
      </c>
      <c r="DB55" s="1458">
        <f>IF(D55&lt;AT55,1,0)</f>
        <v>0</v>
      </c>
      <c r="DC55" s="1458">
        <f>IF((Y55+Z55)&lt;AQ55,1,0)</f>
        <v>0</v>
      </c>
      <c r="DD55" s="1458">
        <f>IF(D55&lt;AX55,1,0)</f>
        <v>0</v>
      </c>
      <c r="DE55" s="1458">
        <f>IF(AND(AR55="",D55&lt;&gt;0),1,IF(F55&lt;AR55,1,0))</f>
        <v>0</v>
      </c>
      <c r="DF55" s="1458">
        <f>IF(AND(AU55="",D55&lt;&gt;0),1,IF(D55&lt;AU55,1,0))</f>
        <v>0</v>
      </c>
      <c r="DG55" s="1458">
        <f>IF(AND(AW55="",D55&lt;&gt;0),1,IF(D55&lt;AW55,1,0))</f>
        <v>0</v>
      </c>
      <c r="DH55" s="1458">
        <f t="shared" si="33"/>
        <v>0</v>
      </c>
    </row>
    <row r="56" spans="1:112" ht="16.350000000000001" customHeight="1" x14ac:dyDescent="0.2">
      <c r="A56" s="9351"/>
      <c r="B56" s="9352"/>
      <c r="C56" s="5033" t="s">
        <v>2120</v>
      </c>
      <c r="D56" s="5003">
        <f t="shared" si="34"/>
        <v>0</v>
      </c>
      <c r="E56" s="5048">
        <f t="shared" si="51"/>
        <v>0</v>
      </c>
      <c r="F56" s="1890">
        <f t="shared" si="51"/>
        <v>0</v>
      </c>
      <c r="G56" s="5006"/>
      <c r="H56" s="3792"/>
      <c r="I56" s="5006"/>
      <c r="J56" s="3792"/>
      <c r="K56" s="5006"/>
      <c r="L56" s="3792"/>
      <c r="M56" s="5006"/>
      <c r="N56" s="3792"/>
      <c r="O56" s="5006"/>
      <c r="P56" s="3792"/>
      <c r="Q56" s="5006"/>
      <c r="R56" s="3792"/>
      <c r="S56" s="5006"/>
      <c r="T56" s="3792"/>
      <c r="U56" s="5006"/>
      <c r="V56" s="3792"/>
      <c r="W56" s="5006"/>
      <c r="X56" s="3792"/>
      <c r="Y56" s="5006"/>
      <c r="Z56" s="3792"/>
      <c r="AA56" s="5006"/>
      <c r="AB56" s="3792"/>
      <c r="AC56" s="5006"/>
      <c r="AD56" s="3792"/>
      <c r="AE56" s="5006"/>
      <c r="AF56" s="3792"/>
      <c r="AG56" s="5006"/>
      <c r="AH56" s="3792"/>
      <c r="AI56" s="5006"/>
      <c r="AJ56" s="3792"/>
      <c r="AK56" s="5006"/>
      <c r="AL56" s="3792"/>
      <c r="AM56" s="5006"/>
      <c r="AN56" s="3792"/>
      <c r="AO56" s="5006"/>
      <c r="AP56" s="5008"/>
      <c r="AQ56" s="5010"/>
      <c r="AR56" s="5010"/>
      <c r="AS56" s="5049"/>
      <c r="AT56" s="5049"/>
      <c r="AU56" s="5049"/>
      <c r="AV56" s="5049"/>
      <c r="AW56" s="5049"/>
      <c r="AX56" s="5049"/>
      <c r="AY56" s="1529" t="str">
        <f t="shared" si="28"/>
        <v/>
      </c>
      <c r="BK56" s="1452"/>
      <c r="BL56" s="1452"/>
      <c r="BM56" s="1452"/>
      <c r="BN56" s="1460"/>
      <c r="BO56" s="1460"/>
      <c r="BP56" s="1460"/>
      <c r="BX56" s="165"/>
      <c r="CA56" s="1457" t="str">
        <f>IF(DA56=1,"* Las consultas de 60 años NO DEBEN ser mayor que el total de Consultas entre 60-64 Años. ","")</f>
        <v/>
      </c>
      <c r="CB56" s="1457" t="str">
        <f>IF(DB56=1,"* Las actividades de usuarios en situación de discapacidad NO DEBEN superar el total. ","")</f>
        <v/>
      </c>
      <c r="CC56" s="1457" t="str">
        <f>IF(DC56=1,"* Las consultas de 12 años NO DEBEN ser mayor que el total de Consultas entre 10-14 Años. ","")</f>
        <v/>
      </c>
      <c r="CD56" s="1457" t="str">
        <f>IF(DD56=1,"* Las consultas de Pacientes en control PSCV NO DEBEN ser mayor que el total de Consultas. ","")</f>
        <v/>
      </c>
      <c r="CE56" s="1457" t="str">
        <f>IF(AND(AR56="",D56&lt;&gt;0),"* Recuerde que las Embarazadas deben ser incluídas en el ingreso por rango Etario (Digite CEROS si no tiene). ",IF(F56&lt;AR56,"* Las Embarazadas NO DEBEN ser mayor al total de mujeres. ",""))</f>
        <v/>
      </c>
      <c r="CF56" s="1457" t="str">
        <f>IF(AND(AU56="",D56&lt;&gt;0),"* No olvide digitar la población SENAME (Digite CEROS si no tiene). ",IF(D56&lt;AU56,"* La Población SENAME NO DEBE ser mayor al Total. ",""))</f>
        <v/>
      </c>
      <c r="CG56" s="1457" t="str">
        <f t="shared" si="43"/>
        <v/>
      </c>
      <c r="CH56" s="1457" t="str">
        <f t="shared" si="31"/>
        <v/>
      </c>
      <c r="DA56" s="1458">
        <f>IF(AS56&gt;(AK56+AL56),1,0)</f>
        <v>0</v>
      </c>
      <c r="DB56" s="1458">
        <f>IF(D56&lt;AT56,1,0)</f>
        <v>0</v>
      </c>
      <c r="DC56" s="1458">
        <f>IF((Y56+Z56)&lt;AQ56,1,0)</f>
        <v>0</v>
      </c>
      <c r="DD56" s="1458">
        <f>IF(D56&lt;AX56,1,0)</f>
        <v>0</v>
      </c>
      <c r="DE56" s="1458">
        <f>IF(AND(AR56="",D56&lt;&gt;0),1,IF(F56&lt;AR56,1,0))</f>
        <v>0</v>
      </c>
      <c r="DF56" s="1458">
        <f>IF(AND(AU56="",D56&lt;&gt;0),1,IF(D56&lt;AU56,1,0))</f>
        <v>0</v>
      </c>
      <c r="DG56" s="1458">
        <f>IF(AND(AW56="",D56&lt;&gt;0),1,IF(D56&lt;AW56,1,0))</f>
        <v>0</v>
      </c>
      <c r="DH56" s="1458">
        <f t="shared" si="33"/>
        <v>0</v>
      </c>
    </row>
    <row r="57" spans="1:112" ht="16.350000000000001" customHeight="1" x14ac:dyDescent="0.2">
      <c r="A57" s="9351"/>
      <c r="B57" s="9352"/>
      <c r="C57" s="5033" t="s">
        <v>2121</v>
      </c>
      <c r="D57" s="5003">
        <f t="shared" si="34"/>
        <v>0</v>
      </c>
      <c r="E57" s="5048">
        <f t="shared" si="51"/>
        <v>0</v>
      </c>
      <c r="F57" s="1890">
        <f t="shared" si="51"/>
        <v>0</v>
      </c>
      <c r="G57" s="5006"/>
      <c r="H57" s="3792"/>
      <c r="I57" s="5006"/>
      <c r="J57" s="3792"/>
      <c r="K57" s="5006"/>
      <c r="L57" s="3792"/>
      <c r="M57" s="5006"/>
      <c r="N57" s="3792"/>
      <c r="O57" s="5006"/>
      <c r="P57" s="3792"/>
      <c r="Q57" s="5006"/>
      <c r="R57" s="3792"/>
      <c r="S57" s="5006"/>
      <c r="T57" s="3792"/>
      <c r="U57" s="5006"/>
      <c r="V57" s="3792"/>
      <c r="W57" s="5006"/>
      <c r="X57" s="3792"/>
      <c r="Y57" s="5006"/>
      <c r="Z57" s="3792"/>
      <c r="AA57" s="5006"/>
      <c r="AB57" s="3792"/>
      <c r="AC57" s="5006"/>
      <c r="AD57" s="3792"/>
      <c r="AE57" s="5006"/>
      <c r="AF57" s="3792"/>
      <c r="AG57" s="5006"/>
      <c r="AH57" s="3792"/>
      <c r="AI57" s="5006"/>
      <c r="AJ57" s="3792"/>
      <c r="AK57" s="5006"/>
      <c r="AL57" s="3792"/>
      <c r="AM57" s="5006"/>
      <c r="AN57" s="3792"/>
      <c r="AO57" s="5006"/>
      <c r="AP57" s="5008"/>
      <c r="AQ57" s="5010"/>
      <c r="AR57" s="5010"/>
      <c r="AS57" s="5049"/>
      <c r="AT57" s="5049"/>
      <c r="AU57" s="5049"/>
      <c r="AV57" s="5049"/>
      <c r="AW57" s="5049"/>
      <c r="AX57" s="5049"/>
      <c r="AY57" s="1529" t="str">
        <f t="shared" si="28"/>
        <v/>
      </c>
      <c r="BK57" s="1452"/>
      <c r="BL57" s="1452"/>
      <c r="BM57" s="1452"/>
      <c r="BN57" s="1460"/>
      <c r="BO57" s="1460"/>
      <c r="BP57" s="1460"/>
      <c r="BX57" s="165"/>
      <c r="CA57" s="1457" t="str">
        <f>IF(DA57=1,"* Las consultas de 60 años NO DEBEN ser mayor que el total de Consultas entre 60-64 Años. ","")</f>
        <v/>
      </c>
      <c r="CB57" s="1457" t="str">
        <f>IF(DB57=1,"* Las actividades de usuarios en situación de discapacidad NO DEBEN superar el total. ","")</f>
        <v/>
      </c>
      <c r="CC57" s="1457" t="str">
        <f>IF(DC57=1,"* Las consultas de 12 años NO DEBEN ser mayor que el total de Consultas entre 10-14 Años. ","")</f>
        <v/>
      </c>
      <c r="CD57" s="1457" t="str">
        <f>IF(DD57=1,"* Las consultas de Pacientes en control PSCV NO DEBEN ser mayor que el total de Consultas. ","")</f>
        <v/>
      </c>
      <c r="CE57" s="1457" t="str">
        <f>IF(AND(AR57="",D57&lt;&gt;0),"* Recuerde que las Embarazadas deben ser incluídas en el ingreso por rango Etario (Digite CEROS si no tiene). ",IF(F57&lt;AR57,"* Las Embarazadas NO DEBEN ser mayor al total de mujeres. ",""))</f>
        <v/>
      </c>
      <c r="CF57" s="1457" t="str">
        <f>IF(AND(AU57="",D57&lt;&gt;0),"* No olvide digitar la población SENAME (Digite CEROS si no tiene). ",IF(D57&lt;AU57,"* La Población SENAME NO DEBE ser mayor al Total. ",""))</f>
        <v/>
      </c>
      <c r="CG57" s="1457" t="str">
        <f t="shared" si="43"/>
        <v/>
      </c>
      <c r="CH57" s="1457" t="str">
        <f t="shared" si="31"/>
        <v/>
      </c>
      <c r="DA57" s="1458">
        <f>IF(AS57&gt;(AK57+AL57),1,0)</f>
        <v>0</v>
      </c>
      <c r="DB57" s="1458">
        <f>IF(D57&lt;AT57,1,0)</f>
        <v>0</v>
      </c>
      <c r="DC57" s="1458">
        <f>IF((Y57+Z57)&lt;AQ57,1,0)</f>
        <v>0</v>
      </c>
      <c r="DD57" s="1458">
        <f>IF(D57&lt;AX57,1,0)</f>
        <v>0</v>
      </c>
      <c r="DE57" s="1458">
        <f>IF(AND(AR57="",D57&lt;&gt;0),1,IF(F57&lt;AR57,1,0))</f>
        <v>0</v>
      </c>
      <c r="DF57" s="1458">
        <f>IF(AND(AU57="",D57&lt;&gt;0),1,IF(D57&lt;AU57,1,0))</f>
        <v>0</v>
      </c>
      <c r="DG57" s="1458">
        <f>IF(AND(AW57="",D57&lt;&gt;0),1,IF(D57&lt;AW57,1,0))</f>
        <v>0</v>
      </c>
      <c r="DH57" s="1458">
        <f t="shared" si="33"/>
        <v>0</v>
      </c>
    </row>
    <row r="58" spans="1:112" ht="16.350000000000001" customHeight="1" x14ac:dyDescent="0.2">
      <c r="A58" s="9351"/>
      <c r="B58" s="9352"/>
      <c r="C58" s="5033" t="s">
        <v>2122</v>
      </c>
      <c r="D58" s="5003">
        <f t="shared" si="34"/>
        <v>0</v>
      </c>
      <c r="E58" s="5048">
        <f t="shared" si="51"/>
        <v>0</v>
      </c>
      <c r="F58" s="1890">
        <f t="shared" si="51"/>
        <v>0</v>
      </c>
      <c r="G58" s="5006"/>
      <c r="H58" s="3792"/>
      <c r="I58" s="5006"/>
      <c r="J58" s="3792"/>
      <c r="K58" s="5006"/>
      <c r="L58" s="3792"/>
      <c r="M58" s="5006"/>
      <c r="N58" s="3792"/>
      <c r="O58" s="5006"/>
      <c r="P58" s="3792"/>
      <c r="Q58" s="5006"/>
      <c r="R58" s="3792"/>
      <c r="S58" s="5006"/>
      <c r="T58" s="3792"/>
      <c r="U58" s="5006"/>
      <c r="V58" s="3792"/>
      <c r="W58" s="5006"/>
      <c r="X58" s="3792"/>
      <c r="Y58" s="5006"/>
      <c r="Z58" s="3792"/>
      <c r="AA58" s="5006"/>
      <c r="AB58" s="3792"/>
      <c r="AC58" s="5006"/>
      <c r="AD58" s="3792"/>
      <c r="AE58" s="5006"/>
      <c r="AF58" s="3792"/>
      <c r="AG58" s="5006"/>
      <c r="AH58" s="3792"/>
      <c r="AI58" s="5006"/>
      <c r="AJ58" s="3792"/>
      <c r="AK58" s="5006"/>
      <c r="AL58" s="3792"/>
      <c r="AM58" s="5006"/>
      <c r="AN58" s="3792"/>
      <c r="AO58" s="5006"/>
      <c r="AP58" s="5008"/>
      <c r="AQ58" s="5010"/>
      <c r="AR58" s="5010"/>
      <c r="AS58" s="5049"/>
      <c r="AT58" s="5049"/>
      <c r="AU58" s="5049"/>
      <c r="AV58" s="5049"/>
      <c r="AW58" s="5049"/>
      <c r="AX58" s="5049"/>
      <c r="AY58" s="1529" t="str">
        <f t="shared" si="28"/>
        <v/>
      </c>
      <c r="BK58" s="1452"/>
      <c r="BL58" s="1452"/>
      <c r="BM58" s="1452"/>
      <c r="BN58" s="1460"/>
      <c r="BO58" s="1460"/>
      <c r="BP58" s="1460"/>
      <c r="BX58" s="165"/>
      <c r="CA58" s="1457" t="str">
        <f>IF(DA58=1,"* Las consultas de 60 años NO DEBEN ser mayor que el total de Consultas entre 60-64 Años. ","")</f>
        <v/>
      </c>
      <c r="CB58" s="1457" t="str">
        <f>IF(DB58=1,"* Las actividades de usuarios en situación de discapacidad NO DEBEN superar el total. ","")</f>
        <v/>
      </c>
      <c r="CC58" s="1457" t="str">
        <f>IF(DC58=1,"* Las consultas de 12 años NO DEBEN ser mayor que el total de Consultas entre 10-14 Años. ","")</f>
        <v/>
      </c>
      <c r="CD58" s="1457" t="str">
        <f>IF(DD58=1,"* Las consultas de Pacientes en control PSCV NO DEBEN ser mayor que el total de Consultas. ","")</f>
        <v/>
      </c>
      <c r="CE58" s="1457" t="str">
        <f>IF(AND(AR58="",D58&lt;&gt;0),"* Recuerde que las Embarazadas deben ser incluídas en el ingreso por rango Etario (Digite CEROS si no tiene). ",IF(F58&lt;AR58,"* Las Embarazadas NO DEBEN ser mayor al total de mujeres. ",""))</f>
        <v/>
      </c>
      <c r="CF58" s="1457" t="str">
        <f>IF(AND(AU58="",D58&lt;&gt;0),"* No olvide digitar la población SENAME (Digite CEROS si no tiene). ",IF(D58&lt;AU58,"* La Población SENAME NO DEBE ser mayor al Total. ",""))</f>
        <v/>
      </c>
      <c r="CG58" s="1457" t="str">
        <f t="shared" si="43"/>
        <v/>
      </c>
      <c r="CH58" s="1457" t="str">
        <f t="shared" si="31"/>
        <v/>
      </c>
      <c r="DA58" s="1458">
        <f>IF(AS58&gt;(AK58+AL58),1,0)</f>
        <v>0</v>
      </c>
      <c r="DB58" s="1458">
        <f>IF(D58&lt;AT58,1,0)</f>
        <v>0</v>
      </c>
      <c r="DC58" s="1458">
        <f>IF((Y58+Z58)&lt;AQ58,1,0)</f>
        <v>0</v>
      </c>
      <c r="DD58" s="1458">
        <f>IF(D58&lt;AX58,1,0)</f>
        <v>0</v>
      </c>
      <c r="DE58" s="1458">
        <f>IF(AND(AR58="",D58&lt;&gt;0),1,IF(F58&lt;AR58,1,0))</f>
        <v>0</v>
      </c>
      <c r="DF58" s="1458">
        <f>IF(AND(AU58="",D58&lt;&gt;0),1,IF(D58&lt;AU58,1,0))</f>
        <v>0</v>
      </c>
      <c r="DG58" s="1458">
        <f>IF(AND(AW58="",D58&lt;&gt;0),1,IF(D58&lt;AW58,1,0))</f>
        <v>0</v>
      </c>
      <c r="DH58" s="1458">
        <f t="shared" si="33"/>
        <v>0</v>
      </c>
    </row>
    <row r="59" spans="1:112" ht="16.350000000000001" customHeight="1" x14ac:dyDescent="0.2">
      <c r="A59" s="9353"/>
      <c r="B59" s="9354"/>
      <c r="C59" s="4930" t="s">
        <v>2123</v>
      </c>
      <c r="D59" s="5039">
        <f t="shared" si="34"/>
        <v>0</v>
      </c>
      <c r="E59" s="5040">
        <f>SUM(G59+I59+K59+M59+O59+Q59+S59+U59+W59+Y59+AA59+AC59+AE59+AG59+AI59+AK59+AM59+AO59)</f>
        <v>0</v>
      </c>
      <c r="F59" s="3801">
        <f>SUM(H59+J59+L59+N59+P59+R59+T59+V59+X59+Z59+AB59+AD59+AF59+AH59+AJ59+AL59+AN59+AP59)</f>
        <v>0</v>
      </c>
      <c r="G59" s="5016"/>
      <c r="H59" s="3256"/>
      <c r="I59" s="5016"/>
      <c r="J59" s="3256"/>
      <c r="K59" s="5016"/>
      <c r="L59" s="3256"/>
      <c r="M59" s="5016"/>
      <c r="N59" s="3256"/>
      <c r="O59" s="5016"/>
      <c r="P59" s="3256"/>
      <c r="Q59" s="5016"/>
      <c r="R59" s="3256"/>
      <c r="S59" s="5016"/>
      <c r="T59" s="3256"/>
      <c r="U59" s="5016"/>
      <c r="V59" s="3256"/>
      <c r="W59" s="5016"/>
      <c r="X59" s="3256"/>
      <c r="Y59" s="5016"/>
      <c r="Z59" s="3256"/>
      <c r="AA59" s="5016"/>
      <c r="AB59" s="3256"/>
      <c r="AC59" s="5016"/>
      <c r="AD59" s="3256"/>
      <c r="AE59" s="5016"/>
      <c r="AF59" s="3256"/>
      <c r="AG59" s="5016"/>
      <c r="AH59" s="3256"/>
      <c r="AI59" s="5016"/>
      <c r="AJ59" s="3256"/>
      <c r="AK59" s="5016"/>
      <c r="AL59" s="3256"/>
      <c r="AM59" s="5016"/>
      <c r="AN59" s="3256"/>
      <c r="AO59" s="5016"/>
      <c r="AP59" s="5017"/>
      <c r="AQ59" s="5018"/>
      <c r="AR59" s="5018"/>
      <c r="AS59" s="5050"/>
      <c r="AT59" s="5050"/>
      <c r="AU59" s="5050"/>
      <c r="AV59" s="5050"/>
      <c r="AW59" s="5050"/>
      <c r="AX59" s="5050"/>
      <c r="AY59" s="1529" t="str">
        <f t="shared" si="28"/>
        <v/>
      </c>
      <c r="BK59" s="1452"/>
      <c r="BL59" s="1452"/>
      <c r="BM59" s="1452"/>
      <c r="BN59" s="1460"/>
      <c r="BO59" s="1460"/>
      <c r="BP59" s="1460"/>
      <c r="BX59" s="165"/>
      <c r="CA59" s="1457" t="str">
        <f>IF(DA59=1,"* Las consultas de 60 años NO DEBEN ser mayor que el total de Consultas entre 60-64 Años. ","")</f>
        <v/>
      </c>
      <c r="CB59" s="1457" t="str">
        <f>IF(DB59=1,"* Las actividades de usuarios en situación de discapacidad NO DEBEN superar el total. ","")</f>
        <v/>
      </c>
      <c r="CC59" s="1457" t="str">
        <f>IF(DC59=1,"* Las consultas de 12 años NO DEBEN ser mayor que el total de Consultas entre 10-14 Años. ","")</f>
        <v/>
      </c>
      <c r="CD59" s="1457" t="str">
        <f>IF(DD59=1,"* Las consultas de Pacientes en control PSCV NO DEBEN ser mayor que el total de Consultas. ","")</f>
        <v/>
      </c>
      <c r="CE59" s="1457" t="str">
        <f>IF(AND(AR59="",D59&lt;&gt;0),"* Recuerde que las Embarazadas deben ser incluídas en el ingreso por rango Etario (Digite CEROS si no tiene). ",IF(F59&lt;AR59,"* Las Embarazadas NO DEBEN ser mayor al total de mujeres. ",""))</f>
        <v/>
      </c>
      <c r="CF59" s="1457" t="str">
        <f>IF(AND(AU59="",D59&lt;&gt;0),"* No olvide digitar la población SENAME (Digite CEROS si no tiene). ",IF(D59&lt;AU59,"* La Población SENAME NO DEBE ser mayor al Total. ",""))</f>
        <v/>
      </c>
      <c r="CG59" s="1457" t="str">
        <f t="shared" si="43"/>
        <v/>
      </c>
      <c r="CH59" s="1457" t="str">
        <f t="shared" si="31"/>
        <v/>
      </c>
      <c r="DA59" s="1458">
        <f>IF(AS59&gt;(AK59+AL59),1,0)</f>
        <v>0</v>
      </c>
      <c r="DB59" s="1458">
        <f>IF(D59&lt;AT59,1,0)</f>
        <v>0</v>
      </c>
      <c r="DC59" s="1458">
        <f>IF((Y59+Z59)&lt;AQ59,1,0)</f>
        <v>0</v>
      </c>
      <c r="DD59" s="1458">
        <f>IF(D59&lt;AX59,1,0)</f>
        <v>0</v>
      </c>
      <c r="DE59" s="1458">
        <f>IF(AND(AR59="",D59&lt;&gt;0),1,IF(F59&lt;AR59,1,0))</f>
        <v>0</v>
      </c>
      <c r="DF59" s="1458">
        <f>IF(AND(AU59="",D59&lt;&gt;0),1,IF(D59&lt;AU59,1,0))</f>
        <v>0</v>
      </c>
      <c r="DG59" s="1458">
        <f>IF(AND(AW59="",D59&lt;&gt;0),1,IF(D59&lt;AW59,1,0))</f>
        <v>0</v>
      </c>
      <c r="DH59" s="1458">
        <f t="shared" si="33"/>
        <v>0</v>
      </c>
    </row>
    <row r="60" spans="1:112" ht="16.350000000000001" customHeight="1" x14ac:dyDescent="0.2">
      <c r="A60" s="9366" t="s">
        <v>24</v>
      </c>
      <c r="B60" s="9367"/>
      <c r="C60" s="9354"/>
      <c r="D60" s="5051">
        <f t="shared" ref="D60:AX60" si="53">SUM(D55:D59)</f>
        <v>0</v>
      </c>
      <c r="E60" s="5052">
        <f>SUM(E55:E59)</f>
        <v>0</v>
      </c>
      <c r="F60" s="5053">
        <f>SUM(F55:F59)</f>
        <v>0</v>
      </c>
      <c r="G60" s="5051">
        <f t="shared" si="53"/>
        <v>0</v>
      </c>
      <c r="H60" s="5054">
        <f t="shared" si="53"/>
        <v>0</v>
      </c>
      <c r="I60" s="5051">
        <f t="shared" si="53"/>
        <v>0</v>
      </c>
      <c r="J60" s="5054">
        <f t="shared" si="53"/>
        <v>0</v>
      </c>
      <c r="K60" s="5051">
        <f t="shared" si="53"/>
        <v>0</v>
      </c>
      <c r="L60" s="5054">
        <f t="shared" si="53"/>
        <v>0</v>
      </c>
      <c r="M60" s="5051">
        <f t="shared" si="53"/>
        <v>0</v>
      </c>
      <c r="N60" s="5054">
        <f t="shared" si="53"/>
        <v>0</v>
      </c>
      <c r="O60" s="5051">
        <f t="shared" si="53"/>
        <v>0</v>
      </c>
      <c r="P60" s="5054">
        <f t="shared" si="53"/>
        <v>0</v>
      </c>
      <c r="Q60" s="5051">
        <f t="shared" si="53"/>
        <v>0</v>
      </c>
      <c r="R60" s="5054">
        <f t="shared" si="53"/>
        <v>0</v>
      </c>
      <c r="S60" s="5051">
        <f t="shared" si="53"/>
        <v>0</v>
      </c>
      <c r="T60" s="5053">
        <f t="shared" si="53"/>
        <v>0</v>
      </c>
      <c r="U60" s="5051">
        <f t="shared" si="53"/>
        <v>0</v>
      </c>
      <c r="V60" s="5054">
        <f t="shared" si="53"/>
        <v>0</v>
      </c>
      <c r="W60" s="5051">
        <f t="shared" si="53"/>
        <v>0</v>
      </c>
      <c r="X60" s="5054">
        <f t="shared" si="53"/>
        <v>0</v>
      </c>
      <c r="Y60" s="5051">
        <f t="shared" si="53"/>
        <v>0</v>
      </c>
      <c r="Z60" s="5054">
        <f t="shared" si="53"/>
        <v>0</v>
      </c>
      <c r="AA60" s="5051">
        <f t="shared" si="53"/>
        <v>0</v>
      </c>
      <c r="AB60" s="5054">
        <f t="shared" si="53"/>
        <v>0</v>
      </c>
      <c r="AC60" s="5051">
        <f t="shared" si="53"/>
        <v>0</v>
      </c>
      <c r="AD60" s="5054">
        <f t="shared" si="53"/>
        <v>0</v>
      </c>
      <c r="AE60" s="5051">
        <f t="shared" si="53"/>
        <v>0</v>
      </c>
      <c r="AF60" s="5054">
        <f t="shared" si="53"/>
        <v>0</v>
      </c>
      <c r="AG60" s="5051">
        <f t="shared" si="53"/>
        <v>0</v>
      </c>
      <c r="AH60" s="5054">
        <f t="shared" si="53"/>
        <v>0</v>
      </c>
      <c r="AI60" s="5051">
        <f t="shared" si="53"/>
        <v>0</v>
      </c>
      <c r="AJ60" s="5054">
        <f t="shared" si="53"/>
        <v>0</v>
      </c>
      <c r="AK60" s="5051">
        <f t="shared" si="53"/>
        <v>0</v>
      </c>
      <c r="AL60" s="5054">
        <f t="shared" si="53"/>
        <v>0</v>
      </c>
      <c r="AM60" s="5051">
        <f t="shared" si="53"/>
        <v>0</v>
      </c>
      <c r="AN60" s="5054">
        <f t="shared" si="53"/>
        <v>0</v>
      </c>
      <c r="AO60" s="5051">
        <f t="shared" si="53"/>
        <v>0</v>
      </c>
      <c r="AP60" s="5055">
        <f t="shared" si="53"/>
        <v>0</v>
      </c>
      <c r="AQ60" s="5054">
        <f t="shared" si="53"/>
        <v>0</v>
      </c>
      <c r="AR60" s="5051">
        <f t="shared" si="53"/>
        <v>0</v>
      </c>
      <c r="AS60" s="5051">
        <f t="shared" si="53"/>
        <v>0</v>
      </c>
      <c r="AT60" s="5051">
        <f t="shared" si="53"/>
        <v>0</v>
      </c>
      <c r="AU60" s="5051">
        <f t="shared" si="53"/>
        <v>0</v>
      </c>
      <c r="AV60" s="4960">
        <f>SUM(AV55:AV59)</f>
        <v>0</v>
      </c>
      <c r="AW60" s="5051">
        <f t="shared" si="53"/>
        <v>0</v>
      </c>
      <c r="AX60" s="5056">
        <f t="shared" si="53"/>
        <v>0</v>
      </c>
      <c r="AY60" s="1529"/>
      <c r="BK60" s="1452"/>
      <c r="BL60" s="1452"/>
      <c r="BM60" s="1452"/>
      <c r="BN60" s="1460"/>
      <c r="BO60" s="1460"/>
      <c r="BP60" s="1460"/>
      <c r="BX60" s="165"/>
      <c r="CA60" s="1457"/>
      <c r="CB60" s="1457"/>
      <c r="CC60" s="1457"/>
      <c r="CD60" s="1457"/>
      <c r="CE60" s="1457"/>
      <c r="CF60" s="1457"/>
      <c r="CG60" s="1457"/>
      <c r="CH60" s="1457"/>
      <c r="DA60" s="1458"/>
      <c r="DB60" s="1458"/>
      <c r="DC60" s="1458"/>
      <c r="DD60" s="1458"/>
      <c r="DE60" s="1458"/>
      <c r="DF60" s="1458"/>
      <c r="DG60" s="1458"/>
      <c r="DH60" s="1458"/>
    </row>
    <row r="61" spans="1:112" ht="16.350000000000001" customHeight="1" x14ac:dyDescent="0.25">
      <c r="A61" s="9341" t="s">
        <v>1168</v>
      </c>
      <c r="B61" s="9140"/>
      <c r="C61" s="5033">
        <v>0</v>
      </c>
      <c r="D61" s="5011">
        <f>SUM(E61:F61)</f>
        <v>0</v>
      </c>
      <c r="E61" s="5012">
        <f>SUM(Y61+AA61+AC61+AE61+AG61+AI61+AK61+AM61+AO61)</f>
        <v>0</v>
      </c>
      <c r="F61" s="5005">
        <f>SUM(Z61+AB61+AD61+AF61+AH61+AJ61+AL61+AN61+AP61)</f>
        <v>0</v>
      </c>
      <c r="G61" s="5057"/>
      <c r="H61" s="5058"/>
      <c r="I61" s="5059"/>
      <c r="J61" s="5058"/>
      <c r="K61" s="5059"/>
      <c r="L61" s="5058"/>
      <c r="M61" s="5059"/>
      <c r="N61" s="5058"/>
      <c r="O61" s="5059"/>
      <c r="P61" s="5058"/>
      <c r="Q61" s="5059"/>
      <c r="R61" s="5058"/>
      <c r="S61" s="5060"/>
      <c r="T61" s="3263"/>
      <c r="U61" s="5059"/>
      <c r="V61" s="5058"/>
      <c r="W61" s="5059"/>
      <c r="X61" s="5058"/>
      <c r="Y61" s="5037"/>
      <c r="Z61" s="3261"/>
      <c r="AA61" s="5037"/>
      <c r="AB61" s="3261"/>
      <c r="AC61" s="3264"/>
      <c r="AD61" s="5061"/>
      <c r="AE61" s="3265"/>
      <c r="AF61" s="3266"/>
      <c r="AG61" s="3265"/>
      <c r="AH61" s="3266"/>
      <c r="AI61" s="3257"/>
      <c r="AJ61" s="3261"/>
      <c r="AK61" s="5037"/>
      <c r="AL61" s="3261"/>
      <c r="AM61" s="3264"/>
      <c r="AN61" s="5061"/>
      <c r="AO61" s="3257"/>
      <c r="AP61" s="4999"/>
      <c r="AQ61" s="3802"/>
      <c r="AR61" s="5038"/>
      <c r="AS61" s="5038"/>
      <c r="AT61" s="3803"/>
      <c r="AU61" s="5038"/>
      <c r="AV61" s="5038"/>
      <c r="AW61" s="3803"/>
      <c r="AX61" s="3803"/>
      <c r="AY61" s="1529" t="str">
        <f t="shared" si="28"/>
        <v/>
      </c>
      <c r="BK61" s="1452"/>
      <c r="BL61" s="1452"/>
      <c r="BM61" s="1452"/>
      <c r="BN61" s="1460"/>
      <c r="BO61" s="1460"/>
      <c r="BP61" s="1460"/>
      <c r="BX61" s="165"/>
      <c r="CA61" s="1457" t="str">
        <f>IF(DA61=1,"* Las consultas de 60 años NO DEBEN ser mayor que el total de Consultas entre 60-64 Años. ","")</f>
        <v/>
      </c>
      <c r="CB61" s="1457" t="str">
        <f>IF(DB61=1,"* Las actividades de usuarios en situación de discapacidad NO DEBEN superar el total. ","")</f>
        <v/>
      </c>
      <c r="CC61" s="1457" t="str">
        <f>IF(DC61=1,"* Las consultas de 12 años NO DEBEN ser mayor que el total de Consultas entre 10-14 Años. ","")</f>
        <v/>
      </c>
      <c r="CD61" s="1457" t="str">
        <f>IF(DD61=1,"* Las consultas de Pacientes en control PSCV NO DEBEN ser mayor que el total de Consultas. ","")</f>
        <v/>
      </c>
      <c r="CE61" s="1457" t="str">
        <f>IF(AND(AR61="",D61&lt;&gt;0),"* Recuerde que las Embarazadas deben ser incluídas en el ingreso por rango Etario (Digite CEROS si no tiene). ",IF(F61&lt;AR61,"* Las Embarazadas NO DEBEN ser mayor al total de mujeres. ",""))</f>
        <v/>
      </c>
      <c r="CF61" s="1457" t="str">
        <f>IF(AND(AU61="",D61&lt;&gt;0),"* No olvide digitar la población SENAME (Digite CEROS si no tiene). ",IF(D61&lt;AU61,"* La Población SENAME NO DEBE ser mayor al Total. ",""))</f>
        <v/>
      </c>
      <c r="CG61" s="1457" t="str">
        <f t="shared" si="43"/>
        <v/>
      </c>
      <c r="CH61" s="1457" t="str">
        <f t="shared" si="31"/>
        <v/>
      </c>
      <c r="DA61" s="1458">
        <f>IF(AS61&gt;(AK61+AL61),1,0)</f>
        <v>0</v>
      </c>
      <c r="DB61" s="1458">
        <f>IF(D61&lt;AT61,1,0)</f>
        <v>0</v>
      </c>
      <c r="DC61" s="1458">
        <f>IF((Y61+Z61)&lt;AQ61,1,0)</f>
        <v>0</v>
      </c>
      <c r="DD61" s="1458">
        <f>IF(D61&lt;AX61,1,0)</f>
        <v>0</v>
      </c>
      <c r="DE61" s="1458">
        <f>IF(AND(AR61="",D61&lt;&gt;0),1,IF(F61&lt;AR61,1,0))</f>
        <v>0</v>
      </c>
      <c r="DF61" s="1458">
        <f>IF(AND(AU61="",D61&lt;&gt;0),1,IF(D61&lt;AU61,1,0))</f>
        <v>0</v>
      </c>
      <c r="DG61" s="1458">
        <f>IF(AND(AW61="",D61&lt;&gt;0),1,IF(D61&lt;AW61,1,0))</f>
        <v>0</v>
      </c>
      <c r="DH61" s="1458">
        <f t="shared" si="33"/>
        <v>0</v>
      </c>
    </row>
    <row r="62" spans="1:112" ht="16.350000000000001" customHeight="1" x14ac:dyDescent="0.25">
      <c r="A62" s="8166"/>
      <c r="B62" s="8151"/>
      <c r="C62" s="5033" t="s">
        <v>1167</v>
      </c>
      <c r="D62" s="5011">
        <f>SUM(E62:F62)</f>
        <v>0</v>
      </c>
      <c r="E62" s="5012">
        <f t="shared" ref="E62:E63" si="54">SUM(Y62+AA62+AC62+AE62+AG62+AI62+AK62+AM62+AO62)</f>
        <v>0</v>
      </c>
      <c r="F62" s="5005">
        <f t="shared" ref="F62:F63" si="55">SUM(Z62+AB62+AD62+AF62+AH62+AJ62+AL62+AN62+AP62)</f>
        <v>0</v>
      </c>
      <c r="G62" s="5062"/>
      <c r="H62" s="3804"/>
      <c r="I62" s="5062"/>
      <c r="J62" s="3804"/>
      <c r="K62" s="5062"/>
      <c r="L62" s="3804"/>
      <c r="M62" s="5062"/>
      <c r="N62" s="3804"/>
      <c r="O62" s="5062"/>
      <c r="P62" s="3804"/>
      <c r="Q62" s="5062"/>
      <c r="R62" s="3804"/>
      <c r="S62" s="5060"/>
      <c r="T62" s="3263"/>
      <c r="U62" s="5062"/>
      <c r="V62" s="3804"/>
      <c r="W62" s="5062"/>
      <c r="X62" s="3804"/>
      <c r="Y62" s="5037"/>
      <c r="Z62" s="3261"/>
      <c r="AA62" s="5037"/>
      <c r="AB62" s="3261"/>
      <c r="AC62" s="5037"/>
      <c r="AD62" s="3261"/>
      <c r="AE62" s="3257"/>
      <c r="AF62" s="3261"/>
      <c r="AG62" s="3257"/>
      <c r="AH62" s="3261"/>
      <c r="AI62" s="3257"/>
      <c r="AJ62" s="3261"/>
      <c r="AK62" s="5037"/>
      <c r="AL62" s="3261"/>
      <c r="AM62" s="5037"/>
      <c r="AN62" s="3261"/>
      <c r="AO62" s="3257"/>
      <c r="AP62" s="3799"/>
      <c r="AQ62" s="3800"/>
      <c r="AR62" s="5038"/>
      <c r="AS62" s="5038"/>
      <c r="AT62" s="5063"/>
      <c r="AU62" s="5038"/>
      <c r="AV62" s="5038"/>
      <c r="AW62" s="5063"/>
      <c r="AX62" s="5063"/>
      <c r="AY62" s="1529" t="str">
        <f t="shared" si="28"/>
        <v/>
      </c>
      <c r="BK62" s="1452"/>
      <c r="BL62" s="1452"/>
      <c r="BM62" s="1452"/>
      <c r="BN62" s="1460"/>
      <c r="BO62" s="1460"/>
      <c r="BP62" s="1460"/>
      <c r="BX62" s="165"/>
      <c r="CA62" s="1457" t="str">
        <f>IF(DA62=1,"* Las consultas de 60 años NO DEBEN ser mayor que el total de Consultas entre 60-64 Años. ","")</f>
        <v/>
      </c>
      <c r="CB62" s="1457" t="str">
        <f>IF(DB62=1,"* Las actividades de usuarios en situación de discapacidad NO DEBEN superar el total. ","")</f>
        <v/>
      </c>
      <c r="CC62" s="1457" t="str">
        <f>IF(DC62=1,"* Las consultas de 12 años NO DEBEN ser mayor que el total de Consultas entre 10-14 Años. ","")</f>
        <v/>
      </c>
      <c r="CD62" s="1457" t="str">
        <f>IF(DD62=1,"* Las consultas de Pacientes en control PSCV NO DEBEN ser mayor que el total de Consultas. ","")</f>
        <v/>
      </c>
      <c r="CE62" s="1457" t="str">
        <f>IF(AND(AR62="",D62&lt;&gt;0),"* Recuerde que las Embarazadas deben ser incluídas en el ingreso por rango Etario (Digite CEROS si no tiene). ",IF(F62&lt;AR62,"* Las Embarazadas NO DEBEN ser mayor al total de mujeres. ",""))</f>
        <v/>
      </c>
      <c r="CF62" s="1457" t="str">
        <f>IF(AND(AU62="",D62&lt;&gt;0),"* No olvide digitar la población SENAME (Digite CEROS si no tiene). ",IF(D62&lt;AU62,"* La Población SENAME NO DEBE ser mayor al Total. ",""))</f>
        <v/>
      </c>
      <c r="CG62" s="1457" t="str">
        <f t="shared" si="43"/>
        <v/>
      </c>
      <c r="CH62" s="1457" t="str">
        <f t="shared" si="31"/>
        <v/>
      </c>
      <c r="DA62" s="1458">
        <f>IF(AS62&gt;(AK62+AL62),1,0)</f>
        <v>0</v>
      </c>
      <c r="DB62" s="1458">
        <f>IF(D62&lt;AT62,1,0)</f>
        <v>0</v>
      </c>
      <c r="DC62" s="1458">
        <f>IF((Y62+Z62)&lt;AQ62,1,0)</f>
        <v>0</v>
      </c>
      <c r="DD62" s="1458">
        <f>IF(D62&lt;AX62,1,0)</f>
        <v>0</v>
      </c>
      <c r="DE62" s="1458">
        <f>IF(AND(AR62="",D62&lt;&gt;0),1,IF(F62&lt;AR62,1,0))</f>
        <v>0</v>
      </c>
      <c r="DF62" s="1458">
        <f>IF(AND(AU62="",D62&lt;&gt;0),1,IF(D62&lt;AU62,1,0))</f>
        <v>0</v>
      </c>
      <c r="DG62" s="1458">
        <f>IF(AND(AW62="",D62&lt;&gt;0),1,IF(D62&lt;AW62,1,0))</f>
        <v>0</v>
      </c>
      <c r="DH62" s="1458">
        <f t="shared" si="33"/>
        <v>0</v>
      </c>
    </row>
    <row r="63" spans="1:112" ht="16.350000000000001" customHeight="1" x14ac:dyDescent="0.25">
      <c r="A63" s="8166"/>
      <c r="B63" s="8151"/>
      <c r="C63" s="5036" t="s">
        <v>1166</v>
      </c>
      <c r="D63" s="5011">
        <f>SUM(E63:F63)</f>
        <v>0</v>
      </c>
      <c r="E63" s="5012">
        <f t="shared" si="54"/>
        <v>0</v>
      </c>
      <c r="F63" s="5005">
        <f t="shared" si="55"/>
        <v>0</v>
      </c>
      <c r="G63" s="5062"/>
      <c r="H63" s="3804"/>
      <c r="I63" s="5062"/>
      <c r="J63" s="3804"/>
      <c r="K63" s="5062"/>
      <c r="L63" s="3804"/>
      <c r="M63" s="5062"/>
      <c r="N63" s="3804"/>
      <c r="O63" s="5062"/>
      <c r="P63" s="3804"/>
      <c r="Q63" s="5062"/>
      <c r="R63" s="3804"/>
      <c r="S63" s="5060"/>
      <c r="T63" s="3263"/>
      <c r="U63" s="5062"/>
      <c r="V63" s="3804"/>
      <c r="W63" s="5062"/>
      <c r="X63" s="3804"/>
      <c r="Y63" s="5037"/>
      <c r="Z63" s="3261"/>
      <c r="AA63" s="5037"/>
      <c r="AB63" s="3261"/>
      <c r="AC63" s="5037"/>
      <c r="AD63" s="3261"/>
      <c r="AE63" s="3257"/>
      <c r="AF63" s="3261"/>
      <c r="AG63" s="3257"/>
      <c r="AH63" s="3261"/>
      <c r="AI63" s="3257"/>
      <c r="AJ63" s="3261"/>
      <c r="AK63" s="5037"/>
      <c r="AL63" s="3261"/>
      <c r="AM63" s="5016"/>
      <c r="AN63" s="3256"/>
      <c r="AO63" s="3257"/>
      <c r="AP63" s="3799"/>
      <c r="AQ63" s="3795"/>
      <c r="AR63" s="5038"/>
      <c r="AS63" s="5038"/>
      <c r="AT63" s="5063"/>
      <c r="AU63" s="5038"/>
      <c r="AV63" s="5038"/>
      <c r="AW63" s="5063"/>
      <c r="AX63" s="5063"/>
      <c r="AY63" s="1529" t="str">
        <f t="shared" si="28"/>
        <v/>
      </c>
      <c r="BK63" s="1452"/>
      <c r="BL63" s="1452"/>
      <c r="BM63" s="1452"/>
      <c r="BN63" s="1460"/>
      <c r="BO63" s="1460"/>
      <c r="BP63" s="1460"/>
      <c r="BX63" s="165"/>
      <c r="CA63" s="1457" t="str">
        <f>IF(DA63=1,"* Las consultas de 60 años NO DEBEN ser mayor que el total de Consultas entre 60-64 Años. ","")</f>
        <v/>
      </c>
      <c r="CB63" s="1457" t="str">
        <f>IF(DB63=1,"* Las actividades de usuarios en situación de discapacidad NO DEBEN superar el total. ","")</f>
        <v/>
      </c>
      <c r="CC63" s="1457" t="str">
        <f>IF(DC63=1,"* Las consultas de 12 años NO DEBEN ser mayor que el total de Consultas entre 10-14 Años. ","")</f>
        <v/>
      </c>
      <c r="CD63" s="1457" t="str">
        <f>IF(DD63=1,"* Las consultas de Pacientes en control PSCV NO DEBEN ser mayor que el total de Consultas. ","")</f>
        <v/>
      </c>
      <c r="CE63" s="1457" t="str">
        <f>IF(AND(AR63="",D63&lt;&gt;0),"* Recuerde que las Embarazadas deben ser incluídas en el ingreso por rango Etario (Digite CEROS si no tiene). ",IF(F63&lt;AR63,"* Las Embarazadas NO DEBEN ser mayor al total de mujeres. ",""))</f>
        <v/>
      </c>
      <c r="CF63" s="1457" t="str">
        <f>IF(AND(AU63="",D63&lt;&gt;0),"* No olvide digitar la población SENAME (Digite CEROS si no tiene). ",IF(D63&lt;AU63,"* La Población SENAME NO DEBE ser mayor al Total. ",""))</f>
        <v/>
      </c>
      <c r="CG63" s="1457" t="str">
        <f t="shared" si="43"/>
        <v/>
      </c>
      <c r="CH63" s="1457" t="str">
        <f t="shared" si="31"/>
        <v/>
      </c>
      <c r="DA63" s="1458">
        <f>IF(AS63&gt;(AK63+AL63),1,0)</f>
        <v>0</v>
      </c>
      <c r="DB63" s="1458">
        <f>IF(D63&lt;AT63,1,0)</f>
        <v>0</v>
      </c>
      <c r="DC63" s="1458">
        <f>IF((Y63+Z63)&lt;AQ63,1,0)</f>
        <v>0</v>
      </c>
      <c r="DD63" s="1458">
        <f>IF(D63&lt;AX63,1,0)</f>
        <v>0</v>
      </c>
      <c r="DE63" s="1458">
        <f>IF(AND(AR63="",D63&lt;&gt;0),1,IF(F63&lt;AR63,1,0))</f>
        <v>0</v>
      </c>
      <c r="DF63" s="1458">
        <f>IF(AND(AU63="",D63&lt;&gt;0),1,IF(D63&lt;AU63,1,0))</f>
        <v>0</v>
      </c>
      <c r="DG63" s="1458">
        <f>IF(AND(AW63="",D63&lt;&gt;0),1,IF(D63&lt;AW63,1,0))</f>
        <v>0</v>
      </c>
      <c r="DH63" s="1458">
        <f t="shared" si="33"/>
        <v>0</v>
      </c>
    </row>
    <row r="64" spans="1:112" ht="16.350000000000001" customHeight="1" x14ac:dyDescent="0.2">
      <c r="A64" s="9368"/>
      <c r="B64" s="8527"/>
      <c r="C64" s="5022" t="s">
        <v>24</v>
      </c>
      <c r="D64" s="5051">
        <f>SUM(E64:F64)</f>
        <v>0</v>
      </c>
      <c r="E64" s="5052">
        <f>SUM(E61:E63)</f>
        <v>0</v>
      </c>
      <c r="F64" s="4960">
        <f>SUM(F61:F63)</f>
        <v>0</v>
      </c>
      <c r="G64" s="5064"/>
      <c r="H64" s="5065"/>
      <c r="I64" s="5064"/>
      <c r="J64" s="5065"/>
      <c r="K64" s="5064"/>
      <c r="L64" s="5065"/>
      <c r="M64" s="5064"/>
      <c r="N64" s="5065"/>
      <c r="O64" s="5064"/>
      <c r="P64" s="5065"/>
      <c r="Q64" s="5064"/>
      <c r="R64" s="5065"/>
      <c r="S64" s="5064"/>
      <c r="T64" s="5066"/>
      <c r="U64" s="5064"/>
      <c r="V64" s="5065"/>
      <c r="W64" s="5064"/>
      <c r="X64" s="5065"/>
      <c r="Y64" s="3921">
        <f>SUM(Y61:Y63)</f>
        <v>0</v>
      </c>
      <c r="Z64" s="4960">
        <f t="shared" ref="Z64:AX64" si="56">SUM(Z61:Z63)</f>
        <v>0</v>
      </c>
      <c r="AA64" s="3921">
        <f t="shared" si="56"/>
        <v>0</v>
      </c>
      <c r="AB64" s="4960">
        <f t="shared" si="56"/>
        <v>0</v>
      </c>
      <c r="AC64" s="3921">
        <f t="shared" si="56"/>
        <v>0</v>
      </c>
      <c r="AD64" s="3922">
        <f t="shared" si="56"/>
        <v>0</v>
      </c>
      <c r="AE64" s="4972">
        <f t="shared" si="56"/>
        <v>0</v>
      </c>
      <c r="AF64" s="3922">
        <f t="shared" si="56"/>
        <v>0</v>
      </c>
      <c r="AG64" s="4972">
        <f t="shared" si="56"/>
        <v>0</v>
      </c>
      <c r="AH64" s="3922">
        <f t="shared" si="56"/>
        <v>0</v>
      </c>
      <c r="AI64" s="4972">
        <f t="shared" si="56"/>
        <v>0</v>
      </c>
      <c r="AJ64" s="4960">
        <f t="shared" si="56"/>
        <v>0</v>
      </c>
      <c r="AK64" s="3921">
        <f t="shared" si="56"/>
        <v>0</v>
      </c>
      <c r="AL64" s="4960">
        <f t="shared" si="56"/>
        <v>0</v>
      </c>
      <c r="AM64" s="3921">
        <f t="shared" si="56"/>
        <v>0</v>
      </c>
      <c r="AN64" s="3922">
        <f t="shared" si="56"/>
        <v>0</v>
      </c>
      <c r="AO64" s="4972">
        <f t="shared" si="56"/>
        <v>0</v>
      </c>
      <c r="AP64" s="5021">
        <f t="shared" si="56"/>
        <v>0</v>
      </c>
      <c r="AQ64" s="5067">
        <f t="shared" si="56"/>
        <v>0</v>
      </c>
      <c r="AR64" s="4960">
        <f t="shared" si="56"/>
        <v>0</v>
      </c>
      <c r="AS64" s="4960">
        <f t="shared" si="56"/>
        <v>0</v>
      </c>
      <c r="AT64" s="5022">
        <f t="shared" si="56"/>
        <v>0</v>
      </c>
      <c r="AU64" s="4960">
        <f t="shared" si="56"/>
        <v>0</v>
      </c>
      <c r="AV64" s="4960">
        <f t="shared" si="56"/>
        <v>0</v>
      </c>
      <c r="AW64" s="5022">
        <f t="shared" si="56"/>
        <v>0</v>
      </c>
      <c r="AX64" s="5022">
        <f t="shared" si="56"/>
        <v>0</v>
      </c>
      <c r="AY64" s="1529"/>
      <c r="BK64" s="1452"/>
      <c r="BL64" s="1452"/>
      <c r="BM64" s="1452"/>
      <c r="BN64" s="1460"/>
      <c r="BO64" s="1460"/>
      <c r="BP64" s="1460"/>
      <c r="BX64" s="165"/>
      <c r="CA64" s="1457"/>
      <c r="CB64" s="1457"/>
      <c r="CC64" s="1457"/>
      <c r="CD64" s="1457"/>
      <c r="CE64" s="1457"/>
      <c r="CF64" s="1457"/>
      <c r="CG64" s="1457"/>
      <c r="DA64" s="1458"/>
      <c r="DB64" s="1458"/>
      <c r="DC64" s="1458"/>
      <c r="DD64" s="1458"/>
      <c r="DE64" s="1458"/>
      <c r="DF64" s="1458"/>
      <c r="DG64" s="1458"/>
    </row>
    <row r="65" spans="1:111" ht="33.75" customHeight="1" x14ac:dyDescent="0.2">
      <c r="A65" s="133" t="s">
        <v>2181</v>
      </c>
      <c r="B65" s="729"/>
      <c r="C65" s="729"/>
      <c r="D65" s="728"/>
      <c r="E65" s="214"/>
      <c r="AH65" s="290"/>
      <c r="AI65" s="290"/>
      <c r="AJ65" s="290"/>
      <c r="AK65" s="290"/>
      <c r="AL65" s="1193"/>
      <c r="AM65" s="1193"/>
      <c r="AN65" s="1193"/>
      <c r="AO65" s="1193"/>
      <c r="AP65" s="1193"/>
      <c r="AQ65" s="1193"/>
      <c r="AR65" s="1193"/>
      <c r="AS65" s="1193"/>
      <c r="AT65" s="290"/>
      <c r="AU65" s="290"/>
      <c r="BU65" s="1452"/>
      <c r="BV65" s="1452"/>
      <c r="BW65" s="1452"/>
      <c r="CA65" s="1457"/>
      <c r="CB65" s="1457"/>
      <c r="CC65" s="1457"/>
      <c r="CD65" s="1457"/>
      <c r="CE65" s="1457"/>
      <c r="CF65" s="1457"/>
      <c r="CG65" s="1457"/>
      <c r="DA65" s="1458"/>
      <c r="DB65" s="1458"/>
      <c r="DC65" s="1458"/>
      <c r="DD65" s="1458"/>
      <c r="DE65" s="1458"/>
      <c r="DF65" s="1454"/>
      <c r="DG65" s="1454"/>
    </row>
    <row r="66" spans="1:111" ht="68.25" customHeight="1" x14ac:dyDescent="0.2">
      <c r="A66" s="9369" t="s">
        <v>1165</v>
      </c>
      <c r="B66" s="9335"/>
      <c r="C66" s="9309"/>
      <c r="D66" s="4926" t="s">
        <v>24</v>
      </c>
      <c r="E66" s="4926" t="s">
        <v>78</v>
      </c>
      <c r="F66" s="3393" t="s">
        <v>2531</v>
      </c>
      <c r="G66" s="3393" t="s">
        <v>2546</v>
      </c>
      <c r="H66" s="3392" t="s">
        <v>2995</v>
      </c>
      <c r="I66" s="3392" t="s">
        <v>2895</v>
      </c>
      <c r="J66" s="3392" t="s">
        <v>359</v>
      </c>
      <c r="K66" s="290"/>
      <c r="L66" s="290"/>
      <c r="M66" s="290"/>
      <c r="N66" s="290"/>
      <c r="O66" s="290"/>
      <c r="AE66" s="290"/>
      <c r="AF66" s="290"/>
      <c r="AG66" s="290"/>
      <c r="AH66" s="290"/>
      <c r="AI66" s="290"/>
      <c r="AJ66" s="290"/>
      <c r="AK66" s="290"/>
      <c r="AL66" s="290"/>
      <c r="AM66" s="1193"/>
      <c r="AN66" s="1193"/>
      <c r="AO66" s="1193"/>
      <c r="AP66" s="1193"/>
      <c r="AQ66" s="1193"/>
      <c r="AR66" s="1193"/>
      <c r="AS66" s="1193"/>
      <c r="AT66" s="1193"/>
      <c r="AU66" s="290"/>
      <c r="AV66" s="290"/>
      <c r="BV66" s="1452"/>
      <c r="BW66" s="1452"/>
      <c r="BX66" s="1452"/>
      <c r="CA66" s="1457"/>
      <c r="CB66" s="1457"/>
      <c r="CC66" s="1457"/>
      <c r="CD66" s="1457"/>
      <c r="CE66" s="1457"/>
      <c r="CF66" s="1457"/>
      <c r="CG66" s="1457"/>
      <c r="DA66" s="1458"/>
      <c r="DB66" s="1458"/>
      <c r="DC66" s="1458"/>
      <c r="DD66" s="1458"/>
      <c r="DE66" s="1458"/>
      <c r="DF66" s="1454"/>
      <c r="DG66" s="1454"/>
    </row>
    <row r="67" spans="1:111" ht="19.5" customHeight="1" x14ac:dyDescent="0.2">
      <c r="A67" s="9346" t="s">
        <v>1034</v>
      </c>
      <c r="B67" s="9347"/>
      <c r="C67" s="9348"/>
      <c r="D67" s="5068"/>
      <c r="E67" s="5068"/>
      <c r="F67" s="5068"/>
      <c r="G67" s="5068"/>
      <c r="H67" s="5068"/>
      <c r="I67" s="5068"/>
      <c r="J67" s="5068"/>
      <c r="K67" s="1381" t="str">
        <f>CA67&amp;CB67&amp;CC67&amp;CD67&amp;CE67&amp;CF67</f>
        <v/>
      </c>
      <c r="L67" s="802"/>
      <c r="M67" s="802"/>
      <c r="N67" s="802"/>
      <c r="O67" s="290"/>
      <c r="AM67" s="290"/>
      <c r="AN67" s="290"/>
      <c r="AO67" s="290"/>
      <c r="AP67" s="290"/>
      <c r="AQ67" s="290"/>
      <c r="AR67" s="290"/>
      <c r="AS67" s="290"/>
      <c r="AT67" s="290"/>
      <c r="AU67" s="290"/>
      <c r="AV67" s="290"/>
      <c r="BV67" s="1452"/>
      <c r="BW67" s="1452"/>
      <c r="BX67" s="1452"/>
      <c r="CA67" s="1457" t="str">
        <f t="shared" ref="CA67:CA80" si="57">IF(DA67=1,"* Las Interconsultas de Gestantes NO DEBEN ser mayor al Total de Interconsultas. ","")</f>
        <v/>
      </c>
      <c r="CB67" s="1457" t="str">
        <f t="shared" ref="CB67:CB80" si="58">IF(DB67=1,"* Las Interconsultas de Pacientes de 60 años NO DEBEN ser mayor al Total de Interconsultas. ","")</f>
        <v/>
      </c>
      <c r="CC67" s="1457" t="str">
        <f t="shared" ref="CC67:CC80" si="59">IF(DC67=1,"* Las Interconsultas de Usuarios en situación de Discapacidad NO DEBEN ser mayor al Total de Interconsultas. ","")</f>
        <v/>
      </c>
      <c r="CD67" s="1457" t="str">
        <f t="shared" ref="CD67:CD80" si="60">IF(DD67=1,"* Las Interconsultas de Niños, Niñas, Adolescentes y Jóvenes Red SENAME NO DEBEN ser mayor al Total de Interconsultas. ","")</f>
        <v/>
      </c>
      <c r="CE67" s="1457" t="str">
        <f t="shared" ref="CE67:CE80" si="61">IF(DE67=1,"* Las Interconsultas de Migrantes NO DEBEN ser mayor al Total de Interconsultas. ","")</f>
        <v/>
      </c>
      <c r="CF67" s="1457" t="str">
        <f>IF(DF67=1,"* Las Interconsultas de Niños, Niñas, Adolescentes y Jóvenes Red Mejor Niñez NO DEBEN ser mayor al Total de Interconsultas. ","")</f>
        <v/>
      </c>
      <c r="CG67" s="1457"/>
      <c r="DA67" s="1458">
        <f t="shared" ref="DA67:DA80" si="62">IF($D67&lt;E67,1,0)</f>
        <v>0</v>
      </c>
      <c r="DB67" s="1458">
        <f t="shared" ref="DB67:DB80" si="63">IF($D67&lt;F67,1,0)</f>
        <v>0</v>
      </c>
      <c r="DC67" s="1458">
        <f t="shared" ref="DC67:DC80" si="64">IF($D67&lt;G67,1,0)</f>
        <v>0</v>
      </c>
      <c r="DD67" s="1458">
        <f t="shared" ref="DD67:DD80" si="65">IF($D67&lt;H67,1,0)</f>
        <v>0</v>
      </c>
      <c r="DE67" s="1458">
        <f t="shared" ref="DE67:DE80" si="66">IF($D67&lt;J67,1,0)</f>
        <v>0</v>
      </c>
      <c r="DF67" s="1458">
        <f>IF($D67&lt;I67,1,0)</f>
        <v>0</v>
      </c>
      <c r="DG67" s="1454"/>
    </row>
    <row r="68" spans="1:111" x14ac:dyDescent="0.2">
      <c r="A68" s="9370" t="s">
        <v>1029</v>
      </c>
      <c r="B68" s="9371" t="s">
        <v>1091</v>
      </c>
      <c r="C68" s="9372"/>
      <c r="D68" s="5069"/>
      <c r="E68" s="5069"/>
      <c r="F68" s="5069"/>
      <c r="G68" s="5069"/>
      <c r="H68" s="5069"/>
      <c r="I68" s="5069"/>
      <c r="J68" s="5069"/>
      <c r="K68" s="1381" t="str">
        <f t="shared" ref="K68:K80" si="67">CA68&amp;CB68&amp;CC68&amp;CD68&amp;CE68&amp;CF68</f>
        <v/>
      </c>
      <c r="L68" s="802"/>
      <c r="M68" s="802"/>
      <c r="N68" s="802"/>
      <c r="O68" s="290"/>
      <c r="AM68" s="290"/>
      <c r="AN68" s="290"/>
      <c r="AO68" s="290"/>
      <c r="AP68" s="290"/>
      <c r="AQ68" s="290"/>
      <c r="AR68" s="290"/>
      <c r="BR68" s="1452"/>
      <c r="BS68" s="1452"/>
      <c r="BT68" s="1452"/>
      <c r="BU68" s="1460"/>
      <c r="BV68" s="1460"/>
      <c r="BW68" s="1460"/>
      <c r="BX68" s="165"/>
      <c r="CA68" s="1457" t="str">
        <f t="shared" si="57"/>
        <v/>
      </c>
      <c r="CB68" s="1457" t="str">
        <f t="shared" si="58"/>
        <v/>
      </c>
      <c r="CC68" s="1457" t="str">
        <f t="shared" si="59"/>
        <v/>
      </c>
      <c r="CD68" s="1457" t="str">
        <f t="shared" si="60"/>
        <v/>
      </c>
      <c r="CE68" s="1457" t="str">
        <f t="shared" si="61"/>
        <v/>
      </c>
      <c r="CF68" s="1457" t="str">
        <f t="shared" ref="CF68:CF80" si="68">IF(DF68=1,"* Las Interconsultas de Niños, Niñas, Adolescentes y Jóvenes Red Mejor Niñez NO DEBEN ser mayor al Total de Interconsultas. ","")</f>
        <v/>
      </c>
      <c r="CG68" s="1457"/>
      <c r="DA68" s="1458">
        <f t="shared" si="62"/>
        <v>0</v>
      </c>
      <c r="DB68" s="1458">
        <f t="shared" si="63"/>
        <v>0</v>
      </c>
      <c r="DC68" s="1458">
        <f t="shared" si="64"/>
        <v>0</v>
      </c>
      <c r="DD68" s="1458">
        <f t="shared" si="65"/>
        <v>0</v>
      </c>
      <c r="DE68" s="1458">
        <f t="shared" si="66"/>
        <v>0</v>
      </c>
      <c r="DF68" s="1458">
        <f t="shared" ref="DF68:DF80" si="69">IF($D68&lt;I68,1,0)</f>
        <v>0</v>
      </c>
      <c r="DG68" s="1454"/>
    </row>
    <row r="69" spans="1:111" ht="16.350000000000001" customHeight="1" x14ac:dyDescent="0.2">
      <c r="A69" s="9370"/>
      <c r="B69" s="9331" t="s">
        <v>1164</v>
      </c>
      <c r="C69" s="9333"/>
      <c r="D69" s="5070"/>
      <c r="E69" s="5070"/>
      <c r="F69" s="5070"/>
      <c r="G69" s="5070"/>
      <c r="H69" s="5070"/>
      <c r="I69" s="5070"/>
      <c r="J69" s="5070"/>
      <c r="K69" s="1381" t="str">
        <f t="shared" si="67"/>
        <v/>
      </c>
      <c r="L69" s="802"/>
      <c r="M69" s="802"/>
      <c r="N69" s="802"/>
      <c r="O69" s="802"/>
      <c r="P69" s="802"/>
      <c r="Q69" s="802"/>
      <c r="R69" s="802"/>
      <c r="S69" s="290"/>
      <c r="BS69" s="1452"/>
      <c r="BT69" s="1452"/>
      <c r="BU69" s="1460"/>
      <c r="BV69" s="1460"/>
      <c r="BW69" s="1460"/>
      <c r="BX69" s="165"/>
      <c r="CA69" s="1457" t="str">
        <f t="shared" si="57"/>
        <v/>
      </c>
      <c r="CB69" s="1457" t="str">
        <f t="shared" si="58"/>
        <v/>
      </c>
      <c r="CC69" s="1457" t="str">
        <f t="shared" si="59"/>
        <v/>
      </c>
      <c r="CD69" s="1457" t="str">
        <f t="shared" si="60"/>
        <v/>
      </c>
      <c r="CE69" s="1457" t="str">
        <f t="shared" si="61"/>
        <v/>
      </c>
      <c r="CF69" s="1457" t="str">
        <f t="shared" si="68"/>
        <v/>
      </c>
      <c r="CG69" s="1457"/>
      <c r="DA69" s="1458">
        <f t="shared" si="62"/>
        <v>0</v>
      </c>
      <c r="DB69" s="1458">
        <f t="shared" si="63"/>
        <v>0</v>
      </c>
      <c r="DC69" s="1458">
        <f t="shared" si="64"/>
        <v>0</v>
      </c>
      <c r="DD69" s="1458">
        <f t="shared" si="65"/>
        <v>0</v>
      </c>
      <c r="DE69" s="1458">
        <f t="shared" si="66"/>
        <v>0</v>
      </c>
      <c r="DF69" s="1458">
        <f t="shared" si="69"/>
        <v>0</v>
      </c>
      <c r="DG69" s="1454"/>
    </row>
    <row r="70" spans="1:111" ht="16.350000000000001" customHeight="1" x14ac:dyDescent="0.25">
      <c r="A70" s="9363"/>
      <c r="B70" s="9364" t="s">
        <v>2187</v>
      </c>
      <c r="C70" s="9365"/>
      <c r="D70" s="5062"/>
      <c r="E70" s="5062"/>
      <c r="F70" s="5062"/>
      <c r="G70" s="5062"/>
      <c r="H70" s="5062"/>
      <c r="I70" s="5062"/>
      <c r="J70" s="5062"/>
      <c r="K70" s="1381" t="str">
        <f t="shared" si="67"/>
        <v/>
      </c>
      <c r="L70" s="802"/>
      <c r="M70" s="802"/>
      <c r="N70" s="802"/>
      <c r="O70" s="802"/>
      <c r="P70" s="802"/>
      <c r="Q70" s="802"/>
      <c r="R70" s="802"/>
      <c r="S70" s="290"/>
      <c r="BS70" s="1452"/>
      <c r="BT70" s="1452"/>
      <c r="BU70" s="1460"/>
      <c r="BV70" s="1460"/>
      <c r="BW70" s="1460"/>
      <c r="BX70" s="165"/>
      <c r="CA70" s="1457" t="str">
        <f t="shared" si="57"/>
        <v/>
      </c>
      <c r="CB70" s="1457" t="str">
        <f t="shared" si="58"/>
        <v/>
      </c>
      <c r="CC70" s="1457" t="str">
        <f t="shared" si="59"/>
        <v/>
      </c>
      <c r="CD70" s="1457" t="str">
        <f t="shared" si="60"/>
        <v/>
      </c>
      <c r="CE70" s="1457" t="str">
        <f t="shared" si="61"/>
        <v/>
      </c>
      <c r="CF70" s="1457" t="str">
        <f t="shared" si="68"/>
        <v/>
      </c>
      <c r="CG70" s="1457"/>
      <c r="DA70" s="1458">
        <f t="shared" si="62"/>
        <v>0</v>
      </c>
      <c r="DB70" s="1458">
        <f t="shared" si="63"/>
        <v>0</v>
      </c>
      <c r="DC70" s="1458">
        <f t="shared" si="64"/>
        <v>0</v>
      </c>
      <c r="DD70" s="1458">
        <f t="shared" si="65"/>
        <v>0</v>
      </c>
      <c r="DE70" s="1458">
        <f t="shared" si="66"/>
        <v>0</v>
      </c>
      <c r="DF70" s="1458">
        <f t="shared" si="69"/>
        <v>0</v>
      </c>
      <c r="DG70" s="1454"/>
    </row>
    <row r="71" spans="1:111" ht="16.350000000000001" customHeight="1" x14ac:dyDescent="0.2">
      <c r="A71" s="9246" t="s">
        <v>2188</v>
      </c>
      <c r="B71" s="9358"/>
      <c r="C71" s="9247"/>
      <c r="D71" s="5071"/>
      <c r="E71" s="5071"/>
      <c r="F71" s="5071"/>
      <c r="G71" s="5071"/>
      <c r="H71" s="5071"/>
      <c r="I71" s="5071"/>
      <c r="J71" s="5071"/>
      <c r="K71" s="1381" t="str">
        <f t="shared" si="67"/>
        <v/>
      </c>
      <c r="L71" s="802"/>
      <c r="M71" s="802"/>
      <c r="N71" s="802"/>
      <c r="O71" s="802"/>
      <c r="P71" s="802"/>
      <c r="Q71" s="802"/>
      <c r="R71" s="802"/>
      <c r="S71" s="290"/>
      <c r="BW71" s="1452"/>
      <c r="BX71" s="1452"/>
      <c r="CA71" s="1457" t="str">
        <f t="shared" si="57"/>
        <v/>
      </c>
      <c r="CB71" s="1457" t="str">
        <f t="shared" si="58"/>
        <v/>
      </c>
      <c r="CC71" s="1457" t="str">
        <f t="shared" si="59"/>
        <v/>
      </c>
      <c r="CD71" s="1457" t="str">
        <f t="shared" si="60"/>
        <v/>
      </c>
      <c r="CE71" s="1457" t="str">
        <f t="shared" si="61"/>
        <v/>
      </c>
      <c r="CF71" s="1457" t="str">
        <f t="shared" si="68"/>
        <v/>
      </c>
      <c r="CG71" s="1457"/>
      <c r="DA71" s="1458">
        <f t="shared" si="62"/>
        <v>0</v>
      </c>
      <c r="DB71" s="1458">
        <f t="shared" si="63"/>
        <v>0</v>
      </c>
      <c r="DC71" s="1458">
        <f t="shared" si="64"/>
        <v>0</v>
      </c>
      <c r="DD71" s="1458">
        <f t="shared" si="65"/>
        <v>0</v>
      </c>
      <c r="DE71" s="1458">
        <f t="shared" si="66"/>
        <v>0</v>
      </c>
      <c r="DF71" s="1458">
        <f t="shared" si="69"/>
        <v>0</v>
      </c>
      <c r="DG71" s="1454"/>
    </row>
    <row r="72" spans="1:111" ht="16.350000000000001" customHeight="1" x14ac:dyDescent="0.2">
      <c r="A72" s="9331" t="s">
        <v>1025</v>
      </c>
      <c r="B72" s="9332"/>
      <c r="C72" s="9333"/>
      <c r="D72" s="5070"/>
      <c r="E72" s="5070"/>
      <c r="F72" s="5070"/>
      <c r="G72" s="5070"/>
      <c r="H72" s="5070"/>
      <c r="I72" s="5070"/>
      <c r="J72" s="5070"/>
      <c r="K72" s="1381" t="str">
        <f t="shared" si="67"/>
        <v/>
      </c>
      <c r="L72" s="802"/>
      <c r="M72" s="802"/>
      <c r="N72" s="802"/>
      <c r="O72" s="802"/>
      <c r="P72" s="802"/>
      <c r="Q72" s="802"/>
      <c r="R72" s="802"/>
      <c r="S72" s="290"/>
      <c r="BW72" s="1452"/>
      <c r="BX72" s="1452"/>
      <c r="CA72" s="1457" t="str">
        <f t="shared" si="57"/>
        <v/>
      </c>
      <c r="CB72" s="1457" t="str">
        <f t="shared" si="58"/>
        <v/>
      </c>
      <c r="CC72" s="1457" t="str">
        <f t="shared" si="59"/>
        <v/>
      </c>
      <c r="CD72" s="1457" t="str">
        <f t="shared" si="60"/>
        <v/>
      </c>
      <c r="CE72" s="1457" t="str">
        <f t="shared" si="61"/>
        <v/>
      </c>
      <c r="CF72" s="1457" t="str">
        <f t="shared" si="68"/>
        <v/>
      </c>
      <c r="CG72" s="1457"/>
      <c r="DA72" s="1458">
        <f t="shared" si="62"/>
        <v>0</v>
      </c>
      <c r="DB72" s="1458">
        <f t="shared" si="63"/>
        <v>0</v>
      </c>
      <c r="DC72" s="1458">
        <f t="shared" si="64"/>
        <v>0</v>
      </c>
      <c r="DD72" s="1458">
        <f t="shared" si="65"/>
        <v>0</v>
      </c>
      <c r="DE72" s="1458">
        <f t="shared" si="66"/>
        <v>0</v>
      </c>
      <c r="DF72" s="1458">
        <f t="shared" si="69"/>
        <v>0</v>
      </c>
      <c r="DG72" s="1454"/>
    </row>
    <row r="73" spans="1:111" ht="16.350000000000001" customHeight="1" x14ac:dyDescent="0.2">
      <c r="A73" s="9359" t="s">
        <v>1163</v>
      </c>
      <c r="B73" s="9360"/>
      <c r="C73" s="9361"/>
      <c r="D73" s="5072"/>
      <c r="E73" s="5072"/>
      <c r="F73" s="5072"/>
      <c r="G73" s="5072"/>
      <c r="H73" s="5072"/>
      <c r="I73" s="5072"/>
      <c r="J73" s="5072"/>
      <c r="K73" s="1381" t="str">
        <f t="shared" si="67"/>
        <v/>
      </c>
      <c r="L73" s="802"/>
      <c r="M73" s="802"/>
      <c r="N73" s="802"/>
      <c r="O73" s="802"/>
      <c r="P73" s="802"/>
      <c r="Q73" s="802"/>
      <c r="R73" s="802"/>
      <c r="S73" s="290"/>
      <c r="BW73" s="1452"/>
      <c r="BX73" s="1452"/>
      <c r="CA73" s="1457" t="str">
        <f t="shared" si="57"/>
        <v/>
      </c>
      <c r="CB73" s="1457" t="str">
        <f t="shared" si="58"/>
        <v/>
      </c>
      <c r="CC73" s="1457" t="str">
        <f t="shared" si="59"/>
        <v/>
      </c>
      <c r="CD73" s="1457" t="str">
        <f t="shared" si="60"/>
        <v/>
      </c>
      <c r="CE73" s="1457" t="str">
        <f t="shared" si="61"/>
        <v/>
      </c>
      <c r="CF73" s="1457" t="str">
        <f t="shared" si="68"/>
        <v/>
      </c>
      <c r="CG73" s="1457"/>
      <c r="DA73" s="1458">
        <f t="shared" si="62"/>
        <v>0</v>
      </c>
      <c r="DB73" s="1458">
        <f t="shared" si="63"/>
        <v>0</v>
      </c>
      <c r="DC73" s="1458">
        <f t="shared" si="64"/>
        <v>0</v>
      </c>
      <c r="DD73" s="1458">
        <f t="shared" si="65"/>
        <v>0</v>
      </c>
      <c r="DE73" s="1458">
        <f t="shared" si="66"/>
        <v>0</v>
      </c>
      <c r="DF73" s="1458">
        <f t="shared" si="69"/>
        <v>0</v>
      </c>
      <c r="DG73" s="1454"/>
    </row>
    <row r="74" spans="1:111" ht="16.350000000000001" customHeight="1" x14ac:dyDescent="0.2">
      <c r="A74" s="9362" t="s">
        <v>2533</v>
      </c>
      <c r="B74" s="9246" t="s">
        <v>2533</v>
      </c>
      <c r="C74" s="9247"/>
      <c r="D74" s="5071"/>
      <c r="E74" s="5071"/>
      <c r="F74" s="5073"/>
      <c r="G74" s="5074"/>
      <c r="H74" s="5074"/>
      <c r="I74" s="5074"/>
      <c r="J74" s="5074"/>
      <c r="K74" s="1381" t="str">
        <f t="shared" si="67"/>
        <v/>
      </c>
      <c r="L74" s="802"/>
      <c r="M74" s="802"/>
      <c r="N74" s="802"/>
      <c r="O74" s="802"/>
      <c r="P74" s="802"/>
      <c r="Q74" s="802"/>
      <c r="R74" s="802"/>
      <c r="S74" s="290"/>
      <c r="BW74" s="1452"/>
      <c r="BX74" s="1452"/>
      <c r="CA74" s="1457" t="str">
        <f t="shared" si="57"/>
        <v/>
      </c>
      <c r="CB74" s="1457" t="str">
        <f t="shared" si="58"/>
        <v/>
      </c>
      <c r="CC74" s="1457" t="str">
        <f t="shared" si="59"/>
        <v/>
      </c>
      <c r="CD74" s="1457" t="str">
        <f t="shared" si="60"/>
        <v/>
      </c>
      <c r="CE74" s="1457" t="str">
        <f t="shared" si="61"/>
        <v/>
      </c>
      <c r="CF74" s="1457" t="str">
        <f t="shared" si="68"/>
        <v/>
      </c>
      <c r="CG74" s="1457"/>
      <c r="DA74" s="1458">
        <f t="shared" si="62"/>
        <v>0</v>
      </c>
      <c r="DB74" s="1458">
        <f t="shared" si="63"/>
        <v>0</v>
      </c>
      <c r="DC74" s="1458">
        <f t="shared" si="64"/>
        <v>0</v>
      </c>
      <c r="DD74" s="1458">
        <f t="shared" si="65"/>
        <v>0</v>
      </c>
      <c r="DE74" s="1458">
        <f t="shared" si="66"/>
        <v>0</v>
      </c>
      <c r="DF74" s="1458">
        <f t="shared" si="69"/>
        <v>0</v>
      </c>
      <c r="DG74" s="1454"/>
    </row>
    <row r="75" spans="1:111" ht="16.350000000000001" customHeight="1" x14ac:dyDescent="0.25">
      <c r="A75" s="9363"/>
      <c r="B75" s="9364" t="s">
        <v>2189</v>
      </c>
      <c r="C75" s="9365"/>
      <c r="D75" s="5062"/>
      <c r="E75" s="5062"/>
      <c r="F75" s="5062"/>
      <c r="G75" s="5062"/>
      <c r="H75" s="5062"/>
      <c r="I75" s="5062"/>
      <c r="J75" s="5062"/>
      <c r="K75" s="1381" t="str">
        <f t="shared" si="67"/>
        <v/>
      </c>
      <c r="L75" s="802"/>
      <c r="M75" s="802"/>
      <c r="N75" s="802"/>
      <c r="O75" s="802"/>
      <c r="P75" s="802"/>
      <c r="Q75" s="802"/>
      <c r="R75" s="802"/>
      <c r="S75" s="290"/>
      <c r="BW75" s="1452"/>
      <c r="BX75" s="1452"/>
      <c r="CA75" s="1457" t="str">
        <f t="shared" si="57"/>
        <v/>
      </c>
      <c r="CB75" s="1457" t="str">
        <f t="shared" si="58"/>
        <v/>
      </c>
      <c r="CC75" s="1457" t="str">
        <f t="shared" si="59"/>
        <v/>
      </c>
      <c r="CD75" s="1457" t="str">
        <f t="shared" si="60"/>
        <v/>
      </c>
      <c r="CE75" s="1457" t="str">
        <f t="shared" si="61"/>
        <v/>
      </c>
      <c r="CF75" s="1457" t="str">
        <f t="shared" si="68"/>
        <v/>
      </c>
      <c r="CG75" s="1457"/>
      <c r="DA75" s="1458">
        <f t="shared" si="62"/>
        <v>0</v>
      </c>
      <c r="DB75" s="1458">
        <f t="shared" si="63"/>
        <v>0</v>
      </c>
      <c r="DC75" s="1458">
        <f t="shared" si="64"/>
        <v>0</v>
      </c>
      <c r="DD75" s="1458">
        <f t="shared" si="65"/>
        <v>0</v>
      </c>
      <c r="DE75" s="1458">
        <f t="shared" si="66"/>
        <v>0</v>
      </c>
      <c r="DF75" s="1458">
        <f t="shared" si="69"/>
        <v>0</v>
      </c>
      <c r="DG75" s="1454"/>
    </row>
    <row r="76" spans="1:111" ht="16.350000000000001" customHeight="1" x14ac:dyDescent="0.2">
      <c r="A76" s="9246" t="s">
        <v>1030</v>
      </c>
      <c r="B76" s="9358"/>
      <c r="C76" s="9247"/>
      <c r="D76" s="5071"/>
      <c r="E76" s="5071"/>
      <c r="F76" s="5071"/>
      <c r="G76" s="5071"/>
      <c r="H76" s="5071"/>
      <c r="I76" s="5071"/>
      <c r="J76" s="5071"/>
      <c r="K76" s="1381" t="str">
        <f t="shared" si="67"/>
        <v/>
      </c>
      <c r="L76" s="802"/>
      <c r="M76" s="802"/>
      <c r="N76" s="802"/>
      <c r="O76" s="802"/>
      <c r="P76" s="802"/>
      <c r="Q76" s="802"/>
      <c r="R76" s="802"/>
      <c r="S76" s="290"/>
      <c r="BW76" s="1452"/>
      <c r="BX76" s="1452"/>
      <c r="CA76" s="1457" t="str">
        <f t="shared" si="57"/>
        <v/>
      </c>
      <c r="CB76" s="1457" t="str">
        <f t="shared" si="58"/>
        <v/>
      </c>
      <c r="CC76" s="1457" t="str">
        <f t="shared" si="59"/>
        <v/>
      </c>
      <c r="CD76" s="1457" t="str">
        <f t="shared" si="60"/>
        <v/>
      </c>
      <c r="CE76" s="1457" t="str">
        <f t="shared" si="61"/>
        <v/>
      </c>
      <c r="CF76" s="1457" t="str">
        <f t="shared" si="68"/>
        <v/>
      </c>
      <c r="CG76" s="1457"/>
      <c r="DA76" s="1458">
        <f t="shared" si="62"/>
        <v>0</v>
      </c>
      <c r="DB76" s="1458">
        <f t="shared" si="63"/>
        <v>0</v>
      </c>
      <c r="DC76" s="1458">
        <f t="shared" si="64"/>
        <v>0</v>
      </c>
      <c r="DD76" s="1458">
        <f t="shared" si="65"/>
        <v>0</v>
      </c>
      <c r="DE76" s="1458">
        <f t="shared" si="66"/>
        <v>0</v>
      </c>
      <c r="DF76" s="1458">
        <f t="shared" si="69"/>
        <v>0</v>
      </c>
      <c r="DG76" s="1454"/>
    </row>
    <row r="77" spans="1:111" ht="16.350000000000001" customHeight="1" x14ac:dyDescent="0.2">
      <c r="A77" s="9331" t="s">
        <v>1027</v>
      </c>
      <c r="B77" s="9332"/>
      <c r="C77" s="9333"/>
      <c r="D77" s="5070"/>
      <c r="E77" s="5070"/>
      <c r="F77" s="5075"/>
      <c r="G77" s="5076"/>
      <c r="H77" s="5076"/>
      <c r="I77" s="5076"/>
      <c r="J77" s="5076"/>
      <c r="K77" s="1381" t="str">
        <f t="shared" si="67"/>
        <v/>
      </c>
      <c r="L77" s="802"/>
      <c r="M77" s="802"/>
      <c r="N77" s="802"/>
      <c r="O77" s="802"/>
      <c r="P77" s="802"/>
      <c r="Q77" s="802"/>
      <c r="R77" s="802"/>
      <c r="S77" s="290"/>
      <c r="BW77" s="1452"/>
      <c r="BX77" s="1452"/>
      <c r="CA77" s="1457" t="str">
        <f t="shared" si="57"/>
        <v/>
      </c>
      <c r="CB77" s="1457" t="str">
        <f t="shared" si="58"/>
        <v/>
      </c>
      <c r="CC77" s="1457" t="str">
        <f t="shared" si="59"/>
        <v/>
      </c>
      <c r="CD77" s="1457" t="str">
        <f t="shared" si="60"/>
        <v/>
      </c>
      <c r="CE77" s="1457" t="str">
        <f t="shared" si="61"/>
        <v/>
      </c>
      <c r="CF77" s="1457" t="str">
        <f t="shared" si="68"/>
        <v/>
      </c>
      <c r="CG77" s="1457"/>
      <c r="DA77" s="1458">
        <f t="shared" si="62"/>
        <v>0</v>
      </c>
      <c r="DB77" s="1458">
        <f t="shared" si="63"/>
        <v>0</v>
      </c>
      <c r="DC77" s="1458">
        <f t="shared" si="64"/>
        <v>0</v>
      </c>
      <c r="DD77" s="1458">
        <f t="shared" si="65"/>
        <v>0</v>
      </c>
      <c r="DE77" s="1458">
        <f t="shared" si="66"/>
        <v>0</v>
      </c>
      <c r="DF77" s="1458">
        <f t="shared" si="69"/>
        <v>0</v>
      </c>
      <c r="DG77" s="1454"/>
    </row>
    <row r="78" spans="1:111" ht="16.350000000000001" customHeight="1" x14ac:dyDescent="0.2">
      <c r="A78" s="9331" t="s">
        <v>1026</v>
      </c>
      <c r="B78" s="9332"/>
      <c r="C78" s="9333"/>
      <c r="D78" s="5070"/>
      <c r="E78" s="5070"/>
      <c r="F78" s="5075"/>
      <c r="G78" s="5076"/>
      <c r="H78" s="5076"/>
      <c r="I78" s="5076"/>
      <c r="J78" s="5076"/>
      <c r="K78" s="1381" t="str">
        <f t="shared" si="67"/>
        <v/>
      </c>
      <c r="L78" s="802"/>
      <c r="M78" s="802"/>
      <c r="N78" s="802"/>
      <c r="O78" s="802"/>
      <c r="P78" s="802"/>
      <c r="Q78" s="802"/>
      <c r="R78" s="802"/>
      <c r="S78" s="290"/>
      <c r="BW78" s="1452"/>
      <c r="BX78" s="1452"/>
      <c r="CA78" s="1457" t="str">
        <f t="shared" si="57"/>
        <v/>
      </c>
      <c r="CB78" s="1457" t="str">
        <f t="shared" si="58"/>
        <v/>
      </c>
      <c r="CC78" s="1457" t="str">
        <f t="shared" si="59"/>
        <v/>
      </c>
      <c r="CD78" s="1457" t="str">
        <f t="shared" si="60"/>
        <v/>
      </c>
      <c r="CE78" s="1457" t="str">
        <f t="shared" si="61"/>
        <v/>
      </c>
      <c r="CF78" s="1457" t="str">
        <f t="shared" si="68"/>
        <v/>
      </c>
      <c r="CG78" s="1457"/>
      <c r="DA78" s="1458">
        <f t="shared" si="62"/>
        <v>0</v>
      </c>
      <c r="DB78" s="1458">
        <f t="shared" si="63"/>
        <v>0</v>
      </c>
      <c r="DC78" s="1458">
        <f t="shared" si="64"/>
        <v>0</v>
      </c>
      <c r="DD78" s="1458">
        <f t="shared" si="65"/>
        <v>0</v>
      </c>
      <c r="DE78" s="1458">
        <f t="shared" si="66"/>
        <v>0</v>
      </c>
      <c r="DF78" s="1458">
        <f t="shared" si="69"/>
        <v>0</v>
      </c>
      <c r="DG78" s="1454"/>
    </row>
    <row r="79" spans="1:111" ht="16.350000000000001" customHeight="1" x14ac:dyDescent="0.2">
      <c r="A79" s="9331" t="s">
        <v>1028</v>
      </c>
      <c r="B79" s="9332"/>
      <c r="C79" s="9333"/>
      <c r="D79" s="5070"/>
      <c r="E79" s="5070"/>
      <c r="F79" s="5075"/>
      <c r="G79" s="5076"/>
      <c r="H79" s="5076"/>
      <c r="I79" s="5076"/>
      <c r="J79" s="5076"/>
      <c r="K79" s="1381" t="str">
        <f t="shared" si="67"/>
        <v/>
      </c>
      <c r="L79" s="802"/>
      <c r="M79" s="802"/>
      <c r="N79" s="802"/>
      <c r="O79" s="802"/>
      <c r="P79" s="802"/>
      <c r="Q79" s="802"/>
      <c r="R79" s="802"/>
      <c r="S79" s="290"/>
      <c r="BW79" s="1452"/>
      <c r="BX79" s="1452"/>
      <c r="CA79" s="1457" t="str">
        <f t="shared" si="57"/>
        <v/>
      </c>
      <c r="CB79" s="1457" t="str">
        <f t="shared" si="58"/>
        <v/>
      </c>
      <c r="CC79" s="1457" t="str">
        <f t="shared" si="59"/>
        <v/>
      </c>
      <c r="CD79" s="1457" t="str">
        <f t="shared" si="60"/>
        <v/>
      </c>
      <c r="CE79" s="1457" t="str">
        <f t="shared" si="61"/>
        <v/>
      </c>
      <c r="CF79" s="1457" t="str">
        <f t="shared" si="68"/>
        <v/>
      </c>
      <c r="CG79" s="1457"/>
      <c r="DA79" s="1458">
        <f t="shared" si="62"/>
        <v>0</v>
      </c>
      <c r="DB79" s="1458">
        <f t="shared" si="63"/>
        <v>0</v>
      </c>
      <c r="DC79" s="1458">
        <f t="shared" si="64"/>
        <v>0</v>
      </c>
      <c r="DD79" s="1458">
        <f t="shared" si="65"/>
        <v>0</v>
      </c>
      <c r="DE79" s="1458">
        <f t="shared" si="66"/>
        <v>0</v>
      </c>
      <c r="DF79" s="1458">
        <f t="shared" si="69"/>
        <v>0</v>
      </c>
      <c r="DG79" s="1454"/>
    </row>
    <row r="80" spans="1:111" ht="16.350000000000001" customHeight="1" x14ac:dyDescent="0.2">
      <c r="A80" s="9364" t="s">
        <v>2190</v>
      </c>
      <c r="B80" s="9377"/>
      <c r="C80" s="9365"/>
      <c r="D80" s="5077"/>
      <c r="E80" s="5077"/>
      <c r="F80" s="5078"/>
      <c r="G80" s="5079"/>
      <c r="H80" s="5079"/>
      <c r="I80" s="5079"/>
      <c r="J80" s="5079"/>
      <c r="K80" s="1381" t="str">
        <f t="shared" si="67"/>
        <v/>
      </c>
      <c r="L80" s="802"/>
      <c r="M80" s="802"/>
      <c r="N80" s="802"/>
      <c r="O80" s="802"/>
      <c r="P80" s="802"/>
      <c r="Q80" s="802"/>
      <c r="R80" s="802"/>
      <c r="S80" s="290"/>
      <c r="BW80" s="1452"/>
      <c r="BX80" s="1452"/>
      <c r="CA80" s="1457" t="str">
        <f t="shared" si="57"/>
        <v/>
      </c>
      <c r="CB80" s="1457" t="str">
        <f t="shared" si="58"/>
        <v/>
      </c>
      <c r="CC80" s="1457" t="str">
        <f t="shared" si="59"/>
        <v/>
      </c>
      <c r="CD80" s="1457" t="str">
        <f t="shared" si="60"/>
        <v/>
      </c>
      <c r="CE80" s="1457" t="str">
        <f t="shared" si="61"/>
        <v/>
      </c>
      <c r="CF80" s="1457" t="str">
        <f t="shared" si="68"/>
        <v/>
      </c>
      <c r="CG80" s="1457"/>
      <c r="DA80" s="1458">
        <f t="shared" si="62"/>
        <v>0</v>
      </c>
      <c r="DB80" s="1458">
        <f t="shared" si="63"/>
        <v>0</v>
      </c>
      <c r="DC80" s="1458">
        <f t="shared" si="64"/>
        <v>0</v>
      </c>
      <c r="DD80" s="1458">
        <f t="shared" si="65"/>
        <v>0</v>
      </c>
      <c r="DE80" s="1458">
        <f t="shared" si="66"/>
        <v>0</v>
      </c>
      <c r="DF80" s="1458">
        <f t="shared" si="69"/>
        <v>0</v>
      </c>
      <c r="DG80" s="1454"/>
    </row>
    <row r="81" spans="1:112" ht="25.5" customHeight="1" x14ac:dyDescent="0.2">
      <c r="A81" s="2153" t="s">
        <v>2057</v>
      </c>
      <c r="B81" s="235"/>
      <c r="C81" s="1526"/>
      <c r="D81" s="235"/>
      <c r="E81" s="235"/>
      <c r="F81" s="301"/>
      <c r="G81" s="290"/>
      <c r="H81" s="290"/>
      <c r="I81" s="290"/>
      <c r="J81" s="290"/>
      <c r="K81" s="290"/>
      <c r="L81" s="290"/>
      <c r="M81" s="290"/>
      <c r="N81" s="290"/>
      <c r="O81" s="290"/>
      <c r="P81" s="290"/>
      <c r="Q81" s="290"/>
      <c r="R81" s="290"/>
      <c r="BV81" s="1452"/>
      <c r="BW81" s="1452"/>
      <c r="CA81" s="1457"/>
      <c r="CB81" s="1457"/>
      <c r="CC81" s="1457"/>
      <c r="CD81" s="1457"/>
      <c r="CE81" s="1457"/>
      <c r="CF81" s="1457"/>
      <c r="CG81" s="1457"/>
      <c r="DA81" s="1458"/>
      <c r="DB81" s="1458"/>
      <c r="DC81" s="1458"/>
      <c r="DD81" s="1458"/>
      <c r="DE81" s="1458"/>
      <c r="DF81" s="1458"/>
      <c r="DG81" s="1458"/>
    </row>
    <row r="82" spans="1:112" ht="16.350000000000001" customHeight="1" x14ac:dyDescent="0.2">
      <c r="A82" s="9321" t="s">
        <v>1162</v>
      </c>
      <c r="B82" s="8619"/>
      <c r="C82" s="9280"/>
      <c r="D82" s="9369" t="s">
        <v>1161</v>
      </c>
      <c r="E82" s="9335"/>
      <c r="F82" s="9309"/>
      <c r="BV82" s="1452"/>
      <c r="BW82" s="1452"/>
      <c r="CA82" s="1457"/>
      <c r="CB82" s="1457"/>
      <c r="CC82" s="1457"/>
      <c r="CD82" s="1457"/>
      <c r="CE82" s="1457"/>
      <c r="CF82" s="1457"/>
      <c r="CG82" s="1457"/>
      <c r="DA82" s="1458"/>
      <c r="DB82" s="1458"/>
      <c r="DC82" s="1458"/>
      <c r="DD82" s="1458"/>
      <c r="DE82" s="1458"/>
      <c r="DF82" s="1458"/>
      <c r="DG82" s="1458"/>
    </row>
    <row r="83" spans="1:112" ht="32.1" customHeight="1" x14ac:dyDescent="0.2">
      <c r="A83" s="9322"/>
      <c r="B83" s="9297"/>
      <c r="C83" s="9298"/>
      <c r="D83" s="4020" t="s">
        <v>24</v>
      </c>
      <c r="E83" s="3918" t="s">
        <v>17</v>
      </c>
      <c r="F83" s="5080" t="s">
        <v>18</v>
      </c>
      <c r="BV83" s="1452"/>
      <c r="BW83" s="1452"/>
      <c r="CA83" s="1457"/>
      <c r="CB83" s="1457"/>
      <c r="CC83" s="1457"/>
      <c r="CD83" s="1457"/>
      <c r="CE83" s="1457"/>
      <c r="CF83" s="1457"/>
      <c r="CG83" s="1457"/>
      <c r="DA83" s="1458"/>
      <c r="DB83" s="1458"/>
      <c r="DC83" s="1458"/>
      <c r="DD83" s="1458"/>
      <c r="DE83" s="1458"/>
      <c r="DF83" s="1458"/>
      <c r="DG83" s="1458"/>
    </row>
    <row r="84" spans="1:112" ht="16.350000000000001" customHeight="1" x14ac:dyDescent="0.2">
      <c r="A84" s="9362" t="s">
        <v>1160</v>
      </c>
      <c r="B84" s="9373" t="s">
        <v>1159</v>
      </c>
      <c r="C84" s="9374"/>
      <c r="D84" s="2918">
        <f>SUM(E84+F84)</f>
        <v>0</v>
      </c>
      <c r="E84" s="3225"/>
      <c r="F84" s="3059"/>
      <c r="BV84" s="1452"/>
      <c r="BW84" s="1452"/>
      <c r="CA84" s="1457"/>
      <c r="CB84" s="1457"/>
      <c r="CC84" s="1457"/>
      <c r="CD84" s="1457"/>
      <c r="CE84" s="1457"/>
      <c r="CF84" s="1457"/>
      <c r="CG84" s="1457"/>
      <c r="DA84" s="1458"/>
      <c r="DB84" s="1458"/>
      <c r="DC84" s="1458"/>
      <c r="DD84" s="1458"/>
      <c r="DE84" s="1458"/>
      <c r="DF84" s="1458"/>
      <c r="DG84" s="1458"/>
    </row>
    <row r="85" spans="1:112" ht="16.350000000000001" customHeight="1" x14ac:dyDescent="0.2">
      <c r="A85" s="9363"/>
      <c r="B85" s="9375" t="s">
        <v>64</v>
      </c>
      <c r="C85" s="9376"/>
      <c r="D85" s="3325">
        <f>SUM(E85+F85)</f>
        <v>0</v>
      </c>
      <c r="E85" s="3248"/>
      <c r="F85" s="2884"/>
      <c r="BV85" s="1452"/>
      <c r="BW85" s="1452"/>
      <c r="CA85" s="1457"/>
      <c r="CB85" s="1457"/>
      <c r="CC85" s="1457"/>
      <c r="CD85" s="1457"/>
      <c r="CE85" s="1457"/>
      <c r="CF85" s="1457"/>
      <c r="CG85" s="1457"/>
      <c r="DA85" s="1458"/>
      <c r="DB85" s="1458"/>
      <c r="DC85" s="1458"/>
      <c r="DD85" s="1458"/>
      <c r="DE85" s="1458"/>
      <c r="DF85" s="1458"/>
      <c r="DG85" s="1458"/>
    </row>
    <row r="86" spans="1:112" ht="33" customHeight="1" x14ac:dyDescent="0.2">
      <c r="A86" s="133" t="s">
        <v>2048</v>
      </c>
      <c r="B86" s="1527"/>
      <c r="C86" s="1527"/>
      <c r="BV86" s="1452"/>
      <c r="BW86" s="1452"/>
      <c r="CA86" s="1457"/>
      <c r="CB86" s="1457"/>
      <c r="CC86" s="1457"/>
      <c r="CD86" s="1457"/>
      <c r="CE86" s="1457"/>
      <c r="CF86" s="1457"/>
      <c r="CG86" s="1457"/>
      <c r="DA86" s="1458"/>
      <c r="DB86" s="1458"/>
      <c r="DC86" s="1458"/>
      <c r="DD86" s="1458"/>
      <c r="DE86" s="1458"/>
      <c r="DF86" s="1458"/>
      <c r="DG86" s="1458"/>
    </row>
    <row r="87" spans="1:112" ht="27.75" customHeight="1" x14ac:dyDescent="0.2">
      <c r="A87" s="8619" t="s">
        <v>1158</v>
      </c>
      <c r="B87" s="8619"/>
      <c r="C87" s="9280"/>
      <c r="D87" s="9321" t="s">
        <v>24</v>
      </c>
      <c r="E87" s="8619"/>
      <c r="F87" s="9280"/>
      <c r="G87" s="9306" t="s">
        <v>1061</v>
      </c>
      <c r="H87" s="9308"/>
      <c r="I87" s="9308"/>
      <c r="J87" s="9308"/>
      <c r="K87" s="9308"/>
      <c r="L87" s="9308"/>
      <c r="M87" s="9308"/>
      <c r="N87" s="9308"/>
      <c r="O87" s="9308"/>
      <c r="P87" s="9308"/>
      <c r="Q87" s="9308"/>
      <c r="R87" s="9308"/>
      <c r="S87" s="9308"/>
      <c r="T87" s="9308"/>
      <c r="U87" s="9308"/>
      <c r="V87" s="9308"/>
      <c r="W87" s="9308"/>
      <c r="X87" s="9308"/>
      <c r="Y87" s="9308"/>
      <c r="Z87" s="9308"/>
      <c r="AA87" s="9308"/>
      <c r="AB87" s="9308"/>
      <c r="AC87" s="9308"/>
      <c r="AD87" s="9308"/>
      <c r="AE87" s="9308"/>
      <c r="AF87" s="9308"/>
      <c r="AG87" s="9308"/>
      <c r="AH87" s="9308"/>
      <c r="AI87" s="9308"/>
      <c r="AJ87" s="9308"/>
      <c r="AK87" s="9308"/>
      <c r="AL87" s="9308"/>
      <c r="AM87" s="9308"/>
      <c r="AN87" s="9345"/>
      <c r="AO87" s="9307" t="s">
        <v>2527</v>
      </c>
      <c r="AP87" s="9311" t="s">
        <v>112</v>
      </c>
      <c r="AQ87" s="9382" t="s">
        <v>358</v>
      </c>
      <c r="AR87" s="8197" t="s">
        <v>2528</v>
      </c>
      <c r="AS87" s="8197" t="s">
        <v>2529</v>
      </c>
      <c r="AT87" s="9378" t="s">
        <v>2547</v>
      </c>
      <c r="AU87" s="9378" t="s">
        <v>2996</v>
      </c>
      <c r="AV87" s="9378" t="s">
        <v>2685</v>
      </c>
      <c r="AW87" s="9379" t="s">
        <v>359</v>
      </c>
      <c r="BX87" s="1452"/>
      <c r="BY87" s="1452"/>
      <c r="CA87" s="1457"/>
      <c r="CB87" s="1457"/>
      <c r="CC87" s="1457"/>
      <c r="CD87" s="1457"/>
      <c r="CE87" s="1457"/>
      <c r="CF87" s="1457"/>
      <c r="CG87" s="1457"/>
      <c r="DA87" s="1458"/>
      <c r="DB87" s="1458"/>
      <c r="DC87" s="1458"/>
      <c r="DD87" s="1458"/>
      <c r="DE87" s="1458"/>
      <c r="DF87" s="1458"/>
      <c r="DG87" s="1458"/>
    </row>
    <row r="88" spans="1:112" ht="27.75" customHeight="1" x14ac:dyDescent="0.2">
      <c r="A88" s="9254"/>
      <c r="B88" s="9254"/>
      <c r="C88" s="9296"/>
      <c r="D88" s="9322"/>
      <c r="E88" s="9297"/>
      <c r="F88" s="9298"/>
      <c r="G88" s="9304" t="s">
        <v>3675</v>
      </c>
      <c r="H88" s="9305"/>
      <c r="I88" s="9306" t="s">
        <v>1076</v>
      </c>
      <c r="J88" s="9308"/>
      <c r="K88" s="9306" t="s">
        <v>3668</v>
      </c>
      <c r="L88" s="9307"/>
      <c r="M88" s="9306" t="s">
        <v>1075</v>
      </c>
      <c r="N88" s="9307"/>
      <c r="O88" s="9306" t="s">
        <v>1074</v>
      </c>
      <c r="P88" s="9307"/>
      <c r="Q88" s="9306" t="s">
        <v>1045</v>
      </c>
      <c r="R88" s="9307"/>
      <c r="S88" s="9306" t="s">
        <v>1044</v>
      </c>
      <c r="T88" s="9307"/>
      <c r="U88" s="9308" t="s">
        <v>3669</v>
      </c>
      <c r="V88" s="9307"/>
      <c r="W88" s="9306" t="s">
        <v>48</v>
      </c>
      <c r="X88" s="9309"/>
      <c r="Y88" s="9306" t="s">
        <v>49</v>
      </c>
      <c r="Z88" s="9309"/>
      <c r="AA88" s="9306" t="s">
        <v>3736</v>
      </c>
      <c r="AB88" s="9309"/>
      <c r="AC88" s="9306" t="s">
        <v>3737</v>
      </c>
      <c r="AD88" s="9309"/>
      <c r="AE88" s="9306" t="s">
        <v>3738</v>
      </c>
      <c r="AF88" s="9309"/>
      <c r="AG88" s="9306" t="s">
        <v>3739</v>
      </c>
      <c r="AH88" s="9309"/>
      <c r="AI88" s="9306" t="s">
        <v>2127</v>
      </c>
      <c r="AJ88" s="9309"/>
      <c r="AK88" s="9308" t="s">
        <v>2128</v>
      </c>
      <c r="AL88" s="9309"/>
      <c r="AM88" s="9306" t="s">
        <v>2126</v>
      </c>
      <c r="AN88" s="9310"/>
      <c r="AO88" s="9307"/>
      <c r="AP88" s="9311"/>
      <c r="AQ88" s="8161"/>
      <c r="AR88" s="8274"/>
      <c r="AS88" s="8274"/>
      <c r="AT88" s="9378"/>
      <c r="AU88" s="9378"/>
      <c r="AV88" s="9378"/>
      <c r="AW88" s="9380"/>
      <c r="BV88" s="1452"/>
      <c r="BW88" s="1452"/>
      <c r="CA88" s="1457"/>
      <c r="CB88" s="1457"/>
      <c r="CC88" s="1457"/>
      <c r="CD88" s="1457"/>
      <c r="CE88" s="1457"/>
      <c r="CF88" s="1457"/>
      <c r="CG88" s="1457"/>
      <c r="DA88" s="1458"/>
      <c r="DB88" s="1458"/>
      <c r="DC88" s="1458"/>
      <c r="DD88" s="1458"/>
      <c r="DE88" s="1458"/>
      <c r="DF88" s="1458"/>
      <c r="DG88" s="1458"/>
    </row>
    <row r="89" spans="1:112" ht="27.75" customHeight="1" x14ac:dyDescent="0.2">
      <c r="A89" s="9297"/>
      <c r="B89" s="9297"/>
      <c r="C89" s="9298"/>
      <c r="D89" s="3921" t="s">
        <v>42</v>
      </c>
      <c r="E89" s="4972" t="s">
        <v>17</v>
      </c>
      <c r="F89" s="4960" t="s">
        <v>18</v>
      </c>
      <c r="G89" s="3921" t="s">
        <v>17</v>
      </c>
      <c r="H89" s="4960" t="s">
        <v>18</v>
      </c>
      <c r="I89" s="3921" t="s">
        <v>17</v>
      </c>
      <c r="J89" s="4973" t="s">
        <v>18</v>
      </c>
      <c r="K89" s="3921" t="s">
        <v>17</v>
      </c>
      <c r="L89" s="4960" t="s">
        <v>18</v>
      </c>
      <c r="M89" s="3921" t="s">
        <v>17</v>
      </c>
      <c r="N89" s="4960" t="s">
        <v>18</v>
      </c>
      <c r="O89" s="4972" t="s">
        <v>17</v>
      </c>
      <c r="P89" s="4960" t="s">
        <v>18</v>
      </c>
      <c r="Q89" s="4972" t="s">
        <v>17</v>
      </c>
      <c r="R89" s="4960" t="s">
        <v>18</v>
      </c>
      <c r="S89" s="4972" t="s">
        <v>17</v>
      </c>
      <c r="T89" s="4960" t="s">
        <v>18</v>
      </c>
      <c r="U89" s="4972" t="s">
        <v>17</v>
      </c>
      <c r="V89" s="4960" t="s">
        <v>18</v>
      </c>
      <c r="W89" s="4972" t="s">
        <v>17</v>
      </c>
      <c r="X89" s="4960" t="s">
        <v>18</v>
      </c>
      <c r="Y89" s="4972" t="s">
        <v>17</v>
      </c>
      <c r="Z89" s="4960" t="s">
        <v>18</v>
      </c>
      <c r="AA89" s="4972" t="s">
        <v>17</v>
      </c>
      <c r="AB89" s="4960" t="s">
        <v>18</v>
      </c>
      <c r="AC89" s="4972" t="s">
        <v>17</v>
      </c>
      <c r="AD89" s="4960" t="s">
        <v>18</v>
      </c>
      <c r="AE89" s="4972" t="s">
        <v>17</v>
      </c>
      <c r="AF89" s="4960" t="s">
        <v>18</v>
      </c>
      <c r="AG89" s="4972" t="s">
        <v>17</v>
      </c>
      <c r="AH89" s="4960" t="s">
        <v>18</v>
      </c>
      <c r="AI89" s="4972" t="s">
        <v>17</v>
      </c>
      <c r="AJ89" s="4960" t="s">
        <v>18</v>
      </c>
      <c r="AK89" s="4972" t="s">
        <v>17</v>
      </c>
      <c r="AL89" s="4960" t="s">
        <v>18</v>
      </c>
      <c r="AM89" s="4972" t="s">
        <v>17</v>
      </c>
      <c r="AN89" s="4961" t="s">
        <v>18</v>
      </c>
      <c r="AO89" s="9307"/>
      <c r="AP89" s="9311"/>
      <c r="AQ89" s="9383"/>
      <c r="AR89" s="9302"/>
      <c r="AS89" s="9302"/>
      <c r="AT89" s="9378"/>
      <c r="AU89" s="9378"/>
      <c r="AV89" s="9378"/>
      <c r="AW89" s="9381"/>
      <c r="BV89" s="1452"/>
      <c r="BW89" s="1452"/>
      <c r="CA89" s="1457"/>
      <c r="CB89" s="1457"/>
      <c r="CC89" s="1457"/>
      <c r="CD89" s="1457"/>
      <c r="CE89" s="1457"/>
      <c r="CF89" s="1457"/>
      <c r="CG89" s="1457"/>
      <c r="DA89" s="1458"/>
      <c r="DB89" s="1458"/>
      <c r="DC89" s="1458"/>
      <c r="DD89" s="1458"/>
      <c r="DE89" s="1458"/>
      <c r="DF89" s="1458"/>
      <c r="DG89" s="1458"/>
    </row>
    <row r="90" spans="1:112" ht="16.350000000000001" customHeight="1" x14ac:dyDescent="0.2">
      <c r="A90" s="9384" t="s">
        <v>1157</v>
      </c>
      <c r="B90" s="9384"/>
      <c r="C90" s="9384"/>
      <c r="D90" s="3924">
        <f>SUM(E90:F90)</f>
        <v>0</v>
      </c>
      <c r="E90" s="4962">
        <f>SUM(G90+I90+K90+M90+O90+Q90+S90+U90+W90+Y90+AA90+AC90+AE90+AG90+AI90+AK90+AM90)</f>
        <v>0</v>
      </c>
      <c r="F90" s="4964">
        <f>SUM(H90+J90+L90+N90+P90+R90+T90+V90+X90+Z90+AB90+AD90+AF90+AH90+AJ90+AL90+AN90)</f>
        <v>0</v>
      </c>
      <c r="G90" s="4965"/>
      <c r="H90" s="4975"/>
      <c r="I90" s="4965"/>
      <c r="J90" s="4976"/>
      <c r="K90" s="4965"/>
      <c r="L90" s="4975"/>
      <c r="M90" s="4965"/>
      <c r="N90" s="4975"/>
      <c r="O90" s="4909"/>
      <c r="P90" s="4975"/>
      <c r="Q90" s="4909"/>
      <c r="R90" s="4975"/>
      <c r="S90" s="4909"/>
      <c r="T90" s="4975"/>
      <c r="U90" s="4909"/>
      <c r="V90" s="4975"/>
      <c r="W90" s="4909"/>
      <c r="X90" s="4975"/>
      <c r="Y90" s="4909"/>
      <c r="Z90" s="4975"/>
      <c r="AA90" s="4909"/>
      <c r="AB90" s="4975"/>
      <c r="AC90" s="4909"/>
      <c r="AD90" s="4975"/>
      <c r="AE90" s="4909"/>
      <c r="AF90" s="4975"/>
      <c r="AG90" s="4909"/>
      <c r="AH90" s="4975"/>
      <c r="AI90" s="4909"/>
      <c r="AJ90" s="4975"/>
      <c r="AK90" s="4909"/>
      <c r="AL90" s="4975"/>
      <c r="AM90" s="4909"/>
      <c r="AN90" s="4977"/>
      <c r="AO90" s="4023"/>
      <c r="AP90" s="5081"/>
      <c r="AQ90" s="5081"/>
      <c r="AR90" s="5081"/>
      <c r="AS90" s="5081"/>
      <c r="AT90" s="5081"/>
      <c r="AU90" s="5081"/>
      <c r="AV90" s="5081"/>
      <c r="AW90" s="5081"/>
      <c r="AX90" s="1529" t="str">
        <f>$CA90&amp;$CB90&amp;$CC90&amp;$CD90&amp;$CE90&amp;$CF90&amp;$CG90&amp;$CH90</f>
        <v/>
      </c>
      <c r="BU90" s="1452"/>
      <c r="BV90" s="1452"/>
      <c r="BW90" s="1460"/>
      <c r="CA90" s="1457" t="str">
        <f>IF(DA90=1,"* Las consultas de 12 años NO DEBEN ser mayor que el total de Consultas entre 10-14 Años. ","")</f>
        <v/>
      </c>
      <c r="CB90" s="1457" t="str">
        <f t="shared" ref="CB90:CB99" si="70">IF(DB90=1,"* Las consultas de 60 años NO DEBEN ser mayor que el total de Consultas entre 60-64 Años. ","")</f>
        <v/>
      </c>
      <c r="CC90" s="1457" t="str">
        <f t="shared" ref="CC90:CC121" si="71">IF(DC90=1,"* Las actividades de usuarios en situación de discapacidad NO DEBEN superar el total. ","")</f>
        <v/>
      </c>
      <c r="CD90" s="1457" t="str">
        <f t="shared" ref="CD90:CD108" si="72">IF(AND(AP90="",D90&lt;&gt;0),"* Recuerde que las Embarazadas deben ser incluídas en el ingreso por rango Etario (Digite CEROS si no tiene). ",IF(F90&lt;AP90,"* Las Embarazadas NO DEBEN ser mayor al total de mujeres. ",""))</f>
        <v/>
      </c>
      <c r="CE90" s="1457" t="str">
        <f t="shared" ref="CE90:CE121" si="73">IF(AND(AQ90="",D90&lt;&gt;0),"* No olvide digitar la columna Beneficiarios (Digite CEROS si no tiene). ",IF(D90&lt;AQ90,"* El número de Beneficiarios NO DEBE ser mayor que el Total. ",""))</f>
        <v/>
      </c>
      <c r="CF90" s="1457" t="str">
        <f>IF(AND(AU90="",D90&lt;&gt;0),"* No olvide digitar la Población SENAME (Digite CEROS si no tiene). ",IF(D90&lt;AU90,"* La Población SENAME NO DEBE ser mayor al Total. ",""))</f>
        <v/>
      </c>
      <c r="CG90" s="1457" t="str">
        <f>IF(AND(AV90="",D90&lt;&gt;0),"* No olvide digitar la Población Mejor Niñez (Digite CEROS si no tiene). ",IF(D90&lt;AV90,"* La Población Mejor Niñez NO DEBE ser mayor al Total. ",""))</f>
        <v/>
      </c>
      <c r="CH90" s="1457" t="str">
        <f>IF(AND(AW90="",D90&lt;&gt;0),"* No olvide digitar la Población Migrante (Digite CEROS si no tiene). ",IF(D90&lt;AW90,"* La Población Migrante NO DEBE superar el Total. ",""))</f>
        <v/>
      </c>
      <c r="DA90" s="1458">
        <f>IF(AO90&gt;(W90+X90),1,0)</f>
        <v>0</v>
      </c>
      <c r="DB90" s="1458">
        <f t="shared" ref="DB90:DB99" si="74">IF(AR90&gt;(AI90+AJ90),1,0)</f>
        <v>0</v>
      </c>
      <c r="DC90" s="1458">
        <f t="shared" ref="DC90:DC121" si="75">IF(D90&lt;AT90,1,0)</f>
        <v>0</v>
      </c>
      <c r="DD90" s="1458">
        <f t="shared" ref="DD90:DD108" si="76">IF(AND(AP90="",D90&lt;&gt;0),1,IF(F90&lt;AP90,1,0))</f>
        <v>0</v>
      </c>
      <c r="DE90" s="1458">
        <f t="shared" ref="DE90:DE121" si="77">IF(AND(AQ90="",D90&lt;&gt;0),1,IF(D90&lt;AQ90,1,0))</f>
        <v>0</v>
      </c>
      <c r="DF90" s="1458">
        <f t="shared" ref="DF90:DF121" si="78">IF(AND(AV90="",D90&lt;&gt;0),1,IF(D90&lt;AV90,1,0))</f>
        <v>0</v>
      </c>
      <c r="DG90" s="1458">
        <f t="shared" ref="DG90:DG121" si="79">IF(AND(AW90="",D90&lt;&gt;0),1,IF(D90&lt;AW90,1,0))</f>
        <v>0</v>
      </c>
      <c r="DH90" s="1458">
        <f>IF(AND(AU90="",D90&lt;&gt;0),1,IF(D90&lt;AU90,1,0))</f>
        <v>0</v>
      </c>
    </row>
    <row r="91" spans="1:112" x14ac:dyDescent="0.2">
      <c r="A91" s="9385" t="s">
        <v>1156</v>
      </c>
      <c r="B91" s="9385"/>
      <c r="C91" s="9385"/>
      <c r="D91" s="5082">
        <f t="shared" ref="D91:D143" si="80">SUM(E91:F91)</f>
        <v>0</v>
      </c>
      <c r="E91" s="2985">
        <f t="shared" ref="E91:E143" si="81">SUM(G91+I91+K91+M91+O91+Q91+S91+U91+W91+Y91+AA91+AC91+AE91+AG91+AI91+AK91+AM91)</f>
        <v>0</v>
      </c>
      <c r="F91" s="1879">
        <f t="shared" ref="F91:F143" si="82">SUM(H91+J91+L91+N91+P91+R91+T91+V91+X91+Z91+AB91+AD91+AF91+AH91+AJ91+AL91+AN91)</f>
        <v>0</v>
      </c>
      <c r="G91" s="2885"/>
      <c r="H91" s="1882"/>
      <c r="I91" s="2885"/>
      <c r="J91" s="1897"/>
      <c r="K91" s="2885"/>
      <c r="L91" s="1882"/>
      <c r="M91" s="2885"/>
      <c r="N91" s="1882"/>
      <c r="O91" s="2915"/>
      <c r="P91" s="1882"/>
      <c r="Q91" s="2915"/>
      <c r="R91" s="1882"/>
      <c r="S91" s="2915"/>
      <c r="T91" s="1882"/>
      <c r="U91" s="2915"/>
      <c r="V91" s="1882"/>
      <c r="W91" s="2915"/>
      <c r="X91" s="1882"/>
      <c r="Y91" s="2915"/>
      <c r="Z91" s="1882"/>
      <c r="AA91" s="2915"/>
      <c r="AB91" s="1882"/>
      <c r="AC91" s="2915"/>
      <c r="AD91" s="1882"/>
      <c r="AE91" s="2915"/>
      <c r="AF91" s="1882"/>
      <c r="AG91" s="2915"/>
      <c r="AH91" s="1882"/>
      <c r="AI91" s="2915"/>
      <c r="AJ91" s="1882"/>
      <c r="AK91" s="2915"/>
      <c r="AL91" s="1882"/>
      <c r="AM91" s="2915"/>
      <c r="AN91" s="3029"/>
      <c r="AO91" s="2889"/>
      <c r="AP91" s="2889"/>
      <c r="AQ91" s="3600"/>
      <c r="AR91" s="3600"/>
      <c r="AS91" s="3600"/>
      <c r="AT91" s="2889"/>
      <c r="AU91" s="2889"/>
      <c r="AV91" s="2889"/>
      <c r="AW91" s="2889"/>
      <c r="AX91" s="1529" t="str">
        <f t="shared" ref="AX91:AX142" si="83">$CA91&amp;$CB91&amp;$CC91&amp;$CD91&amp;$CE91&amp;$CF91&amp;$CG91&amp;$CH91</f>
        <v/>
      </c>
      <c r="BU91" s="1452"/>
      <c r="BV91" s="1452"/>
      <c r="BW91" s="1460"/>
      <c r="CA91" s="1457" t="str">
        <f>IF(DA91=1,"* Las consultas de 12 años NO DEBEN ser mayor que el total de Consultas entre 10-14 Años. ","")</f>
        <v/>
      </c>
      <c r="CB91" s="1457" t="str">
        <f t="shared" si="70"/>
        <v/>
      </c>
      <c r="CC91" s="1457" t="str">
        <f t="shared" si="71"/>
        <v/>
      </c>
      <c r="CD91" s="1457" t="str">
        <f t="shared" si="72"/>
        <v/>
      </c>
      <c r="CE91" s="1457" t="str">
        <f t="shared" si="73"/>
        <v/>
      </c>
      <c r="CF91" s="1457" t="str">
        <f t="shared" ref="CF91:CF142" si="84">IF(AND(AU91="",D91&lt;&gt;0),"* No olvide digitar la Población SENAME (Digite CEROS si no tiene). ",IF(D91&lt;AU91,"* La Población SENAME NO DEBE ser mayor al Total. ",""))</f>
        <v/>
      </c>
      <c r="CG91" s="1457" t="str">
        <f t="shared" ref="CG91:CG142" si="85">IF(AND(AV91="",D91&lt;&gt;0),"* No olvide digitar la Población Mejor Niñez (Digite CEROS si no tiene). ",IF(D91&lt;AV91,"* La Población Mejor Niñez NO DEBE ser mayor al Total. ",""))</f>
        <v/>
      </c>
      <c r="CH91" s="1457" t="str">
        <f t="shared" ref="CH91:CH142" si="86">IF(AND(AW91="",D91&lt;&gt;0),"* No olvide digitar la Población Migrante (Digite CEROS si no tiene). ",IF(D91&lt;AW91,"* La Población Migrante NO DEBE superar el Total. ",""))</f>
        <v/>
      </c>
      <c r="DA91" s="1458">
        <f>IF(AO91&gt;(W91+X91),1,0)</f>
        <v>0</v>
      </c>
      <c r="DB91" s="1458">
        <f t="shared" si="74"/>
        <v>0</v>
      </c>
      <c r="DC91" s="1458">
        <f t="shared" si="75"/>
        <v>0</v>
      </c>
      <c r="DD91" s="1458">
        <f t="shared" si="76"/>
        <v>0</v>
      </c>
      <c r="DE91" s="1458">
        <f t="shared" si="77"/>
        <v>0</v>
      </c>
      <c r="DF91" s="1458">
        <f t="shared" si="78"/>
        <v>0</v>
      </c>
      <c r="DG91" s="1458">
        <f t="shared" si="79"/>
        <v>0</v>
      </c>
      <c r="DH91" s="1458">
        <f t="shared" ref="DH91:DH142" si="87">IF(AND(AU91="",D91&lt;&gt;0),1,IF(D91&lt;AU91,1,0))</f>
        <v>0</v>
      </c>
    </row>
    <row r="92" spans="1:112" ht="16.350000000000001" customHeight="1" x14ac:dyDescent="0.2">
      <c r="A92" s="9386" t="s">
        <v>2136</v>
      </c>
      <c r="B92" s="9387"/>
      <c r="C92" s="9388"/>
      <c r="D92" s="5082">
        <f t="shared" si="80"/>
        <v>0</v>
      </c>
      <c r="E92" s="2985">
        <f t="shared" si="81"/>
        <v>0</v>
      </c>
      <c r="F92" s="1879">
        <f t="shared" si="82"/>
        <v>0</v>
      </c>
      <c r="G92" s="2885"/>
      <c r="H92" s="3059"/>
      <c r="I92" s="3225"/>
      <c r="J92" s="1779"/>
      <c r="K92" s="3225"/>
      <c r="L92" s="1882"/>
      <c r="M92" s="2885"/>
      <c r="N92" s="1882"/>
      <c r="O92" s="2915"/>
      <c r="P92" s="1882"/>
      <c r="Q92" s="2915"/>
      <c r="R92" s="1882"/>
      <c r="S92" s="2915"/>
      <c r="T92" s="1882"/>
      <c r="U92" s="2915"/>
      <c r="V92" s="1882"/>
      <c r="W92" s="2915"/>
      <c r="X92" s="1882"/>
      <c r="Y92" s="2915"/>
      <c r="Z92" s="1882"/>
      <c r="AA92" s="2915"/>
      <c r="AB92" s="1882"/>
      <c r="AC92" s="2915"/>
      <c r="AD92" s="1882"/>
      <c r="AE92" s="2915"/>
      <c r="AF92" s="1882"/>
      <c r="AG92" s="2915"/>
      <c r="AH92" s="1882"/>
      <c r="AI92" s="2915"/>
      <c r="AJ92" s="1882"/>
      <c r="AK92" s="2915"/>
      <c r="AL92" s="1882"/>
      <c r="AM92" s="2915"/>
      <c r="AN92" s="3029"/>
      <c r="AO92" s="2889"/>
      <c r="AP92" s="2877"/>
      <c r="AQ92" s="4026"/>
      <c r="AR92" s="4026"/>
      <c r="AS92" s="4026"/>
      <c r="AT92" s="2877"/>
      <c r="AU92" s="2877"/>
      <c r="AV92" s="2877"/>
      <c r="AW92" s="2877"/>
      <c r="AX92" s="1529" t="str">
        <f t="shared" si="83"/>
        <v/>
      </c>
      <c r="BV92" s="1452"/>
      <c r="BW92" s="1452"/>
      <c r="CA92" s="1457" t="str">
        <f>IF(DA92=1,"* Las consultas de 12 años NO DEBEN ser mayor que el total de Consultas entre 10-14 Años. ","")</f>
        <v/>
      </c>
      <c r="CB92" s="1457" t="str">
        <f t="shared" si="70"/>
        <v/>
      </c>
      <c r="CC92" s="1457" t="str">
        <f t="shared" si="71"/>
        <v/>
      </c>
      <c r="CD92" s="1457" t="str">
        <f t="shared" si="72"/>
        <v/>
      </c>
      <c r="CE92" s="1457" t="str">
        <f t="shared" si="73"/>
        <v/>
      </c>
      <c r="CF92" s="1457" t="str">
        <f t="shared" si="84"/>
        <v/>
      </c>
      <c r="CG92" s="1457" t="str">
        <f t="shared" si="85"/>
        <v/>
      </c>
      <c r="CH92" s="1457" t="str">
        <f t="shared" si="86"/>
        <v/>
      </c>
      <c r="DA92" s="1458">
        <f>IF(AO92&gt;(W92+X92),1,0)</f>
        <v>0</v>
      </c>
      <c r="DB92" s="1458">
        <f t="shared" si="74"/>
        <v>0</v>
      </c>
      <c r="DC92" s="1458">
        <f t="shared" si="75"/>
        <v>0</v>
      </c>
      <c r="DD92" s="1458">
        <f t="shared" si="76"/>
        <v>0</v>
      </c>
      <c r="DE92" s="1458">
        <f t="shared" si="77"/>
        <v>0</v>
      </c>
      <c r="DF92" s="1458">
        <f t="shared" si="78"/>
        <v>0</v>
      </c>
      <c r="DG92" s="1458">
        <f t="shared" si="79"/>
        <v>0</v>
      </c>
      <c r="DH92" s="1458">
        <f t="shared" si="87"/>
        <v>0</v>
      </c>
    </row>
    <row r="93" spans="1:112" ht="16.350000000000001" customHeight="1" x14ac:dyDescent="0.2">
      <c r="A93" s="9386" t="s">
        <v>1155</v>
      </c>
      <c r="B93" s="9387"/>
      <c r="C93" s="9388"/>
      <c r="D93" s="5082">
        <f t="shared" si="80"/>
        <v>0</v>
      </c>
      <c r="E93" s="2985">
        <f t="shared" si="81"/>
        <v>0</v>
      </c>
      <c r="F93" s="1879">
        <f t="shared" si="82"/>
        <v>0</v>
      </c>
      <c r="G93" s="2885"/>
      <c r="H93" s="3059"/>
      <c r="I93" s="3225"/>
      <c r="J93" s="1779"/>
      <c r="K93" s="3225"/>
      <c r="L93" s="1882"/>
      <c r="M93" s="2885"/>
      <c r="N93" s="1882"/>
      <c r="O93" s="2915"/>
      <c r="P93" s="1882"/>
      <c r="Q93" s="2915"/>
      <c r="R93" s="1882"/>
      <c r="S93" s="2915"/>
      <c r="T93" s="1882"/>
      <c r="U93" s="2915"/>
      <c r="V93" s="1882"/>
      <c r="W93" s="2915"/>
      <c r="X93" s="1882"/>
      <c r="Y93" s="2915"/>
      <c r="Z93" s="1882"/>
      <c r="AA93" s="2915"/>
      <c r="AB93" s="1882"/>
      <c r="AC93" s="2915"/>
      <c r="AD93" s="1882"/>
      <c r="AE93" s="2915"/>
      <c r="AF93" s="1882"/>
      <c r="AG93" s="2915"/>
      <c r="AH93" s="1882"/>
      <c r="AI93" s="2915"/>
      <c r="AJ93" s="1882"/>
      <c r="AK93" s="2915"/>
      <c r="AL93" s="1882"/>
      <c r="AM93" s="2915"/>
      <c r="AN93" s="3029"/>
      <c r="AO93" s="2889"/>
      <c r="AP93" s="2877"/>
      <c r="AQ93" s="4026"/>
      <c r="AR93" s="4026"/>
      <c r="AS93" s="4026"/>
      <c r="AT93" s="2877"/>
      <c r="AU93" s="2877"/>
      <c r="AV93" s="2877"/>
      <c r="AW93" s="2877"/>
      <c r="AX93" s="1529" t="str">
        <f t="shared" si="83"/>
        <v/>
      </c>
      <c r="BV93" s="1452"/>
      <c r="BW93" s="1452"/>
      <c r="CA93" s="1457" t="str">
        <f>IF(DA93=1,"* Las consultas de 12 años NO DEBEN ser mayor que el total de Consultas entre 10-14 Años. ","")</f>
        <v/>
      </c>
      <c r="CB93" s="1457" t="str">
        <f t="shared" si="70"/>
        <v/>
      </c>
      <c r="CC93" s="1457" t="str">
        <f t="shared" si="71"/>
        <v/>
      </c>
      <c r="CD93" s="1457" t="str">
        <f t="shared" si="72"/>
        <v/>
      </c>
      <c r="CE93" s="1457" t="str">
        <f t="shared" si="73"/>
        <v/>
      </c>
      <c r="CF93" s="1457" t="str">
        <f t="shared" si="84"/>
        <v/>
      </c>
      <c r="CG93" s="1457" t="str">
        <f t="shared" si="85"/>
        <v/>
      </c>
      <c r="CH93" s="1457" t="str">
        <f t="shared" si="86"/>
        <v/>
      </c>
      <c r="DA93" s="1458">
        <f>IF(AO93&gt;(W93+X93),1,0)</f>
        <v>0</v>
      </c>
      <c r="DB93" s="1458">
        <f t="shared" si="74"/>
        <v>0</v>
      </c>
      <c r="DC93" s="1458">
        <f t="shared" si="75"/>
        <v>0</v>
      </c>
      <c r="DD93" s="1458">
        <f t="shared" si="76"/>
        <v>0</v>
      </c>
      <c r="DE93" s="1458">
        <f t="shared" si="77"/>
        <v>0</v>
      </c>
      <c r="DF93" s="1458">
        <f t="shared" si="78"/>
        <v>0</v>
      </c>
      <c r="DG93" s="1458">
        <f t="shared" si="79"/>
        <v>0</v>
      </c>
      <c r="DH93" s="1458">
        <f t="shared" si="87"/>
        <v>0</v>
      </c>
    </row>
    <row r="94" spans="1:112" ht="16.350000000000001" customHeight="1" x14ac:dyDescent="0.2">
      <c r="A94" s="9386" t="s">
        <v>1154</v>
      </c>
      <c r="B94" s="9387"/>
      <c r="C94" s="9388"/>
      <c r="D94" s="5082">
        <f t="shared" si="80"/>
        <v>0</v>
      </c>
      <c r="E94" s="2985">
        <f t="shared" si="81"/>
        <v>0</v>
      </c>
      <c r="F94" s="1879">
        <f>SUM(H94+J94+L94+N94+P94+R94+T94+V94+X94+Z94+AB94+AD94+AF94+AH94+AJ94+AL94+AN94)</f>
        <v>0</v>
      </c>
      <c r="G94" s="2885"/>
      <c r="H94" s="3059"/>
      <c r="I94" s="3225"/>
      <c r="J94" s="1779"/>
      <c r="K94" s="3225"/>
      <c r="L94" s="1882"/>
      <c r="M94" s="2885"/>
      <c r="N94" s="1882"/>
      <c r="O94" s="2915"/>
      <c r="P94" s="1882"/>
      <c r="Q94" s="2915"/>
      <c r="R94" s="1882"/>
      <c r="S94" s="2915"/>
      <c r="T94" s="1882"/>
      <c r="U94" s="2915"/>
      <c r="V94" s="1882"/>
      <c r="W94" s="2915"/>
      <c r="X94" s="1882"/>
      <c r="Y94" s="2915"/>
      <c r="Z94" s="1882"/>
      <c r="AA94" s="2915"/>
      <c r="AB94" s="1882"/>
      <c r="AC94" s="2915"/>
      <c r="AD94" s="1882"/>
      <c r="AE94" s="2915"/>
      <c r="AF94" s="1882"/>
      <c r="AG94" s="2915"/>
      <c r="AH94" s="1882"/>
      <c r="AI94" s="2915"/>
      <c r="AJ94" s="1882"/>
      <c r="AK94" s="2915"/>
      <c r="AL94" s="1882"/>
      <c r="AM94" s="2915"/>
      <c r="AN94" s="3029"/>
      <c r="AO94" s="2889"/>
      <c r="AP94" s="2877"/>
      <c r="AQ94" s="4026"/>
      <c r="AR94" s="4026"/>
      <c r="AS94" s="4026"/>
      <c r="AT94" s="2877"/>
      <c r="AU94" s="2877"/>
      <c r="AV94" s="2877"/>
      <c r="AW94" s="2877"/>
      <c r="AX94" s="1529" t="str">
        <f t="shared" si="83"/>
        <v/>
      </c>
      <c r="BV94" s="1452"/>
      <c r="BW94" s="1452"/>
      <c r="CA94" s="1457" t="str">
        <f>IF(DA94=1,"* Las consultas de 12 años NO DEBEN ser mayor que el total de Consultas entre 10-14 Años. ","")</f>
        <v/>
      </c>
      <c r="CB94" s="1457" t="str">
        <f t="shared" si="70"/>
        <v/>
      </c>
      <c r="CC94" s="1457" t="str">
        <f t="shared" si="71"/>
        <v/>
      </c>
      <c r="CD94" s="1457" t="str">
        <f t="shared" si="72"/>
        <v/>
      </c>
      <c r="CE94" s="1457" t="str">
        <f t="shared" si="73"/>
        <v/>
      </c>
      <c r="CF94" s="1457" t="str">
        <f t="shared" si="84"/>
        <v/>
      </c>
      <c r="CG94" s="1457" t="str">
        <f t="shared" si="85"/>
        <v/>
      </c>
      <c r="CH94" s="1457" t="str">
        <f t="shared" si="86"/>
        <v/>
      </c>
      <c r="DA94" s="1458">
        <f>IF(AO94&gt;(W94+X94),1,0)</f>
        <v>0</v>
      </c>
      <c r="DB94" s="1458">
        <f t="shared" si="74"/>
        <v>0</v>
      </c>
      <c r="DC94" s="1458">
        <f t="shared" si="75"/>
        <v>0</v>
      </c>
      <c r="DD94" s="1458">
        <f t="shared" si="76"/>
        <v>0</v>
      </c>
      <c r="DE94" s="1458">
        <f t="shared" si="77"/>
        <v>0</v>
      </c>
      <c r="DF94" s="1458">
        <f t="shared" si="78"/>
        <v>0</v>
      </c>
      <c r="DG94" s="1458">
        <f t="shared" si="79"/>
        <v>0</v>
      </c>
      <c r="DH94" s="1458">
        <f t="shared" si="87"/>
        <v>0</v>
      </c>
    </row>
    <row r="95" spans="1:112" ht="16.350000000000001" customHeight="1" x14ac:dyDescent="0.2">
      <c r="A95" s="9386" t="s">
        <v>1153</v>
      </c>
      <c r="B95" s="9387"/>
      <c r="C95" s="9388"/>
      <c r="D95" s="5082">
        <f t="shared" si="80"/>
        <v>0</v>
      </c>
      <c r="E95" s="2985">
        <f>SUM(Y95+AA95+AC95+AE95+AG95+AI95+AK95+AM95)</f>
        <v>0</v>
      </c>
      <c r="F95" s="1879">
        <f>SUM(Z95+AB95+AD95+AF95+AH95+AJ95+AL95+AN95)</f>
        <v>0</v>
      </c>
      <c r="G95" s="5083"/>
      <c r="H95" s="1894"/>
      <c r="I95" s="5083"/>
      <c r="J95" s="1978"/>
      <c r="K95" s="5083"/>
      <c r="L95" s="1894"/>
      <c r="M95" s="5083"/>
      <c r="N95" s="1894"/>
      <c r="O95" s="5084"/>
      <c r="P95" s="1894"/>
      <c r="Q95" s="5084"/>
      <c r="R95" s="1894"/>
      <c r="S95" s="5084"/>
      <c r="T95" s="1894"/>
      <c r="U95" s="5084"/>
      <c r="V95" s="1894"/>
      <c r="W95" s="5084"/>
      <c r="X95" s="1894"/>
      <c r="Y95" s="2915"/>
      <c r="Z95" s="1882"/>
      <c r="AA95" s="2915"/>
      <c r="AB95" s="1882"/>
      <c r="AC95" s="2915"/>
      <c r="AD95" s="1882"/>
      <c r="AE95" s="2915"/>
      <c r="AF95" s="1882"/>
      <c r="AG95" s="2915"/>
      <c r="AH95" s="1882"/>
      <c r="AI95" s="2915"/>
      <c r="AJ95" s="1882"/>
      <c r="AK95" s="2915"/>
      <c r="AL95" s="1882"/>
      <c r="AM95" s="2915"/>
      <c r="AN95" s="3029"/>
      <c r="AO95" s="5085"/>
      <c r="AP95" s="2877"/>
      <c r="AQ95" s="4026"/>
      <c r="AR95" s="4026"/>
      <c r="AS95" s="4026"/>
      <c r="AT95" s="2877"/>
      <c r="AU95" s="2877"/>
      <c r="AV95" s="2877"/>
      <c r="AW95" s="2877"/>
      <c r="AX95" s="1529" t="str">
        <f t="shared" si="83"/>
        <v/>
      </c>
      <c r="BV95" s="1452"/>
      <c r="BW95" s="1452"/>
      <c r="CA95" s="1457"/>
      <c r="CB95" s="1457" t="str">
        <f t="shared" si="70"/>
        <v/>
      </c>
      <c r="CC95" s="1457" t="str">
        <f t="shared" si="71"/>
        <v/>
      </c>
      <c r="CD95" s="1457" t="str">
        <f t="shared" si="72"/>
        <v/>
      </c>
      <c r="CE95" s="1457" t="str">
        <f t="shared" si="73"/>
        <v/>
      </c>
      <c r="CF95" s="1457" t="str">
        <f t="shared" si="84"/>
        <v/>
      </c>
      <c r="CG95" s="1457" t="str">
        <f t="shared" si="85"/>
        <v/>
      </c>
      <c r="CH95" s="1457" t="str">
        <f t="shared" si="86"/>
        <v/>
      </c>
      <c r="DA95" s="1458"/>
      <c r="DB95" s="1458">
        <f t="shared" si="74"/>
        <v>0</v>
      </c>
      <c r="DC95" s="1458">
        <f t="shared" si="75"/>
        <v>0</v>
      </c>
      <c r="DD95" s="1458">
        <f t="shared" si="76"/>
        <v>0</v>
      </c>
      <c r="DE95" s="1458">
        <f t="shared" si="77"/>
        <v>0</v>
      </c>
      <c r="DF95" s="1458">
        <f t="shared" si="78"/>
        <v>0</v>
      </c>
      <c r="DG95" s="1458">
        <f t="shared" si="79"/>
        <v>0</v>
      </c>
      <c r="DH95" s="1458">
        <f t="shared" si="87"/>
        <v>0</v>
      </c>
    </row>
    <row r="96" spans="1:112" ht="16.350000000000001" customHeight="1" x14ac:dyDescent="0.2">
      <c r="A96" s="9385" t="s">
        <v>1152</v>
      </c>
      <c r="B96" s="9385"/>
      <c r="C96" s="9385"/>
      <c r="D96" s="5082">
        <f t="shared" si="80"/>
        <v>0</v>
      </c>
      <c r="E96" s="2985">
        <f t="shared" si="81"/>
        <v>0</v>
      </c>
      <c r="F96" s="1879">
        <f t="shared" si="82"/>
        <v>0</v>
      </c>
      <c r="G96" s="2885"/>
      <c r="H96" s="1882"/>
      <c r="I96" s="2885"/>
      <c r="J96" s="1897"/>
      <c r="K96" s="2885"/>
      <c r="L96" s="1882"/>
      <c r="M96" s="2885"/>
      <c r="N96" s="1882"/>
      <c r="O96" s="2915"/>
      <c r="P96" s="1882"/>
      <c r="Q96" s="2915"/>
      <c r="R96" s="1882"/>
      <c r="S96" s="2915"/>
      <c r="T96" s="1882"/>
      <c r="U96" s="2915"/>
      <c r="V96" s="1882"/>
      <c r="W96" s="2915"/>
      <c r="X96" s="1882"/>
      <c r="Y96" s="2915"/>
      <c r="Z96" s="1882"/>
      <c r="AA96" s="2915"/>
      <c r="AB96" s="1882"/>
      <c r="AC96" s="2915"/>
      <c r="AD96" s="1882"/>
      <c r="AE96" s="2915"/>
      <c r="AF96" s="1882"/>
      <c r="AG96" s="2915"/>
      <c r="AH96" s="1882"/>
      <c r="AI96" s="2915"/>
      <c r="AJ96" s="1882"/>
      <c r="AK96" s="2915"/>
      <c r="AL96" s="1882"/>
      <c r="AM96" s="2915"/>
      <c r="AN96" s="3029"/>
      <c r="AO96" s="2889"/>
      <c r="AP96" s="2889"/>
      <c r="AQ96" s="3600"/>
      <c r="AR96" s="3600"/>
      <c r="AS96" s="3600"/>
      <c r="AT96" s="2889"/>
      <c r="AU96" s="2889"/>
      <c r="AV96" s="2889"/>
      <c r="AW96" s="2889"/>
      <c r="AX96" s="1529" t="str">
        <f t="shared" si="83"/>
        <v/>
      </c>
      <c r="BV96" s="1452"/>
      <c r="BW96" s="1452"/>
      <c r="CA96" s="1457" t="str">
        <f>IF(DA96=1,"* Las consultas de 12 años NO DEBEN ser mayor que el total de Consultas entre 10-14 Años. ","")</f>
        <v/>
      </c>
      <c r="CB96" s="1457" t="str">
        <f t="shared" si="70"/>
        <v/>
      </c>
      <c r="CC96" s="1457" t="str">
        <f t="shared" si="71"/>
        <v/>
      </c>
      <c r="CD96" s="1457" t="str">
        <f t="shared" si="72"/>
        <v/>
      </c>
      <c r="CE96" s="1457" t="str">
        <f t="shared" si="73"/>
        <v/>
      </c>
      <c r="CF96" s="1457" t="str">
        <f t="shared" si="84"/>
        <v/>
      </c>
      <c r="CG96" s="1457" t="str">
        <f t="shared" si="85"/>
        <v/>
      </c>
      <c r="CH96" s="1457" t="str">
        <f t="shared" si="86"/>
        <v/>
      </c>
      <c r="DA96" s="1458">
        <f>IF(AO96&gt;(W96+X96),1,0)</f>
        <v>0</v>
      </c>
      <c r="DB96" s="1458">
        <f t="shared" si="74"/>
        <v>0</v>
      </c>
      <c r="DC96" s="1458">
        <f t="shared" si="75"/>
        <v>0</v>
      </c>
      <c r="DD96" s="1458">
        <f t="shared" si="76"/>
        <v>0</v>
      </c>
      <c r="DE96" s="1458">
        <f t="shared" si="77"/>
        <v>0</v>
      </c>
      <c r="DF96" s="1458">
        <f t="shared" si="78"/>
        <v>0</v>
      </c>
      <c r="DG96" s="1458">
        <f t="shared" si="79"/>
        <v>0</v>
      </c>
      <c r="DH96" s="1458">
        <f t="shared" si="87"/>
        <v>0</v>
      </c>
    </row>
    <row r="97" spans="1:112" ht="16.350000000000001" customHeight="1" x14ac:dyDescent="0.2">
      <c r="A97" s="9392" t="s">
        <v>1151</v>
      </c>
      <c r="B97" s="9392"/>
      <c r="C97" s="9392"/>
      <c r="D97" s="5082">
        <f t="shared" si="80"/>
        <v>0</v>
      </c>
      <c r="E97" s="2985">
        <f t="shared" si="81"/>
        <v>0</v>
      </c>
      <c r="F97" s="1879">
        <f t="shared" si="82"/>
        <v>0</v>
      </c>
      <c r="G97" s="2885"/>
      <c r="H97" s="1882"/>
      <c r="I97" s="2885"/>
      <c r="J97" s="1897"/>
      <c r="K97" s="2885"/>
      <c r="L97" s="1882"/>
      <c r="M97" s="2885"/>
      <c r="N97" s="1882"/>
      <c r="O97" s="2915"/>
      <c r="P97" s="1882"/>
      <c r="Q97" s="2915"/>
      <c r="R97" s="1882"/>
      <c r="S97" s="2915"/>
      <c r="T97" s="1882"/>
      <c r="U97" s="2915"/>
      <c r="V97" s="1882"/>
      <c r="W97" s="2915"/>
      <c r="X97" s="1882"/>
      <c r="Y97" s="2915"/>
      <c r="Z97" s="1882"/>
      <c r="AA97" s="2915"/>
      <c r="AB97" s="1882"/>
      <c r="AC97" s="2915"/>
      <c r="AD97" s="1882"/>
      <c r="AE97" s="2915"/>
      <c r="AF97" s="1882"/>
      <c r="AG97" s="2915"/>
      <c r="AH97" s="1882"/>
      <c r="AI97" s="2915"/>
      <c r="AJ97" s="1882"/>
      <c r="AK97" s="2915"/>
      <c r="AL97" s="1882"/>
      <c r="AM97" s="2915"/>
      <c r="AN97" s="3029"/>
      <c r="AO97" s="2889"/>
      <c r="AP97" s="2889"/>
      <c r="AQ97" s="3600"/>
      <c r="AR97" s="3600"/>
      <c r="AS97" s="3600"/>
      <c r="AT97" s="2889"/>
      <c r="AU97" s="2889"/>
      <c r="AV97" s="2889"/>
      <c r="AW97" s="2889"/>
      <c r="AX97" s="1529" t="str">
        <f t="shared" si="83"/>
        <v/>
      </c>
      <c r="BV97" s="1452"/>
      <c r="BW97" s="1452"/>
      <c r="CA97" s="1457" t="str">
        <f>IF(DA97=1,"* Las consultas de 12 años NO DEBEN ser mayor que el total de Consultas entre 10-14 Años. ","")</f>
        <v/>
      </c>
      <c r="CB97" s="1457" t="str">
        <f t="shared" si="70"/>
        <v/>
      </c>
      <c r="CC97" s="1457" t="str">
        <f t="shared" si="71"/>
        <v/>
      </c>
      <c r="CD97" s="1457" t="str">
        <f t="shared" si="72"/>
        <v/>
      </c>
      <c r="CE97" s="1457" t="str">
        <f t="shared" si="73"/>
        <v/>
      </c>
      <c r="CF97" s="1457" t="str">
        <f t="shared" si="84"/>
        <v/>
      </c>
      <c r="CG97" s="1457" t="str">
        <f t="shared" si="85"/>
        <v/>
      </c>
      <c r="CH97" s="1457" t="str">
        <f t="shared" si="86"/>
        <v/>
      </c>
      <c r="DA97" s="1458">
        <f>IF(AO97&gt;(W97+X97),1,0)</f>
        <v>0</v>
      </c>
      <c r="DB97" s="1458">
        <f t="shared" si="74"/>
        <v>0</v>
      </c>
      <c r="DC97" s="1458">
        <f t="shared" si="75"/>
        <v>0</v>
      </c>
      <c r="DD97" s="1458">
        <f t="shared" si="76"/>
        <v>0</v>
      </c>
      <c r="DE97" s="1458">
        <f t="shared" si="77"/>
        <v>0</v>
      </c>
      <c r="DF97" s="1458">
        <f t="shared" si="78"/>
        <v>0</v>
      </c>
      <c r="DG97" s="1458">
        <f t="shared" si="79"/>
        <v>0</v>
      </c>
      <c r="DH97" s="1458">
        <f t="shared" si="87"/>
        <v>0</v>
      </c>
    </row>
    <row r="98" spans="1:112" ht="16.350000000000001" customHeight="1" x14ac:dyDescent="0.2">
      <c r="A98" s="9331" t="s">
        <v>1150</v>
      </c>
      <c r="B98" s="9332"/>
      <c r="C98" s="9333"/>
      <c r="D98" s="5082">
        <f t="shared" si="80"/>
        <v>0</v>
      </c>
      <c r="E98" s="2985">
        <f t="shared" si="81"/>
        <v>0</v>
      </c>
      <c r="F98" s="1879">
        <f t="shared" si="82"/>
        <v>0</v>
      </c>
      <c r="G98" s="2885"/>
      <c r="H98" s="3059"/>
      <c r="I98" s="3225"/>
      <c r="J98" s="1779"/>
      <c r="K98" s="3225"/>
      <c r="L98" s="1882"/>
      <c r="M98" s="2885"/>
      <c r="N98" s="1882"/>
      <c r="O98" s="2915"/>
      <c r="P98" s="1882"/>
      <c r="Q98" s="2915"/>
      <c r="R98" s="1882"/>
      <c r="S98" s="2915"/>
      <c r="T98" s="1882"/>
      <c r="U98" s="2915"/>
      <c r="V98" s="1882"/>
      <c r="W98" s="2915"/>
      <c r="X98" s="1882"/>
      <c r="Y98" s="2915"/>
      <c r="Z98" s="1882"/>
      <c r="AA98" s="2915"/>
      <c r="AB98" s="1882"/>
      <c r="AC98" s="2915"/>
      <c r="AD98" s="1882"/>
      <c r="AE98" s="2915"/>
      <c r="AF98" s="1882"/>
      <c r="AG98" s="2915"/>
      <c r="AH98" s="1882"/>
      <c r="AI98" s="2915"/>
      <c r="AJ98" s="1882"/>
      <c r="AK98" s="2915"/>
      <c r="AL98" s="1882"/>
      <c r="AM98" s="2915"/>
      <c r="AN98" s="3029"/>
      <c r="AO98" s="2889"/>
      <c r="AP98" s="2877"/>
      <c r="AQ98" s="4026"/>
      <c r="AR98" s="4026"/>
      <c r="AS98" s="4026"/>
      <c r="AT98" s="2877"/>
      <c r="AU98" s="2877"/>
      <c r="AV98" s="2877"/>
      <c r="AW98" s="2877"/>
      <c r="AX98" s="1529" t="str">
        <f t="shared" si="83"/>
        <v/>
      </c>
      <c r="BV98" s="1452"/>
      <c r="BW98" s="1452"/>
      <c r="CA98" s="1457" t="str">
        <f>IF(DA98=1,"* Las consultas de 12 años NO DEBEN ser mayor que el total de Consultas entre 10-14 Años. ","")</f>
        <v/>
      </c>
      <c r="CB98" s="1457" t="str">
        <f t="shared" si="70"/>
        <v/>
      </c>
      <c r="CC98" s="1457" t="str">
        <f t="shared" si="71"/>
        <v/>
      </c>
      <c r="CD98" s="1457" t="str">
        <f t="shared" si="72"/>
        <v/>
      </c>
      <c r="CE98" s="1457" t="str">
        <f t="shared" si="73"/>
        <v/>
      </c>
      <c r="CF98" s="1457" t="str">
        <f t="shared" si="84"/>
        <v/>
      </c>
      <c r="CG98" s="1457" t="str">
        <f t="shared" si="85"/>
        <v/>
      </c>
      <c r="CH98" s="1457" t="str">
        <f t="shared" si="86"/>
        <v/>
      </c>
      <c r="DA98" s="1458">
        <f>IF(AO98&gt;(W98+X98),1,0)</f>
        <v>0</v>
      </c>
      <c r="DB98" s="1458">
        <f t="shared" si="74"/>
        <v>0</v>
      </c>
      <c r="DC98" s="1458">
        <f t="shared" si="75"/>
        <v>0</v>
      </c>
      <c r="DD98" s="1458">
        <f t="shared" si="76"/>
        <v>0</v>
      </c>
      <c r="DE98" s="1458">
        <f t="shared" si="77"/>
        <v>0</v>
      </c>
      <c r="DF98" s="1458">
        <f t="shared" si="78"/>
        <v>0</v>
      </c>
      <c r="DG98" s="1458">
        <f t="shared" si="79"/>
        <v>0</v>
      </c>
      <c r="DH98" s="1458">
        <f t="shared" si="87"/>
        <v>0</v>
      </c>
    </row>
    <row r="99" spans="1:112" ht="16.350000000000001" customHeight="1" x14ac:dyDescent="0.2">
      <c r="A99" s="9386" t="s">
        <v>1149</v>
      </c>
      <c r="B99" s="9387"/>
      <c r="C99" s="9388"/>
      <c r="D99" s="5082">
        <f t="shared" si="80"/>
        <v>0</v>
      </c>
      <c r="E99" s="2985">
        <f>SUM(Y99+AA99+AC99+AE99+AG99+AI99+AK99+AM99)</f>
        <v>0</v>
      </c>
      <c r="F99" s="1879">
        <f>SUM(Z99+AB99+AD99+AF99+AH99+AJ99+AL99+AN99)</f>
        <v>0</v>
      </c>
      <c r="G99" s="5083"/>
      <c r="H99" s="1894"/>
      <c r="I99" s="5083"/>
      <c r="J99" s="1978"/>
      <c r="K99" s="5083"/>
      <c r="L99" s="1894"/>
      <c r="M99" s="5083"/>
      <c r="N99" s="1894"/>
      <c r="O99" s="5084"/>
      <c r="P99" s="1894"/>
      <c r="Q99" s="5084"/>
      <c r="R99" s="1894"/>
      <c r="S99" s="5084"/>
      <c r="T99" s="1894"/>
      <c r="U99" s="5084"/>
      <c r="V99" s="1894"/>
      <c r="W99" s="5084"/>
      <c r="X99" s="1894"/>
      <c r="Y99" s="2915"/>
      <c r="Z99" s="1882"/>
      <c r="AA99" s="2915"/>
      <c r="AB99" s="1882"/>
      <c r="AC99" s="2915"/>
      <c r="AD99" s="1882"/>
      <c r="AE99" s="2915"/>
      <c r="AF99" s="1882"/>
      <c r="AG99" s="2915"/>
      <c r="AH99" s="1882"/>
      <c r="AI99" s="2915"/>
      <c r="AJ99" s="1882"/>
      <c r="AK99" s="2915"/>
      <c r="AL99" s="1882"/>
      <c r="AM99" s="2915"/>
      <c r="AN99" s="3029"/>
      <c r="AO99" s="5085"/>
      <c r="AP99" s="2877"/>
      <c r="AQ99" s="4026"/>
      <c r="AR99" s="4026"/>
      <c r="AS99" s="4026"/>
      <c r="AT99" s="2877"/>
      <c r="AU99" s="2877"/>
      <c r="AV99" s="2877"/>
      <c r="AW99" s="2877"/>
      <c r="AX99" s="1529" t="str">
        <f t="shared" si="83"/>
        <v/>
      </c>
      <c r="BV99" s="1452"/>
      <c r="BW99" s="1452"/>
      <c r="CA99" s="1457"/>
      <c r="CB99" s="1457" t="str">
        <f t="shared" si="70"/>
        <v/>
      </c>
      <c r="CC99" s="1457" t="str">
        <f t="shared" si="71"/>
        <v/>
      </c>
      <c r="CD99" s="1457" t="str">
        <f t="shared" si="72"/>
        <v/>
      </c>
      <c r="CE99" s="1457" t="str">
        <f t="shared" si="73"/>
        <v/>
      </c>
      <c r="CF99" s="1457" t="str">
        <f t="shared" si="84"/>
        <v/>
      </c>
      <c r="CG99" s="1457" t="str">
        <f t="shared" si="85"/>
        <v/>
      </c>
      <c r="CH99" s="1457" t="str">
        <f t="shared" si="86"/>
        <v/>
      </c>
      <c r="DA99" s="1458"/>
      <c r="DB99" s="1458">
        <f t="shared" si="74"/>
        <v>0</v>
      </c>
      <c r="DC99" s="1458">
        <f t="shared" si="75"/>
        <v>0</v>
      </c>
      <c r="DD99" s="1458">
        <f t="shared" si="76"/>
        <v>0</v>
      </c>
      <c r="DE99" s="1458">
        <f t="shared" si="77"/>
        <v>0</v>
      </c>
      <c r="DF99" s="1458">
        <f t="shared" si="78"/>
        <v>0</v>
      </c>
      <c r="DG99" s="1458">
        <f t="shared" si="79"/>
        <v>0</v>
      </c>
      <c r="DH99" s="1458">
        <f t="shared" si="87"/>
        <v>0</v>
      </c>
    </row>
    <row r="100" spans="1:112" ht="16.350000000000001" customHeight="1" x14ac:dyDescent="0.2">
      <c r="A100" s="9385" t="s">
        <v>2086</v>
      </c>
      <c r="B100" s="9385"/>
      <c r="C100" s="9385"/>
      <c r="D100" s="5082">
        <f t="shared" si="80"/>
        <v>0</v>
      </c>
      <c r="E100" s="2985">
        <f>SUM(G100+I100+K100+M100+O100+Q100+S100+U100+W100+Y100)</f>
        <v>0</v>
      </c>
      <c r="F100" s="1879">
        <f>SUM(H100+J100+L100+N100+P100+R100+T100+V100+X100+Z100)</f>
        <v>0</v>
      </c>
      <c r="G100" s="2885"/>
      <c r="H100" s="1882"/>
      <c r="I100" s="2885"/>
      <c r="J100" s="1897"/>
      <c r="K100" s="3225"/>
      <c r="L100" s="1882"/>
      <c r="M100" s="2885"/>
      <c r="N100" s="1882"/>
      <c r="O100" s="2915"/>
      <c r="P100" s="1882"/>
      <c r="Q100" s="2915"/>
      <c r="R100" s="1882"/>
      <c r="S100" s="2915"/>
      <c r="T100" s="1882"/>
      <c r="U100" s="2915"/>
      <c r="V100" s="1882"/>
      <c r="W100" s="2915"/>
      <c r="X100" s="1882"/>
      <c r="Y100" s="2915"/>
      <c r="Z100" s="1882"/>
      <c r="AA100" s="5084"/>
      <c r="AB100" s="1894"/>
      <c r="AC100" s="5084"/>
      <c r="AD100" s="1894"/>
      <c r="AE100" s="5084"/>
      <c r="AF100" s="1894"/>
      <c r="AG100" s="5084"/>
      <c r="AH100" s="1894"/>
      <c r="AI100" s="5084"/>
      <c r="AJ100" s="1894"/>
      <c r="AK100" s="5084"/>
      <c r="AL100" s="1894"/>
      <c r="AM100" s="5084"/>
      <c r="AN100" s="5086"/>
      <c r="AO100" s="2889"/>
      <c r="AP100" s="2889"/>
      <c r="AQ100" s="3600"/>
      <c r="AR100" s="5087"/>
      <c r="AS100" s="3600"/>
      <c r="AT100" s="2889"/>
      <c r="AU100" s="2889"/>
      <c r="AV100" s="2889"/>
      <c r="AW100" s="2889"/>
      <c r="AX100" s="1529" t="str">
        <f t="shared" si="83"/>
        <v/>
      </c>
      <c r="BV100" s="1452"/>
      <c r="BW100" s="1452"/>
      <c r="CA100" s="1457" t="str">
        <f t="shared" ref="CA100:CA118" si="88">IF(DA100=1,"* Las consultas de 12 años NO DEBEN ser mayor que el total de Consultas entre 10-14 Años. ","")</f>
        <v/>
      </c>
      <c r="CB100" s="1457"/>
      <c r="CC100" s="1457" t="str">
        <f t="shared" si="71"/>
        <v/>
      </c>
      <c r="CD100" s="1457" t="str">
        <f t="shared" si="72"/>
        <v/>
      </c>
      <c r="CE100" s="1457" t="str">
        <f t="shared" si="73"/>
        <v/>
      </c>
      <c r="CF100" s="1457" t="str">
        <f t="shared" si="84"/>
        <v/>
      </c>
      <c r="CG100" s="1457" t="str">
        <f t="shared" si="85"/>
        <v/>
      </c>
      <c r="CH100" s="1457" t="str">
        <f t="shared" si="86"/>
        <v/>
      </c>
      <c r="DA100" s="1458">
        <f t="shared" ref="DA100:DA118" si="89">IF(AO100&gt;(W100+X100),1,0)</f>
        <v>0</v>
      </c>
      <c r="DB100" s="1458"/>
      <c r="DC100" s="1458">
        <f t="shared" si="75"/>
        <v>0</v>
      </c>
      <c r="DD100" s="1458">
        <f t="shared" si="76"/>
        <v>0</v>
      </c>
      <c r="DE100" s="1458">
        <f t="shared" si="77"/>
        <v>0</v>
      </c>
      <c r="DF100" s="1458">
        <f t="shared" si="78"/>
        <v>0</v>
      </c>
      <c r="DG100" s="1458">
        <f t="shared" si="79"/>
        <v>0</v>
      </c>
      <c r="DH100" s="1458">
        <f t="shared" si="87"/>
        <v>0</v>
      </c>
    </row>
    <row r="101" spans="1:112" ht="16.350000000000001" customHeight="1" x14ac:dyDescent="0.2">
      <c r="A101" s="9389" t="s">
        <v>2087</v>
      </c>
      <c r="B101" s="9390"/>
      <c r="C101" s="9391"/>
      <c r="D101" s="5082">
        <f t="shared" si="80"/>
        <v>0</v>
      </c>
      <c r="E101" s="2985">
        <f t="shared" si="81"/>
        <v>0</v>
      </c>
      <c r="F101" s="1879">
        <f t="shared" si="82"/>
        <v>0</v>
      </c>
      <c r="G101" s="2885"/>
      <c r="H101" s="1882"/>
      <c r="I101" s="2885"/>
      <c r="J101" s="1897"/>
      <c r="K101" s="3225"/>
      <c r="L101" s="1882"/>
      <c r="M101" s="2885"/>
      <c r="N101" s="1882"/>
      <c r="O101" s="2915"/>
      <c r="P101" s="1882"/>
      <c r="Q101" s="2915"/>
      <c r="R101" s="1882"/>
      <c r="S101" s="2915"/>
      <c r="T101" s="1882"/>
      <c r="U101" s="2915"/>
      <c r="V101" s="1882"/>
      <c r="W101" s="2915"/>
      <c r="X101" s="1882"/>
      <c r="Y101" s="2915"/>
      <c r="Z101" s="1882"/>
      <c r="AA101" s="2915"/>
      <c r="AB101" s="1882"/>
      <c r="AC101" s="2915"/>
      <c r="AD101" s="1882"/>
      <c r="AE101" s="2915"/>
      <c r="AF101" s="1882"/>
      <c r="AG101" s="2915"/>
      <c r="AH101" s="1882"/>
      <c r="AI101" s="2915"/>
      <c r="AJ101" s="1882"/>
      <c r="AK101" s="2915"/>
      <c r="AL101" s="1882"/>
      <c r="AM101" s="2915"/>
      <c r="AN101" s="3029"/>
      <c r="AO101" s="2889"/>
      <c r="AP101" s="2889"/>
      <c r="AQ101" s="3600"/>
      <c r="AR101" s="4026"/>
      <c r="AS101" s="3600"/>
      <c r="AT101" s="2889"/>
      <c r="AU101" s="2889"/>
      <c r="AV101" s="2889"/>
      <c r="AW101" s="2889"/>
      <c r="AX101" s="1529" t="str">
        <f t="shared" si="83"/>
        <v/>
      </c>
      <c r="BV101" s="1452"/>
      <c r="BW101" s="1452"/>
      <c r="CA101" s="1457" t="str">
        <f t="shared" si="88"/>
        <v/>
      </c>
      <c r="CB101" s="1457" t="str">
        <f>IF(DB101=1,"* Las consultas de 60 años NO DEBEN ser mayor que el total de Consultas entre 60-64 Años. ","")</f>
        <v/>
      </c>
      <c r="CC101" s="1457" t="str">
        <f t="shared" si="71"/>
        <v/>
      </c>
      <c r="CD101" s="1457" t="str">
        <f t="shared" si="72"/>
        <v/>
      </c>
      <c r="CE101" s="1457" t="str">
        <f t="shared" si="73"/>
        <v/>
      </c>
      <c r="CF101" s="1457" t="str">
        <f t="shared" si="84"/>
        <v/>
      </c>
      <c r="CG101" s="1457" t="str">
        <f t="shared" si="85"/>
        <v/>
      </c>
      <c r="CH101" s="1457" t="str">
        <f t="shared" si="86"/>
        <v/>
      </c>
      <c r="DA101" s="1458">
        <f t="shared" si="89"/>
        <v>0</v>
      </c>
      <c r="DB101" s="1458">
        <f>IF(AR101&gt;(AI101+AJ101),1,0)</f>
        <v>0</v>
      </c>
      <c r="DC101" s="1458">
        <f t="shared" si="75"/>
        <v>0</v>
      </c>
      <c r="DD101" s="1458">
        <f t="shared" si="76"/>
        <v>0</v>
      </c>
      <c r="DE101" s="1458">
        <f t="shared" si="77"/>
        <v>0</v>
      </c>
      <c r="DF101" s="1458">
        <f t="shared" si="78"/>
        <v>0</v>
      </c>
      <c r="DG101" s="1458">
        <f t="shared" si="79"/>
        <v>0</v>
      </c>
      <c r="DH101" s="1458">
        <f t="shared" si="87"/>
        <v>0</v>
      </c>
    </row>
    <row r="102" spans="1:112" ht="16.350000000000001" customHeight="1" x14ac:dyDescent="0.2">
      <c r="A102" s="9389" t="s">
        <v>2088</v>
      </c>
      <c r="B102" s="9390"/>
      <c r="C102" s="9391"/>
      <c r="D102" s="5082">
        <f t="shared" si="80"/>
        <v>0</v>
      </c>
      <c r="E102" s="2985">
        <f t="shared" si="81"/>
        <v>0</v>
      </c>
      <c r="F102" s="1879">
        <f t="shared" si="82"/>
        <v>0</v>
      </c>
      <c r="G102" s="2885"/>
      <c r="H102" s="1882"/>
      <c r="I102" s="2885"/>
      <c r="J102" s="1897"/>
      <c r="K102" s="3225"/>
      <c r="L102" s="1882"/>
      <c r="M102" s="2885"/>
      <c r="N102" s="1882"/>
      <c r="O102" s="2915"/>
      <c r="P102" s="1882"/>
      <c r="Q102" s="2915"/>
      <c r="R102" s="1882"/>
      <c r="S102" s="2915"/>
      <c r="T102" s="1882"/>
      <c r="U102" s="2915"/>
      <c r="V102" s="1882"/>
      <c r="W102" s="2915"/>
      <c r="X102" s="1882"/>
      <c r="Y102" s="2915"/>
      <c r="Z102" s="1882"/>
      <c r="AA102" s="2915"/>
      <c r="AB102" s="1882"/>
      <c r="AC102" s="2915"/>
      <c r="AD102" s="1882"/>
      <c r="AE102" s="2915"/>
      <c r="AF102" s="1882"/>
      <c r="AG102" s="2915"/>
      <c r="AH102" s="1882"/>
      <c r="AI102" s="2915"/>
      <c r="AJ102" s="1882"/>
      <c r="AK102" s="2915"/>
      <c r="AL102" s="1882"/>
      <c r="AM102" s="2915"/>
      <c r="AN102" s="3029"/>
      <c r="AO102" s="2889"/>
      <c r="AP102" s="2889"/>
      <c r="AQ102" s="3600"/>
      <c r="AR102" s="4026"/>
      <c r="AS102" s="3600"/>
      <c r="AT102" s="2889"/>
      <c r="AU102" s="2889"/>
      <c r="AV102" s="2889"/>
      <c r="AW102" s="2889"/>
      <c r="AX102" s="1529" t="str">
        <f t="shared" si="83"/>
        <v/>
      </c>
      <c r="BV102" s="1452"/>
      <c r="BW102" s="1452"/>
      <c r="CA102" s="1457" t="str">
        <f t="shared" si="88"/>
        <v/>
      </c>
      <c r="CB102" s="1457" t="str">
        <f>IF(DB102=1,"* Las consultas de 60 años NO DEBEN ser mayor que el total de Consultas entre 60-64 Años. ","")</f>
        <v/>
      </c>
      <c r="CC102" s="1457" t="str">
        <f t="shared" si="71"/>
        <v/>
      </c>
      <c r="CD102" s="1457" t="str">
        <f t="shared" si="72"/>
        <v/>
      </c>
      <c r="CE102" s="1457" t="str">
        <f t="shared" si="73"/>
        <v/>
      </c>
      <c r="CF102" s="1457" t="str">
        <f t="shared" si="84"/>
        <v/>
      </c>
      <c r="CG102" s="1457" t="str">
        <f t="shared" si="85"/>
        <v/>
      </c>
      <c r="CH102" s="1457" t="str">
        <f t="shared" si="86"/>
        <v/>
      </c>
      <c r="DA102" s="1458">
        <f t="shared" si="89"/>
        <v>0</v>
      </c>
      <c r="DB102" s="1458">
        <f>IF(AR102&gt;(AI102+AJ102),1,0)</f>
        <v>0</v>
      </c>
      <c r="DC102" s="1458">
        <f t="shared" si="75"/>
        <v>0</v>
      </c>
      <c r="DD102" s="1458">
        <f t="shared" si="76"/>
        <v>0</v>
      </c>
      <c r="DE102" s="1458">
        <f t="shared" si="77"/>
        <v>0</v>
      </c>
      <c r="DF102" s="1458">
        <f t="shared" si="78"/>
        <v>0</v>
      </c>
      <c r="DG102" s="1458">
        <f t="shared" si="79"/>
        <v>0</v>
      </c>
      <c r="DH102" s="1458">
        <f t="shared" si="87"/>
        <v>0</v>
      </c>
    </row>
    <row r="103" spans="1:112" ht="16.350000000000001" customHeight="1" x14ac:dyDescent="0.2">
      <c r="A103" s="9385" t="s">
        <v>1148</v>
      </c>
      <c r="B103" s="9385"/>
      <c r="C103" s="9385"/>
      <c r="D103" s="5082">
        <f t="shared" si="80"/>
        <v>0</v>
      </c>
      <c r="E103" s="2985">
        <f t="shared" si="81"/>
        <v>0</v>
      </c>
      <c r="F103" s="1879">
        <f t="shared" si="82"/>
        <v>0</v>
      </c>
      <c r="G103" s="2885"/>
      <c r="H103" s="1882"/>
      <c r="I103" s="2885"/>
      <c r="J103" s="1897"/>
      <c r="K103" s="2885"/>
      <c r="L103" s="1882"/>
      <c r="M103" s="2885"/>
      <c r="N103" s="1882"/>
      <c r="O103" s="2915"/>
      <c r="P103" s="1882"/>
      <c r="Q103" s="2915"/>
      <c r="R103" s="1882"/>
      <c r="S103" s="2915"/>
      <c r="T103" s="1882"/>
      <c r="U103" s="2915"/>
      <c r="V103" s="1882"/>
      <c r="W103" s="2915"/>
      <c r="X103" s="1882"/>
      <c r="Y103" s="2915"/>
      <c r="Z103" s="1882"/>
      <c r="AA103" s="2915"/>
      <c r="AB103" s="1882"/>
      <c r="AC103" s="2915"/>
      <c r="AD103" s="1882"/>
      <c r="AE103" s="2915"/>
      <c r="AF103" s="1882"/>
      <c r="AG103" s="2915"/>
      <c r="AH103" s="1882"/>
      <c r="AI103" s="2915"/>
      <c r="AJ103" s="1882"/>
      <c r="AK103" s="2915"/>
      <c r="AL103" s="1882"/>
      <c r="AM103" s="2915"/>
      <c r="AN103" s="3029"/>
      <c r="AO103" s="2889"/>
      <c r="AP103" s="2889"/>
      <c r="AQ103" s="3600"/>
      <c r="AR103" s="4026"/>
      <c r="AS103" s="3600"/>
      <c r="AT103" s="2889"/>
      <c r="AU103" s="2889"/>
      <c r="AV103" s="2889"/>
      <c r="AW103" s="2889"/>
      <c r="AX103" s="1529" t="str">
        <f t="shared" si="83"/>
        <v/>
      </c>
      <c r="BV103" s="1452"/>
      <c r="BW103" s="1452"/>
      <c r="CA103" s="1457" t="str">
        <f t="shared" si="88"/>
        <v/>
      </c>
      <c r="CB103" s="1457" t="str">
        <f>IF(DB103=1,"* Las consultas de 60 años NO DEBEN ser mayor que el total de Consultas entre 60-64 Años. ","")</f>
        <v/>
      </c>
      <c r="CC103" s="1457" t="str">
        <f t="shared" si="71"/>
        <v/>
      </c>
      <c r="CD103" s="1457" t="str">
        <f t="shared" si="72"/>
        <v/>
      </c>
      <c r="CE103" s="1457" t="str">
        <f t="shared" si="73"/>
        <v/>
      </c>
      <c r="CF103" s="1457" t="str">
        <f t="shared" si="84"/>
        <v/>
      </c>
      <c r="CG103" s="1457" t="str">
        <f t="shared" si="85"/>
        <v/>
      </c>
      <c r="CH103" s="1457" t="str">
        <f t="shared" si="86"/>
        <v/>
      </c>
      <c r="DA103" s="1458">
        <f t="shared" si="89"/>
        <v>0</v>
      </c>
      <c r="DB103" s="1458">
        <f>IF(AR103&gt;(AI103+AJ103),1,0)</f>
        <v>0</v>
      </c>
      <c r="DC103" s="1458">
        <f t="shared" si="75"/>
        <v>0</v>
      </c>
      <c r="DD103" s="1458">
        <f t="shared" si="76"/>
        <v>0</v>
      </c>
      <c r="DE103" s="1458">
        <f t="shared" si="77"/>
        <v>0</v>
      </c>
      <c r="DF103" s="1458">
        <f t="shared" si="78"/>
        <v>0</v>
      </c>
      <c r="DG103" s="1458">
        <f t="shared" si="79"/>
        <v>0</v>
      </c>
      <c r="DH103" s="1458">
        <f t="shared" si="87"/>
        <v>0</v>
      </c>
    </row>
    <row r="104" spans="1:112" ht="16.350000000000001" customHeight="1" x14ac:dyDescent="0.2">
      <c r="A104" s="9385" t="s">
        <v>1147</v>
      </c>
      <c r="B104" s="9385"/>
      <c r="C104" s="9385"/>
      <c r="D104" s="5082">
        <f t="shared" si="80"/>
        <v>0</v>
      </c>
      <c r="E104" s="2985">
        <f t="shared" si="81"/>
        <v>0</v>
      </c>
      <c r="F104" s="1879">
        <f t="shared" si="82"/>
        <v>0</v>
      </c>
      <c r="G104" s="2885"/>
      <c r="H104" s="1882"/>
      <c r="I104" s="2885"/>
      <c r="J104" s="1897"/>
      <c r="K104" s="2885"/>
      <c r="L104" s="1882"/>
      <c r="M104" s="2885"/>
      <c r="N104" s="1882"/>
      <c r="O104" s="2915"/>
      <c r="P104" s="1882"/>
      <c r="Q104" s="2915"/>
      <c r="R104" s="1882"/>
      <c r="S104" s="2915"/>
      <c r="T104" s="1882"/>
      <c r="U104" s="2915"/>
      <c r="V104" s="1882"/>
      <c r="W104" s="2915"/>
      <c r="X104" s="1882"/>
      <c r="Y104" s="2915"/>
      <c r="Z104" s="1882"/>
      <c r="AA104" s="2915"/>
      <c r="AB104" s="1882"/>
      <c r="AC104" s="2915"/>
      <c r="AD104" s="1882"/>
      <c r="AE104" s="2915"/>
      <c r="AF104" s="1882"/>
      <c r="AG104" s="2915"/>
      <c r="AH104" s="1882"/>
      <c r="AI104" s="2915"/>
      <c r="AJ104" s="1882"/>
      <c r="AK104" s="2915"/>
      <c r="AL104" s="1882"/>
      <c r="AM104" s="2915"/>
      <c r="AN104" s="3029"/>
      <c r="AO104" s="2889"/>
      <c r="AP104" s="2889"/>
      <c r="AQ104" s="3600"/>
      <c r="AR104" s="4026"/>
      <c r="AS104" s="3600"/>
      <c r="AT104" s="2889"/>
      <c r="AU104" s="2889"/>
      <c r="AV104" s="2889"/>
      <c r="AW104" s="2889"/>
      <c r="AX104" s="1529" t="str">
        <f t="shared" si="83"/>
        <v/>
      </c>
      <c r="BV104" s="1452"/>
      <c r="BW104" s="1452"/>
      <c r="CA104" s="1457" t="str">
        <f t="shared" si="88"/>
        <v/>
      </c>
      <c r="CB104" s="1457" t="str">
        <f>IF(DB104=1,"* Las consultas de 60 años NO DEBEN ser mayor que el total de Consultas entre 60-64 Años. ","")</f>
        <v/>
      </c>
      <c r="CC104" s="1457" t="str">
        <f t="shared" si="71"/>
        <v/>
      </c>
      <c r="CD104" s="1457" t="str">
        <f t="shared" si="72"/>
        <v/>
      </c>
      <c r="CE104" s="1457" t="str">
        <f t="shared" si="73"/>
        <v/>
      </c>
      <c r="CF104" s="1457" t="str">
        <f t="shared" si="84"/>
        <v/>
      </c>
      <c r="CG104" s="1457" t="str">
        <f t="shared" si="85"/>
        <v/>
      </c>
      <c r="CH104" s="1457" t="str">
        <f t="shared" si="86"/>
        <v/>
      </c>
      <c r="DA104" s="1458">
        <f t="shared" si="89"/>
        <v>0</v>
      </c>
      <c r="DB104" s="1458">
        <f>IF(AR104&gt;(AI104+AJ104),1,0)</f>
        <v>0</v>
      </c>
      <c r="DC104" s="1458">
        <f t="shared" si="75"/>
        <v>0</v>
      </c>
      <c r="DD104" s="1458">
        <f t="shared" si="76"/>
        <v>0</v>
      </c>
      <c r="DE104" s="1458">
        <f t="shared" si="77"/>
        <v>0</v>
      </c>
      <c r="DF104" s="1458">
        <f t="shared" si="78"/>
        <v>0</v>
      </c>
      <c r="DG104" s="1458">
        <f t="shared" si="79"/>
        <v>0</v>
      </c>
      <c r="DH104" s="1458">
        <f t="shared" si="87"/>
        <v>0</v>
      </c>
    </row>
    <row r="105" spans="1:112" ht="16.350000000000001" customHeight="1" x14ac:dyDescent="0.2">
      <c r="A105" s="9385" t="s">
        <v>1146</v>
      </c>
      <c r="B105" s="9385"/>
      <c r="C105" s="9385"/>
      <c r="D105" s="5082">
        <f t="shared" si="80"/>
        <v>0</v>
      </c>
      <c r="E105" s="2985">
        <f>SUM(G105+I105+K105+M105+O105+Q105+S105+U105+W105)</f>
        <v>0</v>
      </c>
      <c r="F105" s="1879">
        <f>SUM(H105+J105+L105+N105+P105+R105+T105+V105+X105)</f>
        <v>0</v>
      </c>
      <c r="G105" s="3415"/>
      <c r="H105" s="1882"/>
      <c r="I105" s="3415"/>
      <c r="J105" s="1897"/>
      <c r="K105" s="2885"/>
      <c r="L105" s="1882"/>
      <c r="M105" s="2885"/>
      <c r="N105" s="1882"/>
      <c r="O105" s="2915"/>
      <c r="P105" s="1882"/>
      <c r="Q105" s="2915"/>
      <c r="R105" s="1882"/>
      <c r="S105" s="2915"/>
      <c r="T105" s="1882"/>
      <c r="U105" s="2915"/>
      <c r="V105" s="1882"/>
      <c r="W105" s="2915"/>
      <c r="X105" s="1882"/>
      <c r="Y105" s="5084"/>
      <c r="Z105" s="1894"/>
      <c r="AA105" s="5084"/>
      <c r="AB105" s="1894"/>
      <c r="AC105" s="5084"/>
      <c r="AD105" s="1894"/>
      <c r="AE105" s="5084"/>
      <c r="AF105" s="1894"/>
      <c r="AG105" s="5084"/>
      <c r="AH105" s="1894"/>
      <c r="AI105" s="5084"/>
      <c r="AJ105" s="1894"/>
      <c r="AK105" s="5084"/>
      <c r="AL105" s="1894"/>
      <c r="AM105" s="5084"/>
      <c r="AN105" s="5086"/>
      <c r="AO105" s="2889"/>
      <c r="AP105" s="2889"/>
      <c r="AQ105" s="3600"/>
      <c r="AR105" s="5087"/>
      <c r="AS105" s="3600"/>
      <c r="AT105" s="2889"/>
      <c r="AU105" s="2889"/>
      <c r="AV105" s="2889"/>
      <c r="AW105" s="2889"/>
      <c r="AX105" s="1529" t="str">
        <f t="shared" si="83"/>
        <v/>
      </c>
      <c r="BV105" s="1452"/>
      <c r="BW105" s="1452"/>
      <c r="CA105" s="1457" t="str">
        <f t="shared" si="88"/>
        <v/>
      </c>
      <c r="CB105" s="1457"/>
      <c r="CC105" s="1457" t="str">
        <f t="shared" si="71"/>
        <v/>
      </c>
      <c r="CD105" s="1457" t="str">
        <f t="shared" si="72"/>
        <v/>
      </c>
      <c r="CE105" s="1457" t="str">
        <f t="shared" si="73"/>
        <v/>
      </c>
      <c r="CF105" s="1457" t="str">
        <f t="shared" si="84"/>
        <v/>
      </c>
      <c r="CG105" s="1457" t="str">
        <f t="shared" si="85"/>
        <v/>
      </c>
      <c r="CH105" s="1457" t="str">
        <f t="shared" si="86"/>
        <v/>
      </c>
      <c r="DA105" s="1458">
        <f t="shared" si="89"/>
        <v>0</v>
      </c>
      <c r="DB105" s="1458"/>
      <c r="DC105" s="1458">
        <f t="shared" si="75"/>
        <v>0</v>
      </c>
      <c r="DD105" s="1458">
        <f t="shared" si="76"/>
        <v>0</v>
      </c>
      <c r="DE105" s="1458">
        <f t="shared" si="77"/>
        <v>0</v>
      </c>
      <c r="DF105" s="1458">
        <f t="shared" si="78"/>
        <v>0</v>
      </c>
      <c r="DG105" s="1458">
        <f t="shared" si="79"/>
        <v>0</v>
      </c>
      <c r="DH105" s="1458">
        <f t="shared" si="87"/>
        <v>0</v>
      </c>
    </row>
    <row r="106" spans="1:112" ht="16.350000000000001" customHeight="1" x14ac:dyDescent="0.2">
      <c r="A106" s="9385" t="s">
        <v>1145</v>
      </c>
      <c r="B106" s="9385"/>
      <c r="C106" s="9385"/>
      <c r="D106" s="5082">
        <f t="shared" si="80"/>
        <v>0</v>
      </c>
      <c r="E106" s="2985">
        <f t="shared" ref="E106:F108" si="90">SUM(Q106+S106+U106+W106+Y106+AA106+AC106+AE106+AG106+AI106+AK106+AM106)</f>
        <v>0</v>
      </c>
      <c r="F106" s="1879">
        <f t="shared" si="90"/>
        <v>0</v>
      </c>
      <c r="G106" s="2909"/>
      <c r="H106" s="1888"/>
      <c r="I106" s="2909"/>
      <c r="J106" s="1979"/>
      <c r="K106" s="2909"/>
      <c r="L106" s="1888"/>
      <c r="M106" s="2909"/>
      <c r="N106" s="1888"/>
      <c r="O106" s="2910"/>
      <c r="P106" s="1888"/>
      <c r="Q106" s="2915"/>
      <c r="R106" s="1882"/>
      <c r="S106" s="2915"/>
      <c r="T106" s="1882"/>
      <c r="U106" s="2915"/>
      <c r="V106" s="1882"/>
      <c r="W106" s="2915"/>
      <c r="X106" s="1882"/>
      <c r="Y106" s="2915"/>
      <c r="Z106" s="1882"/>
      <c r="AA106" s="2915"/>
      <c r="AB106" s="1882"/>
      <c r="AC106" s="2915"/>
      <c r="AD106" s="1882"/>
      <c r="AE106" s="2915"/>
      <c r="AF106" s="1882"/>
      <c r="AG106" s="2915"/>
      <c r="AH106" s="1882"/>
      <c r="AI106" s="2915"/>
      <c r="AJ106" s="1882"/>
      <c r="AK106" s="2915"/>
      <c r="AL106" s="1882"/>
      <c r="AM106" s="2915"/>
      <c r="AN106" s="3029"/>
      <c r="AO106" s="2889"/>
      <c r="AP106" s="2889"/>
      <c r="AQ106" s="3600"/>
      <c r="AR106" s="3600"/>
      <c r="AS106" s="3600"/>
      <c r="AT106" s="2889"/>
      <c r="AU106" s="2889"/>
      <c r="AV106" s="2889"/>
      <c r="AW106" s="2889"/>
      <c r="AX106" s="1529" t="str">
        <f t="shared" si="83"/>
        <v/>
      </c>
      <c r="BV106" s="1452"/>
      <c r="BW106" s="1452"/>
      <c r="CA106" s="1457" t="str">
        <f t="shared" si="88"/>
        <v/>
      </c>
      <c r="CB106" s="1457" t="str">
        <f>IF(DB106=1,"* Las consultas de 60 años NO DEBEN ser mayor que el total de Consultas entre 60-64 Años. ","")</f>
        <v/>
      </c>
      <c r="CC106" s="1457" t="str">
        <f t="shared" si="71"/>
        <v/>
      </c>
      <c r="CD106" s="1457" t="str">
        <f t="shared" si="72"/>
        <v/>
      </c>
      <c r="CE106" s="1457" t="str">
        <f t="shared" si="73"/>
        <v/>
      </c>
      <c r="CF106" s="1457" t="str">
        <f t="shared" si="84"/>
        <v/>
      </c>
      <c r="CG106" s="1457" t="str">
        <f t="shared" si="85"/>
        <v/>
      </c>
      <c r="CH106" s="1457" t="str">
        <f t="shared" si="86"/>
        <v/>
      </c>
      <c r="DA106" s="1458">
        <f t="shared" si="89"/>
        <v>0</v>
      </c>
      <c r="DB106" s="1458">
        <f>IF(AR106&gt;(AI106+AJ106),1,0)</f>
        <v>0</v>
      </c>
      <c r="DC106" s="1458">
        <f t="shared" si="75"/>
        <v>0</v>
      </c>
      <c r="DD106" s="1458">
        <f t="shared" si="76"/>
        <v>0</v>
      </c>
      <c r="DE106" s="1458">
        <f t="shared" si="77"/>
        <v>0</v>
      </c>
      <c r="DF106" s="1458">
        <f t="shared" si="78"/>
        <v>0</v>
      </c>
      <c r="DG106" s="1458">
        <f t="shared" si="79"/>
        <v>0</v>
      </c>
      <c r="DH106" s="1458">
        <f t="shared" si="87"/>
        <v>0</v>
      </c>
    </row>
    <row r="107" spans="1:112" ht="16.350000000000001" customHeight="1" x14ac:dyDescent="0.2">
      <c r="A107" s="9385" t="s">
        <v>1144</v>
      </c>
      <c r="B107" s="9385"/>
      <c r="C107" s="9385"/>
      <c r="D107" s="5082">
        <f t="shared" si="80"/>
        <v>0</v>
      </c>
      <c r="E107" s="2985">
        <f t="shared" si="90"/>
        <v>0</v>
      </c>
      <c r="F107" s="1879">
        <f t="shared" si="90"/>
        <v>0</v>
      </c>
      <c r="G107" s="2909"/>
      <c r="H107" s="1888"/>
      <c r="I107" s="2909"/>
      <c r="J107" s="1979"/>
      <c r="K107" s="2909"/>
      <c r="L107" s="1888"/>
      <c r="M107" s="2909"/>
      <c r="N107" s="1888"/>
      <c r="O107" s="2910"/>
      <c r="P107" s="1888"/>
      <c r="Q107" s="2915"/>
      <c r="R107" s="1882"/>
      <c r="S107" s="2915"/>
      <c r="T107" s="1882"/>
      <c r="U107" s="2915"/>
      <c r="V107" s="1882"/>
      <c r="W107" s="2915"/>
      <c r="X107" s="1882"/>
      <c r="Y107" s="2915"/>
      <c r="Z107" s="1882"/>
      <c r="AA107" s="2915"/>
      <c r="AB107" s="1882"/>
      <c r="AC107" s="2915"/>
      <c r="AD107" s="1882"/>
      <c r="AE107" s="2915"/>
      <c r="AF107" s="1882"/>
      <c r="AG107" s="2915"/>
      <c r="AH107" s="1882"/>
      <c r="AI107" s="2915"/>
      <c r="AJ107" s="1882"/>
      <c r="AK107" s="2915"/>
      <c r="AL107" s="1882"/>
      <c r="AM107" s="2915"/>
      <c r="AN107" s="3029"/>
      <c r="AO107" s="2889"/>
      <c r="AP107" s="2889"/>
      <c r="AQ107" s="3600"/>
      <c r="AR107" s="3600"/>
      <c r="AS107" s="3600"/>
      <c r="AT107" s="2889"/>
      <c r="AU107" s="2889"/>
      <c r="AV107" s="2889"/>
      <c r="AW107" s="2889"/>
      <c r="AX107" s="1529" t="str">
        <f t="shared" si="83"/>
        <v/>
      </c>
      <c r="BV107" s="1452"/>
      <c r="BW107" s="1452"/>
      <c r="CA107" s="1457" t="str">
        <f t="shared" si="88"/>
        <v/>
      </c>
      <c r="CB107" s="1457" t="str">
        <f>IF(DB107=1,"* Las consultas de 60 años NO DEBEN ser mayor que el total de Consultas entre 60-64 Años. ","")</f>
        <v/>
      </c>
      <c r="CC107" s="1457" t="str">
        <f t="shared" si="71"/>
        <v/>
      </c>
      <c r="CD107" s="1457" t="str">
        <f t="shared" si="72"/>
        <v/>
      </c>
      <c r="CE107" s="1457" t="str">
        <f t="shared" si="73"/>
        <v/>
      </c>
      <c r="CF107" s="1457" t="str">
        <f t="shared" si="84"/>
        <v/>
      </c>
      <c r="CG107" s="1457" t="str">
        <f t="shared" si="85"/>
        <v/>
      </c>
      <c r="CH107" s="1457" t="str">
        <f t="shared" si="86"/>
        <v/>
      </c>
      <c r="DA107" s="1458">
        <f t="shared" si="89"/>
        <v>0</v>
      </c>
      <c r="DB107" s="1458">
        <f>IF(AR107&gt;(AI107+AJ107),1,0)</f>
        <v>0</v>
      </c>
      <c r="DC107" s="1458">
        <f t="shared" si="75"/>
        <v>0</v>
      </c>
      <c r="DD107" s="1458">
        <f t="shared" si="76"/>
        <v>0</v>
      </c>
      <c r="DE107" s="1458">
        <f t="shared" si="77"/>
        <v>0</v>
      </c>
      <c r="DF107" s="1458">
        <f t="shared" si="78"/>
        <v>0</v>
      </c>
      <c r="DG107" s="1458">
        <f t="shared" si="79"/>
        <v>0</v>
      </c>
      <c r="DH107" s="1458">
        <f t="shared" si="87"/>
        <v>0</v>
      </c>
    </row>
    <row r="108" spans="1:112" ht="16.350000000000001" customHeight="1" x14ac:dyDescent="0.2">
      <c r="A108" s="9385" t="s">
        <v>1143</v>
      </c>
      <c r="B108" s="9385"/>
      <c r="C108" s="9385"/>
      <c r="D108" s="5082">
        <f t="shared" si="80"/>
        <v>0</v>
      </c>
      <c r="E108" s="2985">
        <f t="shared" si="90"/>
        <v>0</v>
      </c>
      <c r="F108" s="1879">
        <f t="shared" si="90"/>
        <v>0</v>
      </c>
      <c r="G108" s="2909"/>
      <c r="H108" s="1888"/>
      <c r="I108" s="2909"/>
      <c r="J108" s="1979"/>
      <c r="K108" s="2909"/>
      <c r="L108" s="1888"/>
      <c r="M108" s="2909"/>
      <c r="N108" s="1888"/>
      <c r="O108" s="2910"/>
      <c r="P108" s="1888"/>
      <c r="Q108" s="2915"/>
      <c r="R108" s="1882"/>
      <c r="S108" s="2915"/>
      <c r="T108" s="1882"/>
      <c r="U108" s="2915"/>
      <c r="V108" s="1882"/>
      <c r="W108" s="2915"/>
      <c r="X108" s="1882"/>
      <c r="Y108" s="2915"/>
      <c r="Z108" s="1882"/>
      <c r="AA108" s="2915"/>
      <c r="AB108" s="1882"/>
      <c r="AC108" s="2915"/>
      <c r="AD108" s="1882"/>
      <c r="AE108" s="2915"/>
      <c r="AF108" s="1882"/>
      <c r="AG108" s="2915"/>
      <c r="AH108" s="1882"/>
      <c r="AI108" s="2915"/>
      <c r="AJ108" s="1882"/>
      <c r="AK108" s="2915"/>
      <c r="AL108" s="1882"/>
      <c r="AM108" s="2915"/>
      <c r="AN108" s="3029"/>
      <c r="AO108" s="2889"/>
      <c r="AP108" s="2889"/>
      <c r="AQ108" s="3600"/>
      <c r="AR108" s="3600"/>
      <c r="AS108" s="3600"/>
      <c r="AT108" s="2889"/>
      <c r="AU108" s="2889"/>
      <c r="AV108" s="2889"/>
      <c r="AW108" s="2889"/>
      <c r="AX108" s="1529" t="str">
        <f t="shared" si="83"/>
        <v/>
      </c>
      <c r="BV108" s="1452"/>
      <c r="BW108" s="1452"/>
      <c r="CA108" s="1457" t="str">
        <f t="shared" si="88"/>
        <v/>
      </c>
      <c r="CB108" s="1457" t="str">
        <f>IF(DB108=1,"* Las consultas de 60 años NO DEBEN ser mayor que el total de Consultas entre 60-64 Años. ","")</f>
        <v/>
      </c>
      <c r="CC108" s="1457" t="str">
        <f t="shared" si="71"/>
        <v/>
      </c>
      <c r="CD108" s="1457" t="str">
        <f t="shared" si="72"/>
        <v/>
      </c>
      <c r="CE108" s="1457" t="str">
        <f t="shared" si="73"/>
        <v/>
      </c>
      <c r="CF108" s="1457" t="str">
        <f t="shared" si="84"/>
        <v/>
      </c>
      <c r="CG108" s="1457" t="str">
        <f t="shared" si="85"/>
        <v/>
      </c>
      <c r="CH108" s="1457" t="str">
        <f t="shared" si="86"/>
        <v/>
      </c>
      <c r="DA108" s="1458">
        <f t="shared" si="89"/>
        <v>0</v>
      </c>
      <c r="DB108" s="1458">
        <f>IF(AR108&gt;(AI108+AJ108),1,0)</f>
        <v>0</v>
      </c>
      <c r="DC108" s="1458">
        <f t="shared" si="75"/>
        <v>0</v>
      </c>
      <c r="DD108" s="1458">
        <f t="shared" si="76"/>
        <v>0</v>
      </c>
      <c r="DE108" s="1458">
        <f t="shared" si="77"/>
        <v>0</v>
      </c>
      <c r="DF108" s="1458">
        <f t="shared" si="78"/>
        <v>0</v>
      </c>
      <c r="DG108" s="1458">
        <f t="shared" si="79"/>
        <v>0</v>
      </c>
      <c r="DH108" s="1458">
        <f t="shared" si="87"/>
        <v>0</v>
      </c>
    </row>
    <row r="109" spans="1:112" ht="16.350000000000001" customHeight="1" x14ac:dyDescent="0.2">
      <c r="A109" s="9386" t="s">
        <v>1142</v>
      </c>
      <c r="B109" s="9387"/>
      <c r="C109" s="9388"/>
      <c r="D109" s="5082">
        <f t="shared" si="80"/>
        <v>0</v>
      </c>
      <c r="E109" s="2985">
        <f>SUM(Q109+S109+U109+W109+Y109)</f>
        <v>0</v>
      </c>
      <c r="F109" s="1879">
        <f>SUM(R109+T109+V109+X109+Z109)</f>
        <v>0</v>
      </c>
      <c r="G109" s="5083"/>
      <c r="H109" s="1894"/>
      <c r="I109" s="5083"/>
      <c r="J109" s="1978"/>
      <c r="K109" s="5083"/>
      <c r="L109" s="1894"/>
      <c r="M109" s="5083"/>
      <c r="N109" s="1894"/>
      <c r="O109" s="5084"/>
      <c r="P109" s="1894"/>
      <c r="Q109" s="2915"/>
      <c r="R109" s="1882"/>
      <c r="S109" s="2915"/>
      <c r="T109" s="1882"/>
      <c r="U109" s="2915"/>
      <c r="V109" s="1882"/>
      <c r="W109" s="2915"/>
      <c r="X109" s="1882"/>
      <c r="Y109" s="2915"/>
      <c r="Z109" s="1882"/>
      <c r="AA109" s="5084"/>
      <c r="AB109" s="1894"/>
      <c r="AC109" s="5084"/>
      <c r="AD109" s="1894"/>
      <c r="AE109" s="5084"/>
      <c r="AF109" s="1894"/>
      <c r="AG109" s="5084"/>
      <c r="AH109" s="1894"/>
      <c r="AI109" s="5084"/>
      <c r="AJ109" s="1894"/>
      <c r="AK109" s="5084"/>
      <c r="AL109" s="1894"/>
      <c r="AM109" s="5084"/>
      <c r="AN109" s="5086"/>
      <c r="AO109" s="2889"/>
      <c r="AP109" s="2889"/>
      <c r="AQ109" s="3600"/>
      <c r="AR109" s="5087"/>
      <c r="AS109" s="3600"/>
      <c r="AT109" s="2889"/>
      <c r="AU109" s="2889"/>
      <c r="AV109" s="2889"/>
      <c r="AW109" s="2889"/>
      <c r="AX109" s="1529" t="str">
        <f t="shared" si="83"/>
        <v/>
      </c>
      <c r="BV109" s="1452"/>
      <c r="BW109" s="1452"/>
      <c r="CA109" s="1457" t="str">
        <f t="shared" si="88"/>
        <v/>
      </c>
      <c r="CB109" s="1457"/>
      <c r="CC109" s="1457" t="str">
        <f t="shared" si="71"/>
        <v/>
      </c>
      <c r="CD109" s="1457"/>
      <c r="CE109" s="1457" t="str">
        <f t="shared" si="73"/>
        <v/>
      </c>
      <c r="CF109" s="1457" t="str">
        <f t="shared" si="84"/>
        <v/>
      </c>
      <c r="CG109" s="1457" t="str">
        <f t="shared" si="85"/>
        <v/>
      </c>
      <c r="CH109" s="1457" t="str">
        <f t="shared" si="86"/>
        <v/>
      </c>
      <c r="DA109" s="1458">
        <f t="shared" si="89"/>
        <v>0</v>
      </c>
      <c r="DB109" s="1458"/>
      <c r="DC109" s="1458">
        <f t="shared" si="75"/>
        <v>0</v>
      </c>
      <c r="DD109" s="1458"/>
      <c r="DE109" s="1458">
        <f t="shared" si="77"/>
        <v>0</v>
      </c>
      <c r="DF109" s="1458">
        <f t="shared" si="78"/>
        <v>0</v>
      </c>
      <c r="DG109" s="1458">
        <f t="shared" si="79"/>
        <v>0</v>
      </c>
      <c r="DH109" s="1458">
        <f t="shared" si="87"/>
        <v>0</v>
      </c>
    </row>
    <row r="110" spans="1:112" ht="16.350000000000001" customHeight="1" x14ac:dyDescent="0.2">
      <c r="A110" s="9386" t="s">
        <v>2137</v>
      </c>
      <c r="B110" s="9387"/>
      <c r="C110" s="9388"/>
      <c r="D110" s="5082">
        <f t="shared" si="80"/>
        <v>0</v>
      </c>
      <c r="E110" s="2985">
        <f>SUM(Q110+S110+U110+W110+Y110+AA110+AC110+AE110+AG110+AI110+AK110+AM110)</f>
        <v>0</v>
      </c>
      <c r="F110" s="1879">
        <f>SUM(R110+T110+V110+X110+Z110+AB110+AD110+AF110+AH110+AJ110+AL110+AN110)</f>
        <v>0</v>
      </c>
      <c r="G110" s="5083"/>
      <c r="H110" s="1894"/>
      <c r="I110" s="5083"/>
      <c r="J110" s="1978"/>
      <c r="K110" s="5083"/>
      <c r="L110" s="1894"/>
      <c r="M110" s="5083"/>
      <c r="N110" s="1894"/>
      <c r="O110" s="5084"/>
      <c r="P110" s="1894"/>
      <c r="Q110" s="2915"/>
      <c r="R110" s="1882"/>
      <c r="S110" s="2915"/>
      <c r="T110" s="1882"/>
      <c r="U110" s="2915"/>
      <c r="V110" s="1882"/>
      <c r="W110" s="2915"/>
      <c r="X110" s="1882"/>
      <c r="Y110" s="2915"/>
      <c r="Z110" s="1882"/>
      <c r="AA110" s="2915"/>
      <c r="AB110" s="1882"/>
      <c r="AC110" s="2915"/>
      <c r="AD110" s="1882"/>
      <c r="AE110" s="2915"/>
      <c r="AF110" s="1882"/>
      <c r="AG110" s="2915"/>
      <c r="AH110" s="1882"/>
      <c r="AI110" s="2915"/>
      <c r="AJ110" s="1882"/>
      <c r="AK110" s="2915"/>
      <c r="AL110" s="1882"/>
      <c r="AM110" s="2915"/>
      <c r="AN110" s="3029"/>
      <c r="AO110" s="2889"/>
      <c r="AP110" s="2889"/>
      <c r="AQ110" s="3600"/>
      <c r="AR110" s="3600"/>
      <c r="AS110" s="3600"/>
      <c r="AT110" s="2889"/>
      <c r="AU110" s="2889"/>
      <c r="AV110" s="2889"/>
      <c r="AW110" s="2889"/>
      <c r="AX110" s="1529" t="str">
        <f t="shared" si="83"/>
        <v/>
      </c>
      <c r="BV110" s="1452"/>
      <c r="BW110" s="1452"/>
      <c r="CA110" s="1457" t="str">
        <f t="shared" si="88"/>
        <v/>
      </c>
      <c r="CB110" s="1457" t="str">
        <f t="shared" ref="CB110:CB142" si="91">IF(DB110=1,"* Las consultas de 60 años NO DEBEN ser mayor que el total de Consultas entre 60-64 Años. ","")</f>
        <v/>
      </c>
      <c r="CC110" s="1457" t="str">
        <f t="shared" si="71"/>
        <v/>
      </c>
      <c r="CD110" s="1457" t="str">
        <f t="shared" ref="CD110:CD142" si="92">IF(AND(AP110="",D110&lt;&gt;0),"* Recuerde que las Embarazadas deben ser incluídas en el ingreso por rango Etario (Digite CEROS si no tiene). ",IF(F110&lt;AP110,"* Las Embarazadas NO DEBEN ser mayor al total de mujeres. ",""))</f>
        <v/>
      </c>
      <c r="CE110" s="1457" t="str">
        <f t="shared" si="73"/>
        <v/>
      </c>
      <c r="CF110" s="1457" t="str">
        <f t="shared" si="84"/>
        <v/>
      </c>
      <c r="CG110" s="1457" t="str">
        <f t="shared" si="85"/>
        <v/>
      </c>
      <c r="CH110" s="1457" t="str">
        <f t="shared" si="86"/>
        <v/>
      </c>
      <c r="DA110" s="1458">
        <f t="shared" si="89"/>
        <v>0</v>
      </c>
      <c r="DB110" s="1458">
        <f t="shared" ref="DB110:DB142" si="93">IF(AR110&gt;(AI110+AJ110),1,0)</f>
        <v>0</v>
      </c>
      <c r="DC110" s="1458">
        <f t="shared" si="75"/>
        <v>0</v>
      </c>
      <c r="DD110" s="1458">
        <f t="shared" ref="DD110:DD142" si="94">IF(AND(AP110="",D110&lt;&gt;0),1,IF(F110&lt;AP110,1,0))</f>
        <v>0</v>
      </c>
      <c r="DE110" s="1458">
        <f t="shared" si="77"/>
        <v>0</v>
      </c>
      <c r="DF110" s="1458">
        <f t="shared" si="78"/>
        <v>0</v>
      </c>
      <c r="DG110" s="1458">
        <f t="shared" si="79"/>
        <v>0</v>
      </c>
      <c r="DH110" s="1458">
        <f t="shared" si="87"/>
        <v>0</v>
      </c>
    </row>
    <row r="111" spans="1:112" ht="16.350000000000001" customHeight="1" x14ac:dyDescent="0.2">
      <c r="A111" s="9386" t="s">
        <v>1141</v>
      </c>
      <c r="B111" s="9387"/>
      <c r="C111" s="9388"/>
      <c r="D111" s="5082">
        <f t="shared" si="80"/>
        <v>0</v>
      </c>
      <c r="E111" s="2985">
        <f>SUM(Q111+S111+U111+W111+Y111+AA111+AC111+AE111+AG111+AI111+AK111+AM111)</f>
        <v>0</v>
      </c>
      <c r="F111" s="1879">
        <f>SUM(R111+T111+V111+X111+Z111+AB111+AD111+AF111+AH111+AJ111+AL111+AN111)</f>
        <v>0</v>
      </c>
      <c r="G111" s="5083"/>
      <c r="H111" s="1894"/>
      <c r="I111" s="5083"/>
      <c r="J111" s="1978"/>
      <c r="K111" s="5083"/>
      <c r="L111" s="1894"/>
      <c r="M111" s="5083"/>
      <c r="N111" s="1894"/>
      <c r="O111" s="5084"/>
      <c r="P111" s="1894"/>
      <c r="Q111" s="2915"/>
      <c r="R111" s="1882"/>
      <c r="S111" s="2915"/>
      <c r="T111" s="1882"/>
      <c r="U111" s="2915"/>
      <c r="V111" s="1882"/>
      <c r="W111" s="2915"/>
      <c r="X111" s="1882"/>
      <c r="Y111" s="2915"/>
      <c r="Z111" s="1882"/>
      <c r="AA111" s="2915"/>
      <c r="AB111" s="1882"/>
      <c r="AC111" s="2915"/>
      <c r="AD111" s="1882"/>
      <c r="AE111" s="2915"/>
      <c r="AF111" s="1882"/>
      <c r="AG111" s="2915"/>
      <c r="AH111" s="1882"/>
      <c r="AI111" s="2915"/>
      <c r="AJ111" s="1882"/>
      <c r="AK111" s="2915"/>
      <c r="AL111" s="1882"/>
      <c r="AM111" s="2915"/>
      <c r="AN111" s="3029"/>
      <c r="AO111" s="2889"/>
      <c r="AP111" s="2889"/>
      <c r="AQ111" s="3600"/>
      <c r="AR111" s="3600"/>
      <c r="AS111" s="3600"/>
      <c r="AT111" s="2889"/>
      <c r="AU111" s="2889"/>
      <c r="AV111" s="2889"/>
      <c r="AW111" s="2889"/>
      <c r="AX111" s="1529" t="str">
        <f t="shared" si="83"/>
        <v/>
      </c>
      <c r="BV111" s="1452"/>
      <c r="BW111" s="1452"/>
      <c r="CA111" s="1457" t="str">
        <f t="shared" si="88"/>
        <v/>
      </c>
      <c r="CB111" s="1457" t="str">
        <f t="shared" si="91"/>
        <v/>
      </c>
      <c r="CC111" s="1457" t="str">
        <f t="shared" si="71"/>
        <v/>
      </c>
      <c r="CD111" s="1457" t="str">
        <f t="shared" si="92"/>
        <v/>
      </c>
      <c r="CE111" s="1457" t="str">
        <f t="shared" si="73"/>
        <v/>
      </c>
      <c r="CF111" s="1457" t="str">
        <f t="shared" si="84"/>
        <v/>
      </c>
      <c r="CG111" s="1457" t="str">
        <f t="shared" si="85"/>
        <v/>
      </c>
      <c r="CH111" s="1457" t="str">
        <f t="shared" si="86"/>
        <v/>
      </c>
      <c r="DA111" s="1458">
        <f t="shared" si="89"/>
        <v>0</v>
      </c>
      <c r="DB111" s="1458">
        <f t="shared" si="93"/>
        <v>0</v>
      </c>
      <c r="DC111" s="1458">
        <f t="shared" si="75"/>
        <v>0</v>
      </c>
      <c r="DD111" s="1458">
        <f t="shared" si="94"/>
        <v>0</v>
      </c>
      <c r="DE111" s="1458">
        <f t="shared" si="77"/>
        <v>0</v>
      </c>
      <c r="DF111" s="1458">
        <f t="shared" si="78"/>
        <v>0</v>
      </c>
      <c r="DG111" s="1458">
        <f t="shared" si="79"/>
        <v>0</v>
      </c>
      <c r="DH111" s="1458">
        <f t="shared" si="87"/>
        <v>0</v>
      </c>
    </row>
    <row r="112" spans="1:112" ht="16.350000000000001" customHeight="1" x14ac:dyDescent="0.2">
      <c r="A112" s="9386" t="s">
        <v>1140</v>
      </c>
      <c r="B112" s="9387"/>
      <c r="C112" s="9388"/>
      <c r="D112" s="5082">
        <f t="shared" si="80"/>
        <v>0</v>
      </c>
      <c r="E112" s="2985">
        <f t="shared" si="81"/>
        <v>0</v>
      </c>
      <c r="F112" s="1879">
        <f t="shared" si="82"/>
        <v>0</v>
      </c>
      <c r="G112" s="3415"/>
      <c r="H112" s="1977"/>
      <c r="I112" s="2885"/>
      <c r="J112" s="1897"/>
      <c r="K112" s="2885"/>
      <c r="L112" s="1882"/>
      <c r="M112" s="2885"/>
      <c r="N112" s="1882"/>
      <c r="O112" s="2915"/>
      <c r="P112" s="1882"/>
      <c r="Q112" s="2915"/>
      <c r="R112" s="1882"/>
      <c r="S112" s="2915"/>
      <c r="T112" s="1882"/>
      <c r="U112" s="2915"/>
      <c r="V112" s="1882"/>
      <c r="W112" s="2915"/>
      <c r="X112" s="1882"/>
      <c r="Y112" s="2915"/>
      <c r="Z112" s="1882"/>
      <c r="AA112" s="2915"/>
      <c r="AB112" s="1882"/>
      <c r="AC112" s="2915"/>
      <c r="AD112" s="1882"/>
      <c r="AE112" s="2915"/>
      <c r="AF112" s="1882"/>
      <c r="AG112" s="2915"/>
      <c r="AH112" s="1882"/>
      <c r="AI112" s="2915"/>
      <c r="AJ112" s="1882"/>
      <c r="AK112" s="2915"/>
      <c r="AL112" s="1882"/>
      <c r="AM112" s="2915"/>
      <c r="AN112" s="3029"/>
      <c r="AO112" s="2889"/>
      <c r="AP112" s="2889"/>
      <c r="AQ112" s="3600"/>
      <c r="AR112" s="3600"/>
      <c r="AS112" s="3600"/>
      <c r="AT112" s="2889"/>
      <c r="AU112" s="2889"/>
      <c r="AV112" s="2889"/>
      <c r="AW112" s="2889"/>
      <c r="AX112" s="1529" t="str">
        <f t="shared" si="83"/>
        <v/>
      </c>
      <c r="BV112" s="1452"/>
      <c r="BW112" s="1452"/>
      <c r="CA112" s="1457" t="str">
        <f t="shared" si="88"/>
        <v/>
      </c>
      <c r="CB112" s="1457" t="str">
        <f t="shared" si="91"/>
        <v/>
      </c>
      <c r="CC112" s="1457" t="str">
        <f t="shared" si="71"/>
        <v/>
      </c>
      <c r="CD112" s="1457" t="str">
        <f t="shared" si="92"/>
        <v/>
      </c>
      <c r="CE112" s="1457" t="str">
        <f t="shared" si="73"/>
        <v/>
      </c>
      <c r="CF112" s="1457" t="str">
        <f t="shared" si="84"/>
        <v/>
      </c>
      <c r="CG112" s="1457" t="str">
        <f t="shared" si="85"/>
        <v/>
      </c>
      <c r="CH112" s="1457" t="str">
        <f t="shared" si="86"/>
        <v/>
      </c>
      <c r="DA112" s="1458">
        <f t="shared" si="89"/>
        <v>0</v>
      </c>
      <c r="DB112" s="1458">
        <f t="shared" si="93"/>
        <v>0</v>
      </c>
      <c r="DC112" s="1458">
        <f t="shared" si="75"/>
        <v>0</v>
      </c>
      <c r="DD112" s="1458">
        <f t="shared" si="94"/>
        <v>0</v>
      </c>
      <c r="DE112" s="1458">
        <f t="shared" si="77"/>
        <v>0</v>
      </c>
      <c r="DF112" s="1458">
        <f t="shared" si="78"/>
        <v>0</v>
      </c>
      <c r="DG112" s="1458">
        <f t="shared" si="79"/>
        <v>0</v>
      </c>
      <c r="DH112" s="1458">
        <f t="shared" si="87"/>
        <v>0</v>
      </c>
    </row>
    <row r="113" spans="1:112" ht="16.350000000000001" customHeight="1" x14ac:dyDescent="0.2">
      <c r="A113" s="9386" t="s">
        <v>1139</v>
      </c>
      <c r="B113" s="9387"/>
      <c r="C113" s="9388"/>
      <c r="D113" s="5082">
        <f t="shared" si="80"/>
        <v>0</v>
      </c>
      <c r="E113" s="2985">
        <f t="shared" si="81"/>
        <v>0</v>
      </c>
      <c r="F113" s="1879">
        <f t="shared" si="82"/>
        <v>0</v>
      </c>
      <c r="G113" s="3415"/>
      <c r="H113" s="1977"/>
      <c r="I113" s="2885"/>
      <c r="J113" s="1897"/>
      <c r="K113" s="2885"/>
      <c r="L113" s="1882"/>
      <c r="M113" s="2885"/>
      <c r="N113" s="1882"/>
      <c r="O113" s="2915"/>
      <c r="P113" s="1882"/>
      <c r="Q113" s="2915"/>
      <c r="R113" s="1882"/>
      <c r="S113" s="2915"/>
      <c r="T113" s="1882"/>
      <c r="U113" s="2915"/>
      <c r="V113" s="1882"/>
      <c r="W113" s="2915"/>
      <c r="X113" s="1882"/>
      <c r="Y113" s="2915"/>
      <c r="Z113" s="1882"/>
      <c r="AA113" s="2915"/>
      <c r="AB113" s="1882"/>
      <c r="AC113" s="2915"/>
      <c r="AD113" s="1882"/>
      <c r="AE113" s="2915"/>
      <c r="AF113" s="1882"/>
      <c r="AG113" s="2915"/>
      <c r="AH113" s="1882"/>
      <c r="AI113" s="2915"/>
      <c r="AJ113" s="1882"/>
      <c r="AK113" s="2915"/>
      <c r="AL113" s="1882"/>
      <c r="AM113" s="2915"/>
      <c r="AN113" s="3029"/>
      <c r="AO113" s="2889"/>
      <c r="AP113" s="2889"/>
      <c r="AQ113" s="3600"/>
      <c r="AR113" s="3600"/>
      <c r="AS113" s="3600"/>
      <c r="AT113" s="2889"/>
      <c r="AU113" s="2889"/>
      <c r="AV113" s="2889"/>
      <c r="AW113" s="2889"/>
      <c r="AX113" s="1529" t="str">
        <f t="shared" si="83"/>
        <v/>
      </c>
      <c r="BV113" s="1452"/>
      <c r="BW113" s="1452"/>
      <c r="CA113" s="1457" t="str">
        <f t="shared" si="88"/>
        <v/>
      </c>
      <c r="CB113" s="1457" t="str">
        <f t="shared" si="91"/>
        <v/>
      </c>
      <c r="CC113" s="1457" t="str">
        <f t="shared" si="71"/>
        <v/>
      </c>
      <c r="CD113" s="1457" t="str">
        <f t="shared" si="92"/>
        <v/>
      </c>
      <c r="CE113" s="1457" t="str">
        <f t="shared" si="73"/>
        <v/>
      </c>
      <c r="CF113" s="1457" t="str">
        <f t="shared" si="84"/>
        <v/>
      </c>
      <c r="CG113" s="1457" t="str">
        <f t="shared" si="85"/>
        <v/>
      </c>
      <c r="CH113" s="1457" t="str">
        <f t="shared" si="86"/>
        <v/>
      </c>
      <c r="DA113" s="1458">
        <f t="shared" si="89"/>
        <v>0</v>
      </c>
      <c r="DB113" s="1458">
        <f t="shared" si="93"/>
        <v>0</v>
      </c>
      <c r="DC113" s="1458">
        <f t="shared" si="75"/>
        <v>0</v>
      </c>
      <c r="DD113" s="1458">
        <f t="shared" si="94"/>
        <v>0</v>
      </c>
      <c r="DE113" s="1458">
        <f t="shared" si="77"/>
        <v>0</v>
      </c>
      <c r="DF113" s="1458">
        <f t="shared" si="78"/>
        <v>0</v>
      </c>
      <c r="DG113" s="1458">
        <f t="shared" si="79"/>
        <v>0</v>
      </c>
      <c r="DH113" s="1458">
        <f t="shared" si="87"/>
        <v>0</v>
      </c>
    </row>
    <row r="114" spans="1:112" ht="16.350000000000001" customHeight="1" x14ac:dyDescent="0.2">
      <c r="A114" s="9386" t="s">
        <v>2138</v>
      </c>
      <c r="B114" s="9387"/>
      <c r="C114" s="9388"/>
      <c r="D114" s="5082">
        <f t="shared" si="80"/>
        <v>0</v>
      </c>
      <c r="E114" s="2985">
        <f t="shared" si="81"/>
        <v>0</v>
      </c>
      <c r="F114" s="1879">
        <f t="shared" si="82"/>
        <v>0</v>
      </c>
      <c r="G114" s="3415"/>
      <c r="H114" s="1977"/>
      <c r="I114" s="2885"/>
      <c r="J114" s="1897"/>
      <c r="K114" s="2885"/>
      <c r="L114" s="1882"/>
      <c r="M114" s="2885"/>
      <c r="N114" s="1882"/>
      <c r="O114" s="2915"/>
      <c r="P114" s="1882"/>
      <c r="Q114" s="2915"/>
      <c r="R114" s="1882"/>
      <c r="S114" s="2915"/>
      <c r="T114" s="1882"/>
      <c r="U114" s="2915"/>
      <c r="V114" s="1882"/>
      <c r="W114" s="2915"/>
      <c r="X114" s="1882"/>
      <c r="Y114" s="2915"/>
      <c r="Z114" s="1882"/>
      <c r="AA114" s="2915"/>
      <c r="AB114" s="1882"/>
      <c r="AC114" s="2915"/>
      <c r="AD114" s="1882"/>
      <c r="AE114" s="2915"/>
      <c r="AF114" s="1882"/>
      <c r="AG114" s="2915"/>
      <c r="AH114" s="1882"/>
      <c r="AI114" s="2915"/>
      <c r="AJ114" s="1882"/>
      <c r="AK114" s="2915"/>
      <c r="AL114" s="1882"/>
      <c r="AM114" s="2915"/>
      <c r="AN114" s="3029"/>
      <c r="AO114" s="2889"/>
      <c r="AP114" s="2889"/>
      <c r="AQ114" s="3600"/>
      <c r="AR114" s="3600"/>
      <c r="AS114" s="3600"/>
      <c r="AT114" s="2889"/>
      <c r="AU114" s="2889"/>
      <c r="AV114" s="2889"/>
      <c r="AW114" s="2889"/>
      <c r="AX114" s="1529" t="str">
        <f t="shared" si="83"/>
        <v/>
      </c>
      <c r="BV114" s="1452"/>
      <c r="BW114" s="1452"/>
      <c r="CA114" s="1457" t="str">
        <f t="shared" si="88"/>
        <v/>
      </c>
      <c r="CB114" s="1457" t="str">
        <f t="shared" si="91"/>
        <v/>
      </c>
      <c r="CC114" s="1457" t="str">
        <f t="shared" si="71"/>
        <v/>
      </c>
      <c r="CD114" s="1457" t="str">
        <f t="shared" si="92"/>
        <v/>
      </c>
      <c r="CE114" s="1457" t="str">
        <f t="shared" si="73"/>
        <v/>
      </c>
      <c r="CF114" s="1457" t="str">
        <f t="shared" si="84"/>
        <v/>
      </c>
      <c r="CG114" s="1457" t="str">
        <f t="shared" si="85"/>
        <v/>
      </c>
      <c r="CH114" s="1457" t="str">
        <f t="shared" si="86"/>
        <v/>
      </c>
      <c r="DA114" s="1458">
        <f t="shared" si="89"/>
        <v>0</v>
      </c>
      <c r="DB114" s="1458">
        <f t="shared" si="93"/>
        <v>0</v>
      </c>
      <c r="DC114" s="1458">
        <f t="shared" si="75"/>
        <v>0</v>
      </c>
      <c r="DD114" s="1458">
        <f t="shared" si="94"/>
        <v>0</v>
      </c>
      <c r="DE114" s="1458">
        <f t="shared" si="77"/>
        <v>0</v>
      </c>
      <c r="DF114" s="1458">
        <f t="shared" si="78"/>
        <v>0</v>
      </c>
      <c r="DG114" s="1458">
        <f t="shared" si="79"/>
        <v>0</v>
      </c>
      <c r="DH114" s="1458">
        <f t="shared" si="87"/>
        <v>0</v>
      </c>
    </row>
    <row r="115" spans="1:112" ht="16.350000000000001" customHeight="1" x14ac:dyDescent="0.2">
      <c r="A115" s="9386" t="s">
        <v>1138</v>
      </c>
      <c r="B115" s="9387"/>
      <c r="C115" s="9388"/>
      <c r="D115" s="5082">
        <f t="shared" si="80"/>
        <v>0</v>
      </c>
      <c r="E115" s="2985">
        <f t="shared" si="81"/>
        <v>0</v>
      </c>
      <c r="F115" s="1879">
        <f t="shared" si="82"/>
        <v>0</v>
      </c>
      <c r="G115" s="3415"/>
      <c r="H115" s="1977"/>
      <c r="I115" s="2885"/>
      <c r="J115" s="1897"/>
      <c r="K115" s="2885"/>
      <c r="L115" s="1882"/>
      <c r="M115" s="2885"/>
      <c r="N115" s="1882"/>
      <c r="O115" s="2915"/>
      <c r="P115" s="1882"/>
      <c r="Q115" s="2915"/>
      <c r="R115" s="1882"/>
      <c r="S115" s="2915"/>
      <c r="T115" s="1882"/>
      <c r="U115" s="2915"/>
      <c r="V115" s="1882"/>
      <c r="W115" s="2915"/>
      <c r="X115" s="1882"/>
      <c r="Y115" s="2915"/>
      <c r="Z115" s="1882"/>
      <c r="AA115" s="2915"/>
      <c r="AB115" s="1882"/>
      <c r="AC115" s="2915"/>
      <c r="AD115" s="1882"/>
      <c r="AE115" s="2915"/>
      <c r="AF115" s="1882"/>
      <c r="AG115" s="2915"/>
      <c r="AH115" s="1882"/>
      <c r="AI115" s="2915"/>
      <c r="AJ115" s="1882"/>
      <c r="AK115" s="2915"/>
      <c r="AL115" s="1882"/>
      <c r="AM115" s="2915"/>
      <c r="AN115" s="3029"/>
      <c r="AO115" s="2889"/>
      <c r="AP115" s="2889"/>
      <c r="AQ115" s="3600"/>
      <c r="AR115" s="3600"/>
      <c r="AS115" s="3600"/>
      <c r="AT115" s="2889"/>
      <c r="AU115" s="2889"/>
      <c r="AV115" s="2889"/>
      <c r="AW115" s="2889"/>
      <c r="AX115" s="1529" t="str">
        <f t="shared" si="83"/>
        <v/>
      </c>
      <c r="BV115" s="1452"/>
      <c r="BW115" s="1452"/>
      <c r="CA115" s="1457" t="str">
        <f t="shared" si="88"/>
        <v/>
      </c>
      <c r="CB115" s="1457" t="str">
        <f t="shared" si="91"/>
        <v/>
      </c>
      <c r="CC115" s="1457" t="str">
        <f t="shared" si="71"/>
        <v/>
      </c>
      <c r="CD115" s="1457" t="str">
        <f t="shared" si="92"/>
        <v/>
      </c>
      <c r="CE115" s="1457" t="str">
        <f t="shared" si="73"/>
        <v/>
      </c>
      <c r="CF115" s="1457" t="str">
        <f t="shared" si="84"/>
        <v/>
      </c>
      <c r="CG115" s="1457" t="str">
        <f t="shared" si="85"/>
        <v/>
      </c>
      <c r="CH115" s="1457" t="str">
        <f t="shared" si="86"/>
        <v/>
      </c>
      <c r="DA115" s="1458">
        <f t="shared" si="89"/>
        <v>0</v>
      </c>
      <c r="DB115" s="1458">
        <f t="shared" si="93"/>
        <v>0</v>
      </c>
      <c r="DC115" s="1458">
        <f t="shared" si="75"/>
        <v>0</v>
      </c>
      <c r="DD115" s="1458">
        <f t="shared" si="94"/>
        <v>0</v>
      </c>
      <c r="DE115" s="1458">
        <f t="shared" si="77"/>
        <v>0</v>
      </c>
      <c r="DF115" s="1458">
        <f t="shared" si="78"/>
        <v>0</v>
      </c>
      <c r="DG115" s="1458">
        <f t="shared" si="79"/>
        <v>0</v>
      </c>
      <c r="DH115" s="1458">
        <f t="shared" si="87"/>
        <v>0</v>
      </c>
    </row>
    <row r="116" spans="1:112" ht="16.350000000000001" customHeight="1" x14ac:dyDescent="0.2">
      <c r="A116" s="9385" t="s">
        <v>2089</v>
      </c>
      <c r="B116" s="9385"/>
      <c r="C116" s="9385"/>
      <c r="D116" s="5082">
        <f t="shared" si="80"/>
        <v>0</v>
      </c>
      <c r="E116" s="2985">
        <f>SUM(S116+U116+W116+Y116+AA116+AC116+AE116+AG116+AI116+AK116+AM116)</f>
        <v>0</v>
      </c>
      <c r="F116" s="1879">
        <f>SUM(T116+V116+X116+Z116+AB116+AD116+AF116+AH116+AJ116+AL116+AN116)</f>
        <v>0</v>
      </c>
      <c r="G116" s="2909"/>
      <c r="H116" s="1888"/>
      <c r="I116" s="2909"/>
      <c r="J116" s="1979"/>
      <c r="K116" s="2909"/>
      <c r="L116" s="1888"/>
      <c r="M116" s="2909"/>
      <c r="N116" s="1888"/>
      <c r="O116" s="2910"/>
      <c r="P116" s="1888"/>
      <c r="Q116" s="2910"/>
      <c r="R116" s="1888"/>
      <c r="S116" s="2915"/>
      <c r="T116" s="1882"/>
      <c r="U116" s="2915"/>
      <c r="V116" s="1882"/>
      <c r="W116" s="2915"/>
      <c r="X116" s="1882"/>
      <c r="Y116" s="2915"/>
      <c r="Z116" s="1882"/>
      <c r="AA116" s="2915"/>
      <c r="AB116" s="1882"/>
      <c r="AC116" s="2915"/>
      <c r="AD116" s="1882"/>
      <c r="AE116" s="2915"/>
      <c r="AF116" s="1882"/>
      <c r="AG116" s="2915"/>
      <c r="AH116" s="1882"/>
      <c r="AI116" s="2915"/>
      <c r="AJ116" s="1882"/>
      <c r="AK116" s="2915"/>
      <c r="AL116" s="1882"/>
      <c r="AM116" s="2915"/>
      <c r="AN116" s="3029"/>
      <c r="AO116" s="2889"/>
      <c r="AP116" s="2889"/>
      <c r="AQ116" s="3600"/>
      <c r="AR116" s="3600"/>
      <c r="AS116" s="3600"/>
      <c r="AT116" s="2889"/>
      <c r="AU116" s="2889"/>
      <c r="AV116" s="2889"/>
      <c r="AW116" s="2889"/>
      <c r="AX116" s="1529" t="str">
        <f t="shared" si="83"/>
        <v/>
      </c>
      <c r="BV116" s="1452"/>
      <c r="BW116" s="1452"/>
      <c r="CA116" s="1457" t="str">
        <f t="shared" si="88"/>
        <v/>
      </c>
      <c r="CB116" s="1457" t="str">
        <f t="shared" si="91"/>
        <v/>
      </c>
      <c r="CC116" s="1457" t="str">
        <f t="shared" si="71"/>
        <v/>
      </c>
      <c r="CD116" s="1457" t="str">
        <f t="shared" si="92"/>
        <v/>
      </c>
      <c r="CE116" s="1457" t="str">
        <f t="shared" si="73"/>
        <v/>
      </c>
      <c r="CF116" s="1457" t="str">
        <f t="shared" si="84"/>
        <v/>
      </c>
      <c r="CG116" s="1457" t="str">
        <f t="shared" si="85"/>
        <v/>
      </c>
      <c r="CH116" s="1457" t="str">
        <f t="shared" si="86"/>
        <v/>
      </c>
      <c r="DA116" s="1458">
        <f t="shared" si="89"/>
        <v>0</v>
      </c>
      <c r="DB116" s="1458">
        <f t="shared" si="93"/>
        <v>0</v>
      </c>
      <c r="DC116" s="1458">
        <f t="shared" si="75"/>
        <v>0</v>
      </c>
      <c r="DD116" s="1458">
        <f t="shared" si="94"/>
        <v>0</v>
      </c>
      <c r="DE116" s="1458">
        <f t="shared" si="77"/>
        <v>0</v>
      </c>
      <c r="DF116" s="1458">
        <f t="shared" si="78"/>
        <v>0</v>
      </c>
      <c r="DG116" s="1458">
        <f t="shared" si="79"/>
        <v>0</v>
      </c>
      <c r="DH116" s="1458">
        <f t="shared" si="87"/>
        <v>0</v>
      </c>
    </row>
    <row r="117" spans="1:112" ht="16.350000000000001" customHeight="1" x14ac:dyDescent="0.2">
      <c r="A117" s="9385" t="s">
        <v>1137</v>
      </c>
      <c r="B117" s="9385"/>
      <c r="C117" s="9385"/>
      <c r="D117" s="5082">
        <f t="shared" si="80"/>
        <v>0</v>
      </c>
      <c r="E117" s="2985">
        <f>SUM(S117+U117+W117+Y117+AA117+AC117+AE117+AG117+AI117+AK117+AM117)</f>
        <v>0</v>
      </c>
      <c r="F117" s="1879">
        <f>SUM(T117+V117+X117+Z117+AB117+AD117+AF117+AH117+AJ117+AL117+AN117)</f>
        <v>0</v>
      </c>
      <c r="G117" s="5083"/>
      <c r="H117" s="1894"/>
      <c r="I117" s="5083"/>
      <c r="J117" s="1978"/>
      <c r="K117" s="5083"/>
      <c r="L117" s="1894"/>
      <c r="M117" s="5083"/>
      <c r="N117" s="1894"/>
      <c r="O117" s="5084"/>
      <c r="P117" s="1894"/>
      <c r="Q117" s="5084"/>
      <c r="R117" s="1894"/>
      <c r="S117" s="2915"/>
      <c r="T117" s="1882"/>
      <c r="U117" s="2915"/>
      <c r="V117" s="1882"/>
      <c r="W117" s="2915"/>
      <c r="X117" s="1882"/>
      <c r="Y117" s="2915"/>
      <c r="Z117" s="1882"/>
      <c r="AA117" s="2915"/>
      <c r="AB117" s="1882"/>
      <c r="AC117" s="2915"/>
      <c r="AD117" s="1882"/>
      <c r="AE117" s="2915"/>
      <c r="AF117" s="1882"/>
      <c r="AG117" s="2915"/>
      <c r="AH117" s="1882"/>
      <c r="AI117" s="2915"/>
      <c r="AJ117" s="1882"/>
      <c r="AK117" s="2915"/>
      <c r="AL117" s="1882"/>
      <c r="AM117" s="2915"/>
      <c r="AN117" s="3029"/>
      <c r="AO117" s="2889"/>
      <c r="AP117" s="2889"/>
      <c r="AQ117" s="3600"/>
      <c r="AR117" s="3600"/>
      <c r="AS117" s="3600"/>
      <c r="AT117" s="2889"/>
      <c r="AU117" s="2889"/>
      <c r="AV117" s="2889"/>
      <c r="AW117" s="2889"/>
      <c r="AX117" s="1529" t="str">
        <f t="shared" si="83"/>
        <v/>
      </c>
      <c r="BV117" s="1452"/>
      <c r="BW117" s="1452"/>
      <c r="CA117" s="1457" t="str">
        <f t="shared" si="88"/>
        <v/>
      </c>
      <c r="CB117" s="1457" t="str">
        <f t="shared" si="91"/>
        <v/>
      </c>
      <c r="CC117" s="1457" t="str">
        <f t="shared" si="71"/>
        <v/>
      </c>
      <c r="CD117" s="1457" t="str">
        <f t="shared" si="92"/>
        <v/>
      </c>
      <c r="CE117" s="1457" t="str">
        <f t="shared" si="73"/>
        <v/>
      </c>
      <c r="CF117" s="1457" t="str">
        <f t="shared" si="84"/>
        <v/>
      </c>
      <c r="CG117" s="1457" t="str">
        <f t="shared" si="85"/>
        <v/>
      </c>
      <c r="CH117" s="1457" t="str">
        <f t="shared" si="86"/>
        <v/>
      </c>
      <c r="DA117" s="1458">
        <f t="shared" si="89"/>
        <v>0</v>
      </c>
      <c r="DB117" s="1458">
        <f t="shared" si="93"/>
        <v>0</v>
      </c>
      <c r="DC117" s="1458">
        <f t="shared" si="75"/>
        <v>0</v>
      </c>
      <c r="DD117" s="1458">
        <f t="shared" si="94"/>
        <v>0</v>
      </c>
      <c r="DE117" s="1458">
        <f t="shared" si="77"/>
        <v>0</v>
      </c>
      <c r="DF117" s="1458">
        <f t="shared" si="78"/>
        <v>0</v>
      </c>
      <c r="DG117" s="1458">
        <f t="shared" si="79"/>
        <v>0</v>
      </c>
      <c r="DH117" s="1458">
        <f t="shared" si="87"/>
        <v>0</v>
      </c>
    </row>
    <row r="118" spans="1:112" ht="16.350000000000001" customHeight="1" x14ac:dyDescent="0.2">
      <c r="A118" s="9386" t="s">
        <v>1136</v>
      </c>
      <c r="B118" s="9387"/>
      <c r="C118" s="9388"/>
      <c r="D118" s="5082">
        <f t="shared" si="80"/>
        <v>0</v>
      </c>
      <c r="E118" s="2985">
        <f>SUM(U118+W118+Y118+AA118+AC118+AE118+AG118+AI118+AK118+AM118)</f>
        <v>0</v>
      </c>
      <c r="F118" s="1879">
        <f>SUM(V118+X118+Z118+AB118+AD118+AF118+AH118+AJ118+AL118+AN118)</f>
        <v>0</v>
      </c>
      <c r="G118" s="5083"/>
      <c r="H118" s="1894"/>
      <c r="I118" s="5083"/>
      <c r="J118" s="1978"/>
      <c r="K118" s="5083"/>
      <c r="L118" s="1894"/>
      <c r="M118" s="5083"/>
      <c r="N118" s="1894"/>
      <c r="O118" s="5084"/>
      <c r="P118" s="1894"/>
      <c r="Q118" s="5084"/>
      <c r="R118" s="1894"/>
      <c r="S118" s="5084"/>
      <c r="T118" s="1894"/>
      <c r="U118" s="2915"/>
      <c r="V118" s="1882"/>
      <c r="W118" s="2915"/>
      <c r="X118" s="1882"/>
      <c r="Y118" s="2915"/>
      <c r="Z118" s="1882"/>
      <c r="AA118" s="2915"/>
      <c r="AB118" s="1882"/>
      <c r="AC118" s="2915"/>
      <c r="AD118" s="1882"/>
      <c r="AE118" s="2915"/>
      <c r="AF118" s="1882"/>
      <c r="AG118" s="2915"/>
      <c r="AH118" s="1882"/>
      <c r="AI118" s="2915"/>
      <c r="AJ118" s="1882"/>
      <c r="AK118" s="2915"/>
      <c r="AL118" s="1882"/>
      <c r="AM118" s="2915"/>
      <c r="AN118" s="3029"/>
      <c r="AO118" s="2889"/>
      <c r="AP118" s="2889"/>
      <c r="AQ118" s="3600"/>
      <c r="AR118" s="3600"/>
      <c r="AS118" s="3600"/>
      <c r="AT118" s="2889"/>
      <c r="AU118" s="2889"/>
      <c r="AV118" s="2889"/>
      <c r="AW118" s="2889"/>
      <c r="AX118" s="1529" t="str">
        <f t="shared" si="83"/>
        <v/>
      </c>
      <c r="BV118" s="1452"/>
      <c r="BW118" s="1452"/>
      <c r="CA118" s="1457" t="str">
        <f t="shared" si="88"/>
        <v/>
      </c>
      <c r="CB118" s="1457" t="str">
        <f t="shared" si="91"/>
        <v/>
      </c>
      <c r="CC118" s="1457" t="str">
        <f t="shared" si="71"/>
        <v/>
      </c>
      <c r="CD118" s="1457" t="str">
        <f t="shared" si="92"/>
        <v/>
      </c>
      <c r="CE118" s="1457" t="str">
        <f t="shared" si="73"/>
        <v/>
      </c>
      <c r="CF118" s="1457" t="str">
        <f t="shared" si="84"/>
        <v/>
      </c>
      <c r="CG118" s="1457" t="str">
        <f t="shared" si="85"/>
        <v/>
      </c>
      <c r="CH118" s="1457" t="str">
        <f t="shared" si="86"/>
        <v/>
      </c>
      <c r="DA118" s="1458">
        <f t="shared" si="89"/>
        <v>0</v>
      </c>
      <c r="DB118" s="1458">
        <f t="shared" si="93"/>
        <v>0</v>
      </c>
      <c r="DC118" s="1458">
        <f t="shared" si="75"/>
        <v>0</v>
      </c>
      <c r="DD118" s="1458">
        <f t="shared" si="94"/>
        <v>0</v>
      </c>
      <c r="DE118" s="1458">
        <f t="shared" si="77"/>
        <v>0</v>
      </c>
      <c r="DF118" s="1458">
        <f t="shared" si="78"/>
        <v>0</v>
      </c>
      <c r="DG118" s="1458">
        <f t="shared" si="79"/>
        <v>0</v>
      </c>
      <c r="DH118" s="1458">
        <f t="shared" si="87"/>
        <v>0</v>
      </c>
    </row>
    <row r="119" spans="1:112" ht="16.350000000000001" customHeight="1" x14ac:dyDescent="0.2">
      <c r="A119" s="9386" t="s">
        <v>1135</v>
      </c>
      <c r="B119" s="9387"/>
      <c r="C119" s="9388"/>
      <c r="D119" s="5082">
        <f t="shared" si="80"/>
        <v>0</v>
      </c>
      <c r="E119" s="2985">
        <f>SUM(Y119+AA119+AC119+AE119+AG119+AI119+AK119+AM119)</f>
        <v>0</v>
      </c>
      <c r="F119" s="1879">
        <f>SUM(Z119+AB119+AD119+AF119+AH119+AJ119+AL119+AN119)</f>
        <v>0</v>
      </c>
      <c r="G119" s="5083"/>
      <c r="H119" s="1894"/>
      <c r="I119" s="5083"/>
      <c r="J119" s="1978"/>
      <c r="K119" s="5083"/>
      <c r="L119" s="1894"/>
      <c r="M119" s="5083"/>
      <c r="N119" s="1894"/>
      <c r="O119" s="5084"/>
      <c r="P119" s="1894"/>
      <c r="Q119" s="5084"/>
      <c r="R119" s="1894"/>
      <c r="S119" s="5084"/>
      <c r="T119" s="1894"/>
      <c r="U119" s="5084"/>
      <c r="V119" s="1894"/>
      <c r="W119" s="5084"/>
      <c r="X119" s="1894"/>
      <c r="Y119" s="2915"/>
      <c r="Z119" s="1882"/>
      <c r="AA119" s="2915"/>
      <c r="AB119" s="1882"/>
      <c r="AC119" s="2915"/>
      <c r="AD119" s="1882"/>
      <c r="AE119" s="2915"/>
      <c r="AF119" s="1882"/>
      <c r="AG119" s="2915"/>
      <c r="AH119" s="1882"/>
      <c r="AI119" s="2915"/>
      <c r="AJ119" s="1882"/>
      <c r="AK119" s="2915"/>
      <c r="AL119" s="1882"/>
      <c r="AM119" s="2915"/>
      <c r="AN119" s="3029"/>
      <c r="AO119" s="5085"/>
      <c r="AP119" s="2889"/>
      <c r="AQ119" s="3600"/>
      <c r="AR119" s="3600"/>
      <c r="AS119" s="3600"/>
      <c r="AT119" s="2889"/>
      <c r="AU119" s="2889"/>
      <c r="AV119" s="2889"/>
      <c r="AW119" s="2889"/>
      <c r="AX119" s="1529" t="str">
        <f t="shared" si="83"/>
        <v/>
      </c>
      <c r="BV119" s="1452"/>
      <c r="BW119" s="1452"/>
      <c r="CA119" s="1457"/>
      <c r="CB119" s="1457" t="str">
        <f t="shared" si="91"/>
        <v/>
      </c>
      <c r="CC119" s="1457" t="str">
        <f t="shared" si="71"/>
        <v/>
      </c>
      <c r="CD119" s="1457" t="str">
        <f t="shared" si="92"/>
        <v/>
      </c>
      <c r="CE119" s="1457" t="str">
        <f t="shared" si="73"/>
        <v/>
      </c>
      <c r="CF119" s="1457" t="str">
        <f t="shared" si="84"/>
        <v/>
      </c>
      <c r="CG119" s="1457" t="str">
        <f t="shared" si="85"/>
        <v/>
      </c>
      <c r="CH119" s="1457" t="str">
        <f t="shared" si="86"/>
        <v/>
      </c>
      <c r="DA119" s="1458"/>
      <c r="DB119" s="1458">
        <f t="shared" si="93"/>
        <v>0</v>
      </c>
      <c r="DC119" s="1458">
        <f t="shared" si="75"/>
        <v>0</v>
      </c>
      <c r="DD119" s="1458">
        <f t="shared" si="94"/>
        <v>0</v>
      </c>
      <c r="DE119" s="1458">
        <f t="shared" si="77"/>
        <v>0</v>
      </c>
      <c r="DF119" s="1458">
        <f t="shared" si="78"/>
        <v>0</v>
      </c>
      <c r="DG119" s="1458">
        <f t="shared" si="79"/>
        <v>0</v>
      </c>
      <c r="DH119" s="1458">
        <f t="shared" si="87"/>
        <v>0</v>
      </c>
    </row>
    <row r="120" spans="1:112" ht="16.350000000000001" customHeight="1" x14ac:dyDescent="0.2">
      <c r="A120" s="9393" t="s">
        <v>1134</v>
      </c>
      <c r="B120" s="9393"/>
      <c r="C120" s="9393"/>
      <c r="D120" s="5082">
        <f t="shared" si="80"/>
        <v>0</v>
      </c>
      <c r="E120" s="2985">
        <f>SUM(G120+I120+K120+M120+O120+Q120+S120+U120+W120+Y120+AA120+AC120+AE120+AG120+AI120+AK120+AM120)</f>
        <v>0</v>
      </c>
      <c r="F120" s="1879">
        <f t="shared" si="82"/>
        <v>0</v>
      </c>
      <c r="G120" s="2885"/>
      <c r="H120" s="1882"/>
      <c r="I120" s="2885"/>
      <c r="J120" s="1897"/>
      <c r="K120" s="2885"/>
      <c r="L120" s="1882"/>
      <c r="M120" s="2885"/>
      <c r="N120" s="1882"/>
      <c r="O120" s="2915"/>
      <c r="P120" s="1882"/>
      <c r="Q120" s="2915"/>
      <c r="R120" s="1882"/>
      <c r="S120" s="2915"/>
      <c r="T120" s="1882"/>
      <c r="U120" s="2915"/>
      <c r="V120" s="1882"/>
      <c r="W120" s="2915"/>
      <c r="X120" s="1882"/>
      <c r="Y120" s="2915"/>
      <c r="Z120" s="1882"/>
      <c r="AA120" s="2915"/>
      <c r="AB120" s="1882"/>
      <c r="AC120" s="2915"/>
      <c r="AD120" s="1882"/>
      <c r="AE120" s="2915"/>
      <c r="AF120" s="1882"/>
      <c r="AG120" s="2915"/>
      <c r="AH120" s="1882"/>
      <c r="AI120" s="2915"/>
      <c r="AJ120" s="1882"/>
      <c r="AK120" s="2915"/>
      <c r="AL120" s="1882"/>
      <c r="AM120" s="2915"/>
      <c r="AN120" s="3029"/>
      <c r="AO120" s="2889"/>
      <c r="AP120" s="2889"/>
      <c r="AQ120" s="3600"/>
      <c r="AR120" s="3600"/>
      <c r="AS120" s="3600"/>
      <c r="AT120" s="2889"/>
      <c r="AU120" s="2889"/>
      <c r="AV120" s="2889"/>
      <c r="AW120" s="2889"/>
      <c r="AX120" s="1529" t="str">
        <f t="shared" si="83"/>
        <v/>
      </c>
      <c r="BV120" s="1452"/>
      <c r="BW120" s="1452"/>
      <c r="CA120" s="1457" t="str">
        <f>IF(DA120=1,"* Las consultas de 12 años NO DEBEN ser mayor que el total de Consultas entre 10-14 Años. ","")</f>
        <v/>
      </c>
      <c r="CB120" s="1457" t="str">
        <f t="shared" si="91"/>
        <v/>
      </c>
      <c r="CC120" s="1457" t="str">
        <f t="shared" si="71"/>
        <v/>
      </c>
      <c r="CD120" s="1457" t="str">
        <f t="shared" si="92"/>
        <v/>
      </c>
      <c r="CE120" s="1457" t="str">
        <f t="shared" si="73"/>
        <v/>
      </c>
      <c r="CF120" s="1457" t="str">
        <f t="shared" si="84"/>
        <v/>
      </c>
      <c r="CG120" s="1457" t="str">
        <f t="shared" si="85"/>
        <v/>
      </c>
      <c r="CH120" s="1457" t="str">
        <f t="shared" si="86"/>
        <v/>
      </c>
      <c r="DA120" s="1458">
        <f>IF(AO120&gt;(W120+X120),1,0)</f>
        <v>0</v>
      </c>
      <c r="DB120" s="1458">
        <f t="shared" si="93"/>
        <v>0</v>
      </c>
      <c r="DC120" s="1458">
        <f t="shared" si="75"/>
        <v>0</v>
      </c>
      <c r="DD120" s="1458">
        <f t="shared" si="94"/>
        <v>0</v>
      </c>
      <c r="DE120" s="1458">
        <f t="shared" si="77"/>
        <v>0</v>
      </c>
      <c r="DF120" s="1458">
        <f t="shared" si="78"/>
        <v>0</v>
      </c>
      <c r="DG120" s="1458">
        <f t="shared" si="79"/>
        <v>0</v>
      </c>
      <c r="DH120" s="1458">
        <f t="shared" si="87"/>
        <v>0</v>
      </c>
    </row>
    <row r="121" spans="1:112" ht="16.350000000000001" customHeight="1" x14ac:dyDescent="0.2">
      <c r="A121" s="9394" t="s">
        <v>2090</v>
      </c>
      <c r="B121" s="9395"/>
      <c r="C121" s="9396"/>
      <c r="D121" s="5082">
        <f t="shared" si="80"/>
        <v>0</v>
      </c>
      <c r="E121" s="2985">
        <f>SUM(Y121+AA121+AC121+AE121+AG121+AI121+AK121+AM121)</f>
        <v>0</v>
      </c>
      <c r="F121" s="1879">
        <f>SUM(Z121+AB121+AD121+AF121+AH121+AJ121+AL121+AN121)</f>
        <v>0</v>
      </c>
      <c r="G121" s="5083"/>
      <c r="H121" s="1894"/>
      <c r="I121" s="5083"/>
      <c r="J121" s="1978"/>
      <c r="K121" s="5083"/>
      <c r="L121" s="1894"/>
      <c r="M121" s="5083"/>
      <c r="N121" s="1894"/>
      <c r="O121" s="5084"/>
      <c r="P121" s="1894"/>
      <c r="Q121" s="5084"/>
      <c r="R121" s="1894"/>
      <c r="S121" s="5084"/>
      <c r="T121" s="1894"/>
      <c r="U121" s="5084"/>
      <c r="V121" s="1894"/>
      <c r="W121" s="5084"/>
      <c r="X121" s="1894"/>
      <c r="Y121" s="2915"/>
      <c r="Z121" s="1882"/>
      <c r="AA121" s="2915"/>
      <c r="AB121" s="1882"/>
      <c r="AC121" s="2915"/>
      <c r="AD121" s="1882"/>
      <c r="AE121" s="2915"/>
      <c r="AF121" s="1882"/>
      <c r="AG121" s="2915"/>
      <c r="AH121" s="1882"/>
      <c r="AI121" s="2915"/>
      <c r="AJ121" s="1882"/>
      <c r="AK121" s="2915"/>
      <c r="AL121" s="1882"/>
      <c r="AM121" s="2915"/>
      <c r="AN121" s="3029"/>
      <c r="AO121" s="5085"/>
      <c r="AP121" s="2889"/>
      <c r="AQ121" s="3600"/>
      <c r="AR121" s="5088"/>
      <c r="AS121" s="3600"/>
      <c r="AT121" s="2889"/>
      <c r="AU121" s="2889"/>
      <c r="AV121" s="2889"/>
      <c r="AW121" s="2889"/>
      <c r="AX121" s="1529" t="str">
        <f t="shared" si="83"/>
        <v/>
      </c>
      <c r="BV121" s="1452"/>
      <c r="BW121" s="1452"/>
      <c r="CA121" s="1457"/>
      <c r="CB121" s="1457" t="str">
        <f t="shared" si="91"/>
        <v/>
      </c>
      <c r="CC121" s="1457" t="str">
        <f t="shared" si="71"/>
        <v/>
      </c>
      <c r="CD121" s="1457" t="str">
        <f t="shared" si="92"/>
        <v/>
      </c>
      <c r="CE121" s="1457" t="str">
        <f t="shared" si="73"/>
        <v/>
      </c>
      <c r="CF121" s="1457" t="str">
        <f t="shared" si="84"/>
        <v/>
      </c>
      <c r="CG121" s="1457" t="str">
        <f t="shared" si="85"/>
        <v/>
      </c>
      <c r="CH121" s="1457" t="str">
        <f t="shared" si="86"/>
        <v/>
      </c>
      <c r="DA121" s="1458"/>
      <c r="DB121" s="1458">
        <f t="shared" si="93"/>
        <v>0</v>
      </c>
      <c r="DC121" s="1458">
        <f t="shared" si="75"/>
        <v>0</v>
      </c>
      <c r="DD121" s="1458">
        <f t="shared" si="94"/>
        <v>0</v>
      </c>
      <c r="DE121" s="1458">
        <f t="shared" si="77"/>
        <v>0</v>
      </c>
      <c r="DF121" s="1458">
        <f t="shared" si="78"/>
        <v>0</v>
      </c>
      <c r="DG121" s="1458">
        <f t="shared" si="79"/>
        <v>0</v>
      </c>
      <c r="DH121" s="1458">
        <f t="shared" si="87"/>
        <v>0</v>
      </c>
    </row>
    <row r="122" spans="1:112" ht="16.350000000000001" customHeight="1" x14ac:dyDescent="0.2">
      <c r="A122" s="9394" t="s">
        <v>2091</v>
      </c>
      <c r="B122" s="9395"/>
      <c r="C122" s="9396"/>
      <c r="D122" s="5082">
        <f t="shared" si="80"/>
        <v>0</v>
      </c>
      <c r="E122" s="2985">
        <f t="shared" ref="E122:F127" si="95">SUM(Y122+AA122+AC122+AE122+AG122+AI122+AK122+AM122)</f>
        <v>0</v>
      </c>
      <c r="F122" s="1879">
        <f t="shared" si="95"/>
        <v>0</v>
      </c>
      <c r="G122" s="5083"/>
      <c r="H122" s="1894"/>
      <c r="I122" s="5083"/>
      <c r="J122" s="1978"/>
      <c r="K122" s="5083"/>
      <c r="L122" s="1894"/>
      <c r="M122" s="5083"/>
      <c r="N122" s="1894"/>
      <c r="O122" s="5084"/>
      <c r="P122" s="1894"/>
      <c r="Q122" s="5084"/>
      <c r="R122" s="1894"/>
      <c r="S122" s="5084"/>
      <c r="T122" s="1894"/>
      <c r="U122" s="5084"/>
      <c r="V122" s="1894"/>
      <c r="W122" s="5084"/>
      <c r="X122" s="1894"/>
      <c r="Y122" s="2915"/>
      <c r="Z122" s="1882"/>
      <c r="AA122" s="2915"/>
      <c r="AB122" s="1882"/>
      <c r="AC122" s="2915"/>
      <c r="AD122" s="1882"/>
      <c r="AE122" s="2915"/>
      <c r="AF122" s="1882"/>
      <c r="AG122" s="2915"/>
      <c r="AH122" s="1882"/>
      <c r="AI122" s="2915"/>
      <c r="AJ122" s="1882"/>
      <c r="AK122" s="2915"/>
      <c r="AL122" s="1882"/>
      <c r="AM122" s="2915"/>
      <c r="AN122" s="3029"/>
      <c r="AO122" s="5085"/>
      <c r="AP122" s="2889"/>
      <c r="AQ122" s="3600"/>
      <c r="AR122" s="5088"/>
      <c r="AS122" s="3600"/>
      <c r="AT122" s="2889"/>
      <c r="AU122" s="2889"/>
      <c r="AV122" s="2889"/>
      <c r="AW122" s="2889"/>
      <c r="AX122" s="1529" t="str">
        <f t="shared" si="83"/>
        <v/>
      </c>
      <c r="BV122" s="1452"/>
      <c r="BW122" s="1452"/>
      <c r="CA122" s="1457"/>
      <c r="CB122" s="1457" t="str">
        <f t="shared" si="91"/>
        <v/>
      </c>
      <c r="CC122" s="1457" t="str">
        <f t="shared" ref="CC122:CC142" si="96">IF(DC122=1,"* Las actividades de usuarios en situación de discapacidad NO DEBEN superar el total. ","")</f>
        <v/>
      </c>
      <c r="CD122" s="1457" t="str">
        <f t="shared" si="92"/>
        <v/>
      </c>
      <c r="CE122" s="1457" t="str">
        <f t="shared" ref="CE122:CE142" si="97">IF(AND(AQ122="",D122&lt;&gt;0),"* No olvide digitar la columna Beneficiarios (Digite CEROS si no tiene). ",IF(D122&lt;AQ122,"* El número de Beneficiarios NO DEBE ser mayor que el Total. ",""))</f>
        <v/>
      </c>
      <c r="CF122" s="1457" t="str">
        <f t="shared" si="84"/>
        <v/>
      </c>
      <c r="CG122" s="1457" t="str">
        <f t="shared" si="85"/>
        <v/>
      </c>
      <c r="CH122" s="1457" t="str">
        <f t="shared" si="86"/>
        <v/>
      </c>
      <c r="DA122" s="1458"/>
      <c r="DB122" s="1458">
        <f t="shared" si="93"/>
        <v>0</v>
      </c>
      <c r="DC122" s="1458">
        <f t="shared" ref="DC122:DC142" si="98">IF(D122&lt;AT122,1,0)</f>
        <v>0</v>
      </c>
      <c r="DD122" s="1458">
        <f t="shared" si="94"/>
        <v>0</v>
      </c>
      <c r="DE122" s="1458">
        <f t="shared" ref="DE122:DE142" si="99">IF(AND(AQ122="",D122&lt;&gt;0),1,IF(D122&lt;AQ122,1,0))</f>
        <v>0</v>
      </c>
      <c r="DF122" s="1458">
        <f t="shared" ref="DF122:DF142" si="100">IF(AND(AV122="",D122&lt;&gt;0),1,IF(D122&lt;AV122,1,0))</f>
        <v>0</v>
      </c>
      <c r="DG122" s="1458">
        <f t="shared" ref="DG122:DG142" si="101">IF(AND(AW122="",D122&lt;&gt;0),1,IF(D122&lt;AW122,1,0))</f>
        <v>0</v>
      </c>
      <c r="DH122" s="1458">
        <f t="shared" si="87"/>
        <v>0</v>
      </c>
    </row>
    <row r="123" spans="1:112" ht="16.350000000000001" customHeight="1" x14ac:dyDescent="0.2">
      <c r="A123" s="9393" t="s">
        <v>2092</v>
      </c>
      <c r="B123" s="9393"/>
      <c r="C123" s="9393"/>
      <c r="D123" s="5082">
        <f t="shared" si="80"/>
        <v>0</v>
      </c>
      <c r="E123" s="2985">
        <f t="shared" si="95"/>
        <v>0</v>
      </c>
      <c r="F123" s="1879">
        <f t="shared" si="95"/>
        <v>0</v>
      </c>
      <c r="G123" s="5083"/>
      <c r="H123" s="1894"/>
      <c r="I123" s="5083"/>
      <c r="J123" s="1978"/>
      <c r="K123" s="5083"/>
      <c r="L123" s="1894"/>
      <c r="M123" s="5083"/>
      <c r="N123" s="1894"/>
      <c r="O123" s="5084"/>
      <c r="P123" s="1894"/>
      <c r="Q123" s="5084"/>
      <c r="R123" s="1894"/>
      <c r="S123" s="5084"/>
      <c r="T123" s="1894"/>
      <c r="U123" s="5084"/>
      <c r="V123" s="1894"/>
      <c r="W123" s="5084"/>
      <c r="X123" s="1894"/>
      <c r="Y123" s="2915"/>
      <c r="Z123" s="1882"/>
      <c r="AA123" s="2915"/>
      <c r="AB123" s="1882"/>
      <c r="AC123" s="2915"/>
      <c r="AD123" s="1882"/>
      <c r="AE123" s="2915"/>
      <c r="AF123" s="1882"/>
      <c r="AG123" s="2915"/>
      <c r="AH123" s="1882"/>
      <c r="AI123" s="2915"/>
      <c r="AJ123" s="1882"/>
      <c r="AK123" s="2915"/>
      <c r="AL123" s="1882"/>
      <c r="AM123" s="2915"/>
      <c r="AN123" s="3029"/>
      <c r="AO123" s="5085"/>
      <c r="AP123" s="2889"/>
      <c r="AQ123" s="3600"/>
      <c r="AR123" s="3600"/>
      <c r="AS123" s="3600"/>
      <c r="AT123" s="2889"/>
      <c r="AU123" s="2889"/>
      <c r="AV123" s="2889"/>
      <c r="AW123" s="2889"/>
      <c r="AX123" s="1529" t="str">
        <f t="shared" si="83"/>
        <v/>
      </c>
      <c r="BV123" s="1452"/>
      <c r="BW123" s="1452"/>
      <c r="CA123" s="1457"/>
      <c r="CB123" s="1457" t="str">
        <f t="shared" si="91"/>
        <v/>
      </c>
      <c r="CC123" s="1457" t="str">
        <f t="shared" si="96"/>
        <v/>
      </c>
      <c r="CD123" s="1457" t="str">
        <f t="shared" si="92"/>
        <v/>
      </c>
      <c r="CE123" s="1457" t="str">
        <f t="shared" si="97"/>
        <v/>
      </c>
      <c r="CF123" s="1457" t="str">
        <f t="shared" si="84"/>
        <v/>
      </c>
      <c r="CG123" s="1457" t="str">
        <f t="shared" si="85"/>
        <v/>
      </c>
      <c r="CH123" s="1457" t="str">
        <f t="shared" si="86"/>
        <v/>
      </c>
      <c r="DA123" s="1458"/>
      <c r="DB123" s="1458">
        <f t="shared" si="93"/>
        <v>0</v>
      </c>
      <c r="DC123" s="1458">
        <f t="shared" si="98"/>
        <v>0</v>
      </c>
      <c r="DD123" s="1458">
        <f t="shared" si="94"/>
        <v>0</v>
      </c>
      <c r="DE123" s="1458">
        <f t="shared" si="99"/>
        <v>0</v>
      </c>
      <c r="DF123" s="1458">
        <f t="shared" si="100"/>
        <v>0</v>
      </c>
      <c r="DG123" s="1458">
        <f t="shared" si="101"/>
        <v>0</v>
      </c>
      <c r="DH123" s="1458">
        <f t="shared" si="87"/>
        <v>0</v>
      </c>
    </row>
    <row r="124" spans="1:112" ht="16.350000000000001" customHeight="1" x14ac:dyDescent="0.2">
      <c r="A124" s="9385" t="s">
        <v>2139</v>
      </c>
      <c r="B124" s="9385"/>
      <c r="C124" s="9385"/>
      <c r="D124" s="5082">
        <f t="shared" si="80"/>
        <v>0</v>
      </c>
      <c r="E124" s="2985">
        <f t="shared" si="95"/>
        <v>0</v>
      </c>
      <c r="F124" s="1879">
        <f t="shared" si="95"/>
        <v>0</v>
      </c>
      <c r="G124" s="5083"/>
      <c r="H124" s="1894"/>
      <c r="I124" s="5083"/>
      <c r="J124" s="1978"/>
      <c r="K124" s="5083"/>
      <c r="L124" s="1894"/>
      <c r="M124" s="5083"/>
      <c r="N124" s="1894"/>
      <c r="O124" s="5084"/>
      <c r="P124" s="1894"/>
      <c r="Q124" s="5084"/>
      <c r="R124" s="1894"/>
      <c r="S124" s="5084"/>
      <c r="T124" s="1894"/>
      <c r="U124" s="5084"/>
      <c r="V124" s="1894"/>
      <c r="W124" s="5084"/>
      <c r="X124" s="1894"/>
      <c r="Y124" s="2915"/>
      <c r="Z124" s="1882"/>
      <c r="AA124" s="2915"/>
      <c r="AB124" s="1882"/>
      <c r="AC124" s="2915"/>
      <c r="AD124" s="1882"/>
      <c r="AE124" s="2915"/>
      <c r="AF124" s="1882"/>
      <c r="AG124" s="2915"/>
      <c r="AH124" s="1882"/>
      <c r="AI124" s="2915"/>
      <c r="AJ124" s="1882"/>
      <c r="AK124" s="2915"/>
      <c r="AL124" s="1882"/>
      <c r="AM124" s="2915"/>
      <c r="AN124" s="3029"/>
      <c r="AO124" s="5085"/>
      <c r="AP124" s="2889"/>
      <c r="AQ124" s="3600"/>
      <c r="AR124" s="3600"/>
      <c r="AS124" s="3600"/>
      <c r="AT124" s="2889"/>
      <c r="AU124" s="2889"/>
      <c r="AV124" s="2889"/>
      <c r="AW124" s="2889"/>
      <c r="AX124" s="1529" t="str">
        <f t="shared" si="83"/>
        <v/>
      </c>
      <c r="BV124" s="1452"/>
      <c r="BW124" s="1452"/>
      <c r="CA124" s="1457"/>
      <c r="CB124" s="1457" t="str">
        <f t="shared" si="91"/>
        <v/>
      </c>
      <c r="CC124" s="1457" t="str">
        <f t="shared" si="96"/>
        <v/>
      </c>
      <c r="CD124" s="1457" t="str">
        <f t="shared" si="92"/>
        <v/>
      </c>
      <c r="CE124" s="1457" t="str">
        <f t="shared" si="97"/>
        <v/>
      </c>
      <c r="CF124" s="1457" t="str">
        <f t="shared" si="84"/>
        <v/>
      </c>
      <c r="CG124" s="1457" t="str">
        <f t="shared" si="85"/>
        <v/>
      </c>
      <c r="CH124" s="1457" t="str">
        <f t="shared" si="86"/>
        <v/>
      </c>
      <c r="DA124" s="1458"/>
      <c r="DB124" s="1458">
        <f t="shared" si="93"/>
        <v>0</v>
      </c>
      <c r="DC124" s="1458">
        <f t="shared" si="98"/>
        <v>0</v>
      </c>
      <c r="DD124" s="1458">
        <f t="shared" si="94"/>
        <v>0</v>
      </c>
      <c r="DE124" s="1458">
        <f t="shared" si="99"/>
        <v>0</v>
      </c>
      <c r="DF124" s="1458">
        <f t="shared" si="100"/>
        <v>0</v>
      </c>
      <c r="DG124" s="1458">
        <f t="shared" si="101"/>
        <v>0</v>
      </c>
      <c r="DH124" s="1458">
        <f t="shared" si="87"/>
        <v>0</v>
      </c>
    </row>
    <row r="125" spans="1:112" ht="16.350000000000001" customHeight="1" x14ac:dyDescent="0.2">
      <c r="A125" s="9385" t="s">
        <v>2140</v>
      </c>
      <c r="B125" s="9385"/>
      <c r="C125" s="9385"/>
      <c r="D125" s="5082">
        <f t="shared" si="80"/>
        <v>0</v>
      </c>
      <c r="E125" s="2985">
        <f>SUM(Y125+AA125+AC125+AE125+AG125+AI125+AK125+AM125)</f>
        <v>0</v>
      </c>
      <c r="F125" s="1879">
        <f t="shared" si="95"/>
        <v>0</v>
      </c>
      <c r="G125" s="5083"/>
      <c r="H125" s="1894"/>
      <c r="I125" s="5083"/>
      <c r="J125" s="1978"/>
      <c r="K125" s="5083"/>
      <c r="L125" s="1894"/>
      <c r="M125" s="5083"/>
      <c r="N125" s="1894"/>
      <c r="O125" s="5084"/>
      <c r="P125" s="1894"/>
      <c r="Q125" s="5084"/>
      <c r="R125" s="1894"/>
      <c r="S125" s="5084"/>
      <c r="T125" s="1894"/>
      <c r="U125" s="5084"/>
      <c r="V125" s="1894"/>
      <c r="W125" s="5084"/>
      <c r="X125" s="1894"/>
      <c r="Y125" s="2915"/>
      <c r="Z125" s="1882"/>
      <c r="AA125" s="2915"/>
      <c r="AB125" s="1882"/>
      <c r="AC125" s="2915"/>
      <c r="AD125" s="1882"/>
      <c r="AE125" s="2915"/>
      <c r="AF125" s="1882"/>
      <c r="AG125" s="2915"/>
      <c r="AH125" s="1882"/>
      <c r="AI125" s="2915"/>
      <c r="AJ125" s="1882"/>
      <c r="AK125" s="2915"/>
      <c r="AL125" s="1882"/>
      <c r="AM125" s="2915"/>
      <c r="AN125" s="3029"/>
      <c r="AO125" s="5085"/>
      <c r="AP125" s="2889"/>
      <c r="AQ125" s="3600"/>
      <c r="AR125" s="3600"/>
      <c r="AS125" s="3600"/>
      <c r="AT125" s="2889"/>
      <c r="AU125" s="2889"/>
      <c r="AV125" s="2889"/>
      <c r="AW125" s="2889"/>
      <c r="AX125" s="1529" t="str">
        <f t="shared" si="83"/>
        <v/>
      </c>
      <c r="BV125" s="1452"/>
      <c r="BW125" s="1452"/>
      <c r="CA125" s="1457"/>
      <c r="CB125" s="1457" t="str">
        <f t="shared" si="91"/>
        <v/>
      </c>
      <c r="CC125" s="1457" t="str">
        <f t="shared" si="96"/>
        <v/>
      </c>
      <c r="CD125" s="1457" t="str">
        <f t="shared" si="92"/>
        <v/>
      </c>
      <c r="CE125" s="1457" t="str">
        <f t="shared" si="97"/>
        <v/>
      </c>
      <c r="CF125" s="1457" t="str">
        <f t="shared" si="84"/>
        <v/>
      </c>
      <c r="CG125" s="1457" t="str">
        <f t="shared" si="85"/>
        <v/>
      </c>
      <c r="CH125" s="1457" t="str">
        <f t="shared" si="86"/>
        <v/>
      </c>
      <c r="DA125" s="1458"/>
      <c r="DB125" s="1458">
        <f t="shared" si="93"/>
        <v>0</v>
      </c>
      <c r="DC125" s="1458">
        <f t="shared" si="98"/>
        <v>0</v>
      </c>
      <c r="DD125" s="1458">
        <f t="shared" si="94"/>
        <v>0</v>
      </c>
      <c r="DE125" s="1458">
        <f t="shared" si="99"/>
        <v>0</v>
      </c>
      <c r="DF125" s="1458">
        <f t="shared" si="100"/>
        <v>0</v>
      </c>
      <c r="DG125" s="1458">
        <f t="shared" si="101"/>
        <v>0</v>
      </c>
      <c r="DH125" s="1458">
        <f t="shared" si="87"/>
        <v>0</v>
      </c>
    </row>
    <row r="126" spans="1:112" ht="16.350000000000001" customHeight="1" x14ac:dyDescent="0.2">
      <c r="A126" s="9389" t="s">
        <v>1114</v>
      </c>
      <c r="B126" s="9390"/>
      <c r="C126" s="9391"/>
      <c r="D126" s="5082">
        <f t="shared" si="80"/>
        <v>0</v>
      </c>
      <c r="E126" s="2985">
        <f t="shared" si="95"/>
        <v>0</v>
      </c>
      <c r="F126" s="1879">
        <f t="shared" si="95"/>
        <v>0</v>
      </c>
      <c r="G126" s="5083"/>
      <c r="H126" s="1894"/>
      <c r="I126" s="5083"/>
      <c r="J126" s="1978"/>
      <c r="K126" s="5083"/>
      <c r="L126" s="1894"/>
      <c r="M126" s="5083"/>
      <c r="N126" s="1894"/>
      <c r="O126" s="5084"/>
      <c r="P126" s="1894"/>
      <c r="Q126" s="5084"/>
      <c r="R126" s="1894"/>
      <c r="S126" s="5084"/>
      <c r="T126" s="1894"/>
      <c r="U126" s="5084"/>
      <c r="V126" s="1894"/>
      <c r="W126" s="5084"/>
      <c r="X126" s="1894"/>
      <c r="Y126" s="2915"/>
      <c r="Z126" s="1882"/>
      <c r="AA126" s="2915"/>
      <c r="AB126" s="1882"/>
      <c r="AC126" s="2915"/>
      <c r="AD126" s="1882"/>
      <c r="AE126" s="2915"/>
      <c r="AF126" s="1882"/>
      <c r="AG126" s="2915"/>
      <c r="AH126" s="1882"/>
      <c r="AI126" s="2915"/>
      <c r="AJ126" s="1882"/>
      <c r="AK126" s="2915"/>
      <c r="AL126" s="1882"/>
      <c r="AM126" s="2915"/>
      <c r="AN126" s="3029"/>
      <c r="AO126" s="5085"/>
      <c r="AP126" s="2889"/>
      <c r="AQ126" s="3600"/>
      <c r="AR126" s="5088"/>
      <c r="AS126" s="3600"/>
      <c r="AT126" s="2889"/>
      <c r="AU126" s="2889"/>
      <c r="AV126" s="2889"/>
      <c r="AW126" s="2889"/>
      <c r="AX126" s="1529" t="str">
        <f t="shared" si="83"/>
        <v/>
      </c>
      <c r="BV126" s="1452"/>
      <c r="BW126" s="1452"/>
      <c r="CA126" s="1457"/>
      <c r="CB126" s="1457" t="str">
        <f t="shared" si="91"/>
        <v/>
      </c>
      <c r="CC126" s="1457" t="str">
        <f t="shared" si="96"/>
        <v/>
      </c>
      <c r="CD126" s="1457" t="str">
        <f t="shared" si="92"/>
        <v/>
      </c>
      <c r="CE126" s="1457" t="str">
        <f t="shared" si="97"/>
        <v/>
      </c>
      <c r="CF126" s="1457" t="str">
        <f t="shared" si="84"/>
        <v/>
      </c>
      <c r="CG126" s="1457" t="str">
        <f t="shared" si="85"/>
        <v/>
      </c>
      <c r="CH126" s="1457" t="str">
        <f t="shared" si="86"/>
        <v/>
      </c>
      <c r="DA126" s="1458"/>
      <c r="DB126" s="1458">
        <f t="shared" si="93"/>
        <v>0</v>
      </c>
      <c r="DC126" s="1458">
        <f t="shared" si="98"/>
        <v>0</v>
      </c>
      <c r="DD126" s="1458">
        <f t="shared" si="94"/>
        <v>0</v>
      </c>
      <c r="DE126" s="1458">
        <f t="shared" si="99"/>
        <v>0</v>
      </c>
      <c r="DF126" s="1458">
        <f t="shared" si="100"/>
        <v>0</v>
      </c>
      <c r="DG126" s="1458">
        <f t="shared" si="101"/>
        <v>0</v>
      </c>
      <c r="DH126" s="1458">
        <f t="shared" si="87"/>
        <v>0</v>
      </c>
    </row>
    <row r="127" spans="1:112" ht="16.350000000000001" customHeight="1" x14ac:dyDescent="0.2">
      <c r="A127" s="9386" t="s">
        <v>1133</v>
      </c>
      <c r="B127" s="9387"/>
      <c r="C127" s="9388"/>
      <c r="D127" s="5082">
        <f t="shared" si="80"/>
        <v>0</v>
      </c>
      <c r="E127" s="2985">
        <f t="shared" si="95"/>
        <v>0</v>
      </c>
      <c r="F127" s="1879">
        <f t="shared" si="95"/>
        <v>0</v>
      </c>
      <c r="G127" s="5083"/>
      <c r="H127" s="1894"/>
      <c r="I127" s="5083"/>
      <c r="J127" s="1978"/>
      <c r="K127" s="5083"/>
      <c r="L127" s="1894"/>
      <c r="M127" s="5083"/>
      <c r="N127" s="1894"/>
      <c r="O127" s="5084"/>
      <c r="P127" s="1894"/>
      <c r="Q127" s="5084"/>
      <c r="R127" s="1894"/>
      <c r="S127" s="5084"/>
      <c r="T127" s="1894"/>
      <c r="U127" s="5084"/>
      <c r="V127" s="1894"/>
      <c r="W127" s="5084"/>
      <c r="X127" s="1894"/>
      <c r="Y127" s="2915"/>
      <c r="Z127" s="1882"/>
      <c r="AA127" s="2915"/>
      <c r="AB127" s="1882"/>
      <c r="AC127" s="2915"/>
      <c r="AD127" s="1882"/>
      <c r="AE127" s="2915"/>
      <c r="AF127" s="1882"/>
      <c r="AG127" s="2915"/>
      <c r="AH127" s="1882"/>
      <c r="AI127" s="2915"/>
      <c r="AJ127" s="1882"/>
      <c r="AK127" s="2915"/>
      <c r="AL127" s="1882"/>
      <c r="AM127" s="2915"/>
      <c r="AN127" s="3029"/>
      <c r="AO127" s="5085"/>
      <c r="AP127" s="2889"/>
      <c r="AQ127" s="3600"/>
      <c r="AR127" s="5088"/>
      <c r="AS127" s="3600"/>
      <c r="AT127" s="2889"/>
      <c r="AU127" s="2889"/>
      <c r="AV127" s="2889"/>
      <c r="AW127" s="2889"/>
      <c r="AX127" s="1529" t="str">
        <f t="shared" si="83"/>
        <v/>
      </c>
      <c r="BV127" s="1452"/>
      <c r="BW127" s="1452"/>
      <c r="CA127" s="1457"/>
      <c r="CB127" s="1457" t="str">
        <f t="shared" si="91"/>
        <v/>
      </c>
      <c r="CC127" s="1457" t="str">
        <f t="shared" si="96"/>
        <v/>
      </c>
      <c r="CD127" s="1457" t="str">
        <f t="shared" si="92"/>
        <v/>
      </c>
      <c r="CE127" s="1457" t="str">
        <f t="shared" si="97"/>
        <v/>
      </c>
      <c r="CF127" s="1457" t="str">
        <f t="shared" si="84"/>
        <v/>
      </c>
      <c r="CG127" s="1457" t="str">
        <f t="shared" si="85"/>
        <v/>
      </c>
      <c r="CH127" s="1457" t="str">
        <f t="shared" si="86"/>
        <v/>
      </c>
      <c r="DA127" s="1458"/>
      <c r="DB127" s="1458">
        <f t="shared" si="93"/>
        <v>0</v>
      </c>
      <c r="DC127" s="1458">
        <f t="shared" si="98"/>
        <v>0</v>
      </c>
      <c r="DD127" s="1458">
        <f t="shared" si="94"/>
        <v>0</v>
      </c>
      <c r="DE127" s="1458">
        <f t="shared" si="99"/>
        <v>0</v>
      </c>
      <c r="DF127" s="1458">
        <f t="shared" si="100"/>
        <v>0</v>
      </c>
      <c r="DG127" s="1458">
        <f t="shared" si="101"/>
        <v>0</v>
      </c>
      <c r="DH127" s="1458">
        <f t="shared" si="87"/>
        <v>0</v>
      </c>
    </row>
    <row r="128" spans="1:112" ht="16.350000000000001" customHeight="1" x14ac:dyDescent="0.2">
      <c r="A128" s="9386" t="s">
        <v>1132</v>
      </c>
      <c r="B128" s="9387"/>
      <c r="C128" s="9388"/>
      <c r="D128" s="5082">
        <f t="shared" si="80"/>
        <v>0</v>
      </c>
      <c r="E128" s="2985">
        <f t="shared" si="81"/>
        <v>0</v>
      </c>
      <c r="F128" s="1879">
        <f t="shared" si="82"/>
        <v>0</v>
      </c>
      <c r="G128" s="3415"/>
      <c r="H128" s="1977"/>
      <c r="I128" s="3415"/>
      <c r="J128" s="1980"/>
      <c r="K128" s="3415"/>
      <c r="L128" s="1977"/>
      <c r="M128" s="3415"/>
      <c r="N128" s="1977"/>
      <c r="O128" s="5089"/>
      <c r="P128" s="1882"/>
      <c r="Q128" s="2915"/>
      <c r="R128" s="1882"/>
      <c r="S128" s="2915"/>
      <c r="T128" s="1977"/>
      <c r="U128" s="5089"/>
      <c r="V128" s="1882"/>
      <c r="W128" s="2915"/>
      <c r="X128" s="1882"/>
      <c r="Y128" s="2915"/>
      <c r="Z128" s="1882"/>
      <c r="AA128" s="2915"/>
      <c r="AB128" s="1882"/>
      <c r="AC128" s="2915"/>
      <c r="AD128" s="1882"/>
      <c r="AE128" s="2915"/>
      <c r="AF128" s="1882"/>
      <c r="AG128" s="2915"/>
      <c r="AH128" s="1882"/>
      <c r="AI128" s="2915"/>
      <c r="AJ128" s="1882"/>
      <c r="AK128" s="2915"/>
      <c r="AL128" s="1882"/>
      <c r="AM128" s="2915"/>
      <c r="AN128" s="3029"/>
      <c r="AO128" s="2889"/>
      <c r="AP128" s="5090"/>
      <c r="AQ128" s="5088"/>
      <c r="AR128" s="5088"/>
      <c r="AS128" s="3600"/>
      <c r="AT128" s="2889"/>
      <c r="AU128" s="2889"/>
      <c r="AV128" s="2889"/>
      <c r="AW128" s="2889"/>
      <c r="AX128" s="1529" t="str">
        <f t="shared" si="83"/>
        <v/>
      </c>
      <c r="BV128" s="1452"/>
      <c r="BW128" s="1452"/>
      <c r="CA128" s="1457" t="str">
        <f t="shared" ref="CA128:CA142" si="102">IF(DA128=1,"* Las consultas de 12 años NO DEBEN ser mayor que el total de Consultas entre 10-14 Años. ","")</f>
        <v/>
      </c>
      <c r="CB128" s="1457" t="str">
        <f t="shared" si="91"/>
        <v/>
      </c>
      <c r="CC128" s="1457" t="str">
        <f t="shared" si="96"/>
        <v/>
      </c>
      <c r="CD128" s="1457" t="str">
        <f t="shared" si="92"/>
        <v/>
      </c>
      <c r="CE128" s="1457" t="str">
        <f t="shared" si="97"/>
        <v/>
      </c>
      <c r="CF128" s="1457" t="str">
        <f t="shared" si="84"/>
        <v/>
      </c>
      <c r="CG128" s="1457" t="str">
        <f t="shared" si="85"/>
        <v/>
      </c>
      <c r="CH128" s="1457" t="str">
        <f t="shared" si="86"/>
        <v/>
      </c>
      <c r="DA128" s="1458">
        <f t="shared" ref="DA128:DA142" si="103">IF(AO128&gt;(W128+X128),1,0)</f>
        <v>0</v>
      </c>
      <c r="DB128" s="1458">
        <f t="shared" si="93"/>
        <v>0</v>
      </c>
      <c r="DC128" s="1458">
        <f t="shared" si="98"/>
        <v>0</v>
      </c>
      <c r="DD128" s="1458">
        <f t="shared" si="94"/>
        <v>0</v>
      </c>
      <c r="DE128" s="1458">
        <f t="shared" si="99"/>
        <v>0</v>
      </c>
      <c r="DF128" s="1458">
        <f t="shared" si="100"/>
        <v>0</v>
      </c>
      <c r="DG128" s="1458">
        <f t="shared" si="101"/>
        <v>0</v>
      </c>
      <c r="DH128" s="1458">
        <f t="shared" si="87"/>
        <v>0</v>
      </c>
    </row>
    <row r="129" spans="1:112" ht="16.350000000000001" customHeight="1" x14ac:dyDescent="0.2">
      <c r="A129" s="9386" t="s">
        <v>1131</v>
      </c>
      <c r="B129" s="9387"/>
      <c r="C129" s="9388"/>
      <c r="D129" s="5082">
        <f t="shared" si="80"/>
        <v>0</v>
      </c>
      <c r="E129" s="2985">
        <f t="shared" si="81"/>
        <v>0</v>
      </c>
      <c r="F129" s="1879">
        <f t="shared" si="82"/>
        <v>0</v>
      </c>
      <c r="G129" s="3415"/>
      <c r="H129" s="1977"/>
      <c r="I129" s="3415"/>
      <c r="J129" s="1980"/>
      <c r="K129" s="3415"/>
      <c r="L129" s="1977"/>
      <c r="M129" s="3415"/>
      <c r="N129" s="1977"/>
      <c r="O129" s="5089"/>
      <c r="P129" s="1882"/>
      <c r="Q129" s="2915"/>
      <c r="R129" s="1882"/>
      <c r="S129" s="2915"/>
      <c r="T129" s="1977"/>
      <c r="U129" s="5089"/>
      <c r="V129" s="1882"/>
      <c r="W129" s="2915"/>
      <c r="X129" s="1882"/>
      <c r="Y129" s="2915"/>
      <c r="Z129" s="1882"/>
      <c r="AA129" s="2915"/>
      <c r="AB129" s="1882"/>
      <c r="AC129" s="2915"/>
      <c r="AD129" s="1882"/>
      <c r="AE129" s="2915"/>
      <c r="AF129" s="1882"/>
      <c r="AG129" s="2915"/>
      <c r="AH129" s="1882"/>
      <c r="AI129" s="2915"/>
      <c r="AJ129" s="1882"/>
      <c r="AK129" s="2915"/>
      <c r="AL129" s="1882"/>
      <c r="AM129" s="2915"/>
      <c r="AN129" s="3029"/>
      <c r="AO129" s="2889"/>
      <c r="AP129" s="5090"/>
      <c r="AQ129" s="5088"/>
      <c r="AR129" s="5088"/>
      <c r="AS129" s="3600"/>
      <c r="AT129" s="2889"/>
      <c r="AU129" s="2889"/>
      <c r="AV129" s="2889"/>
      <c r="AW129" s="2889"/>
      <c r="AX129" s="1529" t="str">
        <f t="shared" si="83"/>
        <v/>
      </c>
      <c r="BV129" s="1452"/>
      <c r="BW129" s="1452"/>
      <c r="CA129" s="1457" t="str">
        <f t="shared" si="102"/>
        <v/>
      </c>
      <c r="CB129" s="1457" t="str">
        <f t="shared" si="91"/>
        <v/>
      </c>
      <c r="CC129" s="1457" t="str">
        <f t="shared" si="96"/>
        <v/>
      </c>
      <c r="CD129" s="1457" t="str">
        <f t="shared" si="92"/>
        <v/>
      </c>
      <c r="CE129" s="1457" t="str">
        <f t="shared" si="97"/>
        <v/>
      </c>
      <c r="CF129" s="1457" t="str">
        <f t="shared" si="84"/>
        <v/>
      </c>
      <c r="CG129" s="1457" t="str">
        <f t="shared" si="85"/>
        <v/>
      </c>
      <c r="CH129" s="1457" t="str">
        <f t="shared" si="86"/>
        <v/>
      </c>
      <c r="DA129" s="1458">
        <f t="shared" si="103"/>
        <v>0</v>
      </c>
      <c r="DB129" s="1458">
        <f t="shared" si="93"/>
        <v>0</v>
      </c>
      <c r="DC129" s="1458">
        <f t="shared" si="98"/>
        <v>0</v>
      </c>
      <c r="DD129" s="1458">
        <f t="shared" si="94"/>
        <v>0</v>
      </c>
      <c r="DE129" s="1458">
        <f t="shared" si="99"/>
        <v>0</v>
      </c>
      <c r="DF129" s="1458">
        <f t="shared" si="100"/>
        <v>0</v>
      </c>
      <c r="DG129" s="1458">
        <f t="shared" si="101"/>
        <v>0</v>
      </c>
      <c r="DH129" s="1458">
        <f t="shared" si="87"/>
        <v>0</v>
      </c>
    </row>
    <row r="130" spans="1:112" ht="16.350000000000001" customHeight="1" x14ac:dyDescent="0.2">
      <c r="A130" s="9386" t="s">
        <v>1130</v>
      </c>
      <c r="B130" s="9387"/>
      <c r="C130" s="9388"/>
      <c r="D130" s="5082">
        <f t="shared" si="80"/>
        <v>0</v>
      </c>
      <c r="E130" s="2985">
        <f t="shared" si="81"/>
        <v>0</v>
      </c>
      <c r="F130" s="1879">
        <f t="shared" si="82"/>
        <v>0</v>
      </c>
      <c r="G130" s="3415"/>
      <c r="H130" s="1977"/>
      <c r="I130" s="3415"/>
      <c r="J130" s="1980"/>
      <c r="K130" s="3415"/>
      <c r="L130" s="1977"/>
      <c r="M130" s="3415"/>
      <c r="N130" s="1977"/>
      <c r="O130" s="5089"/>
      <c r="P130" s="1882"/>
      <c r="Q130" s="2915"/>
      <c r="R130" s="1882"/>
      <c r="S130" s="2915"/>
      <c r="T130" s="1977"/>
      <c r="U130" s="5089"/>
      <c r="V130" s="1882"/>
      <c r="W130" s="2915"/>
      <c r="X130" s="1882"/>
      <c r="Y130" s="2915"/>
      <c r="Z130" s="1882"/>
      <c r="AA130" s="2915"/>
      <c r="AB130" s="1882"/>
      <c r="AC130" s="2915"/>
      <c r="AD130" s="1882"/>
      <c r="AE130" s="2915"/>
      <c r="AF130" s="1882"/>
      <c r="AG130" s="2915"/>
      <c r="AH130" s="1882"/>
      <c r="AI130" s="2915"/>
      <c r="AJ130" s="1882"/>
      <c r="AK130" s="2915"/>
      <c r="AL130" s="1882"/>
      <c r="AM130" s="2915"/>
      <c r="AN130" s="3029"/>
      <c r="AO130" s="2889"/>
      <c r="AP130" s="5090"/>
      <c r="AQ130" s="5088"/>
      <c r="AR130" s="5088"/>
      <c r="AS130" s="3600"/>
      <c r="AT130" s="2889"/>
      <c r="AU130" s="2889"/>
      <c r="AV130" s="2889"/>
      <c r="AW130" s="2889"/>
      <c r="AX130" s="1529" t="str">
        <f t="shared" si="83"/>
        <v/>
      </c>
      <c r="BV130" s="1452"/>
      <c r="BW130" s="1452"/>
      <c r="CA130" s="1457" t="str">
        <f t="shared" si="102"/>
        <v/>
      </c>
      <c r="CB130" s="1457" t="str">
        <f t="shared" si="91"/>
        <v/>
      </c>
      <c r="CC130" s="1457" t="str">
        <f t="shared" si="96"/>
        <v/>
      </c>
      <c r="CD130" s="1457" t="str">
        <f t="shared" si="92"/>
        <v/>
      </c>
      <c r="CE130" s="1457" t="str">
        <f t="shared" si="97"/>
        <v/>
      </c>
      <c r="CF130" s="1457" t="str">
        <f t="shared" si="84"/>
        <v/>
      </c>
      <c r="CG130" s="1457" t="str">
        <f t="shared" si="85"/>
        <v/>
      </c>
      <c r="CH130" s="1457" t="str">
        <f t="shared" si="86"/>
        <v/>
      </c>
      <c r="DA130" s="1458">
        <f t="shared" si="103"/>
        <v>0</v>
      </c>
      <c r="DB130" s="1458">
        <f t="shared" si="93"/>
        <v>0</v>
      </c>
      <c r="DC130" s="1458">
        <f t="shared" si="98"/>
        <v>0</v>
      </c>
      <c r="DD130" s="1458">
        <f t="shared" si="94"/>
        <v>0</v>
      </c>
      <c r="DE130" s="1458">
        <f t="shared" si="99"/>
        <v>0</v>
      </c>
      <c r="DF130" s="1458">
        <f t="shared" si="100"/>
        <v>0</v>
      </c>
      <c r="DG130" s="1458">
        <f t="shared" si="101"/>
        <v>0</v>
      </c>
      <c r="DH130" s="1458">
        <f t="shared" si="87"/>
        <v>0</v>
      </c>
    </row>
    <row r="131" spans="1:112" ht="16.350000000000001" customHeight="1" x14ac:dyDescent="0.2">
      <c r="A131" s="9386" t="s">
        <v>2141</v>
      </c>
      <c r="B131" s="9387"/>
      <c r="C131" s="9388"/>
      <c r="D131" s="5082">
        <f t="shared" si="80"/>
        <v>0</v>
      </c>
      <c r="E131" s="2985">
        <f t="shared" si="81"/>
        <v>0</v>
      </c>
      <c r="F131" s="1879">
        <f t="shared" si="82"/>
        <v>0</v>
      </c>
      <c r="G131" s="3415"/>
      <c r="H131" s="1977"/>
      <c r="I131" s="3415"/>
      <c r="J131" s="1980"/>
      <c r="K131" s="3415"/>
      <c r="L131" s="1977"/>
      <c r="M131" s="3415"/>
      <c r="N131" s="1977"/>
      <c r="O131" s="5089"/>
      <c r="P131" s="1882"/>
      <c r="Q131" s="2915"/>
      <c r="R131" s="1882"/>
      <c r="S131" s="2915"/>
      <c r="T131" s="1977"/>
      <c r="U131" s="5089"/>
      <c r="V131" s="1882"/>
      <c r="W131" s="2915"/>
      <c r="X131" s="1882"/>
      <c r="Y131" s="2915"/>
      <c r="Z131" s="1882"/>
      <c r="AA131" s="2915"/>
      <c r="AB131" s="1882"/>
      <c r="AC131" s="2915"/>
      <c r="AD131" s="1882"/>
      <c r="AE131" s="2915"/>
      <c r="AF131" s="1882"/>
      <c r="AG131" s="2915"/>
      <c r="AH131" s="1882"/>
      <c r="AI131" s="2915"/>
      <c r="AJ131" s="1882"/>
      <c r="AK131" s="2915"/>
      <c r="AL131" s="1882"/>
      <c r="AM131" s="2915"/>
      <c r="AN131" s="3029"/>
      <c r="AO131" s="2889"/>
      <c r="AP131" s="5090"/>
      <c r="AQ131" s="5088"/>
      <c r="AR131" s="5088"/>
      <c r="AS131" s="3600"/>
      <c r="AT131" s="2889"/>
      <c r="AU131" s="2889"/>
      <c r="AV131" s="2889"/>
      <c r="AW131" s="2889"/>
      <c r="AX131" s="1529" t="str">
        <f t="shared" si="83"/>
        <v/>
      </c>
      <c r="BV131" s="1452"/>
      <c r="BW131" s="1452"/>
      <c r="CA131" s="1457" t="str">
        <f t="shared" si="102"/>
        <v/>
      </c>
      <c r="CB131" s="1457" t="str">
        <f t="shared" si="91"/>
        <v/>
      </c>
      <c r="CC131" s="1457" t="str">
        <f t="shared" si="96"/>
        <v/>
      </c>
      <c r="CD131" s="1457" t="str">
        <f t="shared" si="92"/>
        <v/>
      </c>
      <c r="CE131" s="1457" t="str">
        <f t="shared" si="97"/>
        <v/>
      </c>
      <c r="CF131" s="1457" t="str">
        <f t="shared" si="84"/>
        <v/>
      </c>
      <c r="CG131" s="1457" t="str">
        <f t="shared" si="85"/>
        <v/>
      </c>
      <c r="CH131" s="1457" t="str">
        <f t="shared" si="86"/>
        <v/>
      </c>
      <c r="DA131" s="1458">
        <f t="shared" si="103"/>
        <v>0</v>
      </c>
      <c r="DB131" s="1458">
        <f t="shared" si="93"/>
        <v>0</v>
      </c>
      <c r="DC131" s="1458">
        <f t="shared" si="98"/>
        <v>0</v>
      </c>
      <c r="DD131" s="1458">
        <f t="shared" si="94"/>
        <v>0</v>
      </c>
      <c r="DE131" s="1458">
        <f t="shared" si="99"/>
        <v>0</v>
      </c>
      <c r="DF131" s="1458">
        <f t="shared" si="100"/>
        <v>0</v>
      </c>
      <c r="DG131" s="1458">
        <f t="shared" si="101"/>
        <v>0</v>
      </c>
      <c r="DH131" s="1458">
        <f t="shared" si="87"/>
        <v>0</v>
      </c>
    </row>
    <row r="132" spans="1:112" ht="16.350000000000001" customHeight="1" x14ac:dyDescent="0.2">
      <c r="A132" s="9386" t="s">
        <v>2142</v>
      </c>
      <c r="B132" s="9387"/>
      <c r="C132" s="9388"/>
      <c r="D132" s="5082">
        <f t="shared" si="80"/>
        <v>0</v>
      </c>
      <c r="E132" s="2985">
        <f t="shared" si="81"/>
        <v>0</v>
      </c>
      <c r="F132" s="1879">
        <f t="shared" si="82"/>
        <v>0</v>
      </c>
      <c r="G132" s="3415"/>
      <c r="H132" s="1977"/>
      <c r="I132" s="3415"/>
      <c r="J132" s="1980"/>
      <c r="K132" s="3415"/>
      <c r="L132" s="1977"/>
      <c r="M132" s="3415"/>
      <c r="N132" s="1977"/>
      <c r="O132" s="5089"/>
      <c r="P132" s="1882"/>
      <c r="Q132" s="2915"/>
      <c r="R132" s="1882"/>
      <c r="S132" s="2915"/>
      <c r="T132" s="1977"/>
      <c r="U132" s="5089"/>
      <c r="V132" s="1882"/>
      <c r="W132" s="2915"/>
      <c r="X132" s="1882"/>
      <c r="Y132" s="2915"/>
      <c r="Z132" s="1882"/>
      <c r="AA132" s="2915"/>
      <c r="AB132" s="1882"/>
      <c r="AC132" s="2915"/>
      <c r="AD132" s="1882"/>
      <c r="AE132" s="2915"/>
      <c r="AF132" s="1882"/>
      <c r="AG132" s="2915"/>
      <c r="AH132" s="1882"/>
      <c r="AI132" s="2915"/>
      <c r="AJ132" s="1882"/>
      <c r="AK132" s="2915"/>
      <c r="AL132" s="1882"/>
      <c r="AM132" s="2915"/>
      <c r="AN132" s="3029"/>
      <c r="AO132" s="2889"/>
      <c r="AP132" s="5090"/>
      <c r="AQ132" s="5088"/>
      <c r="AR132" s="5088"/>
      <c r="AS132" s="3600"/>
      <c r="AT132" s="2889"/>
      <c r="AU132" s="2889"/>
      <c r="AV132" s="2889"/>
      <c r="AW132" s="2889"/>
      <c r="AX132" s="1529" t="str">
        <f t="shared" si="83"/>
        <v/>
      </c>
      <c r="BV132" s="1452"/>
      <c r="BW132" s="1452"/>
      <c r="CA132" s="1457" t="str">
        <f t="shared" si="102"/>
        <v/>
      </c>
      <c r="CB132" s="1457" t="str">
        <f t="shared" si="91"/>
        <v/>
      </c>
      <c r="CC132" s="1457" t="str">
        <f t="shared" si="96"/>
        <v/>
      </c>
      <c r="CD132" s="1457" t="str">
        <f t="shared" si="92"/>
        <v/>
      </c>
      <c r="CE132" s="1457" t="str">
        <f t="shared" si="97"/>
        <v/>
      </c>
      <c r="CF132" s="1457" t="str">
        <f t="shared" si="84"/>
        <v/>
      </c>
      <c r="CG132" s="1457" t="str">
        <f t="shared" si="85"/>
        <v/>
      </c>
      <c r="CH132" s="1457" t="str">
        <f t="shared" si="86"/>
        <v/>
      </c>
      <c r="DA132" s="1458">
        <f t="shared" si="103"/>
        <v>0</v>
      </c>
      <c r="DB132" s="1458">
        <f t="shared" si="93"/>
        <v>0</v>
      </c>
      <c r="DC132" s="1458">
        <f t="shared" si="98"/>
        <v>0</v>
      </c>
      <c r="DD132" s="1458">
        <f t="shared" si="94"/>
        <v>0</v>
      </c>
      <c r="DE132" s="1458">
        <f t="shared" si="99"/>
        <v>0</v>
      </c>
      <c r="DF132" s="1458">
        <f t="shared" si="100"/>
        <v>0</v>
      </c>
      <c r="DG132" s="1458">
        <f t="shared" si="101"/>
        <v>0</v>
      </c>
      <c r="DH132" s="1458">
        <f t="shared" si="87"/>
        <v>0</v>
      </c>
    </row>
    <row r="133" spans="1:112" ht="16.350000000000001" customHeight="1" x14ac:dyDescent="0.2">
      <c r="A133" s="9386" t="s">
        <v>2143</v>
      </c>
      <c r="B133" s="9387"/>
      <c r="C133" s="9388"/>
      <c r="D133" s="5082">
        <f t="shared" si="80"/>
        <v>0</v>
      </c>
      <c r="E133" s="2985">
        <f t="shared" si="81"/>
        <v>0</v>
      </c>
      <c r="F133" s="1879">
        <f t="shared" si="82"/>
        <v>0</v>
      </c>
      <c r="G133" s="3415"/>
      <c r="H133" s="1977"/>
      <c r="I133" s="3415"/>
      <c r="J133" s="1980"/>
      <c r="K133" s="3415"/>
      <c r="L133" s="1977"/>
      <c r="M133" s="3415"/>
      <c r="N133" s="1977"/>
      <c r="O133" s="5089"/>
      <c r="P133" s="1882"/>
      <c r="Q133" s="2915"/>
      <c r="R133" s="1882"/>
      <c r="S133" s="2915"/>
      <c r="T133" s="1977"/>
      <c r="U133" s="5089"/>
      <c r="V133" s="1882"/>
      <c r="W133" s="2915"/>
      <c r="X133" s="1882"/>
      <c r="Y133" s="2915"/>
      <c r="Z133" s="1882"/>
      <c r="AA133" s="2915"/>
      <c r="AB133" s="1882"/>
      <c r="AC133" s="2915"/>
      <c r="AD133" s="1882"/>
      <c r="AE133" s="2915"/>
      <c r="AF133" s="1882"/>
      <c r="AG133" s="2915"/>
      <c r="AH133" s="1882"/>
      <c r="AI133" s="2915"/>
      <c r="AJ133" s="1882"/>
      <c r="AK133" s="2915"/>
      <c r="AL133" s="1882"/>
      <c r="AM133" s="2915"/>
      <c r="AN133" s="3029"/>
      <c r="AO133" s="2889"/>
      <c r="AP133" s="5090"/>
      <c r="AQ133" s="5088"/>
      <c r="AR133" s="5088"/>
      <c r="AS133" s="3600"/>
      <c r="AT133" s="2889"/>
      <c r="AU133" s="2889"/>
      <c r="AV133" s="2889"/>
      <c r="AW133" s="2889"/>
      <c r="AX133" s="1529" t="str">
        <f t="shared" si="83"/>
        <v/>
      </c>
      <c r="BV133" s="1452"/>
      <c r="BW133" s="1452"/>
      <c r="CA133" s="1457" t="str">
        <f t="shared" si="102"/>
        <v/>
      </c>
      <c r="CB133" s="1457" t="str">
        <f t="shared" si="91"/>
        <v/>
      </c>
      <c r="CC133" s="1457" t="str">
        <f t="shared" si="96"/>
        <v/>
      </c>
      <c r="CD133" s="1457" t="str">
        <f t="shared" si="92"/>
        <v/>
      </c>
      <c r="CE133" s="1457" t="str">
        <f t="shared" si="97"/>
        <v/>
      </c>
      <c r="CF133" s="1457" t="str">
        <f t="shared" si="84"/>
        <v/>
      </c>
      <c r="CG133" s="1457" t="str">
        <f t="shared" si="85"/>
        <v/>
      </c>
      <c r="CH133" s="1457" t="str">
        <f t="shared" si="86"/>
        <v/>
      </c>
      <c r="DA133" s="1458">
        <f t="shared" si="103"/>
        <v>0</v>
      </c>
      <c r="DB133" s="1458">
        <f t="shared" si="93"/>
        <v>0</v>
      </c>
      <c r="DC133" s="1458">
        <f t="shared" si="98"/>
        <v>0</v>
      </c>
      <c r="DD133" s="1458">
        <f t="shared" si="94"/>
        <v>0</v>
      </c>
      <c r="DE133" s="1458">
        <f t="shared" si="99"/>
        <v>0</v>
      </c>
      <c r="DF133" s="1458">
        <f t="shared" si="100"/>
        <v>0</v>
      </c>
      <c r="DG133" s="1458">
        <f t="shared" si="101"/>
        <v>0</v>
      </c>
      <c r="DH133" s="1458">
        <f t="shared" si="87"/>
        <v>0</v>
      </c>
    </row>
    <row r="134" spans="1:112" ht="16.350000000000001" customHeight="1" x14ac:dyDescent="0.2">
      <c r="A134" s="9385" t="s">
        <v>2093</v>
      </c>
      <c r="B134" s="9385"/>
      <c r="C134" s="9385"/>
      <c r="D134" s="5082">
        <f t="shared" si="80"/>
        <v>0</v>
      </c>
      <c r="E134" s="2985">
        <f t="shared" si="81"/>
        <v>0</v>
      </c>
      <c r="F134" s="1879">
        <f t="shared" si="82"/>
        <v>0</v>
      </c>
      <c r="G134" s="2885"/>
      <c r="H134" s="1882"/>
      <c r="I134" s="2885"/>
      <c r="J134" s="1897"/>
      <c r="K134" s="2885"/>
      <c r="L134" s="1882"/>
      <c r="M134" s="2885"/>
      <c r="N134" s="1882"/>
      <c r="O134" s="2915"/>
      <c r="P134" s="1882"/>
      <c r="Q134" s="2915"/>
      <c r="R134" s="1882"/>
      <c r="S134" s="2915"/>
      <c r="T134" s="1882"/>
      <c r="U134" s="2915"/>
      <c r="V134" s="1882"/>
      <c r="W134" s="2915"/>
      <c r="X134" s="1882"/>
      <c r="Y134" s="2915"/>
      <c r="Z134" s="1882"/>
      <c r="AA134" s="2915"/>
      <c r="AB134" s="1882"/>
      <c r="AC134" s="2915"/>
      <c r="AD134" s="1882"/>
      <c r="AE134" s="2915"/>
      <c r="AF134" s="1882"/>
      <c r="AG134" s="2915"/>
      <c r="AH134" s="1882"/>
      <c r="AI134" s="2915"/>
      <c r="AJ134" s="1882"/>
      <c r="AK134" s="2915"/>
      <c r="AL134" s="1882"/>
      <c r="AM134" s="2915"/>
      <c r="AN134" s="3029"/>
      <c r="AO134" s="2889"/>
      <c r="AP134" s="2889"/>
      <c r="AQ134" s="3600"/>
      <c r="AR134" s="3600"/>
      <c r="AS134" s="3600"/>
      <c r="AT134" s="2889"/>
      <c r="AU134" s="2889"/>
      <c r="AV134" s="2889"/>
      <c r="AW134" s="2889"/>
      <c r="AX134" s="1529" t="str">
        <f t="shared" si="83"/>
        <v/>
      </c>
      <c r="BV134" s="1452"/>
      <c r="BW134" s="1452"/>
      <c r="CA134" s="1457" t="str">
        <f t="shared" si="102"/>
        <v/>
      </c>
      <c r="CB134" s="1457" t="str">
        <f t="shared" si="91"/>
        <v/>
      </c>
      <c r="CC134" s="1457" t="str">
        <f t="shared" si="96"/>
        <v/>
      </c>
      <c r="CD134" s="1457" t="str">
        <f t="shared" si="92"/>
        <v/>
      </c>
      <c r="CE134" s="1457" t="str">
        <f t="shared" si="97"/>
        <v/>
      </c>
      <c r="CF134" s="1457" t="str">
        <f t="shared" si="84"/>
        <v/>
      </c>
      <c r="CG134" s="1457" t="str">
        <f t="shared" si="85"/>
        <v/>
      </c>
      <c r="CH134" s="1457" t="str">
        <f t="shared" si="86"/>
        <v/>
      </c>
      <c r="DA134" s="1458">
        <f t="shared" si="103"/>
        <v>0</v>
      </c>
      <c r="DB134" s="1458">
        <f t="shared" si="93"/>
        <v>0</v>
      </c>
      <c r="DC134" s="1458">
        <f t="shared" si="98"/>
        <v>0</v>
      </c>
      <c r="DD134" s="1458">
        <f t="shared" si="94"/>
        <v>0</v>
      </c>
      <c r="DE134" s="1458">
        <f t="shared" si="99"/>
        <v>0</v>
      </c>
      <c r="DF134" s="1458">
        <f t="shared" si="100"/>
        <v>0</v>
      </c>
      <c r="DG134" s="1458">
        <f t="shared" si="101"/>
        <v>0</v>
      </c>
      <c r="DH134" s="1458">
        <f t="shared" si="87"/>
        <v>0</v>
      </c>
    </row>
    <row r="135" spans="1:112" ht="16.350000000000001" customHeight="1" x14ac:dyDescent="0.2">
      <c r="A135" s="9386" t="s">
        <v>1129</v>
      </c>
      <c r="B135" s="9387"/>
      <c r="C135" s="9388"/>
      <c r="D135" s="5082">
        <f t="shared" si="80"/>
        <v>0</v>
      </c>
      <c r="E135" s="2985">
        <f t="shared" si="81"/>
        <v>0</v>
      </c>
      <c r="F135" s="1879">
        <f t="shared" si="82"/>
        <v>0</v>
      </c>
      <c r="G135" s="2885"/>
      <c r="H135" s="1882"/>
      <c r="I135" s="2885"/>
      <c r="J135" s="1897"/>
      <c r="K135" s="2885"/>
      <c r="L135" s="1882"/>
      <c r="M135" s="2885"/>
      <c r="N135" s="1882"/>
      <c r="O135" s="2915"/>
      <c r="P135" s="1882"/>
      <c r="Q135" s="2915"/>
      <c r="R135" s="1882"/>
      <c r="S135" s="2915"/>
      <c r="T135" s="1882"/>
      <c r="U135" s="2915"/>
      <c r="V135" s="1882"/>
      <c r="W135" s="2915"/>
      <c r="X135" s="1882"/>
      <c r="Y135" s="2915"/>
      <c r="Z135" s="1882"/>
      <c r="AA135" s="2915"/>
      <c r="AB135" s="1882"/>
      <c r="AC135" s="2915"/>
      <c r="AD135" s="1882"/>
      <c r="AE135" s="2915"/>
      <c r="AF135" s="1882"/>
      <c r="AG135" s="2915"/>
      <c r="AH135" s="1882"/>
      <c r="AI135" s="2915"/>
      <c r="AJ135" s="1882"/>
      <c r="AK135" s="2915"/>
      <c r="AL135" s="1882"/>
      <c r="AM135" s="2915"/>
      <c r="AN135" s="3029"/>
      <c r="AO135" s="2889"/>
      <c r="AP135" s="2889"/>
      <c r="AQ135" s="3600"/>
      <c r="AR135" s="3600"/>
      <c r="AS135" s="3600"/>
      <c r="AT135" s="2889"/>
      <c r="AU135" s="2889"/>
      <c r="AV135" s="2889"/>
      <c r="AW135" s="2889"/>
      <c r="AX135" s="1529" t="str">
        <f t="shared" si="83"/>
        <v/>
      </c>
      <c r="BV135" s="1452"/>
      <c r="BW135" s="1452"/>
      <c r="CA135" s="1457" t="str">
        <f t="shared" si="102"/>
        <v/>
      </c>
      <c r="CB135" s="1457" t="str">
        <f t="shared" si="91"/>
        <v/>
      </c>
      <c r="CC135" s="1457" t="str">
        <f t="shared" si="96"/>
        <v/>
      </c>
      <c r="CD135" s="1457" t="str">
        <f t="shared" si="92"/>
        <v/>
      </c>
      <c r="CE135" s="1457" t="str">
        <f t="shared" si="97"/>
        <v/>
      </c>
      <c r="CF135" s="1457" t="str">
        <f t="shared" si="84"/>
        <v/>
      </c>
      <c r="CG135" s="1457" t="str">
        <f t="shared" si="85"/>
        <v/>
      </c>
      <c r="CH135" s="1457" t="str">
        <f t="shared" si="86"/>
        <v/>
      </c>
      <c r="DA135" s="1458">
        <f t="shared" si="103"/>
        <v>0</v>
      </c>
      <c r="DB135" s="1458">
        <f t="shared" si="93"/>
        <v>0</v>
      </c>
      <c r="DC135" s="1458">
        <f t="shared" si="98"/>
        <v>0</v>
      </c>
      <c r="DD135" s="1458">
        <f t="shared" si="94"/>
        <v>0</v>
      </c>
      <c r="DE135" s="1458">
        <f t="shared" si="99"/>
        <v>0</v>
      </c>
      <c r="DF135" s="1458">
        <f t="shared" si="100"/>
        <v>0</v>
      </c>
      <c r="DG135" s="1458">
        <f t="shared" si="101"/>
        <v>0</v>
      </c>
      <c r="DH135" s="1458">
        <f t="shared" si="87"/>
        <v>0</v>
      </c>
    </row>
    <row r="136" spans="1:112" ht="16.350000000000001" customHeight="1" x14ac:dyDescent="0.2">
      <c r="A136" s="9386" t="s">
        <v>1128</v>
      </c>
      <c r="B136" s="9387"/>
      <c r="C136" s="9388"/>
      <c r="D136" s="5082">
        <f t="shared" si="80"/>
        <v>0</v>
      </c>
      <c r="E136" s="2985">
        <f t="shared" si="81"/>
        <v>0</v>
      </c>
      <c r="F136" s="1879">
        <f t="shared" si="82"/>
        <v>0</v>
      </c>
      <c r="G136" s="3278"/>
      <c r="H136" s="2596"/>
      <c r="I136" s="3278"/>
      <c r="J136" s="3319"/>
      <c r="K136" s="3278"/>
      <c r="L136" s="1882"/>
      <c r="M136" s="2885"/>
      <c r="N136" s="1882"/>
      <c r="O136" s="2915"/>
      <c r="P136" s="1882"/>
      <c r="Q136" s="2915"/>
      <c r="R136" s="1882"/>
      <c r="S136" s="2915"/>
      <c r="T136" s="1882"/>
      <c r="U136" s="2915"/>
      <c r="V136" s="1882"/>
      <c r="W136" s="2915"/>
      <c r="X136" s="1882"/>
      <c r="Y136" s="2915"/>
      <c r="Z136" s="1882"/>
      <c r="AA136" s="2915"/>
      <c r="AB136" s="1882"/>
      <c r="AC136" s="2915"/>
      <c r="AD136" s="1882"/>
      <c r="AE136" s="2915"/>
      <c r="AF136" s="1882"/>
      <c r="AG136" s="2915"/>
      <c r="AH136" s="1882"/>
      <c r="AI136" s="2915"/>
      <c r="AJ136" s="1882"/>
      <c r="AK136" s="2915"/>
      <c r="AL136" s="1882"/>
      <c r="AM136" s="2915"/>
      <c r="AN136" s="3029"/>
      <c r="AO136" s="2889"/>
      <c r="AP136" s="3279"/>
      <c r="AQ136" s="3600"/>
      <c r="AR136" s="3600"/>
      <c r="AS136" s="3213"/>
      <c r="AT136" s="2889"/>
      <c r="AU136" s="2889"/>
      <c r="AV136" s="2889"/>
      <c r="AW136" s="2889"/>
      <c r="AX136" s="1529" t="str">
        <f t="shared" si="83"/>
        <v/>
      </c>
      <c r="BV136" s="1452"/>
      <c r="BW136" s="1452"/>
      <c r="CA136" s="1457" t="str">
        <f t="shared" si="102"/>
        <v/>
      </c>
      <c r="CB136" s="1457" t="str">
        <f t="shared" si="91"/>
        <v/>
      </c>
      <c r="CC136" s="1457" t="str">
        <f t="shared" si="96"/>
        <v/>
      </c>
      <c r="CD136" s="1457" t="str">
        <f t="shared" si="92"/>
        <v/>
      </c>
      <c r="CE136" s="1457" t="str">
        <f t="shared" si="97"/>
        <v/>
      </c>
      <c r="CF136" s="1457" t="str">
        <f t="shared" si="84"/>
        <v/>
      </c>
      <c r="CG136" s="1457" t="str">
        <f t="shared" si="85"/>
        <v/>
      </c>
      <c r="CH136" s="1457" t="str">
        <f t="shared" si="86"/>
        <v/>
      </c>
      <c r="DA136" s="1458">
        <f t="shared" si="103"/>
        <v>0</v>
      </c>
      <c r="DB136" s="1458">
        <f t="shared" si="93"/>
        <v>0</v>
      </c>
      <c r="DC136" s="1458">
        <f t="shared" si="98"/>
        <v>0</v>
      </c>
      <c r="DD136" s="1458">
        <f t="shared" si="94"/>
        <v>0</v>
      </c>
      <c r="DE136" s="1458">
        <f t="shared" si="99"/>
        <v>0</v>
      </c>
      <c r="DF136" s="1458">
        <f t="shared" si="100"/>
        <v>0</v>
      </c>
      <c r="DG136" s="1458">
        <f t="shared" si="101"/>
        <v>0</v>
      </c>
      <c r="DH136" s="1458">
        <f t="shared" si="87"/>
        <v>0</v>
      </c>
    </row>
    <row r="137" spans="1:112" ht="16.350000000000001" customHeight="1" x14ac:dyDescent="0.2">
      <c r="A137" s="9386" t="s">
        <v>1127</v>
      </c>
      <c r="B137" s="9387"/>
      <c r="C137" s="9388"/>
      <c r="D137" s="5082">
        <f t="shared" si="80"/>
        <v>0</v>
      </c>
      <c r="E137" s="2985">
        <f t="shared" si="81"/>
        <v>0</v>
      </c>
      <c r="F137" s="1879">
        <f t="shared" si="82"/>
        <v>0</v>
      </c>
      <c r="G137" s="3278"/>
      <c r="H137" s="2596"/>
      <c r="I137" s="3278"/>
      <c r="J137" s="3319"/>
      <c r="K137" s="3278"/>
      <c r="L137" s="1882"/>
      <c r="M137" s="2885"/>
      <c r="N137" s="1882"/>
      <c r="O137" s="2915"/>
      <c r="P137" s="1882"/>
      <c r="Q137" s="2915"/>
      <c r="R137" s="1882"/>
      <c r="S137" s="2915"/>
      <c r="T137" s="1882"/>
      <c r="U137" s="2915"/>
      <c r="V137" s="1882"/>
      <c r="W137" s="2915"/>
      <c r="X137" s="1882"/>
      <c r="Y137" s="2915"/>
      <c r="Z137" s="1882"/>
      <c r="AA137" s="2915"/>
      <c r="AB137" s="1882"/>
      <c r="AC137" s="2915"/>
      <c r="AD137" s="1882"/>
      <c r="AE137" s="2915"/>
      <c r="AF137" s="1882"/>
      <c r="AG137" s="2915"/>
      <c r="AH137" s="1882"/>
      <c r="AI137" s="2915"/>
      <c r="AJ137" s="1882"/>
      <c r="AK137" s="2915"/>
      <c r="AL137" s="1882"/>
      <c r="AM137" s="2915"/>
      <c r="AN137" s="3029"/>
      <c r="AO137" s="2889"/>
      <c r="AP137" s="3279"/>
      <c r="AQ137" s="3600"/>
      <c r="AR137" s="3600"/>
      <c r="AS137" s="3213"/>
      <c r="AT137" s="2889"/>
      <c r="AU137" s="2889"/>
      <c r="AV137" s="2889"/>
      <c r="AW137" s="2889"/>
      <c r="AX137" s="1529" t="str">
        <f t="shared" si="83"/>
        <v/>
      </c>
      <c r="BV137" s="1452"/>
      <c r="BW137" s="1452"/>
      <c r="CA137" s="1457" t="str">
        <f t="shared" si="102"/>
        <v/>
      </c>
      <c r="CB137" s="1457" t="str">
        <f t="shared" si="91"/>
        <v/>
      </c>
      <c r="CC137" s="1457" t="str">
        <f t="shared" si="96"/>
        <v/>
      </c>
      <c r="CD137" s="1457" t="str">
        <f t="shared" si="92"/>
        <v/>
      </c>
      <c r="CE137" s="1457" t="str">
        <f t="shared" si="97"/>
        <v/>
      </c>
      <c r="CF137" s="1457" t="str">
        <f t="shared" si="84"/>
        <v/>
      </c>
      <c r="CG137" s="1457" t="str">
        <f t="shared" si="85"/>
        <v/>
      </c>
      <c r="CH137" s="1457" t="str">
        <f t="shared" si="86"/>
        <v/>
      </c>
      <c r="DA137" s="1458">
        <f t="shared" si="103"/>
        <v>0</v>
      </c>
      <c r="DB137" s="1458">
        <f t="shared" si="93"/>
        <v>0</v>
      </c>
      <c r="DC137" s="1458">
        <f t="shared" si="98"/>
        <v>0</v>
      </c>
      <c r="DD137" s="1458">
        <f t="shared" si="94"/>
        <v>0</v>
      </c>
      <c r="DE137" s="1458">
        <f t="shared" si="99"/>
        <v>0</v>
      </c>
      <c r="DF137" s="1458">
        <f t="shared" si="100"/>
        <v>0</v>
      </c>
      <c r="DG137" s="1458">
        <f t="shared" si="101"/>
        <v>0</v>
      </c>
      <c r="DH137" s="1458">
        <f t="shared" si="87"/>
        <v>0</v>
      </c>
    </row>
    <row r="138" spans="1:112" ht="16.350000000000001" customHeight="1" x14ac:dyDescent="0.2">
      <c r="A138" s="9386" t="s">
        <v>1126</v>
      </c>
      <c r="B138" s="9387"/>
      <c r="C138" s="9388"/>
      <c r="D138" s="5082">
        <f t="shared" si="80"/>
        <v>0</v>
      </c>
      <c r="E138" s="2985">
        <f t="shared" si="81"/>
        <v>0</v>
      </c>
      <c r="F138" s="1879">
        <f t="shared" si="82"/>
        <v>0</v>
      </c>
      <c r="G138" s="3278"/>
      <c r="H138" s="2596"/>
      <c r="I138" s="3278"/>
      <c r="J138" s="3319"/>
      <c r="K138" s="3278"/>
      <c r="L138" s="1882"/>
      <c r="M138" s="2885"/>
      <c r="N138" s="1882"/>
      <c r="O138" s="2915"/>
      <c r="P138" s="1882"/>
      <c r="Q138" s="2915"/>
      <c r="R138" s="1882"/>
      <c r="S138" s="2915"/>
      <c r="T138" s="1882"/>
      <c r="U138" s="2915"/>
      <c r="V138" s="1882"/>
      <c r="W138" s="2915"/>
      <c r="X138" s="1882"/>
      <c r="Y138" s="2915"/>
      <c r="Z138" s="1882"/>
      <c r="AA138" s="2915"/>
      <c r="AB138" s="1882"/>
      <c r="AC138" s="2915"/>
      <c r="AD138" s="1882"/>
      <c r="AE138" s="2915"/>
      <c r="AF138" s="1882"/>
      <c r="AG138" s="2915"/>
      <c r="AH138" s="1882"/>
      <c r="AI138" s="2915"/>
      <c r="AJ138" s="1882"/>
      <c r="AK138" s="2915"/>
      <c r="AL138" s="1882"/>
      <c r="AM138" s="2915"/>
      <c r="AN138" s="3029"/>
      <c r="AO138" s="2889"/>
      <c r="AP138" s="3279"/>
      <c r="AQ138" s="3600"/>
      <c r="AR138" s="3600"/>
      <c r="AS138" s="3213"/>
      <c r="AT138" s="2889"/>
      <c r="AU138" s="2889"/>
      <c r="AV138" s="2889"/>
      <c r="AW138" s="2889"/>
      <c r="AX138" s="1529" t="str">
        <f t="shared" si="83"/>
        <v/>
      </c>
      <c r="BV138" s="1452"/>
      <c r="BW138" s="1452"/>
      <c r="CA138" s="1457" t="str">
        <f t="shared" si="102"/>
        <v/>
      </c>
      <c r="CB138" s="1457" t="str">
        <f t="shared" si="91"/>
        <v/>
      </c>
      <c r="CC138" s="1457" t="str">
        <f t="shared" si="96"/>
        <v/>
      </c>
      <c r="CD138" s="1457" t="str">
        <f t="shared" si="92"/>
        <v/>
      </c>
      <c r="CE138" s="1457" t="str">
        <f t="shared" si="97"/>
        <v/>
      </c>
      <c r="CF138" s="1457" t="str">
        <f t="shared" si="84"/>
        <v/>
      </c>
      <c r="CG138" s="1457" t="str">
        <f t="shared" si="85"/>
        <v/>
      </c>
      <c r="CH138" s="1457" t="str">
        <f t="shared" si="86"/>
        <v/>
      </c>
      <c r="DA138" s="1458">
        <f t="shared" si="103"/>
        <v>0</v>
      </c>
      <c r="DB138" s="1458">
        <f t="shared" si="93"/>
        <v>0</v>
      </c>
      <c r="DC138" s="1458">
        <f t="shared" si="98"/>
        <v>0</v>
      </c>
      <c r="DD138" s="1458">
        <f t="shared" si="94"/>
        <v>0</v>
      </c>
      <c r="DE138" s="1458">
        <f t="shared" si="99"/>
        <v>0</v>
      </c>
      <c r="DF138" s="1458">
        <f t="shared" si="100"/>
        <v>0</v>
      </c>
      <c r="DG138" s="1458">
        <f t="shared" si="101"/>
        <v>0</v>
      </c>
      <c r="DH138" s="1458">
        <f t="shared" si="87"/>
        <v>0</v>
      </c>
    </row>
    <row r="139" spans="1:112" ht="16.350000000000001" customHeight="1" x14ac:dyDescent="0.2">
      <c r="A139" s="9386" t="s">
        <v>1125</v>
      </c>
      <c r="B139" s="9387"/>
      <c r="C139" s="9388"/>
      <c r="D139" s="5082">
        <f t="shared" si="80"/>
        <v>0</v>
      </c>
      <c r="E139" s="2985">
        <f t="shared" si="81"/>
        <v>0</v>
      </c>
      <c r="F139" s="1879">
        <f t="shared" si="82"/>
        <v>0</v>
      </c>
      <c r="G139" s="3278"/>
      <c r="H139" s="2596"/>
      <c r="I139" s="3278"/>
      <c r="J139" s="3319"/>
      <c r="K139" s="3278"/>
      <c r="L139" s="1882"/>
      <c r="M139" s="2885"/>
      <c r="N139" s="1882"/>
      <c r="O139" s="2915"/>
      <c r="P139" s="1882"/>
      <c r="Q139" s="2915"/>
      <c r="R139" s="1882"/>
      <c r="S139" s="2915"/>
      <c r="T139" s="1882"/>
      <c r="U139" s="2915"/>
      <c r="V139" s="1882"/>
      <c r="W139" s="2915"/>
      <c r="X139" s="1882"/>
      <c r="Y139" s="2915"/>
      <c r="Z139" s="1882"/>
      <c r="AA139" s="2915"/>
      <c r="AB139" s="1882"/>
      <c r="AC139" s="2915"/>
      <c r="AD139" s="1882"/>
      <c r="AE139" s="2915"/>
      <c r="AF139" s="1882"/>
      <c r="AG139" s="2915"/>
      <c r="AH139" s="1882"/>
      <c r="AI139" s="2915"/>
      <c r="AJ139" s="1882"/>
      <c r="AK139" s="2915"/>
      <c r="AL139" s="1882"/>
      <c r="AM139" s="2915"/>
      <c r="AN139" s="3029"/>
      <c r="AO139" s="2889"/>
      <c r="AP139" s="3279"/>
      <c r="AQ139" s="3600"/>
      <c r="AR139" s="3600"/>
      <c r="AS139" s="3213"/>
      <c r="AT139" s="2889"/>
      <c r="AU139" s="2889"/>
      <c r="AV139" s="2889"/>
      <c r="AW139" s="2889"/>
      <c r="AX139" s="1529" t="str">
        <f t="shared" si="83"/>
        <v/>
      </c>
      <c r="BV139" s="1452"/>
      <c r="BW139" s="1452"/>
      <c r="CA139" s="1457" t="str">
        <f t="shared" si="102"/>
        <v/>
      </c>
      <c r="CB139" s="1457" t="str">
        <f t="shared" si="91"/>
        <v/>
      </c>
      <c r="CC139" s="1457" t="str">
        <f t="shared" si="96"/>
        <v/>
      </c>
      <c r="CD139" s="1457" t="str">
        <f t="shared" si="92"/>
        <v/>
      </c>
      <c r="CE139" s="1457" t="str">
        <f t="shared" si="97"/>
        <v/>
      </c>
      <c r="CF139" s="1457" t="str">
        <f t="shared" si="84"/>
        <v/>
      </c>
      <c r="CG139" s="1457" t="str">
        <f t="shared" si="85"/>
        <v/>
      </c>
      <c r="CH139" s="1457" t="str">
        <f t="shared" si="86"/>
        <v/>
      </c>
      <c r="DA139" s="1458">
        <f t="shared" si="103"/>
        <v>0</v>
      </c>
      <c r="DB139" s="1458">
        <f t="shared" si="93"/>
        <v>0</v>
      </c>
      <c r="DC139" s="1458">
        <f t="shared" si="98"/>
        <v>0</v>
      </c>
      <c r="DD139" s="1458">
        <f t="shared" si="94"/>
        <v>0</v>
      </c>
      <c r="DE139" s="1458">
        <f t="shared" si="99"/>
        <v>0</v>
      </c>
      <c r="DF139" s="1458">
        <f t="shared" si="100"/>
        <v>0</v>
      </c>
      <c r="DG139" s="1458">
        <f t="shared" si="101"/>
        <v>0</v>
      </c>
      <c r="DH139" s="1458">
        <f t="shared" si="87"/>
        <v>0</v>
      </c>
    </row>
    <row r="140" spans="1:112" ht="16.350000000000001" customHeight="1" x14ac:dyDescent="0.2">
      <c r="A140" s="9386" t="s">
        <v>2094</v>
      </c>
      <c r="B140" s="9387"/>
      <c r="C140" s="9388"/>
      <c r="D140" s="5082">
        <f t="shared" si="80"/>
        <v>0</v>
      </c>
      <c r="E140" s="2985">
        <f t="shared" si="81"/>
        <v>0</v>
      </c>
      <c r="F140" s="1879">
        <f t="shared" si="82"/>
        <v>0</v>
      </c>
      <c r="G140" s="3278"/>
      <c r="H140" s="2596"/>
      <c r="I140" s="3278"/>
      <c r="J140" s="3319"/>
      <c r="K140" s="3278"/>
      <c r="L140" s="1882"/>
      <c r="M140" s="2885"/>
      <c r="N140" s="1882"/>
      <c r="O140" s="2915"/>
      <c r="P140" s="1882"/>
      <c r="Q140" s="2915"/>
      <c r="R140" s="1882"/>
      <c r="S140" s="2915"/>
      <c r="T140" s="1882"/>
      <c r="U140" s="2915"/>
      <c r="V140" s="1882"/>
      <c r="W140" s="2915"/>
      <c r="X140" s="1882"/>
      <c r="Y140" s="2915"/>
      <c r="Z140" s="1882"/>
      <c r="AA140" s="2915"/>
      <c r="AB140" s="1882"/>
      <c r="AC140" s="2915"/>
      <c r="AD140" s="1882"/>
      <c r="AE140" s="2915"/>
      <c r="AF140" s="1882"/>
      <c r="AG140" s="2915"/>
      <c r="AH140" s="1882"/>
      <c r="AI140" s="2915"/>
      <c r="AJ140" s="1882"/>
      <c r="AK140" s="2915"/>
      <c r="AL140" s="1882"/>
      <c r="AM140" s="2915"/>
      <c r="AN140" s="3029"/>
      <c r="AO140" s="2889"/>
      <c r="AP140" s="3279"/>
      <c r="AQ140" s="3600"/>
      <c r="AR140" s="3600"/>
      <c r="AS140" s="3213"/>
      <c r="AT140" s="2889"/>
      <c r="AU140" s="2889"/>
      <c r="AV140" s="2889"/>
      <c r="AW140" s="2889"/>
      <c r="AX140" s="1529" t="str">
        <f t="shared" si="83"/>
        <v/>
      </c>
      <c r="BV140" s="1452"/>
      <c r="BW140" s="1452"/>
      <c r="CA140" s="1457" t="str">
        <f t="shared" si="102"/>
        <v/>
      </c>
      <c r="CB140" s="1457" t="str">
        <f t="shared" si="91"/>
        <v/>
      </c>
      <c r="CC140" s="1457" t="str">
        <f t="shared" si="96"/>
        <v/>
      </c>
      <c r="CD140" s="1457" t="str">
        <f t="shared" si="92"/>
        <v/>
      </c>
      <c r="CE140" s="1457" t="str">
        <f t="shared" si="97"/>
        <v/>
      </c>
      <c r="CF140" s="1457" t="str">
        <f t="shared" si="84"/>
        <v/>
      </c>
      <c r="CG140" s="1457" t="str">
        <f t="shared" si="85"/>
        <v/>
      </c>
      <c r="CH140" s="1457" t="str">
        <f t="shared" si="86"/>
        <v/>
      </c>
      <c r="DA140" s="1458">
        <f t="shared" si="103"/>
        <v>0</v>
      </c>
      <c r="DB140" s="1458">
        <f t="shared" si="93"/>
        <v>0</v>
      </c>
      <c r="DC140" s="1458">
        <f t="shared" si="98"/>
        <v>0</v>
      </c>
      <c r="DD140" s="1458">
        <f t="shared" si="94"/>
        <v>0</v>
      </c>
      <c r="DE140" s="1458">
        <f t="shared" si="99"/>
        <v>0</v>
      </c>
      <c r="DF140" s="1458">
        <f t="shared" si="100"/>
        <v>0</v>
      </c>
      <c r="DG140" s="1458">
        <f t="shared" si="101"/>
        <v>0</v>
      </c>
      <c r="DH140" s="1458">
        <f t="shared" si="87"/>
        <v>0</v>
      </c>
    </row>
    <row r="141" spans="1:112" ht="16.350000000000001" customHeight="1" x14ac:dyDescent="0.2">
      <c r="A141" s="9386" t="s">
        <v>1124</v>
      </c>
      <c r="B141" s="9387"/>
      <c r="C141" s="9388"/>
      <c r="D141" s="5082">
        <f t="shared" si="80"/>
        <v>0</v>
      </c>
      <c r="E141" s="2985">
        <f t="shared" si="81"/>
        <v>0</v>
      </c>
      <c r="F141" s="1879">
        <f t="shared" si="82"/>
        <v>0</v>
      </c>
      <c r="G141" s="3415"/>
      <c r="H141" s="1977"/>
      <c r="I141" s="3415"/>
      <c r="J141" s="1897"/>
      <c r="K141" s="2885"/>
      <c r="L141" s="1882"/>
      <c r="M141" s="2885"/>
      <c r="N141" s="1882"/>
      <c r="O141" s="2915"/>
      <c r="P141" s="1882"/>
      <c r="Q141" s="2915"/>
      <c r="R141" s="1882"/>
      <c r="S141" s="2915"/>
      <c r="T141" s="1882"/>
      <c r="U141" s="2915"/>
      <c r="V141" s="1882"/>
      <c r="W141" s="2915"/>
      <c r="X141" s="1882"/>
      <c r="Y141" s="2915"/>
      <c r="Z141" s="1882"/>
      <c r="AA141" s="2915"/>
      <c r="AB141" s="1882"/>
      <c r="AC141" s="2915"/>
      <c r="AD141" s="1882"/>
      <c r="AE141" s="2915"/>
      <c r="AF141" s="1882"/>
      <c r="AG141" s="2915"/>
      <c r="AH141" s="1882"/>
      <c r="AI141" s="2915"/>
      <c r="AJ141" s="1882"/>
      <c r="AK141" s="2915"/>
      <c r="AL141" s="1882"/>
      <c r="AM141" s="2915"/>
      <c r="AN141" s="3029"/>
      <c r="AO141" s="2889"/>
      <c r="AP141" s="2889"/>
      <c r="AQ141" s="3600"/>
      <c r="AR141" s="3600"/>
      <c r="AS141" s="3600"/>
      <c r="AT141" s="2889"/>
      <c r="AU141" s="2889"/>
      <c r="AV141" s="2889"/>
      <c r="AW141" s="2889"/>
      <c r="AX141" s="1529" t="str">
        <f t="shared" si="83"/>
        <v/>
      </c>
      <c r="BV141" s="1452"/>
      <c r="BW141" s="1452"/>
      <c r="CA141" s="1457" t="str">
        <f t="shared" si="102"/>
        <v/>
      </c>
      <c r="CB141" s="1457" t="str">
        <f t="shared" si="91"/>
        <v/>
      </c>
      <c r="CC141" s="1457" t="str">
        <f t="shared" si="96"/>
        <v/>
      </c>
      <c r="CD141" s="1457" t="str">
        <f t="shared" si="92"/>
        <v/>
      </c>
      <c r="CE141" s="1457" t="str">
        <f t="shared" si="97"/>
        <v/>
      </c>
      <c r="CF141" s="1457" t="str">
        <f t="shared" si="84"/>
        <v/>
      </c>
      <c r="CG141" s="1457" t="str">
        <f t="shared" si="85"/>
        <v/>
      </c>
      <c r="CH141" s="1457" t="str">
        <f t="shared" si="86"/>
        <v/>
      </c>
      <c r="DA141" s="1458">
        <f t="shared" si="103"/>
        <v>0</v>
      </c>
      <c r="DB141" s="1458">
        <f t="shared" si="93"/>
        <v>0</v>
      </c>
      <c r="DC141" s="1458">
        <f t="shared" si="98"/>
        <v>0</v>
      </c>
      <c r="DD141" s="1458">
        <f t="shared" si="94"/>
        <v>0</v>
      </c>
      <c r="DE141" s="1458">
        <f t="shared" si="99"/>
        <v>0</v>
      </c>
      <c r="DF141" s="1458">
        <f t="shared" si="100"/>
        <v>0</v>
      </c>
      <c r="DG141" s="1458">
        <f t="shared" si="101"/>
        <v>0</v>
      </c>
      <c r="DH141" s="1458">
        <f t="shared" si="87"/>
        <v>0</v>
      </c>
    </row>
    <row r="142" spans="1:112" ht="16.350000000000001" customHeight="1" x14ac:dyDescent="0.2">
      <c r="A142" s="9397" t="s">
        <v>2144</v>
      </c>
      <c r="B142" s="9398"/>
      <c r="C142" s="9399"/>
      <c r="D142" s="5091">
        <f t="shared" si="80"/>
        <v>0</v>
      </c>
      <c r="E142" s="2798">
        <f t="shared" si="81"/>
        <v>0</v>
      </c>
      <c r="F142" s="2898">
        <f t="shared" si="82"/>
        <v>0</v>
      </c>
      <c r="G142" s="3806"/>
      <c r="H142" s="3807"/>
      <c r="I142" s="3806"/>
      <c r="J142" s="2499"/>
      <c r="K142" s="3399"/>
      <c r="L142" s="2884"/>
      <c r="M142" s="3248"/>
      <c r="N142" s="2884"/>
      <c r="O142" s="2533"/>
      <c r="P142" s="2884"/>
      <c r="Q142" s="2533"/>
      <c r="R142" s="2884"/>
      <c r="S142" s="2533"/>
      <c r="T142" s="2884"/>
      <c r="U142" s="2533"/>
      <c r="V142" s="2884"/>
      <c r="W142" s="2533"/>
      <c r="X142" s="2884"/>
      <c r="Y142" s="2533"/>
      <c r="Z142" s="2884"/>
      <c r="AA142" s="2533"/>
      <c r="AB142" s="2884"/>
      <c r="AC142" s="2533"/>
      <c r="AD142" s="2884"/>
      <c r="AE142" s="2533"/>
      <c r="AF142" s="2884"/>
      <c r="AG142" s="2533"/>
      <c r="AH142" s="2884"/>
      <c r="AI142" s="2533"/>
      <c r="AJ142" s="2884"/>
      <c r="AK142" s="2533"/>
      <c r="AL142" s="2884"/>
      <c r="AM142" s="2533"/>
      <c r="AN142" s="2893"/>
      <c r="AO142" s="3249"/>
      <c r="AP142" s="2889"/>
      <c r="AQ142" s="3600"/>
      <c r="AR142" s="3600"/>
      <c r="AS142" s="3600"/>
      <c r="AT142" s="2889"/>
      <c r="AU142" s="1145"/>
      <c r="AV142" s="1145"/>
      <c r="AW142" s="1145"/>
      <c r="AX142" s="1529" t="str">
        <f t="shared" si="83"/>
        <v/>
      </c>
      <c r="BV142" s="1452"/>
      <c r="BW142" s="1452"/>
      <c r="CA142" s="1457" t="str">
        <f t="shared" si="102"/>
        <v/>
      </c>
      <c r="CB142" s="1457" t="str">
        <f t="shared" si="91"/>
        <v/>
      </c>
      <c r="CC142" s="1457" t="str">
        <f t="shared" si="96"/>
        <v/>
      </c>
      <c r="CD142" s="1457" t="str">
        <f t="shared" si="92"/>
        <v/>
      </c>
      <c r="CE142" s="1457" t="str">
        <f t="shared" si="97"/>
        <v/>
      </c>
      <c r="CF142" s="1457" t="str">
        <f t="shared" si="84"/>
        <v/>
      </c>
      <c r="CG142" s="1457" t="str">
        <f t="shared" si="85"/>
        <v/>
      </c>
      <c r="CH142" s="1457" t="str">
        <f t="shared" si="86"/>
        <v/>
      </c>
      <c r="DA142" s="1458">
        <f t="shared" si="103"/>
        <v>0</v>
      </c>
      <c r="DB142" s="1458">
        <f t="shared" si="93"/>
        <v>0</v>
      </c>
      <c r="DC142" s="1458">
        <f t="shared" si="98"/>
        <v>0</v>
      </c>
      <c r="DD142" s="1458">
        <f t="shared" si="94"/>
        <v>0</v>
      </c>
      <c r="DE142" s="1458">
        <f t="shared" si="99"/>
        <v>0</v>
      </c>
      <c r="DF142" s="1458">
        <f t="shared" si="100"/>
        <v>0</v>
      </c>
      <c r="DG142" s="1458">
        <f t="shared" si="101"/>
        <v>0</v>
      </c>
      <c r="DH142" s="1458">
        <f t="shared" si="87"/>
        <v>0</v>
      </c>
    </row>
    <row r="143" spans="1:112" ht="16.350000000000001" customHeight="1" x14ac:dyDescent="0.2">
      <c r="A143" s="9306" t="s">
        <v>24</v>
      </c>
      <c r="B143" s="9308"/>
      <c r="C143" s="9307"/>
      <c r="D143" s="5092">
        <f t="shared" si="80"/>
        <v>0</v>
      </c>
      <c r="E143" s="4985">
        <f t="shared" si="81"/>
        <v>0</v>
      </c>
      <c r="F143" s="4069">
        <f t="shared" si="82"/>
        <v>0</v>
      </c>
      <c r="G143" s="5092">
        <f t="shared" ref="G143:AW143" si="104">SUM(G90:G142)</f>
        <v>0</v>
      </c>
      <c r="H143" s="5093">
        <f t="shared" si="104"/>
        <v>0</v>
      </c>
      <c r="I143" s="5092">
        <f t="shared" si="104"/>
        <v>0</v>
      </c>
      <c r="J143" s="5094">
        <f t="shared" si="104"/>
        <v>0</v>
      </c>
      <c r="K143" s="5092">
        <f t="shared" si="104"/>
        <v>0</v>
      </c>
      <c r="L143" s="5093">
        <f t="shared" si="104"/>
        <v>0</v>
      </c>
      <c r="M143" s="5095">
        <f t="shared" si="104"/>
        <v>0</v>
      </c>
      <c r="N143" s="5096">
        <f t="shared" si="104"/>
        <v>0</v>
      </c>
      <c r="O143" s="5097">
        <f t="shared" si="104"/>
        <v>0</v>
      </c>
      <c r="P143" s="5096">
        <f t="shared" si="104"/>
        <v>0</v>
      </c>
      <c r="Q143" s="5097">
        <f t="shared" si="104"/>
        <v>0</v>
      </c>
      <c r="R143" s="5096">
        <f t="shared" si="104"/>
        <v>0</v>
      </c>
      <c r="S143" s="5097">
        <f t="shared" si="104"/>
        <v>0</v>
      </c>
      <c r="T143" s="5096">
        <f t="shared" si="104"/>
        <v>0</v>
      </c>
      <c r="U143" s="5097">
        <f t="shared" si="104"/>
        <v>0</v>
      </c>
      <c r="V143" s="5096">
        <f t="shared" si="104"/>
        <v>0</v>
      </c>
      <c r="W143" s="5097">
        <f t="shared" si="104"/>
        <v>0</v>
      </c>
      <c r="X143" s="5096">
        <f t="shared" si="104"/>
        <v>0</v>
      </c>
      <c r="Y143" s="5097">
        <f t="shared" si="104"/>
        <v>0</v>
      </c>
      <c r="Z143" s="5096">
        <f t="shared" si="104"/>
        <v>0</v>
      </c>
      <c r="AA143" s="5097">
        <f t="shared" si="104"/>
        <v>0</v>
      </c>
      <c r="AB143" s="5096">
        <f t="shared" si="104"/>
        <v>0</v>
      </c>
      <c r="AC143" s="5097">
        <f t="shared" si="104"/>
        <v>0</v>
      </c>
      <c r="AD143" s="5096">
        <f t="shared" si="104"/>
        <v>0</v>
      </c>
      <c r="AE143" s="5097">
        <f t="shared" si="104"/>
        <v>0</v>
      </c>
      <c r="AF143" s="5096">
        <f t="shared" si="104"/>
        <v>0</v>
      </c>
      <c r="AG143" s="5097">
        <f t="shared" si="104"/>
        <v>0</v>
      </c>
      <c r="AH143" s="5096">
        <f t="shared" si="104"/>
        <v>0</v>
      </c>
      <c r="AI143" s="5097">
        <f t="shared" si="104"/>
        <v>0</v>
      </c>
      <c r="AJ143" s="5096">
        <f t="shared" si="104"/>
        <v>0</v>
      </c>
      <c r="AK143" s="5097">
        <f t="shared" si="104"/>
        <v>0</v>
      </c>
      <c r="AL143" s="5096">
        <f t="shared" si="104"/>
        <v>0</v>
      </c>
      <c r="AM143" s="5097">
        <f t="shared" si="104"/>
        <v>0</v>
      </c>
      <c r="AN143" s="5098">
        <f t="shared" si="104"/>
        <v>0</v>
      </c>
      <c r="AO143" s="5099">
        <f t="shared" si="104"/>
        <v>0</v>
      </c>
      <c r="AP143" s="5100">
        <f t="shared" si="104"/>
        <v>0</v>
      </c>
      <c r="AQ143" s="5100">
        <f t="shared" si="104"/>
        <v>0</v>
      </c>
      <c r="AR143" s="5100">
        <f t="shared" si="104"/>
        <v>0</v>
      </c>
      <c r="AS143" s="5100">
        <f t="shared" si="104"/>
        <v>0</v>
      </c>
      <c r="AT143" s="5100">
        <f t="shared" si="104"/>
        <v>0</v>
      </c>
      <c r="AU143" s="5100">
        <f t="shared" si="104"/>
        <v>0</v>
      </c>
      <c r="AV143" s="5100">
        <f t="shared" si="104"/>
        <v>0</v>
      </c>
      <c r="AW143" s="5100">
        <f t="shared" si="104"/>
        <v>0</v>
      </c>
      <c r="BV143" s="1452"/>
      <c r="BW143" s="1452"/>
      <c r="CA143" s="1457"/>
      <c r="CB143" s="1457"/>
      <c r="CC143" s="1457"/>
      <c r="CD143" s="1457"/>
      <c r="CE143" s="1457"/>
      <c r="CF143" s="1457"/>
      <c r="CG143" s="1457"/>
      <c r="DA143" s="1458"/>
      <c r="DB143" s="1458"/>
      <c r="DC143" s="1458"/>
      <c r="DD143" s="1458"/>
      <c r="DE143" s="1458"/>
      <c r="DF143" s="1458"/>
      <c r="DG143" s="1458"/>
    </row>
    <row r="144" spans="1:112" ht="24" customHeight="1" x14ac:dyDescent="0.2">
      <c r="A144" s="133" t="s">
        <v>2130</v>
      </c>
      <c r="B144" s="301"/>
      <c r="C144" s="301"/>
      <c r="BW144" s="1452"/>
      <c r="BX144" s="1452"/>
      <c r="DA144" s="1454"/>
      <c r="DB144" s="1454"/>
      <c r="DC144" s="1454"/>
      <c r="DD144" s="1454"/>
      <c r="DE144" s="1454"/>
      <c r="DF144" s="1454"/>
      <c r="DG144" s="1454"/>
    </row>
    <row r="145" spans="1:111" ht="33" customHeight="1" x14ac:dyDescent="0.2">
      <c r="A145" s="9400" t="s">
        <v>1123</v>
      </c>
      <c r="B145" s="9400"/>
      <c r="C145" s="9400"/>
      <c r="D145" s="9341" t="s">
        <v>24</v>
      </c>
      <c r="E145" s="9098"/>
      <c r="F145" s="9140"/>
      <c r="G145" s="9306" t="s">
        <v>1061</v>
      </c>
      <c r="H145" s="9308"/>
      <c r="I145" s="9308"/>
      <c r="J145" s="9308"/>
      <c r="K145" s="9308"/>
      <c r="L145" s="9308"/>
      <c r="M145" s="9308"/>
      <c r="N145" s="9308"/>
      <c r="O145" s="9308"/>
      <c r="P145" s="9308"/>
      <c r="Q145" s="9308"/>
      <c r="R145" s="9308"/>
      <c r="S145" s="9308"/>
      <c r="T145" s="9308"/>
      <c r="U145" s="9308"/>
      <c r="V145" s="9308"/>
      <c r="W145" s="9308"/>
      <c r="X145" s="9308"/>
      <c r="Y145" s="9308"/>
      <c r="Z145" s="9308"/>
      <c r="AA145" s="9308"/>
      <c r="AB145" s="9308"/>
      <c r="AC145" s="9308"/>
      <c r="AD145" s="9308"/>
      <c r="AE145" s="9308"/>
      <c r="AF145" s="9308"/>
      <c r="AG145" s="9308"/>
      <c r="AH145" s="9308"/>
      <c r="AI145" s="9308"/>
      <c r="AJ145" s="9308"/>
      <c r="AK145" s="9308"/>
      <c r="AL145" s="9308"/>
      <c r="AM145" s="9308"/>
      <c r="AN145" s="9308"/>
      <c r="AO145" s="9308"/>
      <c r="AP145" s="9345"/>
      <c r="AQ145" s="9307" t="s">
        <v>2527</v>
      </c>
      <c r="AR145" s="9311" t="s">
        <v>112</v>
      </c>
      <c r="AS145" s="9311" t="s">
        <v>2526</v>
      </c>
      <c r="AT145" s="9311" t="s">
        <v>1735</v>
      </c>
      <c r="AU145" s="9378" t="s">
        <v>2547</v>
      </c>
      <c r="AV145" s="9378" t="s">
        <v>2996</v>
      </c>
      <c r="AW145" s="9378" t="s">
        <v>2685</v>
      </c>
      <c r="AX145" s="9378" t="s">
        <v>359</v>
      </c>
      <c r="BV145" s="1452"/>
      <c r="BW145" s="1452"/>
      <c r="DA145" s="1454"/>
      <c r="DB145" s="1454"/>
      <c r="DC145" s="1454"/>
      <c r="DD145" s="1454"/>
      <c r="DE145" s="1454"/>
      <c r="DF145" s="1454"/>
      <c r="DG145" s="1454"/>
    </row>
    <row r="146" spans="1:111" ht="37.5" customHeight="1" x14ac:dyDescent="0.2">
      <c r="A146" s="9400"/>
      <c r="B146" s="9400"/>
      <c r="C146" s="9400"/>
      <c r="D146" s="9368"/>
      <c r="E146" s="9230"/>
      <c r="F146" s="8527"/>
      <c r="G146" s="9304" t="s">
        <v>3667</v>
      </c>
      <c r="H146" s="9305"/>
      <c r="I146" s="9306" t="s">
        <v>1077</v>
      </c>
      <c r="J146" s="9307"/>
      <c r="K146" s="9308" t="s">
        <v>1076</v>
      </c>
      <c r="L146" s="9307"/>
      <c r="M146" s="9306" t="s">
        <v>3668</v>
      </c>
      <c r="N146" s="9307"/>
      <c r="O146" s="9306" t="s">
        <v>1075</v>
      </c>
      <c r="P146" s="9307"/>
      <c r="Q146" s="9306" t="s">
        <v>1074</v>
      </c>
      <c r="R146" s="9307"/>
      <c r="S146" s="9306" t="s">
        <v>1045</v>
      </c>
      <c r="T146" s="9307"/>
      <c r="U146" s="9306" t="s">
        <v>1044</v>
      </c>
      <c r="V146" s="9307"/>
      <c r="W146" s="9306" t="s">
        <v>3669</v>
      </c>
      <c r="X146" s="9307"/>
      <c r="Y146" s="9306" t="s">
        <v>48</v>
      </c>
      <c r="Z146" s="9309"/>
      <c r="AA146" s="9306" t="s">
        <v>49</v>
      </c>
      <c r="AB146" s="9309"/>
      <c r="AC146" s="9306" t="s">
        <v>3736</v>
      </c>
      <c r="AD146" s="9309"/>
      <c r="AE146" s="9306" t="s">
        <v>3737</v>
      </c>
      <c r="AF146" s="9309"/>
      <c r="AG146" s="9306" t="s">
        <v>3738</v>
      </c>
      <c r="AH146" s="9309"/>
      <c r="AI146" s="9306" t="s">
        <v>3739</v>
      </c>
      <c r="AJ146" s="9309"/>
      <c r="AK146" s="9306" t="s">
        <v>2127</v>
      </c>
      <c r="AL146" s="9309"/>
      <c r="AM146" s="9306" t="s">
        <v>2128</v>
      </c>
      <c r="AN146" s="9309"/>
      <c r="AO146" s="9306" t="s">
        <v>2126</v>
      </c>
      <c r="AP146" s="9310"/>
      <c r="AQ146" s="9307"/>
      <c r="AR146" s="9311"/>
      <c r="AS146" s="9311"/>
      <c r="AT146" s="9311"/>
      <c r="AU146" s="9378"/>
      <c r="AV146" s="9378"/>
      <c r="AW146" s="9378"/>
      <c r="AX146" s="9378"/>
      <c r="BV146" s="1452"/>
      <c r="BW146" s="1452"/>
      <c r="DA146" s="1454"/>
      <c r="DB146" s="1454"/>
      <c r="DC146" s="1454"/>
      <c r="DD146" s="1454"/>
      <c r="DE146" s="1454"/>
      <c r="DF146" s="1454"/>
      <c r="DG146" s="1454"/>
    </row>
    <row r="147" spans="1:111" ht="45.75" customHeight="1" x14ac:dyDescent="0.2">
      <c r="A147" s="9400"/>
      <c r="B147" s="9400"/>
      <c r="C147" s="9400"/>
      <c r="D147" s="4960" t="s">
        <v>2049</v>
      </c>
      <c r="E147" s="3921" t="s">
        <v>17</v>
      </c>
      <c r="F147" s="4960" t="s">
        <v>18</v>
      </c>
      <c r="G147" s="3921" t="s">
        <v>17</v>
      </c>
      <c r="H147" s="4960" t="s">
        <v>18</v>
      </c>
      <c r="I147" s="3921" t="s">
        <v>17</v>
      </c>
      <c r="J147" s="4960" t="s">
        <v>18</v>
      </c>
      <c r="K147" s="3921" t="s">
        <v>17</v>
      </c>
      <c r="L147" s="4960" t="s">
        <v>18</v>
      </c>
      <c r="M147" s="3921" t="s">
        <v>17</v>
      </c>
      <c r="N147" s="4960" t="s">
        <v>18</v>
      </c>
      <c r="O147" s="3921" t="s">
        <v>17</v>
      </c>
      <c r="P147" s="4960" t="s">
        <v>18</v>
      </c>
      <c r="Q147" s="3921" t="s">
        <v>17</v>
      </c>
      <c r="R147" s="4960" t="s">
        <v>18</v>
      </c>
      <c r="S147" s="3921" t="s">
        <v>17</v>
      </c>
      <c r="T147" s="4960" t="s">
        <v>18</v>
      </c>
      <c r="U147" s="3921" t="s">
        <v>17</v>
      </c>
      <c r="V147" s="4960" t="s">
        <v>18</v>
      </c>
      <c r="W147" s="3921" t="s">
        <v>17</v>
      </c>
      <c r="X147" s="4960" t="s">
        <v>18</v>
      </c>
      <c r="Y147" s="3921" t="s">
        <v>17</v>
      </c>
      <c r="Z147" s="4960" t="s">
        <v>18</v>
      </c>
      <c r="AA147" s="3921" t="s">
        <v>17</v>
      </c>
      <c r="AB147" s="4960" t="s">
        <v>18</v>
      </c>
      <c r="AC147" s="3921" t="s">
        <v>17</v>
      </c>
      <c r="AD147" s="4960" t="s">
        <v>18</v>
      </c>
      <c r="AE147" s="3921" t="s">
        <v>17</v>
      </c>
      <c r="AF147" s="4960" t="s">
        <v>18</v>
      </c>
      <c r="AG147" s="3921" t="s">
        <v>17</v>
      </c>
      <c r="AH147" s="4960" t="s">
        <v>18</v>
      </c>
      <c r="AI147" s="3921" t="s">
        <v>17</v>
      </c>
      <c r="AJ147" s="4960" t="s">
        <v>18</v>
      </c>
      <c r="AK147" s="3921" t="s">
        <v>17</v>
      </c>
      <c r="AL147" s="4960" t="s">
        <v>18</v>
      </c>
      <c r="AM147" s="3921" t="s">
        <v>17</v>
      </c>
      <c r="AN147" s="4960" t="s">
        <v>18</v>
      </c>
      <c r="AO147" s="3921" t="s">
        <v>17</v>
      </c>
      <c r="AP147" s="4961" t="s">
        <v>18</v>
      </c>
      <c r="AQ147" s="9307"/>
      <c r="AR147" s="9311"/>
      <c r="AS147" s="9311"/>
      <c r="AT147" s="9311"/>
      <c r="AU147" s="9378"/>
      <c r="AV147" s="9378"/>
      <c r="AW147" s="9378"/>
      <c r="AX147" s="9378"/>
      <c r="BV147" s="1452"/>
      <c r="BW147" s="1452"/>
      <c r="CA147" s="1457"/>
      <c r="CB147" s="1457"/>
      <c r="CC147" s="1457"/>
      <c r="CD147" s="1457"/>
      <c r="DA147" s="1458"/>
      <c r="DB147" s="1458"/>
      <c r="DC147" s="1458"/>
      <c r="DD147" s="1458"/>
      <c r="DE147" s="1451"/>
      <c r="DF147" s="1454"/>
      <c r="DG147" s="1454"/>
    </row>
    <row r="148" spans="1:111" ht="16.350000000000001" customHeight="1" x14ac:dyDescent="0.2">
      <c r="A148" s="9409" t="s">
        <v>2134</v>
      </c>
      <c r="B148" s="9410"/>
      <c r="C148" s="9411"/>
      <c r="D148" s="5101">
        <f>SUM(G148:AP148)</f>
        <v>0</v>
      </c>
      <c r="E148" s="4962">
        <f>SUM(G148+I148+K148+M148+O148+Q148+S148+U148+W148+Y148+AA148+AC148+AE148+AG148+AI148+AK148+AM148+AO148)</f>
        <v>0</v>
      </c>
      <c r="F148" s="4964">
        <f>SUM(H148+J148+L148+N148+P148+R148+T148+V148+X148+Z148+AB148+AD148+AF148+AH148+AJ148+AL148+AN148+AP148)</f>
        <v>0</v>
      </c>
      <c r="G148" s="4965"/>
      <c r="H148" s="4975"/>
      <c r="I148" s="4909"/>
      <c r="J148" s="4975"/>
      <c r="K148" s="4909"/>
      <c r="L148" s="4975"/>
      <c r="M148" s="4909"/>
      <c r="N148" s="4975"/>
      <c r="O148" s="5102"/>
      <c r="P148" s="4975"/>
      <c r="Q148" s="5102"/>
      <c r="R148" s="4975"/>
      <c r="S148" s="5102"/>
      <c r="T148" s="4975"/>
      <c r="U148" s="4909"/>
      <c r="V148" s="4975"/>
      <c r="W148" s="4909"/>
      <c r="X148" s="4975"/>
      <c r="Y148" s="4909"/>
      <c r="Z148" s="4975"/>
      <c r="AA148" s="4909"/>
      <c r="AB148" s="4975"/>
      <c r="AC148" s="4909"/>
      <c r="AD148" s="4975"/>
      <c r="AE148" s="4909"/>
      <c r="AF148" s="4975"/>
      <c r="AG148" s="4909"/>
      <c r="AH148" s="4975"/>
      <c r="AI148" s="4909"/>
      <c r="AJ148" s="4975"/>
      <c r="AK148" s="4909"/>
      <c r="AL148" s="4975"/>
      <c r="AM148" s="4909"/>
      <c r="AN148" s="4975"/>
      <c r="AO148" s="4909"/>
      <c r="AP148" s="4977"/>
      <c r="AQ148" s="4023"/>
      <c r="AR148" s="2877"/>
      <c r="AS148" s="4026"/>
      <c r="AT148" s="4026"/>
      <c r="AU148" s="4026"/>
      <c r="AV148" s="4026"/>
      <c r="AW148" s="4026"/>
      <c r="AX148" s="4026"/>
      <c r="AY148" s="1529" t="str">
        <f t="shared" ref="AY148:AY156" si="105">$CA148&amp;$CB148&amp;$CC148&amp;$CD148&amp;$CE148&amp;$CF148&amp;$CG148&amp;$CH148</f>
        <v/>
      </c>
      <c r="BV148" s="1452"/>
      <c r="BW148" s="1452"/>
      <c r="CA148" s="1457" t="str">
        <f t="shared" ref="CA148:CA156" si="106">IF(DA148=1,"* Las consultas de 12 años NO DEBEN ser mayor que el total de Consultas entre 10-14 Años. ","")</f>
        <v/>
      </c>
      <c r="CB148" s="1457" t="str">
        <f t="shared" ref="CB148:CB156" si="107">IF(DB148=1,"* Las consultas de 60 años NO DEBEN ser mayor que el total de Consultas entre 60-64 Años. ","")</f>
        <v/>
      </c>
      <c r="CC148" s="1457" t="str">
        <f t="shared" ref="CC148:CC156" si="108">IF(DC148=1,"* Las actividades de usuarios en situación de discapacidad NO DEBEN superar el total. ","")</f>
        <v/>
      </c>
      <c r="CD148" s="1457" t="str">
        <f t="shared" ref="CD148:CD156" si="109">IF(AND(AR148="",D148&lt;&gt;0),"* Recuerde que las Embarazadas deben ser incluídas en el ingreso por rango Etario (Digite CEROS si no tiene). ",IF(F148&lt;AR148,"* Las Embarazadas NO DEBEN ser mayor al total de mujeres. ",""))</f>
        <v/>
      </c>
      <c r="CE148" s="1457" t="str">
        <f>IF(AND(AV148="",D148&lt;&gt;0),"* No olvide digitar la Población SENAME (Digite CEROS si no tiene). ",IF(D148&lt;AV148,"* La Población SENAME NO DEBE ser mayor al Total. ",""))</f>
        <v/>
      </c>
      <c r="CF148" s="1457" t="str">
        <f>IF(AND(AW148="",E148&lt;&gt;0),"* No olvide digitar la Población Mejor Niñez (Digite CEROS si no tiene). ",IF(E148&lt;AW148,"* La Población Mejor Niñez NO DEBE ser mayor al Total. ",""))</f>
        <v/>
      </c>
      <c r="CG148" s="1457" t="str">
        <f t="shared" ref="CG148:CG156" si="110">IF(AND(AX148="",D148&lt;&gt;0),"* No olvide digitar la Población Migrante (Digite CEROS si no tiene). ",IF(D148&lt;AX148,"* La Población Migrante NO DEBE superar el Total. ",""))</f>
        <v/>
      </c>
      <c r="DA148" s="1458">
        <f t="shared" ref="DA148:DA156" si="111">IF(AQ148&gt;(Y148+Z148),1,0)</f>
        <v>0</v>
      </c>
      <c r="DB148" s="1458">
        <f t="shared" ref="DB148:DB156" si="112">IF(AS148&gt;(AK148+AL148),1,0)</f>
        <v>0</v>
      </c>
      <c r="DC148" s="1458">
        <f t="shared" ref="DC148:DC156" si="113">IF(D148&lt;AU148,1,0)</f>
        <v>0</v>
      </c>
      <c r="DD148" s="1458">
        <f t="shared" ref="DD148:DD156" si="114">IF(AND(AR148="",D148&lt;&gt;0),1,IF(F148&lt;AR148,1,0))</f>
        <v>0</v>
      </c>
      <c r="DE148" s="1458">
        <f>IF(AND(AV148="",D148&lt;&gt;0),1,IF(D148&lt;AV148,1,0))</f>
        <v>0</v>
      </c>
      <c r="DF148" s="1458">
        <f>IF(AND(AW148="",D148&lt;&gt;0),1,IF(D148&lt;AW148,1,0))</f>
        <v>0</v>
      </c>
      <c r="DG148" s="1458">
        <f t="shared" ref="DG148:DG156" si="115">IF(AND(AX148="",D148&lt;&gt;0),1,IF(D148&lt;AX148,1,0))</f>
        <v>0</v>
      </c>
    </row>
    <row r="149" spans="1:111" ht="16.350000000000001" customHeight="1" x14ac:dyDescent="0.2">
      <c r="A149" s="9412" t="s">
        <v>2560</v>
      </c>
      <c r="B149" s="9413"/>
      <c r="C149" s="9414"/>
      <c r="D149" s="3808">
        <f t="shared" ref="D149:D156" si="116">SUM(G149:AP149)</f>
        <v>0</v>
      </c>
      <c r="E149" s="2985">
        <f t="shared" ref="E149:E155" si="117">SUM(G149+I149+K149+M149+O149+Q149+S149+U149+W149+Y149+AA149+AC149+AE149+AG149+AI149+AK149+AM149+AO149)</f>
        <v>0</v>
      </c>
      <c r="F149" s="1879">
        <f t="shared" ref="F149:F156" si="118">SUM(H149+J149+L149+N149+P149+R149+T149+V149+X149+Z149+AB149+AD149+AF149+AH149+AJ149+AL149+AN149+AP149)</f>
        <v>0</v>
      </c>
      <c r="G149" s="2885"/>
      <c r="H149" s="1882"/>
      <c r="I149" s="2915"/>
      <c r="J149" s="1882"/>
      <c r="K149" s="2915"/>
      <c r="L149" s="1882"/>
      <c r="M149" s="2915"/>
      <c r="N149" s="1882"/>
      <c r="O149" s="3068"/>
      <c r="P149" s="1882"/>
      <c r="Q149" s="3068"/>
      <c r="R149" s="1882"/>
      <c r="S149" s="3068"/>
      <c r="T149" s="1882"/>
      <c r="U149" s="2915"/>
      <c r="V149" s="1882"/>
      <c r="W149" s="2915"/>
      <c r="X149" s="1882"/>
      <c r="Y149" s="2915"/>
      <c r="Z149" s="1882"/>
      <c r="AA149" s="2915"/>
      <c r="AB149" s="1882"/>
      <c r="AC149" s="2915"/>
      <c r="AD149" s="1882"/>
      <c r="AE149" s="2915"/>
      <c r="AF149" s="1882"/>
      <c r="AG149" s="2915"/>
      <c r="AH149" s="1882"/>
      <c r="AI149" s="2915"/>
      <c r="AJ149" s="1882"/>
      <c r="AK149" s="2915"/>
      <c r="AL149" s="1882"/>
      <c r="AM149" s="2915"/>
      <c r="AN149" s="1882"/>
      <c r="AO149" s="2915"/>
      <c r="AP149" s="3029"/>
      <c r="AQ149" s="2889"/>
      <c r="AR149" s="2877"/>
      <c r="AS149" s="4026"/>
      <c r="AT149" s="4026"/>
      <c r="AU149" s="4026"/>
      <c r="AV149" s="4026"/>
      <c r="AW149" s="4026"/>
      <c r="AX149" s="4026"/>
      <c r="AY149" s="1529" t="str">
        <f t="shared" si="105"/>
        <v/>
      </c>
      <c r="BV149" s="1452"/>
      <c r="BW149" s="1452"/>
      <c r="CA149" s="1457" t="str">
        <f t="shared" si="106"/>
        <v/>
      </c>
      <c r="CB149" s="1457" t="str">
        <f t="shared" si="107"/>
        <v/>
      </c>
      <c r="CC149" s="1457" t="str">
        <f t="shared" si="108"/>
        <v/>
      </c>
      <c r="CD149" s="1457" t="str">
        <f t="shared" si="109"/>
        <v/>
      </c>
      <c r="CE149" s="1457" t="str">
        <f t="shared" ref="CE149:CE156" si="119">IF(AND(AV149="",D149&lt;&gt;0),"* No olvide digitar la Población SENAME (Digite CEROS si no tiene). ",IF(D149&lt;AV149,"* La Población SENAME NO DEBE ser mayor al Total. ",""))</f>
        <v/>
      </c>
      <c r="CF149" s="1457" t="str">
        <f t="shared" ref="CF149:CF156" si="120">IF(AND(AW149="",E149&lt;&gt;0),"* No olvide digitar la Población Mejor Niñez (Digite CEROS si no tiene). ",IF(E149&lt;AW149,"* La Población Mejor Niñez NO DEBE ser mayor al Total. ",""))</f>
        <v/>
      </c>
      <c r="CG149" s="1457" t="str">
        <f t="shared" si="110"/>
        <v/>
      </c>
      <c r="DA149" s="1458">
        <f t="shared" si="111"/>
        <v>0</v>
      </c>
      <c r="DB149" s="1458">
        <f t="shared" si="112"/>
        <v>0</v>
      </c>
      <c r="DC149" s="1458">
        <f t="shared" si="113"/>
        <v>0</v>
      </c>
      <c r="DD149" s="1458">
        <f t="shared" si="114"/>
        <v>0</v>
      </c>
      <c r="DE149" s="1458">
        <f t="shared" ref="DE149:DE156" si="121">IF(AND(AV149="",D149&lt;&gt;0),1,IF(D149&lt;AV149,1,0))</f>
        <v>0</v>
      </c>
      <c r="DF149" s="1458">
        <f t="shared" ref="DF149:DF156" si="122">IF(AND(AW149="",D149&lt;&gt;0),1,IF(D149&lt;AW149,1,0))</f>
        <v>0</v>
      </c>
      <c r="DG149" s="1458">
        <f t="shared" si="115"/>
        <v>0</v>
      </c>
    </row>
    <row r="150" spans="1:111" ht="16.350000000000001" customHeight="1" x14ac:dyDescent="0.2">
      <c r="A150" s="9404" t="s">
        <v>1122</v>
      </c>
      <c r="B150" s="9405"/>
      <c r="C150" s="9406"/>
      <c r="D150" s="5103">
        <f>SUM(G150:AP150)</f>
        <v>0</v>
      </c>
      <c r="E150" s="2985">
        <f t="shared" si="117"/>
        <v>0</v>
      </c>
      <c r="F150" s="1879">
        <f t="shared" si="118"/>
        <v>0</v>
      </c>
      <c r="G150" s="2885"/>
      <c r="H150" s="1882"/>
      <c r="I150" s="2915"/>
      <c r="J150" s="1882"/>
      <c r="K150" s="2915"/>
      <c r="L150" s="1882"/>
      <c r="M150" s="2915"/>
      <c r="N150" s="1882"/>
      <c r="O150" s="3068"/>
      <c r="P150" s="1882"/>
      <c r="Q150" s="3068"/>
      <c r="R150" s="1882"/>
      <c r="S150" s="3068"/>
      <c r="T150" s="1882"/>
      <c r="U150" s="2915"/>
      <c r="V150" s="1882"/>
      <c r="W150" s="2915"/>
      <c r="X150" s="1882"/>
      <c r="Y150" s="2915"/>
      <c r="Z150" s="1882"/>
      <c r="AA150" s="2915"/>
      <c r="AB150" s="1882"/>
      <c r="AC150" s="2915"/>
      <c r="AD150" s="1882"/>
      <c r="AE150" s="2915"/>
      <c r="AF150" s="1882"/>
      <c r="AG150" s="2915"/>
      <c r="AH150" s="1882"/>
      <c r="AI150" s="2915"/>
      <c r="AJ150" s="1882"/>
      <c r="AK150" s="2915"/>
      <c r="AL150" s="1882"/>
      <c r="AM150" s="2915"/>
      <c r="AN150" s="1882"/>
      <c r="AO150" s="2915"/>
      <c r="AP150" s="3029"/>
      <c r="AQ150" s="2889"/>
      <c r="AR150" s="2877"/>
      <c r="AS150" s="4026"/>
      <c r="AT150" s="4026"/>
      <c r="AU150" s="4026"/>
      <c r="AV150" s="4026"/>
      <c r="AW150" s="4026"/>
      <c r="AX150" s="4026"/>
      <c r="AY150" s="1529" t="str">
        <f t="shared" si="105"/>
        <v/>
      </c>
      <c r="BV150" s="1452"/>
      <c r="BW150" s="1452"/>
      <c r="CA150" s="1457" t="str">
        <f t="shared" si="106"/>
        <v/>
      </c>
      <c r="CB150" s="1457" t="str">
        <f t="shared" si="107"/>
        <v/>
      </c>
      <c r="CC150" s="1457" t="str">
        <f t="shared" si="108"/>
        <v/>
      </c>
      <c r="CD150" s="1457" t="str">
        <f t="shared" si="109"/>
        <v/>
      </c>
      <c r="CE150" s="1457" t="str">
        <f t="shared" si="119"/>
        <v/>
      </c>
      <c r="CF150" s="1457" t="str">
        <f t="shared" si="120"/>
        <v/>
      </c>
      <c r="CG150" s="1457" t="str">
        <f t="shared" si="110"/>
        <v/>
      </c>
      <c r="DA150" s="1458">
        <f t="shared" si="111"/>
        <v>0</v>
      </c>
      <c r="DB150" s="1458">
        <f t="shared" si="112"/>
        <v>0</v>
      </c>
      <c r="DC150" s="1458">
        <f t="shared" si="113"/>
        <v>0</v>
      </c>
      <c r="DD150" s="1458">
        <f t="shared" si="114"/>
        <v>0</v>
      </c>
      <c r="DE150" s="1458">
        <f t="shared" si="121"/>
        <v>0</v>
      </c>
      <c r="DF150" s="1458">
        <f t="shared" si="122"/>
        <v>0</v>
      </c>
      <c r="DG150" s="1458">
        <f t="shared" si="115"/>
        <v>0</v>
      </c>
    </row>
    <row r="151" spans="1:111" ht="16.350000000000001" customHeight="1" x14ac:dyDescent="0.2">
      <c r="A151" s="9404" t="s">
        <v>1121</v>
      </c>
      <c r="B151" s="9405"/>
      <c r="C151" s="9406"/>
      <c r="D151" s="5104">
        <f t="shared" si="116"/>
        <v>0</v>
      </c>
      <c r="E151" s="2985">
        <f t="shared" si="117"/>
        <v>0</v>
      </c>
      <c r="F151" s="1879">
        <f t="shared" si="118"/>
        <v>0</v>
      </c>
      <c r="G151" s="2885"/>
      <c r="H151" s="1882"/>
      <c r="I151" s="2915"/>
      <c r="J151" s="1882"/>
      <c r="K151" s="2915"/>
      <c r="L151" s="1882"/>
      <c r="M151" s="2915"/>
      <c r="N151" s="1882"/>
      <c r="O151" s="3068"/>
      <c r="P151" s="1882"/>
      <c r="Q151" s="3068"/>
      <c r="R151" s="1882"/>
      <c r="S151" s="3068"/>
      <c r="T151" s="1882"/>
      <c r="U151" s="2915"/>
      <c r="V151" s="1882"/>
      <c r="W151" s="2915"/>
      <c r="X151" s="1882"/>
      <c r="Y151" s="2915"/>
      <c r="Z151" s="1882"/>
      <c r="AA151" s="2915"/>
      <c r="AB151" s="1882"/>
      <c r="AC151" s="2915"/>
      <c r="AD151" s="1882"/>
      <c r="AE151" s="2915"/>
      <c r="AF151" s="1882"/>
      <c r="AG151" s="2915"/>
      <c r="AH151" s="1882"/>
      <c r="AI151" s="2915"/>
      <c r="AJ151" s="1882"/>
      <c r="AK151" s="2915"/>
      <c r="AL151" s="1882"/>
      <c r="AM151" s="2915"/>
      <c r="AN151" s="1882"/>
      <c r="AO151" s="2915"/>
      <c r="AP151" s="3029"/>
      <c r="AQ151" s="2889"/>
      <c r="AR151" s="2877"/>
      <c r="AS151" s="4026"/>
      <c r="AT151" s="4026"/>
      <c r="AU151" s="4026"/>
      <c r="AV151" s="4026"/>
      <c r="AW151" s="4026"/>
      <c r="AX151" s="4026"/>
      <c r="AY151" s="1529" t="str">
        <f t="shared" si="105"/>
        <v/>
      </c>
      <c r="BV151" s="1452"/>
      <c r="BW151" s="1452"/>
      <c r="CA151" s="1457" t="str">
        <f t="shared" si="106"/>
        <v/>
      </c>
      <c r="CB151" s="1457" t="str">
        <f t="shared" si="107"/>
        <v/>
      </c>
      <c r="CC151" s="1457" t="str">
        <f t="shared" si="108"/>
        <v/>
      </c>
      <c r="CD151" s="1457" t="str">
        <f t="shared" si="109"/>
        <v/>
      </c>
      <c r="CE151" s="1457" t="str">
        <f t="shared" si="119"/>
        <v/>
      </c>
      <c r="CF151" s="1457" t="str">
        <f t="shared" si="120"/>
        <v/>
      </c>
      <c r="CG151" s="1457" t="str">
        <f t="shared" si="110"/>
        <v/>
      </c>
      <c r="DA151" s="1458">
        <f t="shared" si="111"/>
        <v>0</v>
      </c>
      <c r="DB151" s="1458">
        <f t="shared" si="112"/>
        <v>0</v>
      </c>
      <c r="DC151" s="1458">
        <f t="shared" si="113"/>
        <v>0</v>
      </c>
      <c r="DD151" s="1458">
        <f t="shared" si="114"/>
        <v>0</v>
      </c>
      <c r="DE151" s="1458">
        <f t="shared" si="121"/>
        <v>0</v>
      </c>
      <c r="DF151" s="1458">
        <f t="shared" si="122"/>
        <v>0</v>
      </c>
      <c r="DG151" s="1458">
        <f t="shared" si="115"/>
        <v>0</v>
      </c>
    </row>
    <row r="152" spans="1:111" ht="16.350000000000001" customHeight="1" x14ac:dyDescent="0.2">
      <c r="A152" s="9401" t="s">
        <v>2095</v>
      </c>
      <c r="B152" s="9402"/>
      <c r="C152" s="9403"/>
      <c r="D152" s="5104">
        <f t="shared" si="116"/>
        <v>0</v>
      </c>
      <c r="E152" s="2985">
        <f t="shared" si="117"/>
        <v>0</v>
      </c>
      <c r="F152" s="1879">
        <f t="shared" si="118"/>
        <v>0</v>
      </c>
      <c r="G152" s="2885"/>
      <c r="H152" s="1882"/>
      <c r="I152" s="2915"/>
      <c r="J152" s="1882"/>
      <c r="K152" s="2915"/>
      <c r="L152" s="1882"/>
      <c r="M152" s="2915"/>
      <c r="N152" s="1882"/>
      <c r="O152" s="3068"/>
      <c r="P152" s="1882"/>
      <c r="Q152" s="3068"/>
      <c r="R152" s="1882"/>
      <c r="S152" s="3068"/>
      <c r="T152" s="1882"/>
      <c r="U152" s="2915"/>
      <c r="V152" s="1882"/>
      <c r="W152" s="2915"/>
      <c r="X152" s="1882"/>
      <c r="Y152" s="2915"/>
      <c r="Z152" s="1882"/>
      <c r="AA152" s="2915"/>
      <c r="AB152" s="1882"/>
      <c r="AC152" s="2915"/>
      <c r="AD152" s="1882"/>
      <c r="AE152" s="2915"/>
      <c r="AF152" s="1882"/>
      <c r="AG152" s="2915"/>
      <c r="AH152" s="1882"/>
      <c r="AI152" s="2915"/>
      <c r="AJ152" s="1882"/>
      <c r="AK152" s="2915"/>
      <c r="AL152" s="1882"/>
      <c r="AM152" s="2915"/>
      <c r="AN152" s="1882"/>
      <c r="AO152" s="2915"/>
      <c r="AP152" s="3029"/>
      <c r="AQ152" s="2889"/>
      <c r="AR152" s="2877"/>
      <c r="AS152" s="4026"/>
      <c r="AT152" s="4026"/>
      <c r="AU152" s="4026"/>
      <c r="AV152" s="4026"/>
      <c r="AW152" s="4026"/>
      <c r="AX152" s="4026"/>
      <c r="AY152" s="1529" t="str">
        <f t="shared" si="105"/>
        <v/>
      </c>
      <c r="BV152" s="1452"/>
      <c r="BW152" s="1452"/>
      <c r="CA152" s="1457" t="str">
        <f t="shared" si="106"/>
        <v/>
      </c>
      <c r="CB152" s="1457" t="str">
        <f t="shared" si="107"/>
        <v/>
      </c>
      <c r="CC152" s="1457" t="str">
        <f t="shared" si="108"/>
        <v/>
      </c>
      <c r="CD152" s="1457" t="str">
        <f t="shared" si="109"/>
        <v/>
      </c>
      <c r="CE152" s="1457" t="str">
        <f t="shared" si="119"/>
        <v/>
      </c>
      <c r="CF152" s="1457" t="str">
        <f t="shared" si="120"/>
        <v/>
      </c>
      <c r="CG152" s="1457" t="str">
        <f t="shared" si="110"/>
        <v/>
      </c>
      <c r="DA152" s="1458">
        <f t="shared" si="111"/>
        <v>0</v>
      </c>
      <c r="DB152" s="1458">
        <f t="shared" si="112"/>
        <v>0</v>
      </c>
      <c r="DC152" s="1458">
        <f t="shared" si="113"/>
        <v>0</v>
      </c>
      <c r="DD152" s="1458">
        <f t="shared" si="114"/>
        <v>0</v>
      </c>
      <c r="DE152" s="1458">
        <f t="shared" si="121"/>
        <v>0</v>
      </c>
      <c r="DF152" s="1458">
        <f t="shared" si="122"/>
        <v>0</v>
      </c>
      <c r="DG152" s="1458">
        <f t="shared" si="115"/>
        <v>0</v>
      </c>
    </row>
    <row r="153" spans="1:111" ht="16.350000000000001" customHeight="1" x14ac:dyDescent="0.2">
      <c r="A153" s="9401" t="s">
        <v>1120</v>
      </c>
      <c r="B153" s="9402"/>
      <c r="C153" s="9403"/>
      <c r="D153" s="5104">
        <f t="shared" si="116"/>
        <v>0</v>
      </c>
      <c r="E153" s="2985">
        <f t="shared" si="117"/>
        <v>0</v>
      </c>
      <c r="F153" s="1879">
        <f t="shared" si="118"/>
        <v>0</v>
      </c>
      <c r="G153" s="2885"/>
      <c r="H153" s="1882"/>
      <c r="I153" s="2915"/>
      <c r="J153" s="1882"/>
      <c r="K153" s="2915"/>
      <c r="L153" s="1882"/>
      <c r="M153" s="2915"/>
      <c r="N153" s="1882"/>
      <c r="O153" s="3068"/>
      <c r="P153" s="1882"/>
      <c r="Q153" s="3068"/>
      <c r="R153" s="1882"/>
      <c r="S153" s="3068"/>
      <c r="T153" s="1882"/>
      <c r="U153" s="2915"/>
      <c r="V153" s="1882"/>
      <c r="W153" s="2915"/>
      <c r="X153" s="1882"/>
      <c r="Y153" s="2915"/>
      <c r="Z153" s="1882"/>
      <c r="AA153" s="2915"/>
      <c r="AB153" s="1882"/>
      <c r="AC153" s="2915"/>
      <c r="AD153" s="1882"/>
      <c r="AE153" s="2915"/>
      <c r="AF153" s="1882"/>
      <c r="AG153" s="2915"/>
      <c r="AH153" s="1882"/>
      <c r="AI153" s="2915"/>
      <c r="AJ153" s="1882"/>
      <c r="AK153" s="2915"/>
      <c r="AL153" s="1882"/>
      <c r="AM153" s="2915"/>
      <c r="AN153" s="1882"/>
      <c r="AO153" s="2915"/>
      <c r="AP153" s="3029"/>
      <c r="AQ153" s="2889"/>
      <c r="AR153" s="2877"/>
      <c r="AS153" s="4026"/>
      <c r="AT153" s="4026"/>
      <c r="AU153" s="4026"/>
      <c r="AV153" s="4026"/>
      <c r="AW153" s="4026"/>
      <c r="AX153" s="4026"/>
      <c r="AY153" s="1529" t="str">
        <f t="shared" si="105"/>
        <v/>
      </c>
      <c r="BV153" s="1452"/>
      <c r="BW153" s="1452"/>
      <c r="CA153" s="1457" t="str">
        <f t="shared" si="106"/>
        <v/>
      </c>
      <c r="CB153" s="1457" t="str">
        <f t="shared" si="107"/>
        <v/>
      </c>
      <c r="CC153" s="1457" t="str">
        <f t="shared" si="108"/>
        <v/>
      </c>
      <c r="CD153" s="1457" t="str">
        <f t="shared" si="109"/>
        <v/>
      </c>
      <c r="CE153" s="1457" t="str">
        <f t="shared" si="119"/>
        <v/>
      </c>
      <c r="CF153" s="1457" t="str">
        <f t="shared" si="120"/>
        <v/>
      </c>
      <c r="CG153" s="1457" t="str">
        <f t="shared" si="110"/>
        <v/>
      </c>
      <c r="DA153" s="1458">
        <f t="shared" si="111"/>
        <v>0</v>
      </c>
      <c r="DB153" s="1458">
        <f t="shared" si="112"/>
        <v>0</v>
      </c>
      <c r="DC153" s="1458">
        <f t="shared" si="113"/>
        <v>0</v>
      </c>
      <c r="DD153" s="1458">
        <f t="shared" si="114"/>
        <v>0</v>
      </c>
      <c r="DE153" s="1458">
        <f t="shared" si="121"/>
        <v>0</v>
      </c>
      <c r="DF153" s="1458">
        <f t="shared" si="122"/>
        <v>0</v>
      </c>
      <c r="DG153" s="1458">
        <f t="shared" si="115"/>
        <v>0</v>
      </c>
    </row>
    <row r="154" spans="1:111" ht="16.350000000000001" customHeight="1" x14ac:dyDescent="0.2">
      <c r="A154" s="9401" t="s">
        <v>2096</v>
      </c>
      <c r="B154" s="9402"/>
      <c r="C154" s="9403"/>
      <c r="D154" s="5104">
        <f t="shared" si="116"/>
        <v>0</v>
      </c>
      <c r="E154" s="2985">
        <f t="shared" si="117"/>
        <v>0</v>
      </c>
      <c r="F154" s="1879">
        <f t="shared" si="118"/>
        <v>0</v>
      </c>
      <c r="G154" s="2885"/>
      <c r="H154" s="1882"/>
      <c r="I154" s="2915"/>
      <c r="J154" s="1882"/>
      <c r="K154" s="2915"/>
      <c r="L154" s="1882"/>
      <c r="M154" s="2915"/>
      <c r="N154" s="1882"/>
      <c r="O154" s="3068"/>
      <c r="P154" s="1882"/>
      <c r="Q154" s="3068"/>
      <c r="R154" s="1882"/>
      <c r="S154" s="3068"/>
      <c r="T154" s="1882"/>
      <c r="U154" s="2915"/>
      <c r="V154" s="1882"/>
      <c r="W154" s="2915"/>
      <c r="X154" s="1882"/>
      <c r="Y154" s="2915"/>
      <c r="Z154" s="1882"/>
      <c r="AA154" s="2915"/>
      <c r="AB154" s="1882"/>
      <c r="AC154" s="2915"/>
      <c r="AD154" s="1882"/>
      <c r="AE154" s="2915"/>
      <c r="AF154" s="1882"/>
      <c r="AG154" s="2915"/>
      <c r="AH154" s="1882"/>
      <c r="AI154" s="2915"/>
      <c r="AJ154" s="1882"/>
      <c r="AK154" s="2915"/>
      <c r="AL154" s="1882"/>
      <c r="AM154" s="2915"/>
      <c r="AN154" s="1882"/>
      <c r="AO154" s="2915"/>
      <c r="AP154" s="3029"/>
      <c r="AQ154" s="2889"/>
      <c r="AR154" s="2877"/>
      <c r="AS154" s="4026"/>
      <c r="AT154" s="4026"/>
      <c r="AU154" s="4026"/>
      <c r="AV154" s="4026"/>
      <c r="AW154" s="4026"/>
      <c r="AX154" s="4026"/>
      <c r="AY154" s="1529" t="str">
        <f t="shared" si="105"/>
        <v/>
      </c>
      <c r="BV154" s="1452"/>
      <c r="BW154" s="1452"/>
      <c r="CA154" s="1457" t="str">
        <f t="shared" si="106"/>
        <v/>
      </c>
      <c r="CB154" s="1457" t="str">
        <f t="shared" si="107"/>
        <v/>
      </c>
      <c r="CC154" s="1457" t="str">
        <f t="shared" si="108"/>
        <v/>
      </c>
      <c r="CD154" s="1457" t="str">
        <f t="shared" si="109"/>
        <v/>
      </c>
      <c r="CE154" s="1457" t="str">
        <f t="shared" si="119"/>
        <v/>
      </c>
      <c r="CF154" s="1457" t="str">
        <f t="shared" si="120"/>
        <v/>
      </c>
      <c r="CG154" s="1457" t="str">
        <f t="shared" si="110"/>
        <v/>
      </c>
      <c r="DA154" s="1458">
        <f t="shared" si="111"/>
        <v>0</v>
      </c>
      <c r="DB154" s="1458">
        <f t="shared" si="112"/>
        <v>0</v>
      </c>
      <c r="DC154" s="1458">
        <f t="shared" si="113"/>
        <v>0</v>
      </c>
      <c r="DD154" s="1458">
        <f t="shared" si="114"/>
        <v>0</v>
      </c>
      <c r="DE154" s="1458">
        <f t="shared" si="121"/>
        <v>0</v>
      </c>
      <c r="DF154" s="1458">
        <f t="shared" si="122"/>
        <v>0</v>
      </c>
      <c r="DG154" s="1458">
        <f t="shared" si="115"/>
        <v>0</v>
      </c>
    </row>
    <row r="155" spans="1:111" ht="16.350000000000001" customHeight="1" x14ac:dyDescent="0.2">
      <c r="A155" s="9404" t="s">
        <v>2097</v>
      </c>
      <c r="B155" s="9405"/>
      <c r="C155" s="9406"/>
      <c r="D155" s="5104">
        <f t="shared" si="116"/>
        <v>0</v>
      </c>
      <c r="E155" s="2985">
        <f t="shared" si="117"/>
        <v>0</v>
      </c>
      <c r="F155" s="1879">
        <f t="shared" si="118"/>
        <v>0</v>
      </c>
      <c r="G155" s="2885"/>
      <c r="H155" s="1882"/>
      <c r="I155" s="2915"/>
      <c r="J155" s="1882"/>
      <c r="K155" s="2915"/>
      <c r="L155" s="1882"/>
      <c r="M155" s="2915"/>
      <c r="N155" s="1882"/>
      <c r="O155" s="3068"/>
      <c r="P155" s="1882"/>
      <c r="Q155" s="3068"/>
      <c r="R155" s="1882"/>
      <c r="S155" s="3068"/>
      <c r="T155" s="1882"/>
      <c r="U155" s="2915"/>
      <c r="V155" s="1882"/>
      <c r="W155" s="2915"/>
      <c r="X155" s="1882"/>
      <c r="Y155" s="2915"/>
      <c r="Z155" s="1882"/>
      <c r="AA155" s="2915"/>
      <c r="AB155" s="1882"/>
      <c r="AC155" s="2915"/>
      <c r="AD155" s="1882"/>
      <c r="AE155" s="2915"/>
      <c r="AF155" s="1882"/>
      <c r="AG155" s="2915"/>
      <c r="AH155" s="1882"/>
      <c r="AI155" s="2915"/>
      <c r="AJ155" s="1882"/>
      <c r="AK155" s="2915"/>
      <c r="AL155" s="1882"/>
      <c r="AM155" s="2915"/>
      <c r="AN155" s="1882"/>
      <c r="AO155" s="2915"/>
      <c r="AP155" s="3029"/>
      <c r="AQ155" s="2889"/>
      <c r="AR155" s="2877"/>
      <c r="AS155" s="4026"/>
      <c r="AT155" s="4026"/>
      <c r="AU155" s="4026"/>
      <c r="AV155" s="4026"/>
      <c r="AW155" s="4026"/>
      <c r="AX155" s="4026"/>
      <c r="AY155" s="1529" t="str">
        <f t="shared" si="105"/>
        <v/>
      </c>
      <c r="BV155" s="1452"/>
      <c r="BW155" s="1452"/>
      <c r="CA155" s="1457" t="str">
        <f t="shared" si="106"/>
        <v/>
      </c>
      <c r="CB155" s="1457" t="str">
        <f t="shared" si="107"/>
        <v/>
      </c>
      <c r="CC155" s="1457" t="str">
        <f t="shared" si="108"/>
        <v/>
      </c>
      <c r="CD155" s="1457" t="str">
        <f t="shared" si="109"/>
        <v/>
      </c>
      <c r="CE155" s="1457" t="str">
        <f t="shared" si="119"/>
        <v/>
      </c>
      <c r="CF155" s="1457" t="str">
        <f t="shared" si="120"/>
        <v/>
      </c>
      <c r="CG155" s="1457" t="str">
        <f t="shared" si="110"/>
        <v/>
      </c>
      <c r="DA155" s="1458">
        <f t="shared" si="111"/>
        <v>0</v>
      </c>
      <c r="DB155" s="1458">
        <f t="shared" si="112"/>
        <v>0</v>
      </c>
      <c r="DC155" s="1458">
        <f t="shared" si="113"/>
        <v>0</v>
      </c>
      <c r="DD155" s="1458">
        <f t="shared" si="114"/>
        <v>0</v>
      </c>
      <c r="DE155" s="1458">
        <f t="shared" si="121"/>
        <v>0</v>
      </c>
      <c r="DF155" s="1458">
        <f t="shared" si="122"/>
        <v>0</v>
      </c>
      <c r="DG155" s="1458">
        <f t="shared" si="115"/>
        <v>0</v>
      </c>
    </row>
    <row r="156" spans="1:111" ht="16.350000000000001" customHeight="1" x14ac:dyDescent="0.2">
      <c r="A156" s="9407" t="s">
        <v>1119</v>
      </c>
      <c r="B156" s="9407"/>
      <c r="C156" s="9408"/>
      <c r="D156" s="5103">
        <f t="shared" si="116"/>
        <v>0</v>
      </c>
      <c r="E156" s="2985">
        <f>SUM(G156+I156+K156+M156+O156+Q156+S156+U156+W156+Y156+AA156+AC156+AE156+AG156+AI156+AK156+AM156+AO156)</f>
        <v>0</v>
      </c>
      <c r="F156" s="1879">
        <f t="shared" si="118"/>
        <v>0</v>
      </c>
      <c r="G156" s="3248"/>
      <c r="H156" s="2884"/>
      <c r="I156" s="2533"/>
      <c r="J156" s="2884"/>
      <c r="K156" s="2533"/>
      <c r="L156" s="2884"/>
      <c r="M156" s="2533"/>
      <c r="N156" s="2884"/>
      <c r="O156" s="2891"/>
      <c r="P156" s="2884"/>
      <c r="Q156" s="2891"/>
      <c r="R156" s="2884"/>
      <c r="S156" s="2891"/>
      <c r="T156" s="2884"/>
      <c r="U156" s="2533"/>
      <c r="V156" s="2884"/>
      <c r="W156" s="2533"/>
      <c r="X156" s="2884"/>
      <c r="Y156" s="2533"/>
      <c r="Z156" s="2884"/>
      <c r="AA156" s="2533"/>
      <c r="AB156" s="2884"/>
      <c r="AC156" s="2533"/>
      <c r="AD156" s="2884"/>
      <c r="AE156" s="2533"/>
      <c r="AF156" s="2884"/>
      <c r="AG156" s="2533"/>
      <c r="AH156" s="2884"/>
      <c r="AI156" s="2533"/>
      <c r="AJ156" s="2884"/>
      <c r="AK156" s="2533"/>
      <c r="AL156" s="2884"/>
      <c r="AM156" s="2533"/>
      <c r="AN156" s="2884"/>
      <c r="AO156" s="2533"/>
      <c r="AP156" s="2893"/>
      <c r="AQ156" s="3279"/>
      <c r="AR156" s="2889"/>
      <c r="AS156" s="3600"/>
      <c r="AT156" s="3213"/>
      <c r="AU156" s="3213"/>
      <c r="AV156" s="3213"/>
      <c r="AW156" s="3213"/>
      <c r="AX156" s="3213"/>
      <c r="AY156" s="1529" t="str">
        <f t="shared" si="105"/>
        <v/>
      </c>
      <c r="BV156" s="1452"/>
      <c r="BW156" s="1452"/>
      <c r="CA156" s="1457" t="str">
        <f t="shared" si="106"/>
        <v/>
      </c>
      <c r="CB156" s="1457" t="str">
        <f t="shared" si="107"/>
        <v/>
      </c>
      <c r="CC156" s="1457" t="str">
        <f t="shared" si="108"/>
        <v/>
      </c>
      <c r="CD156" s="1457" t="str">
        <f t="shared" si="109"/>
        <v/>
      </c>
      <c r="CE156" s="1457" t="str">
        <f t="shared" si="119"/>
        <v/>
      </c>
      <c r="CF156" s="1457" t="str">
        <f t="shared" si="120"/>
        <v/>
      </c>
      <c r="CG156" s="1457" t="str">
        <f t="shared" si="110"/>
        <v/>
      </c>
      <c r="DA156" s="1458">
        <f t="shared" si="111"/>
        <v>0</v>
      </c>
      <c r="DB156" s="1458">
        <f t="shared" si="112"/>
        <v>0</v>
      </c>
      <c r="DC156" s="1458">
        <f t="shared" si="113"/>
        <v>0</v>
      </c>
      <c r="DD156" s="1458">
        <f t="shared" si="114"/>
        <v>0</v>
      </c>
      <c r="DE156" s="1458">
        <f t="shared" si="121"/>
        <v>0</v>
      </c>
      <c r="DF156" s="1458">
        <f t="shared" si="122"/>
        <v>0</v>
      </c>
      <c r="DG156" s="1458">
        <f t="shared" si="115"/>
        <v>0</v>
      </c>
    </row>
    <row r="157" spans="1:111" ht="16.350000000000001" customHeight="1" x14ac:dyDescent="0.2">
      <c r="A157" s="9056" t="s">
        <v>24</v>
      </c>
      <c r="B157" s="9057"/>
      <c r="C157" s="9068"/>
      <c r="D157" s="5093">
        <f>SUM(D148:D156)</f>
        <v>0</v>
      </c>
      <c r="E157" s="5092">
        <f>SUM(E148:E156)</f>
        <v>0</v>
      </c>
      <c r="F157" s="5096">
        <f>SUM(F148:F156)</f>
        <v>0</v>
      </c>
      <c r="G157" s="5105">
        <f t="shared" ref="G157:AT157" si="123">SUM(G148:G156)</f>
        <v>0</v>
      </c>
      <c r="H157" s="5096">
        <f t="shared" si="123"/>
        <v>0</v>
      </c>
      <c r="I157" s="5105">
        <f t="shared" si="123"/>
        <v>0</v>
      </c>
      <c r="J157" s="5106">
        <f t="shared" si="123"/>
        <v>0</v>
      </c>
      <c r="K157" s="5105">
        <f t="shared" si="123"/>
        <v>0</v>
      </c>
      <c r="L157" s="5106">
        <f t="shared" si="123"/>
        <v>0</v>
      </c>
      <c r="M157" s="5105">
        <f t="shared" si="123"/>
        <v>0</v>
      </c>
      <c r="N157" s="5096">
        <f t="shared" si="123"/>
        <v>0</v>
      </c>
      <c r="O157" s="5105">
        <f t="shared" si="123"/>
        <v>0</v>
      </c>
      <c r="P157" s="5096">
        <f t="shared" si="123"/>
        <v>0</v>
      </c>
      <c r="Q157" s="5105">
        <f t="shared" si="123"/>
        <v>0</v>
      </c>
      <c r="R157" s="5096">
        <f t="shared" si="123"/>
        <v>0</v>
      </c>
      <c r="S157" s="5105">
        <f t="shared" si="123"/>
        <v>0</v>
      </c>
      <c r="T157" s="5096">
        <f t="shared" si="123"/>
        <v>0</v>
      </c>
      <c r="U157" s="5105">
        <f t="shared" si="123"/>
        <v>0</v>
      </c>
      <c r="V157" s="5096">
        <f t="shared" si="123"/>
        <v>0</v>
      </c>
      <c r="W157" s="5105">
        <f t="shared" si="123"/>
        <v>0</v>
      </c>
      <c r="X157" s="5096">
        <f t="shared" si="123"/>
        <v>0</v>
      </c>
      <c r="Y157" s="5105">
        <f t="shared" si="123"/>
        <v>0</v>
      </c>
      <c r="Z157" s="5096">
        <f t="shared" si="123"/>
        <v>0</v>
      </c>
      <c r="AA157" s="5105">
        <f t="shared" si="123"/>
        <v>0</v>
      </c>
      <c r="AB157" s="5096">
        <f t="shared" si="123"/>
        <v>0</v>
      </c>
      <c r="AC157" s="5105">
        <f t="shared" si="123"/>
        <v>0</v>
      </c>
      <c r="AD157" s="5096">
        <f t="shared" si="123"/>
        <v>0</v>
      </c>
      <c r="AE157" s="5105">
        <f t="shared" si="123"/>
        <v>0</v>
      </c>
      <c r="AF157" s="5096">
        <f t="shared" si="123"/>
        <v>0</v>
      </c>
      <c r="AG157" s="5105">
        <f t="shared" si="123"/>
        <v>0</v>
      </c>
      <c r="AH157" s="5096">
        <f t="shared" si="123"/>
        <v>0</v>
      </c>
      <c r="AI157" s="5105">
        <f t="shared" si="123"/>
        <v>0</v>
      </c>
      <c r="AJ157" s="5096">
        <f t="shared" si="123"/>
        <v>0</v>
      </c>
      <c r="AK157" s="5105">
        <f t="shared" si="123"/>
        <v>0</v>
      </c>
      <c r="AL157" s="5096">
        <f t="shared" si="123"/>
        <v>0</v>
      </c>
      <c r="AM157" s="5105">
        <f t="shared" si="123"/>
        <v>0</v>
      </c>
      <c r="AN157" s="5096">
        <f t="shared" si="123"/>
        <v>0</v>
      </c>
      <c r="AO157" s="5105">
        <f t="shared" si="123"/>
        <v>0</v>
      </c>
      <c r="AP157" s="5098">
        <f t="shared" si="123"/>
        <v>0</v>
      </c>
      <c r="AQ157" s="5096">
        <f t="shared" si="123"/>
        <v>0</v>
      </c>
      <c r="AR157" s="5097">
        <f t="shared" si="123"/>
        <v>0</v>
      </c>
      <c r="AS157" s="5096">
        <f t="shared" si="123"/>
        <v>0</v>
      </c>
      <c r="AT157" s="5107">
        <f t="shared" si="123"/>
        <v>0</v>
      </c>
      <c r="AU157" s="5107">
        <f>SUM(AU148:AU156)</f>
        <v>0</v>
      </c>
      <c r="AV157" s="5107">
        <f>SUM(AV148:AV156)</f>
        <v>0</v>
      </c>
      <c r="AW157" s="5107">
        <f>SUM(AW148:AW156)</f>
        <v>0</v>
      </c>
      <c r="AX157" s="5107">
        <f>SUM(AX148:AX156)</f>
        <v>0</v>
      </c>
      <c r="BV157" s="1452"/>
      <c r="BW157" s="1452"/>
      <c r="CA157" s="1457"/>
      <c r="CB157" s="1457"/>
      <c r="CC157" s="1457"/>
      <c r="CD157" s="1457"/>
      <c r="DA157" s="1458"/>
      <c r="DB157" s="1458"/>
      <c r="DC157" s="1458"/>
      <c r="DD157" s="1458"/>
      <c r="DE157" s="1454"/>
      <c r="DF157" s="1454"/>
      <c r="DG157" s="1454"/>
    </row>
    <row r="158" spans="1:111" ht="27" customHeight="1" x14ac:dyDescent="0.2">
      <c r="A158" s="133" t="s">
        <v>1118</v>
      </c>
      <c r="B158" s="685"/>
      <c r="C158" s="685"/>
      <c r="D158" s="685"/>
      <c r="E158" s="214"/>
      <c r="F158" s="214"/>
      <c r="G158" s="214"/>
      <c r="H158" s="214"/>
      <c r="I158" s="214"/>
      <c r="J158" s="214"/>
      <c r="K158" s="214"/>
      <c r="L158" s="214"/>
      <c r="M158" s="214"/>
      <c r="N158" s="214"/>
      <c r="O158" s="214"/>
      <c r="P158" s="214"/>
      <c r="Q158" s="802"/>
      <c r="R158" s="235"/>
      <c r="S158" s="290"/>
      <c r="T158" s="290"/>
      <c r="U158" s="290"/>
      <c r="V158" s="290"/>
      <c r="W158" s="290"/>
      <c r="X158" s="301"/>
      <c r="Y158" s="290"/>
      <c r="Z158" s="290"/>
      <c r="AA158" s="290"/>
      <c r="AB158" s="290"/>
      <c r="AC158" s="290"/>
      <c r="AD158" s="290"/>
      <c r="AE158" s="290"/>
      <c r="AF158" s="290"/>
      <c r="BV158" s="1452"/>
      <c r="BW158" s="1452"/>
      <c r="CA158" s="1457"/>
      <c r="CB158" s="1457"/>
      <c r="CC158" s="1457"/>
      <c r="CD158" s="1457"/>
      <c r="DA158" s="1458"/>
      <c r="DB158" s="1458"/>
      <c r="DC158" s="1458"/>
      <c r="DD158" s="1458"/>
      <c r="DE158" s="1454"/>
      <c r="DF158" s="1454"/>
      <c r="DG158" s="1454"/>
    </row>
    <row r="159" spans="1:111" ht="16.350000000000001" customHeight="1" x14ac:dyDescent="0.2">
      <c r="A159" s="9321" t="s">
        <v>1117</v>
      </c>
      <c r="B159" s="8619"/>
      <c r="C159" s="9280"/>
      <c r="D159" s="9341" t="s">
        <v>24</v>
      </c>
      <c r="E159" s="9098"/>
      <c r="F159" s="9140"/>
      <c r="G159" s="9306" t="s">
        <v>1061</v>
      </c>
      <c r="H159" s="9308"/>
      <c r="I159" s="9308"/>
      <c r="J159" s="9308"/>
      <c r="K159" s="9308"/>
      <c r="L159" s="9308"/>
      <c r="M159" s="9308"/>
      <c r="N159" s="9308"/>
      <c r="O159" s="9308"/>
      <c r="P159" s="9308"/>
      <c r="Q159" s="9308"/>
      <c r="R159" s="9308"/>
      <c r="S159" s="9308"/>
      <c r="T159" s="9308"/>
      <c r="U159" s="9308"/>
      <c r="V159" s="9308"/>
      <c r="W159" s="9308"/>
      <c r="X159" s="9308"/>
      <c r="Y159" s="9308"/>
      <c r="Z159" s="9308"/>
      <c r="AA159" s="9308"/>
      <c r="AB159" s="9308"/>
      <c r="AC159" s="9308"/>
      <c r="AD159" s="9308"/>
      <c r="AE159" s="9308"/>
      <c r="AF159" s="9308"/>
      <c r="AG159" s="9308"/>
      <c r="AH159" s="9308"/>
      <c r="AI159" s="9308"/>
      <c r="AJ159" s="9308"/>
      <c r="AK159" s="9308"/>
      <c r="AL159" s="9308"/>
      <c r="AM159" s="9308"/>
      <c r="AN159" s="9308"/>
      <c r="AO159" s="9308"/>
      <c r="AP159" s="9307"/>
      <c r="AQ159" s="9415" t="s">
        <v>1735</v>
      </c>
      <c r="AR159" s="9350" t="s">
        <v>2546</v>
      </c>
      <c r="AS159" s="9378" t="s">
        <v>2996</v>
      </c>
      <c r="AT159" s="9378" t="s">
        <v>2685</v>
      </c>
      <c r="AU159" s="7212"/>
      <c r="AV159" s="9379" t="s">
        <v>3676</v>
      </c>
      <c r="AW159" s="9303" t="s">
        <v>3677</v>
      </c>
      <c r="AY159" s="165"/>
      <c r="AZ159" s="199"/>
      <c r="BV159" s="1452"/>
      <c r="BW159" s="1452"/>
      <c r="CA159" s="1457"/>
      <c r="CB159" s="1457"/>
      <c r="CC159" s="1457"/>
      <c r="CD159" s="1457"/>
      <c r="DA159" s="1458"/>
      <c r="DB159" s="1458"/>
      <c r="DC159" s="1458"/>
      <c r="DD159" s="1458"/>
      <c r="DE159" s="1454"/>
      <c r="DF159" s="1454"/>
      <c r="DG159" s="1454"/>
    </row>
    <row r="160" spans="1:111" ht="32.1" customHeight="1" x14ac:dyDescent="0.2">
      <c r="A160" s="9227"/>
      <c r="B160" s="9254"/>
      <c r="C160" s="9296"/>
      <c r="D160" s="8166"/>
      <c r="E160" s="8130"/>
      <c r="F160" s="8151"/>
      <c r="G160" s="9304" t="s">
        <v>3667</v>
      </c>
      <c r="H160" s="9305"/>
      <c r="I160" s="9306" t="s">
        <v>1077</v>
      </c>
      <c r="J160" s="9307"/>
      <c r="K160" s="9308" t="s">
        <v>1076</v>
      </c>
      <c r="L160" s="9307"/>
      <c r="M160" s="9306" t="s">
        <v>3668</v>
      </c>
      <c r="N160" s="9307"/>
      <c r="O160" s="9306" t="s">
        <v>1075</v>
      </c>
      <c r="P160" s="9307"/>
      <c r="Q160" s="9306" t="s">
        <v>1074</v>
      </c>
      <c r="R160" s="9307"/>
      <c r="S160" s="9306" t="s">
        <v>1045</v>
      </c>
      <c r="T160" s="9307"/>
      <c r="U160" s="9306" t="s">
        <v>1044</v>
      </c>
      <c r="V160" s="9307"/>
      <c r="W160" s="9306" t="s">
        <v>3669</v>
      </c>
      <c r="X160" s="9307"/>
      <c r="Y160" s="9306" t="s">
        <v>48</v>
      </c>
      <c r="Z160" s="9309"/>
      <c r="AA160" s="9306" t="s">
        <v>49</v>
      </c>
      <c r="AB160" s="9309"/>
      <c r="AC160" s="9421" t="s">
        <v>3736</v>
      </c>
      <c r="AD160" s="9422"/>
      <c r="AE160" s="9421" t="s">
        <v>3737</v>
      </c>
      <c r="AF160" s="9422"/>
      <c r="AG160" s="9421" t="s">
        <v>3738</v>
      </c>
      <c r="AH160" s="9422"/>
      <c r="AI160" s="9421" t="s">
        <v>3739</v>
      </c>
      <c r="AJ160" s="9422"/>
      <c r="AK160" s="9306" t="s">
        <v>2127</v>
      </c>
      <c r="AL160" s="9309"/>
      <c r="AM160" s="9306" t="s">
        <v>2128</v>
      </c>
      <c r="AN160" s="9309"/>
      <c r="AO160" s="9306" t="s">
        <v>2126</v>
      </c>
      <c r="AP160" s="9309"/>
      <c r="AQ160" s="8470"/>
      <c r="AR160" s="9352"/>
      <c r="AS160" s="9378"/>
      <c r="AT160" s="9378"/>
      <c r="AU160" s="7210" t="s">
        <v>359</v>
      </c>
      <c r="AV160" s="9380"/>
      <c r="AW160" s="9081"/>
      <c r="AY160" s="165"/>
      <c r="AZ160" s="199"/>
      <c r="BV160" s="1452"/>
      <c r="BW160" s="1452"/>
      <c r="CA160" s="1457"/>
      <c r="CB160" s="1457"/>
      <c r="CC160" s="1457"/>
      <c r="CD160" s="1457"/>
      <c r="DA160" s="1458"/>
      <c r="DB160" s="1458"/>
      <c r="DC160" s="1458"/>
      <c r="DD160" s="1458"/>
      <c r="DE160" s="1454"/>
      <c r="DF160" s="1454"/>
      <c r="DG160" s="1454"/>
    </row>
    <row r="161" spans="1:111" ht="16.350000000000001" customHeight="1" x14ac:dyDescent="0.2">
      <c r="A161" s="9322"/>
      <c r="B161" s="9297"/>
      <c r="C161" s="9298"/>
      <c r="D161" s="4020" t="s">
        <v>42</v>
      </c>
      <c r="E161" s="4989" t="s">
        <v>17</v>
      </c>
      <c r="F161" s="5022" t="s">
        <v>18</v>
      </c>
      <c r="G161" s="3921" t="s">
        <v>17</v>
      </c>
      <c r="H161" s="4960" t="s">
        <v>18</v>
      </c>
      <c r="I161" s="3921" t="s">
        <v>17</v>
      </c>
      <c r="J161" s="4960" t="s">
        <v>18</v>
      </c>
      <c r="K161" s="3921" t="s">
        <v>17</v>
      </c>
      <c r="L161" s="4960" t="s">
        <v>18</v>
      </c>
      <c r="M161" s="3921" t="s">
        <v>17</v>
      </c>
      <c r="N161" s="4960" t="s">
        <v>18</v>
      </c>
      <c r="O161" s="3921" t="s">
        <v>17</v>
      </c>
      <c r="P161" s="4960" t="s">
        <v>18</v>
      </c>
      <c r="Q161" s="3921" t="s">
        <v>17</v>
      </c>
      <c r="R161" s="4960" t="s">
        <v>18</v>
      </c>
      <c r="S161" s="3921" t="s">
        <v>17</v>
      </c>
      <c r="T161" s="4960" t="s">
        <v>18</v>
      </c>
      <c r="U161" s="3921" t="s">
        <v>17</v>
      </c>
      <c r="V161" s="4960" t="s">
        <v>18</v>
      </c>
      <c r="W161" s="3921" t="s">
        <v>17</v>
      </c>
      <c r="X161" s="4960" t="s">
        <v>18</v>
      </c>
      <c r="Y161" s="3921" t="s">
        <v>17</v>
      </c>
      <c r="Z161" s="4960" t="s">
        <v>18</v>
      </c>
      <c r="AA161" s="3921" t="s">
        <v>17</v>
      </c>
      <c r="AB161" s="4960" t="s">
        <v>18</v>
      </c>
      <c r="AC161" s="3921" t="s">
        <v>17</v>
      </c>
      <c r="AD161" s="4960" t="s">
        <v>18</v>
      </c>
      <c r="AE161" s="3921" t="s">
        <v>17</v>
      </c>
      <c r="AF161" s="4960" t="s">
        <v>18</v>
      </c>
      <c r="AG161" s="3921" t="s">
        <v>17</v>
      </c>
      <c r="AH161" s="4960" t="s">
        <v>18</v>
      </c>
      <c r="AI161" s="3921" t="s">
        <v>17</v>
      </c>
      <c r="AJ161" s="4960" t="s">
        <v>18</v>
      </c>
      <c r="AK161" s="3921" t="s">
        <v>17</v>
      </c>
      <c r="AL161" s="4960" t="s">
        <v>18</v>
      </c>
      <c r="AM161" s="3921" t="s">
        <v>17</v>
      </c>
      <c r="AN161" s="4960" t="s">
        <v>18</v>
      </c>
      <c r="AO161" s="3921" t="s">
        <v>17</v>
      </c>
      <c r="AP161" s="4960" t="s">
        <v>18</v>
      </c>
      <c r="AQ161" s="9416"/>
      <c r="AR161" s="9354"/>
      <c r="AS161" s="9378"/>
      <c r="AT161" s="9378"/>
      <c r="AU161" s="7213"/>
      <c r="AV161" s="9381"/>
      <c r="AW161" s="9108"/>
      <c r="AY161" s="165"/>
      <c r="AZ161" s="199"/>
      <c r="BV161" s="1452"/>
      <c r="BW161" s="1452"/>
      <c r="CA161" s="1457"/>
      <c r="CB161" s="1457"/>
      <c r="CC161" s="1457"/>
      <c r="CD161" s="1457"/>
      <c r="DA161" s="1458"/>
      <c r="DB161" s="1458"/>
      <c r="DC161" s="1458"/>
      <c r="DD161" s="1458"/>
      <c r="DE161" s="1454"/>
      <c r="DF161" s="1454"/>
      <c r="DG161" s="1454"/>
    </row>
    <row r="162" spans="1:111" ht="16.350000000000001" customHeight="1" x14ac:dyDescent="0.2">
      <c r="A162" s="8197" t="s">
        <v>1116</v>
      </c>
      <c r="B162" s="9417" t="s">
        <v>1115</v>
      </c>
      <c r="C162" s="9418"/>
      <c r="D162" s="5108">
        <f t="shared" ref="D162:D172" si="124">SUM(F162)</f>
        <v>0</v>
      </c>
      <c r="E162" s="5109"/>
      <c r="F162" s="5110">
        <f>SUM(AD162+AF162+AH162+AJ162+AL162+AN162+AP162)</f>
        <v>0</v>
      </c>
      <c r="G162" s="5111"/>
      <c r="H162" s="5112"/>
      <c r="I162" s="5111"/>
      <c r="J162" s="5112"/>
      <c r="K162" s="5111"/>
      <c r="L162" s="5112"/>
      <c r="M162" s="5111"/>
      <c r="N162" s="5112"/>
      <c r="O162" s="5111"/>
      <c r="P162" s="5112"/>
      <c r="Q162" s="5111"/>
      <c r="R162" s="5112"/>
      <c r="S162" s="5111"/>
      <c r="T162" s="5112"/>
      <c r="U162" s="5111"/>
      <c r="V162" s="5112"/>
      <c r="W162" s="5111"/>
      <c r="X162" s="5112"/>
      <c r="Y162" s="5111"/>
      <c r="Z162" s="5112"/>
      <c r="AA162" s="5111"/>
      <c r="AB162" s="5112"/>
      <c r="AC162" s="5113"/>
      <c r="AD162" s="4975"/>
      <c r="AE162" s="5113"/>
      <c r="AF162" s="4975"/>
      <c r="AG162" s="5113"/>
      <c r="AH162" s="4975"/>
      <c r="AI162" s="5113"/>
      <c r="AJ162" s="4975"/>
      <c r="AK162" s="5113"/>
      <c r="AL162" s="4975"/>
      <c r="AM162" s="5113"/>
      <c r="AN162" s="4975"/>
      <c r="AO162" s="5113"/>
      <c r="AP162" s="4975"/>
      <c r="AQ162" s="5114"/>
      <c r="AR162" s="4975"/>
      <c r="AS162" s="4023"/>
      <c r="AT162" s="4023"/>
      <c r="AU162" s="7217"/>
      <c r="AV162" s="5115"/>
      <c r="AW162" s="7120"/>
      <c r="AX162" s="1529" t="str">
        <f t="shared" ref="AX162:AX198" si="125">$CA162&amp;$CB162&amp;$CC162&amp;$CD162&amp;$CE162&amp;$CF162&amp;$CG162&amp;$CH162</f>
        <v/>
      </c>
      <c r="AY162" s="165"/>
      <c r="AZ162" s="199"/>
      <c r="BV162" s="1452"/>
      <c r="BW162" s="1452"/>
      <c r="CA162" s="1457" t="str">
        <f>IF(DA162=1,"* El número de actividades en usuarios en situacion de discapacidad NO DEBE ser mayor al total. ","")</f>
        <v/>
      </c>
      <c r="CB162" s="1457" t="str">
        <f>IF(DB162=1," * El número de actividades en Niños, Niñas, Adolescentes y Jóvenes de la red SENAME NO DEBE ser mayor al total. ","")</f>
        <v/>
      </c>
      <c r="CC162" s="1457" t="str">
        <f>IF(DC162=1," * El número de actividades en Niños, Niñas, Adolescentes y Jóvenes de la red Mejor Niñez NO DEBE ser mayor al total. ","")</f>
        <v/>
      </c>
      <c r="CD162" s="1457" t="str">
        <f>IF(DD162=1," * El número de actividades en Población Migrante NO DEBE ser mayor al total. ","")</f>
        <v/>
      </c>
      <c r="CE162" s="1457"/>
      <c r="DA162" s="1458">
        <f>IF($D162&lt;AR162,1,0)</f>
        <v>0</v>
      </c>
      <c r="DB162" s="1458">
        <f>IF($D162&lt;AS162,1,0)</f>
        <v>0</v>
      </c>
      <c r="DC162" s="1458">
        <f>IF($D162&lt;AT162,1,0)</f>
        <v>0</v>
      </c>
      <c r="DD162" s="1458">
        <f>IF($D162&lt;AU162,1,0)</f>
        <v>0</v>
      </c>
      <c r="DE162" s="1458"/>
      <c r="DF162" s="1454"/>
      <c r="DG162" s="1454"/>
    </row>
    <row r="163" spans="1:111" ht="16.350000000000001" customHeight="1" x14ac:dyDescent="0.2">
      <c r="A163" s="8274"/>
      <c r="B163" s="9419" t="s">
        <v>1091</v>
      </c>
      <c r="C163" s="9420"/>
      <c r="D163" s="5116">
        <f t="shared" si="124"/>
        <v>0</v>
      </c>
      <c r="E163" s="5117"/>
      <c r="F163" s="5118">
        <f t="shared" ref="F163:F172" si="126">SUM(AD163+AF163+AH163+AJ163+AL163+AN163+AP163)</f>
        <v>0</v>
      </c>
      <c r="G163" s="3809"/>
      <c r="H163" s="3810"/>
      <c r="I163" s="3809"/>
      <c r="J163" s="3810"/>
      <c r="K163" s="3809"/>
      <c r="L163" s="3810"/>
      <c r="M163" s="3809"/>
      <c r="N163" s="3810"/>
      <c r="O163" s="3809"/>
      <c r="P163" s="3810"/>
      <c r="Q163" s="3809"/>
      <c r="R163" s="3810"/>
      <c r="S163" s="3809"/>
      <c r="T163" s="3810"/>
      <c r="U163" s="3809"/>
      <c r="V163" s="3810"/>
      <c r="W163" s="3809"/>
      <c r="X163" s="3810"/>
      <c r="Y163" s="3809"/>
      <c r="Z163" s="3810"/>
      <c r="AA163" s="3809"/>
      <c r="AB163" s="3810"/>
      <c r="AC163" s="3811"/>
      <c r="AD163" s="3059"/>
      <c r="AE163" s="3811"/>
      <c r="AF163" s="3059"/>
      <c r="AG163" s="3811"/>
      <c r="AH163" s="3059"/>
      <c r="AI163" s="3811"/>
      <c r="AJ163" s="3059"/>
      <c r="AK163" s="3811"/>
      <c r="AL163" s="3059"/>
      <c r="AM163" s="3811"/>
      <c r="AN163" s="3059"/>
      <c r="AO163" s="3811"/>
      <c r="AP163" s="3059"/>
      <c r="AQ163" s="2505"/>
      <c r="AR163" s="3059"/>
      <c r="AS163" s="2877"/>
      <c r="AT163" s="2877"/>
      <c r="AU163" s="3600"/>
      <c r="AV163" s="5119"/>
      <c r="AW163" s="4026"/>
      <c r="AX163" s="1529" t="str">
        <f t="shared" si="125"/>
        <v/>
      </c>
      <c r="AY163" s="165"/>
      <c r="AZ163" s="199"/>
      <c r="BV163" s="1452"/>
      <c r="BW163" s="1452"/>
      <c r="CA163" s="1457" t="str">
        <f>IF(DA163=1,"* El número de actividades en usuarios en situacion de discapacidad NO DEBE ser mayor al total. ","")</f>
        <v/>
      </c>
      <c r="CB163" s="1457" t="str">
        <f>IF(DB163=1," * El número de actividades en Niños, Niñas, Adolescentes y Jóvenes de la red SENAME NO DEBE ser mayor al total. ","")</f>
        <v/>
      </c>
      <c r="CC163" s="1457" t="str">
        <f t="shared" ref="CC163:CC198" si="127">IF(DC163=1," * El número de actividades en Niños, Niñas, Adolescentes y Jóvenes de la red Mejor Niñez NO DEBE ser mayor al total. ","")</f>
        <v/>
      </c>
      <c r="CD163" s="1457" t="str">
        <f>IF(DD163=1," * El número de actividades en Población Migrante NO DEBE ser mayor al total. ","")</f>
        <v/>
      </c>
      <c r="CE163" s="1457" t="str">
        <f>IF(DE163=1," * El número de actividades en Pacientes Diabéticos en Control PSCV NO DEBE superar el total. ","")</f>
        <v/>
      </c>
      <c r="DA163" s="1458">
        <f>IF($D163&lt;AR163,1,0)</f>
        <v>0</v>
      </c>
      <c r="DB163" s="1458">
        <f t="shared" ref="DB163:DB198" si="128">IF($D163&lt;AS163,1,0)</f>
        <v>0</v>
      </c>
      <c r="DC163" s="1458">
        <f t="shared" ref="DC163:DC198" si="129">IF($D163&lt;AT163,1,0)</f>
        <v>0</v>
      </c>
      <c r="DD163" s="1458">
        <f t="shared" ref="DD163:DD198" si="130">IF($D163&lt;AU163,1,0)</f>
        <v>0</v>
      </c>
      <c r="DE163" s="1458">
        <f>IF($D163&lt;AW163,1,0)</f>
        <v>0</v>
      </c>
      <c r="DF163" s="1454"/>
      <c r="DG163" s="1454"/>
    </row>
    <row r="164" spans="1:111" ht="16.350000000000001" customHeight="1" x14ac:dyDescent="0.2">
      <c r="A164" s="8274"/>
      <c r="B164" s="9423" t="s">
        <v>1034</v>
      </c>
      <c r="C164" s="9424"/>
      <c r="D164" s="5116">
        <f t="shared" si="124"/>
        <v>0</v>
      </c>
      <c r="E164" s="5121"/>
      <c r="F164" s="5118">
        <f t="shared" si="126"/>
        <v>0</v>
      </c>
      <c r="G164" s="3809"/>
      <c r="H164" s="3810"/>
      <c r="I164" s="3809"/>
      <c r="J164" s="3810"/>
      <c r="K164" s="3809"/>
      <c r="L164" s="3810"/>
      <c r="M164" s="3809"/>
      <c r="N164" s="3810"/>
      <c r="O164" s="3809"/>
      <c r="P164" s="3810"/>
      <c r="Q164" s="3809"/>
      <c r="R164" s="3810"/>
      <c r="S164" s="3809"/>
      <c r="T164" s="3810"/>
      <c r="U164" s="3809"/>
      <c r="V164" s="3810"/>
      <c r="W164" s="3809"/>
      <c r="X164" s="3810"/>
      <c r="Y164" s="3809"/>
      <c r="Z164" s="3810"/>
      <c r="AA164" s="3809"/>
      <c r="AB164" s="3810"/>
      <c r="AC164" s="3828"/>
      <c r="AD164" s="3331"/>
      <c r="AE164" s="3828"/>
      <c r="AF164" s="3331"/>
      <c r="AG164" s="3828"/>
      <c r="AH164" s="3331"/>
      <c r="AI164" s="3828"/>
      <c r="AJ164" s="3331"/>
      <c r="AK164" s="3828"/>
      <c r="AL164" s="3331"/>
      <c r="AM164" s="3828"/>
      <c r="AN164" s="3331"/>
      <c r="AO164" s="3828"/>
      <c r="AP164" s="3331"/>
      <c r="AQ164" s="4958"/>
      <c r="AR164" s="4956"/>
      <c r="AS164" s="2889"/>
      <c r="AT164" s="2889"/>
      <c r="AU164" s="3600"/>
      <c r="AV164" s="5122"/>
      <c r="AW164" s="1226"/>
      <c r="AX164" s="1529" t="str">
        <f t="shared" si="125"/>
        <v/>
      </c>
      <c r="AY164" s="165"/>
      <c r="AZ164" s="199"/>
      <c r="BV164" s="1452"/>
      <c r="BW164" s="1452"/>
      <c r="CA164" s="1457" t="str">
        <f>IF(DA164=1,"* El número de actividades en usuarios en situacion de discapacidad NO DEBE ser mayor al total. ","")</f>
        <v/>
      </c>
      <c r="CB164" s="1457" t="str">
        <f>IF(DB164=1," * El número de actividades en Niños, Niñas, Adolescentes y Jóvenes de la red SENAME NO DEBE ser mayor al total. ","")</f>
        <v/>
      </c>
      <c r="CC164" s="1457" t="str">
        <f t="shared" si="127"/>
        <v/>
      </c>
      <c r="CD164" s="1457" t="str">
        <f>IF(DD164=1," * El número de actividades en Población Migrante NO DEBE ser mayor al total. ","")</f>
        <v/>
      </c>
      <c r="CE164" s="1457" t="str">
        <f>IF(DE164=1," * El número de actividades en Pacientes Diabéticos en Control PSCV NO DEBE superar el total. ","")</f>
        <v/>
      </c>
      <c r="DA164" s="1458">
        <f>IF($D164&lt;AR164,1,0)</f>
        <v>0</v>
      </c>
      <c r="DB164" s="1458">
        <f t="shared" si="128"/>
        <v>0</v>
      </c>
      <c r="DC164" s="1458">
        <f t="shared" si="129"/>
        <v>0</v>
      </c>
      <c r="DD164" s="1458">
        <f t="shared" si="130"/>
        <v>0</v>
      </c>
      <c r="DE164" s="1458">
        <f>IF($D164&lt;AW164,1,0)</f>
        <v>0</v>
      </c>
      <c r="DF164" s="1454"/>
      <c r="DG164" s="1454"/>
    </row>
    <row r="165" spans="1:111" ht="16.350000000000001" customHeight="1" x14ac:dyDescent="0.2">
      <c r="A165" s="8274"/>
      <c r="B165" s="9338" t="s">
        <v>1114</v>
      </c>
      <c r="C165" s="9340"/>
      <c r="D165" s="3323">
        <f t="shared" si="124"/>
        <v>0</v>
      </c>
      <c r="E165" s="5123"/>
      <c r="F165" s="5124">
        <f t="shared" si="126"/>
        <v>0</v>
      </c>
      <c r="G165" s="3327"/>
      <c r="H165" s="2945"/>
      <c r="I165" s="3327"/>
      <c r="J165" s="2945"/>
      <c r="K165" s="3327"/>
      <c r="L165" s="2945"/>
      <c r="M165" s="3327"/>
      <c r="N165" s="2945"/>
      <c r="O165" s="3327"/>
      <c r="P165" s="2945"/>
      <c r="Q165" s="3327"/>
      <c r="R165" s="2945"/>
      <c r="S165" s="3327"/>
      <c r="T165" s="2945"/>
      <c r="U165" s="3327"/>
      <c r="V165" s="2945"/>
      <c r="W165" s="3327"/>
      <c r="X165" s="2945"/>
      <c r="Y165" s="3327"/>
      <c r="Z165" s="2945"/>
      <c r="AA165" s="3327"/>
      <c r="AB165" s="2945"/>
      <c r="AC165" s="5125"/>
      <c r="AD165" s="2884"/>
      <c r="AE165" s="5125"/>
      <c r="AF165" s="2884"/>
      <c r="AG165" s="5125"/>
      <c r="AH165" s="2884"/>
      <c r="AI165" s="5125"/>
      <c r="AJ165" s="2884"/>
      <c r="AK165" s="5125"/>
      <c r="AL165" s="2884"/>
      <c r="AM165" s="5125"/>
      <c r="AN165" s="2884"/>
      <c r="AO165" s="5125"/>
      <c r="AP165" s="2884"/>
      <c r="AQ165" s="2546"/>
      <c r="AR165" s="2884"/>
      <c r="AS165" s="3249"/>
      <c r="AT165" s="3249"/>
      <c r="AU165" s="3329"/>
      <c r="AV165" s="3813"/>
      <c r="AW165" s="7121"/>
      <c r="AX165" s="1529" t="str">
        <f t="shared" si="125"/>
        <v/>
      </c>
      <c r="AY165" s="165"/>
      <c r="AZ165" s="199"/>
      <c r="BV165" s="1452"/>
      <c r="BW165" s="1452"/>
      <c r="CA165" s="1457" t="str">
        <f>IF(DA165=1,"* El número de actividades en usuarios en situacion de discapacidad NO DEBE ser mayor al total. ","")</f>
        <v/>
      </c>
      <c r="CB165" s="1457" t="str">
        <f>IF(DB165=1," * El número de actividades en Niños, Niñas, Adolescentes y Jóvenes de la red SENAME NO DEBE ser mayor al total. ","")</f>
        <v/>
      </c>
      <c r="CC165" s="1457" t="str">
        <f t="shared" si="127"/>
        <v/>
      </c>
      <c r="CD165" s="1457" t="str">
        <f>IF(DD165=1," * El número de actividades en Población Migrante NO DEBE ser mayor al total. ","")</f>
        <v/>
      </c>
      <c r="CE165" s="1457"/>
      <c r="DA165" s="1458">
        <f>IF($D165&lt;AR165,1,0)</f>
        <v>0</v>
      </c>
      <c r="DB165" s="1458">
        <f t="shared" si="128"/>
        <v>0</v>
      </c>
      <c r="DC165" s="1458">
        <f t="shared" si="129"/>
        <v>0</v>
      </c>
      <c r="DD165" s="1458">
        <f t="shared" si="130"/>
        <v>0</v>
      </c>
      <c r="DE165" s="1458"/>
      <c r="DF165" s="1454"/>
      <c r="DG165" s="1454"/>
    </row>
    <row r="166" spans="1:111" ht="16.350000000000001" customHeight="1" x14ac:dyDescent="0.2">
      <c r="A166" s="8274"/>
      <c r="B166" s="8197" t="s">
        <v>1094</v>
      </c>
      <c r="C166" s="4034" t="s">
        <v>24</v>
      </c>
      <c r="D166" s="3816">
        <f t="shared" si="124"/>
        <v>0</v>
      </c>
      <c r="E166" s="5123"/>
      <c r="F166" s="5107">
        <f t="shared" si="126"/>
        <v>0</v>
      </c>
      <c r="G166" s="5019"/>
      <c r="H166" s="4075"/>
      <c r="I166" s="5019"/>
      <c r="J166" s="4075"/>
      <c r="K166" s="5019"/>
      <c r="L166" s="4075"/>
      <c r="M166" s="5019"/>
      <c r="N166" s="4075"/>
      <c r="O166" s="5019"/>
      <c r="P166" s="4075"/>
      <c r="Q166" s="5019"/>
      <c r="R166" s="4075"/>
      <c r="S166" s="5019"/>
      <c r="T166" s="4075"/>
      <c r="U166" s="5019"/>
      <c r="V166" s="4075"/>
      <c r="W166" s="5019"/>
      <c r="X166" s="4075"/>
      <c r="Y166" s="5019"/>
      <c r="Z166" s="4075"/>
      <c r="AA166" s="5019"/>
      <c r="AB166" s="4075"/>
      <c r="AC166" s="5126"/>
      <c r="AD166" s="4069">
        <f t="shared" ref="AD166:AW166" si="131">SUM(AD167:AD172)</f>
        <v>0</v>
      </c>
      <c r="AE166" s="5126"/>
      <c r="AF166" s="4069">
        <f t="shared" si="131"/>
        <v>0</v>
      </c>
      <c r="AG166" s="5126"/>
      <c r="AH166" s="4069">
        <f t="shared" si="131"/>
        <v>0</v>
      </c>
      <c r="AI166" s="5126"/>
      <c r="AJ166" s="4069">
        <f t="shared" si="131"/>
        <v>0</v>
      </c>
      <c r="AK166" s="5126"/>
      <c r="AL166" s="4069">
        <f t="shared" si="131"/>
        <v>0</v>
      </c>
      <c r="AM166" s="5126"/>
      <c r="AN166" s="4069">
        <f t="shared" si="131"/>
        <v>0</v>
      </c>
      <c r="AO166" s="5126"/>
      <c r="AP166" s="4069">
        <f t="shared" si="131"/>
        <v>0</v>
      </c>
      <c r="AQ166" s="5127">
        <f>SUM(AQ167:AQ172)</f>
        <v>0</v>
      </c>
      <c r="AR166" s="4069">
        <f t="shared" si="131"/>
        <v>0</v>
      </c>
      <c r="AS166" s="4984">
        <f>SUM(AS167:AS172)</f>
        <v>0</v>
      </c>
      <c r="AT166" s="4984">
        <f>SUM(AT167:AT172)</f>
        <v>0</v>
      </c>
      <c r="AU166" s="4984">
        <f>SUM(AU167:AU172)</f>
        <v>0</v>
      </c>
      <c r="AV166" s="4988">
        <f t="shared" si="131"/>
        <v>0</v>
      </c>
      <c r="AW166" s="4984">
        <f t="shared" si="131"/>
        <v>0</v>
      </c>
      <c r="AX166" s="1529"/>
      <c r="AY166" s="165"/>
      <c r="AZ166" s="199"/>
      <c r="BV166" s="1452"/>
      <c r="BW166" s="1452"/>
      <c r="CA166" s="1457"/>
      <c r="CB166" s="1457"/>
      <c r="CC166" s="1457"/>
      <c r="CD166" s="1457"/>
      <c r="CE166" s="1457"/>
      <c r="DA166" s="1458"/>
      <c r="DB166" s="1458"/>
      <c r="DC166" s="1458"/>
      <c r="DD166" s="1458"/>
      <c r="DE166" s="1458"/>
      <c r="DF166" s="1454"/>
      <c r="DG166" s="1454"/>
    </row>
    <row r="167" spans="1:111" ht="16.350000000000001" customHeight="1" x14ac:dyDescent="0.2">
      <c r="A167" s="8274"/>
      <c r="B167" s="8274"/>
      <c r="C167" s="4944" t="s">
        <v>1113</v>
      </c>
      <c r="D167" s="5128">
        <f t="shared" si="124"/>
        <v>0</v>
      </c>
      <c r="E167" s="5109"/>
      <c r="F167" s="5129">
        <f>SUM(AD167+AF167+AH167+AJ167+AL167+AN167+AP167)</f>
        <v>0</v>
      </c>
      <c r="G167" s="3809"/>
      <c r="H167" s="3810"/>
      <c r="I167" s="3809"/>
      <c r="J167" s="3810"/>
      <c r="K167" s="3809"/>
      <c r="L167" s="3810"/>
      <c r="M167" s="3809"/>
      <c r="N167" s="3810"/>
      <c r="O167" s="3809"/>
      <c r="P167" s="3810"/>
      <c r="Q167" s="3809"/>
      <c r="R167" s="3810"/>
      <c r="S167" s="3809"/>
      <c r="T167" s="3810"/>
      <c r="U167" s="3809"/>
      <c r="V167" s="3810"/>
      <c r="W167" s="3809"/>
      <c r="X167" s="3810"/>
      <c r="Y167" s="3809"/>
      <c r="Z167" s="3810"/>
      <c r="AA167" s="3809"/>
      <c r="AB167" s="3810"/>
      <c r="AC167" s="3811"/>
      <c r="AD167" s="3059"/>
      <c r="AE167" s="3811"/>
      <c r="AF167" s="3059"/>
      <c r="AG167" s="3811"/>
      <c r="AH167" s="3059"/>
      <c r="AI167" s="3811"/>
      <c r="AJ167" s="3059"/>
      <c r="AK167" s="3811"/>
      <c r="AL167" s="3059"/>
      <c r="AM167" s="3811"/>
      <c r="AN167" s="3059"/>
      <c r="AO167" s="3811"/>
      <c r="AP167" s="3059"/>
      <c r="AQ167" s="2505"/>
      <c r="AR167" s="3059"/>
      <c r="AS167" s="2877"/>
      <c r="AT167" s="2877"/>
      <c r="AU167" s="2877"/>
      <c r="AV167" s="4026"/>
      <c r="AW167" s="2877"/>
      <c r="AX167" s="1529" t="str">
        <f t="shared" si="125"/>
        <v/>
      </c>
      <c r="AY167" s="165"/>
      <c r="AZ167" s="199"/>
      <c r="BV167" s="1452"/>
      <c r="BW167" s="1452"/>
      <c r="CA167" s="1457" t="str">
        <f t="shared" ref="CA167:CA177" si="132">IF(DA167=1,"* El número de actividades en usuarios en situacion de discapacidad NO DEBE ser mayor al total. ","")</f>
        <v/>
      </c>
      <c r="CB167" s="1457" t="str">
        <f t="shared" ref="CB167:CB177" si="133">IF(DB167=1," * El número de actividades en Niños, Niñas, Adolescentes y Jóvenes de la red SENAME NO DEBE ser mayor al total. ","")</f>
        <v/>
      </c>
      <c r="CC167" s="1457" t="str">
        <f t="shared" si="127"/>
        <v/>
      </c>
      <c r="CD167" s="1457" t="str">
        <f t="shared" ref="CD167:CD177" si="134">IF(DD167=1," * El número de actividades en Población Migrante NO DEBE ser mayor al total. ","")</f>
        <v/>
      </c>
      <c r="CE167" s="1457" t="str">
        <f t="shared" ref="CE167:CE177" si="135">IF(DE167=1," * El número de actividades en Pacientes Diabéticos en Control PSCV NO DEBE superar el total. ","")</f>
        <v/>
      </c>
      <c r="DA167" s="1458">
        <f t="shared" ref="DA167:DA177" si="136">IF($D167&lt;AR167,1,0)</f>
        <v>0</v>
      </c>
      <c r="DB167" s="1458">
        <f t="shared" si="128"/>
        <v>0</v>
      </c>
      <c r="DC167" s="1458">
        <f t="shared" si="129"/>
        <v>0</v>
      </c>
      <c r="DD167" s="1458">
        <f t="shared" si="130"/>
        <v>0</v>
      </c>
      <c r="DE167" s="1458">
        <f t="shared" ref="DE167:DE177" si="137">IF($D167&lt;AW167,1,0)</f>
        <v>0</v>
      </c>
      <c r="DF167" s="1454"/>
      <c r="DG167" s="1454"/>
    </row>
    <row r="168" spans="1:111" ht="16.350000000000001" customHeight="1" x14ac:dyDescent="0.2">
      <c r="A168" s="8274"/>
      <c r="B168" s="8274"/>
      <c r="C168" s="5130" t="s">
        <v>1112</v>
      </c>
      <c r="D168" s="5128">
        <f t="shared" si="124"/>
        <v>0</v>
      </c>
      <c r="E168" s="5117"/>
      <c r="F168" s="5118">
        <f t="shared" si="126"/>
        <v>0</v>
      </c>
      <c r="G168" s="2909"/>
      <c r="H168" s="1888"/>
      <c r="I168" s="2909"/>
      <c r="J168" s="1888"/>
      <c r="K168" s="2909"/>
      <c r="L168" s="1888"/>
      <c r="M168" s="2909"/>
      <c r="N168" s="1888"/>
      <c r="O168" s="2909"/>
      <c r="P168" s="1888"/>
      <c r="Q168" s="2909"/>
      <c r="R168" s="1888"/>
      <c r="S168" s="2909"/>
      <c r="T168" s="1888"/>
      <c r="U168" s="2909"/>
      <c r="V168" s="1888"/>
      <c r="W168" s="2909"/>
      <c r="X168" s="1888"/>
      <c r="Y168" s="2909"/>
      <c r="Z168" s="1888"/>
      <c r="AA168" s="2909"/>
      <c r="AB168" s="1888"/>
      <c r="AC168" s="3811"/>
      <c r="AD168" s="3059"/>
      <c r="AE168" s="3811"/>
      <c r="AF168" s="3059"/>
      <c r="AG168" s="3811"/>
      <c r="AH168" s="3059"/>
      <c r="AI168" s="3811"/>
      <c r="AJ168" s="3059"/>
      <c r="AK168" s="3811"/>
      <c r="AL168" s="3059"/>
      <c r="AM168" s="3811"/>
      <c r="AN168" s="3059"/>
      <c r="AO168" s="3811"/>
      <c r="AP168" s="3059"/>
      <c r="AQ168" s="2505"/>
      <c r="AR168" s="3059"/>
      <c r="AS168" s="2877"/>
      <c r="AT168" s="2877"/>
      <c r="AU168" s="2877"/>
      <c r="AV168" s="4026"/>
      <c r="AW168" s="2877"/>
      <c r="AX168" s="1529" t="str">
        <f t="shared" si="125"/>
        <v/>
      </c>
      <c r="AY168" s="165"/>
      <c r="AZ168" s="199"/>
      <c r="BV168" s="1452"/>
      <c r="BW168" s="1452"/>
      <c r="CA168" s="1457" t="str">
        <f t="shared" si="132"/>
        <v/>
      </c>
      <c r="CB168" s="1457" t="str">
        <f t="shared" si="133"/>
        <v/>
      </c>
      <c r="CC168" s="1457" t="str">
        <f t="shared" si="127"/>
        <v/>
      </c>
      <c r="CD168" s="1457" t="str">
        <f t="shared" si="134"/>
        <v/>
      </c>
      <c r="CE168" s="1457" t="str">
        <f t="shared" si="135"/>
        <v/>
      </c>
      <c r="DA168" s="1458">
        <f t="shared" si="136"/>
        <v>0</v>
      </c>
      <c r="DB168" s="1458">
        <f t="shared" si="128"/>
        <v>0</v>
      </c>
      <c r="DC168" s="1458">
        <f t="shared" si="129"/>
        <v>0</v>
      </c>
      <c r="DD168" s="1458">
        <f t="shared" si="130"/>
        <v>0</v>
      </c>
      <c r="DE168" s="1458">
        <f t="shared" si="137"/>
        <v>0</v>
      </c>
      <c r="DF168" s="1454"/>
      <c r="DG168" s="1454"/>
    </row>
    <row r="169" spans="1:111" ht="16.350000000000001" customHeight="1" x14ac:dyDescent="0.2">
      <c r="A169" s="8274"/>
      <c r="B169" s="8274"/>
      <c r="C169" s="4944" t="s">
        <v>1111</v>
      </c>
      <c r="D169" s="5128">
        <f t="shared" si="124"/>
        <v>0</v>
      </c>
      <c r="E169" s="5117"/>
      <c r="F169" s="5118">
        <f t="shared" si="126"/>
        <v>0</v>
      </c>
      <c r="G169" s="3809"/>
      <c r="H169" s="3810"/>
      <c r="I169" s="3809"/>
      <c r="J169" s="3810"/>
      <c r="K169" s="3809"/>
      <c r="L169" s="3810"/>
      <c r="M169" s="3809"/>
      <c r="N169" s="3810"/>
      <c r="O169" s="3809"/>
      <c r="P169" s="3810"/>
      <c r="Q169" s="3809"/>
      <c r="R169" s="3810"/>
      <c r="S169" s="3809"/>
      <c r="T169" s="3810"/>
      <c r="U169" s="3809"/>
      <c r="V169" s="3810"/>
      <c r="W169" s="3809"/>
      <c r="X169" s="3810"/>
      <c r="Y169" s="3809"/>
      <c r="Z169" s="3810"/>
      <c r="AA169" s="3809"/>
      <c r="AB169" s="3810"/>
      <c r="AC169" s="3811"/>
      <c r="AD169" s="3059"/>
      <c r="AE169" s="3811"/>
      <c r="AF169" s="3059"/>
      <c r="AG169" s="3811"/>
      <c r="AH169" s="3059"/>
      <c r="AI169" s="3811"/>
      <c r="AJ169" s="3059"/>
      <c r="AK169" s="3811"/>
      <c r="AL169" s="3059"/>
      <c r="AM169" s="3811"/>
      <c r="AN169" s="3059"/>
      <c r="AO169" s="3811"/>
      <c r="AP169" s="3059"/>
      <c r="AQ169" s="2505"/>
      <c r="AR169" s="3059"/>
      <c r="AS169" s="2877"/>
      <c r="AT169" s="2877"/>
      <c r="AU169" s="2877"/>
      <c r="AV169" s="4026"/>
      <c r="AW169" s="2877"/>
      <c r="AX169" s="1529" t="str">
        <f t="shared" si="125"/>
        <v/>
      </c>
      <c r="AY169" s="165"/>
      <c r="AZ169" s="199"/>
      <c r="BV169" s="1452"/>
      <c r="BW169" s="1452"/>
      <c r="CA169" s="1457" t="str">
        <f t="shared" si="132"/>
        <v/>
      </c>
      <c r="CB169" s="1457" t="str">
        <f t="shared" si="133"/>
        <v/>
      </c>
      <c r="CC169" s="1457" t="str">
        <f t="shared" si="127"/>
        <v/>
      </c>
      <c r="CD169" s="1457" t="str">
        <f t="shared" si="134"/>
        <v/>
      </c>
      <c r="CE169" s="1457" t="str">
        <f t="shared" si="135"/>
        <v/>
      </c>
      <c r="DA169" s="1458">
        <f t="shared" si="136"/>
        <v>0</v>
      </c>
      <c r="DB169" s="1458">
        <f t="shared" si="128"/>
        <v>0</v>
      </c>
      <c r="DC169" s="1458">
        <f t="shared" si="129"/>
        <v>0</v>
      </c>
      <c r="DD169" s="1458">
        <f t="shared" si="130"/>
        <v>0</v>
      </c>
      <c r="DE169" s="1458">
        <f t="shared" si="137"/>
        <v>0</v>
      </c>
      <c r="DF169" s="1454"/>
      <c r="DG169" s="1454"/>
    </row>
    <row r="170" spans="1:111" ht="16.350000000000001" customHeight="1" x14ac:dyDescent="0.2">
      <c r="A170" s="8274"/>
      <c r="B170" s="8274"/>
      <c r="C170" s="4944" t="s">
        <v>1110</v>
      </c>
      <c r="D170" s="5128">
        <f t="shared" si="124"/>
        <v>0</v>
      </c>
      <c r="E170" s="5117"/>
      <c r="F170" s="5118">
        <f t="shared" si="126"/>
        <v>0</v>
      </c>
      <c r="G170" s="3809"/>
      <c r="H170" s="3810"/>
      <c r="I170" s="3809"/>
      <c r="J170" s="3810"/>
      <c r="K170" s="3809"/>
      <c r="L170" s="3810"/>
      <c r="M170" s="3809"/>
      <c r="N170" s="3810"/>
      <c r="O170" s="3809"/>
      <c r="P170" s="3810"/>
      <c r="Q170" s="3809"/>
      <c r="R170" s="3810"/>
      <c r="S170" s="3809"/>
      <c r="T170" s="3810"/>
      <c r="U170" s="3809"/>
      <c r="V170" s="3810"/>
      <c r="W170" s="3809"/>
      <c r="X170" s="3810"/>
      <c r="Y170" s="3809"/>
      <c r="Z170" s="3810"/>
      <c r="AA170" s="3809"/>
      <c r="AB170" s="3810"/>
      <c r="AC170" s="3811"/>
      <c r="AD170" s="3059"/>
      <c r="AE170" s="3811"/>
      <c r="AF170" s="3059"/>
      <c r="AG170" s="3811"/>
      <c r="AH170" s="3059"/>
      <c r="AI170" s="3811"/>
      <c r="AJ170" s="3059"/>
      <c r="AK170" s="3811"/>
      <c r="AL170" s="3059"/>
      <c r="AM170" s="3811"/>
      <c r="AN170" s="3059"/>
      <c r="AO170" s="3811"/>
      <c r="AP170" s="3059"/>
      <c r="AQ170" s="2505"/>
      <c r="AR170" s="3600"/>
      <c r="AS170" s="2877"/>
      <c r="AT170" s="2877"/>
      <c r="AU170" s="2877"/>
      <c r="AV170" s="4026"/>
      <c r="AW170" s="2877"/>
      <c r="AX170" s="1529" t="str">
        <f t="shared" si="125"/>
        <v/>
      </c>
      <c r="AY170" s="165"/>
      <c r="AZ170" s="199"/>
      <c r="BV170" s="1452"/>
      <c r="BW170" s="1452"/>
      <c r="CA170" s="1457" t="str">
        <f t="shared" si="132"/>
        <v/>
      </c>
      <c r="CB170" s="1457" t="str">
        <f t="shared" si="133"/>
        <v/>
      </c>
      <c r="CC170" s="1457" t="str">
        <f t="shared" si="127"/>
        <v/>
      </c>
      <c r="CD170" s="1457" t="str">
        <f t="shared" si="134"/>
        <v/>
      </c>
      <c r="CE170" s="1457" t="str">
        <f t="shared" si="135"/>
        <v/>
      </c>
      <c r="DA170" s="1458">
        <f t="shared" si="136"/>
        <v>0</v>
      </c>
      <c r="DB170" s="1458">
        <f t="shared" si="128"/>
        <v>0</v>
      </c>
      <c r="DC170" s="1458">
        <f t="shared" si="129"/>
        <v>0</v>
      </c>
      <c r="DD170" s="1458">
        <f t="shared" si="130"/>
        <v>0</v>
      </c>
      <c r="DE170" s="1458">
        <f t="shared" si="137"/>
        <v>0</v>
      </c>
      <c r="DF170" s="1454"/>
      <c r="DG170" s="1454"/>
    </row>
    <row r="171" spans="1:111" ht="16.350000000000001" customHeight="1" x14ac:dyDescent="0.2">
      <c r="A171" s="8274"/>
      <c r="B171" s="8274"/>
      <c r="C171" s="5130" t="s">
        <v>1109</v>
      </c>
      <c r="D171" s="5128">
        <f t="shared" si="124"/>
        <v>0</v>
      </c>
      <c r="E171" s="5117"/>
      <c r="F171" s="5118">
        <f t="shared" si="126"/>
        <v>0</v>
      </c>
      <c r="G171" s="2909"/>
      <c r="H171" s="1888"/>
      <c r="I171" s="2909"/>
      <c r="J171" s="1888"/>
      <c r="K171" s="2909"/>
      <c r="L171" s="1888"/>
      <c r="M171" s="2909"/>
      <c r="N171" s="1888"/>
      <c r="O171" s="2909"/>
      <c r="P171" s="1888"/>
      <c r="Q171" s="2909"/>
      <c r="R171" s="1888"/>
      <c r="S171" s="2909"/>
      <c r="T171" s="1888"/>
      <c r="U171" s="2909"/>
      <c r="V171" s="1888"/>
      <c r="W171" s="2909"/>
      <c r="X171" s="1888"/>
      <c r="Y171" s="2909"/>
      <c r="Z171" s="1888"/>
      <c r="AA171" s="2909"/>
      <c r="AB171" s="1888"/>
      <c r="AC171" s="3811"/>
      <c r="AD171" s="3059"/>
      <c r="AE171" s="3811"/>
      <c r="AF171" s="3059"/>
      <c r="AG171" s="3811"/>
      <c r="AH171" s="3059"/>
      <c r="AI171" s="3811"/>
      <c r="AJ171" s="3059"/>
      <c r="AK171" s="3811"/>
      <c r="AL171" s="3059"/>
      <c r="AM171" s="3811"/>
      <c r="AN171" s="3059"/>
      <c r="AO171" s="3811"/>
      <c r="AP171" s="3059"/>
      <c r="AQ171" s="5131"/>
      <c r="AR171" s="4026"/>
      <c r="AS171" s="2889"/>
      <c r="AT171" s="2889"/>
      <c r="AU171" s="2877"/>
      <c r="AV171" s="4026"/>
      <c r="AW171" s="2877"/>
      <c r="AX171" s="1529" t="str">
        <f t="shared" si="125"/>
        <v/>
      </c>
      <c r="AY171" s="165"/>
      <c r="AZ171" s="199"/>
      <c r="BV171" s="1452"/>
      <c r="BW171" s="1452"/>
      <c r="CA171" s="1457" t="str">
        <f t="shared" si="132"/>
        <v/>
      </c>
      <c r="CB171" s="1457" t="str">
        <f t="shared" si="133"/>
        <v/>
      </c>
      <c r="CC171" s="1457" t="str">
        <f t="shared" si="127"/>
        <v/>
      </c>
      <c r="CD171" s="1457" t="str">
        <f t="shared" si="134"/>
        <v/>
      </c>
      <c r="CE171" s="1457" t="str">
        <f t="shared" si="135"/>
        <v/>
      </c>
      <c r="DA171" s="1458">
        <f t="shared" si="136"/>
        <v>0</v>
      </c>
      <c r="DB171" s="1458">
        <f t="shared" si="128"/>
        <v>0</v>
      </c>
      <c r="DC171" s="1458">
        <f t="shared" si="129"/>
        <v>0</v>
      </c>
      <c r="DD171" s="1458">
        <f t="shared" si="130"/>
        <v>0</v>
      </c>
      <c r="DE171" s="1458">
        <f t="shared" si="137"/>
        <v>0</v>
      </c>
      <c r="DF171" s="1454"/>
      <c r="DG171" s="1454"/>
    </row>
    <row r="172" spans="1:111" ht="16.350000000000001" customHeight="1" x14ac:dyDescent="0.2">
      <c r="A172" s="9302"/>
      <c r="B172" s="9302"/>
      <c r="C172" s="4944" t="s">
        <v>1108</v>
      </c>
      <c r="D172" s="3323">
        <f t="shared" si="124"/>
        <v>0</v>
      </c>
      <c r="E172" s="5121"/>
      <c r="F172" s="5132">
        <f t="shared" si="126"/>
        <v>0</v>
      </c>
      <c r="G172" s="3809"/>
      <c r="H172" s="2976"/>
      <c r="I172" s="3809"/>
      <c r="J172" s="2976"/>
      <c r="K172" s="3809"/>
      <c r="L172" s="2976"/>
      <c r="M172" s="3809"/>
      <c r="N172" s="2976"/>
      <c r="O172" s="3809"/>
      <c r="P172" s="2976"/>
      <c r="Q172" s="3809"/>
      <c r="R172" s="2976"/>
      <c r="S172" s="3809"/>
      <c r="T172" s="2976"/>
      <c r="U172" s="3809"/>
      <c r="V172" s="2976"/>
      <c r="W172" s="3809"/>
      <c r="X172" s="2976"/>
      <c r="Y172" s="3809"/>
      <c r="Z172" s="2976"/>
      <c r="AA172" s="3809"/>
      <c r="AB172" s="2976"/>
      <c r="AC172" s="5125"/>
      <c r="AD172" s="3331"/>
      <c r="AE172" s="5125"/>
      <c r="AF172" s="3331"/>
      <c r="AG172" s="5125"/>
      <c r="AH172" s="3331"/>
      <c r="AI172" s="5125"/>
      <c r="AJ172" s="3331"/>
      <c r="AK172" s="5125"/>
      <c r="AL172" s="3331"/>
      <c r="AM172" s="5125"/>
      <c r="AN172" s="3331"/>
      <c r="AO172" s="5125"/>
      <c r="AP172" s="3331"/>
      <c r="AQ172" s="1056"/>
      <c r="AR172" s="3331"/>
      <c r="AS172" s="1145"/>
      <c r="AT172" s="1145"/>
      <c r="AU172" s="1145"/>
      <c r="AV172" s="1226"/>
      <c r="AW172" s="3329"/>
      <c r="AX172" s="1529" t="str">
        <f t="shared" si="125"/>
        <v/>
      </c>
      <c r="AY172" s="165"/>
      <c r="AZ172" s="199"/>
      <c r="BV172" s="1452"/>
      <c r="BW172" s="1452"/>
      <c r="CA172" s="1457" t="str">
        <f t="shared" si="132"/>
        <v/>
      </c>
      <c r="CB172" s="1457" t="str">
        <f t="shared" si="133"/>
        <v/>
      </c>
      <c r="CC172" s="1457" t="str">
        <f t="shared" si="127"/>
        <v/>
      </c>
      <c r="CD172" s="1457" t="str">
        <f t="shared" si="134"/>
        <v/>
      </c>
      <c r="CE172" s="1457" t="str">
        <f t="shared" si="135"/>
        <v/>
      </c>
      <c r="DA172" s="1458">
        <f t="shared" si="136"/>
        <v>0</v>
      </c>
      <c r="DB172" s="1458">
        <f t="shared" si="128"/>
        <v>0</v>
      </c>
      <c r="DC172" s="1458">
        <f t="shared" si="129"/>
        <v>0</v>
      </c>
      <c r="DD172" s="1458">
        <f t="shared" si="130"/>
        <v>0</v>
      </c>
      <c r="DE172" s="1458">
        <f t="shared" si="137"/>
        <v>0</v>
      </c>
      <c r="DF172" s="1454"/>
      <c r="DG172" s="1454"/>
    </row>
    <row r="173" spans="1:111" ht="16.350000000000001" customHeight="1" x14ac:dyDescent="0.2">
      <c r="A173" s="8197" t="s">
        <v>1107</v>
      </c>
      <c r="B173" s="8197" t="s">
        <v>1106</v>
      </c>
      <c r="C173" s="5133" t="s">
        <v>1091</v>
      </c>
      <c r="D173" s="5128">
        <f t="shared" ref="D173:D177" si="138">SUM(E173)</f>
        <v>0</v>
      </c>
      <c r="E173" s="5108">
        <f>SUM(AC173+AE173+AG173+AI173+AK173+AM173+AO173)</f>
        <v>0</v>
      </c>
      <c r="F173" s="5109"/>
      <c r="G173" s="5111"/>
      <c r="H173" s="5112"/>
      <c r="I173" s="5111"/>
      <c r="J173" s="5134"/>
      <c r="K173" s="5111"/>
      <c r="L173" s="5112"/>
      <c r="M173" s="5111"/>
      <c r="N173" s="5134"/>
      <c r="O173" s="5111"/>
      <c r="P173" s="5112"/>
      <c r="Q173" s="5111"/>
      <c r="R173" s="5134"/>
      <c r="S173" s="5111"/>
      <c r="T173" s="5112"/>
      <c r="U173" s="5111"/>
      <c r="V173" s="5134"/>
      <c r="W173" s="5111"/>
      <c r="X173" s="5112"/>
      <c r="Y173" s="5111"/>
      <c r="Z173" s="5134"/>
      <c r="AA173" s="5111"/>
      <c r="AB173" s="5134"/>
      <c r="AC173" s="4965"/>
      <c r="AD173" s="5135"/>
      <c r="AE173" s="4965"/>
      <c r="AF173" s="5135"/>
      <c r="AG173" s="4965"/>
      <c r="AH173" s="5135"/>
      <c r="AI173" s="4965"/>
      <c r="AJ173" s="5135"/>
      <c r="AK173" s="4965"/>
      <c r="AL173" s="5135"/>
      <c r="AM173" s="4965"/>
      <c r="AN173" s="5135"/>
      <c r="AO173" s="4965"/>
      <c r="AP173" s="5135"/>
      <c r="AQ173" s="7946"/>
      <c r="AR173" s="7214"/>
      <c r="AS173" s="4023"/>
      <c r="AT173" s="4023"/>
      <c r="AU173" s="7214"/>
      <c r="AV173" s="5115"/>
      <c r="AW173" s="2877"/>
      <c r="AX173" s="1529" t="str">
        <f t="shared" si="125"/>
        <v/>
      </c>
      <c r="AY173" s="165"/>
      <c r="AZ173" s="199"/>
      <c r="BV173" s="1452"/>
      <c r="BW173" s="1452"/>
      <c r="CA173" s="1457" t="str">
        <f t="shared" si="132"/>
        <v/>
      </c>
      <c r="CB173" s="1457" t="str">
        <f t="shared" si="133"/>
        <v/>
      </c>
      <c r="CC173" s="1457" t="str">
        <f t="shared" si="127"/>
        <v/>
      </c>
      <c r="CD173" s="1457" t="str">
        <f t="shared" si="134"/>
        <v/>
      </c>
      <c r="CE173" s="1457" t="str">
        <f t="shared" si="135"/>
        <v/>
      </c>
      <c r="DA173" s="1458">
        <f t="shared" si="136"/>
        <v>0</v>
      </c>
      <c r="DB173" s="1458">
        <f t="shared" si="128"/>
        <v>0</v>
      </c>
      <c r="DC173" s="1458">
        <f t="shared" si="129"/>
        <v>0</v>
      </c>
      <c r="DD173" s="1458">
        <f t="shared" si="130"/>
        <v>0</v>
      </c>
      <c r="DE173" s="1458">
        <f t="shared" si="137"/>
        <v>0</v>
      </c>
      <c r="DF173" s="1454"/>
      <c r="DG173" s="1454"/>
    </row>
    <row r="174" spans="1:111" ht="16.350000000000001" customHeight="1" x14ac:dyDescent="0.2">
      <c r="A174" s="8274"/>
      <c r="B174" s="8274"/>
      <c r="C174" s="5130" t="s">
        <v>1105</v>
      </c>
      <c r="D174" s="5128">
        <f t="shared" si="138"/>
        <v>0</v>
      </c>
      <c r="E174" s="5116">
        <f>SUM(AC174+AE174+AG174+AI174+AK174+AM174+AO174)</f>
        <v>0</v>
      </c>
      <c r="F174" s="5117"/>
      <c r="G174" s="2909"/>
      <c r="H174" s="1888"/>
      <c r="I174" s="2909"/>
      <c r="J174" s="3814"/>
      <c r="K174" s="2909"/>
      <c r="L174" s="1888"/>
      <c r="M174" s="2909"/>
      <c r="N174" s="3814"/>
      <c r="O174" s="2909"/>
      <c r="P174" s="1888"/>
      <c r="Q174" s="2909"/>
      <c r="R174" s="3814"/>
      <c r="S174" s="2909"/>
      <c r="T174" s="1888"/>
      <c r="U174" s="2909"/>
      <c r="V174" s="3814"/>
      <c r="W174" s="2909"/>
      <c r="X174" s="1888"/>
      <c r="Y174" s="2909"/>
      <c r="Z174" s="3814"/>
      <c r="AA174" s="2909"/>
      <c r="AB174" s="3814"/>
      <c r="AC174" s="2885"/>
      <c r="AD174" s="2834"/>
      <c r="AE174" s="2885"/>
      <c r="AF174" s="2834"/>
      <c r="AG174" s="2885"/>
      <c r="AH174" s="2834"/>
      <c r="AI174" s="2885"/>
      <c r="AJ174" s="2834"/>
      <c r="AK174" s="2885"/>
      <c r="AL174" s="2834"/>
      <c r="AM174" s="2885"/>
      <c r="AN174" s="2834"/>
      <c r="AO174" s="2885"/>
      <c r="AP174" s="2834"/>
      <c r="AQ174" s="4958"/>
      <c r="AR174" s="2877"/>
      <c r="AS174" s="2889"/>
      <c r="AT174" s="2889"/>
      <c r="AU174" s="2877"/>
      <c r="AV174" s="4026"/>
      <c r="AW174" s="2877"/>
      <c r="AX174" s="1529" t="str">
        <f t="shared" si="125"/>
        <v/>
      </c>
      <c r="AY174" s="165"/>
      <c r="AZ174" s="199"/>
      <c r="BV174" s="1452"/>
      <c r="BW174" s="1452"/>
      <c r="CA174" s="1457" t="str">
        <f t="shared" si="132"/>
        <v/>
      </c>
      <c r="CB174" s="1457" t="str">
        <f t="shared" si="133"/>
        <v/>
      </c>
      <c r="CC174" s="1457" t="str">
        <f t="shared" si="127"/>
        <v/>
      </c>
      <c r="CD174" s="1457" t="str">
        <f t="shared" si="134"/>
        <v/>
      </c>
      <c r="CE174" s="1457" t="str">
        <f t="shared" si="135"/>
        <v/>
      </c>
      <c r="DA174" s="1458">
        <f t="shared" si="136"/>
        <v>0</v>
      </c>
      <c r="DB174" s="1458">
        <f t="shared" si="128"/>
        <v>0</v>
      </c>
      <c r="DC174" s="1458">
        <f t="shared" si="129"/>
        <v>0</v>
      </c>
      <c r="DD174" s="1458">
        <f t="shared" si="130"/>
        <v>0</v>
      </c>
      <c r="DE174" s="1458">
        <f t="shared" si="137"/>
        <v>0</v>
      </c>
      <c r="DF174" s="1454"/>
      <c r="DG174" s="1454"/>
    </row>
    <row r="175" spans="1:111" ht="16.350000000000001" customHeight="1" x14ac:dyDescent="0.2">
      <c r="A175" s="8274"/>
      <c r="B175" s="8274"/>
      <c r="C175" s="5136" t="s">
        <v>1104</v>
      </c>
      <c r="D175" s="5128">
        <f t="shared" si="138"/>
        <v>0</v>
      </c>
      <c r="E175" s="5116">
        <f>SUM(AC175+AE175+AG175+AI175+AK175+AM175+AO175)</f>
        <v>0</v>
      </c>
      <c r="F175" s="5137"/>
      <c r="G175" s="2909"/>
      <c r="H175" s="1888"/>
      <c r="I175" s="2909"/>
      <c r="J175" s="3814"/>
      <c r="K175" s="2909"/>
      <c r="L175" s="1888"/>
      <c r="M175" s="2909"/>
      <c r="N175" s="3814"/>
      <c r="O175" s="2909"/>
      <c r="P175" s="1888"/>
      <c r="Q175" s="2909"/>
      <c r="R175" s="3814"/>
      <c r="S175" s="2909"/>
      <c r="T175" s="1888"/>
      <c r="U175" s="2909"/>
      <c r="V175" s="3814"/>
      <c r="W175" s="2909"/>
      <c r="X175" s="1888"/>
      <c r="Y175" s="2909"/>
      <c r="Z175" s="3814"/>
      <c r="AA175" s="2909"/>
      <c r="AB175" s="3814"/>
      <c r="AC175" s="2885"/>
      <c r="AD175" s="2834"/>
      <c r="AE175" s="2885"/>
      <c r="AF175" s="2834"/>
      <c r="AG175" s="2885"/>
      <c r="AH175" s="2834"/>
      <c r="AI175" s="2885"/>
      <c r="AJ175" s="2834"/>
      <c r="AK175" s="2885"/>
      <c r="AL175" s="2834"/>
      <c r="AM175" s="2885"/>
      <c r="AN175" s="2834"/>
      <c r="AO175" s="2885"/>
      <c r="AP175" s="2834"/>
      <c r="AQ175" s="4958"/>
      <c r="AR175" s="2889"/>
      <c r="AS175" s="2889"/>
      <c r="AT175" s="2889"/>
      <c r="AU175" s="2877"/>
      <c r="AV175" s="5119"/>
      <c r="AW175" s="2877"/>
      <c r="AX175" s="1529" t="str">
        <f t="shared" si="125"/>
        <v/>
      </c>
      <c r="AY175" s="165"/>
      <c r="AZ175" s="199"/>
      <c r="BV175" s="1452"/>
      <c r="BW175" s="1452"/>
      <c r="CA175" s="1457" t="str">
        <f t="shared" si="132"/>
        <v/>
      </c>
      <c r="CB175" s="1457" t="str">
        <f t="shared" si="133"/>
        <v/>
      </c>
      <c r="CC175" s="1457" t="str">
        <f t="shared" si="127"/>
        <v/>
      </c>
      <c r="CD175" s="1457" t="str">
        <f t="shared" si="134"/>
        <v/>
      </c>
      <c r="CE175" s="1457" t="str">
        <f t="shared" si="135"/>
        <v/>
      </c>
      <c r="DA175" s="1458">
        <f t="shared" si="136"/>
        <v>0</v>
      </c>
      <c r="DB175" s="1458">
        <f t="shared" si="128"/>
        <v>0</v>
      </c>
      <c r="DC175" s="1458">
        <f t="shared" si="129"/>
        <v>0</v>
      </c>
      <c r="DD175" s="1458">
        <f t="shared" si="130"/>
        <v>0</v>
      </c>
      <c r="DE175" s="1458">
        <f t="shared" si="137"/>
        <v>0</v>
      </c>
      <c r="DF175" s="1454"/>
      <c r="DG175" s="1454"/>
    </row>
    <row r="176" spans="1:111" ht="16.350000000000001" customHeight="1" x14ac:dyDescent="0.2">
      <c r="A176" s="8274"/>
      <c r="B176" s="8274"/>
      <c r="C176" s="4944" t="s">
        <v>1034</v>
      </c>
      <c r="D176" s="5128">
        <f t="shared" si="138"/>
        <v>0</v>
      </c>
      <c r="E176" s="5116">
        <f>SUM(AC176+AE176+AG176+AI176+AK176+AM176+AO176)</f>
        <v>0</v>
      </c>
      <c r="F176" s="5138"/>
      <c r="G176" s="5014"/>
      <c r="H176" s="2976"/>
      <c r="I176" s="5014"/>
      <c r="J176" s="3895"/>
      <c r="K176" s="5014"/>
      <c r="L176" s="2976"/>
      <c r="M176" s="5014"/>
      <c r="N176" s="3895"/>
      <c r="O176" s="5014"/>
      <c r="P176" s="2976"/>
      <c r="Q176" s="5014"/>
      <c r="R176" s="3895"/>
      <c r="S176" s="5014"/>
      <c r="T176" s="2976"/>
      <c r="U176" s="5014"/>
      <c r="V176" s="3895"/>
      <c r="W176" s="5014"/>
      <c r="X176" s="2976"/>
      <c r="Y176" s="5014"/>
      <c r="Z176" s="3895"/>
      <c r="AA176" s="5014"/>
      <c r="AB176" s="3895"/>
      <c r="AC176" s="3278"/>
      <c r="AD176" s="1848"/>
      <c r="AE176" s="3278"/>
      <c r="AF176" s="1848"/>
      <c r="AG176" s="3278"/>
      <c r="AH176" s="1848"/>
      <c r="AI176" s="3278"/>
      <c r="AJ176" s="1848"/>
      <c r="AK176" s="3278"/>
      <c r="AL176" s="1848"/>
      <c r="AM176" s="3278"/>
      <c r="AN176" s="1848"/>
      <c r="AO176" s="3278"/>
      <c r="AP176" s="1848"/>
      <c r="AQ176" s="2585"/>
      <c r="AR176" s="3279"/>
      <c r="AS176" s="3279"/>
      <c r="AT176" s="3279"/>
      <c r="AU176" s="1145"/>
      <c r="AV176" s="5122"/>
      <c r="AW176" s="1145"/>
      <c r="AX176" s="1529" t="str">
        <f t="shared" si="125"/>
        <v/>
      </c>
      <c r="AY176" s="165"/>
      <c r="AZ176" s="199"/>
      <c r="BV176" s="1452"/>
      <c r="BW176" s="1452"/>
      <c r="CA176" s="1457" t="str">
        <f t="shared" si="132"/>
        <v/>
      </c>
      <c r="CB176" s="1457" t="str">
        <f t="shared" si="133"/>
        <v/>
      </c>
      <c r="CC176" s="1457" t="str">
        <f t="shared" si="127"/>
        <v/>
      </c>
      <c r="CD176" s="1457" t="str">
        <f t="shared" si="134"/>
        <v/>
      </c>
      <c r="CE176" s="1457" t="str">
        <f t="shared" si="135"/>
        <v/>
      </c>
      <c r="DA176" s="1458">
        <f t="shared" si="136"/>
        <v>0</v>
      </c>
      <c r="DB176" s="1458">
        <f t="shared" si="128"/>
        <v>0</v>
      </c>
      <c r="DC176" s="1458">
        <f t="shared" si="129"/>
        <v>0</v>
      </c>
      <c r="DD176" s="1458">
        <f t="shared" si="130"/>
        <v>0</v>
      </c>
      <c r="DE176" s="1458">
        <f t="shared" si="137"/>
        <v>0</v>
      </c>
      <c r="DF176" s="1454"/>
      <c r="DG176" s="1454"/>
    </row>
    <row r="177" spans="1:111" ht="16.350000000000001" customHeight="1" x14ac:dyDescent="0.2">
      <c r="A177" s="9302"/>
      <c r="B177" s="8274"/>
      <c r="C177" s="5136" t="s">
        <v>1103</v>
      </c>
      <c r="D177" s="3323">
        <f t="shared" si="138"/>
        <v>0</v>
      </c>
      <c r="E177" s="3323">
        <f>SUM(AC177+AE177+AG177+AI177+AK177+AM177+AO177)</f>
        <v>0</v>
      </c>
      <c r="F177" s="5139"/>
      <c r="G177" s="3327"/>
      <c r="H177" s="2945"/>
      <c r="I177" s="3327"/>
      <c r="J177" s="3815"/>
      <c r="K177" s="3327"/>
      <c r="L177" s="2945"/>
      <c r="M177" s="3327"/>
      <c r="N177" s="3815"/>
      <c r="O177" s="3327"/>
      <c r="P177" s="2945"/>
      <c r="Q177" s="3327"/>
      <c r="R177" s="3815"/>
      <c r="S177" s="3327"/>
      <c r="T177" s="2945"/>
      <c r="U177" s="3327"/>
      <c r="V177" s="3815"/>
      <c r="W177" s="3327"/>
      <c r="X177" s="2945"/>
      <c r="Y177" s="3327"/>
      <c r="Z177" s="3815"/>
      <c r="AA177" s="3327"/>
      <c r="AB177" s="3815"/>
      <c r="AC177" s="3248"/>
      <c r="AD177" s="5140"/>
      <c r="AE177" s="3248"/>
      <c r="AF177" s="5140"/>
      <c r="AG177" s="3248"/>
      <c r="AH177" s="5140"/>
      <c r="AI177" s="3248"/>
      <c r="AJ177" s="5140"/>
      <c r="AK177" s="3248"/>
      <c r="AL177" s="5140"/>
      <c r="AM177" s="3248"/>
      <c r="AN177" s="5140"/>
      <c r="AO177" s="3248"/>
      <c r="AP177" s="5140"/>
      <c r="AQ177" s="2546"/>
      <c r="AR177" s="3249"/>
      <c r="AS177" s="3249"/>
      <c r="AT177" s="3249"/>
      <c r="AU177" s="3249"/>
      <c r="AV177" s="5141"/>
      <c r="AW177" s="3249"/>
      <c r="AX177" s="1529" t="str">
        <f t="shared" si="125"/>
        <v/>
      </c>
      <c r="AY177" s="165"/>
      <c r="AZ177" s="199"/>
      <c r="BV177" s="1452"/>
      <c r="BW177" s="1452"/>
      <c r="CA177" s="1457" t="str">
        <f t="shared" si="132"/>
        <v/>
      </c>
      <c r="CB177" s="1457" t="str">
        <f t="shared" si="133"/>
        <v/>
      </c>
      <c r="CC177" s="1457" t="str">
        <f t="shared" si="127"/>
        <v/>
      </c>
      <c r="CD177" s="1457" t="str">
        <f t="shared" si="134"/>
        <v/>
      </c>
      <c r="CE177" s="1457" t="str">
        <f t="shared" si="135"/>
        <v/>
      </c>
      <c r="DA177" s="1458">
        <f t="shared" si="136"/>
        <v>0</v>
      </c>
      <c r="DB177" s="1458">
        <f t="shared" si="128"/>
        <v>0</v>
      </c>
      <c r="DC177" s="1458">
        <f t="shared" si="129"/>
        <v>0</v>
      </c>
      <c r="DD177" s="1458">
        <f t="shared" si="130"/>
        <v>0</v>
      </c>
      <c r="DE177" s="1458">
        <f t="shared" si="137"/>
        <v>0</v>
      </c>
      <c r="DF177" s="1454"/>
      <c r="DG177" s="1454"/>
    </row>
    <row r="178" spans="1:111" ht="21.75" customHeight="1" x14ac:dyDescent="0.2">
      <c r="A178" s="9428" t="s">
        <v>1102</v>
      </c>
      <c r="B178" s="9379" t="s">
        <v>1101</v>
      </c>
      <c r="C178" s="5142" t="s">
        <v>1100</v>
      </c>
      <c r="D178" s="7685">
        <f>SUM(E178:F178)</f>
        <v>0</v>
      </c>
      <c r="E178" s="3816">
        <f>+G178+I178+K178+M178+O178+Q178+S178+U178+W178+Y178+AA178+AC178+AE178+AG178+AI178+AK178+AM178+AO178</f>
        <v>0</v>
      </c>
      <c r="F178" s="3817">
        <f t="shared" ref="E178:F180" si="139">+H178+J178+L178+N178+P178+R178+T178+V178+X178+Z178+AB178+AD178+AF178+AH178+AJ178+AL178+AN178+AP178</f>
        <v>0</v>
      </c>
      <c r="G178" s="5143">
        <f>SUM(G179:G180)</f>
        <v>0</v>
      </c>
      <c r="H178" s="5144">
        <f t="shared" ref="H178:AS178" si="140">SUM(H179:H180)</f>
        <v>0</v>
      </c>
      <c r="I178" s="5143">
        <f t="shared" si="140"/>
        <v>0</v>
      </c>
      <c r="J178" s="5144">
        <f t="shared" si="140"/>
        <v>0</v>
      </c>
      <c r="K178" s="5143">
        <f>SUM(K179:K180)</f>
        <v>0</v>
      </c>
      <c r="L178" s="3818">
        <f t="shared" si="140"/>
        <v>0</v>
      </c>
      <c r="M178" s="5143">
        <f t="shared" si="140"/>
        <v>0</v>
      </c>
      <c r="N178" s="3819">
        <f t="shared" si="140"/>
        <v>0</v>
      </c>
      <c r="O178" s="5145">
        <f t="shared" si="140"/>
        <v>0</v>
      </c>
      <c r="P178" s="5144">
        <f t="shared" si="140"/>
        <v>0</v>
      </c>
      <c r="Q178" s="5145">
        <f t="shared" si="140"/>
        <v>0</v>
      </c>
      <c r="R178" s="5144">
        <f t="shared" si="140"/>
        <v>0</v>
      </c>
      <c r="S178" s="5145">
        <f t="shared" si="140"/>
        <v>0</v>
      </c>
      <c r="T178" s="5144">
        <f t="shared" si="140"/>
        <v>0</v>
      </c>
      <c r="U178" s="5145">
        <f t="shared" si="140"/>
        <v>0</v>
      </c>
      <c r="V178" s="5144">
        <f t="shared" si="140"/>
        <v>0</v>
      </c>
      <c r="W178" s="5145">
        <f t="shared" si="140"/>
        <v>0</v>
      </c>
      <c r="X178" s="5144">
        <f t="shared" si="140"/>
        <v>0</v>
      </c>
      <c r="Y178" s="5145">
        <f t="shared" si="140"/>
        <v>0</v>
      </c>
      <c r="Z178" s="5144">
        <f t="shared" si="140"/>
        <v>0</v>
      </c>
      <c r="AA178" s="5145">
        <f t="shared" si="140"/>
        <v>0</v>
      </c>
      <c r="AB178" s="5144">
        <f t="shared" si="140"/>
        <v>0</v>
      </c>
      <c r="AC178" s="5143">
        <f t="shared" si="140"/>
        <v>0</v>
      </c>
      <c r="AD178" s="5144">
        <f t="shared" si="140"/>
        <v>0</v>
      </c>
      <c r="AE178" s="5143">
        <f t="shared" si="140"/>
        <v>0</v>
      </c>
      <c r="AF178" s="5144">
        <f t="shared" si="140"/>
        <v>0</v>
      </c>
      <c r="AG178" s="5143">
        <f t="shared" si="140"/>
        <v>0</v>
      </c>
      <c r="AH178" s="5144">
        <f t="shared" si="140"/>
        <v>0</v>
      </c>
      <c r="AI178" s="5143">
        <f t="shared" si="140"/>
        <v>0</v>
      </c>
      <c r="AJ178" s="5144">
        <f t="shared" si="140"/>
        <v>0</v>
      </c>
      <c r="AK178" s="5143">
        <f t="shared" si="140"/>
        <v>0</v>
      </c>
      <c r="AL178" s="5144">
        <f t="shared" si="140"/>
        <v>0</v>
      </c>
      <c r="AM178" s="5143">
        <f t="shared" si="140"/>
        <v>0</v>
      </c>
      <c r="AN178" s="5144">
        <f t="shared" si="140"/>
        <v>0</v>
      </c>
      <c r="AO178" s="5143">
        <f t="shared" si="140"/>
        <v>0</v>
      </c>
      <c r="AP178" s="5144">
        <f t="shared" si="140"/>
        <v>0</v>
      </c>
      <c r="AQ178" s="3820">
        <f t="shared" si="140"/>
        <v>0</v>
      </c>
      <c r="AR178" s="5144">
        <f t="shared" si="140"/>
        <v>0</v>
      </c>
      <c r="AS178" s="5144">
        <f t="shared" si="140"/>
        <v>0</v>
      </c>
      <c r="AT178" s="5144">
        <f>SUM(AT179:AT180)</f>
        <v>0</v>
      </c>
      <c r="AU178" s="5144">
        <f>SUM(AU179:AU180)</f>
        <v>0</v>
      </c>
      <c r="AV178" s="3821">
        <f>SUM(AV179:AV180)</f>
        <v>0</v>
      </c>
      <c r="AW178" s="5144">
        <f>SUM(AW179:AW180)</f>
        <v>0</v>
      </c>
      <c r="AX178" s="1529"/>
      <c r="AY178" s="1193"/>
      <c r="AZ178" s="199"/>
      <c r="BX178" s="1452"/>
      <c r="BY178" s="1452"/>
      <c r="CA178" s="1457"/>
      <c r="CB178" s="1457"/>
      <c r="CC178" s="1457"/>
      <c r="CD178" s="1457"/>
      <c r="CE178" s="1457"/>
      <c r="DA178" s="1458"/>
      <c r="DB178" s="1458"/>
      <c r="DC178" s="1458"/>
      <c r="DD178" s="1458"/>
      <c r="DE178" s="1458"/>
      <c r="DF178" s="1454"/>
      <c r="DG178" s="1454"/>
    </row>
    <row r="179" spans="1:111" ht="16.5" customHeight="1" x14ac:dyDescent="0.2">
      <c r="A179" s="9429"/>
      <c r="B179" s="9380"/>
      <c r="C179" s="5142" t="s">
        <v>1099</v>
      </c>
      <c r="D179" s="5128">
        <f>SUM(E179:F179)</f>
        <v>0</v>
      </c>
      <c r="E179" s="5128">
        <f t="shared" si="139"/>
        <v>0</v>
      </c>
      <c r="F179" s="5108">
        <f t="shared" si="139"/>
        <v>0</v>
      </c>
      <c r="G179" s="4909"/>
      <c r="H179" s="4975"/>
      <c r="I179" s="4965"/>
      <c r="J179" s="4023"/>
      <c r="K179" s="4965"/>
      <c r="L179" s="5146"/>
      <c r="M179" s="4965"/>
      <c r="N179" s="4975"/>
      <c r="O179" s="4965"/>
      <c r="P179" s="2877"/>
      <c r="Q179" s="4965"/>
      <c r="R179" s="2877"/>
      <c r="S179" s="4965"/>
      <c r="T179" s="2877"/>
      <c r="U179" s="4965"/>
      <c r="V179" s="2877"/>
      <c r="W179" s="4965"/>
      <c r="X179" s="2877"/>
      <c r="Y179" s="4965"/>
      <c r="Z179" s="2877"/>
      <c r="AA179" s="3225"/>
      <c r="AB179" s="2877"/>
      <c r="AC179" s="3225"/>
      <c r="AD179" s="2877"/>
      <c r="AE179" s="3225"/>
      <c r="AF179" s="2877"/>
      <c r="AG179" s="3225"/>
      <c r="AH179" s="2877"/>
      <c r="AI179" s="3225"/>
      <c r="AJ179" s="2877"/>
      <c r="AK179" s="3225"/>
      <c r="AL179" s="2877"/>
      <c r="AM179" s="3225"/>
      <c r="AN179" s="2877"/>
      <c r="AO179" s="3225"/>
      <c r="AP179" s="2877"/>
      <c r="AQ179" s="2505"/>
      <c r="AR179" s="2877"/>
      <c r="AS179" s="2877"/>
      <c r="AT179" s="2877"/>
      <c r="AU179" s="2877"/>
      <c r="AV179" s="4026"/>
      <c r="AW179" s="2877"/>
      <c r="AX179" s="1529" t="str">
        <f t="shared" si="125"/>
        <v/>
      </c>
      <c r="AY179" s="1193"/>
      <c r="AZ179" s="199"/>
      <c r="BX179" s="1452"/>
      <c r="BY179" s="1452"/>
      <c r="CA179" s="1457" t="str">
        <f t="shared" ref="CA179:CA198" si="141">IF(DA179=1,"* El número de actividades en usuarios en situacion de discapacidad NO DEBE ser mayor al total. ","")</f>
        <v/>
      </c>
      <c r="CB179" s="1457" t="str">
        <f t="shared" ref="CB179:CB198" si="142">IF(DB179=1," * El número de actividades en Niños, Niñas, Adolescentes y Jóvenes de la red SENAME NO DEBE ser mayor al total. ","")</f>
        <v/>
      </c>
      <c r="CC179" s="1457" t="str">
        <f t="shared" si="127"/>
        <v/>
      </c>
      <c r="CD179" s="1457" t="str">
        <f t="shared" ref="CD179:CD198" si="143">IF(DD179=1," * El número de actividades en Población Migrante NO DEBE ser mayor al total. ","")</f>
        <v/>
      </c>
      <c r="CE179" s="1457" t="str">
        <f t="shared" ref="CE179:CE198" si="144">IF(DE179=1," * El número de actividades en Pacientes Diabéticos en Control PSCV NO DEBE superar el total. ","")</f>
        <v/>
      </c>
      <c r="DA179" s="1458">
        <f t="shared" ref="DA179:DA198" si="145">IF($D179&lt;AR179,1,0)</f>
        <v>0</v>
      </c>
      <c r="DB179" s="1458">
        <f t="shared" si="128"/>
        <v>0</v>
      </c>
      <c r="DC179" s="1458">
        <f t="shared" si="129"/>
        <v>0</v>
      </c>
      <c r="DD179" s="1458">
        <f t="shared" si="130"/>
        <v>0</v>
      </c>
      <c r="DE179" s="1458">
        <f t="shared" ref="DE179:DE198" si="146">IF($D179&lt;AW179,1,0)</f>
        <v>0</v>
      </c>
      <c r="DF179" s="1454"/>
      <c r="DG179" s="1454"/>
    </row>
    <row r="180" spans="1:111" ht="27" customHeight="1" x14ac:dyDescent="0.2">
      <c r="A180" s="9430"/>
      <c r="B180" s="9381"/>
      <c r="C180" s="5147" t="s">
        <v>1098</v>
      </c>
      <c r="D180" s="3323">
        <f>SUM(E180:F180)</f>
        <v>0</v>
      </c>
      <c r="E180" s="3323">
        <f t="shared" si="139"/>
        <v>0</v>
      </c>
      <c r="F180" s="3323">
        <f t="shared" si="139"/>
        <v>0</v>
      </c>
      <c r="G180" s="2533"/>
      <c r="H180" s="2884"/>
      <c r="I180" s="3248"/>
      <c r="J180" s="3249"/>
      <c r="K180" s="3248"/>
      <c r="L180" s="3531"/>
      <c r="M180" s="3248"/>
      <c r="N180" s="2884"/>
      <c r="O180" s="3248"/>
      <c r="P180" s="3249"/>
      <c r="Q180" s="3248"/>
      <c r="R180" s="3249"/>
      <c r="S180" s="3248"/>
      <c r="T180" s="3249"/>
      <c r="U180" s="3248"/>
      <c r="V180" s="3249"/>
      <c r="W180" s="3248"/>
      <c r="X180" s="3249"/>
      <c r="Y180" s="3248"/>
      <c r="Z180" s="3249"/>
      <c r="AA180" s="3248"/>
      <c r="AB180" s="3249"/>
      <c r="AC180" s="3248"/>
      <c r="AD180" s="3249"/>
      <c r="AE180" s="3248"/>
      <c r="AF180" s="3249"/>
      <c r="AG180" s="3248"/>
      <c r="AH180" s="3249"/>
      <c r="AI180" s="3248"/>
      <c r="AJ180" s="3249"/>
      <c r="AK180" s="3248"/>
      <c r="AL180" s="3249"/>
      <c r="AM180" s="3248"/>
      <c r="AN180" s="3249"/>
      <c r="AO180" s="3248"/>
      <c r="AP180" s="3249"/>
      <c r="AQ180" s="2546"/>
      <c r="AR180" s="3249"/>
      <c r="AS180" s="3249"/>
      <c r="AT180" s="3249"/>
      <c r="AU180" s="3249"/>
      <c r="AV180" s="3329"/>
      <c r="AW180" s="3249"/>
      <c r="AX180" s="1529" t="str">
        <f t="shared" si="125"/>
        <v/>
      </c>
      <c r="AY180" s="1193"/>
      <c r="AZ180" s="199"/>
      <c r="BX180" s="1452"/>
      <c r="BY180" s="1452"/>
      <c r="CA180" s="1457" t="str">
        <f t="shared" si="141"/>
        <v/>
      </c>
      <c r="CB180" s="1457" t="str">
        <f t="shared" si="142"/>
        <v/>
      </c>
      <c r="CC180" s="1457" t="str">
        <f t="shared" si="127"/>
        <v/>
      </c>
      <c r="CD180" s="1457" t="str">
        <f t="shared" si="143"/>
        <v/>
      </c>
      <c r="CE180" s="1457" t="str">
        <f t="shared" si="144"/>
        <v/>
      </c>
      <c r="DA180" s="1458">
        <f t="shared" si="145"/>
        <v>0</v>
      </c>
      <c r="DB180" s="1458">
        <f t="shared" si="128"/>
        <v>0</v>
      </c>
      <c r="DC180" s="1458">
        <f t="shared" si="129"/>
        <v>0</v>
      </c>
      <c r="DD180" s="1458">
        <f t="shared" si="130"/>
        <v>0</v>
      </c>
      <c r="DE180" s="1458">
        <f t="shared" si="146"/>
        <v>0</v>
      </c>
      <c r="DF180" s="1454"/>
      <c r="DG180" s="1454"/>
    </row>
    <row r="181" spans="1:111" ht="16.350000000000001" customHeight="1" x14ac:dyDescent="0.2">
      <c r="A181" s="9428" t="s">
        <v>1097</v>
      </c>
      <c r="B181" s="8197" t="s">
        <v>1093</v>
      </c>
      <c r="C181" s="5148" t="s">
        <v>1090</v>
      </c>
      <c r="D181" s="5128">
        <f>SUM(E181+F181)</f>
        <v>0</v>
      </c>
      <c r="E181" s="5128">
        <f>SUM(AA181+AC181+AE181+AG181+AI181+AK181+AM181+AO181)</f>
        <v>0</v>
      </c>
      <c r="F181" s="5128">
        <f>SUM(AB181+AD181+AF181+AH181+AJ181+AL181+AN181+AP181)</f>
        <v>0</v>
      </c>
      <c r="G181" s="5120"/>
      <c r="H181" s="2834"/>
      <c r="I181" s="5120"/>
      <c r="J181" s="2834"/>
      <c r="K181" s="5120"/>
      <c r="L181" s="2834"/>
      <c r="M181" s="5120"/>
      <c r="N181" s="2834"/>
      <c r="O181" s="5120"/>
      <c r="P181" s="2834"/>
      <c r="Q181" s="5120"/>
      <c r="R181" s="2834"/>
      <c r="S181" s="5120"/>
      <c r="T181" s="2834"/>
      <c r="U181" s="5120"/>
      <c r="V181" s="2834"/>
      <c r="W181" s="5120"/>
      <c r="X181" s="2834"/>
      <c r="Y181" s="5120"/>
      <c r="Z181" s="3814"/>
      <c r="AA181" s="3225"/>
      <c r="AB181" s="2877"/>
      <c r="AC181" s="3225"/>
      <c r="AD181" s="2877"/>
      <c r="AE181" s="3225"/>
      <c r="AF181" s="2877"/>
      <c r="AG181" s="3225"/>
      <c r="AH181" s="2877"/>
      <c r="AI181" s="3225"/>
      <c r="AJ181" s="2877"/>
      <c r="AK181" s="3225"/>
      <c r="AL181" s="2877"/>
      <c r="AM181" s="3225"/>
      <c r="AN181" s="2877"/>
      <c r="AO181" s="3225"/>
      <c r="AP181" s="2877"/>
      <c r="AQ181" s="2505"/>
      <c r="AR181" s="3059"/>
      <c r="AS181" s="2877"/>
      <c r="AT181" s="2877"/>
      <c r="AU181" s="2877"/>
      <c r="AV181" s="4026"/>
      <c r="AW181" s="2877"/>
      <c r="AX181" s="1529" t="str">
        <f t="shared" si="125"/>
        <v/>
      </c>
      <c r="AY181" s="1193"/>
      <c r="AZ181" s="199"/>
      <c r="BX181" s="1452"/>
      <c r="BY181" s="1452"/>
      <c r="CA181" s="1457" t="str">
        <f t="shared" si="141"/>
        <v/>
      </c>
      <c r="CB181" s="1457" t="str">
        <f t="shared" si="142"/>
        <v/>
      </c>
      <c r="CC181" s="1457" t="str">
        <f t="shared" si="127"/>
        <v/>
      </c>
      <c r="CD181" s="1457" t="str">
        <f t="shared" si="143"/>
        <v/>
      </c>
      <c r="CE181" s="1457" t="str">
        <f t="shared" si="144"/>
        <v/>
      </c>
      <c r="DA181" s="1458">
        <f t="shared" si="145"/>
        <v>0</v>
      </c>
      <c r="DB181" s="1458">
        <f t="shared" si="128"/>
        <v>0</v>
      </c>
      <c r="DC181" s="1458">
        <f t="shared" si="129"/>
        <v>0</v>
      </c>
      <c r="DD181" s="1458">
        <f t="shared" si="130"/>
        <v>0</v>
      </c>
      <c r="DE181" s="1458">
        <f t="shared" si="146"/>
        <v>0</v>
      </c>
      <c r="DF181" s="1454"/>
      <c r="DG181" s="1454"/>
    </row>
    <row r="182" spans="1:111" ht="16.350000000000001" customHeight="1" x14ac:dyDescent="0.2">
      <c r="A182" s="9429"/>
      <c r="B182" s="8274"/>
      <c r="C182" s="5130" t="s">
        <v>2114</v>
      </c>
      <c r="D182" s="5149">
        <f>SUM(E182+F182)</f>
        <v>0</v>
      </c>
      <c r="E182" s="5128">
        <f t="shared" ref="E182:F185" si="147">SUM(AA182+AC182+AE182+AG182+AI182+AK182+AM182+AO182)</f>
        <v>0</v>
      </c>
      <c r="F182" s="5128">
        <f t="shared" si="147"/>
        <v>0</v>
      </c>
      <c r="G182" s="5150"/>
      <c r="H182" s="5151"/>
      <c r="I182" s="5150"/>
      <c r="J182" s="5151"/>
      <c r="K182" s="5150"/>
      <c r="L182" s="5151"/>
      <c r="M182" s="5150"/>
      <c r="N182" s="5151"/>
      <c r="O182" s="5150"/>
      <c r="P182" s="5151"/>
      <c r="Q182" s="5150"/>
      <c r="R182" s="5151"/>
      <c r="S182" s="5150"/>
      <c r="T182" s="5151"/>
      <c r="U182" s="5150"/>
      <c r="V182" s="5151"/>
      <c r="W182" s="5150"/>
      <c r="X182" s="5151"/>
      <c r="Y182" s="5150"/>
      <c r="Z182" s="2608"/>
      <c r="AA182" s="3399"/>
      <c r="AB182" s="1145"/>
      <c r="AC182" s="3399"/>
      <c r="AD182" s="1145"/>
      <c r="AE182" s="3399"/>
      <c r="AF182" s="1145"/>
      <c r="AG182" s="3399"/>
      <c r="AH182" s="1145"/>
      <c r="AI182" s="3399"/>
      <c r="AJ182" s="1145"/>
      <c r="AK182" s="3399"/>
      <c r="AL182" s="1145"/>
      <c r="AM182" s="3399"/>
      <c r="AN182" s="1145"/>
      <c r="AO182" s="3399"/>
      <c r="AP182" s="1145"/>
      <c r="AQ182" s="1056"/>
      <c r="AR182" s="3331"/>
      <c r="AS182" s="1145"/>
      <c r="AT182" s="1145"/>
      <c r="AU182" s="1145"/>
      <c r="AV182" s="5152"/>
      <c r="AW182" s="1145"/>
      <c r="AX182" s="1529" t="str">
        <f t="shared" si="125"/>
        <v/>
      </c>
      <c r="AY182" s="1193"/>
      <c r="AZ182" s="199"/>
      <c r="BX182" s="1452"/>
      <c r="BY182" s="1452"/>
      <c r="CA182" s="1457" t="str">
        <f t="shared" si="141"/>
        <v/>
      </c>
      <c r="CB182" s="1457" t="str">
        <f t="shared" si="142"/>
        <v/>
      </c>
      <c r="CC182" s="1457" t="str">
        <f t="shared" si="127"/>
        <v/>
      </c>
      <c r="CD182" s="1457" t="str">
        <f t="shared" si="143"/>
        <v/>
      </c>
      <c r="CE182" s="1457" t="str">
        <f t="shared" si="144"/>
        <v/>
      </c>
      <c r="DA182" s="1458">
        <f t="shared" si="145"/>
        <v>0</v>
      </c>
      <c r="DB182" s="1458">
        <f t="shared" si="128"/>
        <v>0</v>
      </c>
      <c r="DC182" s="1458">
        <f t="shared" si="129"/>
        <v>0</v>
      </c>
      <c r="DD182" s="1458">
        <f t="shared" si="130"/>
        <v>0</v>
      </c>
      <c r="DE182" s="1458">
        <f t="shared" si="146"/>
        <v>0</v>
      </c>
      <c r="DF182" s="1454"/>
      <c r="DG182" s="1454"/>
    </row>
    <row r="183" spans="1:111" ht="16.350000000000001" customHeight="1" x14ac:dyDescent="0.2">
      <c r="A183" s="9429"/>
      <c r="B183" s="9302"/>
      <c r="C183" s="5153" t="s">
        <v>2113</v>
      </c>
      <c r="D183" s="5149">
        <f t="shared" ref="D183:D196" si="148">SUM(E183+F183)</f>
        <v>0</v>
      </c>
      <c r="E183" s="3323">
        <f>SUM(AA183+AC183+AE183+AG183+AI183+AK183+AM183+AO183)</f>
        <v>0</v>
      </c>
      <c r="F183" s="3323">
        <f t="shared" si="147"/>
        <v>0</v>
      </c>
      <c r="G183" s="5154"/>
      <c r="H183" s="5155"/>
      <c r="I183" s="5154"/>
      <c r="J183" s="5155"/>
      <c r="K183" s="5154"/>
      <c r="L183" s="5155"/>
      <c r="M183" s="5154"/>
      <c r="N183" s="5155"/>
      <c r="O183" s="5154"/>
      <c r="P183" s="5155"/>
      <c r="Q183" s="5154"/>
      <c r="R183" s="5155"/>
      <c r="S183" s="5154"/>
      <c r="T183" s="5155"/>
      <c r="U183" s="5154"/>
      <c r="V183" s="5155"/>
      <c r="W183" s="5154"/>
      <c r="X183" s="5155"/>
      <c r="Y183" s="5154"/>
      <c r="Z183" s="3822"/>
      <c r="AA183" s="3248"/>
      <c r="AB183" s="3249"/>
      <c r="AC183" s="3248"/>
      <c r="AD183" s="3249"/>
      <c r="AE183" s="3248"/>
      <c r="AF183" s="3249"/>
      <c r="AG183" s="3248"/>
      <c r="AH183" s="3249"/>
      <c r="AI183" s="3248"/>
      <c r="AJ183" s="3249"/>
      <c r="AK183" s="3248"/>
      <c r="AL183" s="3249"/>
      <c r="AM183" s="3248"/>
      <c r="AN183" s="3249"/>
      <c r="AO183" s="3248"/>
      <c r="AP183" s="3249"/>
      <c r="AQ183" s="2546"/>
      <c r="AR183" s="2884"/>
      <c r="AS183" s="3249"/>
      <c r="AT183" s="3249"/>
      <c r="AU183" s="3249"/>
      <c r="AV183" s="5141"/>
      <c r="AW183" s="3249"/>
      <c r="AX183" s="1529" t="str">
        <f t="shared" si="125"/>
        <v/>
      </c>
      <c r="AY183" s="1193"/>
      <c r="AZ183" s="199"/>
      <c r="BX183" s="1452"/>
      <c r="BY183" s="1452"/>
      <c r="CA183" s="1457" t="str">
        <f t="shared" si="141"/>
        <v/>
      </c>
      <c r="CB183" s="1457" t="str">
        <f t="shared" si="142"/>
        <v/>
      </c>
      <c r="CC183" s="1457" t="str">
        <f t="shared" si="127"/>
        <v/>
      </c>
      <c r="CD183" s="1457" t="str">
        <f t="shared" si="143"/>
        <v/>
      </c>
      <c r="CE183" s="1457" t="str">
        <f t="shared" si="144"/>
        <v/>
      </c>
      <c r="DA183" s="1458">
        <f t="shared" si="145"/>
        <v>0</v>
      </c>
      <c r="DB183" s="1458">
        <f t="shared" si="128"/>
        <v>0</v>
      </c>
      <c r="DC183" s="1458">
        <f t="shared" si="129"/>
        <v>0</v>
      </c>
      <c r="DD183" s="1458">
        <f t="shared" si="130"/>
        <v>0</v>
      </c>
      <c r="DE183" s="1458">
        <f t="shared" si="146"/>
        <v>0</v>
      </c>
      <c r="DF183" s="1454"/>
      <c r="DG183" s="1454"/>
    </row>
    <row r="184" spans="1:111" ht="16.350000000000001" customHeight="1" x14ac:dyDescent="0.2">
      <c r="A184" s="9429"/>
      <c r="B184" s="9379" t="s">
        <v>1096</v>
      </c>
      <c r="C184" s="5142" t="s">
        <v>1090</v>
      </c>
      <c r="D184" s="5108">
        <f t="shared" si="148"/>
        <v>0</v>
      </c>
      <c r="E184" s="5128">
        <f>SUM(AA184+AC184+AE184+AG184+AI184+AK184+AM184+AO184)</f>
        <v>0</v>
      </c>
      <c r="F184" s="5128">
        <f t="shared" si="147"/>
        <v>0</v>
      </c>
      <c r="G184" s="3823"/>
      <c r="H184" s="5134"/>
      <c r="I184" s="5120"/>
      <c r="J184" s="5134"/>
      <c r="K184" s="5120"/>
      <c r="L184" s="5134"/>
      <c r="M184" s="5120"/>
      <c r="N184" s="5134"/>
      <c r="O184" s="5120"/>
      <c r="P184" s="5134"/>
      <c r="Q184" s="5120"/>
      <c r="R184" s="5134"/>
      <c r="S184" s="5120"/>
      <c r="T184" s="5134"/>
      <c r="U184" s="5120"/>
      <c r="V184" s="5134"/>
      <c r="W184" s="5120"/>
      <c r="X184" s="5134"/>
      <c r="Y184" s="5120"/>
      <c r="Z184" s="3814"/>
      <c r="AA184" s="3399"/>
      <c r="AB184" s="1145"/>
      <c r="AC184" s="3399"/>
      <c r="AD184" s="1145"/>
      <c r="AE184" s="3399"/>
      <c r="AF184" s="1145"/>
      <c r="AG184" s="3399"/>
      <c r="AH184" s="1145"/>
      <c r="AI184" s="3399"/>
      <c r="AJ184" s="1145"/>
      <c r="AK184" s="3399"/>
      <c r="AL184" s="1145"/>
      <c r="AM184" s="3399"/>
      <c r="AN184" s="1145"/>
      <c r="AO184" s="3399"/>
      <c r="AP184" s="1145"/>
      <c r="AQ184" s="1056"/>
      <c r="AR184" s="3331"/>
      <c r="AS184" s="1145"/>
      <c r="AT184" s="1145"/>
      <c r="AU184" s="1145"/>
      <c r="AV184" s="1226"/>
      <c r="AW184" s="1145"/>
      <c r="AX184" s="1529" t="str">
        <f t="shared" si="125"/>
        <v/>
      </c>
      <c r="AY184" s="1193"/>
      <c r="AZ184" s="199"/>
      <c r="BX184" s="1452"/>
      <c r="BY184" s="1452"/>
      <c r="CA184" s="1457" t="str">
        <f t="shared" si="141"/>
        <v/>
      </c>
      <c r="CB184" s="1457" t="str">
        <f t="shared" si="142"/>
        <v/>
      </c>
      <c r="CC184" s="1457" t="str">
        <f t="shared" si="127"/>
        <v/>
      </c>
      <c r="CD184" s="1457" t="str">
        <f t="shared" si="143"/>
        <v/>
      </c>
      <c r="CE184" s="1457" t="str">
        <f t="shared" si="144"/>
        <v/>
      </c>
      <c r="DA184" s="1458">
        <f t="shared" si="145"/>
        <v>0</v>
      </c>
      <c r="DB184" s="1458">
        <f t="shared" si="128"/>
        <v>0</v>
      </c>
      <c r="DC184" s="1458">
        <f t="shared" si="129"/>
        <v>0</v>
      </c>
      <c r="DD184" s="1458">
        <f t="shared" si="130"/>
        <v>0</v>
      </c>
      <c r="DE184" s="1458">
        <f t="shared" si="146"/>
        <v>0</v>
      </c>
      <c r="DF184" s="1454"/>
      <c r="DG184" s="1454"/>
    </row>
    <row r="185" spans="1:111" ht="16.350000000000001" customHeight="1" x14ac:dyDescent="0.2">
      <c r="A185" s="9429"/>
      <c r="B185" s="9381"/>
      <c r="C185" s="3610" t="s">
        <v>2115</v>
      </c>
      <c r="D185" s="3816">
        <f t="shared" si="148"/>
        <v>0</v>
      </c>
      <c r="E185" s="3323">
        <f>SUM(AA185+AC185+AE185+AG185+AI185+AK185+AM185+AO185)</f>
        <v>0</v>
      </c>
      <c r="F185" s="3323">
        <f t="shared" si="147"/>
        <v>0</v>
      </c>
      <c r="G185" s="5154"/>
      <c r="H185" s="4949"/>
      <c r="I185" s="5154"/>
      <c r="J185" s="4949"/>
      <c r="K185" s="5154"/>
      <c r="L185" s="4949"/>
      <c r="M185" s="5154"/>
      <c r="N185" s="4949"/>
      <c r="O185" s="5154"/>
      <c r="P185" s="4949"/>
      <c r="Q185" s="5154"/>
      <c r="R185" s="4949"/>
      <c r="S185" s="5154"/>
      <c r="T185" s="4949"/>
      <c r="U185" s="5154"/>
      <c r="V185" s="4949"/>
      <c r="W185" s="5154"/>
      <c r="X185" s="4949"/>
      <c r="Y185" s="5154"/>
      <c r="Z185" s="3822"/>
      <c r="AA185" s="3399"/>
      <c r="AB185" s="1145"/>
      <c r="AC185" s="3399"/>
      <c r="AD185" s="1145"/>
      <c r="AE185" s="3399"/>
      <c r="AF185" s="1145"/>
      <c r="AG185" s="3399"/>
      <c r="AH185" s="1145"/>
      <c r="AI185" s="3399"/>
      <c r="AJ185" s="1145"/>
      <c r="AK185" s="3399"/>
      <c r="AL185" s="1145"/>
      <c r="AM185" s="3399"/>
      <c r="AN185" s="1145"/>
      <c r="AO185" s="3399"/>
      <c r="AP185" s="1145"/>
      <c r="AQ185" s="1056"/>
      <c r="AR185" s="3331"/>
      <c r="AS185" s="1145"/>
      <c r="AT185" s="1145"/>
      <c r="AU185" s="1145"/>
      <c r="AV185" s="5119"/>
      <c r="AW185" s="1145"/>
      <c r="AX185" s="1529" t="str">
        <f t="shared" si="125"/>
        <v/>
      </c>
      <c r="AY185" s="1193"/>
      <c r="AZ185" s="199"/>
      <c r="BX185" s="1452"/>
      <c r="BY185" s="1452"/>
      <c r="CA185" s="1457" t="str">
        <f t="shared" si="141"/>
        <v/>
      </c>
      <c r="CB185" s="1457" t="str">
        <f t="shared" si="142"/>
        <v/>
      </c>
      <c r="CC185" s="1457" t="str">
        <f t="shared" si="127"/>
        <v/>
      </c>
      <c r="CD185" s="1457" t="str">
        <f t="shared" si="143"/>
        <v/>
      </c>
      <c r="CE185" s="1457" t="str">
        <f t="shared" si="144"/>
        <v/>
      </c>
      <c r="DA185" s="1458">
        <f t="shared" si="145"/>
        <v>0</v>
      </c>
      <c r="DB185" s="1458">
        <f t="shared" si="128"/>
        <v>0</v>
      </c>
      <c r="DC185" s="1458">
        <f t="shared" si="129"/>
        <v>0</v>
      </c>
      <c r="DD185" s="1458">
        <f t="shared" si="130"/>
        <v>0</v>
      </c>
      <c r="DE185" s="1458">
        <f t="shared" si="146"/>
        <v>0</v>
      </c>
      <c r="DF185" s="1454"/>
      <c r="DG185" s="1454"/>
    </row>
    <row r="186" spans="1:111" ht="16.350000000000001" customHeight="1" x14ac:dyDescent="0.2">
      <c r="A186" s="9429"/>
      <c r="B186" s="9341" t="s">
        <v>1091</v>
      </c>
      <c r="C186" s="5148" t="s">
        <v>1090</v>
      </c>
      <c r="D186" s="5128">
        <f t="shared" si="148"/>
        <v>0</v>
      </c>
      <c r="E186" s="5128">
        <f t="shared" ref="E186:F188" si="149">SUM(AC186+AE186+AG186+AI186+AK186+AM186+AO186)</f>
        <v>0</v>
      </c>
      <c r="F186" s="5128">
        <f t="shared" si="149"/>
        <v>0</v>
      </c>
      <c r="G186" s="3811"/>
      <c r="H186" s="2834"/>
      <c r="I186" s="3811"/>
      <c r="J186" s="2834"/>
      <c r="K186" s="3811"/>
      <c r="L186" s="2834"/>
      <c r="M186" s="3811"/>
      <c r="N186" s="2834"/>
      <c r="O186" s="3811"/>
      <c r="P186" s="2834"/>
      <c r="Q186" s="3811"/>
      <c r="R186" s="2834"/>
      <c r="S186" s="3811"/>
      <c r="T186" s="2834"/>
      <c r="U186" s="3811"/>
      <c r="V186" s="2834"/>
      <c r="W186" s="3811"/>
      <c r="X186" s="2834"/>
      <c r="Y186" s="3811"/>
      <c r="Z186" s="2834"/>
      <c r="AA186" s="5113"/>
      <c r="AB186" s="5135"/>
      <c r="AC186" s="4965"/>
      <c r="AD186" s="4023"/>
      <c r="AE186" s="4965"/>
      <c r="AF186" s="4023"/>
      <c r="AG186" s="4965"/>
      <c r="AH186" s="4023"/>
      <c r="AI186" s="4965"/>
      <c r="AJ186" s="4023"/>
      <c r="AK186" s="4965"/>
      <c r="AL186" s="4023"/>
      <c r="AM186" s="4965"/>
      <c r="AN186" s="4023"/>
      <c r="AO186" s="4965"/>
      <c r="AP186" s="4023"/>
      <c r="AQ186" s="5114"/>
      <c r="AR186" s="4975"/>
      <c r="AS186" s="4023"/>
      <c r="AT186" s="4023"/>
      <c r="AU186" s="7214"/>
      <c r="AV186" s="5081"/>
      <c r="AW186" s="4023"/>
      <c r="AX186" s="1529" t="str">
        <f t="shared" si="125"/>
        <v/>
      </c>
      <c r="AY186" s="1193"/>
      <c r="AZ186" s="199"/>
      <c r="BX186" s="1452"/>
      <c r="BY186" s="1452"/>
      <c r="CA186" s="1457" t="str">
        <f t="shared" si="141"/>
        <v/>
      </c>
      <c r="CB186" s="1457" t="str">
        <f t="shared" si="142"/>
        <v/>
      </c>
      <c r="CC186" s="1457" t="str">
        <f t="shared" si="127"/>
        <v/>
      </c>
      <c r="CD186" s="1457" t="str">
        <f t="shared" si="143"/>
        <v/>
      </c>
      <c r="CE186" s="1457" t="str">
        <f t="shared" si="144"/>
        <v/>
      </c>
      <c r="DA186" s="1458">
        <f t="shared" si="145"/>
        <v>0</v>
      </c>
      <c r="DB186" s="1458">
        <f t="shared" si="128"/>
        <v>0</v>
      </c>
      <c r="DC186" s="1458">
        <f t="shared" si="129"/>
        <v>0</v>
      </c>
      <c r="DD186" s="1458">
        <f t="shared" si="130"/>
        <v>0</v>
      </c>
      <c r="DE186" s="1458">
        <f t="shared" si="146"/>
        <v>0</v>
      </c>
      <c r="DF186" s="1454"/>
      <c r="DG186" s="1454"/>
    </row>
    <row r="187" spans="1:111" ht="16.350000000000001" customHeight="1" x14ac:dyDescent="0.2">
      <c r="A187" s="9429"/>
      <c r="B187" s="8166"/>
      <c r="C187" s="5130" t="s">
        <v>2117</v>
      </c>
      <c r="D187" s="5149">
        <f t="shared" si="148"/>
        <v>0</v>
      </c>
      <c r="E187" s="5128">
        <f t="shared" si="149"/>
        <v>0</v>
      </c>
      <c r="F187" s="5128">
        <f t="shared" si="149"/>
        <v>0</v>
      </c>
      <c r="G187" s="5150"/>
      <c r="H187" s="1848"/>
      <c r="I187" s="5150"/>
      <c r="J187" s="1848"/>
      <c r="K187" s="5150"/>
      <c r="L187" s="1848"/>
      <c r="M187" s="5150"/>
      <c r="N187" s="1848"/>
      <c r="O187" s="5150"/>
      <c r="P187" s="1848"/>
      <c r="Q187" s="5150"/>
      <c r="R187" s="1848"/>
      <c r="S187" s="5150"/>
      <c r="T187" s="1848"/>
      <c r="U187" s="5150"/>
      <c r="V187" s="1848"/>
      <c r="W187" s="5150"/>
      <c r="X187" s="1848"/>
      <c r="Y187" s="5150"/>
      <c r="Z187" s="1848"/>
      <c r="AA187" s="5150"/>
      <c r="AB187" s="1848"/>
      <c r="AC187" s="3399"/>
      <c r="AD187" s="1145"/>
      <c r="AE187" s="3399"/>
      <c r="AF187" s="1145"/>
      <c r="AG187" s="3399"/>
      <c r="AH187" s="1145"/>
      <c r="AI187" s="3399"/>
      <c r="AJ187" s="1145"/>
      <c r="AK187" s="3399"/>
      <c r="AL187" s="1145"/>
      <c r="AM187" s="3399"/>
      <c r="AN187" s="1145"/>
      <c r="AO187" s="3399"/>
      <c r="AP187" s="1145"/>
      <c r="AQ187" s="1056"/>
      <c r="AR187" s="3331"/>
      <c r="AS187" s="1145"/>
      <c r="AT187" s="1145"/>
      <c r="AU187" s="1145"/>
      <c r="AV187" s="5122"/>
      <c r="AW187" s="1145"/>
      <c r="AX187" s="1529" t="str">
        <f t="shared" si="125"/>
        <v/>
      </c>
      <c r="AY187" s="1193"/>
      <c r="AZ187" s="199"/>
      <c r="BX187" s="1452"/>
      <c r="BY187" s="1452"/>
      <c r="CA187" s="1457" t="str">
        <f t="shared" si="141"/>
        <v/>
      </c>
      <c r="CB187" s="1457" t="str">
        <f t="shared" si="142"/>
        <v/>
      </c>
      <c r="CC187" s="1457" t="str">
        <f t="shared" si="127"/>
        <v/>
      </c>
      <c r="CD187" s="1457" t="str">
        <f t="shared" si="143"/>
        <v/>
      </c>
      <c r="CE187" s="1457" t="str">
        <f t="shared" si="144"/>
        <v/>
      </c>
      <c r="DA187" s="1458">
        <f t="shared" si="145"/>
        <v>0</v>
      </c>
      <c r="DB187" s="1458">
        <f t="shared" si="128"/>
        <v>0</v>
      </c>
      <c r="DC187" s="1458">
        <f t="shared" si="129"/>
        <v>0</v>
      </c>
      <c r="DD187" s="1458">
        <f t="shared" si="130"/>
        <v>0</v>
      </c>
      <c r="DE187" s="1458">
        <f t="shared" si="146"/>
        <v>0</v>
      </c>
      <c r="DF187" s="1454"/>
      <c r="DG187" s="1454"/>
    </row>
    <row r="188" spans="1:111" ht="16.350000000000001" customHeight="1" x14ac:dyDescent="0.2">
      <c r="A188" s="9430"/>
      <c r="B188" s="9368"/>
      <c r="C188" s="3824" t="s">
        <v>2116</v>
      </c>
      <c r="D188" s="5149">
        <f t="shared" si="148"/>
        <v>0</v>
      </c>
      <c r="E188" s="3323">
        <f t="shared" si="149"/>
        <v>0</v>
      </c>
      <c r="F188" s="3323">
        <f t="shared" si="149"/>
        <v>0</v>
      </c>
      <c r="G188" s="5154"/>
      <c r="H188" s="5156"/>
      <c r="I188" s="5154"/>
      <c r="J188" s="5156"/>
      <c r="K188" s="5154"/>
      <c r="L188" s="5156"/>
      <c r="M188" s="5154"/>
      <c r="N188" s="5156"/>
      <c r="O188" s="5154"/>
      <c r="P188" s="5156"/>
      <c r="Q188" s="5154"/>
      <c r="R188" s="5156"/>
      <c r="S188" s="5154"/>
      <c r="T188" s="5156"/>
      <c r="U188" s="5154"/>
      <c r="V188" s="5156"/>
      <c r="W188" s="5154"/>
      <c r="X188" s="5156"/>
      <c r="Y188" s="5154"/>
      <c r="Z188" s="5156"/>
      <c r="AA188" s="5154"/>
      <c r="AB188" s="5156"/>
      <c r="AC188" s="3248"/>
      <c r="AD188" s="3249"/>
      <c r="AE188" s="3248"/>
      <c r="AF188" s="3249"/>
      <c r="AG188" s="3248"/>
      <c r="AH188" s="3249"/>
      <c r="AI188" s="3248"/>
      <c r="AJ188" s="3249"/>
      <c r="AK188" s="3248"/>
      <c r="AL188" s="3249"/>
      <c r="AM188" s="3248"/>
      <c r="AN188" s="3249"/>
      <c r="AO188" s="3248"/>
      <c r="AP188" s="3249"/>
      <c r="AQ188" s="2546"/>
      <c r="AR188" s="2884"/>
      <c r="AS188" s="3249"/>
      <c r="AT188" s="3249"/>
      <c r="AU188" s="3249"/>
      <c r="AV188" s="5141"/>
      <c r="AW188" s="3249"/>
      <c r="AX188" s="1529" t="str">
        <f t="shared" si="125"/>
        <v/>
      </c>
      <c r="AY188" s="1193"/>
      <c r="AZ188" s="199"/>
      <c r="BX188" s="1452"/>
      <c r="BY188" s="1452"/>
      <c r="CA188" s="1457" t="str">
        <f t="shared" si="141"/>
        <v/>
      </c>
      <c r="CB188" s="1457" t="str">
        <f t="shared" si="142"/>
        <v/>
      </c>
      <c r="CC188" s="1457" t="str">
        <f t="shared" si="127"/>
        <v/>
      </c>
      <c r="CD188" s="1457" t="str">
        <f t="shared" si="143"/>
        <v/>
      </c>
      <c r="CE188" s="1457" t="str">
        <f t="shared" si="144"/>
        <v/>
      </c>
      <c r="DA188" s="1458">
        <f t="shared" si="145"/>
        <v>0</v>
      </c>
      <c r="DB188" s="1458">
        <f t="shared" si="128"/>
        <v>0</v>
      </c>
      <c r="DC188" s="1458">
        <f t="shared" si="129"/>
        <v>0</v>
      </c>
      <c r="DD188" s="1458">
        <f t="shared" si="130"/>
        <v>0</v>
      </c>
      <c r="DE188" s="1458">
        <f t="shared" si="146"/>
        <v>0</v>
      </c>
      <c r="DF188" s="1454"/>
      <c r="DG188" s="1454"/>
    </row>
    <row r="189" spans="1:111" ht="16.350000000000001" customHeight="1" x14ac:dyDescent="0.2">
      <c r="A189" s="8197" t="s">
        <v>1095</v>
      </c>
      <c r="B189" s="9369" t="s">
        <v>1094</v>
      </c>
      <c r="C189" s="9309"/>
      <c r="D189" s="5157">
        <f>SUM(E189+F189)</f>
        <v>0</v>
      </c>
      <c r="E189" s="5157">
        <f>SUM(AC189+AE189+AG189+AI189+AK189)</f>
        <v>0</v>
      </c>
      <c r="F189" s="5157">
        <f>SUM(AD189+AF189+AH189+AJ189+AL189)</f>
        <v>0</v>
      </c>
      <c r="G189" s="5019"/>
      <c r="H189" s="5020"/>
      <c r="I189" s="5019"/>
      <c r="J189" s="5020"/>
      <c r="K189" s="5019"/>
      <c r="L189" s="5020"/>
      <c r="M189" s="5019"/>
      <c r="N189" s="5020"/>
      <c r="O189" s="5019"/>
      <c r="P189" s="5020"/>
      <c r="Q189" s="5019"/>
      <c r="R189" s="5020"/>
      <c r="S189" s="5019"/>
      <c r="T189" s="5020"/>
      <c r="U189" s="5019"/>
      <c r="V189" s="5020"/>
      <c r="W189" s="5019"/>
      <c r="X189" s="5020"/>
      <c r="Y189" s="5019"/>
      <c r="Z189" s="5020"/>
      <c r="AA189" s="5019"/>
      <c r="AB189" s="5020"/>
      <c r="AC189" s="5020"/>
      <c r="AD189" s="5020"/>
      <c r="AE189" s="5020"/>
      <c r="AF189" s="5020"/>
      <c r="AG189" s="5020"/>
      <c r="AH189" s="5020"/>
      <c r="AI189" s="5020"/>
      <c r="AJ189" s="5020"/>
      <c r="AK189" s="5158"/>
      <c r="AL189" s="5159"/>
      <c r="AM189" s="5019"/>
      <c r="AN189" s="5020"/>
      <c r="AO189" s="5019"/>
      <c r="AP189" s="5020"/>
      <c r="AQ189" s="5160"/>
      <c r="AR189" s="5161"/>
      <c r="AS189" s="5159"/>
      <c r="AT189" s="5159"/>
      <c r="AU189" s="7216"/>
      <c r="AV189" s="5162"/>
      <c r="AW189" s="5162"/>
      <c r="AX189" s="1529" t="str">
        <f t="shared" si="125"/>
        <v/>
      </c>
      <c r="AY189" s="1193"/>
      <c r="AZ189" s="199"/>
      <c r="BX189" s="1452"/>
      <c r="BY189" s="1452"/>
      <c r="CA189" s="1457" t="str">
        <f t="shared" si="141"/>
        <v/>
      </c>
      <c r="CB189" s="1457" t="str">
        <f t="shared" si="142"/>
        <v/>
      </c>
      <c r="CC189" s="1457" t="str">
        <f t="shared" si="127"/>
        <v/>
      </c>
      <c r="CD189" s="1457" t="str">
        <f t="shared" si="143"/>
        <v/>
      </c>
      <c r="CE189" s="1457" t="str">
        <f t="shared" si="144"/>
        <v/>
      </c>
      <c r="DA189" s="1458">
        <f t="shared" si="145"/>
        <v>0</v>
      </c>
      <c r="DB189" s="1458">
        <f t="shared" si="128"/>
        <v>0</v>
      </c>
      <c r="DC189" s="1458">
        <f t="shared" si="129"/>
        <v>0</v>
      </c>
      <c r="DD189" s="1458">
        <f t="shared" si="130"/>
        <v>0</v>
      </c>
      <c r="DE189" s="1458">
        <f t="shared" si="146"/>
        <v>0</v>
      </c>
      <c r="DF189" s="1454"/>
      <c r="DG189" s="1454"/>
    </row>
    <row r="190" spans="1:111" ht="16.350000000000001" customHeight="1" x14ac:dyDescent="0.2">
      <c r="A190" s="8274"/>
      <c r="B190" s="8274" t="s">
        <v>1093</v>
      </c>
      <c r="C190" s="4944" t="s">
        <v>1090</v>
      </c>
      <c r="D190" s="5108">
        <f t="shared" si="148"/>
        <v>0</v>
      </c>
      <c r="E190" s="5108">
        <f>SUM(AC190+AE190+AG190+AI190+AK190)</f>
        <v>0</v>
      </c>
      <c r="F190" s="3825">
        <f t="shared" ref="E190:F193" si="150">SUM(AD190+AF190+AH190+AJ190+AL190)</f>
        <v>0</v>
      </c>
      <c r="G190" s="3826"/>
      <c r="H190" s="3827"/>
      <c r="I190" s="3826"/>
      <c r="J190" s="3827"/>
      <c r="K190" s="3826"/>
      <c r="L190" s="3827"/>
      <c r="M190" s="3826"/>
      <c r="N190" s="3827"/>
      <c r="O190" s="3826"/>
      <c r="P190" s="3827"/>
      <c r="Q190" s="3826"/>
      <c r="R190" s="3827"/>
      <c r="S190" s="3826"/>
      <c r="T190" s="3827"/>
      <c r="U190" s="3826"/>
      <c r="V190" s="3827"/>
      <c r="W190" s="3826"/>
      <c r="X190" s="3827"/>
      <c r="Y190" s="3826"/>
      <c r="Z190" s="3827"/>
      <c r="AA190" s="3826"/>
      <c r="AB190" s="3827"/>
      <c r="AC190" s="3827"/>
      <c r="AD190" s="3827"/>
      <c r="AE190" s="3827"/>
      <c r="AF190" s="3827"/>
      <c r="AG190" s="3827"/>
      <c r="AH190" s="3827"/>
      <c r="AI190" s="3827"/>
      <c r="AJ190" s="3827"/>
      <c r="AK190" s="3225"/>
      <c r="AL190" s="2877"/>
      <c r="AM190" s="3826"/>
      <c r="AN190" s="3827"/>
      <c r="AO190" s="3826"/>
      <c r="AP190" s="3827"/>
      <c r="AQ190" s="2505"/>
      <c r="AR190" s="3059"/>
      <c r="AS190" s="2877"/>
      <c r="AT190" s="2877"/>
      <c r="AU190" s="2877"/>
      <c r="AV190" s="4026"/>
      <c r="AW190" s="2877"/>
      <c r="AX190" s="1529" t="str">
        <f t="shared" si="125"/>
        <v/>
      </c>
      <c r="AY190" s="1193"/>
      <c r="AZ190" s="199"/>
      <c r="BX190" s="1452"/>
      <c r="BY190" s="1452"/>
      <c r="CA190" s="1457" t="str">
        <f t="shared" si="141"/>
        <v/>
      </c>
      <c r="CB190" s="1457" t="str">
        <f t="shared" si="142"/>
        <v/>
      </c>
      <c r="CC190" s="1457" t="str">
        <f t="shared" si="127"/>
        <v/>
      </c>
      <c r="CD190" s="1457" t="str">
        <f t="shared" si="143"/>
        <v/>
      </c>
      <c r="CE190" s="1457" t="str">
        <f t="shared" si="144"/>
        <v/>
      </c>
      <c r="DA190" s="1458">
        <f t="shared" si="145"/>
        <v>0</v>
      </c>
      <c r="DB190" s="1458">
        <f t="shared" si="128"/>
        <v>0</v>
      </c>
      <c r="DC190" s="1458">
        <f t="shared" si="129"/>
        <v>0</v>
      </c>
      <c r="DD190" s="1458">
        <f t="shared" si="130"/>
        <v>0</v>
      </c>
      <c r="DE190" s="1458">
        <f t="shared" si="146"/>
        <v>0</v>
      </c>
      <c r="DF190" s="1454"/>
      <c r="DG190" s="1454"/>
    </row>
    <row r="191" spans="1:111" ht="16.350000000000001" customHeight="1" x14ac:dyDescent="0.2">
      <c r="A191" s="8274"/>
      <c r="B191" s="8274"/>
      <c r="C191" s="4032" t="s">
        <v>1092</v>
      </c>
      <c r="D191" s="3323">
        <f t="shared" si="148"/>
        <v>0</v>
      </c>
      <c r="E191" s="3323">
        <f t="shared" si="150"/>
        <v>0</v>
      </c>
      <c r="F191" s="5163">
        <f t="shared" si="150"/>
        <v>0</v>
      </c>
      <c r="G191" s="5014"/>
      <c r="H191" s="1706"/>
      <c r="I191" s="5014"/>
      <c r="J191" s="1706"/>
      <c r="K191" s="5014"/>
      <c r="L191" s="1706"/>
      <c r="M191" s="5014"/>
      <c r="N191" s="1706"/>
      <c r="O191" s="5014"/>
      <c r="P191" s="1706"/>
      <c r="Q191" s="5014"/>
      <c r="R191" s="1706"/>
      <c r="S191" s="5014"/>
      <c r="T191" s="1706"/>
      <c r="U191" s="5014"/>
      <c r="V191" s="1706"/>
      <c r="W191" s="5014"/>
      <c r="X191" s="1706"/>
      <c r="Y191" s="5014"/>
      <c r="Z191" s="1706"/>
      <c r="AA191" s="5014"/>
      <c r="AB191" s="1706"/>
      <c r="AC191" s="1706"/>
      <c r="AD191" s="1706"/>
      <c r="AE191" s="1706"/>
      <c r="AF191" s="1706"/>
      <c r="AG191" s="1706"/>
      <c r="AH191" s="1706"/>
      <c r="AI191" s="1706"/>
      <c r="AJ191" s="1706"/>
      <c r="AK191" s="3399"/>
      <c r="AL191" s="1145"/>
      <c r="AM191" s="3809"/>
      <c r="AN191" s="1706"/>
      <c r="AO191" s="3809"/>
      <c r="AP191" s="1706"/>
      <c r="AQ191" s="1056"/>
      <c r="AR191" s="3331"/>
      <c r="AS191" s="1145"/>
      <c r="AT191" s="1145"/>
      <c r="AU191" s="3329"/>
      <c r="AV191" s="5141"/>
      <c r="AW191" s="3329"/>
      <c r="AX191" s="1529" t="str">
        <f t="shared" si="125"/>
        <v/>
      </c>
      <c r="AY191" s="1193"/>
      <c r="AZ191" s="199"/>
      <c r="BX191" s="1452"/>
      <c r="BY191" s="1452"/>
      <c r="CA191" s="1457" t="str">
        <f t="shared" si="141"/>
        <v/>
      </c>
      <c r="CB191" s="1457" t="str">
        <f t="shared" si="142"/>
        <v/>
      </c>
      <c r="CC191" s="1457" t="str">
        <f t="shared" si="127"/>
        <v/>
      </c>
      <c r="CD191" s="1457" t="str">
        <f t="shared" si="143"/>
        <v/>
      </c>
      <c r="CE191" s="1457" t="str">
        <f t="shared" si="144"/>
        <v/>
      </c>
      <c r="DA191" s="1458">
        <f t="shared" si="145"/>
        <v>0</v>
      </c>
      <c r="DB191" s="1458">
        <f t="shared" si="128"/>
        <v>0</v>
      </c>
      <c r="DC191" s="1458">
        <f t="shared" si="129"/>
        <v>0</v>
      </c>
      <c r="DD191" s="1458">
        <f t="shared" si="130"/>
        <v>0</v>
      </c>
      <c r="DE191" s="1458">
        <f t="shared" si="146"/>
        <v>0</v>
      </c>
      <c r="DF191" s="1454"/>
      <c r="DG191" s="1454"/>
    </row>
    <row r="192" spans="1:111" ht="16.350000000000001" customHeight="1" x14ac:dyDescent="0.2">
      <c r="A192" s="8274"/>
      <c r="B192" s="8197" t="s">
        <v>1091</v>
      </c>
      <c r="C192" s="5148" t="s">
        <v>1090</v>
      </c>
      <c r="D192" s="5108">
        <f t="shared" si="148"/>
        <v>0</v>
      </c>
      <c r="E192" s="5128">
        <f t="shared" si="150"/>
        <v>0</v>
      </c>
      <c r="F192" s="3825">
        <f t="shared" si="150"/>
        <v>0</v>
      </c>
      <c r="G192" s="5111"/>
      <c r="H192" s="5164"/>
      <c r="I192" s="5111"/>
      <c r="J192" s="5164"/>
      <c r="K192" s="5111"/>
      <c r="L192" s="5164"/>
      <c r="M192" s="5111"/>
      <c r="N192" s="5164"/>
      <c r="O192" s="5111"/>
      <c r="P192" s="5164"/>
      <c r="Q192" s="5111"/>
      <c r="R192" s="5164"/>
      <c r="S192" s="5111"/>
      <c r="T192" s="5164"/>
      <c r="U192" s="5111"/>
      <c r="V192" s="5164"/>
      <c r="W192" s="5111"/>
      <c r="X192" s="5164"/>
      <c r="Y192" s="5111"/>
      <c r="Z192" s="5164"/>
      <c r="AA192" s="5111"/>
      <c r="AB192" s="5164"/>
      <c r="AC192" s="5164"/>
      <c r="AD192" s="5164"/>
      <c r="AE192" s="5164"/>
      <c r="AF192" s="5164"/>
      <c r="AG192" s="5164"/>
      <c r="AH192" s="5164"/>
      <c r="AI192" s="5164"/>
      <c r="AJ192" s="5164"/>
      <c r="AK192" s="4965"/>
      <c r="AL192" s="4023"/>
      <c r="AM192" s="5111"/>
      <c r="AN192" s="5164"/>
      <c r="AO192" s="5111"/>
      <c r="AP192" s="5164"/>
      <c r="AQ192" s="5114"/>
      <c r="AR192" s="4975"/>
      <c r="AS192" s="4023"/>
      <c r="AT192" s="4023"/>
      <c r="AU192" s="2877"/>
      <c r="AV192" s="4026"/>
      <c r="AW192" s="4026"/>
      <c r="AX192" s="1529" t="str">
        <f t="shared" si="125"/>
        <v/>
      </c>
      <c r="AY192" s="1193"/>
      <c r="AZ192" s="199"/>
      <c r="BX192" s="1452"/>
      <c r="BY192" s="1452"/>
      <c r="CA192" s="1457" t="str">
        <f t="shared" si="141"/>
        <v/>
      </c>
      <c r="CB192" s="1457" t="str">
        <f t="shared" si="142"/>
        <v/>
      </c>
      <c r="CC192" s="1457" t="str">
        <f t="shared" si="127"/>
        <v/>
      </c>
      <c r="CD192" s="1457" t="str">
        <f t="shared" si="143"/>
        <v/>
      </c>
      <c r="CE192" s="1457" t="str">
        <f t="shared" si="144"/>
        <v/>
      </c>
      <c r="DA192" s="1458">
        <f t="shared" si="145"/>
        <v>0</v>
      </c>
      <c r="DB192" s="1458">
        <f t="shared" si="128"/>
        <v>0</v>
      </c>
      <c r="DC192" s="1458">
        <f t="shared" si="129"/>
        <v>0</v>
      </c>
      <c r="DD192" s="1458">
        <f t="shared" si="130"/>
        <v>0</v>
      </c>
      <c r="DE192" s="1458">
        <f t="shared" si="146"/>
        <v>0</v>
      </c>
      <c r="DF192" s="1454"/>
      <c r="DG192" s="1454"/>
    </row>
    <row r="193" spans="1:111" ht="16.350000000000001" customHeight="1" x14ac:dyDescent="0.2">
      <c r="A193" s="9302"/>
      <c r="B193" s="9302"/>
      <c r="C193" s="3346" t="s">
        <v>1089</v>
      </c>
      <c r="D193" s="3323">
        <f t="shared" si="148"/>
        <v>0</v>
      </c>
      <c r="E193" s="5128">
        <f t="shared" si="150"/>
        <v>0</v>
      </c>
      <c r="F193" s="3825">
        <f t="shared" si="150"/>
        <v>0</v>
      </c>
      <c r="G193" s="3327"/>
      <c r="H193" s="3288"/>
      <c r="I193" s="3327"/>
      <c r="J193" s="3288"/>
      <c r="K193" s="3327"/>
      <c r="L193" s="3288"/>
      <c r="M193" s="3327"/>
      <c r="N193" s="3288"/>
      <c r="O193" s="3327"/>
      <c r="P193" s="3288"/>
      <c r="Q193" s="3327"/>
      <c r="R193" s="3288"/>
      <c r="S193" s="3327"/>
      <c r="T193" s="3288"/>
      <c r="U193" s="3327"/>
      <c r="V193" s="3288"/>
      <c r="W193" s="3327"/>
      <c r="X193" s="3288"/>
      <c r="Y193" s="3327"/>
      <c r="Z193" s="3288"/>
      <c r="AA193" s="3327"/>
      <c r="AB193" s="3288"/>
      <c r="AC193" s="3288"/>
      <c r="AD193" s="3288"/>
      <c r="AE193" s="3288"/>
      <c r="AF193" s="3288"/>
      <c r="AG193" s="3288"/>
      <c r="AH193" s="3288"/>
      <c r="AI193" s="3288"/>
      <c r="AJ193" s="3288"/>
      <c r="AK193" s="3117"/>
      <c r="AL193" s="3408"/>
      <c r="AM193" s="5165"/>
      <c r="AN193" s="3288"/>
      <c r="AO193" s="5165"/>
      <c r="AP193" s="3288"/>
      <c r="AQ193" s="3812"/>
      <c r="AR193" s="3124"/>
      <c r="AS193" s="3408"/>
      <c r="AT193" s="3408"/>
      <c r="AU193" s="7215"/>
      <c r="AV193" s="5141"/>
      <c r="AW193" s="3249"/>
      <c r="AX193" s="1529" t="str">
        <f t="shared" si="125"/>
        <v/>
      </c>
      <c r="AY193" s="1193"/>
      <c r="AZ193" s="199"/>
      <c r="BX193" s="1452"/>
      <c r="BY193" s="1452"/>
      <c r="CA193" s="1457" t="str">
        <f t="shared" si="141"/>
        <v/>
      </c>
      <c r="CB193" s="1457" t="str">
        <f t="shared" si="142"/>
        <v/>
      </c>
      <c r="CC193" s="1457" t="str">
        <f t="shared" si="127"/>
        <v/>
      </c>
      <c r="CD193" s="1457" t="str">
        <f t="shared" si="143"/>
        <v/>
      </c>
      <c r="CE193" s="1457" t="str">
        <f t="shared" si="144"/>
        <v/>
      </c>
      <c r="DA193" s="1458">
        <f t="shared" si="145"/>
        <v>0</v>
      </c>
      <c r="DB193" s="1458">
        <f t="shared" si="128"/>
        <v>0</v>
      </c>
      <c r="DC193" s="1458">
        <f t="shared" si="129"/>
        <v>0</v>
      </c>
      <c r="DD193" s="1458">
        <f t="shared" si="130"/>
        <v>0</v>
      </c>
      <c r="DE193" s="1458">
        <f t="shared" si="146"/>
        <v>0</v>
      </c>
      <c r="DF193" s="1454"/>
      <c r="DG193" s="1454"/>
    </row>
    <row r="194" spans="1:111" ht="19.5" customHeight="1" x14ac:dyDescent="0.2">
      <c r="A194" s="9425" t="s">
        <v>2555</v>
      </c>
      <c r="B194" s="8816" t="s">
        <v>2556</v>
      </c>
      <c r="C194" s="5166" t="s">
        <v>1088</v>
      </c>
      <c r="D194" s="5108">
        <f t="shared" si="148"/>
        <v>0</v>
      </c>
      <c r="E194" s="5108">
        <f t="shared" ref="E194:F196" si="151">SUM(Y194+AA194+AC194+AE194+AG194+AI194+AK194+AM194+AO194)</f>
        <v>0</v>
      </c>
      <c r="F194" s="5167">
        <f t="shared" si="151"/>
        <v>0</v>
      </c>
      <c r="G194" s="3811"/>
      <c r="H194" s="2834"/>
      <c r="I194" s="3811"/>
      <c r="J194" s="2834"/>
      <c r="K194" s="3811"/>
      <c r="L194" s="2834"/>
      <c r="M194" s="3811"/>
      <c r="N194" s="2834"/>
      <c r="O194" s="3811"/>
      <c r="P194" s="2834"/>
      <c r="Q194" s="3811"/>
      <c r="R194" s="2834"/>
      <c r="S194" s="3811"/>
      <c r="T194" s="2834"/>
      <c r="U194" s="3811"/>
      <c r="V194" s="2834"/>
      <c r="W194" s="3811"/>
      <c r="X194" s="2834"/>
      <c r="Y194" s="3225"/>
      <c r="Z194" s="2877"/>
      <c r="AA194" s="3225"/>
      <c r="AB194" s="2877"/>
      <c r="AC194" s="3225"/>
      <c r="AD194" s="2877"/>
      <c r="AE194" s="3225"/>
      <c r="AF194" s="2877"/>
      <c r="AG194" s="3225"/>
      <c r="AH194" s="2877"/>
      <c r="AI194" s="3225"/>
      <c r="AJ194" s="2877"/>
      <c r="AK194" s="3225"/>
      <c r="AL194" s="2877"/>
      <c r="AM194" s="3225"/>
      <c r="AN194" s="2877"/>
      <c r="AO194" s="3225"/>
      <c r="AP194" s="2877"/>
      <c r="AQ194" s="2505"/>
      <c r="AR194" s="3059"/>
      <c r="AS194" s="2877"/>
      <c r="AT194" s="2877"/>
      <c r="AU194" s="2877"/>
      <c r="AV194" s="4026"/>
      <c r="AW194" s="2877"/>
      <c r="AX194" s="1529" t="str">
        <f t="shared" si="125"/>
        <v/>
      </c>
      <c r="AY194" s="1193"/>
      <c r="AZ194" s="199"/>
      <c r="BX194" s="1452"/>
      <c r="BY194" s="1452"/>
      <c r="CA194" s="1457" t="str">
        <f t="shared" si="141"/>
        <v/>
      </c>
      <c r="CB194" s="1457" t="str">
        <f t="shared" si="142"/>
        <v/>
      </c>
      <c r="CC194" s="1457" t="str">
        <f t="shared" si="127"/>
        <v/>
      </c>
      <c r="CD194" s="1457" t="str">
        <f t="shared" si="143"/>
        <v/>
      </c>
      <c r="CE194" s="1457" t="str">
        <f t="shared" si="144"/>
        <v/>
      </c>
      <c r="DA194" s="1458">
        <f t="shared" si="145"/>
        <v>0</v>
      </c>
      <c r="DB194" s="1458">
        <f t="shared" si="128"/>
        <v>0</v>
      </c>
      <c r="DC194" s="1458">
        <f t="shared" si="129"/>
        <v>0</v>
      </c>
      <c r="DD194" s="1458">
        <f t="shared" si="130"/>
        <v>0</v>
      </c>
      <c r="DE194" s="1458">
        <f t="shared" si="146"/>
        <v>0</v>
      </c>
      <c r="DF194" s="1454"/>
      <c r="DG194" s="1454"/>
    </row>
    <row r="195" spans="1:111" ht="24.75" customHeight="1" x14ac:dyDescent="0.2">
      <c r="A195" s="9426"/>
      <c r="B195" s="8635"/>
      <c r="C195" s="5168" t="s">
        <v>1087</v>
      </c>
      <c r="D195" s="5116">
        <f t="shared" si="148"/>
        <v>0</v>
      </c>
      <c r="E195" s="5116">
        <f t="shared" si="151"/>
        <v>0</v>
      </c>
      <c r="F195" s="5169">
        <f t="shared" si="151"/>
        <v>0</v>
      </c>
      <c r="G195" s="3828"/>
      <c r="H195" s="1848"/>
      <c r="I195" s="3828"/>
      <c r="J195" s="1848"/>
      <c r="K195" s="3828"/>
      <c r="L195" s="1848"/>
      <c r="M195" s="3828"/>
      <c r="N195" s="1848"/>
      <c r="O195" s="3828"/>
      <c r="P195" s="1848"/>
      <c r="Q195" s="3828"/>
      <c r="R195" s="1848"/>
      <c r="S195" s="3828"/>
      <c r="T195" s="1848"/>
      <c r="U195" s="3828"/>
      <c r="V195" s="1848"/>
      <c r="W195" s="3828"/>
      <c r="X195" s="1848"/>
      <c r="Y195" s="3399"/>
      <c r="Z195" s="1145"/>
      <c r="AA195" s="3399"/>
      <c r="AB195" s="1145"/>
      <c r="AC195" s="3399"/>
      <c r="AD195" s="1145"/>
      <c r="AE195" s="3399"/>
      <c r="AF195" s="1145"/>
      <c r="AG195" s="3399"/>
      <c r="AH195" s="1145"/>
      <c r="AI195" s="3399"/>
      <c r="AJ195" s="1145"/>
      <c r="AK195" s="3399"/>
      <c r="AL195" s="1145"/>
      <c r="AM195" s="3399"/>
      <c r="AN195" s="1145"/>
      <c r="AO195" s="3399"/>
      <c r="AP195" s="1145"/>
      <c r="AQ195" s="1056"/>
      <c r="AR195" s="3331"/>
      <c r="AS195" s="1145"/>
      <c r="AT195" s="1145"/>
      <c r="AU195" s="1145"/>
      <c r="AV195" s="1226"/>
      <c r="AW195" s="1145"/>
      <c r="AX195" s="1529" t="str">
        <f t="shared" si="125"/>
        <v/>
      </c>
      <c r="AY195" s="1193"/>
      <c r="AZ195" s="199"/>
      <c r="BX195" s="1452"/>
      <c r="BY195" s="1452"/>
      <c r="CA195" s="1457" t="str">
        <f t="shared" si="141"/>
        <v/>
      </c>
      <c r="CB195" s="1457" t="str">
        <f t="shared" si="142"/>
        <v/>
      </c>
      <c r="CC195" s="1457" t="str">
        <f t="shared" si="127"/>
        <v/>
      </c>
      <c r="CD195" s="1457" t="str">
        <f t="shared" si="143"/>
        <v/>
      </c>
      <c r="CE195" s="1457" t="str">
        <f t="shared" si="144"/>
        <v/>
      </c>
      <c r="DA195" s="1458">
        <f t="shared" si="145"/>
        <v>0</v>
      </c>
      <c r="DB195" s="1458">
        <f t="shared" si="128"/>
        <v>0</v>
      </c>
      <c r="DC195" s="1458">
        <f t="shared" si="129"/>
        <v>0</v>
      </c>
      <c r="DD195" s="1458">
        <f t="shared" si="130"/>
        <v>0</v>
      </c>
      <c r="DE195" s="1458">
        <f t="shared" si="146"/>
        <v>0</v>
      </c>
      <c r="DF195" s="1454"/>
      <c r="DG195" s="1454"/>
    </row>
    <row r="196" spans="1:111" ht="27" customHeight="1" x14ac:dyDescent="0.2">
      <c r="A196" s="9427"/>
      <c r="B196" s="8817"/>
      <c r="C196" s="5170" t="s">
        <v>1086</v>
      </c>
      <c r="D196" s="3323">
        <f t="shared" si="148"/>
        <v>0</v>
      </c>
      <c r="E196" s="3323">
        <f t="shared" si="151"/>
        <v>0</v>
      </c>
      <c r="F196" s="5171">
        <f t="shared" si="151"/>
        <v>0</v>
      </c>
      <c r="G196" s="5154"/>
      <c r="H196" s="5156"/>
      <c r="I196" s="5154"/>
      <c r="J196" s="5156"/>
      <c r="K196" s="5154"/>
      <c r="L196" s="5156"/>
      <c r="M196" s="5154"/>
      <c r="N196" s="5156"/>
      <c r="O196" s="5154"/>
      <c r="P196" s="5156"/>
      <c r="Q196" s="5154"/>
      <c r="R196" s="5156"/>
      <c r="S196" s="5154"/>
      <c r="T196" s="5156"/>
      <c r="U196" s="5154"/>
      <c r="V196" s="5156"/>
      <c r="W196" s="5154"/>
      <c r="X196" s="5156"/>
      <c r="Y196" s="3248"/>
      <c r="Z196" s="3249"/>
      <c r="AA196" s="3248"/>
      <c r="AB196" s="3249"/>
      <c r="AC196" s="3248"/>
      <c r="AD196" s="3249"/>
      <c r="AE196" s="3248"/>
      <c r="AF196" s="3249"/>
      <c r="AG196" s="3248"/>
      <c r="AH196" s="3249"/>
      <c r="AI196" s="3248"/>
      <c r="AJ196" s="3249"/>
      <c r="AK196" s="3248"/>
      <c r="AL196" s="3249"/>
      <c r="AM196" s="3248"/>
      <c r="AN196" s="3249"/>
      <c r="AO196" s="3248"/>
      <c r="AP196" s="3249"/>
      <c r="AQ196" s="2546"/>
      <c r="AR196" s="3249"/>
      <c r="AS196" s="3249"/>
      <c r="AT196" s="3249"/>
      <c r="AU196" s="3249"/>
      <c r="AV196" s="3329"/>
      <c r="AW196" s="3249"/>
      <c r="AX196" s="1529" t="str">
        <f t="shared" si="125"/>
        <v/>
      </c>
      <c r="AY196" s="1193"/>
      <c r="AZ196" s="199"/>
      <c r="BX196" s="1452"/>
      <c r="BY196" s="1452"/>
      <c r="CA196" s="1457" t="str">
        <f t="shared" si="141"/>
        <v/>
      </c>
      <c r="CB196" s="1457" t="str">
        <f t="shared" si="142"/>
        <v/>
      </c>
      <c r="CC196" s="1457" t="str">
        <f t="shared" si="127"/>
        <v/>
      </c>
      <c r="CD196" s="1457" t="str">
        <f t="shared" si="143"/>
        <v/>
      </c>
      <c r="CE196" s="1457" t="str">
        <f t="shared" si="144"/>
        <v/>
      </c>
      <c r="DA196" s="1458">
        <f t="shared" si="145"/>
        <v>0</v>
      </c>
      <c r="DB196" s="1458">
        <f t="shared" si="128"/>
        <v>0</v>
      </c>
      <c r="DC196" s="1458">
        <f t="shared" si="129"/>
        <v>0</v>
      </c>
      <c r="DD196" s="1458">
        <f t="shared" si="130"/>
        <v>0</v>
      </c>
      <c r="DE196" s="1458">
        <f t="shared" si="146"/>
        <v>0</v>
      </c>
      <c r="DF196" s="1454"/>
      <c r="DG196" s="1454"/>
    </row>
    <row r="197" spans="1:111" ht="32.25" customHeight="1" x14ac:dyDescent="0.2">
      <c r="A197" s="9429" t="s">
        <v>1085</v>
      </c>
      <c r="B197" s="8197" t="s">
        <v>1084</v>
      </c>
      <c r="C197" s="5172" t="s">
        <v>1083</v>
      </c>
      <c r="D197" s="5128">
        <f>SUM(E197+F197)</f>
        <v>0</v>
      </c>
      <c r="E197" s="5128">
        <f>SUM(AC197+AE197+AG197+AI197+AK197+AM197+AO197)</f>
        <v>0</v>
      </c>
      <c r="F197" s="3829">
        <f>SUM(AD197+AF197+AH197+AJ197+AL197+AN197+AP197)</f>
        <v>0</v>
      </c>
      <c r="G197" s="5111"/>
      <c r="H197" s="5164"/>
      <c r="I197" s="5111"/>
      <c r="J197" s="5164"/>
      <c r="K197" s="5111"/>
      <c r="L197" s="5164"/>
      <c r="M197" s="5111"/>
      <c r="N197" s="5164"/>
      <c r="O197" s="5111"/>
      <c r="P197" s="5164"/>
      <c r="Q197" s="5111"/>
      <c r="R197" s="5164"/>
      <c r="S197" s="5111"/>
      <c r="T197" s="5164"/>
      <c r="U197" s="5111"/>
      <c r="V197" s="5164"/>
      <c r="W197" s="5111"/>
      <c r="X197" s="5164"/>
      <c r="Y197" s="5111"/>
      <c r="Z197" s="5164"/>
      <c r="AA197" s="5111"/>
      <c r="AB197" s="5164"/>
      <c r="AC197" s="4965"/>
      <c r="AD197" s="4023"/>
      <c r="AE197" s="4965"/>
      <c r="AF197" s="4023"/>
      <c r="AG197" s="4965"/>
      <c r="AH197" s="4023"/>
      <c r="AI197" s="4965"/>
      <c r="AJ197" s="4023"/>
      <c r="AK197" s="4965"/>
      <c r="AL197" s="4023"/>
      <c r="AM197" s="4965"/>
      <c r="AN197" s="4023"/>
      <c r="AO197" s="4965"/>
      <c r="AP197" s="4023"/>
      <c r="AQ197" s="5173"/>
      <c r="AR197" s="4023"/>
      <c r="AS197" s="4023"/>
      <c r="AT197" s="4023"/>
      <c r="AU197" s="7214"/>
      <c r="AV197" s="5174"/>
      <c r="AW197" s="4023"/>
      <c r="AX197" s="1529" t="str">
        <f t="shared" si="125"/>
        <v/>
      </c>
      <c r="AY197" s="1193"/>
      <c r="AZ197" s="199"/>
      <c r="BX197" s="1452"/>
      <c r="BY197" s="1452"/>
      <c r="CA197" s="1457" t="str">
        <f t="shared" si="141"/>
        <v/>
      </c>
      <c r="CB197" s="1457" t="str">
        <f t="shared" si="142"/>
        <v/>
      </c>
      <c r="CC197" s="1457" t="str">
        <f t="shared" si="127"/>
        <v/>
      </c>
      <c r="CD197" s="1457" t="str">
        <f t="shared" si="143"/>
        <v/>
      </c>
      <c r="CE197" s="1457" t="str">
        <f t="shared" si="144"/>
        <v/>
      </c>
      <c r="DA197" s="1458">
        <f t="shared" si="145"/>
        <v>0</v>
      </c>
      <c r="DB197" s="1458">
        <f t="shared" si="128"/>
        <v>0</v>
      </c>
      <c r="DC197" s="1458">
        <f t="shared" si="129"/>
        <v>0</v>
      </c>
      <c r="DD197" s="1458">
        <f t="shared" si="130"/>
        <v>0</v>
      </c>
      <c r="DE197" s="1458">
        <f t="shared" si="146"/>
        <v>0</v>
      </c>
      <c r="DF197" s="1454"/>
      <c r="DG197" s="1454"/>
    </row>
    <row r="198" spans="1:111" ht="29.25" customHeight="1" x14ac:dyDescent="0.2">
      <c r="A198" s="9430"/>
      <c r="B198" s="9302"/>
      <c r="C198" s="3318" t="s">
        <v>1082</v>
      </c>
      <c r="D198" s="3323">
        <f>SUM(E198+F198)</f>
        <v>0</v>
      </c>
      <c r="E198" s="3323">
        <f>SUM(AC198+AE198+AG198+AI198+AK198+AM198+AO198)</f>
        <v>0</v>
      </c>
      <c r="F198" s="5171">
        <f>SUM(AD198+AF198+AH198+AJ198+AL198+AN198+AP198)</f>
        <v>0</v>
      </c>
      <c r="G198" s="3327"/>
      <c r="H198" s="3292"/>
      <c r="I198" s="3327"/>
      <c r="J198" s="3292"/>
      <c r="K198" s="3327"/>
      <c r="L198" s="3292"/>
      <c r="M198" s="3327"/>
      <c r="N198" s="3292"/>
      <c r="O198" s="3327"/>
      <c r="P198" s="3292"/>
      <c r="Q198" s="3327"/>
      <c r="R198" s="3292"/>
      <c r="S198" s="3327"/>
      <c r="T198" s="3292"/>
      <c r="U198" s="3327"/>
      <c r="V198" s="3292"/>
      <c r="W198" s="3327"/>
      <c r="X198" s="3292"/>
      <c r="Y198" s="3327"/>
      <c r="Z198" s="3292"/>
      <c r="AA198" s="3327"/>
      <c r="AB198" s="3292"/>
      <c r="AC198" s="3248"/>
      <c r="AD198" s="3249"/>
      <c r="AE198" s="3248"/>
      <c r="AF198" s="3249"/>
      <c r="AG198" s="3248"/>
      <c r="AH198" s="3249"/>
      <c r="AI198" s="3248"/>
      <c r="AJ198" s="3249"/>
      <c r="AK198" s="3248"/>
      <c r="AL198" s="3249"/>
      <c r="AM198" s="3248"/>
      <c r="AN198" s="3249"/>
      <c r="AO198" s="3248"/>
      <c r="AP198" s="3249"/>
      <c r="AQ198" s="3830"/>
      <c r="AR198" s="3249"/>
      <c r="AS198" s="3249"/>
      <c r="AT198" s="3249"/>
      <c r="AU198" s="3249"/>
      <c r="AV198" s="5175"/>
      <c r="AW198" s="3249"/>
      <c r="AX198" s="1529" t="str">
        <f t="shared" si="125"/>
        <v/>
      </c>
      <c r="AY198" s="1193"/>
      <c r="AZ198" s="199"/>
      <c r="BX198" s="1452"/>
      <c r="BY198" s="1452"/>
      <c r="CA198" s="1457" t="str">
        <f t="shared" si="141"/>
        <v/>
      </c>
      <c r="CB198" s="1457" t="str">
        <f t="shared" si="142"/>
        <v/>
      </c>
      <c r="CC198" s="1457" t="str">
        <f t="shared" si="127"/>
        <v/>
      </c>
      <c r="CD198" s="1457" t="str">
        <f t="shared" si="143"/>
        <v/>
      </c>
      <c r="CE198" s="1457" t="str">
        <f t="shared" si="144"/>
        <v/>
      </c>
      <c r="DA198" s="1458">
        <f t="shared" si="145"/>
        <v>0</v>
      </c>
      <c r="DB198" s="1458">
        <f t="shared" si="128"/>
        <v>0</v>
      </c>
      <c r="DC198" s="1458">
        <f t="shared" si="129"/>
        <v>0</v>
      </c>
      <c r="DD198" s="1458">
        <f t="shared" si="130"/>
        <v>0</v>
      </c>
      <c r="DE198" s="1458">
        <f t="shared" si="146"/>
        <v>0</v>
      </c>
      <c r="DF198" s="1454"/>
      <c r="DG198" s="1454"/>
    </row>
    <row r="199" spans="1:111" ht="37.5" customHeight="1" x14ac:dyDescent="0.2">
      <c r="A199" s="133" t="s">
        <v>1081</v>
      </c>
      <c r="B199" s="685"/>
      <c r="C199" s="685"/>
      <c r="D199" s="685"/>
      <c r="E199" s="214"/>
      <c r="F199" s="214"/>
      <c r="G199" s="214"/>
      <c r="H199" s="214"/>
      <c r="I199" s="214"/>
      <c r="J199" s="214"/>
      <c r="K199" s="214"/>
      <c r="L199" s="214"/>
      <c r="M199" s="214"/>
      <c r="N199" s="214"/>
      <c r="O199" s="301"/>
      <c r="P199" s="301"/>
      <c r="Q199" s="301"/>
      <c r="R199" s="301"/>
      <c r="S199" s="301"/>
      <c r="T199" s="301"/>
      <c r="U199" s="301"/>
      <c r="V199" s="301"/>
      <c r="W199" s="301"/>
      <c r="X199" s="301"/>
      <c r="Y199" s="290"/>
      <c r="Z199" s="290"/>
      <c r="AA199" s="290"/>
      <c r="AB199" s="290"/>
      <c r="AC199" s="290"/>
      <c r="AD199" s="290"/>
      <c r="AE199" s="290"/>
      <c r="AF199" s="290"/>
      <c r="AG199" s="290"/>
      <c r="AH199" s="290"/>
      <c r="AI199" s="290"/>
      <c r="AJ199" s="290"/>
      <c r="AK199" s="290"/>
      <c r="BV199" s="1452"/>
      <c r="BW199" s="1452"/>
      <c r="DA199" s="1454"/>
      <c r="DB199" s="1454"/>
      <c r="DC199" s="1454"/>
      <c r="DD199" s="1454"/>
      <c r="DE199" s="1454"/>
      <c r="DF199" s="1454"/>
      <c r="DG199" s="1454"/>
    </row>
    <row r="200" spans="1:111" ht="30" customHeight="1" x14ac:dyDescent="0.2">
      <c r="A200" s="9321" t="s">
        <v>41</v>
      </c>
      <c r="B200" s="8619"/>
      <c r="C200" s="9280"/>
      <c r="D200" s="9341" t="s">
        <v>24</v>
      </c>
      <c r="E200" s="9098"/>
      <c r="F200" s="9140"/>
      <c r="G200" s="9299" t="s">
        <v>1061</v>
      </c>
      <c r="H200" s="9300"/>
      <c r="I200" s="9300"/>
      <c r="J200" s="9300"/>
      <c r="K200" s="9300"/>
      <c r="L200" s="9300"/>
      <c r="M200" s="9300"/>
      <c r="N200" s="9300"/>
      <c r="O200" s="9300"/>
      <c r="P200" s="9300"/>
      <c r="Q200" s="9300"/>
      <c r="R200" s="9300"/>
      <c r="S200" s="9300"/>
      <c r="T200" s="9300"/>
      <c r="U200" s="9300"/>
      <c r="V200" s="9300"/>
      <c r="W200" s="9300"/>
      <c r="X200" s="9300"/>
      <c r="Y200" s="9300"/>
      <c r="Z200" s="9300"/>
      <c r="AA200" s="9300"/>
      <c r="AB200" s="9301"/>
      <c r="AC200" s="9435" t="s">
        <v>2546</v>
      </c>
      <c r="AD200" s="9350" t="s">
        <v>44</v>
      </c>
      <c r="AE200" s="9350" t="s">
        <v>1080</v>
      </c>
      <c r="AF200" s="9350" t="s">
        <v>1079</v>
      </c>
      <c r="AG200" s="9350" t="s">
        <v>1078</v>
      </c>
      <c r="BH200" s="1452"/>
      <c r="BI200" s="1452"/>
      <c r="BJ200" s="1460"/>
      <c r="BK200" s="1460"/>
      <c r="BL200" s="1460"/>
      <c r="DA200" s="1454"/>
      <c r="DB200" s="1454"/>
      <c r="DC200" s="1454"/>
      <c r="DD200" s="1454"/>
      <c r="DE200" s="1454"/>
      <c r="DF200" s="1454"/>
      <c r="DG200" s="1454"/>
    </row>
    <row r="201" spans="1:111" ht="32.1" customHeight="1" x14ac:dyDescent="0.2">
      <c r="A201" s="9227"/>
      <c r="B201" s="9254"/>
      <c r="C201" s="9296"/>
      <c r="D201" s="8166"/>
      <c r="E201" s="8130"/>
      <c r="F201" s="8151"/>
      <c r="G201" s="9304" t="s">
        <v>3667</v>
      </c>
      <c r="H201" s="9305"/>
      <c r="I201" s="9306" t="s">
        <v>1077</v>
      </c>
      <c r="J201" s="9307"/>
      <c r="K201" s="9308" t="s">
        <v>1076</v>
      </c>
      <c r="L201" s="9307"/>
      <c r="M201" s="9306" t="s">
        <v>3668</v>
      </c>
      <c r="N201" s="9307"/>
      <c r="O201" s="9306" t="s">
        <v>1075</v>
      </c>
      <c r="P201" s="9307"/>
      <c r="Q201" s="9306" t="s">
        <v>1074</v>
      </c>
      <c r="R201" s="9307"/>
      <c r="S201" s="9306" t="s">
        <v>1045</v>
      </c>
      <c r="T201" s="9307"/>
      <c r="U201" s="9306" t="s">
        <v>1044</v>
      </c>
      <c r="V201" s="9307"/>
      <c r="W201" s="9306" t="s">
        <v>3669</v>
      </c>
      <c r="X201" s="9307"/>
      <c r="Y201" s="9306" t="s">
        <v>48</v>
      </c>
      <c r="Z201" s="9309"/>
      <c r="AA201" s="9306" t="s">
        <v>49</v>
      </c>
      <c r="AB201" s="9309"/>
      <c r="AC201" s="9436"/>
      <c r="AD201" s="9352"/>
      <c r="AE201" s="9352"/>
      <c r="AF201" s="9352"/>
      <c r="AG201" s="9352"/>
      <c r="BH201" s="1452"/>
      <c r="BI201" s="1452"/>
      <c r="BJ201" s="1460"/>
      <c r="BK201" s="1460"/>
      <c r="BL201" s="1460"/>
      <c r="DA201" s="1454"/>
      <c r="DB201" s="1454"/>
      <c r="DC201" s="1454"/>
      <c r="DD201" s="1454"/>
      <c r="DE201" s="1454"/>
      <c r="DF201" s="1454"/>
      <c r="DG201" s="1454"/>
    </row>
    <row r="202" spans="1:111" ht="16.350000000000001" customHeight="1" x14ac:dyDescent="0.2">
      <c r="A202" s="9322"/>
      <c r="B202" s="9297"/>
      <c r="C202" s="9298"/>
      <c r="D202" s="3918" t="s">
        <v>42</v>
      </c>
      <c r="E202" s="3919" t="s">
        <v>17</v>
      </c>
      <c r="F202" s="4960" t="s">
        <v>18</v>
      </c>
      <c r="G202" s="4990" t="s">
        <v>17</v>
      </c>
      <c r="H202" s="4960" t="s">
        <v>18</v>
      </c>
      <c r="I202" s="4990" t="s">
        <v>17</v>
      </c>
      <c r="J202" s="4960" t="s">
        <v>18</v>
      </c>
      <c r="K202" s="3921" t="s">
        <v>17</v>
      </c>
      <c r="L202" s="4960" t="s">
        <v>18</v>
      </c>
      <c r="M202" s="3921" t="s">
        <v>17</v>
      </c>
      <c r="N202" s="4960" t="s">
        <v>18</v>
      </c>
      <c r="O202" s="3921" t="s">
        <v>17</v>
      </c>
      <c r="P202" s="4960" t="s">
        <v>18</v>
      </c>
      <c r="Q202" s="3921" t="s">
        <v>17</v>
      </c>
      <c r="R202" s="4960" t="s">
        <v>18</v>
      </c>
      <c r="S202" s="3921" t="s">
        <v>17</v>
      </c>
      <c r="T202" s="4960" t="s">
        <v>18</v>
      </c>
      <c r="U202" s="3921" t="s">
        <v>17</v>
      </c>
      <c r="V202" s="4960" t="s">
        <v>18</v>
      </c>
      <c r="W202" s="3921" t="s">
        <v>17</v>
      </c>
      <c r="X202" s="4960" t="s">
        <v>18</v>
      </c>
      <c r="Y202" s="3921" t="s">
        <v>17</v>
      </c>
      <c r="Z202" s="4960" t="s">
        <v>18</v>
      </c>
      <c r="AA202" s="3921" t="s">
        <v>17</v>
      </c>
      <c r="AB202" s="4960" t="s">
        <v>18</v>
      </c>
      <c r="AC202" s="9437"/>
      <c r="AD202" s="9354"/>
      <c r="AE202" s="9354"/>
      <c r="AF202" s="9354"/>
      <c r="AG202" s="9354"/>
      <c r="BL202" s="1460"/>
      <c r="DA202" s="1454"/>
      <c r="DB202" s="1454"/>
      <c r="DC202" s="1454"/>
      <c r="DD202" s="1454"/>
      <c r="DE202" s="1454"/>
      <c r="DF202" s="1454"/>
      <c r="DG202" s="1454"/>
    </row>
    <row r="203" spans="1:111" ht="16.350000000000001" customHeight="1" x14ac:dyDescent="0.2">
      <c r="A203" s="9355" t="s">
        <v>1073</v>
      </c>
      <c r="B203" s="9356"/>
      <c r="C203" s="9357"/>
      <c r="D203" s="5176">
        <f>SUM(E203+F203)</f>
        <v>0</v>
      </c>
      <c r="E203" s="4963">
        <f>+K203+M203+O203+Q203+S203</f>
        <v>0</v>
      </c>
      <c r="F203" s="5177">
        <f>+L203+N203+P203+R203+T203</f>
        <v>0</v>
      </c>
      <c r="G203" s="5111"/>
      <c r="H203" s="5164"/>
      <c r="I203" s="5111"/>
      <c r="J203" s="5164"/>
      <c r="K203" s="4965"/>
      <c r="L203" s="4023"/>
      <c r="M203" s="4965"/>
      <c r="N203" s="4023"/>
      <c r="O203" s="4965"/>
      <c r="P203" s="4023"/>
      <c r="Q203" s="4965"/>
      <c r="R203" s="4023"/>
      <c r="S203" s="4965"/>
      <c r="T203" s="4023"/>
      <c r="U203" s="5178"/>
      <c r="V203" s="5179"/>
      <c r="W203" s="5178"/>
      <c r="X203" s="5179"/>
      <c r="Y203" s="5178"/>
      <c r="Z203" s="5179"/>
      <c r="AA203" s="5178"/>
      <c r="AB203" s="5180"/>
      <c r="AC203" s="5114"/>
      <c r="AD203" s="4003">
        <f t="shared" ref="AD203:AD208" si="152">SUM(AE203:AG203)</f>
        <v>0</v>
      </c>
      <c r="AE203" s="4023"/>
      <c r="AF203" s="4023"/>
      <c r="AG203" s="4023"/>
      <c r="AH203" s="1529" t="str">
        <f>$CA203&amp;$CB203&amp;$CC203&amp;$CD203&amp;$CE203&amp;$CF203&amp;$CG203</f>
        <v/>
      </c>
      <c r="BL203" s="1460"/>
      <c r="CA203" s="1457" t="str">
        <f t="shared" ref="CA203:CA208" si="153">IF(DA203=1,"* El número de actividades en usuarios en situacion de discapacidad NO DEBE ser mayor al total. ","")</f>
        <v/>
      </c>
      <c r="CB203" s="1457" t="str">
        <f t="shared" ref="CB203:CB208" si="154">IF(DB203=1,"* El número de actividades en usuarios JUNJI NO DEBE ser mayor al total. ","")</f>
        <v/>
      </c>
      <c r="CC203" s="1457" t="str">
        <f t="shared" ref="CC203:CC208" si="155">IF(DC203=1,"* El número de actividades en usuarios INTEGRA NO DEBE ser mayor al total. ","")</f>
        <v/>
      </c>
      <c r="CD203" s="1457" t="str">
        <f t="shared" ref="CD203:CD208" si="156">IF(DD203=1,"* El número de actividades en usuarios MINEDUC NO DEBE ser mayor al total. ","")</f>
        <v/>
      </c>
      <c r="CE203" s="1457" t="str">
        <f t="shared" ref="CE203:CE208" si="157">IF(DE203=1,"* El total de actividades de JUNJI, Integra y MINEDUC no puede superar el Total.","")</f>
        <v/>
      </c>
      <c r="DA203" s="1458">
        <f>IF(D203&lt;AC203,1,0)</f>
        <v>0</v>
      </c>
      <c r="DB203" s="1458">
        <f>IF(D203&lt;AE203,1,0)</f>
        <v>0</v>
      </c>
      <c r="DC203" s="1458">
        <f>IF(D203&lt;AF203,1,0)</f>
        <v>0</v>
      </c>
      <c r="DD203" s="1458">
        <f>IF(D203&lt;AG203,1,0)</f>
        <v>0</v>
      </c>
      <c r="DE203" s="1458">
        <f>IF(D203&lt;AD203,1,0)</f>
        <v>0</v>
      </c>
      <c r="DF203" s="1454"/>
      <c r="DG203" s="1454"/>
    </row>
    <row r="204" spans="1:111" ht="16.350000000000001" customHeight="1" x14ac:dyDescent="0.2">
      <c r="A204" s="9419" t="s">
        <v>1072</v>
      </c>
      <c r="B204" s="9431"/>
      <c r="C204" s="9420"/>
      <c r="D204" s="3342">
        <f>SUM(E204+F204)</f>
        <v>0</v>
      </c>
      <c r="E204" s="4968">
        <f t="shared" ref="E204:F206" si="158">+K204+M204+O204+Q204+S204</f>
        <v>0</v>
      </c>
      <c r="F204" s="4038">
        <f t="shared" si="158"/>
        <v>0</v>
      </c>
      <c r="G204" s="3826"/>
      <c r="H204" s="3827"/>
      <c r="I204" s="3826"/>
      <c r="J204" s="3827"/>
      <c r="K204" s="3225"/>
      <c r="L204" s="2877"/>
      <c r="M204" s="3225"/>
      <c r="N204" s="2877"/>
      <c r="O204" s="3225"/>
      <c r="P204" s="2877"/>
      <c r="Q204" s="3225"/>
      <c r="R204" s="2877"/>
      <c r="S204" s="3225"/>
      <c r="T204" s="2877"/>
      <c r="U204" s="3831"/>
      <c r="V204" s="3078"/>
      <c r="W204" s="3831"/>
      <c r="X204" s="3078"/>
      <c r="Y204" s="3831"/>
      <c r="Z204" s="3078"/>
      <c r="AA204" s="3831"/>
      <c r="AB204" s="2107"/>
      <c r="AC204" s="2505"/>
      <c r="AD204" s="2984">
        <f t="shared" si="152"/>
        <v>0</v>
      </c>
      <c r="AE204" s="2877"/>
      <c r="AF204" s="2877"/>
      <c r="AG204" s="2877"/>
      <c r="AH204" s="1529" t="str">
        <f>$CA204&amp;$CB204&amp;$CC204&amp;$CD204&amp;$CE204&amp;$CF204&amp;$CG204</f>
        <v/>
      </c>
      <c r="BL204" s="1460"/>
      <c r="CA204" s="1457" t="str">
        <f t="shared" si="153"/>
        <v/>
      </c>
      <c r="CB204" s="1457" t="str">
        <f t="shared" si="154"/>
        <v/>
      </c>
      <c r="CC204" s="1457" t="str">
        <f t="shared" si="155"/>
        <v/>
      </c>
      <c r="CD204" s="1457" t="str">
        <f t="shared" si="156"/>
        <v/>
      </c>
      <c r="CE204" s="1457" t="str">
        <f t="shared" si="157"/>
        <v/>
      </c>
      <c r="DA204" s="1458">
        <f>IF(D204&lt;AC204,1,0)</f>
        <v>0</v>
      </c>
      <c r="DB204" s="1458">
        <f>IF(D204&lt;AE204,1,0)</f>
        <v>0</v>
      </c>
      <c r="DC204" s="1458">
        <f>IF(D204&lt;AF204,1,0)</f>
        <v>0</v>
      </c>
      <c r="DD204" s="1458">
        <f>IF(D204&lt;AG204,1,0)</f>
        <v>0</v>
      </c>
      <c r="DE204" s="1458">
        <f>IF(D204&lt;AD204,1,0)</f>
        <v>0</v>
      </c>
      <c r="DF204" s="1454"/>
      <c r="DG204" s="1454"/>
    </row>
    <row r="205" spans="1:111" ht="16.350000000000001" customHeight="1" x14ac:dyDescent="0.2">
      <c r="A205" s="9432" t="s">
        <v>1071</v>
      </c>
      <c r="B205" s="9433"/>
      <c r="C205" s="9434"/>
      <c r="D205" s="5181">
        <f>SUM(E205+F205)</f>
        <v>0</v>
      </c>
      <c r="E205" s="5182">
        <f t="shared" si="158"/>
        <v>0</v>
      </c>
      <c r="F205" s="2992">
        <f t="shared" si="158"/>
        <v>0</v>
      </c>
      <c r="G205" s="3826"/>
      <c r="H205" s="3827"/>
      <c r="I205" s="3826"/>
      <c r="J205" s="3827"/>
      <c r="K205" s="3225"/>
      <c r="L205" s="2877"/>
      <c r="M205" s="3225"/>
      <c r="N205" s="2877"/>
      <c r="O205" s="3225"/>
      <c r="P205" s="2877"/>
      <c r="Q205" s="3225"/>
      <c r="R205" s="2877"/>
      <c r="S205" s="3225"/>
      <c r="T205" s="2877"/>
      <c r="U205" s="3831"/>
      <c r="V205" s="3078"/>
      <c r="W205" s="3831"/>
      <c r="X205" s="3078"/>
      <c r="Y205" s="3831"/>
      <c r="Z205" s="3078"/>
      <c r="AA205" s="3831"/>
      <c r="AB205" s="2107"/>
      <c r="AC205" s="2505"/>
      <c r="AD205" s="2984">
        <f t="shared" si="152"/>
        <v>0</v>
      </c>
      <c r="AE205" s="2877"/>
      <c r="AF205" s="2877"/>
      <c r="AG205" s="2877"/>
      <c r="AH205" s="1529" t="str">
        <f>$CA205&amp;$CB205&amp;$CC205&amp;$CD205&amp;$CE205&amp;$CF205&amp;$CG205</f>
        <v/>
      </c>
      <c r="BL205" s="1460"/>
      <c r="CA205" s="1457" t="str">
        <f t="shared" si="153"/>
        <v/>
      </c>
      <c r="CB205" s="1457" t="str">
        <f t="shared" si="154"/>
        <v/>
      </c>
      <c r="CC205" s="1457" t="str">
        <f t="shared" si="155"/>
        <v/>
      </c>
      <c r="CD205" s="1457" t="str">
        <f t="shared" si="156"/>
        <v/>
      </c>
      <c r="CE205" s="1457" t="str">
        <f t="shared" si="157"/>
        <v/>
      </c>
      <c r="DA205" s="1458">
        <f>IF(D205&lt;AC205,1,0)</f>
        <v>0</v>
      </c>
      <c r="DB205" s="1458">
        <f>IF(D205&lt;AE205,1,0)</f>
        <v>0</v>
      </c>
      <c r="DC205" s="1458">
        <f>IF(D205&lt;AF205,1,0)</f>
        <v>0</v>
      </c>
      <c r="DD205" s="1458">
        <f>IF(D205&lt;AG205,1,0)</f>
        <v>0</v>
      </c>
      <c r="DE205" s="1458">
        <f>IF(D205&lt;AD205,1,0)</f>
        <v>0</v>
      </c>
      <c r="DF205" s="1454"/>
      <c r="DG205" s="1454"/>
    </row>
    <row r="206" spans="1:111" ht="16.350000000000001" customHeight="1" x14ac:dyDescent="0.2">
      <c r="A206" s="9419" t="s">
        <v>1070</v>
      </c>
      <c r="B206" s="9431"/>
      <c r="C206" s="9420"/>
      <c r="D206" s="5181">
        <f>SUM(E206+F206)</f>
        <v>0</v>
      </c>
      <c r="E206" s="5182">
        <f t="shared" si="158"/>
        <v>0</v>
      </c>
      <c r="F206" s="2993">
        <f t="shared" si="158"/>
        <v>0</v>
      </c>
      <c r="G206" s="2909"/>
      <c r="H206" s="2906"/>
      <c r="I206" s="2909"/>
      <c r="J206" s="2906"/>
      <c r="K206" s="2885"/>
      <c r="L206" s="2889"/>
      <c r="M206" s="2885"/>
      <c r="N206" s="2889"/>
      <c r="O206" s="2885"/>
      <c r="P206" s="2889"/>
      <c r="Q206" s="2885"/>
      <c r="R206" s="2889"/>
      <c r="S206" s="2885"/>
      <c r="T206" s="2889"/>
      <c r="U206" s="5183"/>
      <c r="V206" s="3140"/>
      <c r="W206" s="5183"/>
      <c r="X206" s="3140"/>
      <c r="Y206" s="5183"/>
      <c r="Z206" s="3140"/>
      <c r="AA206" s="5183"/>
      <c r="AB206" s="5184"/>
      <c r="AC206" s="5131"/>
      <c r="AD206" s="2984">
        <f t="shared" si="152"/>
        <v>0</v>
      </c>
      <c r="AE206" s="2889"/>
      <c r="AF206" s="2889"/>
      <c r="AG206" s="2889"/>
      <c r="AH206" s="1529" t="str">
        <f>$CA206&amp;$CB206&amp;$CC206&amp;$CD206&amp;$CE206&amp;$CF206&amp;$CG206</f>
        <v/>
      </c>
      <c r="BL206" s="1460"/>
      <c r="CA206" s="1457" t="str">
        <f t="shared" si="153"/>
        <v/>
      </c>
      <c r="CB206" s="1457" t="str">
        <f t="shared" si="154"/>
        <v/>
      </c>
      <c r="CC206" s="1457" t="str">
        <f t="shared" si="155"/>
        <v/>
      </c>
      <c r="CD206" s="1457" t="str">
        <f t="shared" si="156"/>
        <v/>
      </c>
      <c r="CE206" s="1457" t="str">
        <f t="shared" si="157"/>
        <v/>
      </c>
      <c r="DA206" s="1458">
        <f>IF(D206&lt;AC206,1,0)</f>
        <v>0</v>
      </c>
      <c r="DB206" s="1458">
        <f>IF(D206&lt;AE206,1,0)</f>
        <v>0</v>
      </c>
      <c r="DC206" s="1458">
        <f>IF(D206&lt;AF206,1,0)</f>
        <v>0</v>
      </c>
      <c r="DD206" s="1458">
        <f>IF(D206&lt;AG206,1,0)</f>
        <v>0</v>
      </c>
      <c r="DE206" s="1458">
        <f>IF(D206&lt;AD206,1,0)</f>
        <v>0</v>
      </c>
      <c r="DF206" s="1454"/>
      <c r="DG206" s="1454"/>
    </row>
    <row r="207" spans="1:111" ht="16.350000000000001" customHeight="1" x14ac:dyDescent="0.2">
      <c r="A207" s="9394" t="s">
        <v>1069</v>
      </c>
      <c r="B207" s="9395"/>
      <c r="C207" s="9395"/>
      <c r="D207" s="5185"/>
      <c r="E207" s="5186"/>
      <c r="F207" s="5187"/>
      <c r="G207" s="3832"/>
      <c r="H207" s="5015"/>
      <c r="I207" s="5014"/>
      <c r="J207" s="5015"/>
      <c r="K207" s="5014"/>
      <c r="L207" s="5015"/>
      <c r="M207" s="5014"/>
      <c r="N207" s="5015"/>
      <c r="O207" s="5014"/>
      <c r="P207" s="5015"/>
      <c r="Q207" s="5014"/>
      <c r="R207" s="5015"/>
      <c r="S207" s="5014"/>
      <c r="T207" s="5015"/>
      <c r="U207" s="5014"/>
      <c r="V207" s="5015"/>
      <c r="W207" s="5014"/>
      <c r="X207" s="5015"/>
      <c r="Y207" s="5014"/>
      <c r="Z207" s="5015"/>
      <c r="AA207" s="5014"/>
      <c r="AB207" s="3833"/>
      <c r="AC207" s="3834"/>
      <c r="AD207" s="3402">
        <f t="shared" si="152"/>
        <v>0</v>
      </c>
      <c r="AE207" s="2877"/>
      <c r="AF207" s="2877"/>
      <c r="AG207" s="2877"/>
      <c r="AH207" s="1529"/>
      <c r="BL207" s="1460"/>
      <c r="CA207" s="1457" t="str">
        <f t="shared" si="153"/>
        <v/>
      </c>
      <c r="CB207" s="1457" t="str">
        <f t="shared" si="154"/>
        <v/>
      </c>
      <c r="CC207" s="1457" t="str">
        <f t="shared" si="155"/>
        <v/>
      </c>
      <c r="CD207" s="1457" t="str">
        <f t="shared" si="156"/>
        <v/>
      </c>
      <c r="CE207" s="1457" t="str">
        <f t="shared" si="157"/>
        <v/>
      </c>
      <c r="DA207" s="1458"/>
      <c r="DB207" s="1458"/>
      <c r="DC207" s="1458"/>
      <c r="DD207" s="1458"/>
      <c r="DE207" s="1458"/>
      <c r="DF207" s="1454"/>
      <c r="DG207" s="1454"/>
    </row>
    <row r="208" spans="1:111" ht="16.350000000000001" customHeight="1" x14ac:dyDescent="0.2">
      <c r="A208" s="9339" t="s">
        <v>2118</v>
      </c>
      <c r="B208" s="9339"/>
      <c r="C208" s="9339"/>
      <c r="D208" s="5188"/>
      <c r="E208" s="5189"/>
      <c r="F208" s="5190"/>
      <c r="G208" s="3327"/>
      <c r="H208" s="3292"/>
      <c r="I208" s="3327"/>
      <c r="J208" s="3292"/>
      <c r="K208" s="3327"/>
      <c r="L208" s="3292"/>
      <c r="M208" s="3327"/>
      <c r="N208" s="3292"/>
      <c r="O208" s="3327"/>
      <c r="P208" s="3292"/>
      <c r="Q208" s="3327"/>
      <c r="R208" s="3292"/>
      <c r="S208" s="3327"/>
      <c r="T208" s="3292"/>
      <c r="U208" s="3327"/>
      <c r="V208" s="3292"/>
      <c r="W208" s="3327"/>
      <c r="X208" s="3292"/>
      <c r="Y208" s="3327"/>
      <c r="Z208" s="3292"/>
      <c r="AA208" s="3327"/>
      <c r="AB208" s="3835"/>
      <c r="AC208" s="3836"/>
      <c r="AD208" s="3325">
        <f t="shared" si="152"/>
        <v>0</v>
      </c>
      <c r="AE208" s="3329"/>
      <c r="AF208" s="3249"/>
      <c r="AG208" s="3249"/>
      <c r="AH208" s="1529"/>
      <c r="BL208" s="1460"/>
      <c r="CA208" s="1457" t="str">
        <f t="shared" si="153"/>
        <v/>
      </c>
      <c r="CB208" s="1457" t="str">
        <f t="shared" si="154"/>
        <v/>
      </c>
      <c r="CC208" s="1457" t="str">
        <f t="shared" si="155"/>
        <v/>
      </c>
      <c r="CD208" s="1457" t="str">
        <f t="shared" si="156"/>
        <v/>
      </c>
      <c r="CE208" s="1457" t="str">
        <f t="shared" si="157"/>
        <v/>
      </c>
      <c r="DA208" s="1458"/>
      <c r="DB208" s="1458"/>
      <c r="DC208" s="1458"/>
      <c r="DD208" s="1458"/>
      <c r="DE208" s="1458"/>
      <c r="DF208" s="1454"/>
      <c r="DG208" s="1454"/>
    </row>
    <row r="209" spans="1:111" ht="28.5" customHeight="1" x14ac:dyDescent="0.2">
      <c r="A209" s="133" t="s">
        <v>1068</v>
      </c>
      <c r="B209" s="3837"/>
      <c r="C209" s="685"/>
      <c r="D209" s="214"/>
      <c r="E209" s="214"/>
      <c r="F209" s="239"/>
      <c r="G209" s="239"/>
      <c r="H209" s="239"/>
      <c r="I209" s="235"/>
      <c r="J209" s="3838"/>
      <c r="K209" s="3839"/>
      <c r="L209" s="235"/>
      <c r="M209" s="692"/>
      <c r="N209" s="692"/>
      <c r="AB209" s="290"/>
      <c r="AC209" s="290"/>
      <c r="AD209" s="290"/>
      <c r="AE209" s="290"/>
      <c r="AF209" s="290"/>
      <c r="AG209" s="290"/>
      <c r="AH209" s="290"/>
      <c r="AI209" s="290"/>
      <c r="AJ209" s="290"/>
      <c r="AK209" s="290"/>
      <c r="AL209" s="802"/>
      <c r="AM209" s="802"/>
      <c r="AN209" s="802"/>
      <c r="AO209" s="802"/>
      <c r="AP209" s="802"/>
      <c r="AQ209" s="802"/>
      <c r="AR209" s="802"/>
      <c r="AS209" s="290"/>
      <c r="AT209" s="290"/>
      <c r="BX209" s="165"/>
      <c r="BY209" s="165"/>
      <c r="CA209" s="1457"/>
      <c r="CB209" s="1457"/>
      <c r="CC209" s="1457"/>
      <c r="CD209" s="1457"/>
      <c r="CE209" s="1457"/>
      <c r="CF209" s="1457"/>
      <c r="CG209" s="1457"/>
      <c r="DA209" s="1458"/>
      <c r="DB209" s="1458"/>
      <c r="DC209" s="1458"/>
      <c r="DD209" s="1458"/>
      <c r="DE209" s="1458"/>
      <c r="DF209" s="1458"/>
      <c r="DG209" s="1458"/>
    </row>
    <row r="210" spans="1:111" ht="16.350000000000001" customHeight="1" x14ac:dyDescent="0.2">
      <c r="A210" s="9321" t="s">
        <v>41</v>
      </c>
      <c r="B210" s="8619"/>
      <c r="C210" s="9280"/>
      <c r="D210" s="9341" t="s">
        <v>24</v>
      </c>
      <c r="E210" s="9098"/>
      <c r="F210" s="9438"/>
      <c r="G210" s="9440" t="s">
        <v>1061</v>
      </c>
      <c r="H210" s="9308"/>
      <c r="I210" s="9308"/>
      <c r="J210" s="9308"/>
      <c r="K210" s="9308"/>
      <c r="L210" s="9308"/>
      <c r="M210" s="9308"/>
      <c r="N210" s="9308"/>
      <c r="O210" s="9308"/>
      <c r="P210" s="9308"/>
      <c r="Q210" s="9308"/>
      <c r="R210" s="9308"/>
      <c r="S210" s="9308"/>
      <c r="T210" s="9308"/>
      <c r="U210" s="9308"/>
      <c r="V210" s="9308"/>
      <c r="W210" s="9308"/>
      <c r="X210" s="9308"/>
      <c r="Y210" s="9308"/>
      <c r="Z210" s="9308"/>
      <c r="AA210" s="9308"/>
      <c r="AB210" s="9308"/>
      <c r="AC210" s="9308"/>
      <c r="AD210" s="9308"/>
      <c r="AE210" s="9308"/>
      <c r="AF210" s="9308"/>
      <c r="AG210" s="9308"/>
      <c r="AH210" s="9308"/>
      <c r="AI210" s="9308"/>
      <c r="AJ210" s="9308"/>
      <c r="AK210" s="9308"/>
      <c r="AL210" s="9308"/>
      <c r="AM210" s="9308"/>
      <c r="AN210" s="9308"/>
      <c r="AO210" s="9308"/>
      <c r="AP210" s="9307"/>
      <c r="AQ210" s="802"/>
      <c r="AR210" s="802"/>
      <c r="AS210" s="290"/>
      <c r="AT210" s="290"/>
      <c r="BX210" s="165"/>
      <c r="BY210" s="165"/>
      <c r="CA210" s="1457"/>
      <c r="CB210" s="1457"/>
      <c r="CC210" s="1457"/>
      <c r="CD210" s="1457"/>
      <c r="CE210" s="1457"/>
      <c r="CF210" s="1457"/>
      <c r="CG210" s="1457"/>
      <c r="DA210" s="1458"/>
      <c r="DB210" s="1458"/>
      <c r="DC210" s="1458"/>
      <c r="DD210" s="1458"/>
      <c r="DE210" s="1458"/>
      <c r="DF210" s="1458"/>
      <c r="DG210" s="1458"/>
    </row>
    <row r="211" spans="1:111" ht="32.1" customHeight="1" x14ac:dyDescent="0.2">
      <c r="A211" s="9227"/>
      <c r="B211" s="9254"/>
      <c r="C211" s="9296"/>
      <c r="D211" s="9368"/>
      <c r="E211" s="9230"/>
      <c r="F211" s="9439"/>
      <c r="G211" s="9304" t="s">
        <v>3667</v>
      </c>
      <c r="H211" s="9305"/>
      <c r="I211" s="9306" t="s">
        <v>1077</v>
      </c>
      <c r="J211" s="9307"/>
      <c r="K211" s="9308" t="s">
        <v>1076</v>
      </c>
      <c r="L211" s="9307"/>
      <c r="M211" s="9306" t="s">
        <v>3668</v>
      </c>
      <c r="N211" s="9307"/>
      <c r="O211" s="9306" t="s">
        <v>1075</v>
      </c>
      <c r="P211" s="9307"/>
      <c r="Q211" s="9306" t="s">
        <v>1074</v>
      </c>
      <c r="R211" s="9307"/>
      <c r="S211" s="9306" t="s">
        <v>1045</v>
      </c>
      <c r="T211" s="9307"/>
      <c r="U211" s="9306" t="s">
        <v>1044</v>
      </c>
      <c r="V211" s="9307"/>
      <c r="W211" s="9306" t="s">
        <v>3669</v>
      </c>
      <c r="X211" s="9307"/>
      <c r="Y211" s="9306" t="s">
        <v>48</v>
      </c>
      <c r="Z211" s="9309"/>
      <c r="AA211" s="9306" t="s">
        <v>49</v>
      </c>
      <c r="AB211" s="9309"/>
      <c r="AC211" s="9306" t="s">
        <v>3670</v>
      </c>
      <c r="AD211" s="9309"/>
      <c r="AE211" s="9306" t="s">
        <v>3671</v>
      </c>
      <c r="AF211" s="9309"/>
      <c r="AG211" s="9306" t="s">
        <v>3672</v>
      </c>
      <c r="AH211" s="9309"/>
      <c r="AI211" s="9306" t="s">
        <v>3673</v>
      </c>
      <c r="AJ211" s="9309"/>
      <c r="AK211" s="9306" t="s">
        <v>2127</v>
      </c>
      <c r="AL211" s="9309"/>
      <c r="AM211" s="9306" t="s">
        <v>2128</v>
      </c>
      <c r="AN211" s="9309"/>
      <c r="AO211" s="9306" t="s">
        <v>2126</v>
      </c>
      <c r="AP211" s="9309"/>
      <c r="AQ211" s="802"/>
      <c r="AR211" s="802"/>
      <c r="AS211" s="290"/>
      <c r="AT211" s="290"/>
      <c r="BV211" s="1452"/>
      <c r="BW211" s="1452"/>
      <c r="CA211" s="1457"/>
      <c r="CB211" s="1457"/>
      <c r="CC211" s="1457"/>
      <c r="CD211" s="1457"/>
      <c r="CE211" s="1457"/>
      <c r="CF211" s="1457"/>
      <c r="CG211" s="1457"/>
      <c r="DA211" s="1458"/>
      <c r="DB211" s="1458"/>
      <c r="DC211" s="1458"/>
      <c r="DD211" s="1458"/>
      <c r="DE211" s="1458"/>
      <c r="DF211" s="1458"/>
      <c r="DG211" s="1458"/>
    </row>
    <row r="212" spans="1:111" ht="16.350000000000001" customHeight="1" x14ac:dyDescent="0.2">
      <c r="A212" s="9322"/>
      <c r="B212" s="9297"/>
      <c r="C212" s="9298"/>
      <c r="D212" s="5191" t="s">
        <v>42</v>
      </c>
      <c r="E212" s="4020" t="s">
        <v>17</v>
      </c>
      <c r="F212" s="3840" t="s">
        <v>18</v>
      </c>
      <c r="G212" s="3921" t="s">
        <v>17</v>
      </c>
      <c r="H212" s="4960" t="s">
        <v>18</v>
      </c>
      <c r="I212" s="3921" t="s">
        <v>17</v>
      </c>
      <c r="J212" s="4960" t="s">
        <v>18</v>
      </c>
      <c r="K212" s="3921" t="s">
        <v>17</v>
      </c>
      <c r="L212" s="4960" t="s">
        <v>18</v>
      </c>
      <c r="M212" s="3921" t="s">
        <v>17</v>
      </c>
      <c r="N212" s="4960" t="s">
        <v>18</v>
      </c>
      <c r="O212" s="3921" t="s">
        <v>17</v>
      </c>
      <c r="P212" s="4960" t="s">
        <v>18</v>
      </c>
      <c r="Q212" s="3921" t="s">
        <v>17</v>
      </c>
      <c r="R212" s="4960" t="s">
        <v>18</v>
      </c>
      <c r="S212" s="3921" t="s">
        <v>17</v>
      </c>
      <c r="T212" s="4960" t="s">
        <v>18</v>
      </c>
      <c r="U212" s="3921" t="s">
        <v>17</v>
      </c>
      <c r="V212" s="4960" t="s">
        <v>18</v>
      </c>
      <c r="W212" s="3921" t="s">
        <v>17</v>
      </c>
      <c r="X212" s="4960" t="s">
        <v>18</v>
      </c>
      <c r="Y212" s="3921" t="s">
        <v>17</v>
      </c>
      <c r="Z212" s="4960" t="s">
        <v>18</v>
      </c>
      <c r="AA212" s="3921" t="s">
        <v>17</v>
      </c>
      <c r="AB212" s="4960" t="s">
        <v>18</v>
      </c>
      <c r="AC212" s="3921" t="s">
        <v>17</v>
      </c>
      <c r="AD212" s="4960" t="s">
        <v>18</v>
      </c>
      <c r="AE212" s="3921" t="s">
        <v>17</v>
      </c>
      <c r="AF212" s="4960" t="s">
        <v>18</v>
      </c>
      <c r="AG212" s="3921" t="s">
        <v>17</v>
      </c>
      <c r="AH212" s="4960" t="s">
        <v>18</v>
      </c>
      <c r="AI212" s="3921" t="s">
        <v>17</v>
      </c>
      <c r="AJ212" s="4960" t="s">
        <v>18</v>
      </c>
      <c r="AK212" s="3921" t="s">
        <v>17</v>
      </c>
      <c r="AL212" s="4960" t="s">
        <v>18</v>
      </c>
      <c r="AM212" s="3921" t="s">
        <v>17</v>
      </c>
      <c r="AN212" s="4960" t="s">
        <v>18</v>
      </c>
      <c r="AO212" s="3921" t="s">
        <v>17</v>
      </c>
      <c r="AP212" s="4960" t="s">
        <v>18</v>
      </c>
      <c r="BV212" s="1452"/>
      <c r="BW212" s="1452"/>
      <c r="CA212" s="1457"/>
      <c r="CB212" s="1457"/>
      <c r="CC212" s="1457"/>
      <c r="CD212" s="1457"/>
      <c r="CE212" s="1457"/>
      <c r="CF212" s="1457"/>
      <c r="CG212" s="1457"/>
      <c r="DA212" s="1458"/>
      <c r="DB212" s="1458"/>
      <c r="DC212" s="1458"/>
      <c r="DD212" s="1458"/>
      <c r="DE212" s="1458"/>
      <c r="DF212" s="1458"/>
      <c r="DG212" s="1458"/>
    </row>
    <row r="213" spans="1:111" ht="17.25" customHeight="1" x14ac:dyDescent="0.2">
      <c r="A213" s="9325" t="s">
        <v>1067</v>
      </c>
      <c r="B213" s="9326"/>
      <c r="C213" s="9446"/>
      <c r="D213" s="5101">
        <f>SUM(E213:F213)</f>
        <v>0</v>
      </c>
      <c r="E213" s="4003">
        <f>SUM(G213+I213+K213+M213+O213+Q213+S213+U213+W213+Y213+AA213+AC213+AE213+AG213+AI213+AK213+AM213+AO213)</f>
        <v>0</v>
      </c>
      <c r="F213" s="7503">
        <f t="shared" ref="E213:F216" si="159">SUM(H213+J213+L213+N213+P213+R213+T213+V213+X213+Z213+AB213+AD213+AF213+AH213+AJ213+AL213+AN213+AP213)</f>
        <v>0</v>
      </c>
      <c r="G213" s="5192"/>
      <c r="H213" s="4975"/>
      <c r="I213" s="4909"/>
      <c r="J213" s="4975"/>
      <c r="K213" s="4909"/>
      <c r="L213" s="4975"/>
      <c r="M213" s="4909"/>
      <c r="N213" s="4975"/>
      <c r="O213" s="4909"/>
      <c r="P213" s="4975"/>
      <c r="Q213" s="4909"/>
      <c r="R213" s="4975"/>
      <c r="S213" s="4909"/>
      <c r="T213" s="4975"/>
      <c r="U213" s="4909"/>
      <c r="V213" s="4975"/>
      <c r="W213" s="5102"/>
      <c r="X213" s="4975"/>
      <c r="Y213" s="4909"/>
      <c r="Z213" s="4975"/>
      <c r="AA213" s="4909"/>
      <c r="AB213" s="4975"/>
      <c r="AC213" s="4909"/>
      <c r="AD213" s="4975"/>
      <c r="AE213" s="4909"/>
      <c r="AF213" s="4975"/>
      <c r="AG213" s="4909"/>
      <c r="AH213" s="4975"/>
      <c r="AI213" s="4909"/>
      <c r="AJ213" s="4975"/>
      <c r="AK213" s="5102"/>
      <c r="AL213" s="4975"/>
      <c r="AM213" s="4909"/>
      <c r="AN213" s="4975"/>
      <c r="AO213" s="4909"/>
      <c r="AP213" s="4975"/>
      <c r="BV213" s="1452"/>
      <c r="BW213" s="1452"/>
      <c r="CA213" s="1457"/>
      <c r="CB213" s="1457"/>
      <c r="CC213" s="1457"/>
      <c r="CD213" s="1457"/>
      <c r="CE213" s="1457"/>
      <c r="CF213" s="1457"/>
      <c r="CG213" s="1457"/>
      <c r="DA213" s="1458"/>
      <c r="DB213" s="1458"/>
      <c r="DC213" s="1458"/>
      <c r="DD213" s="1458"/>
      <c r="DE213" s="1458"/>
      <c r="DF213" s="1458"/>
      <c r="DG213" s="1458"/>
    </row>
    <row r="214" spans="1:111" ht="16.350000000000001" customHeight="1" x14ac:dyDescent="0.2">
      <c r="A214" s="9331" t="s">
        <v>1066</v>
      </c>
      <c r="B214" s="9332"/>
      <c r="C214" s="9333"/>
      <c r="D214" s="2971">
        <f>SUM(E214:F214)</f>
        <v>0</v>
      </c>
      <c r="E214" s="2984">
        <f t="shared" si="159"/>
        <v>0</v>
      </c>
      <c r="F214" s="7504">
        <f t="shared" si="159"/>
        <v>0</v>
      </c>
      <c r="G214" s="1896"/>
      <c r="H214" s="1882"/>
      <c r="I214" s="2915"/>
      <c r="J214" s="1882"/>
      <c r="K214" s="2915"/>
      <c r="L214" s="1882"/>
      <c r="M214" s="2915"/>
      <c r="N214" s="1882"/>
      <c r="O214" s="2915"/>
      <c r="P214" s="1882"/>
      <c r="Q214" s="2915"/>
      <c r="R214" s="1882"/>
      <c r="S214" s="2915"/>
      <c r="T214" s="1882"/>
      <c r="U214" s="2915"/>
      <c r="V214" s="1882"/>
      <c r="W214" s="3068"/>
      <c r="X214" s="1882"/>
      <c r="Y214" s="2915"/>
      <c r="Z214" s="1882"/>
      <c r="AA214" s="2915"/>
      <c r="AB214" s="1882"/>
      <c r="AC214" s="2915"/>
      <c r="AD214" s="1882"/>
      <c r="AE214" s="2915"/>
      <c r="AF214" s="1882"/>
      <c r="AG214" s="2915"/>
      <c r="AH214" s="1882"/>
      <c r="AI214" s="2915"/>
      <c r="AJ214" s="1882"/>
      <c r="AK214" s="3068"/>
      <c r="AL214" s="1882"/>
      <c r="AM214" s="2915"/>
      <c r="AN214" s="1882"/>
      <c r="AO214" s="2915"/>
      <c r="AP214" s="1882"/>
      <c r="BV214" s="1452"/>
      <c r="BW214" s="1452"/>
      <c r="CA214" s="1457"/>
      <c r="CB214" s="1457"/>
      <c r="CC214" s="1457"/>
      <c r="CD214" s="1457"/>
      <c r="CE214" s="1457"/>
      <c r="CF214" s="1457"/>
      <c r="CG214" s="1457"/>
      <c r="DA214" s="1458"/>
      <c r="DB214" s="1458"/>
      <c r="DC214" s="1458"/>
      <c r="DD214" s="1458"/>
      <c r="DE214" s="1458"/>
      <c r="DF214" s="1458"/>
      <c r="DG214" s="1458"/>
    </row>
    <row r="215" spans="1:111" ht="16.350000000000001" customHeight="1" x14ac:dyDescent="0.2">
      <c r="A215" s="9328" t="s">
        <v>1065</v>
      </c>
      <c r="B215" s="9329"/>
      <c r="C215" s="9330"/>
      <c r="D215" s="2971">
        <f>SUM(E215:F215)</f>
        <v>0</v>
      </c>
      <c r="E215" s="2984">
        <f t="shared" si="159"/>
        <v>0</v>
      </c>
      <c r="F215" s="7504">
        <f t="shared" si="159"/>
        <v>0</v>
      </c>
      <c r="G215" s="1896"/>
      <c r="H215" s="1882"/>
      <c r="I215" s="2915"/>
      <c r="J215" s="1882"/>
      <c r="K215" s="2915"/>
      <c r="L215" s="1882"/>
      <c r="M215" s="2915"/>
      <c r="N215" s="1882"/>
      <c r="O215" s="2915"/>
      <c r="P215" s="1882"/>
      <c r="Q215" s="2915"/>
      <c r="R215" s="1882"/>
      <c r="S215" s="2915"/>
      <c r="T215" s="1882"/>
      <c r="U215" s="2915"/>
      <c r="V215" s="1882"/>
      <c r="W215" s="3068"/>
      <c r="X215" s="1882"/>
      <c r="Y215" s="2915"/>
      <c r="Z215" s="1882"/>
      <c r="AA215" s="2915"/>
      <c r="AB215" s="1882"/>
      <c r="AC215" s="2915"/>
      <c r="AD215" s="1882"/>
      <c r="AE215" s="2915"/>
      <c r="AF215" s="1882"/>
      <c r="AG215" s="2915"/>
      <c r="AH215" s="1882"/>
      <c r="AI215" s="2915"/>
      <c r="AJ215" s="1882"/>
      <c r="AK215" s="3068"/>
      <c r="AL215" s="1882"/>
      <c r="AM215" s="2915"/>
      <c r="AN215" s="1882"/>
      <c r="AO215" s="2915"/>
      <c r="AP215" s="1882"/>
      <c r="BV215" s="1452"/>
      <c r="BW215" s="1452"/>
      <c r="CA215" s="1457"/>
      <c r="CB215" s="1457"/>
      <c r="CC215" s="1457"/>
      <c r="CD215" s="1457"/>
      <c r="CE215" s="1457"/>
      <c r="CF215" s="1457"/>
      <c r="CG215" s="1457"/>
      <c r="DA215" s="1458"/>
      <c r="DB215" s="1458"/>
      <c r="DC215" s="1458"/>
      <c r="DD215" s="1458"/>
      <c r="DE215" s="1458"/>
      <c r="DF215" s="1458"/>
      <c r="DG215" s="1458"/>
    </row>
    <row r="216" spans="1:111" ht="16.350000000000001" customHeight="1" x14ac:dyDescent="0.2">
      <c r="A216" s="9447" t="s">
        <v>1064</v>
      </c>
      <c r="B216" s="9447"/>
      <c r="C216" s="9376"/>
      <c r="D216" s="5193">
        <f>SUM(E216:F216)</f>
        <v>0</v>
      </c>
      <c r="E216" s="3325">
        <f t="shared" si="159"/>
        <v>0</v>
      </c>
      <c r="F216" s="7505">
        <f t="shared" si="159"/>
        <v>0</v>
      </c>
      <c r="G216" s="2892"/>
      <c r="H216" s="2884"/>
      <c r="I216" s="2533"/>
      <c r="J216" s="2884"/>
      <c r="K216" s="2533"/>
      <c r="L216" s="2884"/>
      <c r="M216" s="2533"/>
      <c r="N216" s="2884"/>
      <c r="O216" s="2533"/>
      <c r="P216" s="2884"/>
      <c r="Q216" s="2533"/>
      <c r="R216" s="2884"/>
      <c r="S216" s="2533"/>
      <c r="T216" s="2884"/>
      <c r="U216" s="2533"/>
      <c r="V216" s="2884"/>
      <c r="W216" s="2891"/>
      <c r="X216" s="2884"/>
      <c r="Y216" s="2533"/>
      <c r="Z216" s="2884"/>
      <c r="AA216" s="2533"/>
      <c r="AB216" s="2884"/>
      <c r="AC216" s="2533"/>
      <c r="AD216" s="2884"/>
      <c r="AE216" s="2533"/>
      <c r="AF216" s="2884"/>
      <c r="AG216" s="2533"/>
      <c r="AH216" s="2884"/>
      <c r="AI216" s="2533"/>
      <c r="AJ216" s="2884"/>
      <c r="AK216" s="2891"/>
      <c r="AL216" s="2884"/>
      <c r="AM216" s="2533"/>
      <c r="AN216" s="2884"/>
      <c r="AO216" s="2533"/>
      <c r="AP216" s="2884"/>
      <c r="BV216" s="1452"/>
      <c r="BW216" s="1452"/>
      <c r="CA216" s="1457"/>
      <c r="CB216" s="1457"/>
      <c r="CC216" s="1457"/>
      <c r="CD216" s="1457"/>
      <c r="CE216" s="1457"/>
      <c r="CF216" s="1457"/>
      <c r="CG216" s="1457"/>
      <c r="DA216" s="1458"/>
      <c r="DB216" s="1458"/>
      <c r="DC216" s="1458"/>
      <c r="DD216" s="1458"/>
      <c r="DE216" s="1458"/>
      <c r="DF216" s="1458"/>
      <c r="DG216" s="1458"/>
    </row>
    <row r="217" spans="1:111" ht="27.75" customHeight="1" x14ac:dyDescent="0.2">
      <c r="A217" s="133" t="s">
        <v>2050</v>
      </c>
      <c r="B217" s="1230"/>
      <c r="C217" s="1230"/>
      <c r="D217" s="796"/>
      <c r="E217" s="796"/>
      <c r="F217" s="796"/>
      <c r="G217" s="3841"/>
      <c r="H217" s="3841"/>
      <c r="I217" s="3841"/>
      <c r="J217" s="3842"/>
      <c r="K217" s="3843"/>
      <c r="L217" s="3841"/>
      <c r="M217" s="3843"/>
      <c r="N217" s="3844"/>
      <c r="O217" s="290"/>
      <c r="P217" s="290"/>
      <c r="Q217" s="290"/>
      <c r="R217" s="290"/>
      <c r="S217" s="290"/>
      <c r="T217" s="290"/>
      <c r="U217" s="290"/>
      <c r="V217" s="290"/>
      <c r="W217" s="290"/>
      <c r="BV217" s="1452"/>
      <c r="BW217" s="1452"/>
      <c r="CA217" s="1457"/>
      <c r="CB217" s="1457"/>
      <c r="CC217" s="1457"/>
      <c r="CD217" s="1457"/>
      <c r="CE217" s="1457"/>
      <c r="CF217" s="1457"/>
      <c r="CG217" s="1457"/>
      <c r="DA217" s="1458"/>
      <c r="DB217" s="1458"/>
      <c r="DC217" s="1458"/>
      <c r="DD217" s="1458"/>
      <c r="DE217" s="1458"/>
      <c r="DF217" s="1458"/>
      <c r="DG217" s="1458"/>
    </row>
    <row r="218" spans="1:111" s="199" customFormat="1" ht="16.350000000000001" customHeight="1" x14ac:dyDescent="0.2">
      <c r="A218" s="9349" t="s">
        <v>1063</v>
      </c>
      <c r="B218" s="9448"/>
      <c r="C218" s="9350"/>
      <c r="D218" s="9341" t="s">
        <v>1062</v>
      </c>
      <c r="E218" s="9098"/>
      <c r="F218" s="9140"/>
      <c r="G218" s="9306" t="s">
        <v>1061</v>
      </c>
      <c r="H218" s="9308"/>
      <c r="I218" s="9308"/>
      <c r="J218" s="9308"/>
      <c r="K218" s="9308"/>
      <c r="L218" s="9308"/>
      <c r="M218" s="9308"/>
      <c r="N218" s="9308"/>
      <c r="O218" s="9308"/>
      <c r="P218" s="9308"/>
      <c r="Q218" s="9308"/>
      <c r="R218" s="9308"/>
      <c r="S218" s="9308"/>
      <c r="T218" s="9308"/>
      <c r="U218" s="9308"/>
      <c r="V218" s="9308"/>
      <c r="W218" s="9308"/>
      <c r="X218" s="9308"/>
      <c r="Y218" s="9308"/>
      <c r="Z218" s="9308"/>
      <c r="AA218" s="9308"/>
      <c r="AB218" s="9308"/>
      <c r="AC218" s="9308"/>
      <c r="AD218" s="9308"/>
      <c r="AE218" s="9308"/>
      <c r="AF218" s="9308"/>
      <c r="AG218" s="9308"/>
      <c r="AH218" s="9308"/>
      <c r="AI218" s="9308"/>
      <c r="AJ218" s="9308"/>
      <c r="AK218" s="9308"/>
      <c r="AL218" s="9308"/>
      <c r="AM218" s="9308"/>
      <c r="AN218" s="9345"/>
      <c r="AO218" s="9451" t="s">
        <v>112</v>
      </c>
      <c r="AP218" s="9454" t="s">
        <v>2530</v>
      </c>
      <c r="AQ218" s="9456" t="s">
        <v>1060</v>
      </c>
      <c r="AR218" s="9457"/>
      <c r="AS218" s="8492" t="s">
        <v>2510</v>
      </c>
      <c r="AT218" s="9441" t="s">
        <v>1735</v>
      </c>
      <c r="AU218" s="9441" t="s">
        <v>3740</v>
      </c>
      <c r="AV218" s="9521" t="s">
        <v>2546</v>
      </c>
      <c r="AW218" s="9512" t="s">
        <v>3678</v>
      </c>
      <c r="AX218" s="9457" t="s">
        <v>359</v>
      </c>
      <c r="AZ218" s="1528"/>
      <c r="BA218" s="1528"/>
      <c r="BB218" s="1528"/>
      <c r="BC218" s="3845"/>
      <c r="BE218" s="3845"/>
      <c r="BG218" s="1528"/>
      <c r="BH218" s="1528"/>
      <c r="BI218" s="1528"/>
      <c r="BJ218" s="1528"/>
      <c r="BK218" s="1528"/>
      <c r="BL218" s="1528"/>
      <c r="BM218" s="1528"/>
      <c r="BN218" s="3845"/>
      <c r="BP218" s="1528"/>
      <c r="BQ218" s="1528"/>
      <c r="BR218" s="1528"/>
      <c r="BS218" s="1528"/>
      <c r="BT218" s="3845"/>
      <c r="BU218" s="3788"/>
      <c r="BV218" s="3846"/>
      <c r="BW218" s="1460"/>
      <c r="BX218" s="3847"/>
      <c r="BY218" s="1460"/>
      <c r="CA218" s="1457"/>
      <c r="CB218" s="1457"/>
      <c r="CC218" s="1457"/>
      <c r="CD218" s="1457"/>
      <c r="CE218" s="1457"/>
      <c r="CF218" s="1457"/>
      <c r="CG218" s="1457"/>
      <c r="CO218" s="1451"/>
      <c r="CP218" s="1451"/>
      <c r="CQ218" s="1451"/>
      <c r="CR218" s="1451"/>
      <c r="CS218" s="1451"/>
      <c r="CT218" s="1451"/>
      <c r="DA218" s="1458"/>
      <c r="DB218" s="1458"/>
      <c r="DC218" s="1458"/>
      <c r="DD218" s="1458"/>
      <c r="DE218" s="1458"/>
      <c r="DF218" s="1458"/>
      <c r="DG218" s="1458"/>
    </row>
    <row r="219" spans="1:111" ht="32.1" customHeight="1" x14ac:dyDescent="0.2">
      <c r="A219" s="9351"/>
      <c r="B219" s="9449"/>
      <c r="C219" s="9352"/>
      <c r="D219" s="9368"/>
      <c r="E219" s="9230"/>
      <c r="F219" s="8527"/>
      <c r="G219" s="9304" t="s">
        <v>3675</v>
      </c>
      <c r="H219" s="9305"/>
      <c r="I219" s="9308" t="s">
        <v>1076</v>
      </c>
      <c r="J219" s="9307"/>
      <c r="K219" s="9306" t="s">
        <v>3668</v>
      </c>
      <c r="L219" s="9307"/>
      <c r="M219" s="9306" t="s">
        <v>1075</v>
      </c>
      <c r="N219" s="9307"/>
      <c r="O219" s="9306" t="s">
        <v>1074</v>
      </c>
      <c r="P219" s="9307"/>
      <c r="Q219" s="9306" t="s">
        <v>1045</v>
      </c>
      <c r="R219" s="9307"/>
      <c r="S219" s="9306" t="s">
        <v>1044</v>
      </c>
      <c r="T219" s="9307"/>
      <c r="U219" s="9306" t="s">
        <v>3669</v>
      </c>
      <c r="V219" s="9307"/>
      <c r="W219" s="9306" t="s">
        <v>48</v>
      </c>
      <c r="X219" s="9309"/>
      <c r="Y219" s="9306" t="s">
        <v>49</v>
      </c>
      <c r="Z219" s="9309"/>
      <c r="AA219" s="9306" t="s">
        <v>3670</v>
      </c>
      <c r="AB219" s="9309"/>
      <c r="AC219" s="9306" t="s">
        <v>3671</v>
      </c>
      <c r="AD219" s="9309"/>
      <c r="AE219" s="9306" t="s">
        <v>3672</v>
      </c>
      <c r="AF219" s="9309"/>
      <c r="AG219" s="9306" t="s">
        <v>3673</v>
      </c>
      <c r="AH219" s="9309"/>
      <c r="AI219" s="9306" t="s">
        <v>2127</v>
      </c>
      <c r="AJ219" s="9309"/>
      <c r="AK219" s="9306" t="s">
        <v>2128</v>
      </c>
      <c r="AL219" s="9309"/>
      <c r="AM219" s="9306" t="s">
        <v>2126</v>
      </c>
      <c r="AN219" s="9309"/>
      <c r="AO219" s="9452"/>
      <c r="AP219" s="9455"/>
      <c r="AQ219" s="8499" t="s">
        <v>1059</v>
      </c>
      <c r="AR219" s="9444" t="s">
        <v>1058</v>
      </c>
      <c r="AS219" s="9458"/>
      <c r="AT219" s="9442"/>
      <c r="AU219" s="9442"/>
      <c r="AV219" s="9513"/>
      <c r="AW219" s="9513"/>
      <c r="AX219" s="9457"/>
      <c r="BU219" s="1452"/>
      <c r="BV219" s="1452"/>
      <c r="BW219" s="1460"/>
      <c r="CA219" s="1457"/>
      <c r="CB219" s="1457"/>
      <c r="CC219" s="1457"/>
      <c r="CD219" s="1457"/>
      <c r="CE219" s="1457"/>
      <c r="CF219" s="1457"/>
      <c r="CG219" s="1457"/>
      <c r="DA219" s="1458"/>
      <c r="DB219" s="1458"/>
      <c r="DC219" s="1458"/>
      <c r="DD219" s="1458"/>
      <c r="DE219" s="1458"/>
      <c r="DF219" s="1458"/>
      <c r="DG219" s="1458"/>
    </row>
    <row r="220" spans="1:111" ht="25.35" customHeight="1" x14ac:dyDescent="0.2">
      <c r="A220" s="9353"/>
      <c r="B220" s="9450"/>
      <c r="C220" s="9354"/>
      <c r="D220" s="4931" t="s">
        <v>42</v>
      </c>
      <c r="E220" s="5194" t="s">
        <v>17</v>
      </c>
      <c r="F220" s="3355" t="s">
        <v>18</v>
      </c>
      <c r="G220" s="3921" t="s">
        <v>17</v>
      </c>
      <c r="H220" s="4960" t="s">
        <v>18</v>
      </c>
      <c r="I220" s="3921" t="s">
        <v>17</v>
      </c>
      <c r="J220" s="4960" t="s">
        <v>18</v>
      </c>
      <c r="K220" s="3921" t="s">
        <v>17</v>
      </c>
      <c r="L220" s="4960" t="s">
        <v>18</v>
      </c>
      <c r="M220" s="3921" t="s">
        <v>17</v>
      </c>
      <c r="N220" s="4960" t="s">
        <v>18</v>
      </c>
      <c r="O220" s="3921" t="s">
        <v>17</v>
      </c>
      <c r="P220" s="4960" t="s">
        <v>18</v>
      </c>
      <c r="Q220" s="3921" t="s">
        <v>17</v>
      </c>
      <c r="R220" s="4960" t="s">
        <v>18</v>
      </c>
      <c r="S220" s="3921" t="s">
        <v>17</v>
      </c>
      <c r="T220" s="4960" t="s">
        <v>18</v>
      </c>
      <c r="U220" s="3921" t="s">
        <v>17</v>
      </c>
      <c r="V220" s="4960" t="s">
        <v>18</v>
      </c>
      <c r="W220" s="3921" t="s">
        <v>17</v>
      </c>
      <c r="X220" s="4960" t="s">
        <v>18</v>
      </c>
      <c r="Y220" s="3921" t="s">
        <v>17</v>
      </c>
      <c r="Z220" s="4960" t="s">
        <v>18</v>
      </c>
      <c r="AA220" s="3921" t="s">
        <v>17</v>
      </c>
      <c r="AB220" s="4960" t="s">
        <v>18</v>
      </c>
      <c r="AC220" s="3921" t="s">
        <v>17</v>
      </c>
      <c r="AD220" s="4960" t="s">
        <v>18</v>
      </c>
      <c r="AE220" s="3921" t="s">
        <v>17</v>
      </c>
      <c r="AF220" s="4960" t="s">
        <v>18</v>
      </c>
      <c r="AG220" s="3921" t="s">
        <v>17</v>
      </c>
      <c r="AH220" s="4960" t="s">
        <v>18</v>
      </c>
      <c r="AI220" s="3921" t="s">
        <v>17</v>
      </c>
      <c r="AJ220" s="4960" t="s">
        <v>18</v>
      </c>
      <c r="AK220" s="3921" t="s">
        <v>17</v>
      </c>
      <c r="AL220" s="4960" t="s">
        <v>18</v>
      </c>
      <c r="AM220" s="3921" t="s">
        <v>17</v>
      </c>
      <c r="AN220" s="4960" t="s">
        <v>18</v>
      </c>
      <c r="AO220" s="9453"/>
      <c r="AP220" s="8495"/>
      <c r="AQ220" s="9459"/>
      <c r="AR220" s="9445"/>
      <c r="AS220" s="8493"/>
      <c r="AT220" s="9443"/>
      <c r="AU220" s="9443"/>
      <c r="AV220" s="9522"/>
      <c r="AW220" s="9514"/>
      <c r="AX220" s="9457"/>
      <c r="BU220" s="1452"/>
      <c r="BV220" s="1452"/>
      <c r="BW220" s="1460"/>
      <c r="CA220" s="1457"/>
      <c r="CB220" s="1457"/>
      <c r="CC220" s="1457"/>
      <c r="CD220" s="1457"/>
      <c r="CE220" s="1457"/>
      <c r="CF220" s="1457"/>
      <c r="CG220" s="1457"/>
      <c r="DA220" s="1458"/>
      <c r="DB220" s="1458"/>
      <c r="DC220" s="1458"/>
      <c r="DD220" s="1458"/>
      <c r="DE220" s="1458"/>
      <c r="DF220" s="1458"/>
      <c r="DG220" s="1458"/>
    </row>
    <row r="221" spans="1:111" ht="16.350000000000001" customHeight="1" x14ac:dyDescent="0.2">
      <c r="A221" s="9462" t="s">
        <v>1038</v>
      </c>
      <c r="B221" s="9464" t="s">
        <v>2545</v>
      </c>
      <c r="C221" s="9465"/>
      <c r="D221" s="5195">
        <f t="shared" ref="D221:D265" si="160">SUM(E221+F221)</f>
        <v>0</v>
      </c>
      <c r="E221" s="5196">
        <f t="shared" ref="E221:F227" si="161">SUM(G221+I221+K221+M221+O221+Q221+S221+U221+W221+Y221+AA221+AC221+AE221+AG221+AI221+AK221+AM221)</f>
        <v>0</v>
      </c>
      <c r="F221" s="5197">
        <f t="shared" si="161"/>
        <v>0</v>
      </c>
      <c r="G221" s="5198"/>
      <c r="H221" s="5199"/>
      <c r="I221" s="5200"/>
      <c r="J221" s="5199"/>
      <c r="K221" s="5200"/>
      <c r="L221" s="5199"/>
      <c r="M221" s="5200"/>
      <c r="N221" s="5199"/>
      <c r="O221" s="5200"/>
      <c r="P221" s="5199"/>
      <c r="Q221" s="5200"/>
      <c r="R221" s="5199"/>
      <c r="S221" s="5200"/>
      <c r="T221" s="5199"/>
      <c r="U221" s="5200"/>
      <c r="V221" s="5201"/>
      <c r="W221" s="5200"/>
      <c r="X221" s="5201"/>
      <c r="Y221" s="5200"/>
      <c r="Z221" s="5201"/>
      <c r="AA221" s="5200"/>
      <c r="AB221" s="5201"/>
      <c r="AC221" s="5200"/>
      <c r="AD221" s="5201"/>
      <c r="AE221" s="5200"/>
      <c r="AF221" s="5201"/>
      <c r="AG221" s="5200"/>
      <c r="AH221" s="5201"/>
      <c r="AI221" s="5200"/>
      <c r="AJ221" s="5201"/>
      <c r="AK221" s="5200"/>
      <c r="AL221" s="5201"/>
      <c r="AM221" s="5200"/>
      <c r="AN221" s="5201"/>
      <c r="AO221" s="5202"/>
      <c r="AP221" s="5203"/>
      <c r="AQ221" s="5204"/>
      <c r="AR221" s="1858"/>
      <c r="AS221" s="1858"/>
      <c r="AT221" s="5200"/>
      <c r="AU221" s="5200"/>
      <c r="AV221" s="5205"/>
      <c r="AW221" s="5205"/>
      <c r="AX221" s="5201"/>
      <c r="AY221" s="5315" t="str">
        <f t="shared" ref="AY221:AY252" si="162">$CA221&amp;$CB221&amp;$CC221&amp;$CD221&amp;$CE221&amp;$CF221&amp;$CG221</f>
        <v/>
      </c>
      <c r="BU221" s="1452"/>
      <c r="BV221" s="1452"/>
      <c r="BW221" s="1460"/>
      <c r="CA221" s="1457" t="str">
        <f t="shared" ref="CA221:CA252" si="163">IF(DA221=1,"* El número de pacientes de 60 años NO DEBE Ser mayor a lo registrado en el grupo Etario 60-64 años. ","")</f>
        <v/>
      </c>
      <c r="CB221" s="1457" t="str">
        <f>IF(DB221=1,"* La consulta pertinente según Protocolo de Referencia NO DEBE ser mayor al Total registrado. ","")</f>
        <v/>
      </c>
      <c r="CC221" s="1457" t="str">
        <f t="shared" ref="CC221:CC252" si="164">IF(DC221=1,"* La consulta pertinente según condición clínica NO DEBE ser mayor al Total registrado. ","")</f>
        <v/>
      </c>
      <c r="CD221" s="1457" t="str">
        <f t="shared" ref="CD221:CD246" si="165">IF(AND(D221&lt;&gt;0,AO221=""),"* Recuerde que las Embarazadas deben ser incluídas en el ingreso por rango Etario (Digite CEROS si no tiene). ",IF(F221&lt;AO221,"* Las Embarazadas NO DEBEN ser mayor al total de Mujeres. ",""))</f>
        <v/>
      </c>
      <c r="CE221" s="1457" t="str">
        <f t="shared" ref="CE221:CE252" si="166">IF(AND($D221&lt;&gt;0,AV221=""),"* No olvide digitar la columna Usuarios en Situación de Discapacidad (Digite CEROS si no tiene). ",IF($D221&lt;AV221,"* Los Usuarios en Situación de Discapacidad NO DEBEN ser mayor al total. ",""))</f>
        <v/>
      </c>
      <c r="CF221" s="1457"/>
      <c r="CG221" s="1457" t="str">
        <f t="shared" ref="CG221:CG252" si="167">IF(AND($D221&lt;&gt;0,AX221=""),"* No olvide digitar la columna Migrantes (Digite CEROS si no tiene). ",IF($D221&lt;AX221,"* Los Migrantes NO DEBEN ser mayor al total. ",""))</f>
        <v/>
      </c>
      <c r="DA221" s="1458">
        <f t="shared" ref="DA221:DA240" si="168">IF((AI221+AJ221)&lt;AP221,1,0)</f>
        <v>0</v>
      </c>
      <c r="DB221" s="1458">
        <f>IF(D221&lt;AQ221,1,0)</f>
        <v>0</v>
      </c>
      <c r="DC221" s="1458">
        <f>IF(D221&lt;AR221,1,0)</f>
        <v>0</v>
      </c>
      <c r="DD221" s="1458">
        <f t="shared" ref="DD221:DD246" si="169">IF(AND(D221&lt;&gt;0,AO221=""),1,IF(F221&lt;AO221,1,0))</f>
        <v>0</v>
      </c>
      <c r="DE221" s="1458">
        <f t="shared" ref="DE221:DE252" si="170">IF(AND($D221&lt;&gt;0,AV221=""),1,IF($D221&lt;AV221,1,0))</f>
        <v>0</v>
      </c>
      <c r="DF221" s="1458"/>
      <c r="DG221" s="1458">
        <f t="shared" ref="DG221:DG252" si="171">IF(AND($D221&lt;&gt;0,AX221=""),1,IF($D221&lt;AX221,1,0))</f>
        <v>0</v>
      </c>
    </row>
    <row r="222" spans="1:111" ht="16.350000000000001" customHeight="1" x14ac:dyDescent="0.2">
      <c r="A222" s="9463"/>
      <c r="B222" s="9466" t="s">
        <v>2264</v>
      </c>
      <c r="C222" s="9467"/>
      <c r="D222" s="5206">
        <f>SUM(E222+F222)</f>
        <v>0</v>
      </c>
      <c r="E222" s="5207">
        <f t="shared" si="161"/>
        <v>0</v>
      </c>
      <c r="F222" s="5208">
        <f t="shared" si="161"/>
        <v>0</v>
      </c>
      <c r="G222" s="3335"/>
      <c r="H222" s="3848"/>
      <c r="I222" s="3849"/>
      <c r="J222" s="3848"/>
      <c r="K222" s="3849"/>
      <c r="L222" s="3848"/>
      <c r="M222" s="3849"/>
      <c r="N222" s="3848"/>
      <c r="O222" s="3849"/>
      <c r="P222" s="3848"/>
      <c r="Q222" s="3849"/>
      <c r="R222" s="3848"/>
      <c r="S222" s="3849"/>
      <c r="T222" s="3848"/>
      <c r="U222" s="3849"/>
      <c r="V222" s="3204"/>
      <c r="W222" s="3849"/>
      <c r="X222" s="3204"/>
      <c r="Y222" s="3849"/>
      <c r="Z222" s="3204"/>
      <c r="AA222" s="3849"/>
      <c r="AB222" s="3204"/>
      <c r="AC222" s="3849"/>
      <c r="AD222" s="3204"/>
      <c r="AE222" s="3849"/>
      <c r="AF222" s="3204"/>
      <c r="AG222" s="3849"/>
      <c r="AH222" s="3204"/>
      <c r="AI222" s="3849"/>
      <c r="AJ222" s="3204"/>
      <c r="AK222" s="3849"/>
      <c r="AL222" s="3204"/>
      <c r="AM222" s="3849"/>
      <c r="AN222" s="3204"/>
      <c r="AO222" s="3850"/>
      <c r="AP222" s="3851"/>
      <c r="AQ222" s="5204"/>
      <c r="AR222" s="1858"/>
      <c r="AS222" s="1858"/>
      <c r="AT222" s="3849"/>
      <c r="AU222" s="3849"/>
      <c r="AV222" s="5209"/>
      <c r="AW222" s="5209"/>
      <c r="AX222" s="3204"/>
      <c r="AY222" s="5315" t="str">
        <f t="shared" si="162"/>
        <v/>
      </c>
      <c r="BU222" s="1452"/>
      <c r="BV222" s="1452"/>
      <c r="BW222" s="1460"/>
      <c r="CA222" s="1457" t="str">
        <f t="shared" si="163"/>
        <v/>
      </c>
      <c r="CB222" s="1457" t="str">
        <f>IF(DB222=1,"* La consulta pertinente según Protocolo de Referencia NO DEBE ser mayor al Total registrado. ","")</f>
        <v/>
      </c>
      <c r="CC222" s="1457" t="str">
        <f t="shared" si="164"/>
        <v/>
      </c>
      <c r="CD222" s="1457" t="str">
        <f t="shared" si="165"/>
        <v/>
      </c>
      <c r="CE222" s="1457" t="str">
        <f t="shared" si="166"/>
        <v/>
      </c>
      <c r="CF222" s="1457"/>
      <c r="CG222" s="1457" t="str">
        <f t="shared" si="167"/>
        <v/>
      </c>
      <c r="DA222" s="1458">
        <f t="shared" si="168"/>
        <v>0</v>
      </c>
      <c r="DB222" s="1458">
        <f>IF(D222&lt;AQ222,1,0)</f>
        <v>0</v>
      </c>
      <c r="DC222" s="1458">
        <f>IF(D222&lt;AR222,1,0)</f>
        <v>0</v>
      </c>
      <c r="DD222" s="1458">
        <f t="shared" si="169"/>
        <v>0</v>
      </c>
      <c r="DE222" s="1458">
        <f t="shared" si="170"/>
        <v>0</v>
      </c>
      <c r="DF222" s="1458"/>
      <c r="DG222" s="1458">
        <f t="shared" si="171"/>
        <v>0</v>
      </c>
    </row>
    <row r="223" spans="1:111" ht="16.350000000000001" customHeight="1" x14ac:dyDescent="0.2">
      <c r="A223" s="8274" t="s">
        <v>1057</v>
      </c>
      <c r="B223" s="9460" t="s">
        <v>1052</v>
      </c>
      <c r="C223" s="9460"/>
      <c r="D223" s="3342">
        <f t="shared" si="160"/>
        <v>0</v>
      </c>
      <c r="E223" s="3621">
        <f t="shared" si="161"/>
        <v>0</v>
      </c>
      <c r="F223" s="5210">
        <f t="shared" si="161"/>
        <v>0</v>
      </c>
      <c r="G223" s="3630"/>
      <c r="H223" s="3852"/>
      <c r="I223" s="5211"/>
      <c r="J223" s="3852"/>
      <c r="K223" s="5211"/>
      <c r="L223" s="3852"/>
      <c r="M223" s="5211"/>
      <c r="N223" s="3852"/>
      <c r="O223" s="5211"/>
      <c r="P223" s="3852"/>
      <c r="Q223" s="5211"/>
      <c r="R223" s="3852"/>
      <c r="S223" s="5211"/>
      <c r="T223" s="3852"/>
      <c r="U223" s="5211"/>
      <c r="V223" s="2987"/>
      <c r="W223" s="5211"/>
      <c r="X223" s="2987"/>
      <c r="Y223" s="5211"/>
      <c r="Z223" s="2987"/>
      <c r="AA223" s="5211"/>
      <c r="AB223" s="2987"/>
      <c r="AC223" s="5211"/>
      <c r="AD223" s="2987"/>
      <c r="AE223" s="5211"/>
      <c r="AF223" s="2987"/>
      <c r="AG223" s="5211"/>
      <c r="AH223" s="2987"/>
      <c r="AI223" s="5211"/>
      <c r="AJ223" s="2987"/>
      <c r="AK223" s="5211"/>
      <c r="AL223" s="2987"/>
      <c r="AM223" s="5211"/>
      <c r="AN223" s="2987"/>
      <c r="AO223" s="3853"/>
      <c r="AP223" s="1852"/>
      <c r="AQ223" s="3630"/>
      <c r="AR223" s="1852"/>
      <c r="AS223" s="5198"/>
      <c r="AT223" s="5211"/>
      <c r="AU223" s="5211"/>
      <c r="AV223" s="3854"/>
      <c r="AW223" s="3854"/>
      <c r="AX223" s="3852"/>
      <c r="AY223" s="5315" t="str">
        <f t="shared" si="162"/>
        <v/>
      </c>
      <c r="BU223" s="1452"/>
      <c r="BV223" s="1452"/>
      <c r="BW223" s="1460"/>
      <c r="CA223" s="1457" t="str">
        <f t="shared" si="163"/>
        <v/>
      </c>
      <c r="CB223" s="1457" t="str">
        <f>IF(DB223=1,"* La consulta pertinente según Protocolo de Referencia NO DEBE ser mayor al Total registrado. ","")</f>
        <v/>
      </c>
      <c r="CC223" s="1457" t="str">
        <f t="shared" si="164"/>
        <v/>
      </c>
      <c r="CD223" s="1457" t="str">
        <f t="shared" si="165"/>
        <v/>
      </c>
      <c r="CE223" s="1457" t="str">
        <f t="shared" si="166"/>
        <v/>
      </c>
      <c r="CF223" s="1457"/>
      <c r="CG223" s="1457" t="str">
        <f t="shared" si="167"/>
        <v/>
      </c>
      <c r="DA223" s="1458">
        <f t="shared" si="168"/>
        <v>0</v>
      </c>
      <c r="DB223" s="1458">
        <f>IF(D223&lt;AQ223,1,0)</f>
        <v>0</v>
      </c>
      <c r="DC223" s="1458">
        <f>IF(D223&lt;AR223,1,0)</f>
        <v>0</v>
      </c>
      <c r="DD223" s="1458">
        <f t="shared" si="169"/>
        <v>0</v>
      </c>
      <c r="DE223" s="1458">
        <f t="shared" si="170"/>
        <v>0</v>
      </c>
      <c r="DF223" s="1458"/>
      <c r="DG223" s="1458">
        <f t="shared" si="171"/>
        <v>0</v>
      </c>
    </row>
    <row r="224" spans="1:111" ht="16.350000000000001" customHeight="1" x14ac:dyDescent="0.2">
      <c r="A224" s="8274"/>
      <c r="B224" s="9392" t="s">
        <v>1051</v>
      </c>
      <c r="C224" s="9392"/>
      <c r="D224" s="5181">
        <f t="shared" si="160"/>
        <v>0</v>
      </c>
      <c r="E224" s="3144">
        <f t="shared" si="161"/>
        <v>0</v>
      </c>
      <c r="F224" s="5212">
        <f t="shared" si="161"/>
        <v>0</v>
      </c>
      <c r="G224" s="5213"/>
      <c r="H224" s="1854"/>
      <c r="I224" s="5214"/>
      <c r="J224" s="1854"/>
      <c r="K224" s="5214"/>
      <c r="L224" s="1854"/>
      <c r="M224" s="5214"/>
      <c r="N224" s="1854"/>
      <c r="O224" s="5214"/>
      <c r="P224" s="1854"/>
      <c r="Q224" s="5214"/>
      <c r="R224" s="1854"/>
      <c r="S224" s="5214"/>
      <c r="T224" s="1854"/>
      <c r="U224" s="5214"/>
      <c r="V224" s="2988"/>
      <c r="W224" s="5214"/>
      <c r="X224" s="2988"/>
      <c r="Y224" s="5214"/>
      <c r="Z224" s="2988"/>
      <c r="AA224" s="5214"/>
      <c r="AB224" s="2988"/>
      <c r="AC224" s="5214"/>
      <c r="AD224" s="2988"/>
      <c r="AE224" s="5214"/>
      <c r="AF224" s="2988"/>
      <c r="AG224" s="5214"/>
      <c r="AH224" s="2988"/>
      <c r="AI224" s="5214"/>
      <c r="AJ224" s="2988"/>
      <c r="AK224" s="5214"/>
      <c r="AL224" s="2988"/>
      <c r="AM224" s="5214"/>
      <c r="AN224" s="2988"/>
      <c r="AO224" s="1856"/>
      <c r="AP224" s="1857"/>
      <c r="AQ224" s="5204"/>
      <c r="AR224" s="1858"/>
      <c r="AS224" s="3630"/>
      <c r="AT224" s="5214"/>
      <c r="AU224" s="5214"/>
      <c r="AV224" s="5215"/>
      <c r="AW224" s="5215"/>
      <c r="AX224" s="1854"/>
      <c r="AY224" s="5315" t="str">
        <f t="shared" si="162"/>
        <v/>
      </c>
      <c r="BU224" s="1452"/>
      <c r="BV224" s="1452"/>
      <c r="BW224" s="1460"/>
      <c r="CA224" s="1457" t="str">
        <f t="shared" si="163"/>
        <v/>
      </c>
      <c r="CB224" s="1457"/>
      <c r="CC224" s="1457" t="str">
        <f t="shared" si="164"/>
        <v/>
      </c>
      <c r="CD224" s="1457" t="str">
        <f t="shared" si="165"/>
        <v/>
      </c>
      <c r="CE224" s="1457" t="str">
        <f t="shared" si="166"/>
        <v/>
      </c>
      <c r="CF224" s="1457"/>
      <c r="CG224" s="1457" t="str">
        <f t="shared" si="167"/>
        <v/>
      </c>
      <c r="DA224" s="1458">
        <f t="shared" si="168"/>
        <v>0</v>
      </c>
      <c r="DB224" s="1458"/>
      <c r="DC224" s="1458"/>
      <c r="DD224" s="1458">
        <f t="shared" si="169"/>
        <v>0</v>
      </c>
      <c r="DE224" s="1458">
        <f t="shared" si="170"/>
        <v>0</v>
      </c>
      <c r="DF224" s="1458"/>
      <c r="DG224" s="1458">
        <f t="shared" si="171"/>
        <v>0</v>
      </c>
    </row>
    <row r="225" spans="1:111" ht="16.350000000000001" customHeight="1" x14ac:dyDescent="0.2">
      <c r="A225" s="8274"/>
      <c r="B225" s="9392" t="s">
        <v>1050</v>
      </c>
      <c r="C225" s="9392"/>
      <c r="D225" s="5181">
        <f t="shared" si="160"/>
        <v>0</v>
      </c>
      <c r="E225" s="3144">
        <f t="shared" si="161"/>
        <v>0</v>
      </c>
      <c r="F225" s="5212">
        <f t="shared" si="161"/>
        <v>0</v>
      </c>
      <c r="G225" s="5213"/>
      <c r="H225" s="1854"/>
      <c r="I225" s="5214"/>
      <c r="J225" s="1854"/>
      <c r="K225" s="5214"/>
      <c r="L225" s="1854"/>
      <c r="M225" s="5214"/>
      <c r="N225" s="1854"/>
      <c r="O225" s="5214"/>
      <c r="P225" s="1854"/>
      <c r="Q225" s="5214"/>
      <c r="R225" s="1854"/>
      <c r="S225" s="5214"/>
      <c r="T225" s="1854"/>
      <c r="U225" s="5214"/>
      <c r="V225" s="2988"/>
      <c r="W225" s="5214"/>
      <c r="X225" s="2988"/>
      <c r="Y225" s="5214"/>
      <c r="Z225" s="2988"/>
      <c r="AA225" s="5214"/>
      <c r="AB225" s="2988"/>
      <c r="AC225" s="5214"/>
      <c r="AD225" s="2988"/>
      <c r="AE225" s="5214"/>
      <c r="AF225" s="2988"/>
      <c r="AG225" s="5214"/>
      <c r="AH225" s="2988"/>
      <c r="AI225" s="5214"/>
      <c r="AJ225" s="2988"/>
      <c r="AK225" s="5214"/>
      <c r="AL225" s="2988"/>
      <c r="AM225" s="5214"/>
      <c r="AN225" s="2988"/>
      <c r="AO225" s="1856"/>
      <c r="AP225" s="1857"/>
      <c r="AQ225" s="5204"/>
      <c r="AR225" s="1858"/>
      <c r="AS225" s="1858"/>
      <c r="AT225" s="5214"/>
      <c r="AU225" s="5214"/>
      <c r="AV225" s="5215"/>
      <c r="AW225" s="5215"/>
      <c r="AX225" s="1854"/>
      <c r="AY225" s="5315" t="str">
        <f t="shared" si="162"/>
        <v/>
      </c>
      <c r="BU225" s="1452"/>
      <c r="BV225" s="1452"/>
      <c r="BW225" s="1460"/>
      <c r="CA225" s="1457" t="str">
        <f t="shared" si="163"/>
        <v/>
      </c>
      <c r="CB225" s="1457"/>
      <c r="CC225" s="1457" t="str">
        <f t="shared" si="164"/>
        <v/>
      </c>
      <c r="CD225" s="1457" t="str">
        <f t="shared" si="165"/>
        <v/>
      </c>
      <c r="CE225" s="1457" t="str">
        <f t="shared" si="166"/>
        <v/>
      </c>
      <c r="CF225" s="1457"/>
      <c r="CG225" s="1457" t="str">
        <f t="shared" si="167"/>
        <v/>
      </c>
      <c r="DA225" s="1458">
        <f t="shared" si="168"/>
        <v>0</v>
      </c>
      <c r="DB225" s="1458"/>
      <c r="DC225" s="1458"/>
      <c r="DD225" s="1458">
        <f t="shared" si="169"/>
        <v>0</v>
      </c>
      <c r="DE225" s="1458">
        <f t="shared" si="170"/>
        <v>0</v>
      </c>
      <c r="DF225" s="1458"/>
      <c r="DG225" s="1458">
        <f t="shared" si="171"/>
        <v>0</v>
      </c>
    </row>
    <row r="226" spans="1:111" ht="16.350000000000001" customHeight="1" x14ac:dyDescent="0.2">
      <c r="A226" s="8274"/>
      <c r="B226" s="9419" t="s">
        <v>1049</v>
      </c>
      <c r="C226" s="9420"/>
      <c r="D226" s="5181">
        <f t="shared" si="160"/>
        <v>0</v>
      </c>
      <c r="E226" s="3144">
        <f t="shared" si="161"/>
        <v>0</v>
      </c>
      <c r="F226" s="5212">
        <f t="shared" si="161"/>
        <v>0</v>
      </c>
      <c r="G226" s="5216"/>
      <c r="H226" s="3855"/>
      <c r="I226" s="3856"/>
      <c r="J226" s="3855"/>
      <c r="K226" s="3856"/>
      <c r="L226" s="3855"/>
      <c r="M226" s="3856"/>
      <c r="N226" s="3855"/>
      <c r="O226" s="3856"/>
      <c r="P226" s="3855"/>
      <c r="Q226" s="3856"/>
      <c r="R226" s="3855"/>
      <c r="S226" s="3856"/>
      <c r="T226" s="3855"/>
      <c r="U226" s="3856"/>
      <c r="V226" s="5217"/>
      <c r="W226" s="3856"/>
      <c r="X226" s="5217"/>
      <c r="Y226" s="3856"/>
      <c r="Z226" s="5217"/>
      <c r="AA226" s="3856"/>
      <c r="AB226" s="5217"/>
      <c r="AC226" s="3856"/>
      <c r="AD226" s="5217"/>
      <c r="AE226" s="3856"/>
      <c r="AF226" s="5217"/>
      <c r="AG226" s="3856"/>
      <c r="AH226" s="5217"/>
      <c r="AI226" s="3856"/>
      <c r="AJ226" s="5217"/>
      <c r="AK226" s="3856"/>
      <c r="AL226" s="5217"/>
      <c r="AM226" s="3856"/>
      <c r="AN226" s="5217"/>
      <c r="AO226" s="3857"/>
      <c r="AP226" s="3858"/>
      <c r="AQ226" s="5218"/>
      <c r="AR226" s="3859"/>
      <c r="AS226" s="3859"/>
      <c r="AT226" s="3856"/>
      <c r="AU226" s="3856"/>
      <c r="AV226" s="5219"/>
      <c r="AW226" s="5219"/>
      <c r="AX226" s="3855"/>
      <c r="AY226" s="5315" t="str">
        <f t="shared" si="162"/>
        <v/>
      </c>
      <c r="BU226" s="1452"/>
      <c r="BV226" s="1452"/>
      <c r="BW226" s="1460"/>
      <c r="CA226" s="1457" t="str">
        <f t="shared" si="163"/>
        <v/>
      </c>
      <c r="CB226" s="1457"/>
      <c r="CC226" s="1457" t="str">
        <f t="shared" si="164"/>
        <v/>
      </c>
      <c r="CD226" s="1457" t="str">
        <f t="shared" si="165"/>
        <v/>
      </c>
      <c r="CE226" s="1457" t="str">
        <f t="shared" si="166"/>
        <v/>
      </c>
      <c r="CF226" s="1457"/>
      <c r="CG226" s="1457" t="str">
        <f t="shared" si="167"/>
        <v/>
      </c>
      <c r="DA226" s="1458">
        <f t="shared" si="168"/>
        <v>0</v>
      </c>
      <c r="DB226" s="1458"/>
      <c r="DC226" s="1458"/>
      <c r="DD226" s="1458">
        <f t="shared" si="169"/>
        <v>0</v>
      </c>
      <c r="DE226" s="1458">
        <f t="shared" si="170"/>
        <v>0</v>
      </c>
      <c r="DF226" s="1458"/>
      <c r="DG226" s="1458">
        <f t="shared" si="171"/>
        <v>0</v>
      </c>
    </row>
    <row r="227" spans="1:111" ht="16.350000000000001" customHeight="1" x14ac:dyDescent="0.2">
      <c r="A227" s="8274"/>
      <c r="B227" s="9419" t="s">
        <v>2135</v>
      </c>
      <c r="C227" s="9420"/>
      <c r="D227" s="5181">
        <f t="shared" si="160"/>
        <v>0</v>
      </c>
      <c r="E227" s="3144">
        <f t="shared" si="161"/>
        <v>0</v>
      </c>
      <c r="F227" s="5212">
        <f t="shared" si="161"/>
        <v>0</v>
      </c>
      <c r="G227" s="5216"/>
      <c r="H227" s="3855"/>
      <c r="I227" s="3856"/>
      <c r="J227" s="3855"/>
      <c r="K227" s="3856"/>
      <c r="L227" s="3855"/>
      <c r="M227" s="3856"/>
      <c r="N227" s="3855"/>
      <c r="O227" s="3856"/>
      <c r="P227" s="3855"/>
      <c r="Q227" s="3856"/>
      <c r="R227" s="3855"/>
      <c r="S227" s="3856"/>
      <c r="T227" s="3855"/>
      <c r="U227" s="3856"/>
      <c r="V227" s="5217"/>
      <c r="W227" s="3856"/>
      <c r="X227" s="5217"/>
      <c r="Y227" s="3856"/>
      <c r="Z227" s="5217"/>
      <c r="AA227" s="3856"/>
      <c r="AB227" s="5217"/>
      <c r="AC227" s="3856"/>
      <c r="AD227" s="5217"/>
      <c r="AE227" s="3856"/>
      <c r="AF227" s="5217"/>
      <c r="AG227" s="3856"/>
      <c r="AH227" s="5217"/>
      <c r="AI227" s="3856"/>
      <c r="AJ227" s="5217"/>
      <c r="AK227" s="3856"/>
      <c r="AL227" s="5217"/>
      <c r="AM227" s="3856"/>
      <c r="AN227" s="5217"/>
      <c r="AO227" s="3857"/>
      <c r="AP227" s="3858"/>
      <c r="AQ227" s="5218"/>
      <c r="AR227" s="3859"/>
      <c r="AS227" s="3859"/>
      <c r="AT227" s="3856"/>
      <c r="AU227" s="3856"/>
      <c r="AV227" s="5219"/>
      <c r="AW227" s="5219"/>
      <c r="AX227" s="3855"/>
      <c r="AY227" s="5315" t="str">
        <f t="shared" si="162"/>
        <v/>
      </c>
      <c r="BU227" s="1452"/>
      <c r="BV227" s="1452"/>
      <c r="BW227" s="1460"/>
      <c r="CA227" s="1457" t="str">
        <f t="shared" si="163"/>
        <v/>
      </c>
      <c r="CB227" s="1457"/>
      <c r="CC227" s="1457" t="str">
        <f t="shared" si="164"/>
        <v/>
      </c>
      <c r="CD227" s="1457" t="str">
        <f t="shared" si="165"/>
        <v/>
      </c>
      <c r="CE227" s="1457" t="str">
        <f t="shared" si="166"/>
        <v/>
      </c>
      <c r="CF227" s="1457"/>
      <c r="CG227" s="1457" t="str">
        <f t="shared" si="167"/>
        <v/>
      </c>
      <c r="DA227" s="1458">
        <f t="shared" si="168"/>
        <v>0</v>
      </c>
      <c r="DB227" s="1458"/>
      <c r="DC227" s="1458"/>
      <c r="DD227" s="1458">
        <f t="shared" si="169"/>
        <v>0</v>
      </c>
      <c r="DE227" s="1458">
        <f t="shared" si="170"/>
        <v>0</v>
      </c>
      <c r="DF227" s="1458"/>
      <c r="DG227" s="1458">
        <f t="shared" si="171"/>
        <v>0</v>
      </c>
    </row>
    <row r="228" spans="1:111" ht="16.350000000000001" customHeight="1" x14ac:dyDescent="0.2">
      <c r="A228" s="9302"/>
      <c r="B228" s="9461" t="s">
        <v>1048</v>
      </c>
      <c r="C228" s="9461"/>
      <c r="D228" s="5220">
        <f t="shared" si="160"/>
        <v>0</v>
      </c>
      <c r="E228" s="5221">
        <f t="shared" ref="E228:F264" si="172">SUM(G228+I228+K228+M228+O228+Q228+S228+U228+W228+Y228+AA228+AC228+AE228+AG228+AI228+AK228+AM228)</f>
        <v>0</v>
      </c>
      <c r="F228" s="3860">
        <f t="shared" si="172"/>
        <v>0</v>
      </c>
      <c r="G228" s="9504"/>
      <c r="H228" s="9504"/>
      <c r="I228" s="3849"/>
      <c r="J228" s="3848"/>
      <c r="K228" s="3849"/>
      <c r="L228" s="3848"/>
      <c r="M228" s="3849"/>
      <c r="N228" s="3848"/>
      <c r="O228" s="3849"/>
      <c r="P228" s="3848"/>
      <c r="Q228" s="3849"/>
      <c r="R228" s="3848"/>
      <c r="S228" s="3849"/>
      <c r="T228" s="3848"/>
      <c r="U228" s="3849"/>
      <c r="V228" s="3204"/>
      <c r="W228" s="3849"/>
      <c r="X228" s="3204"/>
      <c r="Y228" s="3849"/>
      <c r="Z228" s="3204"/>
      <c r="AA228" s="3849"/>
      <c r="AB228" s="3204"/>
      <c r="AC228" s="3849"/>
      <c r="AD228" s="3204"/>
      <c r="AE228" s="3849"/>
      <c r="AF228" s="3204"/>
      <c r="AG228" s="3849"/>
      <c r="AH228" s="3204"/>
      <c r="AI228" s="3849"/>
      <c r="AJ228" s="3204"/>
      <c r="AK228" s="3849"/>
      <c r="AL228" s="3204"/>
      <c r="AM228" s="3849"/>
      <c r="AN228" s="3204"/>
      <c r="AO228" s="3850"/>
      <c r="AP228" s="3851"/>
      <c r="AQ228" s="5222"/>
      <c r="AR228" s="3861"/>
      <c r="AS228" s="3861"/>
      <c r="AT228" s="3849"/>
      <c r="AU228" s="3849"/>
      <c r="AV228" s="5209"/>
      <c r="AW228" s="5209"/>
      <c r="AX228" s="3848"/>
      <c r="AY228" s="5315" t="str">
        <f t="shared" si="162"/>
        <v/>
      </c>
      <c r="BU228" s="1452"/>
      <c r="BV228" s="1452"/>
      <c r="BW228" s="1460"/>
      <c r="CA228" s="1457" t="str">
        <f t="shared" si="163"/>
        <v/>
      </c>
      <c r="CB228" s="1457"/>
      <c r="CC228" s="1457" t="str">
        <f t="shared" si="164"/>
        <v/>
      </c>
      <c r="CD228" s="1457" t="str">
        <f t="shared" si="165"/>
        <v/>
      </c>
      <c r="CE228" s="1457" t="str">
        <f t="shared" si="166"/>
        <v/>
      </c>
      <c r="CF228" s="1457"/>
      <c r="CG228" s="1457" t="str">
        <f t="shared" si="167"/>
        <v/>
      </c>
      <c r="DA228" s="1458">
        <f t="shared" si="168"/>
        <v>0</v>
      </c>
      <c r="DB228" s="1458"/>
      <c r="DC228" s="1458"/>
      <c r="DD228" s="1458">
        <f t="shared" si="169"/>
        <v>0</v>
      </c>
      <c r="DE228" s="1458">
        <f t="shared" si="170"/>
        <v>0</v>
      </c>
      <c r="DF228" s="1458"/>
      <c r="DG228" s="1458">
        <f t="shared" si="171"/>
        <v>0</v>
      </c>
    </row>
    <row r="229" spans="1:111" ht="16.350000000000001" customHeight="1" x14ac:dyDescent="0.2">
      <c r="A229" s="8197" t="s">
        <v>1025</v>
      </c>
      <c r="B229" s="9460" t="s">
        <v>1052</v>
      </c>
      <c r="C229" s="9460"/>
      <c r="D229" s="5176">
        <f t="shared" si="160"/>
        <v>0</v>
      </c>
      <c r="E229" s="5223">
        <f t="shared" si="172"/>
        <v>0</v>
      </c>
      <c r="F229" s="5224">
        <f t="shared" si="172"/>
        <v>0</v>
      </c>
      <c r="G229" s="5198"/>
      <c r="H229" s="5199"/>
      <c r="I229" s="5200"/>
      <c r="J229" s="5199"/>
      <c r="K229" s="5200"/>
      <c r="L229" s="5199"/>
      <c r="M229" s="5200"/>
      <c r="N229" s="5199"/>
      <c r="O229" s="5200"/>
      <c r="P229" s="5199"/>
      <c r="Q229" s="5200"/>
      <c r="R229" s="5199"/>
      <c r="S229" s="5200"/>
      <c r="T229" s="5199"/>
      <c r="U229" s="5200"/>
      <c r="V229" s="5201"/>
      <c r="W229" s="5200"/>
      <c r="X229" s="5201"/>
      <c r="Y229" s="5200"/>
      <c r="Z229" s="5201"/>
      <c r="AA229" s="5200"/>
      <c r="AB229" s="5201"/>
      <c r="AC229" s="5200"/>
      <c r="AD229" s="5201"/>
      <c r="AE229" s="5200"/>
      <c r="AF229" s="5201"/>
      <c r="AG229" s="5200"/>
      <c r="AH229" s="5201"/>
      <c r="AI229" s="5200"/>
      <c r="AJ229" s="5201"/>
      <c r="AK229" s="5200"/>
      <c r="AL229" s="5201"/>
      <c r="AM229" s="5200"/>
      <c r="AN229" s="5201"/>
      <c r="AO229" s="3853"/>
      <c r="AP229" s="1852"/>
      <c r="AQ229" s="5198"/>
      <c r="AR229" s="3854"/>
      <c r="AS229" s="5198"/>
      <c r="AT229" s="5211"/>
      <c r="AU229" s="5211"/>
      <c r="AV229" s="3854"/>
      <c r="AW229" s="3854"/>
      <c r="AX229" s="3852"/>
      <c r="AY229" s="5315" t="str">
        <f t="shared" si="162"/>
        <v/>
      </c>
      <c r="BU229" s="1452"/>
      <c r="BV229" s="1452"/>
      <c r="BW229" s="1460"/>
      <c r="CA229" s="1457" t="str">
        <f t="shared" si="163"/>
        <v/>
      </c>
      <c r="CB229" s="1457" t="str">
        <f>IF(DB229=1,"* La consulta pertinente según Protocolo de Referencia NO DEBE ser mayor al Total registrado. ","")</f>
        <v/>
      </c>
      <c r="CC229" s="1457" t="str">
        <f t="shared" si="164"/>
        <v/>
      </c>
      <c r="CD229" s="1457" t="str">
        <f t="shared" si="165"/>
        <v/>
      </c>
      <c r="CE229" s="1457" t="str">
        <f t="shared" si="166"/>
        <v/>
      </c>
      <c r="CF229" s="1457"/>
      <c r="CG229" s="1457" t="str">
        <f t="shared" si="167"/>
        <v/>
      </c>
      <c r="DA229" s="1458">
        <f t="shared" si="168"/>
        <v>0</v>
      </c>
      <c r="DB229" s="1458">
        <f>IF(D229&lt;AQ229,1,0)</f>
        <v>0</v>
      </c>
      <c r="DC229" s="1458">
        <f>IF(D229&lt;AR229,1,0)</f>
        <v>0</v>
      </c>
      <c r="DD229" s="1458">
        <f t="shared" si="169"/>
        <v>0</v>
      </c>
      <c r="DE229" s="1458">
        <f t="shared" si="170"/>
        <v>0</v>
      </c>
      <c r="DF229" s="1458"/>
      <c r="DG229" s="1458">
        <f t="shared" si="171"/>
        <v>0</v>
      </c>
    </row>
    <row r="230" spans="1:111" ht="16.350000000000001" customHeight="1" x14ac:dyDescent="0.2">
      <c r="A230" s="8274"/>
      <c r="B230" s="9392" t="s">
        <v>1051</v>
      </c>
      <c r="C230" s="9392"/>
      <c r="D230" s="5181">
        <f t="shared" si="160"/>
        <v>0</v>
      </c>
      <c r="E230" s="3144">
        <f t="shared" si="172"/>
        <v>0</v>
      </c>
      <c r="F230" s="5212">
        <f t="shared" si="172"/>
        <v>0</v>
      </c>
      <c r="G230" s="5213"/>
      <c r="H230" s="1854"/>
      <c r="I230" s="5214"/>
      <c r="J230" s="1854"/>
      <c r="K230" s="5214"/>
      <c r="L230" s="1854"/>
      <c r="M230" s="5214"/>
      <c r="N230" s="1854"/>
      <c r="O230" s="5214"/>
      <c r="P230" s="1854"/>
      <c r="Q230" s="5214"/>
      <c r="R230" s="1854"/>
      <c r="S230" s="5214"/>
      <c r="T230" s="1854"/>
      <c r="U230" s="5214"/>
      <c r="V230" s="2988"/>
      <c r="W230" s="5214"/>
      <c r="X230" s="2988"/>
      <c r="Y230" s="5214"/>
      <c r="Z230" s="2988"/>
      <c r="AA230" s="5214"/>
      <c r="AB230" s="2988"/>
      <c r="AC230" s="5214"/>
      <c r="AD230" s="2988"/>
      <c r="AE230" s="5214"/>
      <c r="AF230" s="2988"/>
      <c r="AG230" s="5214"/>
      <c r="AH230" s="2988"/>
      <c r="AI230" s="5214"/>
      <c r="AJ230" s="2988"/>
      <c r="AK230" s="5214"/>
      <c r="AL230" s="2988"/>
      <c r="AM230" s="5214"/>
      <c r="AN230" s="2988"/>
      <c r="AO230" s="1856"/>
      <c r="AP230" s="1857"/>
      <c r="AQ230" s="5204"/>
      <c r="AR230" s="5225"/>
      <c r="AS230" s="3630"/>
      <c r="AT230" s="5214"/>
      <c r="AU230" s="5214"/>
      <c r="AV230" s="5215"/>
      <c r="AW230" s="5215"/>
      <c r="AX230" s="1854"/>
      <c r="AY230" s="5315" t="str">
        <f t="shared" si="162"/>
        <v/>
      </c>
      <c r="BU230" s="1452"/>
      <c r="BV230" s="1452"/>
      <c r="BW230" s="1460"/>
      <c r="CA230" s="1457" t="str">
        <f t="shared" si="163"/>
        <v/>
      </c>
      <c r="CB230" s="1457"/>
      <c r="CC230" s="1457" t="str">
        <f t="shared" si="164"/>
        <v/>
      </c>
      <c r="CD230" s="1457" t="str">
        <f t="shared" si="165"/>
        <v/>
      </c>
      <c r="CE230" s="1457" t="str">
        <f t="shared" si="166"/>
        <v/>
      </c>
      <c r="CF230" s="1457"/>
      <c r="CG230" s="1457" t="str">
        <f t="shared" si="167"/>
        <v/>
      </c>
      <c r="DA230" s="1458">
        <f t="shared" si="168"/>
        <v>0</v>
      </c>
      <c r="DB230" s="1458"/>
      <c r="DC230" s="1458"/>
      <c r="DD230" s="1458">
        <f t="shared" si="169"/>
        <v>0</v>
      </c>
      <c r="DE230" s="1458">
        <f t="shared" si="170"/>
        <v>0</v>
      </c>
      <c r="DF230" s="1458"/>
      <c r="DG230" s="1458">
        <f t="shared" si="171"/>
        <v>0</v>
      </c>
    </row>
    <row r="231" spans="1:111" ht="16.350000000000001" customHeight="1" x14ac:dyDescent="0.2">
      <c r="A231" s="8274"/>
      <c r="B231" s="9392" t="s">
        <v>1050</v>
      </c>
      <c r="C231" s="9392"/>
      <c r="D231" s="5181">
        <f t="shared" si="160"/>
        <v>0</v>
      </c>
      <c r="E231" s="3144">
        <f t="shared" si="172"/>
        <v>0</v>
      </c>
      <c r="F231" s="5212">
        <f t="shared" si="172"/>
        <v>0</v>
      </c>
      <c r="G231" s="5213"/>
      <c r="H231" s="1854"/>
      <c r="I231" s="5214"/>
      <c r="J231" s="1854"/>
      <c r="K231" s="5214"/>
      <c r="L231" s="1854"/>
      <c r="M231" s="5214"/>
      <c r="N231" s="1854"/>
      <c r="O231" s="5214"/>
      <c r="P231" s="1854"/>
      <c r="Q231" s="5214"/>
      <c r="R231" s="1854"/>
      <c r="S231" s="5214"/>
      <c r="T231" s="1854"/>
      <c r="U231" s="5214"/>
      <c r="V231" s="2988"/>
      <c r="W231" s="5214"/>
      <c r="X231" s="2988"/>
      <c r="Y231" s="5214"/>
      <c r="Z231" s="2988"/>
      <c r="AA231" s="5214"/>
      <c r="AB231" s="2988"/>
      <c r="AC231" s="5214"/>
      <c r="AD231" s="2988"/>
      <c r="AE231" s="5214"/>
      <c r="AF231" s="2988"/>
      <c r="AG231" s="5214"/>
      <c r="AH231" s="2988"/>
      <c r="AI231" s="5214"/>
      <c r="AJ231" s="2988"/>
      <c r="AK231" s="5214"/>
      <c r="AL231" s="2988"/>
      <c r="AM231" s="5214"/>
      <c r="AN231" s="2988"/>
      <c r="AO231" s="1856"/>
      <c r="AP231" s="1857"/>
      <c r="AQ231" s="5204"/>
      <c r="AR231" s="5225"/>
      <c r="AS231" s="5225"/>
      <c r="AT231" s="5214"/>
      <c r="AU231" s="5214"/>
      <c r="AV231" s="5215"/>
      <c r="AW231" s="5215"/>
      <c r="AX231" s="1854"/>
      <c r="AY231" s="5315" t="str">
        <f t="shared" si="162"/>
        <v/>
      </c>
      <c r="BU231" s="1452"/>
      <c r="BV231" s="1452"/>
      <c r="BW231" s="1460"/>
      <c r="CA231" s="1457" t="str">
        <f t="shared" si="163"/>
        <v/>
      </c>
      <c r="CB231" s="1457"/>
      <c r="CC231" s="1457" t="str">
        <f t="shared" si="164"/>
        <v/>
      </c>
      <c r="CD231" s="1457" t="str">
        <f t="shared" si="165"/>
        <v/>
      </c>
      <c r="CE231" s="1457" t="str">
        <f t="shared" si="166"/>
        <v/>
      </c>
      <c r="CF231" s="1457"/>
      <c r="CG231" s="1457" t="str">
        <f t="shared" si="167"/>
        <v/>
      </c>
      <c r="DA231" s="1458">
        <f t="shared" si="168"/>
        <v>0</v>
      </c>
      <c r="DB231" s="1458"/>
      <c r="DC231" s="1458"/>
      <c r="DD231" s="1458">
        <f t="shared" si="169"/>
        <v>0</v>
      </c>
      <c r="DE231" s="1458">
        <f t="shared" si="170"/>
        <v>0</v>
      </c>
      <c r="DF231" s="1458"/>
      <c r="DG231" s="1458">
        <f t="shared" si="171"/>
        <v>0</v>
      </c>
    </row>
    <row r="232" spans="1:111" ht="16.350000000000001" customHeight="1" x14ac:dyDescent="0.2">
      <c r="A232" s="8274"/>
      <c r="B232" s="9419" t="s">
        <v>1049</v>
      </c>
      <c r="C232" s="9420"/>
      <c r="D232" s="5181">
        <f t="shared" si="160"/>
        <v>0</v>
      </c>
      <c r="E232" s="3144">
        <f t="shared" si="172"/>
        <v>0</v>
      </c>
      <c r="F232" s="5212">
        <f t="shared" si="172"/>
        <v>0</v>
      </c>
      <c r="G232" s="5216"/>
      <c r="H232" s="3855"/>
      <c r="I232" s="3856"/>
      <c r="J232" s="3855"/>
      <c r="K232" s="3856"/>
      <c r="L232" s="3855"/>
      <c r="M232" s="3856"/>
      <c r="N232" s="3855"/>
      <c r="O232" s="3856"/>
      <c r="P232" s="3855"/>
      <c r="Q232" s="3856"/>
      <c r="R232" s="3855"/>
      <c r="S232" s="3856"/>
      <c r="T232" s="3855"/>
      <c r="U232" s="3856"/>
      <c r="V232" s="5217"/>
      <c r="W232" s="3856"/>
      <c r="X232" s="5217"/>
      <c r="Y232" s="3856"/>
      <c r="Z232" s="5217"/>
      <c r="AA232" s="3856"/>
      <c r="AB232" s="5217"/>
      <c r="AC232" s="3856"/>
      <c r="AD232" s="5217"/>
      <c r="AE232" s="3856"/>
      <c r="AF232" s="5217"/>
      <c r="AG232" s="3856"/>
      <c r="AH232" s="5217"/>
      <c r="AI232" s="3856"/>
      <c r="AJ232" s="5217"/>
      <c r="AK232" s="3856"/>
      <c r="AL232" s="5217"/>
      <c r="AM232" s="3856"/>
      <c r="AN232" s="5217"/>
      <c r="AO232" s="3857"/>
      <c r="AP232" s="3858"/>
      <c r="AQ232" s="5204"/>
      <c r="AR232" s="5225"/>
      <c r="AS232" s="5225"/>
      <c r="AT232" s="3856"/>
      <c r="AU232" s="3856"/>
      <c r="AV232" s="5219"/>
      <c r="AW232" s="5219"/>
      <c r="AX232" s="3855"/>
      <c r="AY232" s="5315" t="str">
        <f t="shared" si="162"/>
        <v/>
      </c>
      <c r="BU232" s="1452"/>
      <c r="BV232" s="1452"/>
      <c r="BW232" s="1460"/>
      <c r="CA232" s="1457" t="str">
        <f t="shared" si="163"/>
        <v/>
      </c>
      <c r="CB232" s="1457"/>
      <c r="CC232" s="1457" t="str">
        <f t="shared" si="164"/>
        <v/>
      </c>
      <c r="CD232" s="1457" t="str">
        <f t="shared" si="165"/>
        <v/>
      </c>
      <c r="CE232" s="1457" t="str">
        <f t="shared" si="166"/>
        <v/>
      </c>
      <c r="CF232" s="1457"/>
      <c r="CG232" s="1457" t="str">
        <f t="shared" si="167"/>
        <v/>
      </c>
      <c r="DA232" s="1458">
        <f t="shared" si="168"/>
        <v>0</v>
      </c>
      <c r="DB232" s="1458"/>
      <c r="DC232" s="1458"/>
      <c r="DD232" s="1458">
        <f t="shared" si="169"/>
        <v>0</v>
      </c>
      <c r="DE232" s="1458">
        <f t="shared" si="170"/>
        <v>0</v>
      </c>
      <c r="DF232" s="1458"/>
      <c r="DG232" s="1458">
        <f t="shared" si="171"/>
        <v>0</v>
      </c>
    </row>
    <row r="233" spans="1:111" ht="16.350000000000001" customHeight="1" x14ac:dyDescent="0.2">
      <c r="A233" s="8274"/>
      <c r="B233" s="9419" t="s">
        <v>2135</v>
      </c>
      <c r="C233" s="9420"/>
      <c r="D233" s="5181">
        <f t="shared" si="160"/>
        <v>0</v>
      </c>
      <c r="E233" s="3144">
        <f t="shared" si="172"/>
        <v>0</v>
      </c>
      <c r="F233" s="5212">
        <f t="shared" si="172"/>
        <v>0</v>
      </c>
      <c r="G233" s="5216"/>
      <c r="H233" s="3855"/>
      <c r="I233" s="3856"/>
      <c r="J233" s="3855"/>
      <c r="K233" s="3856"/>
      <c r="L233" s="3855"/>
      <c r="M233" s="3856"/>
      <c r="N233" s="3855"/>
      <c r="O233" s="3856"/>
      <c r="P233" s="3855"/>
      <c r="Q233" s="3856"/>
      <c r="R233" s="3855"/>
      <c r="S233" s="3856"/>
      <c r="T233" s="3855"/>
      <c r="U233" s="3856"/>
      <c r="V233" s="5217"/>
      <c r="W233" s="3856"/>
      <c r="X233" s="5217"/>
      <c r="Y233" s="3856"/>
      <c r="Z233" s="5217"/>
      <c r="AA233" s="3856"/>
      <c r="AB233" s="5217"/>
      <c r="AC233" s="3856"/>
      <c r="AD233" s="5217"/>
      <c r="AE233" s="3856"/>
      <c r="AF233" s="5217"/>
      <c r="AG233" s="3856"/>
      <c r="AH233" s="5217"/>
      <c r="AI233" s="3856"/>
      <c r="AJ233" s="5217"/>
      <c r="AK233" s="3856"/>
      <c r="AL233" s="5217"/>
      <c r="AM233" s="3856"/>
      <c r="AN233" s="5217"/>
      <c r="AO233" s="3857"/>
      <c r="AP233" s="3858"/>
      <c r="AQ233" s="5218"/>
      <c r="AR233" s="3859"/>
      <c r="AS233" s="3859"/>
      <c r="AT233" s="3856"/>
      <c r="AU233" s="3856"/>
      <c r="AV233" s="5219"/>
      <c r="AW233" s="5219"/>
      <c r="AX233" s="3855"/>
      <c r="AY233" s="5315" t="str">
        <f t="shared" si="162"/>
        <v/>
      </c>
      <c r="BU233" s="1452"/>
      <c r="BV233" s="1452"/>
      <c r="BW233" s="1460"/>
      <c r="CA233" s="1457" t="str">
        <f t="shared" si="163"/>
        <v/>
      </c>
      <c r="CB233" s="1457"/>
      <c r="CC233" s="1457" t="str">
        <f t="shared" si="164"/>
        <v/>
      </c>
      <c r="CD233" s="1457" t="str">
        <f t="shared" si="165"/>
        <v/>
      </c>
      <c r="CE233" s="1457" t="str">
        <f t="shared" si="166"/>
        <v/>
      </c>
      <c r="CF233" s="1457"/>
      <c r="CG233" s="1457" t="str">
        <f t="shared" si="167"/>
        <v/>
      </c>
      <c r="DA233" s="1458">
        <f t="shared" si="168"/>
        <v>0</v>
      </c>
      <c r="DB233" s="1458"/>
      <c r="DC233" s="1458"/>
      <c r="DD233" s="1458">
        <f t="shared" si="169"/>
        <v>0</v>
      </c>
      <c r="DE233" s="1458">
        <f t="shared" si="170"/>
        <v>0</v>
      </c>
      <c r="DF233" s="1458"/>
      <c r="DG233" s="1458">
        <f t="shared" si="171"/>
        <v>0</v>
      </c>
    </row>
    <row r="234" spans="1:111" ht="16.350000000000001" customHeight="1" x14ac:dyDescent="0.2">
      <c r="A234" s="9302"/>
      <c r="B234" s="9461" t="s">
        <v>1048</v>
      </c>
      <c r="C234" s="9461"/>
      <c r="D234" s="5220">
        <f t="shared" si="160"/>
        <v>0</v>
      </c>
      <c r="E234" s="5221">
        <f t="shared" si="172"/>
        <v>0</v>
      </c>
      <c r="F234" s="3860">
        <f t="shared" si="172"/>
        <v>0</v>
      </c>
      <c r="G234" s="9504"/>
      <c r="H234" s="9504"/>
      <c r="I234" s="3849"/>
      <c r="J234" s="3848"/>
      <c r="K234" s="3849"/>
      <c r="L234" s="3848"/>
      <c r="M234" s="3849"/>
      <c r="N234" s="3848"/>
      <c r="O234" s="3849"/>
      <c r="P234" s="3848"/>
      <c r="Q234" s="3849"/>
      <c r="R234" s="3848"/>
      <c r="S234" s="3849"/>
      <c r="T234" s="3848"/>
      <c r="U234" s="3849"/>
      <c r="V234" s="3204"/>
      <c r="W234" s="3849"/>
      <c r="X234" s="3204"/>
      <c r="Y234" s="3849"/>
      <c r="Z234" s="3204"/>
      <c r="AA234" s="3849"/>
      <c r="AB234" s="3204"/>
      <c r="AC234" s="3849"/>
      <c r="AD234" s="3204"/>
      <c r="AE234" s="3849"/>
      <c r="AF234" s="3204"/>
      <c r="AG234" s="3849"/>
      <c r="AH234" s="3204"/>
      <c r="AI234" s="3849"/>
      <c r="AJ234" s="3204"/>
      <c r="AK234" s="3849"/>
      <c r="AL234" s="3204"/>
      <c r="AM234" s="3849"/>
      <c r="AN234" s="3204"/>
      <c r="AO234" s="3850"/>
      <c r="AP234" s="3851"/>
      <c r="AQ234" s="5222"/>
      <c r="AR234" s="3861"/>
      <c r="AS234" s="3861"/>
      <c r="AT234" s="3849"/>
      <c r="AU234" s="3849"/>
      <c r="AV234" s="5209"/>
      <c r="AW234" s="5209"/>
      <c r="AX234" s="3848"/>
      <c r="AY234" s="5315" t="str">
        <f t="shared" si="162"/>
        <v/>
      </c>
      <c r="BU234" s="1452"/>
      <c r="BV234" s="1452"/>
      <c r="BW234" s="1460"/>
      <c r="CA234" s="1457" t="str">
        <f t="shared" si="163"/>
        <v/>
      </c>
      <c r="CB234" s="1457"/>
      <c r="CC234" s="1457" t="str">
        <f t="shared" si="164"/>
        <v/>
      </c>
      <c r="CD234" s="1457" t="str">
        <f t="shared" si="165"/>
        <v/>
      </c>
      <c r="CE234" s="1457" t="str">
        <f t="shared" si="166"/>
        <v/>
      </c>
      <c r="CF234" s="1457"/>
      <c r="CG234" s="1457" t="str">
        <f t="shared" si="167"/>
        <v/>
      </c>
      <c r="DA234" s="1458">
        <f t="shared" si="168"/>
        <v>0</v>
      </c>
      <c r="DB234" s="1458"/>
      <c r="DC234" s="1458"/>
      <c r="DD234" s="1458">
        <f t="shared" si="169"/>
        <v>0</v>
      </c>
      <c r="DE234" s="1458">
        <f t="shared" si="170"/>
        <v>0</v>
      </c>
      <c r="DF234" s="1458"/>
      <c r="DG234" s="1458">
        <f t="shared" si="171"/>
        <v>0</v>
      </c>
    </row>
    <row r="235" spans="1:111" ht="16.350000000000001" customHeight="1" x14ac:dyDescent="0.2">
      <c r="A235" s="8197" t="s">
        <v>1034</v>
      </c>
      <c r="B235" s="9460" t="s">
        <v>1052</v>
      </c>
      <c r="C235" s="9460"/>
      <c r="D235" s="5176">
        <f t="shared" si="160"/>
        <v>0</v>
      </c>
      <c r="E235" s="5223">
        <f t="shared" si="172"/>
        <v>0</v>
      </c>
      <c r="F235" s="5224">
        <f t="shared" si="172"/>
        <v>0</v>
      </c>
      <c r="G235" s="5198"/>
      <c r="H235" s="5199"/>
      <c r="I235" s="5200"/>
      <c r="J235" s="5199"/>
      <c r="K235" s="5200"/>
      <c r="L235" s="5199"/>
      <c r="M235" s="5200"/>
      <c r="N235" s="5199"/>
      <c r="O235" s="5200"/>
      <c r="P235" s="5199"/>
      <c r="Q235" s="5200"/>
      <c r="R235" s="5199"/>
      <c r="S235" s="5200"/>
      <c r="T235" s="5199"/>
      <c r="U235" s="5200"/>
      <c r="V235" s="5201"/>
      <c r="W235" s="5200"/>
      <c r="X235" s="5201"/>
      <c r="Y235" s="5200"/>
      <c r="Z235" s="5201"/>
      <c r="AA235" s="5200"/>
      <c r="AB235" s="5201"/>
      <c r="AC235" s="5200"/>
      <c r="AD235" s="5201"/>
      <c r="AE235" s="5200"/>
      <c r="AF235" s="5201"/>
      <c r="AG235" s="5200"/>
      <c r="AH235" s="5201"/>
      <c r="AI235" s="5200"/>
      <c r="AJ235" s="5201"/>
      <c r="AK235" s="5200"/>
      <c r="AL235" s="5201"/>
      <c r="AM235" s="5200"/>
      <c r="AN235" s="5201"/>
      <c r="AO235" s="3853"/>
      <c r="AP235" s="1852"/>
      <c r="AQ235" s="5198"/>
      <c r="AR235" s="3854"/>
      <c r="AS235" s="5198"/>
      <c r="AT235" s="5211"/>
      <c r="AU235" s="5211"/>
      <c r="AV235" s="3854"/>
      <c r="AW235" s="3854"/>
      <c r="AX235" s="3852"/>
      <c r="AY235" s="5315" t="str">
        <f t="shared" si="162"/>
        <v/>
      </c>
      <c r="BU235" s="1452"/>
      <c r="BV235" s="1452"/>
      <c r="BW235" s="1460"/>
      <c r="CA235" s="1457" t="str">
        <f t="shared" si="163"/>
        <v/>
      </c>
      <c r="CB235" s="1457" t="str">
        <f>IF(DB235=1,"* La consulta pertinente según Protocolo de Referencia NO DEBE ser mayor al Total registrado. ","")</f>
        <v/>
      </c>
      <c r="CC235" s="1457" t="str">
        <f t="shared" si="164"/>
        <v/>
      </c>
      <c r="CD235" s="1457" t="str">
        <f t="shared" si="165"/>
        <v/>
      </c>
      <c r="CE235" s="1457" t="str">
        <f t="shared" si="166"/>
        <v/>
      </c>
      <c r="CF235" s="1457"/>
      <c r="CG235" s="1457" t="str">
        <f t="shared" si="167"/>
        <v/>
      </c>
      <c r="DA235" s="1458">
        <f t="shared" si="168"/>
        <v>0</v>
      </c>
      <c r="DB235" s="1458">
        <f>IF(D235&lt;AQ235,1,0)</f>
        <v>0</v>
      </c>
      <c r="DC235" s="1458">
        <f>IF(D235&lt;AR235,1,0)</f>
        <v>0</v>
      </c>
      <c r="DD235" s="1458">
        <f t="shared" si="169"/>
        <v>0</v>
      </c>
      <c r="DE235" s="1458">
        <f t="shared" si="170"/>
        <v>0</v>
      </c>
      <c r="DF235" s="1458"/>
      <c r="DG235" s="1458">
        <f t="shared" si="171"/>
        <v>0</v>
      </c>
    </row>
    <row r="236" spans="1:111" ht="16.350000000000001" customHeight="1" x14ac:dyDescent="0.2">
      <c r="A236" s="8274"/>
      <c r="B236" s="9392" t="s">
        <v>1051</v>
      </c>
      <c r="C236" s="9392"/>
      <c r="D236" s="5181">
        <f t="shared" si="160"/>
        <v>0</v>
      </c>
      <c r="E236" s="3144">
        <f t="shared" si="172"/>
        <v>0</v>
      </c>
      <c r="F236" s="5212">
        <f t="shared" si="172"/>
        <v>0</v>
      </c>
      <c r="G236" s="5213"/>
      <c r="H236" s="1854"/>
      <c r="I236" s="5214"/>
      <c r="J236" s="1854"/>
      <c r="K236" s="5214"/>
      <c r="L236" s="1854"/>
      <c r="M236" s="5214"/>
      <c r="N236" s="1854"/>
      <c r="O236" s="5214"/>
      <c r="P236" s="1854"/>
      <c r="Q236" s="5214"/>
      <c r="R236" s="1854"/>
      <c r="S236" s="5214"/>
      <c r="T236" s="1854"/>
      <c r="U236" s="5214"/>
      <c r="V236" s="2988"/>
      <c r="W236" s="5214"/>
      <c r="X236" s="2988"/>
      <c r="Y236" s="5214"/>
      <c r="Z236" s="2988"/>
      <c r="AA236" s="5214"/>
      <c r="AB236" s="2988"/>
      <c r="AC236" s="5214"/>
      <c r="AD236" s="2988"/>
      <c r="AE236" s="5214"/>
      <c r="AF236" s="2988"/>
      <c r="AG236" s="5214"/>
      <c r="AH236" s="2988"/>
      <c r="AI236" s="5214"/>
      <c r="AJ236" s="2988"/>
      <c r="AK236" s="5214"/>
      <c r="AL236" s="2988"/>
      <c r="AM236" s="5214"/>
      <c r="AN236" s="2988"/>
      <c r="AO236" s="1856"/>
      <c r="AP236" s="1857"/>
      <c r="AQ236" s="5204"/>
      <c r="AR236" s="5225"/>
      <c r="AS236" s="3630"/>
      <c r="AT236" s="5214"/>
      <c r="AU236" s="5214"/>
      <c r="AV236" s="5215"/>
      <c r="AW236" s="5215"/>
      <c r="AX236" s="1854"/>
      <c r="AY236" s="5315" t="str">
        <f t="shared" si="162"/>
        <v/>
      </c>
      <c r="BU236" s="1452"/>
      <c r="BV236" s="1452"/>
      <c r="BW236" s="1460"/>
      <c r="CA236" s="1457" t="str">
        <f t="shared" si="163"/>
        <v/>
      </c>
      <c r="CB236" s="1457"/>
      <c r="CC236" s="1457" t="str">
        <f t="shared" si="164"/>
        <v/>
      </c>
      <c r="CD236" s="1457" t="str">
        <f t="shared" si="165"/>
        <v/>
      </c>
      <c r="CE236" s="1457" t="str">
        <f t="shared" si="166"/>
        <v/>
      </c>
      <c r="CF236" s="1457"/>
      <c r="CG236" s="1457" t="str">
        <f t="shared" si="167"/>
        <v/>
      </c>
      <c r="DA236" s="1458">
        <f t="shared" si="168"/>
        <v>0</v>
      </c>
      <c r="DB236" s="1458"/>
      <c r="DC236" s="1458"/>
      <c r="DD236" s="1458">
        <f t="shared" si="169"/>
        <v>0</v>
      </c>
      <c r="DE236" s="1458">
        <f t="shared" si="170"/>
        <v>0</v>
      </c>
      <c r="DF236" s="1458"/>
      <c r="DG236" s="1458">
        <f t="shared" si="171"/>
        <v>0</v>
      </c>
    </row>
    <row r="237" spans="1:111" ht="16.350000000000001" customHeight="1" x14ac:dyDescent="0.2">
      <c r="A237" s="8274"/>
      <c r="B237" s="9419" t="s">
        <v>1050</v>
      </c>
      <c r="C237" s="9420"/>
      <c r="D237" s="5181">
        <f t="shared" si="160"/>
        <v>0</v>
      </c>
      <c r="E237" s="3144">
        <f t="shared" si="172"/>
        <v>0</v>
      </c>
      <c r="F237" s="5212">
        <f t="shared" si="172"/>
        <v>0</v>
      </c>
      <c r="G237" s="5213"/>
      <c r="H237" s="1854"/>
      <c r="I237" s="5214"/>
      <c r="J237" s="1854"/>
      <c r="K237" s="5214"/>
      <c r="L237" s="1854"/>
      <c r="M237" s="5214"/>
      <c r="N237" s="1854"/>
      <c r="O237" s="5214"/>
      <c r="P237" s="1854"/>
      <c r="Q237" s="5214"/>
      <c r="R237" s="1854"/>
      <c r="S237" s="5214"/>
      <c r="T237" s="1854"/>
      <c r="U237" s="5214"/>
      <c r="V237" s="2988"/>
      <c r="W237" s="5214"/>
      <c r="X237" s="2988"/>
      <c r="Y237" s="5214"/>
      <c r="Z237" s="2988"/>
      <c r="AA237" s="5214"/>
      <c r="AB237" s="2988"/>
      <c r="AC237" s="5214"/>
      <c r="AD237" s="2988"/>
      <c r="AE237" s="5214"/>
      <c r="AF237" s="2988"/>
      <c r="AG237" s="5214"/>
      <c r="AH237" s="2988"/>
      <c r="AI237" s="5214"/>
      <c r="AJ237" s="2988"/>
      <c r="AK237" s="5214"/>
      <c r="AL237" s="2988"/>
      <c r="AM237" s="5214"/>
      <c r="AN237" s="2988"/>
      <c r="AO237" s="1856"/>
      <c r="AP237" s="1857"/>
      <c r="AQ237" s="5204"/>
      <c r="AR237" s="5225"/>
      <c r="AS237" s="5225"/>
      <c r="AT237" s="5214"/>
      <c r="AU237" s="5214"/>
      <c r="AV237" s="5215"/>
      <c r="AW237" s="5215"/>
      <c r="AX237" s="1854"/>
      <c r="AY237" s="5315" t="str">
        <f t="shared" si="162"/>
        <v/>
      </c>
      <c r="BU237" s="1452"/>
      <c r="BV237" s="1452"/>
      <c r="BW237" s="1460"/>
      <c r="CA237" s="1457" t="str">
        <f t="shared" si="163"/>
        <v/>
      </c>
      <c r="CB237" s="1457"/>
      <c r="CC237" s="1457" t="str">
        <f t="shared" si="164"/>
        <v/>
      </c>
      <c r="CD237" s="1457" t="str">
        <f t="shared" si="165"/>
        <v/>
      </c>
      <c r="CE237" s="1457" t="str">
        <f t="shared" si="166"/>
        <v/>
      </c>
      <c r="CF237" s="1457"/>
      <c r="CG237" s="1457" t="str">
        <f t="shared" si="167"/>
        <v/>
      </c>
      <c r="DA237" s="1458">
        <f t="shared" si="168"/>
        <v>0</v>
      </c>
      <c r="DB237" s="1458"/>
      <c r="DC237" s="1458"/>
      <c r="DD237" s="1458">
        <f t="shared" si="169"/>
        <v>0</v>
      </c>
      <c r="DE237" s="1458">
        <f t="shared" si="170"/>
        <v>0</v>
      </c>
      <c r="DF237" s="1458"/>
      <c r="DG237" s="1458">
        <f t="shared" si="171"/>
        <v>0</v>
      </c>
    </row>
    <row r="238" spans="1:111" ht="16.350000000000001" customHeight="1" x14ac:dyDescent="0.2">
      <c r="A238" s="8274"/>
      <c r="B238" s="9392" t="s">
        <v>1049</v>
      </c>
      <c r="C238" s="9392"/>
      <c r="D238" s="5181">
        <f t="shared" si="160"/>
        <v>0</v>
      </c>
      <c r="E238" s="3144">
        <f t="shared" si="172"/>
        <v>0</v>
      </c>
      <c r="F238" s="5212">
        <f t="shared" si="172"/>
        <v>0</v>
      </c>
      <c r="G238" s="5216"/>
      <c r="H238" s="3855"/>
      <c r="I238" s="3856"/>
      <c r="J238" s="3855"/>
      <c r="K238" s="3856"/>
      <c r="L238" s="3855"/>
      <c r="M238" s="3856"/>
      <c r="N238" s="3855"/>
      <c r="O238" s="3856"/>
      <c r="P238" s="3855"/>
      <c r="Q238" s="3856"/>
      <c r="R238" s="3855"/>
      <c r="S238" s="3856"/>
      <c r="T238" s="3855"/>
      <c r="U238" s="3856"/>
      <c r="V238" s="5217"/>
      <c r="W238" s="3856"/>
      <c r="X238" s="5217"/>
      <c r="Y238" s="3856"/>
      <c r="Z238" s="5217"/>
      <c r="AA238" s="3856"/>
      <c r="AB238" s="5217"/>
      <c r="AC238" s="3856"/>
      <c r="AD238" s="5217"/>
      <c r="AE238" s="3856"/>
      <c r="AF238" s="5217"/>
      <c r="AG238" s="3856"/>
      <c r="AH238" s="5217"/>
      <c r="AI238" s="3856"/>
      <c r="AJ238" s="5217"/>
      <c r="AK238" s="3856"/>
      <c r="AL238" s="5217"/>
      <c r="AM238" s="3856"/>
      <c r="AN238" s="5217"/>
      <c r="AO238" s="3857"/>
      <c r="AP238" s="3858"/>
      <c r="AQ238" s="5204"/>
      <c r="AR238" s="5225"/>
      <c r="AS238" s="5225"/>
      <c r="AT238" s="3856"/>
      <c r="AU238" s="3856"/>
      <c r="AV238" s="5219"/>
      <c r="AW238" s="5219"/>
      <c r="AX238" s="3855"/>
      <c r="AY238" s="5315" t="str">
        <f t="shared" si="162"/>
        <v/>
      </c>
      <c r="BU238" s="1452"/>
      <c r="BV238" s="1452"/>
      <c r="BW238" s="1460"/>
      <c r="CA238" s="1457" t="str">
        <f t="shared" si="163"/>
        <v/>
      </c>
      <c r="CB238" s="1457"/>
      <c r="CC238" s="1457" t="str">
        <f t="shared" si="164"/>
        <v/>
      </c>
      <c r="CD238" s="1457" t="str">
        <f t="shared" si="165"/>
        <v/>
      </c>
      <c r="CE238" s="1457" t="str">
        <f t="shared" si="166"/>
        <v/>
      </c>
      <c r="CF238" s="1457"/>
      <c r="CG238" s="1457" t="str">
        <f t="shared" si="167"/>
        <v/>
      </c>
      <c r="DA238" s="1458">
        <f t="shared" si="168"/>
        <v>0</v>
      </c>
      <c r="DB238" s="1458"/>
      <c r="DC238" s="1458"/>
      <c r="DD238" s="1458">
        <f t="shared" si="169"/>
        <v>0</v>
      </c>
      <c r="DE238" s="1458">
        <f t="shared" si="170"/>
        <v>0</v>
      </c>
      <c r="DF238" s="1458"/>
      <c r="DG238" s="1458">
        <f t="shared" si="171"/>
        <v>0</v>
      </c>
    </row>
    <row r="239" spans="1:111" ht="16.350000000000001" customHeight="1" x14ac:dyDescent="0.2">
      <c r="A239" s="8274"/>
      <c r="B239" s="9419" t="s">
        <v>2135</v>
      </c>
      <c r="C239" s="9420"/>
      <c r="D239" s="5181">
        <f t="shared" si="160"/>
        <v>0</v>
      </c>
      <c r="E239" s="3144">
        <f t="shared" si="172"/>
        <v>0</v>
      </c>
      <c r="F239" s="5212">
        <f t="shared" si="172"/>
        <v>0</v>
      </c>
      <c r="G239" s="5216"/>
      <c r="H239" s="3855"/>
      <c r="I239" s="3856"/>
      <c r="J239" s="3855"/>
      <c r="K239" s="3856"/>
      <c r="L239" s="3855"/>
      <c r="M239" s="3856"/>
      <c r="N239" s="3855"/>
      <c r="O239" s="3856"/>
      <c r="P239" s="3855"/>
      <c r="Q239" s="3856"/>
      <c r="R239" s="3855"/>
      <c r="S239" s="3856"/>
      <c r="T239" s="3855"/>
      <c r="U239" s="3856"/>
      <c r="V239" s="5217"/>
      <c r="W239" s="3856"/>
      <c r="X239" s="5217"/>
      <c r="Y239" s="3856"/>
      <c r="Z239" s="5217"/>
      <c r="AA239" s="3856"/>
      <c r="AB239" s="5217"/>
      <c r="AC239" s="3856"/>
      <c r="AD239" s="5217"/>
      <c r="AE239" s="3856"/>
      <c r="AF239" s="5217"/>
      <c r="AG239" s="3856"/>
      <c r="AH239" s="5217"/>
      <c r="AI239" s="3856"/>
      <c r="AJ239" s="5217"/>
      <c r="AK239" s="3856"/>
      <c r="AL239" s="5217"/>
      <c r="AM239" s="3856"/>
      <c r="AN239" s="5217"/>
      <c r="AO239" s="3857"/>
      <c r="AP239" s="3858"/>
      <c r="AQ239" s="5218"/>
      <c r="AR239" s="3859"/>
      <c r="AS239" s="3859"/>
      <c r="AT239" s="3856"/>
      <c r="AU239" s="3856"/>
      <c r="AV239" s="5219"/>
      <c r="AW239" s="5219"/>
      <c r="AX239" s="3855"/>
      <c r="AY239" s="5315" t="str">
        <f t="shared" si="162"/>
        <v/>
      </c>
      <c r="BU239" s="1452"/>
      <c r="BV239" s="1452"/>
      <c r="BW239" s="1460"/>
      <c r="CA239" s="1457" t="str">
        <f t="shared" si="163"/>
        <v/>
      </c>
      <c r="CB239" s="1457"/>
      <c r="CC239" s="1457" t="str">
        <f t="shared" si="164"/>
        <v/>
      </c>
      <c r="CD239" s="1457" t="str">
        <f t="shared" si="165"/>
        <v/>
      </c>
      <c r="CE239" s="1457" t="str">
        <f t="shared" si="166"/>
        <v/>
      </c>
      <c r="CF239" s="1457"/>
      <c r="CG239" s="1457" t="str">
        <f t="shared" si="167"/>
        <v/>
      </c>
      <c r="DA239" s="1458">
        <f t="shared" si="168"/>
        <v>0</v>
      </c>
      <c r="DB239" s="1458"/>
      <c r="DC239" s="1458"/>
      <c r="DD239" s="1458">
        <f t="shared" si="169"/>
        <v>0</v>
      </c>
      <c r="DE239" s="1458">
        <f t="shared" si="170"/>
        <v>0</v>
      </c>
      <c r="DF239" s="1458"/>
      <c r="DG239" s="1458">
        <f t="shared" si="171"/>
        <v>0</v>
      </c>
    </row>
    <row r="240" spans="1:111" ht="16.350000000000001" customHeight="1" x14ac:dyDescent="0.2">
      <c r="A240" s="9302"/>
      <c r="B240" s="9468" t="s">
        <v>1048</v>
      </c>
      <c r="C240" s="9468"/>
      <c r="D240" s="5220">
        <f t="shared" si="160"/>
        <v>0</v>
      </c>
      <c r="E240" s="5221">
        <f t="shared" si="172"/>
        <v>0</v>
      </c>
      <c r="F240" s="3860">
        <f t="shared" si="172"/>
        <v>0</v>
      </c>
      <c r="G240" s="9504"/>
      <c r="H240" s="9504"/>
      <c r="I240" s="3849"/>
      <c r="J240" s="3848"/>
      <c r="K240" s="3849"/>
      <c r="L240" s="3848"/>
      <c r="M240" s="3849"/>
      <c r="N240" s="3848"/>
      <c r="O240" s="3849"/>
      <c r="P240" s="3848"/>
      <c r="Q240" s="3849"/>
      <c r="R240" s="3848"/>
      <c r="S240" s="3849"/>
      <c r="T240" s="3848"/>
      <c r="U240" s="3849"/>
      <c r="V240" s="3204"/>
      <c r="W240" s="3849"/>
      <c r="X240" s="3204"/>
      <c r="Y240" s="3849"/>
      <c r="Z240" s="3204"/>
      <c r="AA240" s="3849"/>
      <c r="AB240" s="3204"/>
      <c r="AC240" s="3849"/>
      <c r="AD240" s="3204"/>
      <c r="AE240" s="3849"/>
      <c r="AF240" s="3204"/>
      <c r="AG240" s="3849"/>
      <c r="AH240" s="3204"/>
      <c r="AI240" s="3849"/>
      <c r="AJ240" s="3204"/>
      <c r="AK240" s="3849"/>
      <c r="AL240" s="3204"/>
      <c r="AM240" s="3849"/>
      <c r="AN240" s="3204"/>
      <c r="AO240" s="3850"/>
      <c r="AP240" s="3851"/>
      <c r="AQ240" s="5222"/>
      <c r="AR240" s="3861"/>
      <c r="AS240" s="3861"/>
      <c r="AT240" s="3849"/>
      <c r="AU240" s="3849"/>
      <c r="AV240" s="5209"/>
      <c r="AW240" s="5209"/>
      <c r="AX240" s="3848"/>
      <c r="AY240" s="5315" t="str">
        <f t="shared" si="162"/>
        <v/>
      </c>
      <c r="BU240" s="1452"/>
      <c r="BV240" s="1452"/>
      <c r="BW240" s="1460"/>
      <c r="CA240" s="1457" t="str">
        <f t="shared" si="163"/>
        <v/>
      </c>
      <c r="CB240" s="1457"/>
      <c r="CC240" s="1457" t="str">
        <f t="shared" si="164"/>
        <v/>
      </c>
      <c r="CD240" s="1457" t="str">
        <f t="shared" si="165"/>
        <v/>
      </c>
      <c r="CE240" s="1457" t="str">
        <f t="shared" si="166"/>
        <v/>
      </c>
      <c r="CF240" s="1457"/>
      <c r="CG240" s="1457" t="str">
        <f t="shared" si="167"/>
        <v/>
      </c>
      <c r="DA240" s="1458">
        <f t="shared" si="168"/>
        <v>0</v>
      </c>
      <c r="DB240" s="1458"/>
      <c r="DC240" s="1458"/>
      <c r="DD240" s="1458">
        <f t="shared" si="169"/>
        <v>0</v>
      </c>
      <c r="DE240" s="1458">
        <f t="shared" si="170"/>
        <v>0</v>
      </c>
      <c r="DF240" s="1458"/>
      <c r="DG240" s="1458">
        <f t="shared" si="171"/>
        <v>0</v>
      </c>
    </row>
    <row r="241" spans="1:111" ht="16.350000000000001" customHeight="1" x14ac:dyDescent="0.2">
      <c r="A241" s="8197" t="s">
        <v>1031</v>
      </c>
      <c r="B241" s="9460" t="s">
        <v>1052</v>
      </c>
      <c r="C241" s="9460"/>
      <c r="D241" s="5176">
        <f>SUM(E241+F241)</f>
        <v>0</v>
      </c>
      <c r="E241" s="5223">
        <f t="shared" si="172"/>
        <v>0</v>
      </c>
      <c r="F241" s="5224">
        <f t="shared" si="172"/>
        <v>0</v>
      </c>
      <c r="G241" s="5198"/>
      <c r="H241" s="5199"/>
      <c r="I241" s="5200"/>
      <c r="J241" s="5199"/>
      <c r="K241" s="5200"/>
      <c r="L241" s="5199"/>
      <c r="M241" s="5200"/>
      <c r="N241" s="5199"/>
      <c r="O241" s="5200"/>
      <c r="P241" s="5199"/>
      <c r="Q241" s="5200"/>
      <c r="R241" s="5199"/>
      <c r="S241" s="5200"/>
      <c r="T241" s="5199"/>
      <c r="U241" s="5200"/>
      <c r="V241" s="5199"/>
      <c r="W241" s="5200"/>
      <c r="X241" s="5199"/>
      <c r="Y241" s="5200"/>
      <c r="Z241" s="5199"/>
      <c r="AA241" s="5200"/>
      <c r="AB241" s="5199"/>
      <c r="AC241" s="5200"/>
      <c r="AD241" s="5199"/>
      <c r="AE241" s="5200"/>
      <c r="AF241" s="5199"/>
      <c r="AG241" s="5200"/>
      <c r="AH241" s="5199"/>
      <c r="AI241" s="5200"/>
      <c r="AJ241" s="5199"/>
      <c r="AK241" s="5200"/>
      <c r="AL241" s="5199"/>
      <c r="AM241" s="5200"/>
      <c r="AN241" s="5199"/>
      <c r="AO241" s="5202"/>
      <c r="AP241" s="5226"/>
      <c r="AQ241" s="5198"/>
      <c r="AR241" s="3854"/>
      <c r="AS241" s="5198"/>
      <c r="AT241" s="5211"/>
      <c r="AU241" s="5211"/>
      <c r="AV241" s="3854"/>
      <c r="AW241" s="3854"/>
      <c r="AX241" s="3852"/>
      <c r="AY241" s="5315" t="str">
        <f t="shared" si="162"/>
        <v/>
      </c>
      <c r="BU241" s="1452"/>
      <c r="BV241" s="1452"/>
      <c r="BW241" s="1460"/>
      <c r="CA241" s="1457" t="str">
        <f t="shared" si="163"/>
        <v/>
      </c>
      <c r="CB241" s="1457" t="str">
        <f>IF(DB241=1,"* La consulta pertinente según Protocolo de Referencia NO DEBE ser mayor al Total registrado. ","")</f>
        <v/>
      </c>
      <c r="CC241" s="1457" t="str">
        <f t="shared" si="164"/>
        <v/>
      </c>
      <c r="CD241" s="1457" t="str">
        <f t="shared" si="165"/>
        <v/>
      </c>
      <c r="CE241" s="1457" t="str">
        <f t="shared" si="166"/>
        <v/>
      </c>
      <c r="CF241" s="1457"/>
      <c r="CG241" s="1457" t="str">
        <f t="shared" si="167"/>
        <v/>
      </c>
      <c r="DA241" s="1458"/>
      <c r="DB241" s="1458">
        <f>IF(D241&lt;AQ241,1,0)</f>
        <v>0</v>
      </c>
      <c r="DC241" s="1458">
        <f>IF(D241&lt;AR241,1,0)</f>
        <v>0</v>
      </c>
      <c r="DD241" s="1458">
        <f t="shared" si="169"/>
        <v>0</v>
      </c>
      <c r="DE241" s="1458">
        <f t="shared" si="170"/>
        <v>0</v>
      </c>
      <c r="DF241" s="1458"/>
      <c r="DG241" s="1458">
        <f t="shared" si="171"/>
        <v>0</v>
      </c>
    </row>
    <row r="242" spans="1:111" ht="16.350000000000001" customHeight="1" x14ac:dyDescent="0.2">
      <c r="A242" s="8274"/>
      <c r="B242" s="9392" t="s">
        <v>1051</v>
      </c>
      <c r="C242" s="9392"/>
      <c r="D242" s="5181">
        <f t="shared" si="160"/>
        <v>0</v>
      </c>
      <c r="E242" s="3144">
        <f t="shared" si="172"/>
        <v>0</v>
      </c>
      <c r="F242" s="5212">
        <f t="shared" si="172"/>
        <v>0</v>
      </c>
      <c r="G242" s="5213"/>
      <c r="H242" s="1854"/>
      <c r="I242" s="5214"/>
      <c r="J242" s="1854"/>
      <c r="K242" s="5214"/>
      <c r="L242" s="1854"/>
      <c r="M242" s="5214"/>
      <c r="N242" s="1854"/>
      <c r="O242" s="5214"/>
      <c r="P242" s="1854"/>
      <c r="Q242" s="5214"/>
      <c r="R242" s="1854"/>
      <c r="S242" s="5214"/>
      <c r="T242" s="1854"/>
      <c r="U242" s="5214"/>
      <c r="V242" s="1854"/>
      <c r="W242" s="5214"/>
      <c r="X242" s="1854"/>
      <c r="Y242" s="5214"/>
      <c r="Z242" s="1854"/>
      <c r="AA242" s="5214"/>
      <c r="AB242" s="1854"/>
      <c r="AC242" s="5214"/>
      <c r="AD242" s="1854"/>
      <c r="AE242" s="5214"/>
      <c r="AF242" s="1854"/>
      <c r="AG242" s="5214"/>
      <c r="AH242" s="1854"/>
      <c r="AI242" s="5214"/>
      <c r="AJ242" s="1854"/>
      <c r="AK242" s="5214"/>
      <c r="AL242" s="1854"/>
      <c r="AM242" s="5214"/>
      <c r="AN242" s="1854"/>
      <c r="AO242" s="1856"/>
      <c r="AP242" s="1860"/>
      <c r="AQ242" s="5204"/>
      <c r="AR242" s="5225"/>
      <c r="AS242" s="3630"/>
      <c r="AT242" s="5214"/>
      <c r="AU242" s="5214"/>
      <c r="AV242" s="5215"/>
      <c r="AW242" s="5215"/>
      <c r="AX242" s="1854"/>
      <c r="AY242" s="5315" t="str">
        <f t="shared" si="162"/>
        <v/>
      </c>
      <c r="BU242" s="1452"/>
      <c r="BV242" s="1452"/>
      <c r="BW242" s="1460"/>
      <c r="CA242" s="1457" t="str">
        <f t="shared" si="163"/>
        <v/>
      </c>
      <c r="CB242" s="1457"/>
      <c r="CC242" s="1457" t="str">
        <f t="shared" si="164"/>
        <v/>
      </c>
      <c r="CD242" s="1457" t="str">
        <f t="shared" si="165"/>
        <v/>
      </c>
      <c r="CE242" s="1457" t="str">
        <f t="shared" si="166"/>
        <v/>
      </c>
      <c r="CF242" s="1457"/>
      <c r="CG242" s="1457" t="str">
        <f t="shared" si="167"/>
        <v/>
      </c>
      <c r="DA242" s="1458"/>
      <c r="DB242" s="1458"/>
      <c r="DC242" s="1458"/>
      <c r="DD242" s="1458">
        <f t="shared" si="169"/>
        <v>0</v>
      </c>
      <c r="DE242" s="1458">
        <f t="shared" si="170"/>
        <v>0</v>
      </c>
      <c r="DF242" s="1458"/>
      <c r="DG242" s="1458">
        <f t="shared" si="171"/>
        <v>0</v>
      </c>
    </row>
    <row r="243" spans="1:111" ht="16.350000000000001" customHeight="1" x14ac:dyDescent="0.2">
      <c r="A243" s="8274"/>
      <c r="B243" s="9392" t="s">
        <v>1050</v>
      </c>
      <c r="C243" s="9392"/>
      <c r="D243" s="5181">
        <f t="shared" si="160"/>
        <v>0</v>
      </c>
      <c r="E243" s="3144">
        <f t="shared" si="172"/>
        <v>0</v>
      </c>
      <c r="F243" s="5212">
        <f t="shared" si="172"/>
        <v>0</v>
      </c>
      <c r="G243" s="5213"/>
      <c r="H243" s="1854"/>
      <c r="I243" s="5214"/>
      <c r="J243" s="1854"/>
      <c r="K243" s="5214"/>
      <c r="L243" s="1854"/>
      <c r="M243" s="5214"/>
      <c r="N243" s="1854"/>
      <c r="O243" s="5214"/>
      <c r="P243" s="1854"/>
      <c r="Q243" s="5214"/>
      <c r="R243" s="1854"/>
      <c r="S243" s="5214"/>
      <c r="T243" s="1854"/>
      <c r="U243" s="5214"/>
      <c r="V243" s="1854"/>
      <c r="W243" s="5214"/>
      <c r="X243" s="1854"/>
      <c r="Y243" s="5214"/>
      <c r="Z243" s="1854"/>
      <c r="AA243" s="5214"/>
      <c r="AB243" s="1854"/>
      <c r="AC243" s="5214"/>
      <c r="AD243" s="1854"/>
      <c r="AE243" s="5214"/>
      <c r="AF243" s="1854"/>
      <c r="AG243" s="5214"/>
      <c r="AH243" s="1854"/>
      <c r="AI243" s="5214"/>
      <c r="AJ243" s="1854"/>
      <c r="AK243" s="5214"/>
      <c r="AL243" s="1854"/>
      <c r="AM243" s="5214"/>
      <c r="AN243" s="1854"/>
      <c r="AO243" s="1856"/>
      <c r="AP243" s="1860"/>
      <c r="AQ243" s="5204"/>
      <c r="AR243" s="5225"/>
      <c r="AS243" s="5225"/>
      <c r="AT243" s="5214"/>
      <c r="AU243" s="5214"/>
      <c r="AV243" s="5215"/>
      <c r="AW243" s="5215"/>
      <c r="AX243" s="1854"/>
      <c r="AY243" s="5315" t="str">
        <f t="shared" si="162"/>
        <v/>
      </c>
      <c r="BU243" s="1452"/>
      <c r="BV243" s="1452"/>
      <c r="BW243" s="1460"/>
      <c r="CA243" s="1457" t="str">
        <f t="shared" si="163"/>
        <v/>
      </c>
      <c r="CB243" s="1457"/>
      <c r="CC243" s="1457" t="str">
        <f t="shared" si="164"/>
        <v/>
      </c>
      <c r="CD243" s="1457" t="str">
        <f t="shared" si="165"/>
        <v/>
      </c>
      <c r="CE243" s="1457" t="str">
        <f t="shared" si="166"/>
        <v/>
      </c>
      <c r="CF243" s="1457"/>
      <c r="CG243" s="1457" t="str">
        <f t="shared" si="167"/>
        <v/>
      </c>
      <c r="DA243" s="1458"/>
      <c r="DB243" s="1458"/>
      <c r="DC243" s="1458"/>
      <c r="DD243" s="1458">
        <f t="shared" si="169"/>
        <v>0</v>
      </c>
      <c r="DE243" s="1458">
        <f t="shared" si="170"/>
        <v>0</v>
      </c>
      <c r="DF243" s="1458"/>
      <c r="DG243" s="1458">
        <f t="shared" si="171"/>
        <v>0</v>
      </c>
    </row>
    <row r="244" spans="1:111" ht="16.350000000000001" customHeight="1" x14ac:dyDescent="0.2">
      <c r="A244" s="8274"/>
      <c r="B244" s="9392" t="s">
        <v>1049</v>
      </c>
      <c r="C244" s="9392"/>
      <c r="D244" s="5181">
        <f t="shared" si="160"/>
        <v>0</v>
      </c>
      <c r="E244" s="3144">
        <f t="shared" si="172"/>
        <v>0</v>
      </c>
      <c r="F244" s="5212">
        <f t="shared" si="172"/>
        <v>0</v>
      </c>
      <c r="G244" s="5216"/>
      <c r="H244" s="3855"/>
      <c r="I244" s="3856"/>
      <c r="J244" s="3855"/>
      <c r="K244" s="3856"/>
      <c r="L244" s="3855"/>
      <c r="M244" s="3856"/>
      <c r="N244" s="3855"/>
      <c r="O244" s="3856"/>
      <c r="P244" s="3855"/>
      <c r="Q244" s="3856"/>
      <c r="R244" s="3855"/>
      <c r="S244" s="3856"/>
      <c r="T244" s="3855"/>
      <c r="U244" s="3856"/>
      <c r="V244" s="3855"/>
      <c r="W244" s="3856"/>
      <c r="X244" s="3855"/>
      <c r="Y244" s="3856"/>
      <c r="Z244" s="3855"/>
      <c r="AA244" s="3856"/>
      <c r="AB244" s="3855"/>
      <c r="AC244" s="3856"/>
      <c r="AD244" s="3855"/>
      <c r="AE244" s="3856"/>
      <c r="AF244" s="3855"/>
      <c r="AG244" s="3856"/>
      <c r="AH244" s="3855"/>
      <c r="AI244" s="3856"/>
      <c r="AJ244" s="3855"/>
      <c r="AK244" s="3856"/>
      <c r="AL244" s="3855"/>
      <c r="AM244" s="3856"/>
      <c r="AN244" s="3855"/>
      <c r="AO244" s="1856"/>
      <c r="AP244" s="1860"/>
      <c r="AQ244" s="5204"/>
      <c r="AR244" s="5225"/>
      <c r="AS244" s="5225"/>
      <c r="AT244" s="3856"/>
      <c r="AU244" s="3856"/>
      <c r="AV244" s="5219"/>
      <c r="AW244" s="5219"/>
      <c r="AX244" s="3855"/>
      <c r="AY244" s="5315" t="str">
        <f t="shared" si="162"/>
        <v/>
      </c>
      <c r="BU244" s="1452"/>
      <c r="BV244" s="1452"/>
      <c r="BW244" s="1460"/>
      <c r="CA244" s="1457" t="str">
        <f t="shared" si="163"/>
        <v/>
      </c>
      <c r="CB244" s="1457"/>
      <c r="CC244" s="1457" t="str">
        <f t="shared" si="164"/>
        <v/>
      </c>
      <c r="CD244" s="1457" t="str">
        <f t="shared" si="165"/>
        <v/>
      </c>
      <c r="CE244" s="1457" t="str">
        <f t="shared" si="166"/>
        <v/>
      </c>
      <c r="CF244" s="1457"/>
      <c r="CG244" s="1457" t="str">
        <f t="shared" si="167"/>
        <v/>
      </c>
      <c r="DA244" s="1458"/>
      <c r="DB244" s="1458"/>
      <c r="DC244" s="1458"/>
      <c r="DD244" s="1458">
        <f t="shared" si="169"/>
        <v>0</v>
      </c>
      <c r="DE244" s="1458">
        <f t="shared" si="170"/>
        <v>0</v>
      </c>
      <c r="DF244" s="1458"/>
      <c r="DG244" s="1458">
        <f t="shared" si="171"/>
        <v>0</v>
      </c>
    </row>
    <row r="245" spans="1:111" ht="16.350000000000001" customHeight="1" x14ac:dyDescent="0.2">
      <c r="A245" s="8274"/>
      <c r="B245" s="9419" t="s">
        <v>2135</v>
      </c>
      <c r="C245" s="9420"/>
      <c r="D245" s="5181">
        <f t="shared" si="160"/>
        <v>0</v>
      </c>
      <c r="E245" s="3144">
        <f t="shared" si="172"/>
        <v>0</v>
      </c>
      <c r="F245" s="5212">
        <f t="shared" si="172"/>
        <v>0</v>
      </c>
      <c r="G245" s="5216"/>
      <c r="H245" s="3855"/>
      <c r="I245" s="3856"/>
      <c r="J245" s="3855"/>
      <c r="K245" s="3856"/>
      <c r="L245" s="3855"/>
      <c r="M245" s="3856"/>
      <c r="N245" s="3855"/>
      <c r="O245" s="3856"/>
      <c r="P245" s="3855"/>
      <c r="Q245" s="3856"/>
      <c r="R245" s="3855"/>
      <c r="S245" s="3856"/>
      <c r="T245" s="3855"/>
      <c r="U245" s="3856"/>
      <c r="V245" s="3855"/>
      <c r="W245" s="3856"/>
      <c r="X245" s="3855"/>
      <c r="Y245" s="3856"/>
      <c r="Z245" s="3855"/>
      <c r="AA245" s="3856"/>
      <c r="AB245" s="3855"/>
      <c r="AC245" s="3856"/>
      <c r="AD245" s="3855"/>
      <c r="AE245" s="3856"/>
      <c r="AF245" s="3855"/>
      <c r="AG245" s="3856"/>
      <c r="AH245" s="3855"/>
      <c r="AI245" s="3856"/>
      <c r="AJ245" s="3855"/>
      <c r="AK245" s="3856"/>
      <c r="AL245" s="3855"/>
      <c r="AM245" s="3856"/>
      <c r="AN245" s="3855"/>
      <c r="AO245" s="3857"/>
      <c r="AP245" s="1860"/>
      <c r="AQ245" s="5204"/>
      <c r="AR245" s="1861"/>
      <c r="AS245" s="3859"/>
      <c r="AT245" s="3856"/>
      <c r="AU245" s="3856"/>
      <c r="AV245" s="5219"/>
      <c r="AW245" s="5219"/>
      <c r="AX245" s="3855"/>
      <c r="AY245" s="5315" t="str">
        <f t="shared" si="162"/>
        <v/>
      </c>
      <c r="BU245" s="1452"/>
      <c r="BV245" s="1452"/>
      <c r="BW245" s="1460"/>
      <c r="CA245" s="1457" t="str">
        <f t="shared" si="163"/>
        <v/>
      </c>
      <c r="CB245" s="1457"/>
      <c r="CC245" s="1457" t="str">
        <f t="shared" si="164"/>
        <v/>
      </c>
      <c r="CD245" s="1457" t="str">
        <f t="shared" si="165"/>
        <v/>
      </c>
      <c r="CE245" s="1457" t="str">
        <f t="shared" si="166"/>
        <v/>
      </c>
      <c r="CF245" s="1457"/>
      <c r="CG245" s="1457" t="str">
        <f t="shared" si="167"/>
        <v/>
      </c>
      <c r="DA245" s="1458"/>
      <c r="DB245" s="1458"/>
      <c r="DC245" s="1458"/>
      <c r="DD245" s="1458">
        <f t="shared" si="169"/>
        <v>0</v>
      </c>
      <c r="DE245" s="1458">
        <f t="shared" si="170"/>
        <v>0</v>
      </c>
      <c r="DF245" s="1458"/>
      <c r="DG245" s="1458">
        <f t="shared" si="171"/>
        <v>0</v>
      </c>
    </row>
    <row r="246" spans="1:111" ht="16.350000000000001" customHeight="1" x14ac:dyDescent="0.2">
      <c r="A246" s="9302"/>
      <c r="B246" s="9468" t="s">
        <v>1048</v>
      </c>
      <c r="C246" s="9468"/>
      <c r="D246" s="5220">
        <f t="shared" si="160"/>
        <v>0</v>
      </c>
      <c r="E246" s="5221">
        <f t="shared" si="172"/>
        <v>0</v>
      </c>
      <c r="F246" s="3860">
        <f t="shared" si="172"/>
        <v>0</v>
      </c>
      <c r="G246" s="9504"/>
      <c r="H246" s="9504"/>
      <c r="I246" s="3849"/>
      <c r="J246" s="3848"/>
      <c r="K246" s="3849"/>
      <c r="L246" s="3848"/>
      <c r="M246" s="3849"/>
      <c r="N246" s="3848"/>
      <c r="O246" s="3849"/>
      <c r="P246" s="3848"/>
      <c r="Q246" s="3849"/>
      <c r="R246" s="3848"/>
      <c r="S246" s="3849"/>
      <c r="T246" s="3848"/>
      <c r="U246" s="3849"/>
      <c r="V246" s="3848"/>
      <c r="W246" s="3849"/>
      <c r="X246" s="3848"/>
      <c r="Y246" s="3849"/>
      <c r="Z246" s="3848"/>
      <c r="AA246" s="3849"/>
      <c r="AB246" s="3848"/>
      <c r="AC246" s="3849"/>
      <c r="AD246" s="3848"/>
      <c r="AE246" s="3849"/>
      <c r="AF246" s="3848"/>
      <c r="AG246" s="3849"/>
      <c r="AH246" s="3848"/>
      <c r="AI246" s="3849"/>
      <c r="AJ246" s="3848"/>
      <c r="AK246" s="3849"/>
      <c r="AL246" s="3848"/>
      <c r="AM246" s="3849"/>
      <c r="AN246" s="3848"/>
      <c r="AO246" s="3850"/>
      <c r="AP246" s="3861"/>
      <c r="AQ246" s="5222"/>
      <c r="AR246" s="2970"/>
      <c r="AS246" s="3861"/>
      <c r="AT246" s="3849"/>
      <c r="AU246" s="3849"/>
      <c r="AV246" s="5209"/>
      <c r="AW246" s="5209"/>
      <c r="AX246" s="3848"/>
      <c r="AY246" s="5315" t="str">
        <f t="shared" si="162"/>
        <v/>
      </c>
      <c r="BU246" s="1452"/>
      <c r="BV246" s="1452"/>
      <c r="BW246" s="1460"/>
      <c r="CA246" s="1457" t="str">
        <f t="shared" si="163"/>
        <v/>
      </c>
      <c r="CB246" s="1457"/>
      <c r="CC246" s="1457" t="str">
        <f t="shared" si="164"/>
        <v/>
      </c>
      <c r="CD246" s="1457" t="str">
        <f t="shared" si="165"/>
        <v/>
      </c>
      <c r="CE246" s="1457" t="str">
        <f t="shared" si="166"/>
        <v/>
      </c>
      <c r="CF246" s="1457"/>
      <c r="CG246" s="1457" t="str">
        <f t="shared" si="167"/>
        <v/>
      </c>
      <c r="DA246" s="1458"/>
      <c r="DB246" s="1458"/>
      <c r="DC246" s="1458"/>
      <c r="DD246" s="1458">
        <f t="shared" si="169"/>
        <v>0</v>
      </c>
      <c r="DE246" s="1458">
        <f t="shared" si="170"/>
        <v>0</v>
      </c>
      <c r="DF246" s="1458"/>
      <c r="DG246" s="1458">
        <f t="shared" si="171"/>
        <v>0</v>
      </c>
    </row>
    <row r="247" spans="1:111" ht="16.350000000000001" customHeight="1" x14ac:dyDescent="0.2">
      <c r="A247" s="8197" t="s">
        <v>2098</v>
      </c>
      <c r="B247" s="9460" t="s">
        <v>1052</v>
      </c>
      <c r="C247" s="9460"/>
      <c r="D247" s="5176">
        <f t="shared" si="160"/>
        <v>0</v>
      </c>
      <c r="E247" s="5223">
        <f t="shared" si="172"/>
        <v>0</v>
      </c>
      <c r="F247" s="5224">
        <f t="shared" si="172"/>
        <v>0</v>
      </c>
      <c r="G247" s="3630"/>
      <c r="H247" s="3852"/>
      <c r="I247" s="5211"/>
      <c r="J247" s="3852"/>
      <c r="K247" s="5211"/>
      <c r="L247" s="3852"/>
      <c r="M247" s="5211"/>
      <c r="N247" s="3852"/>
      <c r="O247" s="5211"/>
      <c r="P247" s="3852"/>
      <c r="Q247" s="5211"/>
      <c r="R247" s="3852"/>
      <c r="S247" s="5211"/>
      <c r="T247" s="3852"/>
      <c r="U247" s="5211"/>
      <c r="V247" s="2987"/>
      <c r="W247" s="5211"/>
      <c r="X247" s="2987"/>
      <c r="Y247" s="5200"/>
      <c r="Z247" s="5201"/>
      <c r="AA247" s="5200"/>
      <c r="AB247" s="5201"/>
      <c r="AC247" s="5200"/>
      <c r="AD247" s="5201"/>
      <c r="AE247" s="5200"/>
      <c r="AF247" s="5201"/>
      <c r="AG247" s="5200"/>
      <c r="AH247" s="5201"/>
      <c r="AI247" s="5200"/>
      <c r="AJ247" s="5201"/>
      <c r="AK247" s="5200"/>
      <c r="AL247" s="5201"/>
      <c r="AM247" s="5200"/>
      <c r="AN247" s="5201"/>
      <c r="AO247" s="5227"/>
      <c r="AP247" s="5226"/>
      <c r="AQ247" s="5198"/>
      <c r="AR247" s="3854"/>
      <c r="AS247" s="5198"/>
      <c r="AT247" s="5211"/>
      <c r="AU247" s="5211"/>
      <c r="AV247" s="3854"/>
      <c r="AW247" s="3854"/>
      <c r="AX247" s="3852"/>
      <c r="AY247" s="5315" t="str">
        <f t="shared" si="162"/>
        <v/>
      </c>
      <c r="BU247" s="1452"/>
      <c r="BV247" s="1452"/>
      <c r="BW247" s="1460"/>
      <c r="CA247" s="1457" t="str">
        <f t="shared" si="163"/>
        <v/>
      </c>
      <c r="CB247" s="1457" t="str">
        <f>IF(DB247=1,"* La consulta pertinente según Protocolo de Referencia NO DEBE ser mayor al Total registrado. ","")</f>
        <v/>
      </c>
      <c r="CC247" s="1457" t="str">
        <f t="shared" si="164"/>
        <v/>
      </c>
      <c r="CD247" s="1457"/>
      <c r="CE247" s="1457" t="str">
        <f t="shared" si="166"/>
        <v/>
      </c>
      <c r="CF247" s="1457"/>
      <c r="CG247" s="1457" t="str">
        <f t="shared" si="167"/>
        <v/>
      </c>
      <c r="DA247" s="1458"/>
      <c r="DB247" s="1458">
        <f>IF(D247&lt;AQ247,1,0)</f>
        <v>0</v>
      </c>
      <c r="DC247" s="1458">
        <f>IF(D247&lt;AR247,1,0)</f>
        <v>0</v>
      </c>
      <c r="DD247" s="1458"/>
      <c r="DE247" s="1458">
        <f t="shared" si="170"/>
        <v>0</v>
      </c>
      <c r="DF247" s="1458"/>
      <c r="DG247" s="1458">
        <f t="shared" si="171"/>
        <v>0</v>
      </c>
    </row>
    <row r="248" spans="1:111" ht="16.350000000000001" customHeight="1" x14ac:dyDescent="0.2">
      <c r="A248" s="8274"/>
      <c r="B248" s="9392" t="s">
        <v>1051</v>
      </c>
      <c r="C248" s="9392"/>
      <c r="D248" s="5181">
        <f t="shared" si="160"/>
        <v>0</v>
      </c>
      <c r="E248" s="3144">
        <f t="shared" si="172"/>
        <v>0</v>
      </c>
      <c r="F248" s="5212">
        <f t="shared" si="172"/>
        <v>0</v>
      </c>
      <c r="G248" s="5213"/>
      <c r="H248" s="1854"/>
      <c r="I248" s="5214"/>
      <c r="J248" s="1854"/>
      <c r="K248" s="5214"/>
      <c r="L248" s="1854"/>
      <c r="M248" s="5214"/>
      <c r="N248" s="1854"/>
      <c r="O248" s="5214"/>
      <c r="P248" s="1854"/>
      <c r="Q248" s="5214"/>
      <c r="R248" s="1854"/>
      <c r="S248" s="5214"/>
      <c r="T248" s="1854"/>
      <c r="U248" s="5214"/>
      <c r="V248" s="2988"/>
      <c r="W248" s="5214"/>
      <c r="X248" s="2988"/>
      <c r="Y248" s="5214"/>
      <c r="Z248" s="2988"/>
      <c r="AA248" s="5214"/>
      <c r="AB248" s="2988"/>
      <c r="AC248" s="5214"/>
      <c r="AD248" s="2988"/>
      <c r="AE248" s="5214"/>
      <c r="AF248" s="2988"/>
      <c r="AG248" s="5214"/>
      <c r="AH248" s="2988"/>
      <c r="AI248" s="5214"/>
      <c r="AJ248" s="2988"/>
      <c r="AK248" s="5214"/>
      <c r="AL248" s="2988"/>
      <c r="AM248" s="5214"/>
      <c r="AN248" s="2988"/>
      <c r="AO248" s="1862"/>
      <c r="AP248" s="1860"/>
      <c r="AQ248" s="5204"/>
      <c r="AR248" s="5225"/>
      <c r="AS248" s="3630"/>
      <c r="AT248" s="5214"/>
      <c r="AU248" s="5214"/>
      <c r="AV248" s="5215"/>
      <c r="AW248" s="5215"/>
      <c r="AX248" s="1854"/>
      <c r="AY248" s="5315" t="str">
        <f t="shared" si="162"/>
        <v/>
      </c>
      <c r="BU248" s="1452"/>
      <c r="BV248" s="1452"/>
      <c r="BW248" s="1460"/>
      <c r="CA248" s="1457" t="str">
        <f t="shared" si="163"/>
        <v/>
      </c>
      <c r="CB248" s="1457"/>
      <c r="CC248" s="1457" t="str">
        <f t="shared" si="164"/>
        <v/>
      </c>
      <c r="CD248" s="1457"/>
      <c r="CE248" s="1457" t="str">
        <f t="shared" si="166"/>
        <v/>
      </c>
      <c r="CF248" s="1457"/>
      <c r="CG248" s="1457" t="str">
        <f t="shared" si="167"/>
        <v/>
      </c>
      <c r="DA248" s="1458"/>
      <c r="DB248" s="1458"/>
      <c r="DC248" s="1458"/>
      <c r="DD248" s="1458"/>
      <c r="DE248" s="1458">
        <f t="shared" si="170"/>
        <v>0</v>
      </c>
      <c r="DF248" s="1458"/>
      <c r="DG248" s="1458">
        <f t="shared" si="171"/>
        <v>0</v>
      </c>
    </row>
    <row r="249" spans="1:111" ht="16.350000000000001" customHeight="1" x14ac:dyDescent="0.2">
      <c r="A249" s="8274"/>
      <c r="B249" s="9392" t="s">
        <v>1050</v>
      </c>
      <c r="C249" s="9392"/>
      <c r="D249" s="5181">
        <f t="shared" si="160"/>
        <v>0</v>
      </c>
      <c r="E249" s="3144">
        <f t="shared" si="172"/>
        <v>0</v>
      </c>
      <c r="F249" s="5212">
        <f t="shared" si="172"/>
        <v>0</v>
      </c>
      <c r="G249" s="5213"/>
      <c r="H249" s="1854"/>
      <c r="I249" s="5214"/>
      <c r="J249" s="1854"/>
      <c r="K249" s="5214"/>
      <c r="L249" s="1854"/>
      <c r="M249" s="5214"/>
      <c r="N249" s="1854"/>
      <c r="O249" s="5214"/>
      <c r="P249" s="1854"/>
      <c r="Q249" s="5214"/>
      <c r="R249" s="1854"/>
      <c r="S249" s="5214"/>
      <c r="T249" s="1854"/>
      <c r="U249" s="5214"/>
      <c r="V249" s="2988"/>
      <c r="W249" s="5214"/>
      <c r="X249" s="2988"/>
      <c r="Y249" s="5214"/>
      <c r="Z249" s="2988"/>
      <c r="AA249" s="5214"/>
      <c r="AB249" s="2988"/>
      <c r="AC249" s="5214"/>
      <c r="AD249" s="2988"/>
      <c r="AE249" s="5214"/>
      <c r="AF249" s="2988"/>
      <c r="AG249" s="5214"/>
      <c r="AH249" s="2988"/>
      <c r="AI249" s="5214"/>
      <c r="AJ249" s="2988"/>
      <c r="AK249" s="5214"/>
      <c r="AL249" s="2988"/>
      <c r="AM249" s="5214"/>
      <c r="AN249" s="2988"/>
      <c r="AO249" s="1862"/>
      <c r="AP249" s="1860"/>
      <c r="AQ249" s="5204"/>
      <c r="AR249" s="5225"/>
      <c r="AS249" s="5225"/>
      <c r="AT249" s="5214"/>
      <c r="AU249" s="5214"/>
      <c r="AV249" s="5215"/>
      <c r="AW249" s="5215"/>
      <c r="AX249" s="1854"/>
      <c r="AY249" s="5315" t="str">
        <f t="shared" si="162"/>
        <v/>
      </c>
      <c r="BU249" s="1452"/>
      <c r="BV249" s="1452"/>
      <c r="BW249" s="1460"/>
      <c r="CA249" s="1457" t="str">
        <f t="shared" si="163"/>
        <v/>
      </c>
      <c r="CB249" s="1457"/>
      <c r="CC249" s="1457" t="str">
        <f t="shared" si="164"/>
        <v/>
      </c>
      <c r="CD249" s="1457"/>
      <c r="CE249" s="1457" t="str">
        <f t="shared" si="166"/>
        <v/>
      </c>
      <c r="CF249" s="1457"/>
      <c r="CG249" s="1457" t="str">
        <f t="shared" si="167"/>
        <v/>
      </c>
      <c r="DA249" s="1458"/>
      <c r="DB249" s="1458"/>
      <c r="DC249" s="1458"/>
      <c r="DD249" s="1458"/>
      <c r="DE249" s="1458">
        <f t="shared" si="170"/>
        <v>0</v>
      </c>
      <c r="DF249" s="1458"/>
      <c r="DG249" s="1458">
        <f t="shared" si="171"/>
        <v>0</v>
      </c>
    </row>
    <row r="250" spans="1:111" ht="16.350000000000001" customHeight="1" x14ac:dyDescent="0.2">
      <c r="A250" s="8274"/>
      <c r="B250" s="9392" t="s">
        <v>1049</v>
      </c>
      <c r="C250" s="9392"/>
      <c r="D250" s="5181">
        <f t="shared" si="160"/>
        <v>0</v>
      </c>
      <c r="E250" s="3144">
        <f t="shared" si="172"/>
        <v>0</v>
      </c>
      <c r="F250" s="5212">
        <f t="shared" si="172"/>
        <v>0</v>
      </c>
      <c r="G250" s="5216"/>
      <c r="H250" s="3855"/>
      <c r="I250" s="3856"/>
      <c r="J250" s="3855"/>
      <c r="K250" s="3856"/>
      <c r="L250" s="3855"/>
      <c r="M250" s="3856"/>
      <c r="N250" s="3855"/>
      <c r="O250" s="3856"/>
      <c r="P250" s="3855"/>
      <c r="Q250" s="3856"/>
      <c r="R250" s="3855"/>
      <c r="S250" s="3856"/>
      <c r="T250" s="3855"/>
      <c r="U250" s="3856"/>
      <c r="V250" s="5217"/>
      <c r="W250" s="3856"/>
      <c r="X250" s="5217"/>
      <c r="Y250" s="3856"/>
      <c r="Z250" s="5217"/>
      <c r="AA250" s="3856"/>
      <c r="AB250" s="5217"/>
      <c r="AC250" s="3856"/>
      <c r="AD250" s="5217"/>
      <c r="AE250" s="3856"/>
      <c r="AF250" s="5217"/>
      <c r="AG250" s="3856"/>
      <c r="AH250" s="5217"/>
      <c r="AI250" s="3856"/>
      <c r="AJ250" s="5217"/>
      <c r="AK250" s="3856"/>
      <c r="AL250" s="5217"/>
      <c r="AM250" s="3856"/>
      <c r="AN250" s="5217"/>
      <c r="AO250" s="1862"/>
      <c r="AP250" s="1860"/>
      <c r="AQ250" s="5204"/>
      <c r="AR250" s="5225"/>
      <c r="AS250" s="5225"/>
      <c r="AT250" s="3856"/>
      <c r="AU250" s="3856"/>
      <c r="AV250" s="5219"/>
      <c r="AW250" s="5219"/>
      <c r="AX250" s="3855"/>
      <c r="AY250" s="5315" t="str">
        <f t="shared" si="162"/>
        <v/>
      </c>
      <c r="BU250" s="1452"/>
      <c r="BV250" s="1452"/>
      <c r="BW250" s="1460"/>
      <c r="CA250" s="1457" t="str">
        <f t="shared" si="163"/>
        <v/>
      </c>
      <c r="CB250" s="1457"/>
      <c r="CC250" s="1457" t="str">
        <f t="shared" si="164"/>
        <v/>
      </c>
      <c r="CD250" s="1457"/>
      <c r="CE250" s="1457" t="str">
        <f t="shared" si="166"/>
        <v/>
      </c>
      <c r="CF250" s="1457"/>
      <c r="CG250" s="1457" t="str">
        <f t="shared" si="167"/>
        <v/>
      </c>
      <c r="DA250" s="1458"/>
      <c r="DB250" s="1458"/>
      <c r="DC250" s="1458"/>
      <c r="DD250" s="1458"/>
      <c r="DE250" s="1458">
        <f t="shared" si="170"/>
        <v>0</v>
      </c>
      <c r="DF250" s="1458"/>
      <c r="DG250" s="1458">
        <f t="shared" si="171"/>
        <v>0</v>
      </c>
    </row>
    <row r="251" spans="1:111" ht="16.350000000000001" customHeight="1" x14ac:dyDescent="0.2">
      <c r="A251" s="8274"/>
      <c r="B251" s="9419" t="s">
        <v>2135</v>
      </c>
      <c r="C251" s="9420"/>
      <c r="D251" s="5181">
        <f t="shared" si="160"/>
        <v>0</v>
      </c>
      <c r="E251" s="3144">
        <f t="shared" si="172"/>
        <v>0</v>
      </c>
      <c r="F251" s="5212">
        <f t="shared" si="172"/>
        <v>0</v>
      </c>
      <c r="G251" s="5216"/>
      <c r="H251" s="3855"/>
      <c r="I251" s="3856"/>
      <c r="J251" s="3855"/>
      <c r="K251" s="3856"/>
      <c r="L251" s="3855"/>
      <c r="M251" s="3856"/>
      <c r="N251" s="3855"/>
      <c r="O251" s="3856"/>
      <c r="P251" s="3855"/>
      <c r="Q251" s="3856"/>
      <c r="R251" s="3855"/>
      <c r="S251" s="3856"/>
      <c r="T251" s="3855"/>
      <c r="U251" s="3856"/>
      <c r="V251" s="5217"/>
      <c r="W251" s="3856"/>
      <c r="X251" s="5217"/>
      <c r="Y251" s="3856"/>
      <c r="Z251" s="5217"/>
      <c r="AA251" s="3856"/>
      <c r="AB251" s="5217"/>
      <c r="AC251" s="3856"/>
      <c r="AD251" s="5217"/>
      <c r="AE251" s="3856"/>
      <c r="AF251" s="5217"/>
      <c r="AG251" s="3856"/>
      <c r="AH251" s="5217"/>
      <c r="AI251" s="3856"/>
      <c r="AJ251" s="5217"/>
      <c r="AK251" s="3856"/>
      <c r="AL251" s="5217"/>
      <c r="AM251" s="3856"/>
      <c r="AN251" s="5217"/>
      <c r="AO251" s="1862"/>
      <c r="AP251" s="1860"/>
      <c r="AQ251" s="5204"/>
      <c r="AR251" s="1861"/>
      <c r="AS251" s="3859"/>
      <c r="AT251" s="3856"/>
      <c r="AU251" s="3856"/>
      <c r="AV251" s="5219"/>
      <c r="AW251" s="5219"/>
      <c r="AX251" s="3855"/>
      <c r="AY251" s="5315" t="str">
        <f t="shared" si="162"/>
        <v/>
      </c>
      <c r="BU251" s="1452"/>
      <c r="BV251" s="1452"/>
      <c r="BW251" s="1460"/>
      <c r="CA251" s="1457" t="str">
        <f t="shared" si="163"/>
        <v/>
      </c>
      <c r="CB251" s="1457"/>
      <c r="CC251" s="1457" t="str">
        <f t="shared" si="164"/>
        <v/>
      </c>
      <c r="CD251" s="1457"/>
      <c r="CE251" s="1457" t="str">
        <f t="shared" si="166"/>
        <v/>
      </c>
      <c r="CF251" s="1457"/>
      <c r="CG251" s="1457" t="str">
        <f t="shared" si="167"/>
        <v/>
      </c>
      <c r="DA251" s="1458"/>
      <c r="DB251" s="1458"/>
      <c r="DC251" s="1458"/>
      <c r="DD251" s="1458"/>
      <c r="DE251" s="1458">
        <f t="shared" si="170"/>
        <v>0</v>
      </c>
      <c r="DF251" s="1458"/>
      <c r="DG251" s="1458">
        <f t="shared" si="171"/>
        <v>0</v>
      </c>
    </row>
    <row r="252" spans="1:111" ht="16.350000000000001" customHeight="1" x14ac:dyDescent="0.2">
      <c r="A252" s="9302"/>
      <c r="B252" s="9468" t="s">
        <v>1048</v>
      </c>
      <c r="C252" s="9468"/>
      <c r="D252" s="5220">
        <f t="shared" si="160"/>
        <v>0</v>
      </c>
      <c r="E252" s="5221">
        <f t="shared" si="172"/>
        <v>0</v>
      </c>
      <c r="F252" s="5221">
        <f t="shared" si="172"/>
        <v>0</v>
      </c>
      <c r="G252" s="3335"/>
      <c r="H252" s="3848"/>
      <c r="I252" s="3849"/>
      <c r="J252" s="3848"/>
      <c r="K252" s="3849"/>
      <c r="L252" s="3848"/>
      <c r="M252" s="3849"/>
      <c r="N252" s="3848"/>
      <c r="O252" s="3849"/>
      <c r="P252" s="3848"/>
      <c r="Q252" s="3849"/>
      <c r="R252" s="3848"/>
      <c r="S252" s="3849"/>
      <c r="T252" s="3848"/>
      <c r="U252" s="3849"/>
      <c r="V252" s="3204"/>
      <c r="W252" s="3849"/>
      <c r="X252" s="3204"/>
      <c r="Y252" s="3849"/>
      <c r="Z252" s="3204"/>
      <c r="AA252" s="3849"/>
      <c r="AB252" s="3204"/>
      <c r="AC252" s="3849"/>
      <c r="AD252" s="3204"/>
      <c r="AE252" s="3849"/>
      <c r="AF252" s="3204"/>
      <c r="AG252" s="3849"/>
      <c r="AH252" s="3204"/>
      <c r="AI252" s="3849"/>
      <c r="AJ252" s="3204"/>
      <c r="AK252" s="3849"/>
      <c r="AL252" s="3204"/>
      <c r="AM252" s="3849"/>
      <c r="AN252" s="3204"/>
      <c r="AO252" s="3863"/>
      <c r="AP252" s="3861"/>
      <c r="AQ252" s="5222"/>
      <c r="AR252" s="2970"/>
      <c r="AS252" s="3861"/>
      <c r="AT252" s="3849"/>
      <c r="AU252" s="3849"/>
      <c r="AV252" s="5209"/>
      <c r="AW252" s="5209"/>
      <c r="AX252" s="3848"/>
      <c r="AY252" s="5315" t="str">
        <f t="shared" si="162"/>
        <v/>
      </c>
      <c r="BU252" s="1452"/>
      <c r="BV252" s="1452"/>
      <c r="BW252" s="1460"/>
      <c r="CA252" s="1457" t="str">
        <f t="shared" si="163"/>
        <v/>
      </c>
      <c r="CB252" s="1457"/>
      <c r="CC252" s="1457" t="str">
        <f t="shared" si="164"/>
        <v/>
      </c>
      <c r="CD252" s="1457"/>
      <c r="CE252" s="1457" t="str">
        <f t="shared" si="166"/>
        <v/>
      </c>
      <c r="CF252" s="1457"/>
      <c r="CG252" s="1457" t="str">
        <f t="shared" si="167"/>
        <v/>
      </c>
      <c r="DA252" s="1458"/>
      <c r="DB252" s="1458"/>
      <c r="DC252" s="1458"/>
      <c r="DD252" s="1458"/>
      <c r="DE252" s="1458">
        <f t="shared" si="170"/>
        <v>0</v>
      </c>
      <c r="DF252" s="1458"/>
      <c r="DG252" s="1458">
        <f t="shared" si="171"/>
        <v>0</v>
      </c>
    </row>
    <row r="253" spans="1:111" ht="16.350000000000001" customHeight="1" x14ac:dyDescent="0.2">
      <c r="A253" s="9379" t="s">
        <v>1056</v>
      </c>
      <c r="B253" s="9460" t="s">
        <v>1052</v>
      </c>
      <c r="C253" s="9460"/>
      <c r="D253" s="5176">
        <f t="shared" si="160"/>
        <v>0</v>
      </c>
      <c r="E253" s="5223">
        <f t="shared" si="172"/>
        <v>0</v>
      </c>
      <c r="F253" s="5210">
        <f t="shared" si="172"/>
        <v>0</v>
      </c>
      <c r="G253" s="3630"/>
      <c r="H253" s="3852"/>
      <c r="I253" s="5211"/>
      <c r="J253" s="3852"/>
      <c r="K253" s="5211"/>
      <c r="L253" s="3852"/>
      <c r="M253" s="5211"/>
      <c r="N253" s="3852"/>
      <c r="O253" s="5211"/>
      <c r="P253" s="3852"/>
      <c r="Q253" s="5211"/>
      <c r="R253" s="3852"/>
      <c r="S253" s="5211"/>
      <c r="T253" s="3852"/>
      <c r="U253" s="5211"/>
      <c r="V253" s="2987"/>
      <c r="W253" s="5211"/>
      <c r="X253" s="2987"/>
      <c r="Y253" s="5211"/>
      <c r="Z253" s="2987"/>
      <c r="AA253" s="5211"/>
      <c r="AB253" s="2987"/>
      <c r="AC253" s="5211"/>
      <c r="AD253" s="2987"/>
      <c r="AE253" s="5211"/>
      <c r="AF253" s="2987"/>
      <c r="AG253" s="5211"/>
      <c r="AH253" s="5201"/>
      <c r="AI253" s="5200"/>
      <c r="AJ253" s="5201"/>
      <c r="AK253" s="5200"/>
      <c r="AL253" s="5201"/>
      <c r="AM253" s="5200"/>
      <c r="AN253" s="5201"/>
      <c r="AO253" s="5228"/>
      <c r="AP253" s="5229"/>
      <c r="AQ253" s="5198"/>
      <c r="AR253" s="3854"/>
      <c r="AS253" s="5198"/>
      <c r="AT253" s="5211"/>
      <c r="AU253" s="5211"/>
      <c r="AV253" s="3854"/>
      <c r="AW253" s="3854"/>
      <c r="AX253" s="3852"/>
      <c r="AY253" s="5315" t="str">
        <f t="shared" ref="AY253:AY284" si="173">$CA253&amp;$CB253&amp;$CC253&amp;$CD253&amp;$CE253&amp;$CF253&amp;$CG253</f>
        <v/>
      </c>
      <c r="BU253" s="1452"/>
      <c r="BV253" s="1452"/>
      <c r="BW253" s="1460"/>
      <c r="CA253" s="1457" t="str">
        <f t="shared" ref="CA253:CA284" si="174">IF(DA253=1,"* El número de pacientes de 60 años NO DEBE Ser mayor a lo registrado en el grupo Etario 60-64 años. ","")</f>
        <v/>
      </c>
      <c r="CB253" s="1457" t="str">
        <f>IF(DB253=1,"* La consulta pertinente según Protocolo de Referencia NO DEBE ser mayor al Total registrado. ","")</f>
        <v/>
      </c>
      <c r="CC253" s="1457" t="str">
        <f t="shared" ref="CC253:CC284" si="175">IF(DC253=1,"* La consulta pertinente según condición clínica NO DEBE ser mayor al Total registrado. ","")</f>
        <v/>
      </c>
      <c r="CD253" s="1457"/>
      <c r="CE253" s="1457" t="str">
        <f t="shared" ref="CE253:CE284" si="176">IF(AND($D253&lt;&gt;0,AV253=""),"* No olvide digitar la columna Usuarios en Situación de Discapacidad (Digite CEROS si no tiene). ",IF($D253&lt;AV253,"* Los Usuarios en Situación de Discapacidad NO DEBEN ser mayor al total. ",""))</f>
        <v/>
      </c>
      <c r="CF253" s="1457"/>
      <c r="CG253" s="1457" t="str">
        <f t="shared" ref="CG253:CG284" si="177">IF(AND($D253&lt;&gt;0,AX253=""),"* No olvide digitar la columna Migrantes (Digite CEROS si no tiene). ",IF($D253&lt;AX253,"* Los Migrantes NO DEBEN ser mayor al total. ",""))</f>
        <v/>
      </c>
      <c r="DA253" s="1458"/>
      <c r="DB253" s="1458">
        <f>IF(D253&lt;AQ253,1,0)</f>
        <v>0</v>
      </c>
      <c r="DC253" s="1458">
        <f>IF(D253&lt;AR253,1,0)</f>
        <v>0</v>
      </c>
      <c r="DD253" s="1458"/>
      <c r="DE253" s="1458">
        <f t="shared" ref="DE253:DE284" si="178">IF(AND($D253&lt;&gt;0,AV253=""),1,IF($D253&lt;AV253,1,0))</f>
        <v>0</v>
      </c>
      <c r="DF253" s="1458"/>
      <c r="DG253" s="1458">
        <f t="shared" ref="DG253:DG284" si="179">IF(AND($D253&lt;&gt;0,AX253=""),1,IF($D253&lt;AX253,1,0))</f>
        <v>0</v>
      </c>
    </row>
    <row r="254" spans="1:111" ht="16.350000000000001" customHeight="1" x14ac:dyDescent="0.2">
      <c r="A254" s="9380"/>
      <c r="B254" s="9392" t="s">
        <v>1051</v>
      </c>
      <c r="C254" s="9392"/>
      <c r="D254" s="5181">
        <f t="shared" si="160"/>
        <v>0</v>
      </c>
      <c r="E254" s="3144">
        <f t="shared" si="172"/>
        <v>0</v>
      </c>
      <c r="F254" s="5212">
        <f t="shared" si="172"/>
        <v>0</v>
      </c>
      <c r="G254" s="5213"/>
      <c r="H254" s="1854"/>
      <c r="I254" s="5214"/>
      <c r="J254" s="1854"/>
      <c r="K254" s="5214"/>
      <c r="L254" s="1854"/>
      <c r="M254" s="5214"/>
      <c r="N254" s="1854"/>
      <c r="O254" s="5214"/>
      <c r="P254" s="1854"/>
      <c r="Q254" s="5214"/>
      <c r="R254" s="1854"/>
      <c r="S254" s="5214"/>
      <c r="T254" s="1854"/>
      <c r="U254" s="5214"/>
      <c r="V254" s="2988"/>
      <c r="W254" s="5214"/>
      <c r="X254" s="2988"/>
      <c r="Y254" s="5214"/>
      <c r="Z254" s="2988"/>
      <c r="AA254" s="5214"/>
      <c r="AB254" s="2988"/>
      <c r="AC254" s="5214"/>
      <c r="AD254" s="2988"/>
      <c r="AE254" s="5214"/>
      <c r="AF254" s="2988"/>
      <c r="AG254" s="5214"/>
      <c r="AH254" s="2988"/>
      <c r="AI254" s="5214"/>
      <c r="AJ254" s="2988"/>
      <c r="AK254" s="5214"/>
      <c r="AL254" s="2988"/>
      <c r="AM254" s="5214"/>
      <c r="AN254" s="2988"/>
      <c r="AO254" s="1863"/>
      <c r="AP254" s="1858"/>
      <c r="AQ254" s="5204"/>
      <c r="AR254" s="5225"/>
      <c r="AS254" s="3630"/>
      <c r="AT254" s="5214"/>
      <c r="AU254" s="5214"/>
      <c r="AV254" s="5215"/>
      <c r="AW254" s="5215"/>
      <c r="AX254" s="1854"/>
      <c r="AY254" s="5315" t="str">
        <f t="shared" si="173"/>
        <v/>
      </c>
      <c r="BU254" s="1452"/>
      <c r="BV254" s="1452"/>
      <c r="BW254" s="1460"/>
      <c r="CA254" s="1457" t="str">
        <f t="shared" si="174"/>
        <v/>
      </c>
      <c r="CB254" s="1457"/>
      <c r="CC254" s="1457" t="str">
        <f t="shared" si="175"/>
        <v/>
      </c>
      <c r="CD254" s="1457"/>
      <c r="CE254" s="1457" t="str">
        <f t="shared" si="176"/>
        <v/>
      </c>
      <c r="CF254" s="1457"/>
      <c r="CG254" s="1457" t="str">
        <f t="shared" si="177"/>
        <v/>
      </c>
      <c r="DA254" s="1458"/>
      <c r="DB254" s="1458"/>
      <c r="DC254" s="1458"/>
      <c r="DD254" s="1458"/>
      <c r="DE254" s="1458">
        <f t="shared" si="178"/>
        <v>0</v>
      </c>
      <c r="DF254" s="1458"/>
      <c r="DG254" s="1458">
        <f t="shared" si="179"/>
        <v>0</v>
      </c>
    </row>
    <row r="255" spans="1:111" ht="16.350000000000001" customHeight="1" x14ac:dyDescent="0.2">
      <c r="A255" s="9380"/>
      <c r="B255" s="9392" t="s">
        <v>1050</v>
      </c>
      <c r="C255" s="9392"/>
      <c r="D255" s="5181">
        <f t="shared" si="160"/>
        <v>0</v>
      </c>
      <c r="E255" s="3144">
        <f t="shared" si="172"/>
        <v>0</v>
      </c>
      <c r="F255" s="5212">
        <f t="shared" si="172"/>
        <v>0</v>
      </c>
      <c r="G255" s="5213"/>
      <c r="H255" s="1854"/>
      <c r="I255" s="5214"/>
      <c r="J255" s="1854"/>
      <c r="K255" s="5214"/>
      <c r="L255" s="1854"/>
      <c r="M255" s="5214"/>
      <c r="N255" s="1854"/>
      <c r="O255" s="5214"/>
      <c r="P255" s="1854"/>
      <c r="Q255" s="5214"/>
      <c r="R255" s="1854"/>
      <c r="S255" s="5214"/>
      <c r="T255" s="1854"/>
      <c r="U255" s="5214"/>
      <c r="V255" s="2988"/>
      <c r="W255" s="5214"/>
      <c r="X255" s="2988"/>
      <c r="Y255" s="5214"/>
      <c r="Z255" s="2988"/>
      <c r="AA255" s="5214"/>
      <c r="AB255" s="2988"/>
      <c r="AC255" s="5214"/>
      <c r="AD255" s="2988"/>
      <c r="AE255" s="5214"/>
      <c r="AF255" s="2988"/>
      <c r="AG255" s="5214"/>
      <c r="AH255" s="2988"/>
      <c r="AI255" s="5214"/>
      <c r="AJ255" s="2988"/>
      <c r="AK255" s="5214"/>
      <c r="AL255" s="2988"/>
      <c r="AM255" s="5214"/>
      <c r="AN255" s="2988"/>
      <c r="AO255" s="1863"/>
      <c r="AP255" s="1858"/>
      <c r="AQ255" s="5204"/>
      <c r="AR255" s="5225"/>
      <c r="AS255" s="5225"/>
      <c r="AT255" s="5214"/>
      <c r="AU255" s="5214"/>
      <c r="AV255" s="5215"/>
      <c r="AW255" s="5215"/>
      <c r="AX255" s="1854"/>
      <c r="AY255" s="5315" t="str">
        <f t="shared" si="173"/>
        <v/>
      </c>
      <c r="BU255" s="1452"/>
      <c r="BV255" s="1452"/>
      <c r="BW255" s="1460"/>
      <c r="CA255" s="1457" t="str">
        <f t="shared" si="174"/>
        <v/>
      </c>
      <c r="CB255" s="1457"/>
      <c r="CC255" s="1457" t="str">
        <f t="shared" si="175"/>
        <v/>
      </c>
      <c r="CD255" s="1457"/>
      <c r="CE255" s="1457" t="str">
        <f t="shared" si="176"/>
        <v/>
      </c>
      <c r="CF255" s="1457"/>
      <c r="CG255" s="1457" t="str">
        <f t="shared" si="177"/>
        <v/>
      </c>
      <c r="DA255" s="1458"/>
      <c r="DB255" s="1458"/>
      <c r="DC255" s="1458"/>
      <c r="DD255" s="1458"/>
      <c r="DE255" s="1458">
        <f t="shared" si="178"/>
        <v>0</v>
      </c>
      <c r="DF255" s="1458"/>
      <c r="DG255" s="1458">
        <f t="shared" si="179"/>
        <v>0</v>
      </c>
    </row>
    <row r="256" spans="1:111" ht="16.350000000000001" customHeight="1" x14ac:dyDescent="0.2">
      <c r="A256" s="9380"/>
      <c r="B256" s="9392" t="s">
        <v>1049</v>
      </c>
      <c r="C256" s="9392"/>
      <c r="D256" s="5181">
        <f t="shared" si="160"/>
        <v>0</v>
      </c>
      <c r="E256" s="3144">
        <f t="shared" si="172"/>
        <v>0</v>
      </c>
      <c r="F256" s="5212">
        <f t="shared" si="172"/>
        <v>0</v>
      </c>
      <c r="G256" s="5216"/>
      <c r="H256" s="3855"/>
      <c r="I256" s="3856"/>
      <c r="J256" s="3855"/>
      <c r="K256" s="3856"/>
      <c r="L256" s="3855"/>
      <c r="M256" s="3856"/>
      <c r="N256" s="3855"/>
      <c r="O256" s="3856"/>
      <c r="P256" s="3855"/>
      <c r="Q256" s="3856"/>
      <c r="R256" s="3855"/>
      <c r="S256" s="3856"/>
      <c r="T256" s="3855"/>
      <c r="U256" s="3856"/>
      <c r="V256" s="5217"/>
      <c r="W256" s="3856"/>
      <c r="X256" s="5217"/>
      <c r="Y256" s="5214"/>
      <c r="Z256" s="2988"/>
      <c r="AA256" s="5214"/>
      <c r="AB256" s="2988"/>
      <c r="AC256" s="5214"/>
      <c r="AD256" s="2988"/>
      <c r="AE256" s="5214"/>
      <c r="AF256" s="2988"/>
      <c r="AG256" s="5214"/>
      <c r="AH256" s="2988"/>
      <c r="AI256" s="5214"/>
      <c r="AJ256" s="2988"/>
      <c r="AK256" s="5214"/>
      <c r="AL256" s="2988"/>
      <c r="AM256" s="5214"/>
      <c r="AN256" s="2988"/>
      <c r="AO256" s="1863"/>
      <c r="AP256" s="1858"/>
      <c r="AQ256" s="5204"/>
      <c r="AR256" s="5225"/>
      <c r="AS256" s="5225"/>
      <c r="AT256" s="5214"/>
      <c r="AU256" s="5214"/>
      <c r="AV256" s="5215"/>
      <c r="AW256" s="5215"/>
      <c r="AX256" s="1854"/>
      <c r="AY256" s="5315" t="str">
        <f t="shared" si="173"/>
        <v/>
      </c>
      <c r="BU256" s="1452"/>
      <c r="BV256" s="1452"/>
      <c r="BW256" s="1460"/>
      <c r="CA256" s="1457" t="str">
        <f t="shared" si="174"/>
        <v/>
      </c>
      <c r="CB256" s="1457"/>
      <c r="CC256" s="1457" t="str">
        <f t="shared" si="175"/>
        <v/>
      </c>
      <c r="CD256" s="1457"/>
      <c r="CE256" s="1457" t="str">
        <f t="shared" si="176"/>
        <v/>
      </c>
      <c r="CF256" s="1457"/>
      <c r="CG256" s="1457" t="str">
        <f t="shared" si="177"/>
        <v/>
      </c>
      <c r="DA256" s="1458"/>
      <c r="DB256" s="1458"/>
      <c r="DC256" s="1458"/>
      <c r="DD256" s="1458"/>
      <c r="DE256" s="1458">
        <f t="shared" si="178"/>
        <v>0</v>
      </c>
      <c r="DF256" s="1458"/>
      <c r="DG256" s="1458">
        <f t="shared" si="179"/>
        <v>0</v>
      </c>
    </row>
    <row r="257" spans="1:111" ht="16.350000000000001" customHeight="1" x14ac:dyDescent="0.2">
      <c r="A257" s="9380"/>
      <c r="B257" s="9419" t="s">
        <v>2135</v>
      </c>
      <c r="C257" s="9420"/>
      <c r="D257" s="5181">
        <f t="shared" si="160"/>
        <v>0</v>
      </c>
      <c r="E257" s="3144">
        <f t="shared" si="172"/>
        <v>0</v>
      </c>
      <c r="F257" s="5212">
        <f t="shared" si="172"/>
        <v>0</v>
      </c>
      <c r="G257" s="5216"/>
      <c r="H257" s="3855"/>
      <c r="I257" s="3856"/>
      <c r="J257" s="3855"/>
      <c r="K257" s="3856"/>
      <c r="L257" s="3855"/>
      <c r="M257" s="3856"/>
      <c r="N257" s="3855"/>
      <c r="O257" s="3856"/>
      <c r="P257" s="3855"/>
      <c r="Q257" s="3856"/>
      <c r="R257" s="3855"/>
      <c r="S257" s="3856"/>
      <c r="T257" s="3855"/>
      <c r="U257" s="3856"/>
      <c r="V257" s="5217"/>
      <c r="W257" s="3856"/>
      <c r="X257" s="5217"/>
      <c r="Y257" s="5214"/>
      <c r="Z257" s="2988"/>
      <c r="AA257" s="5214"/>
      <c r="AB257" s="2988"/>
      <c r="AC257" s="5214"/>
      <c r="AD257" s="2988"/>
      <c r="AE257" s="5214"/>
      <c r="AF257" s="2988"/>
      <c r="AG257" s="5214"/>
      <c r="AH257" s="2988"/>
      <c r="AI257" s="5214"/>
      <c r="AJ257" s="2988"/>
      <c r="AK257" s="5214"/>
      <c r="AL257" s="2988"/>
      <c r="AM257" s="5214"/>
      <c r="AN257" s="2988"/>
      <c r="AO257" s="1863"/>
      <c r="AP257" s="1858"/>
      <c r="AQ257" s="5204"/>
      <c r="AR257" s="5225"/>
      <c r="AS257" s="3859"/>
      <c r="AT257" s="5214"/>
      <c r="AU257" s="5214"/>
      <c r="AV257" s="5215"/>
      <c r="AW257" s="5215"/>
      <c r="AX257" s="1854"/>
      <c r="AY257" s="5315" t="str">
        <f t="shared" si="173"/>
        <v/>
      </c>
      <c r="BU257" s="1452"/>
      <c r="BV257" s="1452"/>
      <c r="BW257" s="1460"/>
      <c r="CA257" s="1457" t="str">
        <f t="shared" si="174"/>
        <v/>
      </c>
      <c r="CB257" s="1457"/>
      <c r="CC257" s="1457" t="str">
        <f t="shared" si="175"/>
        <v/>
      </c>
      <c r="CD257" s="1457"/>
      <c r="CE257" s="1457" t="str">
        <f t="shared" si="176"/>
        <v/>
      </c>
      <c r="CF257" s="1457"/>
      <c r="CG257" s="1457" t="str">
        <f t="shared" si="177"/>
        <v/>
      </c>
      <c r="DA257" s="1458"/>
      <c r="DB257" s="1458"/>
      <c r="DC257" s="1458"/>
      <c r="DD257" s="1458"/>
      <c r="DE257" s="1458">
        <f t="shared" si="178"/>
        <v>0</v>
      </c>
      <c r="DF257" s="1458"/>
      <c r="DG257" s="1458">
        <f t="shared" si="179"/>
        <v>0</v>
      </c>
    </row>
    <row r="258" spans="1:111" ht="16.350000000000001" customHeight="1" x14ac:dyDescent="0.2">
      <c r="A258" s="9381"/>
      <c r="B258" s="9468" t="s">
        <v>1048</v>
      </c>
      <c r="C258" s="9468"/>
      <c r="D258" s="5230">
        <f t="shared" si="160"/>
        <v>0</v>
      </c>
      <c r="E258" s="3864">
        <f t="shared" si="172"/>
        <v>0</v>
      </c>
      <c r="F258" s="3865">
        <f t="shared" si="172"/>
        <v>0</v>
      </c>
      <c r="G258" s="3335"/>
      <c r="H258" s="3848"/>
      <c r="I258" s="3849"/>
      <c r="J258" s="3848"/>
      <c r="K258" s="3849"/>
      <c r="L258" s="3848"/>
      <c r="M258" s="3849"/>
      <c r="N258" s="3848"/>
      <c r="O258" s="3849"/>
      <c r="P258" s="3848"/>
      <c r="Q258" s="3849"/>
      <c r="R258" s="3848"/>
      <c r="S258" s="3849"/>
      <c r="T258" s="3848"/>
      <c r="U258" s="3849"/>
      <c r="V258" s="3204"/>
      <c r="W258" s="3849"/>
      <c r="X258" s="3204"/>
      <c r="Y258" s="3849"/>
      <c r="Z258" s="3204"/>
      <c r="AA258" s="3849"/>
      <c r="AB258" s="3204"/>
      <c r="AC258" s="3866"/>
      <c r="AD258" s="5231"/>
      <c r="AE258" s="3866"/>
      <c r="AF258" s="5231"/>
      <c r="AG258" s="3866"/>
      <c r="AH258" s="5231"/>
      <c r="AI258" s="3866"/>
      <c r="AJ258" s="5231"/>
      <c r="AK258" s="3866"/>
      <c r="AL258" s="5231"/>
      <c r="AM258" s="3866"/>
      <c r="AN258" s="5231"/>
      <c r="AO258" s="3867"/>
      <c r="AP258" s="3868"/>
      <c r="AQ258" s="5232"/>
      <c r="AR258" s="3869"/>
      <c r="AS258" s="3861"/>
      <c r="AT258" s="3866"/>
      <c r="AU258" s="3866"/>
      <c r="AV258" s="3870"/>
      <c r="AW258" s="3870"/>
      <c r="AX258" s="3871"/>
      <c r="AY258" s="5315" t="str">
        <f t="shared" si="173"/>
        <v/>
      </c>
      <c r="BU258" s="1452"/>
      <c r="BV258" s="1452"/>
      <c r="BW258" s="1460"/>
      <c r="CA258" s="1457" t="str">
        <f t="shared" si="174"/>
        <v/>
      </c>
      <c r="CB258" s="1457"/>
      <c r="CC258" s="1457" t="str">
        <f t="shared" si="175"/>
        <v/>
      </c>
      <c r="CD258" s="1457"/>
      <c r="CE258" s="1457" t="str">
        <f t="shared" si="176"/>
        <v/>
      </c>
      <c r="CF258" s="1457"/>
      <c r="CG258" s="1457" t="str">
        <f t="shared" si="177"/>
        <v/>
      </c>
      <c r="DA258" s="1458"/>
      <c r="DB258" s="1458"/>
      <c r="DC258" s="1458"/>
      <c r="DD258" s="1458"/>
      <c r="DE258" s="1458">
        <f t="shared" si="178"/>
        <v>0</v>
      </c>
      <c r="DF258" s="1458"/>
      <c r="DG258" s="1458">
        <f t="shared" si="179"/>
        <v>0</v>
      </c>
    </row>
    <row r="259" spans="1:111" ht="16.350000000000001" customHeight="1" x14ac:dyDescent="0.2">
      <c r="A259" s="8197" t="s">
        <v>1030</v>
      </c>
      <c r="B259" s="9460" t="s">
        <v>1052</v>
      </c>
      <c r="C259" s="9460"/>
      <c r="D259" s="3342">
        <f t="shared" si="160"/>
        <v>0</v>
      </c>
      <c r="E259" s="3621">
        <f t="shared" si="172"/>
        <v>0</v>
      </c>
      <c r="F259" s="5210">
        <f t="shared" si="172"/>
        <v>0</v>
      </c>
      <c r="G259" s="3630"/>
      <c r="H259" s="3852"/>
      <c r="I259" s="5211"/>
      <c r="J259" s="3852"/>
      <c r="K259" s="5211"/>
      <c r="L259" s="3852"/>
      <c r="M259" s="5211"/>
      <c r="N259" s="3852"/>
      <c r="O259" s="5211"/>
      <c r="P259" s="3852"/>
      <c r="Q259" s="5211"/>
      <c r="R259" s="3852"/>
      <c r="S259" s="5211"/>
      <c r="T259" s="3852"/>
      <c r="U259" s="5211"/>
      <c r="V259" s="2987"/>
      <c r="W259" s="5211"/>
      <c r="X259" s="2987"/>
      <c r="Y259" s="5211"/>
      <c r="Z259" s="2987"/>
      <c r="AA259" s="5211"/>
      <c r="AB259" s="2987"/>
      <c r="AC259" s="5211"/>
      <c r="AD259" s="2987"/>
      <c r="AE259" s="5211"/>
      <c r="AF259" s="2987"/>
      <c r="AG259" s="5211"/>
      <c r="AH259" s="2987"/>
      <c r="AI259" s="5211"/>
      <c r="AJ259" s="2987"/>
      <c r="AK259" s="5211"/>
      <c r="AL259" s="2987"/>
      <c r="AM259" s="5211"/>
      <c r="AN259" s="2987"/>
      <c r="AO259" s="3853"/>
      <c r="AP259" s="1852"/>
      <c r="AQ259" s="3630"/>
      <c r="AR259" s="3854"/>
      <c r="AS259" s="5198"/>
      <c r="AT259" s="5211"/>
      <c r="AU259" s="5211"/>
      <c r="AV259" s="3854"/>
      <c r="AW259" s="3854"/>
      <c r="AX259" s="3852"/>
      <c r="AY259" s="5315" t="str">
        <f t="shared" si="173"/>
        <v/>
      </c>
      <c r="BU259" s="1452"/>
      <c r="BV259" s="1452"/>
      <c r="BW259" s="1460"/>
      <c r="CA259" s="1457" t="str">
        <f t="shared" si="174"/>
        <v/>
      </c>
      <c r="CB259" s="1457" t="str">
        <f t="shared" ref="CB259:CB300" si="180">IF(DB259=1,"* La consulta pertinente según Protocolo de Referencia NO DEBE ser mayor al Total registrado. ","")</f>
        <v/>
      </c>
      <c r="CC259" s="1457" t="str">
        <f t="shared" si="175"/>
        <v/>
      </c>
      <c r="CD259" s="1457" t="str">
        <f t="shared" ref="CD259:CD300" si="181">IF(AND(D259&lt;&gt;0,AO259=""),"* Recuerde que las Embarazadas deben ser incluídas en el ingreso por rango Etario (Digite CEROS si no tiene). ",IF(F259&lt;AO259,"* Las Embarazadas NO DEBEN ser mayor al total de Mujeres. ",""))</f>
        <v/>
      </c>
      <c r="CE259" s="1457" t="str">
        <f t="shared" si="176"/>
        <v/>
      </c>
      <c r="CF259" s="1457"/>
      <c r="CG259" s="1457" t="str">
        <f t="shared" si="177"/>
        <v/>
      </c>
      <c r="DA259" s="1458">
        <f t="shared" ref="DA259:DA300" si="182">IF((AI259+AJ259)&lt;AP259,1,0)</f>
        <v>0</v>
      </c>
      <c r="DB259" s="1458">
        <f>IF(D259&lt;AQ259,1,0)</f>
        <v>0</v>
      </c>
      <c r="DC259" s="1458">
        <f>IF(D259&lt;AR259,1,0)</f>
        <v>0</v>
      </c>
      <c r="DD259" s="1458">
        <f t="shared" ref="DD259:DD300" si="183">IF(AND(D259&lt;&gt;0,AO259=""),1,IF(F259&lt;AO259,1,0))</f>
        <v>0</v>
      </c>
      <c r="DE259" s="1458">
        <f t="shared" si="178"/>
        <v>0</v>
      </c>
      <c r="DF259" s="1458"/>
      <c r="DG259" s="1458">
        <f t="shared" si="179"/>
        <v>0</v>
      </c>
    </row>
    <row r="260" spans="1:111" ht="16.350000000000001" customHeight="1" x14ac:dyDescent="0.2">
      <c r="A260" s="8274"/>
      <c r="B260" s="9392" t="s">
        <v>1051</v>
      </c>
      <c r="C260" s="9392"/>
      <c r="D260" s="5181">
        <f t="shared" si="160"/>
        <v>0</v>
      </c>
      <c r="E260" s="3144">
        <f t="shared" si="172"/>
        <v>0</v>
      </c>
      <c r="F260" s="5212">
        <f t="shared" si="172"/>
        <v>0</v>
      </c>
      <c r="G260" s="5213"/>
      <c r="H260" s="1854"/>
      <c r="I260" s="5214"/>
      <c r="J260" s="1854"/>
      <c r="K260" s="5214"/>
      <c r="L260" s="1854"/>
      <c r="M260" s="5214"/>
      <c r="N260" s="1854"/>
      <c r="O260" s="5214"/>
      <c r="P260" s="1854"/>
      <c r="Q260" s="5214"/>
      <c r="R260" s="1854"/>
      <c r="S260" s="5214"/>
      <c r="T260" s="1854"/>
      <c r="U260" s="5214"/>
      <c r="V260" s="2988"/>
      <c r="W260" s="5214"/>
      <c r="X260" s="2988"/>
      <c r="Y260" s="5214"/>
      <c r="Z260" s="2988"/>
      <c r="AA260" s="5214"/>
      <c r="AB260" s="2988"/>
      <c r="AC260" s="5214"/>
      <c r="AD260" s="2988"/>
      <c r="AE260" s="5214"/>
      <c r="AF260" s="2988"/>
      <c r="AG260" s="5214"/>
      <c r="AH260" s="2988"/>
      <c r="AI260" s="5214"/>
      <c r="AJ260" s="2988"/>
      <c r="AK260" s="5214"/>
      <c r="AL260" s="2988"/>
      <c r="AM260" s="5214"/>
      <c r="AN260" s="2988"/>
      <c r="AO260" s="1856"/>
      <c r="AP260" s="1857"/>
      <c r="AQ260" s="5204"/>
      <c r="AR260" s="5225"/>
      <c r="AS260" s="3630"/>
      <c r="AT260" s="5214"/>
      <c r="AU260" s="5214"/>
      <c r="AV260" s="5215"/>
      <c r="AW260" s="5215"/>
      <c r="AX260" s="1854"/>
      <c r="AY260" s="5315" t="str">
        <f t="shared" si="173"/>
        <v/>
      </c>
      <c r="BU260" s="1452"/>
      <c r="BV260" s="1452"/>
      <c r="BW260" s="1460"/>
      <c r="CA260" s="1457" t="str">
        <f t="shared" si="174"/>
        <v/>
      </c>
      <c r="CB260" s="1457" t="str">
        <f t="shared" si="180"/>
        <v/>
      </c>
      <c r="CC260" s="1457" t="str">
        <f t="shared" si="175"/>
        <v/>
      </c>
      <c r="CD260" s="1457" t="str">
        <f t="shared" si="181"/>
        <v/>
      </c>
      <c r="CE260" s="1457" t="str">
        <f t="shared" si="176"/>
        <v/>
      </c>
      <c r="CF260" s="1457"/>
      <c r="CG260" s="1457" t="str">
        <f t="shared" si="177"/>
        <v/>
      </c>
      <c r="DA260" s="1458">
        <f t="shared" si="182"/>
        <v>0</v>
      </c>
      <c r="DB260" s="1458"/>
      <c r="DC260" s="1458"/>
      <c r="DD260" s="1458">
        <f t="shared" si="183"/>
        <v>0</v>
      </c>
      <c r="DE260" s="1458">
        <f t="shared" si="178"/>
        <v>0</v>
      </c>
      <c r="DF260" s="1458"/>
      <c r="DG260" s="1458">
        <f t="shared" si="179"/>
        <v>0</v>
      </c>
    </row>
    <row r="261" spans="1:111" ht="16.350000000000001" customHeight="1" x14ac:dyDescent="0.2">
      <c r="A261" s="8274"/>
      <c r="B261" s="9392" t="s">
        <v>1050</v>
      </c>
      <c r="C261" s="9392"/>
      <c r="D261" s="5181">
        <f t="shared" si="160"/>
        <v>0</v>
      </c>
      <c r="E261" s="3144">
        <f t="shared" si="172"/>
        <v>0</v>
      </c>
      <c r="F261" s="5212">
        <f t="shared" si="172"/>
        <v>0</v>
      </c>
      <c r="G261" s="5213"/>
      <c r="H261" s="1854"/>
      <c r="I261" s="5214"/>
      <c r="J261" s="1854"/>
      <c r="K261" s="5214"/>
      <c r="L261" s="1854"/>
      <c r="M261" s="5214"/>
      <c r="N261" s="1854"/>
      <c r="O261" s="5214"/>
      <c r="P261" s="1854"/>
      <c r="Q261" s="5214"/>
      <c r="R261" s="1854"/>
      <c r="S261" s="5214"/>
      <c r="T261" s="1854"/>
      <c r="U261" s="5214"/>
      <c r="V261" s="2988"/>
      <c r="W261" s="5214"/>
      <c r="X261" s="2988"/>
      <c r="Y261" s="5214"/>
      <c r="Z261" s="2988"/>
      <c r="AA261" s="5214"/>
      <c r="AB261" s="2988"/>
      <c r="AC261" s="5214"/>
      <c r="AD261" s="2988"/>
      <c r="AE261" s="5214"/>
      <c r="AF261" s="2988"/>
      <c r="AG261" s="5214"/>
      <c r="AH261" s="2988"/>
      <c r="AI261" s="5214"/>
      <c r="AJ261" s="2988"/>
      <c r="AK261" s="5214"/>
      <c r="AL261" s="2988"/>
      <c r="AM261" s="5214"/>
      <c r="AN261" s="2988"/>
      <c r="AO261" s="1856"/>
      <c r="AP261" s="1857"/>
      <c r="AQ261" s="5204"/>
      <c r="AR261" s="5225"/>
      <c r="AS261" s="5225"/>
      <c r="AT261" s="5214"/>
      <c r="AU261" s="5214"/>
      <c r="AV261" s="5215"/>
      <c r="AW261" s="5215"/>
      <c r="AX261" s="1854"/>
      <c r="AY261" s="5315" t="str">
        <f t="shared" si="173"/>
        <v/>
      </c>
      <c r="BU261" s="1452"/>
      <c r="BV261" s="1452"/>
      <c r="BW261" s="1460"/>
      <c r="CA261" s="1457" t="str">
        <f t="shared" si="174"/>
        <v/>
      </c>
      <c r="CB261" s="1457" t="str">
        <f t="shared" si="180"/>
        <v/>
      </c>
      <c r="CC261" s="1457" t="str">
        <f t="shared" si="175"/>
        <v/>
      </c>
      <c r="CD261" s="1457" t="str">
        <f t="shared" si="181"/>
        <v/>
      </c>
      <c r="CE261" s="1457" t="str">
        <f t="shared" si="176"/>
        <v/>
      </c>
      <c r="CF261" s="1457"/>
      <c r="CG261" s="1457" t="str">
        <f t="shared" si="177"/>
        <v/>
      </c>
      <c r="DA261" s="1458">
        <f t="shared" si="182"/>
        <v>0</v>
      </c>
      <c r="DB261" s="1458"/>
      <c r="DC261" s="1458"/>
      <c r="DD261" s="1458">
        <f t="shared" si="183"/>
        <v>0</v>
      </c>
      <c r="DE261" s="1458">
        <f t="shared" si="178"/>
        <v>0</v>
      </c>
      <c r="DF261" s="1458"/>
      <c r="DG261" s="1458">
        <f t="shared" si="179"/>
        <v>0</v>
      </c>
    </row>
    <row r="262" spans="1:111" ht="16.350000000000001" customHeight="1" x14ac:dyDescent="0.2">
      <c r="A262" s="8274"/>
      <c r="B262" s="9505" t="s">
        <v>1049</v>
      </c>
      <c r="C262" s="9505"/>
      <c r="D262" s="5181">
        <f t="shared" si="160"/>
        <v>0</v>
      </c>
      <c r="E262" s="3144">
        <f t="shared" si="172"/>
        <v>0</v>
      </c>
      <c r="F262" s="5212">
        <f t="shared" si="172"/>
        <v>0</v>
      </c>
      <c r="G262" s="5216"/>
      <c r="H262" s="3855"/>
      <c r="I262" s="3856"/>
      <c r="J262" s="3855"/>
      <c r="K262" s="3856"/>
      <c r="L262" s="3855"/>
      <c r="M262" s="3856"/>
      <c r="N262" s="3855"/>
      <c r="O262" s="3856"/>
      <c r="P262" s="3855"/>
      <c r="Q262" s="3856"/>
      <c r="R262" s="3855"/>
      <c r="S262" s="3856"/>
      <c r="T262" s="3855"/>
      <c r="U262" s="3856"/>
      <c r="V262" s="5217"/>
      <c r="W262" s="3856"/>
      <c r="X262" s="5217"/>
      <c r="Y262" s="3856"/>
      <c r="Z262" s="5217"/>
      <c r="AA262" s="3856"/>
      <c r="AB262" s="5217"/>
      <c r="AC262" s="3856"/>
      <c r="AD262" s="5217"/>
      <c r="AE262" s="3856"/>
      <c r="AF262" s="5217"/>
      <c r="AG262" s="3856"/>
      <c r="AH262" s="5217"/>
      <c r="AI262" s="3856"/>
      <c r="AJ262" s="5217"/>
      <c r="AK262" s="3856"/>
      <c r="AL262" s="5217"/>
      <c r="AM262" s="3856"/>
      <c r="AN262" s="5217"/>
      <c r="AO262" s="3857"/>
      <c r="AP262" s="3858"/>
      <c r="AQ262" s="5218"/>
      <c r="AR262" s="5233"/>
      <c r="AS262" s="5225"/>
      <c r="AT262" s="3856"/>
      <c r="AU262" s="3856"/>
      <c r="AV262" s="5219"/>
      <c r="AW262" s="5219"/>
      <c r="AX262" s="3855"/>
      <c r="AY262" s="5315" t="str">
        <f t="shared" si="173"/>
        <v/>
      </c>
      <c r="BU262" s="1452"/>
      <c r="BV262" s="1452"/>
      <c r="BW262" s="1460"/>
      <c r="CA262" s="1457" t="str">
        <f t="shared" si="174"/>
        <v/>
      </c>
      <c r="CB262" s="1457" t="str">
        <f t="shared" si="180"/>
        <v/>
      </c>
      <c r="CC262" s="1457" t="str">
        <f t="shared" si="175"/>
        <v/>
      </c>
      <c r="CD262" s="1457" t="str">
        <f t="shared" si="181"/>
        <v/>
      </c>
      <c r="CE262" s="1457" t="str">
        <f t="shared" si="176"/>
        <v/>
      </c>
      <c r="CF262" s="1457"/>
      <c r="CG262" s="1457" t="str">
        <f t="shared" si="177"/>
        <v/>
      </c>
      <c r="DA262" s="1458">
        <f t="shared" si="182"/>
        <v>0</v>
      </c>
      <c r="DB262" s="1458"/>
      <c r="DC262" s="1458"/>
      <c r="DD262" s="1458">
        <f t="shared" si="183"/>
        <v>0</v>
      </c>
      <c r="DE262" s="1458">
        <f t="shared" si="178"/>
        <v>0</v>
      </c>
      <c r="DF262" s="1458"/>
      <c r="DG262" s="1458">
        <f t="shared" si="179"/>
        <v>0</v>
      </c>
    </row>
    <row r="263" spans="1:111" ht="16.350000000000001" customHeight="1" x14ac:dyDescent="0.2">
      <c r="A263" s="8274"/>
      <c r="B263" s="9419" t="s">
        <v>2135</v>
      </c>
      <c r="C263" s="9420"/>
      <c r="D263" s="5181">
        <f t="shared" si="160"/>
        <v>0</v>
      </c>
      <c r="E263" s="3144">
        <f t="shared" si="172"/>
        <v>0</v>
      </c>
      <c r="F263" s="5212">
        <f t="shared" si="172"/>
        <v>0</v>
      </c>
      <c r="G263" s="5216"/>
      <c r="H263" s="3855"/>
      <c r="I263" s="3856"/>
      <c r="J263" s="3855"/>
      <c r="K263" s="3856"/>
      <c r="L263" s="3855"/>
      <c r="M263" s="3856"/>
      <c r="N263" s="3855"/>
      <c r="O263" s="3856"/>
      <c r="P263" s="3855"/>
      <c r="Q263" s="3856"/>
      <c r="R263" s="3855"/>
      <c r="S263" s="3856"/>
      <c r="T263" s="3855"/>
      <c r="U263" s="3856"/>
      <c r="V263" s="5217"/>
      <c r="W263" s="3856"/>
      <c r="X263" s="5217"/>
      <c r="Y263" s="3856"/>
      <c r="Z263" s="5217"/>
      <c r="AA263" s="3856"/>
      <c r="AB263" s="5217"/>
      <c r="AC263" s="3856"/>
      <c r="AD263" s="5217"/>
      <c r="AE263" s="3856"/>
      <c r="AF263" s="5217"/>
      <c r="AG263" s="3856"/>
      <c r="AH263" s="5217"/>
      <c r="AI263" s="3856"/>
      <c r="AJ263" s="5217"/>
      <c r="AK263" s="3856"/>
      <c r="AL263" s="5217"/>
      <c r="AM263" s="3856"/>
      <c r="AN263" s="5217"/>
      <c r="AO263" s="3857"/>
      <c r="AP263" s="3858"/>
      <c r="AQ263" s="5218"/>
      <c r="AR263" s="5233"/>
      <c r="AS263" s="3859"/>
      <c r="AT263" s="3856"/>
      <c r="AU263" s="3856"/>
      <c r="AV263" s="5219"/>
      <c r="AW263" s="5219"/>
      <c r="AX263" s="3855"/>
      <c r="AY263" s="5315" t="str">
        <f t="shared" si="173"/>
        <v/>
      </c>
      <c r="BU263" s="1452"/>
      <c r="BV263" s="1452"/>
      <c r="BW263" s="1460"/>
      <c r="CA263" s="1457" t="str">
        <f t="shared" si="174"/>
        <v/>
      </c>
      <c r="CB263" s="1457" t="str">
        <f t="shared" si="180"/>
        <v/>
      </c>
      <c r="CC263" s="1457" t="str">
        <f t="shared" si="175"/>
        <v/>
      </c>
      <c r="CD263" s="1457" t="str">
        <f t="shared" si="181"/>
        <v/>
      </c>
      <c r="CE263" s="1457" t="str">
        <f t="shared" si="176"/>
        <v/>
      </c>
      <c r="CF263" s="1457"/>
      <c r="CG263" s="1457" t="str">
        <f t="shared" si="177"/>
        <v/>
      </c>
      <c r="DA263" s="1458">
        <f t="shared" si="182"/>
        <v>0</v>
      </c>
      <c r="DB263" s="1458"/>
      <c r="DC263" s="1458"/>
      <c r="DD263" s="1458">
        <f t="shared" si="183"/>
        <v>0</v>
      </c>
      <c r="DE263" s="1458">
        <f t="shared" si="178"/>
        <v>0</v>
      </c>
      <c r="DF263" s="1458"/>
      <c r="DG263" s="1458">
        <f t="shared" si="179"/>
        <v>0</v>
      </c>
    </row>
    <row r="264" spans="1:111" ht="16.350000000000001" customHeight="1" x14ac:dyDescent="0.2">
      <c r="A264" s="9302"/>
      <c r="B264" s="9461" t="s">
        <v>1048</v>
      </c>
      <c r="C264" s="9461"/>
      <c r="D264" s="3343">
        <f t="shared" si="160"/>
        <v>0</v>
      </c>
      <c r="E264" s="5234">
        <f t="shared" si="172"/>
        <v>0</v>
      </c>
      <c r="F264" s="3862">
        <f t="shared" si="172"/>
        <v>0</v>
      </c>
      <c r="G264" s="5216"/>
      <c r="H264" s="3855"/>
      <c r="I264" s="3856"/>
      <c r="J264" s="3855"/>
      <c r="K264" s="3856"/>
      <c r="L264" s="3855"/>
      <c r="M264" s="3856"/>
      <c r="N264" s="3855"/>
      <c r="O264" s="3856"/>
      <c r="P264" s="3855"/>
      <c r="Q264" s="3856"/>
      <c r="R264" s="3855"/>
      <c r="S264" s="3856"/>
      <c r="T264" s="3855"/>
      <c r="U264" s="3856"/>
      <c r="V264" s="5217"/>
      <c r="W264" s="3856"/>
      <c r="X264" s="5217"/>
      <c r="Y264" s="3856"/>
      <c r="Z264" s="5217"/>
      <c r="AA264" s="3856"/>
      <c r="AB264" s="5217"/>
      <c r="AC264" s="3856"/>
      <c r="AD264" s="5217"/>
      <c r="AE264" s="3856"/>
      <c r="AF264" s="5217"/>
      <c r="AG264" s="3856"/>
      <c r="AH264" s="5217"/>
      <c r="AI264" s="3856"/>
      <c r="AJ264" s="5217"/>
      <c r="AK264" s="3856"/>
      <c r="AL264" s="5217"/>
      <c r="AM264" s="3856"/>
      <c r="AN264" s="5217"/>
      <c r="AO264" s="3850"/>
      <c r="AP264" s="3851"/>
      <c r="AQ264" s="5222"/>
      <c r="AR264" s="5235"/>
      <c r="AS264" s="3861"/>
      <c r="AT264" s="3849"/>
      <c r="AU264" s="3849"/>
      <c r="AV264" s="5209"/>
      <c r="AW264" s="5209"/>
      <c r="AX264" s="3848"/>
      <c r="AY264" s="5315" t="str">
        <f t="shared" si="173"/>
        <v/>
      </c>
      <c r="BU264" s="1452"/>
      <c r="BV264" s="1452"/>
      <c r="BW264" s="1460"/>
      <c r="CA264" s="1457" t="str">
        <f t="shared" si="174"/>
        <v/>
      </c>
      <c r="CB264" s="1457" t="str">
        <f t="shared" si="180"/>
        <v/>
      </c>
      <c r="CC264" s="1457" t="str">
        <f t="shared" si="175"/>
        <v/>
      </c>
      <c r="CD264" s="1457" t="str">
        <f t="shared" si="181"/>
        <v/>
      </c>
      <c r="CE264" s="1457" t="str">
        <f t="shared" si="176"/>
        <v/>
      </c>
      <c r="CF264" s="1457"/>
      <c r="CG264" s="1457" t="str">
        <f t="shared" si="177"/>
        <v/>
      </c>
      <c r="DA264" s="1458">
        <f t="shared" si="182"/>
        <v>0</v>
      </c>
      <c r="DB264" s="1458"/>
      <c r="DC264" s="1458"/>
      <c r="DD264" s="1458">
        <f t="shared" si="183"/>
        <v>0</v>
      </c>
      <c r="DE264" s="1458">
        <f t="shared" si="178"/>
        <v>0</v>
      </c>
      <c r="DF264" s="1458"/>
      <c r="DG264" s="1458">
        <f t="shared" si="179"/>
        <v>0</v>
      </c>
    </row>
    <row r="265" spans="1:111" ht="16.350000000000001" customHeight="1" x14ac:dyDescent="0.2">
      <c r="A265" s="8197" t="s">
        <v>1055</v>
      </c>
      <c r="B265" s="9460" t="s">
        <v>1052</v>
      </c>
      <c r="C265" s="9460"/>
      <c r="D265" s="5176">
        <f t="shared" si="160"/>
        <v>0</v>
      </c>
      <c r="E265" s="5223">
        <f t="shared" ref="E265:F282" si="184">+Y265+AA265+AC265+AE265+AG265+AI265+AK265+AM265</f>
        <v>0</v>
      </c>
      <c r="F265" s="5224">
        <f t="shared" si="184"/>
        <v>0</v>
      </c>
      <c r="G265" s="5236"/>
      <c r="H265" s="5237"/>
      <c r="I265" s="5238"/>
      <c r="J265" s="5237"/>
      <c r="K265" s="5238"/>
      <c r="L265" s="5237"/>
      <c r="M265" s="5239"/>
      <c r="N265" s="5240"/>
      <c r="O265" s="5241"/>
      <c r="P265" s="5240"/>
      <c r="Q265" s="5238"/>
      <c r="R265" s="5237"/>
      <c r="S265" s="5238"/>
      <c r="T265" s="5237"/>
      <c r="U265" s="5239"/>
      <c r="V265" s="5240"/>
      <c r="W265" s="5241"/>
      <c r="X265" s="5240"/>
      <c r="Y265" s="5200"/>
      <c r="Z265" s="5201"/>
      <c r="AA265" s="5200"/>
      <c r="AB265" s="5201"/>
      <c r="AC265" s="5200"/>
      <c r="AD265" s="5201"/>
      <c r="AE265" s="5200"/>
      <c r="AF265" s="5201"/>
      <c r="AG265" s="5200"/>
      <c r="AH265" s="5201"/>
      <c r="AI265" s="5200"/>
      <c r="AJ265" s="5201"/>
      <c r="AK265" s="5200"/>
      <c r="AL265" s="5201"/>
      <c r="AM265" s="5200"/>
      <c r="AN265" s="5201"/>
      <c r="AO265" s="3853"/>
      <c r="AP265" s="1852"/>
      <c r="AQ265" s="5198"/>
      <c r="AR265" s="3854"/>
      <c r="AS265" s="5198"/>
      <c r="AT265" s="5211"/>
      <c r="AU265" s="5211"/>
      <c r="AV265" s="3854"/>
      <c r="AW265" s="3854"/>
      <c r="AX265" s="3852"/>
      <c r="AY265" s="5315" t="str">
        <f t="shared" si="173"/>
        <v/>
      </c>
      <c r="BU265" s="1452"/>
      <c r="BV265" s="1452"/>
      <c r="BW265" s="1460"/>
      <c r="CA265" s="1457" t="str">
        <f t="shared" si="174"/>
        <v/>
      </c>
      <c r="CB265" s="1457" t="str">
        <f t="shared" si="180"/>
        <v/>
      </c>
      <c r="CC265" s="1457" t="str">
        <f t="shared" si="175"/>
        <v/>
      </c>
      <c r="CD265" s="1457" t="str">
        <f t="shared" si="181"/>
        <v/>
      </c>
      <c r="CE265" s="1457" t="str">
        <f t="shared" si="176"/>
        <v/>
      </c>
      <c r="CF265" s="1457"/>
      <c r="CG265" s="1457" t="str">
        <f t="shared" si="177"/>
        <v/>
      </c>
      <c r="DA265" s="1458">
        <f t="shared" si="182"/>
        <v>0</v>
      </c>
      <c r="DB265" s="1458">
        <f>IF(D265&lt;AQ265,1,0)</f>
        <v>0</v>
      </c>
      <c r="DC265" s="1458">
        <f>IF(D265&lt;AR265,1,0)</f>
        <v>0</v>
      </c>
      <c r="DD265" s="1458">
        <f t="shared" si="183"/>
        <v>0</v>
      </c>
      <c r="DE265" s="1458">
        <f t="shared" si="178"/>
        <v>0</v>
      </c>
      <c r="DF265" s="1458"/>
      <c r="DG265" s="1458">
        <f t="shared" si="179"/>
        <v>0</v>
      </c>
    </row>
    <row r="266" spans="1:111" ht="16.350000000000001" customHeight="1" x14ac:dyDescent="0.2">
      <c r="A266" s="8274"/>
      <c r="B266" s="9392" t="s">
        <v>1051</v>
      </c>
      <c r="C266" s="9392"/>
      <c r="D266" s="5181">
        <f>SUM(E266+F266)</f>
        <v>0</v>
      </c>
      <c r="E266" s="5242">
        <f t="shared" si="184"/>
        <v>0</v>
      </c>
      <c r="F266" s="5243">
        <f t="shared" si="184"/>
        <v>0</v>
      </c>
      <c r="G266" s="5244"/>
      <c r="H266" s="1864"/>
      <c r="I266" s="5245"/>
      <c r="J266" s="1864"/>
      <c r="K266" s="5245"/>
      <c r="L266" s="1864"/>
      <c r="M266" s="5246"/>
      <c r="N266" s="1861"/>
      <c r="O266" s="5246"/>
      <c r="P266" s="1861"/>
      <c r="Q266" s="5245"/>
      <c r="R266" s="1864"/>
      <c r="S266" s="5245"/>
      <c r="T266" s="1864"/>
      <c r="U266" s="5246"/>
      <c r="V266" s="1861"/>
      <c r="W266" s="5246"/>
      <c r="X266" s="1861"/>
      <c r="Y266" s="5214"/>
      <c r="Z266" s="2988"/>
      <c r="AA266" s="5214"/>
      <c r="AB266" s="2988"/>
      <c r="AC266" s="5214"/>
      <c r="AD266" s="2988"/>
      <c r="AE266" s="5214"/>
      <c r="AF266" s="2988"/>
      <c r="AG266" s="5214"/>
      <c r="AH266" s="2988"/>
      <c r="AI266" s="5214"/>
      <c r="AJ266" s="2988"/>
      <c r="AK266" s="5214"/>
      <c r="AL266" s="2988"/>
      <c r="AM266" s="5214"/>
      <c r="AN266" s="2988"/>
      <c r="AO266" s="1856"/>
      <c r="AP266" s="1857"/>
      <c r="AQ266" s="5204"/>
      <c r="AR266" s="5225"/>
      <c r="AS266" s="3630"/>
      <c r="AT266" s="5214"/>
      <c r="AU266" s="5214"/>
      <c r="AV266" s="5215"/>
      <c r="AW266" s="5215"/>
      <c r="AX266" s="1854"/>
      <c r="AY266" s="5315" t="str">
        <f t="shared" si="173"/>
        <v/>
      </c>
      <c r="BU266" s="1452"/>
      <c r="BV266" s="1452"/>
      <c r="BW266" s="1460"/>
      <c r="CA266" s="1457" t="str">
        <f t="shared" si="174"/>
        <v/>
      </c>
      <c r="CB266" s="1457" t="str">
        <f t="shared" si="180"/>
        <v/>
      </c>
      <c r="CC266" s="1457" t="str">
        <f t="shared" si="175"/>
        <v/>
      </c>
      <c r="CD266" s="1457" t="str">
        <f t="shared" si="181"/>
        <v/>
      </c>
      <c r="CE266" s="1457" t="str">
        <f t="shared" si="176"/>
        <v/>
      </c>
      <c r="CF266" s="1457"/>
      <c r="CG266" s="1457" t="str">
        <f t="shared" si="177"/>
        <v/>
      </c>
      <c r="DA266" s="1458">
        <f t="shared" si="182"/>
        <v>0</v>
      </c>
      <c r="DB266" s="1458"/>
      <c r="DC266" s="1458"/>
      <c r="DD266" s="1458">
        <f t="shared" si="183"/>
        <v>0</v>
      </c>
      <c r="DE266" s="1458">
        <f t="shared" si="178"/>
        <v>0</v>
      </c>
      <c r="DF266" s="1458"/>
      <c r="DG266" s="1458">
        <f t="shared" si="179"/>
        <v>0</v>
      </c>
    </row>
    <row r="267" spans="1:111" ht="16.350000000000001" customHeight="1" x14ac:dyDescent="0.2">
      <c r="A267" s="8274"/>
      <c r="B267" s="9392" t="s">
        <v>1050</v>
      </c>
      <c r="C267" s="9392"/>
      <c r="D267" s="5181">
        <f t="shared" ref="D267:D300" si="185">SUM(E267+F267)</f>
        <v>0</v>
      </c>
      <c r="E267" s="5242">
        <f t="shared" si="184"/>
        <v>0</v>
      </c>
      <c r="F267" s="5243">
        <f t="shared" si="184"/>
        <v>0</v>
      </c>
      <c r="G267" s="5244"/>
      <c r="H267" s="1864"/>
      <c r="I267" s="5245"/>
      <c r="J267" s="1864"/>
      <c r="K267" s="5245"/>
      <c r="L267" s="1864"/>
      <c r="M267" s="5246"/>
      <c r="N267" s="1861"/>
      <c r="O267" s="5246"/>
      <c r="P267" s="1861"/>
      <c r="Q267" s="5245"/>
      <c r="R267" s="1864"/>
      <c r="S267" s="5245"/>
      <c r="T267" s="1864"/>
      <c r="U267" s="5246"/>
      <c r="V267" s="1861"/>
      <c r="W267" s="5246"/>
      <c r="X267" s="1861"/>
      <c r="Y267" s="5214"/>
      <c r="Z267" s="2988"/>
      <c r="AA267" s="5214"/>
      <c r="AB267" s="2988"/>
      <c r="AC267" s="5214"/>
      <c r="AD267" s="2988"/>
      <c r="AE267" s="5214"/>
      <c r="AF267" s="2988"/>
      <c r="AG267" s="5214"/>
      <c r="AH267" s="2988"/>
      <c r="AI267" s="5214"/>
      <c r="AJ267" s="2988"/>
      <c r="AK267" s="5214"/>
      <c r="AL267" s="2988"/>
      <c r="AM267" s="5214"/>
      <c r="AN267" s="2988"/>
      <c r="AO267" s="1856"/>
      <c r="AP267" s="1857"/>
      <c r="AQ267" s="5204"/>
      <c r="AR267" s="5225"/>
      <c r="AS267" s="5225"/>
      <c r="AT267" s="5214"/>
      <c r="AU267" s="5214"/>
      <c r="AV267" s="5215"/>
      <c r="AW267" s="5215"/>
      <c r="AX267" s="1854"/>
      <c r="AY267" s="5315" t="str">
        <f t="shared" si="173"/>
        <v/>
      </c>
      <c r="BU267" s="1452"/>
      <c r="BV267" s="1452"/>
      <c r="BW267" s="1460"/>
      <c r="CA267" s="1457" t="str">
        <f t="shared" si="174"/>
        <v/>
      </c>
      <c r="CB267" s="1457" t="str">
        <f t="shared" si="180"/>
        <v/>
      </c>
      <c r="CC267" s="1457" t="str">
        <f t="shared" si="175"/>
        <v/>
      </c>
      <c r="CD267" s="1457" t="str">
        <f t="shared" si="181"/>
        <v/>
      </c>
      <c r="CE267" s="1457" t="str">
        <f t="shared" si="176"/>
        <v/>
      </c>
      <c r="CF267" s="1457"/>
      <c r="CG267" s="1457" t="str">
        <f t="shared" si="177"/>
        <v/>
      </c>
      <c r="DA267" s="1458">
        <f t="shared" si="182"/>
        <v>0</v>
      </c>
      <c r="DB267" s="1458"/>
      <c r="DC267" s="1458"/>
      <c r="DD267" s="1458">
        <f t="shared" si="183"/>
        <v>0</v>
      </c>
      <c r="DE267" s="1458">
        <f t="shared" si="178"/>
        <v>0</v>
      </c>
      <c r="DF267" s="1458"/>
      <c r="DG267" s="1458">
        <f t="shared" si="179"/>
        <v>0</v>
      </c>
    </row>
    <row r="268" spans="1:111" ht="16.350000000000001" customHeight="1" x14ac:dyDescent="0.2">
      <c r="A268" s="8274"/>
      <c r="B268" s="9392" t="s">
        <v>1049</v>
      </c>
      <c r="C268" s="9392"/>
      <c r="D268" s="5181">
        <f t="shared" si="185"/>
        <v>0</v>
      </c>
      <c r="E268" s="5242">
        <f t="shared" si="184"/>
        <v>0</v>
      </c>
      <c r="F268" s="5243">
        <f t="shared" si="184"/>
        <v>0</v>
      </c>
      <c r="G268" s="5247"/>
      <c r="H268" s="3872"/>
      <c r="I268" s="3873"/>
      <c r="J268" s="3872"/>
      <c r="K268" s="3873"/>
      <c r="L268" s="3872"/>
      <c r="M268" s="5204"/>
      <c r="N268" s="1861"/>
      <c r="O268" s="5204"/>
      <c r="P268" s="1861"/>
      <c r="Q268" s="3873"/>
      <c r="R268" s="3872"/>
      <c r="S268" s="3873"/>
      <c r="T268" s="3872"/>
      <c r="U268" s="5204"/>
      <c r="V268" s="1861"/>
      <c r="W268" s="5204"/>
      <c r="X268" s="1861"/>
      <c r="Y268" s="3856"/>
      <c r="Z268" s="5217"/>
      <c r="AA268" s="3856"/>
      <c r="AB268" s="5217"/>
      <c r="AC268" s="3856"/>
      <c r="AD268" s="5217"/>
      <c r="AE268" s="3856"/>
      <c r="AF268" s="5217"/>
      <c r="AG268" s="3856"/>
      <c r="AH268" s="5217"/>
      <c r="AI268" s="3856"/>
      <c r="AJ268" s="5217"/>
      <c r="AK268" s="3856"/>
      <c r="AL268" s="5217"/>
      <c r="AM268" s="3856"/>
      <c r="AN268" s="5217"/>
      <c r="AO268" s="3857"/>
      <c r="AP268" s="3858"/>
      <c r="AQ268" s="5204"/>
      <c r="AR268" s="5225"/>
      <c r="AS268" s="5225"/>
      <c r="AT268" s="3856"/>
      <c r="AU268" s="3856"/>
      <c r="AV268" s="5219"/>
      <c r="AW268" s="5219"/>
      <c r="AX268" s="3855"/>
      <c r="AY268" s="5315" t="str">
        <f t="shared" si="173"/>
        <v/>
      </c>
      <c r="BU268" s="1452"/>
      <c r="BV268" s="1452"/>
      <c r="BW268" s="1460"/>
      <c r="CA268" s="1457" t="str">
        <f t="shared" si="174"/>
        <v/>
      </c>
      <c r="CB268" s="1457" t="str">
        <f t="shared" si="180"/>
        <v/>
      </c>
      <c r="CC268" s="1457" t="str">
        <f t="shared" si="175"/>
        <v/>
      </c>
      <c r="CD268" s="1457" t="str">
        <f t="shared" si="181"/>
        <v/>
      </c>
      <c r="CE268" s="1457" t="str">
        <f t="shared" si="176"/>
        <v/>
      </c>
      <c r="CF268" s="1457"/>
      <c r="CG268" s="1457" t="str">
        <f t="shared" si="177"/>
        <v/>
      </c>
      <c r="DA268" s="1458">
        <f t="shared" si="182"/>
        <v>0</v>
      </c>
      <c r="DB268" s="1458"/>
      <c r="DC268" s="1458"/>
      <c r="DD268" s="1458">
        <f t="shared" si="183"/>
        <v>0</v>
      </c>
      <c r="DE268" s="1458">
        <f t="shared" si="178"/>
        <v>0</v>
      </c>
      <c r="DF268" s="1458"/>
      <c r="DG268" s="1458">
        <f t="shared" si="179"/>
        <v>0</v>
      </c>
    </row>
    <row r="269" spans="1:111" ht="16.350000000000001" customHeight="1" x14ac:dyDescent="0.2">
      <c r="A269" s="8274"/>
      <c r="B269" s="9419" t="s">
        <v>2135</v>
      </c>
      <c r="C269" s="9420"/>
      <c r="D269" s="5181">
        <f t="shared" si="185"/>
        <v>0</v>
      </c>
      <c r="E269" s="5242">
        <f t="shared" si="184"/>
        <v>0</v>
      </c>
      <c r="F269" s="5243">
        <f t="shared" si="184"/>
        <v>0</v>
      </c>
      <c r="G269" s="5247"/>
      <c r="H269" s="3872"/>
      <c r="I269" s="3873"/>
      <c r="J269" s="3872"/>
      <c r="K269" s="3873"/>
      <c r="L269" s="3872"/>
      <c r="M269" s="5218"/>
      <c r="N269" s="2969"/>
      <c r="O269" s="5218"/>
      <c r="P269" s="2969"/>
      <c r="Q269" s="3873"/>
      <c r="R269" s="3872"/>
      <c r="S269" s="3873"/>
      <c r="T269" s="3872"/>
      <c r="U269" s="5218"/>
      <c r="V269" s="2969"/>
      <c r="W269" s="5218"/>
      <c r="X269" s="2969"/>
      <c r="Y269" s="3856"/>
      <c r="Z269" s="5217"/>
      <c r="AA269" s="3856"/>
      <c r="AB269" s="5217"/>
      <c r="AC269" s="3856"/>
      <c r="AD269" s="5217"/>
      <c r="AE269" s="3856"/>
      <c r="AF269" s="5217"/>
      <c r="AG269" s="3856"/>
      <c r="AH269" s="5217"/>
      <c r="AI269" s="3856"/>
      <c r="AJ269" s="5217"/>
      <c r="AK269" s="3856"/>
      <c r="AL269" s="5217"/>
      <c r="AM269" s="3856"/>
      <c r="AN269" s="5217"/>
      <c r="AO269" s="3857"/>
      <c r="AP269" s="3858"/>
      <c r="AQ269" s="5218"/>
      <c r="AR269" s="5233"/>
      <c r="AS269" s="3859"/>
      <c r="AT269" s="3856"/>
      <c r="AU269" s="3856"/>
      <c r="AV269" s="5219"/>
      <c r="AW269" s="5219"/>
      <c r="AX269" s="3855"/>
      <c r="AY269" s="5315" t="str">
        <f t="shared" si="173"/>
        <v/>
      </c>
      <c r="BU269" s="1452"/>
      <c r="BV269" s="1452"/>
      <c r="BW269" s="1460"/>
      <c r="CA269" s="1457" t="str">
        <f t="shared" si="174"/>
        <v/>
      </c>
      <c r="CB269" s="1457" t="str">
        <f t="shared" si="180"/>
        <v/>
      </c>
      <c r="CC269" s="1457" t="str">
        <f t="shared" si="175"/>
        <v/>
      </c>
      <c r="CD269" s="1457" t="str">
        <f t="shared" si="181"/>
        <v/>
      </c>
      <c r="CE269" s="1457" t="str">
        <f t="shared" si="176"/>
        <v/>
      </c>
      <c r="CF269" s="1457"/>
      <c r="CG269" s="1457" t="str">
        <f t="shared" si="177"/>
        <v/>
      </c>
      <c r="DA269" s="1458">
        <f t="shared" si="182"/>
        <v>0</v>
      </c>
      <c r="DB269" s="1458"/>
      <c r="DC269" s="1458"/>
      <c r="DD269" s="1458">
        <f t="shared" si="183"/>
        <v>0</v>
      </c>
      <c r="DE269" s="1458">
        <f t="shared" si="178"/>
        <v>0</v>
      </c>
      <c r="DF269" s="1458"/>
      <c r="DG269" s="1458">
        <f t="shared" si="179"/>
        <v>0</v>
      </c>
    </row>
    <row r="270" spans="1:111" ht="16.350000000000001" customHeight="1" x14ac:dyDescent="0.2">
      <c r="A270" s="9302"/>
      <c r="B270" s="9468" t="s">
        <v>1048</v>
      </c>
      <c r="C270" s="9468"/>
      <c r="D270" s="5220">
        <f t="shared" si="185"/>
        <v>0</v>
      </c>
      <c r="E270" s="5248">
        <f t="shared" si="184"/>
        <v>0</v>
      </c>
      <c r="F270" s="5249">
        <f t="shared" si="184"/>
        <v>0</v>
      </c>
      <c r="G270" s="5250"/>
      <c r="H270" s="3874"/>
      <c r="I270" s="3875"/>
      <c r="J270" s="3874"/>
      <c r="K270" s="3875"/>
      <c r="L270" s="3874"/>
      <c r="M270" s="5250"/>
      <c r="N270" s="3874"/>
      <c r="O270" s="5250"/>
      <c r="P270" s="3874"/>
      <c r="Q270" s="3875"/>
      <c r="R270" s="3874"/>
      <c r="S270" s="3875"/>
      <c r="T270" s="3874"/>
      <c r="U270" s="5250"/>
      <c r="V270" s="3874"/>
      <c r="W270" s="5250"/>
      <c r="X270" s="3874"/>
      <c r="Y270" s="3849"/>
      <c r="Z270" s="3204"/>
      <c r="AA270" s="3849"/>
      <c r="AB270" s="3204"/>
      <c r="AC270" s="3849"/>
      <c r="AD270" s="3204"/>
      <c r="AE270" s="3849"/>
      <c r="AF270" s="3204"/>
      <c r="AG270" s="3849"/>
      <c r="AH270" s="3204"/>
      <c r="AI270" s="3849"/>
      <c r="AJ270" s="3204"/>
      <c r="AK270" s="3849"/>
      <c r="AL270" s="3204"/>
      <c r="AM270" s="3849"/>
      <c r="AN270" s="3204"/>
      <c r="AO270" s="3850"/>
      <c r="AP270" s="3851"/>
      <c r="AQ270" s="5222"/>
      <c r="AR270" s="5235"/>
      <c r="AS270" s="3861"/>
      <c r="AT270" s="3849"/>
      <c r="AU270" s="3849"/>
      <c r="AV270" s="5209"/>
      <c r="AW270" s="5209"/>
      <c r="AX270" s="3848"/>
      <c r="AY270" s="5315" t="str">
        <f t="shared" si="173"/>
        <v/>
      </c>
      <c r="BU270" s="1452"/>
      <c r="BV270" s="1452"/>
      <c r="BW270" s="1460"/>
      <c r="CA270" s="1457" t="str">
        <f t="shared" si="174"/>
        <v/>
      </c>
      <c r="CB270" s="1457" t="str">
        <f t="shared" si="180"/>
        <v/>
      </c>
      <c r="CC270" s="1457" t="str">
        <f t="shared" si="175"/>
        <v/>
      </c>
      <c r="CD270" s="1457" t="str">
        <f t="shared" si="181"/>
        <v/>
      </c>
      <c r="CE270" s="1457" t="str">
        <f t="shared" si="176"/>
        <v/>
      </c>
      <c r="CF270" s="1457"/>
      <c r="CG270" s="1457" t="str">
        <f t="shared" si="177"/>
        <v/>
      </c>
      <c r="DA270" s="1458">
        <f t="shared" si="182"/>
        <v>0</v>
      </c>
      <c r="DB270" s="1458"/>
      <c r="DC270" s="1458"/>
      <c r="DD270" s="1458">
        <f t="shared" si="183"/>
        <v>0</v>
      </c>
      <c r="DE270" s="1458">
        <f t="shared" si="178"/>
        <v>0</v>
      </c>
      <c r="DF270" s="1458"/>
      <c r="DG270" s="1458">
        <f t="shared" si="179"/>
        <v>0</v>
      </c>
    </row>
    <row r="271" spans="1:111" ht="16.350000000000001" customHeight="1" x14ac:dyDescent="0.2">
      <c r="A271" s="8197" t="s">
        <v>1054</v>
      </c>
      <c r="B271" s="9460" t="s">
        <v>1052</v>
      </c>
      <c r="C271" s="9460"/>
      <c r="D271" s="3342">
        <f t="shared" si="185"/>
        <v>0</v>
      </c>
      <c r="E271" s="5251">
        <f t="shared" si="184"/>
        <v>0</v>
      </c>
      <c r="F271" s="5252">
        <f t="shared" si="184"/>
        <v>0</v>
      </c>
      <c r="G271" s="3876"/>
      <c r="H271" s="3877"/>
      <c r="I271" s="5253"/>
      <c r="J271" s="3877"/>
      <c r="K271" s="5253"/>
      <c r="L271" s="3877"/>
      <c r="M271" s="5254"/>
      <c r="N271" s="3878"/>
      <c r="O271" s="5254"/>
      <c r="P271" s="3878"/>
      <c r="Q271" s="5253"/>
      <c r="R271" s="3877"/>
      <c r="S271" s="5253"/>
      <c r="T271" s="3877"/>
      <c r="U271" s="5254"/>
      <c r="V271" s="3878"/>
      <c r="W271" s="5254"/>
      <c r="X271" s="3878"/>
      <c r="Y271" s="5211"/>
      <c r="Z271" s="2987"/>
      <c r="AA271" s="5211"/>
      <c r="AB271" s="2987"/>
      <c r="AC271" s="5211"/>
      <c r="AD271" s="2987"/>
      <c r="AE271" s="5211"/>
      <c r="AF271" s="2987"/>
      <c r="AG271" s="5211"/>
      <c r="AH271" s="2987"/>
      <c r="AI271" s="5211"/>
      <c r="AJ271" s="2987"/>
      <c r="AK271" s="5211"/>
      <c r="AL271" s="2987"/>
      <c r="AM271" s="5211"/>
      <c r="AN271" s="2987"/>
      <c r="AO271" s="3853"/>
      <c r="AP271" s="1852"/>
      <c r="AQ271" s="3630"/>
      <c r="AR271" s="3854"/>
      <c r="AS271" s="5198"/>
      <c r="AT271" s="5211"/>
      <c r="AU271" s="5211"/>
      <c r="AV271" s="3854"/>
      <c r="AW271" s="3854"/>
      <c r="AX271" s="3852"/>
      <c r="AY271" s="5315" t="str">
        <f t="shared" si="173"/>
        <v/>
      </c>
      <c r="BU271" s="1452"/>
      <c r="BV271" s="1452"/>
      <c r="BW271" s="1460"/>
      <c r="CA271" s="1457" t="str">
        <f t="shared" si="174"/>
        <v/>
      </c>
      <c r="CB271" s="1457" t="str">
        <f t="shared" si="180"/>
        <v/>
      </c>
      <c r="CC271" s="1457" t="str">
        <f t="shared" si="175"/>
        <v/>
      </c>
      <c r="CD271" s="1457" t="str">
        <f t="shared" si="181"/>
        <v/>
      </c>
      <c r="CE271" s="1457" t="str">
        <f t="shared" si="176"/>
        <v/>
      </c>
      <c r="CF271" s="1457"/>
      <c r="CG271" s="1457" t="str">
        <f t="shared" si="177"/>
        <v/>
      </c>
      <c r="DA271" s="1458">
        <f t="shared" si="182"/>
        <v>0</v>
      </c>
      <c r="DB271" s="1458">
        <f>IF(D271&lt;AQ271,1,0)</f>
        <v>0</v>
      </c>
      <c r="DC271" s="1458">
        <f>IF(D271&lt;AR271,1,0)</f>
        <v>0</v>
      </c>
      <c r="DD271" s="1458">
        <f t="shared" si="183"/>
        <v>0</v>
      </c>
      <c r="DE271" s="1458">
        <f t="shared" si="178"/>
        <v>0</v>
      </c>
      <c r="DF271" s="1458"/>
      <c r="DG271" s="1458">
        <f t="shared" si="179"/>
        <v>0</v>
      </c>
    </row>
    <row r="272" spans="1:111" ht="16.350000000000001" customHeight="1" x14ac:dyDescent="0.2">
      <c r="A272" s="8274"/>
      <c r="B272" s="9392" t="s">
        <v>1051</v>
      </c>
      <c r="C272" s="9392"/>
      <c r="D272" s="5181">
        <f t="shared" si="185"/>
        <v>0</v>
      </c>
      <c r="E272" s="5242">
        <f t="shared" si="184"/>
        <v>0</v>
      </c>
      <c r="F272" s="5243">
        <f t="shared" si="184"/>
        <v>0</v>
      </c>
      <c r="G272" s="5244"/>
      <c r="H272" s="1864"/>
      <c r="I272" s="5245"/>
      <c r="J272" s="1864"/>
      <c r="K272" s="5245"/>
      <c r="L272" s="1864"/>
      <c r="M272" s="5246"/>
      <c r="N272" s="1861"/>
      <c r="O272" s="5246"/>
      <c r="P272" s="1861"/>
      <c r="Q272" s="5245"/>
      <c r="R272" s="1864"/>
      <c r="S272" s="5245"/>
      <c r="T272" s="1864"/>
      <c r="U272" s="5246"/>
      <c r="V272" s="1861"/>
      <c r="W272" s="5246"/>
      <c r="X272" s="1861"/>
      <c r="Y272" s="5214"/>
      <c r="Z272" s="2988"/>
      <c r="AA272" s="5214"/>
      <c r="AB272" s="2988"/>
      <c r="AC272" s="5214"/>
      <c r="AD272" s="2988"/>
      <c r="AE272" s="5214"/>
      <c r="AF272" s="2988"/>
      <c r="AG272" s="5214"/>
      <c r="AH272" s="2988"/>
      <c r="AI272" s="5214"/>
      <c r="AJ272" s="2988"/>
      <c r="AK272" s="5214"/>
      <c r="AL272" s="2988"/>
      <c r="AM272" s="5214"/>
      <c r="AN272" s="2988"/>
      <c r="AO272" s="1856"/>
      <c r="AP272" s="1857"/>
      <c r="AQ272" s="5204"/>
      <c r="AR272" s="5225"/>
      <c r="AS272" s="3630"/>
      <c r="AT272" s="5214"/>
      <c r="AU272" s="5214"/>
      <c r="AV272" s="5215"/>
      <c r="AW272" s="5215"/>
      <c r="AX272" s="1854"/>
      <c r="AY272" s="5315" t="str">
        <f t="shared" si="173"/>
        <v/>
      </c>
      <c r="BU272" s="1452"/>
      <c r="BV272" s="1452"/>
      <c r="BW272" s="1460"/>
      <c r="CA272" s="1457" t="str">
        <f t="shared" si="174"/>
        <v/>
      </c>
      <c r="CB272" s="1457" t="str">
        <f t="shared" si="180"/>
        <v/>
      </c>
      <c r="CC272" s="1457" t="str">
        <f t="shared" si="175"/>
        <v/>
      </c>
      <c r="CD272" s="1457" t="str">
        <f t="shared" si="181"/>
        <v/>
      </c>
      <c r="CE272" s="1457" t="str">
        <f t="shared" si="176"/>
        <v/>
      </c>
      <c r="CF272" s="1457"/>
      <c r="CG272" s="1457" t="str">
        <f t="shared" si="177"/>
        <v/>
      </c>
      <c r="DA272" s="1458">
        <f t="shared" si="182"/>
        <v>0</v>
      </c>
      <c r="DB272" s="1458"/>
      <c r="DC272" s="1458"/>
      <c r="DD272" s="1458">
        <f t="shared" si="183"/>
        <v>0</v>
      </c>
      <c r="DE272" s="1458">
        <f t="shared" si="178"/>
        <v>0</v>
      </c>
      <c r="DF272" s="1458"/>
      <c r="DG272" s="1458">
        <f t="shared" si="179"/>
        <v>0</v>
      </c>
    </row>
    <row r="273" spans="1:111" ht="16.350000000000001" customHeight="1" x14ac:dyDescent="0.2">
      <c r="A273" s="8274"/>
      <c r="B273" s="9392" t="s">
        <v>1050</v>
      </c>
      <c r="C273" s="9392"/>
      <c r="D273" s="5181">
        <f t="shared" si="185"/>
        <v>0</v>
      </c>
      <c r="E273" s="5242">
        <f t="shared" si="184"/>
        <v>0</v>
      </c>
      <c r="F273" s="5243">
        <f t="shared" si="184"/>
        <v>0</v>
      </c>
      <c r="G273" s="5244"/>
      <c r="H273" s="1864"/>
      <c r="I273" s="5245"/>
      <c r="J273" s="1864"/>
      <c r="K273" s="5245"/>
      <c r="L273" s="1864"/>
      <c r="M273" s="5246"/>
      <c r="N273" s="1861"/>
      <c r="O273" s="5246"/>
      <c r="P273" s="1861"/>
      <c r="Q273" s="5245"/>
      <c r="R273" s="1864"/>
      <c r="S273" s="5245"/>
      <c r="T273" s="1864"/>
      <c r="U273" s="5246"/>
      <c r="V273" s="1861"/>
      <c r="W273" s="5246"/>
      <c r="X273" s="1861"/>
      <c r="Y273" s="5214"/>
      <c r="Z273" s="2988"/>
      <c r="AA273" s="5214"/>
      <c r="AB273" s="2988"/>
      <c r="AC273" s="5214"/>
      <c r="AD273" s="2988"/>
      <c r="AE273" s="5214"/>
      <c r="AF273" s="2988"/>
      <c r="AG273" s="5214"/>
      <c r="AH273" s="2988"/>
      <c r="AI273" s="5214"/>
      <c r="AJ273" s="2988"/>
      <c r="AK273" s="5214"/>
      <c r="AL273" s="2988"/>
      <c r="AM273" s="5214"/>
      <c r="AN273" s="2988"/>
      <c r="AO273" s="1856"/>
      <c r="AP273" s="1857"/>
      <c r="AQ273" s="5204"/>
      <c r="AR273" s="5225"/>
      <c r="AS273" s="5225"/>
      <c r="AT273" s="5214"/>
      <c r="AU273" s="5214"/>
      <c r="AV273" s="5215"/>
      <c r="AW273" s="5215"/>
      <c r="AX273" s="1854"/>
      <c r="AY273" s="5315" t="str">
        <f t="shared" si="173"/>
        <v/>
      </c>
      <c r="BU273" s="1452"/>
      <c r="BV273" s="1452"/>
      <c r="BW273" s="1460"/>
      <c r="CA273" s="1457" t="str">
        <f t="shared" si="174"/>
        <v/>
      </c>
      <c r="CB273" s="1457" t="str">
        <f t="shared" si="180"/>
        <v/>
      </c>
      <c r="CC273" s="1457" t="str">
        <f t="shared" si="175"/>
        <v/>
      </c>
      <c r="CD273" s="1457" t="str">
        <f t="shared" si="181"/>
        <v/>
      </c>
      <c r="CE273" s="1457" t="str">
        <f t="shared" si="176"/>
        <v/>
      </c>
      <c r="CF273" s="1457"/>
      <c r="CG273" s="1457" t="str">
        <f t="shared" si="177"/>
        <v/>
      </c>
      <c r="DA273" s="1458">
        <f t="shared" si="182"/>
        <v>0</v>
      </c>
      <c r="DB273" s="1458"/>
      <c r="DC273" s="1458"/>
      <c r="DD273" s="1458">
        <f t="shared" si="183"/>
        <v>0</v>
      </c>
      <c r="DE273" s="1458">
        <f t="shared" si="178"/>
        <v>0</v>
      </c>
      <c r="DF273" s="1458"/>
      <c r="DG273" s="1458">
        <f t="shared" si="179"/>
        <v>0</v>
      </c>
    </row>
    <row r="274" spans="1:111" ht="16.350000000000001" customHeight="1" x14ac:dyDescent="0.2">
      <c r="A274" s="8274"/>
      <c r="B274" s="9392" t="s">
        <v>1049</v>
      </c>
      <c r="C274" s="9392"/>
      <c r="D274" s="5181">
        <f t="shared" si="185"/>
        <v>0</v>
      </c>
      <c r="E274" s="5242">
        <f t="shared" si="184"/>
        <v>0</v>
      </c>
      <c r="F274" s="5243">
        <f t="shared" si="184"/>
        <v>0</v>
      </c>
      <c r="G274" s="5247"/>
      <c r="H274" s="3872"/>
      <c r="I274" s="3873"/>
      <c r="J274" s="3872"/>
      <c r="K274" s="3873"/>
      <c r="L274" s="3872"/>
      <c r="M274" s="5204"/>
      <c r="N274" s="1861"/>
      <c r="O274" s="5204"/>
      <c r="P274" s="1861"/>
      <c r="Q274" s="3873"/>
      <c r="R274" s="3872"/>
      <c r="S274" s="3873"/>
      <c r="T274" s="3872"/>
      <c r="U274" s="5204"/>
      <c r="V274" s="1861"/>
      <c r="W274" s="5204"/>
      <c r="X274" s="1861"/>
      <c r="Y274" s="3856"/>
      <c r="Z274" s="5217"/>
      <c r="AA274" s="3856"/>
      <c r="AB274" s="5217"/>
      <c r="AC274" s="3856"/>
      <c r="AD274" s="5217"/>
      <c r="AE274" s="3856"/>
      <c r="AF274" s="5217"/>
      <c r="AG274" s="3856"/>
      <c r="AH274" s="5217"/>
      <c r="AI274" s="3856"/>
      <c r="AJ274" s="5217"/>
      <c r="AK274" s="3856"/>
      <c r="AL274" s="5217"/>
      <c r="AM274" s="3856"/>
      <c r="AN274" s="5217"/>
      <c r="AO274" s="3857"/>
      <c r="AP274" s="3858"/>
      <c r="AQ274" s="5204"/>
      <c r="AR274" s="5225"/>
      <c r="AS274" s="5225"/>
      <c r="AT274" s="3856"/>
      <c r="AU274" s="3856"/>
      <c r="AV274" s="5219"/>
      <c r="AW274" s="5219"/>
      <c r="AX274" s="3855"/>
      <c r="AY274" s="5315" t="str">
        <f t="shared" si="173"/>
        <v/>
      </c>
      <c r="BU274" s="1452"/>
      <c r="BV274" s="1452"/>
      <c r="BW274" s="1460"/>
      <c r="CA274" s="1457" t="str">
        <f t="shared" si="174"/>
        <v/>
      </c>
      <c r="CB274" s="1457" t="str">
        <f t="shared" si="180"/>
        <v/>
      </c>
      <c r="CC274" s="1457" t="str">
        <f t="shared" si="175"/>
        <v/>
      </c>
      <c r="CD274" s="1457" t="str">
        <f t="shared" si="181"/>
        <v/>
      </c>
      <c r="CE274" s="1457" t="str">
        <f t="shared" si="176"/>
        <v/>
      </c>
      <c r="CF274" s="1457"/>
      <c r="CG274" s="1457" t="str">
        <f t="shared" si="177"/>
        <v/>
      </c>
      <c r="DA274" s="1458">
        <f t="shared" si="182"/>
        <v>0</v>
      </c>
      <c r="DB274" s="1458"/>
      <c r="DC274" s="1458"/>
      <c r="DD274" s="1458">
        <f t="shared" si="183"/>
        <v>0</v>
      </c>
      <c r="DE274" s="1458">
        <f t="shared" si="178"/>
        <v>0</v>
      </c>
      <c r="DF274" s="1458"/>
      <c r="DG274" s="1458">
        <f t="shared" si="179"/>
        <v>0</v>
      </c>
    </row>
    <row r="275" spans="1:111" ht="16.350000000000001" customHeight="1" x14ac:dyDescent="0.2">
      <c r="A275" s="8274"/>
      <c r="B275" s="9419" t="s">
        <v>2135</v>
      </c>
      <c r="C275" s="9420"/>
      <c r="D275" s="5181">
        <f t="shared" si="185"/>
        <v>0</v>
      </c>
      <c r="E275" s="5242">
        <f t="shared" si="184"/>
        <v>0</v>
      </c>
      <c r="F275" s="5243">
        <f t="shared" si="184"/>
        <v>0</v>
      </c>
      <c r="G275" s="5247"/>
      <c r="H275" s="3872"/>
      <c r="I275" s="3873"/>
      <c r="J275" s="3872"/>
      <c r="K275" s="3873"/>
      <c r="L275" s="3872"/>
      <c r="M275" s="5218"/>
      <c r="N275" s="2969"/>
      <c r="O275" s="5218"/>
      <c r="P275" s="2969"/>
      <c r="Q275" s="3873"/>
      <c r="R275" s="3872"/>
      <c r="S275" s="3873"/>
      <c r="T275" s="3872"/>
      <c r="U275" s="5218"/>
      <c r="V275" s="2969"/>
      <c r="W275" s="5218"/>
      <c r="X275" s="2969"/>
      <c r="Y275" s="3856"/>
      <c r="Z275" s="5217"/>
      <c r="AA275" s="3856"/>
      <c r="AB275" s="5217"/>
      <c r="AC275" s="3856"/>
      <c r="AD275" s="5217"/>
      <c r="AE275" s="3856"/>
      <c r="AF275" s="5217"/>
      <c r="AG275" s="3856"/>
      <c r="AH275" s="5217"/>
      <c r="AI275" s="3856"/>
      <c r="AJ275" s="5217"/>
      <c r="AK275" s="3856"/>
      <c r="AL275" s="5217"/>
      <c r="AM275" s="3856"/>
      <c r="AN275" s="5217"/>
      <c r="AO275" s="3857"/>
      <c r="AP275" s="3858"/>
      <c r="AQ275" s="5218"/>
      <c r="AR275" s="5233"/>
      <c r="AS275" s="3859"/>
      <c r="AT275" s="3856"/>
      <c r="AU275" s="3856"/>
      <c r="AV275" s="5219"/>
      <c r="AW275" s="5219"/>
      <c r="AX275" s="3855"/>
      <c r="AY275" s="5315" t="str">
        <f t="shared" si="173"/>
        <v/>
      </c>
      <c r="BU275" s="1452"/>
      <c r="BV275" s="1452"/>
      <c r="BW275" s="1460"/>
      <c r="CA275" s="1457" t="str">
        <f t="shared" si="174"/>
        <v/>
      </c>
      <c r="CB275" s="1457" t="str">
        <f t="shared" si="180"/>
        <v/>
      </c>
      <c r="CC275" s="1457" t="str">
        <f t="shared" si="175"/>
        <v/>
      </c>
      <c r="CD275" s="1457" t="str">
        <f t="shared" si="181"/>
        <v/>
      </c>
      <c r="CE275" s="1457" t="str">
        <f t="shared" si="176"/>
        <v/>
      </c>
      <c r="CF275" s="1457"/>
      <c r="CG275" s="1457" t="str">
        <f t="shared" si="177"/>
        <v/>
      </c>
      <c r="DA275" s="1458">
        <f t="shared" si="182"/>
        <v>0</v>
      </c>
      <c r="DB275" s="1458"/>
      <c r="DC275" s="1458"/>
      <c r="DD275" s="1458">
        <f t="shared" si="183"/>
        <v>0</v>
      </c>
      <c r="DE275" s="1458">
        <f t="shared" si="178"/>
        <v>0</v>
      </c>
      <c r="DF275" s="1458"/>
      <c r="DG275" s="1458">
        <f t="shared" si="179"/>
        <v>0</v>
      </c>
    </row>
    <row r="276" spans="1:111" ht="16.350000000000001" customHeight="1" x14ac:dyDescent="0.2">
      <c r="A276" s="9302"/>
      <c r="B276" s="9468" t="s">
        <v>1048</v>
      </c>
      <c r="C276" s="9468"/>
      <c r="D276" s="5220">
        <f t="shared" si="185"/>
        <v>0</v>
      </c>
      <c r="E276" s="5248">
        <f t="shared" si="184"/>
        <v>0</v>
      </c>
      <c r="F276" s="5249">
        <f t="shared" si="184"/>
        <v>0</v>
      </c>
      <c r="G276" s="5250"/>
      <c r="H276" s="3874"/>
      <c r="I276" s="3875"/>
      <c r="J276" s="3874"/>
      <c r="K276" s="3875"/>
      <c r="L276" s="3874"/>
      <c r="M276" s="5250"/>
      <c r="N276" s="3874"/>
      <c r="O276" s="5250"/>
      <c r="P276" s="3874"/>
      <c r="Q276" s="3875"/>
      <c r="R276" s="3874"/>
      <c r="S276" s="3875"/>
      <c r="T276" s="3874"/>
      <c r="U276" s="5250"/>
      <c r="V276" s="3874"/>
      <c r="W276" s="5250"/>
      <c r="X276" s="3874"/>
      <c r="Y276" s="3849"/>
      <c r="Z276" s="3204"/>
      <c r="AA276" s="3849"/>
      <c r="AB276" s="3204"/>
      <c r="AC276" s="3849"/>
      <c r="AD276" s="3204"/>
      <c r="AE276" s="3849"/>
      <c r="AF276" s="3204"/>
      <c r="AG276" s="3849"/>
      <c r="AH276" s="3204"/>
      <c r="AI276" s="3849"/>
      <c r="AJ276" s="3204"/>
      <c r="AK276" s="3849"/>
      <c r="AL276" s="3204"/>
      <c r="AM276" s="3849"/>
      <c r="AN276" s="3204"/>
      <c r="AO276" s="3850"/>
      <c r="AP276" s="3851"/>
      <c r="AQ276" s="5222"/>
      <c r="AR276" s="5235"/>
      <c r="AS276" s="3861"/>
      <c r="AT276" s="3849"/>
      <c r="AU276" s="3849"/>
      <c r="AV276" s="5209"/>
      <c r="AW276" s="5209"/>
      <c r="AX276" s="3848"/>
      <c r="AY276" s="5315" t="str">
        <f t="shared" si="173"/>
        <v/>
      </c>
      <c r="BU276" s="1452"/>
      <c r="BV276" s="1452"/>
      <c r="BW276" s="1460"/>
      <c r="CA276" s="1457" t="str">
        <f t="shared" si="174"/>
        <v/>
      </c>
      <c r="CB276" s="1457" t="str">
        <f t="shared" si="180"/>
        <v/>
      </c>
      <c r="CC276" s="1457" t="str">
        <f t="shared" si="175"/>
        <v/>
      </c>
      <c r="CD276" s="1457" t="str">
        <f t="shared" si="181"/>
        <v/>
      </c>
      <c r="CE276" s="1457" t="str">
        <f t="shared" si="176"/>
        <v/>
      </c>
      <c r="CF276" s="1457"/>
      <c r="CG276" s="1457" t="str">
        <f t="shared" si="177"/>
        <v/>
      </c>
      <c r="DA276" s="1458">
        <f t="shared" si="182"/>
        <v>0</v>
      </c>
      <c r="DB276" s="1458"/>
      <c r="DC276" s="1458"/>
      <c r="DD276" s="1458">
        <f t="shared" si="183"/>
        <v>0</v>
      </c>
      <c r="DE276" s="1458">
        <f t="shared" si="178"/>
        <v>0</v>
      </c>
      <c r="DF276" s="1458"/>
      <c r="DG276" s="1458">
        <f t="shared" si="179"/>
        <v>0</v>
      </c>
    </row>
    <row r="277" spans="1:111" ht="16.350000000000001" customHeight="1" x14ac:dyDescent="0.2">
      <c r="A277" s="9523" t="s">
        <v>1053</v>
      </c>
      <c r="B277" s="9460" t="s">
        <v>1052</v>
      </c>
      <c r="C277" s="9460"/>
      <c r="D277" s="3342">
        <f t="shared" si="185"/>
        <v>0</v>
      </c>
      <c r="E277" s="5251">
        <f t="shared" si="184"/>
        <v>0</v>
      </c>
      <c r="F277" s="5252">
        <f t="shared" si="184"/>
        <v>0</v>
      </c>
      <c r="G277" s="3879"/>
      <c r="H277" s="3878"/>
      <c r="I277" s="5254"/>
      <c r="J277" s="3878"/>
      <c r="K277" s="5254"/>
      <c r="L277" s="3878"/>
      <c r="M277" s="5254"/>
      <c r="N277" s="3878"/>
      <c r="O277" s="5254"/>
      <c r="P277" s="3878"/>
      <c r="Q277" s="5254"/>
      <c r="R277" s="3878"/>
      <c r="S277" s="5254"/>
      <c r="T277" s="3878"/>
      <c r="U277" s="5254"/>
      <c r="V277" s="3878"/>
      <c r="W277" s="5254"/>
      <c r="X277" s="3878"/>
      <c r="Y277" s="5211"/>
      <c r="Z277" s="2987"/>
      <c r="AA277" s="5211"/>
      <c r="AB277" s="2987"/>
      <c r="AC277" s="5211"/>
      <c r="AD277" s="2987"/>
      <c r="AE277" s="5211"/>
      <c r="AF277" s="2987"/>
      <c r="AG277" s="5211"/>
      <c r="AH277" s="2987"/>
      <c r="AI277" s="5211"/>
      <c r="AJ277" s="2987"/>
      <c r="AK277" s="5211"/>
      <c r="AL277" s="2987"/>
      <c r="AM277" s="5211"/>
      <c r="AN277" s="2987"/>
      <c r="AO277" s="3853"/>
      <c r="AP277" s="1852"/>
      <c r="AQ277" s="3630"/>
      <c r="AR277" s="3854"/>
      <c r="AS277" s="5198"/>
      <c r="AT277" s="5211"/>
      <c r="AU277" s="5211"/>
      <c r="AV277" s="3854"/>
      <c r="AW277" s="3854"/>
      <c r="AX277" s="3852"/>
      <c r="AY277" s="5315" t="str">
        <f t="shared" si="173"/>
        <v/>
      </c>
      <c r="BU277" s="1452"/>
      <c r="BV277" s="1452"/>
      <c r="BW277" s="1460"/>
      <c r="CA277" s="1457" t="str">
        <f t="shared" si="174"/>
        <v/>
      </c>
      <c r="CB277" s="1457" t="str">
        <f t="shared" si="180"/>
        <v/>
      </c>
      <c r="CC277" s="1457" t="str">
        <f t="shared" si="175"/>
        <v/>
      </c>
      <c r="CD277" s="1457" t="str">
        <f t="shared" si="181"/>
        <v/>
      </c>
      <c r="CE277" s="1457" t="str">
        <f t="shared" si="176"/>
        <v/>
      </c>
      <c r="CF277" s="1457"/>
      <c r="CG277" s="1457" t="str">
        <f t="shared" si="177"/>
        <v/>
      </c>
      <c r="DA277" s="1458">
        <f t="shared" si="182"/>
        <v>0</v>
      </c>
      <c r="DB277" s="1458">
        <f>IF(D277&lt;AQ277,1,0)</f>
        <v>0</v>
      </c>
      <c r="DC277" s="1458">
        <f>IF(D277&lt;AR277,1,0)</f>
        <v>0</v>
      </c>
      <c r="DD277" s="1458">
        <f t="shared" si="183"/>
        <v>0</v>
      </c>
      <c r="DE277" s="1458">
        <f t="shared" si="178"/>
        <v>0</v>
      </c>
      <c r="DF277" s="1458"/>
      <c r="DG277" s="1458">
        <f t="shared" si="179"/>
        <v>0</v>
      </c>
    </row>
    <row r="278" spans="1:111" ht="16.350000000000001" customHeight="1" x14ac:dyDescent="0.2">
      <c r="A278" s="9380"/>
      <c r="B278" s="9392" t="s">
        <v>1051</v>
      </c>
      <c r="C278" s="9392"/>
      <c r="D278" s="5181">
        <f t="shared" si="185"/>
        <v>0</v>
      </c>
      <c r="E278" s="5242">
        <f t="shared" si="184"/>
        <v>0</v>
      </c>
      <c r="F278" s="5243">
        <f t="shared" si="184"/>
        <v>0</v>
      </c>
      <c r="G278" s="5204"/>
      <c r="H278" s="1861"/>
      <c r="I278" s="5246"/>
      <c r="J278" s="1861"/>
      <c r="K278" s="5246"/>
      <c r="L278" s="1861"/>
      <c r="M278" s="5246"/>
      <c r="N278" s="1861"/>
      <c r="O278" s="5246"/>
      <c r="P278" s="1861"/>
      <c r="Q278" s="5246"/>
      <c r="R278" s="1861"/>
      <c r="S278" s="5246"/>
      <c r="T278" s="1861"/>
      <c r="U278" s="5246"/>
      <c r="V278" s="1861"/>
      <c r="W278" s="5246"/>
      <c r="X278" s="1861"/>
      <c r="Y278" s="5214"/>
      <c r="Z278" s="2988"/>
      <c r="AA278" s="5214"/>
      <c r="AB278" s="2988"/>
      <c r="AC278" s="5214"/>
      <c r="AD278" s="2988"/>
      <c r="AE278" s="5214"/>
      <c r="AF278" s="2988"/>
      <c r="AG278" s="5214"/>
      <c r="AH278" s="2988"/>
      <c r="AI278" s="5214"/>
      <c r="AJ278" s="2988"/>
      <c r="AK278" s="5214"/>
      <c r="AL278" s="2988"/>
      <c r="AM278" s="5214"/>
      <c r="AN278" s="2988"/>
      <c r="AO278" s="1856"/>
      <c r="AP278" s="1857"/>
      <c r="AQ278" s="5204"/>
      <c r="AR278" s="5225"/>
      <c r="AS278" s="3630"/>
      <c r="AT278" s="5214"/>
      <c r="AU278" s="5214"/>
      <c r="AV278" s="5215"/>
      <c r="AW278" s="5215"/>
      <c r="AX278" s="1854"/>
      <c r="AY278" s="5315" t="str">
        <f t="shared" si="173"/>
        <v/>
      </c>
      <c r="BU278" s="1452"/>
      <c r="BV278" s="1452"/>
      <c r="BW278" s="1460"/>
      <c r="CA278" s="1457" t="str">
        <f t="shared" si="174"/>
        <v/>
      </c>
      <c r="CB278" s="1457" t="str">
        <f t="shared" si="180"/>
        <v/>
      </c>
      <c r="CC278" s="1457" t="str">
        <f t="shared" si="175"/>
        <v/>
      </c>
      <c r="CD278" s="1457" t="str">
        <f t="shared" si="181"/>
        <v/>
      </c>
      <c r="CE278" s="1457" t="str">
        <f t="shared" si="176"/>
        <v/>
      </c>
      <c r="CF278" s="1457"/>
      <c r="CG278" s="1457" t="str">
        <f t="shared" si="177"/>
        <v/>
      </c>
      <c r="DA278" s="1458">
        <f t="shared" si="182"/>
        <v>0</v>
      </c>
      <c r="DB278" s="1458"/>
      <c r="DC278" s="1458"/>
      <c r="DD278" s="1458">
        <f t="shared" si="183"/>
        <v>0</v>
      </c>
      <c r="DE278" s="1458">
        <f t="shared" si="178"/>
        <v>0</v>
      </c>
      <c r="DF278" s="1458"/>
      <c r="DG278" s="1458">
        <f t="shared" si="179"/>
        <v>0</v>
      </c>
    </row>
    <row r="279" spans="1:111" ht="16.350000000000001" customHeight="1" x14ac:dyDescent="0.2">
      <c r="A279" s="9380"/>
      <c r="B279" s="9392" t="s">
        <v>1050</v>
      </c>
      <c r="C279" s="9392"/>
      <c r="D279" s="5181">
        <f t="shared" si="185"/>
        <v>0</v>
      </c>
      <c r="E279" s="5242">
        <f t="shared" si="184"/>
        <v>0</v>
      </c>
      <c r="F279" s="5243">
        <f t="shared" si="184"/>
        <v>0</v>
      </c>
      <c r="G279" s="5204"/>
      <c r="H279" s="1861"/>
      <c r="I279" s="5246"/>
      <c r="J279" s="1861"/>
      <c r="K279" s="5246"/>
      <c r="L279" s="1861"/>
      <c r="M279" s="5246"/>
      <c r="N279" s="1861"/>
      <c r="O279" s="5246"/>
      <c r="P279" s="1861"/>
      <c r="Q279" s="5246"/>
      <c r="R279" s="1861"/>
      <c r="S279" s="5246"/>
      <c r="T279" s="1861"/>
      <c r="U279" s="5246"/>
      <c r="V279" s="1861"/>
      <c r="W279" s="5246"/>
      <c r="X279" s="1861"/>
      <c r="Y279" s="5214"/>
      <c r="Z279" s="2988"/>
      <c r="AA279" s="5214"/>
      <c r="AB279" s="2988"/>
      <c r="AC279" s="5214"/>
      <c r="AD279" s="2988"/>
      <c r="AE279" s="5214"/>
      <c r="AF279" s="2988"/>
      <c r="AG279" s="5214"/>
      <c r="AH279" s="2988"/>
      <c r="AI279" s="5214"/>
      <c r="AJ279" s="2988"/>
      <c r="AK279" s="5214"/>
      <c r="AL279" s="2988"/>
      <c r="AM279" s="5214"/>
      <c r="AN279" s="2988"/>
      <c r="AO279" s="1856"/>
      <c r="AP279" s="1857"/>
      <c r="AQ279" s="5204"/>
      <c r="AR279" s="5225"/>
      <c r="AS279" s="5225"/>
      <c r="AT279" s="5214"/>
      <c r="AU279" s="5214"/>
      <c r="AV279" s="5215"/>
      <c r="AW279" s="5215"/>
      <c r="AX279" s="1854"/>
      <c r="AY279" s="5315" t="str">
        <f t="shared" si="173"/>
        <v/>
      </c>
      <c r="BU279" s="1452"/>
      <c r="BV279" s="1452"/>
      <c r="BW279" s="1460"/>
      <c r="CA279" s="1457" t="str">
        <f t="shared" si="174"/>
        <v/>
      </c>
      <c r="CB279" s="1457" t="str">
        <f t="shared" si="180"/>
        <v/>
      </c>
      <c r="CC279" s="1457" t="str">
        <f t="shared" si="175"/>
        <v/>
      </c>
      <c r="CD279" s="1457" t="str">
        <f t="shared" si="181"/>
        <v/>
      </c>
      <c r="CE279" s="1457" t="str">
        <f t="shared" si="176"/>
        <v/>
      </c>
      <c r="CF279" s="1457"/>
      <c r="CG279" s="1457" t="str">
        <f t="shared" si="177"/>
        <v/>
      </c>
      <c r="DA279" s="1458">
        <f t="shared" si="182"/>
        <v>0</v>
      </c>
      <c r="DB279" s="1458"/>
      <c r="DC279" s="1458"/>
      <c r="DD279" s="1458">
        <f t="shared" si="183"/>
        <v>0</v>
      </c>
      <c r="DE279" s="1458">
        <f t="shared" si="178"/>
        <v>0</v>
      </c>
      <c r="DF279" s="1458"/>
      <c r="DG279" s="1458">
        <f t="shared" si="179"/>
        <v>0</v>
      </c>
    </row>
    <row r="280" spans="1:111" ht="16.350000000000001" customHeight="1" x14ac:dyDescent="0.2">
      <c r="A280" s="9380"/>
      <c r="B280" s="9392" t="s">
        <v>1049</v>
      </c>
      <c r="C280" s="9392"/>
      <c r="D280" s="5181">
        <f t="shared" si="185"/>
        <v>0</v>
      </c>
      <c r="E280" s="5255">
        <f t="shared" si="184"/>
        <v>0</v>
      </c>
      <c r="F280" s="5256">
        <f t="shared" si="184"/>
        <v>0</v>
      </c>
      <c r="G280" s="5204"/>
      <c r="H280" s="1861"/>
      <c r="I280" s="5246"/>
      <c r="J280" s="1861"/>
      <c r="K280" s="5246"/>
      <c r="L280" s="1861"/>
      <c r="M280" s="5246"/>
      <c r="N280" s="1861"/>
      <c r="O280" s="5246"/>
      <c r="P280" s="1861"/>
      <c r="Q280" s="5246"/>
      <c r="R280" s="1861"/>
      <c r="S280" s="5246"/>
      <c r="T280" s="1861"/>
      <c r="U280" s="5246"/>
      <c r="V280" s="1861"/>
      <c r="W280" s="5246"/>
      <c r="X280" s="1861"/>
      <c r="Y280" s="5214"/>
      <c r="Z280" s="2988"/>
      <c r="AA280" s="5214"/>
      <c r="AB280" s="2988"/>
      <c r="AC280" s="5214"/>
      <c r="AD280" s="2988"/>
      <c r="AE280" s="5214"/>
      <c r="AF280" s="2988"/>
      <c r="AG280" s="5214"/>
      <c r="AH280" s="2988"/>
      <c r="AI280" s="5214"/>
      <c r="AJ280" s="2988"/>
      <c r="AK280" s="5214"/>
      <c r="AL280" s="2988"/>
      <c r="AM280" s="5214"/>
      <c r="AN280" s="2988"/>
      <c r="AO280" s="3857"/>
      <c r="AP280" s="3858"/>
      <c r="AQ280" s="5204"/>
      <c r="AR280" s="5225"/>
      <c r="AS280" s="5225"/>
      <c r="AT280" s="3856"/>
      <c r="AU280" s="3856"/>
      <c r="AV280" s="5219"/>
      <c r="AW280" s="5219"/>
      <c r="AX280" s="3855"/>
      <c r="AY280" s="5315" t="str">
        <f t="shared" si="173"/>
        <v/>
      </c>
      <c r="BU280" s="1452"/>
      <c r="BV280" s="1452"/>
      <c r="BW280" s="1460"/>
      <c r="CA280" s="1457" t="str">
        <f t="shared" si="174"/>
        <v/>
      </c>
      <c r="CB280" s="1457" t="str">
        <f t="shared" si="180"/>
        <v/>
      </c>
      <c r="CC280" s="1457" t="str">
        <f t="shared" si="175"/>
        <v/>
      </c>
      <c r="CD280" s="1457" t="str">
        <f t="shared" si="181"/>
        <v/>
      </c>
      <c r="CE280" s="1457" t="str">
        <f t="shared" si="176"/>
        <v/>
      </c>
      <c r="CF280" s="1457"/>
      <c r="CG280" s="1457" t="str">
        <f t="shared" si="177"/>
        <v/>
      </c>
      <c r="DA280" s="1458">
        <f t="shared" si="182"/>
        <v>0</v>
      </c>
      <c r="DB280" s="1458"/>
      <c r="DC280" s="1458"/>
      <c r="DD280" s="1458">
        <f t="shared" si="183"/>
        <v>0</v>
      </c>
      <c r="DE280" s="1458">
        <f t="shared" si="178"/>
        <v>0</v>
      </c>
      <c r="DF280" s="1458"/>
      <c r="DG280" s="1458">
        <f t="shared" si="179"/>
        <v>0</v>
      </c>
    </row>
    <row r="281" spans="1:111" ht="16.350000000000001" customHeight="1" x14ac:dyDescent="0.2">
      <c r="A281" s="9380"/>
      <c r="B281" s="9419" t="s">
        <v>2135</v>
      </c>
      <c r="C281" s="9420"/>
      <c r="D281" s="5181">
        <f t="shared" si="185"/>
        <v>0</v>
      </c>
      <c r="E281" s="5255">
        <f t="shared" si="184"/>
        <v>0</v>
      </c>
      <c r="F281" s="5256">
        <f t="shared" si="184"/>
        <v>0</v>
      </c>
      <c r="G281" s="3880"/>
      <c r="H281" s="3881"/>
      <c r="I281" s="3882"/>
      <c r="J281" s="3881"/>
      <c r="K281" s="3882"/>
      <c r="L281" s="3881"/>
      <c r="M281" s="3882"/>
      <c r="N281" s="3881"/>
      <c r="O281" s="3882"/>
      <c r="P281" s="3881"/>
      <c r="Q281" s="3882"/>
      <c r="R281" s="3881"/>
      <c r="S281" s="3882"/>
      <c r="T281" s="3881"/>
      <c r="U281" s="3882"/>
      <c r="V281" s="3881"/>
      <c r="W281" s="3882"/>
      <c r="X281" s="3881"/>
      <c r="Y281" s="3856"/>
      <c r="Z281" s="5217"/>
      <c r="AA281" s="3856"/>
      <c r="AB281" s="5217"/>
      <c r="AC281" s="3856"/>
      <c r="AD281" s="5217"/>
      <c r="AE281" s="3856"/>
      <c r="AF281" s="5217"/>
      <c r="AG281" s="3856"/>
      <c r="AH281" s="5217"/>
      <c r="AI281" s="3856"/>
      <c r="AJ281" s="5217"/>
      <c r="AK281" s="3856"/>
      <c r="AL281" s="5217"/>
      <c r="AM281" s="3856"/>
      <c r="AN281" s="5217"/>
      <c r="AO281" s="3857"/>
      <c r="AP281" s="3858"/>
      <c r="AQ281" s="5218"/>
      <c r="AR281" s="5233"/>
      <c r="AS281" s="3859"/>
      <c r="AT281" s="3856"/>
      <c r="AU281" s="3856"/>
      <c r="AV281" s="5219"/>
      <c r="AW281" s="5219"/>
      <c r="AX281" s="3855"/>
      <c r="AY281" s="5315" t="str">
        <f t="shared" si="173"/>
        <v/>
      </c>
      <c r="BU281" s="1452"/>
      <c r="BV281" s="1452"/>
      <c r="BW281" s="1460"/>
      <c r="CA281" s="1457" t="str">
        <f t="shared" si="174"/>
        <v/>
      </c>
      <c r="CB281" s="1457" t="str">
        <f t="shared" si="180"/>
        <v/>
      </c>
      <c r="CC281" s="1457" t="str">
        <f t="shared" si="175"/>
        <v/>
      </c>
      <c r="CD281" s="1457" t="str">
        <f t="shared" si="181"/>
        <v/>
      </c>
      <c r="CE281" s="1457" t="str">
        <f t="shared" si="176"/>
        <v/>
      </c>
      <c r="CF281" s="1457"/>
      <c r="CG281" s="1457" t="str">
        <f t="shared" si="177"/>
        <v/>
      </c>
      <c r="DA281" s="1458">
        <f t="shared" si="182"/>
        <v>0</v>
      </c>
      <c r="DB281" s="1458"/>
      <c r="DC281" s="1458"/>
      <c r="DD281" s="1458">
        <f t="shared" si="183"/>
        <v>0</v>
      </c>
      <c r="DE281" s="1458">
        <f t="shared" si="178"/>
        <v>0</v>
      </c>
      <c r="DF281" s="1458"/>
      <c r="DG281" s="1458">
        <f t="shared" si="179"/>
        <v>0</v>
      </c>
    </row>
    <row r="282" spans="1:111" ht="16.350000000000001" customHeight="1" x14ac:dyDescent="0.2">
      <c r="A282" s="9381"/>
      <c r="B282" s="9468" t="s">
        <v>1048</v>
      </c>
      <c r="C282" s="9468"/>
      <c r="D282" s="5230">
        <f t="shared" si="185"/>
        <v>0</v>
      </c>
      <c r="E282" s="3864">
        <f t="shared" si="184"/>
        <v>0</v>
      </c>
      <c r="F282" s="3883">
        <f t="shared" si="184"/>
        <v>0</v>
      </c>
      <c r="G282" s="5232"/>
      <c r="H282" s="3884"/>
      <c r="I282" s="3885"/>
      <c r="J282" s="3884"/>
      <c r="K282" s="3885"/>
      <c r="L282" s="3884"/>
      <c r="M282" s="3885"/>
      <c r="N282" s="3884"/>
      <c r="O282" s="3885"/>
      <c r="P282" s="3884"/>
      <c r="Q282" s="3885"/>
      <c r="R282" s="3884"/>
      <c r="S282" s="3885"/>
      <c r="T282" s="3884"/>
      <c r="U282" s="3885"/>
      <c r="V282" s="3884"/>
      <c r="W282" s="3885"/>
      <c r="X282" s="3884"/>
      <c r="Y282" s="3849"/>
      <c r="Z282" s="3204"/>
      <c r="AA282" s="3849"/>
      <c r="AB282" s="3204"/>
      <c r="AC282" s="3849"/>
      <c r="AD282" s="3204"/>
      <c r="AE282" s="3849"/>
      <c r="AF282" s="3204"/>
      <c r="AG282" s="3849"/>
      <c r="AH282" s="3204"/>
      <c r="AI282" s="3849"/>
      <c r="AJ282" s="3204"/>
      <c r="AK282" s="3849"/>
      <c r="AL282" s="3204"/>
      <c r="AM282" s="3849"/>
      <c r="AN282" s="3204"/>
      <c r="AO282" s="3850"/>
      <c r="AP282" s="3851"/>
      <c r="AQ282" s="5222"/>
      <c r="AR282" s="5235"/>
      <c r="AS282" s="3861"/>
      <c r="AT282" s="3849"/>
      <c r="AU282" s="3849"/>
      <c r="AV282" s="5209"/>
      <c r="AW282" s="5209"/>
      <c r="AX282" s="3848"/>
      <c r="AY282" s="5315" t="str">
        <f t="shared" si="173"/>
        <v/>
      </c>
      <c r="BU282" s="1452"/>
      <c r="BV282" s="1452"/>
      <c r="BW282" s="1460"/>
      <c r="CA282" s="1457" t="str">
        <f t="shared" si="174"/>
        <v/>
      </c>
      <c r="CB282" s="1457" t="str">
        <f t="shared" si="180"/>
        <v/>
      </c>
      <c r="CC282" s="1457" t="str">
        <f t="shared" si="175"/>
        <v/>
      </c>
      <c r="CD282" s="1457" t="str">
        <f t="shared" si="181"/>
        <v/>
      </c>
      <c r="CE282" s="1457" t="str">
        <f t="shared" si="176"/>
        <v/>
      </c>
      <c r="CF282" s="1457"/>
      <c r="CG282" s="1457" t="str">
        <f t="shared" si="177"/>
        <v/>
      </c>
      <c r="DA282" s="1458">
        <f t="shared" si="182"/>
        <v>0</v>
      </c>
      <c r="DB282" s="1458"/>
      <c r="DC282" s="1458"/>
      <c r="DD282" s="1458">
        <f t="shared" si="183"/>
        <v>0</v>
      </c>
      <c r="DE282" s="1458">
        <f t="shared" si="178"/>
        <v>0</v>
      </c>
      <c r="DF282" s="1458"/>
      <c r="DG282" s="1458">
        <f t="shared" si="179"/>
        <v>0</v>
      </c>
    </row>
    <row r="283" spans="1:111" ht="16.350000000000001" customHeight="1" x14ac:dyDescent="0.2">
      <c r="A283" s="9501" t="s">
        <v>1026</v>
      </c>
      <c r="B283" s="9460" t="s">
        <v>1052</v>
      </c>
      <c r="C283" s="9460"/>
      <c r="D283" s="3342">
        <f t="shared" si="185"/>
        <v>0</v>
      </c>
      <c r="E283" s="3621">
        <f t="shared" ref="E283:F300" si="186">SUM(G283+I283+K283+M283+O283+Q283+S283+U283+W283+Y283+AA283+AC283+AE283+AG283+AI283+AK283+AM283)</f>
        <v>0</v>
      </c>
      <c r="F283" s="5210">
        <f t="shared" si="186"/>
        <v>0</v>
      </c>
      <c r="G283" s="3630"/>
      <c r="H283" s="3852"/>
      <c r="I283" s="5211"/>
      <c r="J283" s="3852"/>
      <c r="K283" s="5211"/>
      <c r="L283" s="3852"/>
      <c r="M283" s="5211"/>
      <c r="N283" s="3852"/>
      <c r="O283" s="5211"/>
      <c r="P283" s="3852"/>
      <c r="Q283" s="5211"/>
      <c r="R283" s="3852"/>
      <c r="S283" s="5211"/>
      <c r="T283" s="3852"/>
      <c r="U283" s="5211"/>
      <c r="V283" s="2987"/>
      <c r="W283" s="5211"/>
      <c r="X283" s="2987"/>
      <c r="Y283" s="5211"/>
      <c r="Z283" s="2987"/>
      <c r="AA283" s="5211"/>
      <c r="AB283" s="2987"/>
      <c r="AC283" s="5211"/>
      <c r="AD283" s="2987"/>
      <c r="AE283" s="5211"/>
      <c r="AF283" s="2987"/>
      <c r="AG283" s="5211"/>
      <c r="AH283" s="2987"/>
      <c r="AI283" s="5211"/>
      <c r="AJ283" s="2987"/>
      <c r="AK283" s="5211"/>
      <c r="AL283" s="2987"/>
      <c r="AM283" s="5211"/>
      <c r="AN283" s="2987"/>
      <c r="AO283" s="3853"/>
      <c r="AP283" s="1852"/>
      <c r="AQ283" s="3630"/>
      <c r="AR283" s="3854"/>
      <c r="AS283" s="5198"/>
      <c r="AT283" s="5211"/>
      <c r="AU283" s="5211"/>
      <c r="AV283" s="3854"/>
      <c r="AW283" s="3854"/>
      <c r="AX283" s="3852"/>
      <c r="AY283" s="5315" t="str">
        <f t="shared" si="173"/>
        <v/>
      </c>
      <c r="BU283" s="1452"/>
      <c r="BV283" s="1452"/>
      <c r="BW283" s="1460"/>
      <c r="CA283" s="1457" t="str">
        <f t="shared" si="174"/>
        <v/>
      </c>
      <c r="CB283" s="1457" t="str">
        <f t="shared" si="180"/>
        <v/>
      </c>
      <c r="CC283" s="1457" t="str">
        <f t="shared" si="175"/>
        <v/>
      </c>
      <c r="CD283" s="1457" t="str">
        <f t="shared" si="181"/>
        <v/>
      </c>
      <c r="CE283" s="1457" t="str">
        <f t="shared" si="176"/>
        <v/>
      </c>
      <c r="CF283" s="1457"/>
      <c r="CG283" s="1457" t="str">
        <f t="shared" si="177"/>
        <v/>
      </c>
      <c r="DA283" s="1458">
        <f t="shared" si="182"/>
        <v>0</v>
      </c>
      <c r="DB283" s="1458">
        <f>IF(D283&lt;AQ283,1,0)</f>
        <v>0</v>
      </c>
      <c r="DC283" s="1458">
        <f>IF(D283&lt;AR283,1,0)</f>
        <v>0</v>
      </c>
      <c r="DD283" s="1458">
        <f t="shared" si="183"/>
        <v>0</v>
      </c>
      <c r="DE283" s="1458">
        <f t="shared" si="178"/>
        <v>0</v>
      </c>
      <c r="DF283" s="1458"/>
      <c r="DG283" s="1458">
        <f t="shared" si="179"/>
        <v>0</v>
      </c>
    </row>
    <row r="284" spans="1:111" ht="16.350000000000001" customHeight="1" x14ac:dyDescent="0.2">
      <c r="A284" s="8274"/>
      <c r="B284" s="9392" t="s">
        <v>1051</v>
      </c>
      <c r="C284" s="9392"/>
      <c r="D284" s="5181">
        <f t="shared" si="185"/>
        <v>0</v>
      </c>
      <c r="E284" s="3144">
        <f t="shared" si="186"/>
        <v>0</v>
      </c>
      <c r="F284" s="5212">
        <f t="shared" si="186"/>
        <v>0</v>
      </c>
      <c r="G284" s="5213"/>
      <c r="H284" s="1854"/>
      <c r="I284" s="5214"/>
      <c r="J284" s="1854"/>
      <c r="K284" s="5214"/>
      <c r="L284" s="1854"/>
      <c r="M284" s="5214"/>
      <c r="N284" s="1854"/>
      <c r="O284" s="5214"/>
      <c r="P284" s="1854"/>
      <c r="Q284" s="5214"/>
      <c r="R284" s="1854"/>
      <c r="S284" s="5214"/>
      <c r="T284" s="1854"/>
      <c r="U284" s="5214"/>
      <c r="V284" s="2988"/>
      <c r="W284" s="5214"/>
      <c r="X284" s="2988"/>
      <c r="Y284" s="5214"/>
      <c r="Z284" s="2988"/>
      <c r="AA284" s="5214"/>
      <c r="AB284" s="2988"/>
      <c r="AC284" s="5214"/>
      <c r="AD284" s="2988"/>
      <c r="AE284" s="5214"/>
      <c r="AF284" s="2988"/>
      <c r="AG284" s="5214"/>
      <c r="AH284" s="2988"/>
      <c r="AI284" s="5214"/>
      <c r="AJ284" s="2988"/>
      <c r="AK284" s="5214"/>
      <c r="AL284" s="2988"/>
      <c r="AM284" s="5214"/>
      <c r="AN284" s="2988"/>
      <c r="AO284" s="1856"/>
      <c r="AP284" s="1857"/>
      <c r="AQ284" s="5204"/>
      <c r="AR284" s="5225"/>
      <c r="AS284" s="3630"/>
      <c r="AT284" s="5214"/>
      <c r="AU284" s="5214"/>
      <c r="AV284" s="5215"/>
      <c r="AW284" s="5215"/>
      <c r="AX284" s="1854"/>
      <c r="AY284" s="5315" t="str">
        <f t="shared" si="173"/>
        <v/>
      </c>
      <c r="BU284" s="1452"/>
      <c r="BV284" s="1452"/>
      <c r="BW284" s="1460"/>
      <c r="CA284" s="1457" t="str">
        <f t="shared" si="174"/>
        <v/>
      </c>
      <c r="CB284" s="1457" t="str">
        <f t="shared" si="180"/>
        <v/>
      </c>
      <c r="CC284" s="1457" t="str">
        <f t="shared" si="175"/>
        <v/>
      </c>
      <c r="CD284" s="1457" t="str">
        <f t="shared" si="181"/>
        <v/>
      </c>
      <c r="CE284" s="1457" t="str">
        <f t="shared" si="176"/>
        <v/>
      </c>
      <c r="CF284" s="1457"/>
      <c r="CG284" s="1457" t="str">
        <f t="shared" si="177"/>
        <v/>
      </c>
      <c r="DA284" s="1458">
        <f t="shared" si="182"/>
        <v>0</v>
      </c>
      <c r="DB284" s="1458"/>
      <c r="DC284" s="1458"/>
      <c r="DD284" s="1458">
        <f t="shared" si="183"/>
        <v>0</v>
      </c>
      <c r="DE284" s="1458">
        <f t="shared" si="178"/>
        <v>0</v>
      </c>
      <c r="DF284" s="1458"/>
      <c r="DG284" s="1458">
        <f t="shared" si="179"/>
        <v>0</v>
      </c>
    </row>
    <row r="285" spans="1:111" ht="16.350000000000001" customHeight="1" x14ac:dyDescent="0.2">
      <c r="A285" s="8274"/>
      <c r="B285" s="9392" t="s">
        <v>1050</v>
      </c>
      <c r="C285" s="9392"/>
      <c r="D285" s="5181">
        <f t="shared" si="185"/>
        <v>0</v>
      </c>
      <c r="E285" s="3144">
        <f t="shared" si="186"/>
        <v>0</v>
      </c>
      <c r="F285" s="5212">
        <f t="shared" si="186"/>
        <v>0</v>
      </c>
      <c r="G285" s="5213"/>
      <c r="H285" s="1854"/>
      <c r="I285" s="5214"/>
      <c r="J285" s="1854"/>
      <c r="K285" s="5214"/>
      <c r="L285" s="1854"/>
      <c r="M285" s="5214"/>
      <c r="N285" s="1854"/>
      <c r="O285" s="5214"/>
      <c r="P285" s="1854"/>
      <c r="Q285" s="5214"/>
      <c r="R285" s="1854"/>
      <c r="S285" s="5214"/>
      <c r="T285" s="1854"/>
      <c r="U285" s="5214"/>
      <c r="V285" s="2988"/>
      <c r="W285" s="5214"/>
      <c r="X285" s="2988"/>
      <c r="Y285" s="5214"/>
      <c r="Z285" s="2988"/>
      <c r="AA285" s="5214"/>
      <c r="AB285" s="2988"/>
      <c r="AC285" s="5214"/>
      <c r="AD285" s="2988"/>
      <c r="AE285" s="5214"/>
      <c r="AF285" s="2988"/>
      <c r="AG285" s="5214"/>
      <c r="AH285" s="2988"/>
      <c r="AI285" s="5214"/>
      <c r="AJ285" s="2988"/>
      <c r="AK285" s="5214"/>
      <c r="AL285" s="2988"/>
      <c r="AM285" s="5214"/>
      <c r="AN285" s="2988"/>
      <c r="AO285" s="1856"/>
      <c r="AP285" s="1857"/>
      <c r="AQ285" s="5204"/>
      <c r="AR285" s="5225"/>
      <c r="AS285" s="5225"/>
      <c r="AT285" s="5214"/>
      <c r="AU285" s="5214"/>
      <c r="AV285" s="5215"/>
      <c r="AW285" s="5215"/>
      <c r="AX285" s="1854"/>
      <c r="AY285" s="5315" t="str">
        <f t="shared" ref="AY285:AY300" si="187">$CA285&amp;$CB285&amp;$CC285&amp;$CD285&amp;$CE285&amp;$CF285&amp;$CG285</f>
        <v/>
      </c>
      <c r="BU285" s="1452"/>
      <c r="BV285" s="1452"/>
      <c r="BW285" s="1460"/>
      <c r="CA285" s="1457" t="str">
        <f t="shared" ref="CA285:CA300" si="188">IF(DA285=1,"* El número de pacientes de 60 años NO DEBE Ser mayor a lo registrado en el grupo Etario 60-64 años. ","")</f>
        <v/>
      </c>
      <c r="CB285" s="1457" t="str">
        <f t="shared" si="180"/>
        <v/>
      </c>
      <c r="CC285" s="1457" t="str">
        <f t="shared" ref="CC285:CC300" si="189">IF(DC285=1,"* La consulta pertinente según condición clínica NO DEBE ser mayor al Total registrado. ","")</f>
        <v/>
      </c>
      <c r="CD285" s="1457" t="str">
        <f t="shared" si="181"/>
        <v/>
      </c>
      <c r="CE285" s="1457" t="str">
        <f t="shared" ref="CE285:CE300" si="190">IF(AND($D285&lt;&gt;0,AV285=""),"* No olvide digitar la columna Usuarios en Situación de Discapacidad (Digite CEROS si no tiene). ",IF($D285&lt;AV285,"* Los Usuarios en Situación de Discapacidad NO DEBEN ser mayor al total. ",""))</f>
        <v/>
      </c>
      <c r="CF285" s="1457"/>
      <c r="CG285" s="1457" t="str">
        <f t="shared" ref="CG285:CG300" si="191">IF(AND($D285&lt;&gt;0,AX285=""),"* No olvide digitar la columna Migrantes (Digite CEROS si no tiene). ",IF($D285&lt;AX285,"* Los Migrantes NO DEBEN ser mayor al total. ",""))</f>
        <v/>
      </c>
      <c r="DA285" s="1458">
        <f t="shared" si="182"/>
        <v>0</v>
      </c>
      <c r="DB285" s="1458"/>
      <c r="DC285" s="1458"/>
      <c r="DD285" s="1458">
        <f t="shared" si="183"/>
        <v>0</v>
      </c>
      <c r="DE285" s="1458">
        <f t="shared" ref="DE285:DE300" si="192">IF(AND($D285&lt;&gt;0,AV285=""),1,IF($D285&lt;AV285,1,0))</f>
        <v>0</v>
      </c>
      <c r="DF285" s="1458"/>
      <c r="DG285" s="1458">
        <f t="shared" ref="DG285:DG300" si="193">IF(AND($D285&lt;&gt;0,AX285=""),1,IF($D285&lt;AX285,1,0))</f>
        <v>0</v>
      </c>
    </row>
    <row r="286" spans="1:111" ht="16.350000000000001" customHeight="1" x14ac:dyDescent="0.2">
      <c r="A286" s="8274"/>
      <c r="B286" s="9392" t="s">
        <v>1049</v>
      </c>
      <c r="C286" s="9392"/>
      <c r="D286" s="5181">
        <f t="shared" si="185"/>
        <v>0</v>
      </c>
      <c r="E286" s="3144">
        <f t="shared" si="186"/>
        <v>0</v>
      </c>
      <c r="F286" s="5212">
        <f t="shared" si="186"/>
        <v>0</v>
      </c>
      <c r="G286" s="5216"/>
      <c r="H286" s="3855"/>
      <c r="I286" s="3856"/>
      <c r="J286" s="3855"/>
      <c r="K286" s="3856"/>
      <c r="L286" s="3855"/>
      <c r="M286" s="3856"/>
      <c r="N286" s="3855"/>
      <c r="O286" s="3856"/>
      <c r="P286" s="3855"/>
      <c r="Q286" s="3856"/>
      <c r="R286" s="3855"/>
      <c r="S286" s="3856"/>
      <c r="T286" s="3855"/>
      <c r="U286" s="3856"/>
      <c r="V286" s="5217"/>
      <c r="W286" s="3856"/>
      <c r="X286" s="5217"/>
      <c r="Y286" s="3856"/>
      <c r="Z286" s="5217"/>
      <c r="AA286" s="3856"/>
      <c r="AB286" s="5217"/>
      <c r="AC286" s="3856"/>
      <c r="AD286" s="5217"/>
      <c r="AE286" s="3856"/>
      <c r="AF286" s="5217"/>
      <c r="AG286" s="3856"/>
      <c r="AH286" s="5217"/>
      <c r="AI286" s="3856"/>
      <c r="AJ286" s="5217"/>
      <c r="AK286" s="3856"/>
      <c r="AL286" s="5217"/>
      <c r="AM286" s="3856"/>
      <c r="AN286" s="5217"/>
      <c r="AO286" s="3857"/>
      <c r="AP286" s="3858"/>
      <c r="AQ286" s="5204"/>
      <c r="AR286" s="5225"/>
      <c r="AS286" s="5225"/>
      <c r="AT286" s="3856"/>
      <c r="AU286" s="3856"/>
      <c r="AV286" s="5219"/>
      <c r="AW286" s="5219"/>
      <c r="AX286" s="3855"/>
      <c r="AY286" s="5315" t="str">
        <f t="shared" si="187"/>
        <v/>
      </c>
      <c r="BU286" s="1452"/>
      <c r="BV286" s="1452"/>
      <c r="BW286" s="1460"/>
      <c r="CA286" s="1457" t="str">
        <f t="shared" si="188"/>
        <v/>
      </c>
      <c r="CB286" s="1457" t="str">
        <f t="shared" si="180"/>
        <v/>
      </c>
      <c r="CC286" s="1457" t="str">
        <f t="shared" si="189"/>
        <v/>
      </c>
      <c r="CD286" s="1457" t="str">
        <f t="shared" si="181"/>
        <v/>
      </c>
      <c r="CE286" s="1457" t="str">
        <f t="shared" si="190"/>
        <v/>
      </c>
      <c r="CF286" s="1457"/>
      <c r="CG286" s="1457" t="str">
        <f t="shared" si="191"/>
        <v/>
      </c>
      <c r="DA286" s="1458">
        <f t="shared" si="182"/>
        <v>0</v>
      </c>
      <c r="DB286" s="1458"/>
      <c r="DC286" s="1458"/>
      <c r="DD286" s="1458">
        <f t="shared" si="183"/>
        <v>0</v>
      </c>
      <c r="DE286" s="1458">
        <f t="shared" si="192"/>
        <v>0</v>
      </c>
      <c r="DF286" s="1458"/>
      <c r="DG286" s="1458">
        <f t="shared" si="193"/>
        <v>0</v>
      </c>
    </row>
    <row r="287" spans="1:111" ht="16.350000000000001" customHeight="1" x14ac:dyDescent="0.2">
      <c r="A287" s="8274"/>
      <c r="B287" s="9419" t="s">
        <v>2135</v>
      </c>
      <c r="C287" s="9420"/>
      <c r="D287" s="5181">
        <f t="shared" si="185"/>
        <v>0</v>
      </c>
      <c r="E287" s="3144">
        <f t="shared" si="186"/>
        <v>0</v>
      </c>
      <c r="F287" s="5212">
        <f t="shared" si="186"/>
        <v>0</v>
      </c>
      <c r="G287" s="5216"/>
      <c r="H287" s="3855"/>
      <c r="I287" s="3856"/>
      <c r="J287" s="3855"/>
      <c r="K287" s="3856"/>
      <c r="L287" s="3855"/>
      <c r="M287" s="3856"/>
      <c r="N287" s="3855"/>
      <c r="O287" s="3856"/>
      <c r="P287" s="3855"/>
      <c r="Q287" s="3856"/>
      <c r="R287" s="3855"/>
      <c r="S287" s="3856"/>
      <c r="T287" s="3855"/>
      <c r="U287" s="3856"/>
      <c r="V287" s="5217"/>
      <c r="W287" s="3856"/>
      <c r="X287" s="5217"/>
      <c r="Y287" s="3856"/>
      <c r="Z287" s="5217"/>
      <c r="AA287" s="3856"/>
      <c r="AB287" s="5217"/>
      <c r="AC287" s="3856"/>
      <c r="AD287" s="5217"/>
      <c r="AE287" s="3856"/>
      <c r="AF287" s="5217"/>
      <c r="AG287" s="3856"/>
      <c r="AH287" s="5217"/>
      <c r="AI287" s="3856"/>
      <c r="AJ287" s="5217"/>
      <c r="AK287" s="3856"/>
      <c r="AL287" s="5217"/>
      <c r="AM287" s="3856"/>
      <c r="AN287" s="5217"/>
      <c r="AO287" s="3857"/>
      <c r="AP287" s="3858"/>
      <c r="AQ287" s="5218"/>
      <c r="AR287" s="5233"/>
      <c r="AS287" s="3859"/>
      <c r="AT287" s="3856"/>
      <c r="AU287" s="3856"/>
      <c r="AV287" s="5219"/>
      <c r="AW287" s="5219"/>
      <c r="AX287" s="3855"/>
      <c r="AY287" s="5315" t="str">
        <f t="shared" si="187"/>
        <v/>
      </c>
      <c r="BU287" s="1452"/>
      <c r="BV287" s="1452"/>
      <c r="BW287" s="1460"/>
      <c r="CA287" s="1457" t="str">
        <f t="shared" si="188"/>
        <v/>
      </c>
      <c r="CB287" s="1457" t="str">
        <f t="shared" si="180"/>
        <v/>
      </c>
      <c r="CC287" s="1457" t="str">
        <f t="shared" si="189"/>
        <v/>
      </c>
      <c r="CD287" s="1457" t="str">
        <f t="shared" si="181"/>
        <v/>
      </c>
      <c r="CE287" s="1457" t="str">
        <f t="shared" si="190"/>
        <v/>
      </c>
      <c r="CF287" s="1457"/>
      <c r="CG287" s="1457" t="str">
        <f t="shared" si="191"/>
        <v/>
      </c>
      <c r="DA287" s="1458">
        <f t="shared" si="182"/>
        <v>0</v>
      </c>
      <c r="DB287" s="1458"/>
      <c r="DC287" s="1458"/>
      <c r="DD287" s="1458">
        <f t="shared" si="183"/>
        <v>0</v>
      </c>
      <c r="DE287" s="1458">
        <f t="shared" si="192"/>
        <v>0</v>
      </c>
      <c r="DF287" s="1458"/>
      <c r="DG287" s="1458">
        <f t="shared" si="193"/>
        <v>0</v>
      </c>
    </row>
    <row r="288" spans="1:111" ht="16.350000000000001" customHeight="1" x14ac:dyDescent="0.2">
      <c r="A288" s="9302"/>
      <c r="B288" s="9468" t="s">
        <v>1048</v>
      </c>
      <c r="C288" s="9468"/>
      <c r="D288" s="5220">
        <f t="shared" si="185"/>
        <v>0</v>
      </c>
      <c r="E288" s="5221">
        <f t="shared" si="186"/>
        <v>0</v>
      </c>
      <c r="F288" s="3860">
        <f t="shared" si="186"/>
        <v>0</v>
      </c>
      <c r="G288" s="3335"/>
      <c r="H288" s="3848"/>
      <c r="I288" s="3849"/>
      <c r="J288" s="3848"/>
      <c r="K288" s="3849"/>
      <c r="L288" s="3848"/>
      <c r="M288" s="3849"/>
      <c r="N288" s="3848"/>
      <c r="O288" s="3849"/>
      <c r="P288" s="3848"/>
      <c r="Q288" s="3849"/>
      <c r="R288" s="3848"/>
      <c r="S288" s="3849"/>
      <c r="T288" s="3848"/>
      <c r="U288" s="3849"/>
      <c r="V288" s="3204"/>
      <c r="W288" s="3849"/>
      <c r="X288" s="3204"/>
      <c r="Y288" s="3849"/>
      <c r="Z288" s="3204"/>
      <c r="AA288" s="3849"/>
      <c r="AB288" s="3204"/>
      <c r="AC288" s="3849"/>
      <c r="AD288" s="3204"/>
      <c r="AE288" s="3849"/>
      <c r="AF288" s="3204"/>
      <c r="AG288" s="3849"/>
      <c r="AH288" s="3204"/>
      <c r="AI288" s="3849"/>
      <c r="AJ288" s="3204"/>
      <c r="AK288" s="3849"/>
      <c r="AL288" s="3204"/>
      <c r="AM288" s="3849"/>
      <c r="AN288" s="3204"/>
      <c r="AO288" s="3850"/>
      <c r="AP288" s="3851"/>
      <c r="AQ288" s="5222"/>
      <c r="AR288" s="5235"/>
      <c r="AS288" s="3861"/>
      <c r="AT288" s="3849"/>
      <c r="AU288" s="3849"/>
      <c r="AV288" s="5209"/>
      <c r="AW288" s="5209"/>
      <c r="AX288" s="3848"/>
      <c r="AY288" s="5315" t="str">
        <f t="shared" si="187"/>
        <v/>
      </c>
      <c r="BU288" s="1452"/>
      <c r="BV288" s="1452"/>
      <c r="BW288" s="1460"/>
      <c r="CA288" s="1457" t="str">
        <f t="shared" si="188"/>
        <v/>
      </c>
      <c r="CB288" s="1457" t="str">
        <f t="shared" si="180"/>
        <v/>
      </c>
      <c r="CC288" s="1457" t="str">
        <f t="shared" si="189"/>
        <v/>
      </c>
      <c r="CD288" s="1457" t="str">
        <f t="shared" si="181"/>
        <v/>
      </c>
      <c r="CE288" s="1457" t="str">
        <f t="shared" si="190"/>
        <v/>
      </c>
      <c r="CF288" s="1457"/>
      <c r="CG288" s="1457" t="str">
        <f t="shared" si="191"/>
        <v/>
      </c>
      <c r="DA288" s="1458">
        <f t="shared" si="182"/>
        <v>0</v>
      </c>
      <c r="DB288" s="1458"/>
      <c r="DC288" s="1458"/>
      <c r="DD288" s="1458">
        <f t="shared" si="183"/>
        <v>0</v>
      </c>
      <c r="DE288" s="1458">
        <f t="shared" si="192"/>
        <v>0</v>
      </c>
      <c r="DF288" s="1458"/>
      <c r="DG288" s="1458">
        <f t="shared" si="193"/>
        <v>0</v>
      </c>
    </row>
    <row r="289" spans="1:111" ht="16.350000000000001" customHeight="1" x14ac:dyDescent="0.2">
      <c r="A289" s="9501" t="s">
        <v>1027</v>
      </c>
      <c r="B289" s="9502" t="s">
        <v>1052</v>
      </c>
      <c r="C289" s="9503"/>
      <c r="D289" s="3342">
        <f t="shared" si="185"/>
        <v>0</v>
      </c>
      <c r="E289" s="3621">
        <f t="shared" si="186"/>
        <v>0</v>
      </c>
      <c r="F289" s="5210">
        <f t="shared" si="186"/>
        <v>0</v>
      </c>
      <c r="G289" s="3630"/>
      <c r="H289" s="3852"/>
      <c r="I289" s="5211"/>
      <c r="J289" s="3852"/>
      <c r="K289" s="5211"/>
      <c r="L289" s="3852"/>
      <c r="M289" s="5211"/>
      <c r="N289" s="3852"/>
      <c r="O289" s="5211"/>
      <c r="P289" s="3852"/>
      <c r="Q289" s="5211"/>
      <c r="R289" s="3852"/>
      <c r="S289" s="5211"/>
      <c r="T289" s="3852"/>
      <c r="U289" s="5211"/>
      <c r="V289" s="2987"/>
      <c r="W289" s="5211"/>
      <c r="X289" s="2987"/>
      <c r="Y289" s="5211"/>
      <c r="Z289" s="2987"/>
      <c r="AA289" s="5211"/>
      <c r="AB289" s="2987"/>
      <c r="AC289" s="5211"/>
      <c r="AD289" s="2987"/>
      <c r="AE289" s="5211"/>
      <c r="AF289" s="2987"/>
      <c r="AG289" s="5211"/>
      <c r="AH289" s="2987"/>
      <c r="AI289" s="5211"/>
      <c r="AJ289" s="2987"/>
      <c r="AK289" s="5211"/>
      <c r="AL289" s="2987"/>
      <c r="AM289" s="5211"/>
      <c r="AN289" s="2987"/>
      <c r="AO289" s="3853"/>
      <c r="AP289" s="1852"/>
      <c r="AQ289" s="3630"/>
      <c r="AR289" s="3854"/>
      <c r="AS289" s="5257"/>
      <c r="AT289" s="5211"/>
      <c r="AU289" s="5211"/>
      <c r="AV289" s="3854"/>
      <c r="AW289" s="3854"/>
      <c r="AX289" s="3852"/>
      <c r="AY289" s="5315" t="str">
        <f t="shared" si="187"/>
        <v/>
      </c>
      <c r="BU289" s="1452"/>
      <c r="BV289" s="1452"/>
      <c r="BW289" s="1460"/>
      <c r="CA289" s="1457" t="str">
        <f t="shared" si="188"/>
        <v/>
      </c>
      <c r="CB289" s="1457" t="str">
        <f t="shared" si="180"/>
        <v/>
      </c>
      <c r="CC289" s="1457" t="str">
        <f t="shared" si="189"/>
        <v/>
      </c>
      <c r="CD289" s="1457" t="str">
        <f t="shared" si="181"/>
        <v/>
      </c>
      <c r="CE289" s="1457" t="str">
        <f t="shared" si="190"/>
        <v/>
      </c>
      <c r="CF289" s="1457"/>
      <c r="CG289" s="1457" t="str">
        <f t="shared" si="191"/>
        <v/>
      </c>
      <c r="DA289" s="1458">
        <f t="shared" si="182"/>
        <v>0</v>
      </c>
      <c r="DB289" s="1458">
        <f>IF(D289&lt;AQ289,1,0)</f>
        <v>0</v>
      </c>
      <c r="DC289" s="1458">
        <f>IF(D289&lt;AR289,1,0)</f>
        <v>0</v>
      </c>
      <c r="DD289" s="1458">
        <f t="shared" si="183"/>
        <v>0</v>
      </c>
      <c r="DE289" s="1458">
        <f t="shared" si="192"/>
        <v>0</v>
      </c>
      <c r="DF289" s="1458"/>
      <c r="DG289" s="1458">
        <f t="shared" si="193"/>
        <v>0</v>
      </c>
    </row>
    <row r="290" spans="1:111" ht="16.350000000000001" customHeight="1" x14ac:dyDescent="0.2">
      <c r="A290" s="8274"/>
      <c r="B290" s="9392" t="s">
        <v>1051</v>
      </c>
      <c r="C290" s="9392"/>
      <c r="D290" s="5181">
        <f t="shared" si="185"/>
        <v>0</v>
      </c>
      <c r="E290" s="3144">
        <f t="shared" si="186"/>
        <v>0</v>
      </c>
      <c r="F290" s="5212">
        <f t="shared" si="186"/>
        <v>0</v>
      </c>
      <c r="G290" s="5213"/>
      <c r="H290" s="1854"/>
      <c r="I290" s="5214"/>
      <c r="J290" s="1854"/>
      <c r="K290" s="5214"/>
      <c r="L290" s="1854"/>
      <c r="M290" s="5214"/>
      <c r="N290" s="1854"/>
      <c r="O290" s="5214"/>
      <c r="P290" s="1854"/>
      <c r="Q290" s="5214"/>
      <c r="R290" s="1854"/>
      <c r="S290" s="5214"/>
      <c r="T290" s="1854"/>
      <c r="U290" s="5214"/>
      <c r="V290" s="2988"/>
      <c r="W290" s="5214"/>
      <c r="X290" s="2988"/>
      <c r="Y290" s="5214"/>
      <c r="Z290" s="2988"/>
      <c r="AA290" s="5214"/>
      <c r="AB290" s="2988"/>
      <c r="AC290" s="5214"/>
      <c r="AD290" s="2988"/>
      <c r="AE290" s="5214"/>
      <c r="AF290" s="2988"/>
      <c r="AG290" s="5214"/>
      <c r="AH290" s="2988"/>
      <c r="AI290" s="5214"/>
      <c r="AJ290" s="2988"/>
      <c r="AK290" s="5214"/>
      <c r="AL290" s="2988"/>
      <c r="AM290" s="5214"/>
      <c r="AN290" s="2988"/>
      <c r="AO290" s="1856"/>
      <c r="AP290" s="1857"/>
      <c r="AQ290" s="5204"/>
      <c r="AR290" s="5225"/>
      <c r="AS290" s="3630"/>
      <c r="AT290" s="5214"/>
      <c r="AU290" s="5214"/>
      <c r="AV290" s="5215"/>
      <c r="AW290" s="5215"/>
      <c r="AX290" s="1854"/>
      <c r="AY290" s="5315" t="str">
        <f t="shared" si="187"/>
        <v/>
      </c>
      <c r="BU290" s="1452"/>
      <c r="BV290" s="1452"/>
      <c r="BW290" s="1460"/>
      <c r="CA290" s="1457" t="str">
        <f t="shared" si="188"/>
        <v/>
      </c>
      <c r="CB290" s="1457" t="str">
        <f t="shared" si="180"/>
        <v/>
      </c>
      <c r="CC290" s="1457" t="str">
        <f t="shared" si="189"/>
        <v/>
      </c>
      <c r="CD290" s="1457" t="str">
        <f t="shared" si="181"/>
        <v/>
      </c>
      <c r="CE290" s="1457" t="str">
        <f t="shared" si="190"/>
        <v/>
      </c>
      <c r="CF290" s="1457"/>
      <c r="CG290" s="1457" t="str">
        <f t="shared" si="191"/>
        <v/>
      </c>
      <c r="DA290" s="1458">
        <f t="shared" si="182"/>
        <v>0</v>
      </c>
      <c r="DB290" s="1458"/>
      <c r="DC290" s="1458"/>
      <c r="DD290" s="1458">
        <f t="shared" si="183"/>
        <v>0</v>
      </c>
      <c r="DE290" s="1458">
        <f t="shared" si="192"/>
        <v>0</v>
      </c>
      <c r="DF290" s="1458"/>
      <c r="DG290" s="1458">
        <f t="shared" si="193"/>
        <v>0</v>
      </c>
    </row>
    <row r="291" spans="1:111" ht="16.350000000000001" customHeight="1" x14ac:dyDescent="0.2">
      <c r="A291" s="8274"/>
      <c r="B291" s="9392" t="s">
        <v>1050</v>
      </c>
      <c r="C291" s="9392"/>
      <c r="D291" s="5181">
        <f t="shared" si="185"/>
        <v>0</v>
      </c>
      <c r="E291" s="3144">
        <f t="shared" si="186"/>
        <v>0</v>
      </c>
      <c r="F291" s="5212">
        <f t="shared" si="186"/>
        <v>0</v>
      </c>
      <c r="G291" s="5213"/>
      <c r="H291" s="1854"/>
      <c r="I291" s="5214"/>
      <c r="J291" s="1854"/>
      <c r="K291" s="5214"/>
      <c r="L291" s="1854"/>
      <c r="M291" s="5214"/>
      <c r="N291" s="1854"/>
      <c r="O291" s="5214"/>
      <c r="P291" s="1854"/>
      <c r="Q291" s="5214"/>
      <c r="R291" s="1854"/>
      <c r="S291" s="5214"/>
      <c r="T291" s="1854"/>
      <c r="U291" s="5214"/>
      <c r="V291" s="2988"/>
      <c r="W291" s="5214"/>
      <c r="X291" s="2988"/>
      <c r="Y291" s="5214"/>
      <c r="Z291" s="2988"/>
      <c r="AA291" s="5214"/>
      <c r="AB291" s="2988"/>
      <c r="AC291" s="5214"/>
      <c r="AD291" s="2988"/>
      <c r="AE291" s="5214"/>
      <c r="AF291" s="2988"/>
      <c r="AG291" s="5214"/>
      <c r="AH291" s="2988"/>
      <c r="AI291" s="5214"/>
      <c r="AJ291" s="2988"/>
      <c r="AK291" s="5214"/>
      <c r="AL291" s="2988"/>
      <c r="AM291" s="5214"/>
      <c r="AN291" s="2988"/>
      <c r="AO291" s="1856"/>
      <c r="AP291" s="1857"/>
      <c r="AQ291" s="5204"/>
      <c r="AR291" s="5225"/>
      <c r="AS291" s="5225"/>
      <c r="AT291" s="5214"/>
      <c r="AU291" s="5214"/>
      <c r="AV291" s="5215"/>
      <c r="AW291" s="5215"/>
      <c r="AX291" s="1854"/>
      <c r="AY291" s="5315" t="str">
        <f t="shared" si="187"/>
        <v/>
      </c>
      <c r="BU291" s="1452"/>
      <c r="BV291" s="1452"/>
      <c r="BW291" s="1460"/>
      <c r="CA291" s="1457" t="str">
        <f t="shared" si="188"/>
        <v/>
      </c>
      <c r="CB291" s="1457" t="str">
        <f t="shared" si="180"/>
        <v/>
      </c>
      <c r="CC291" s="1457" t="str">
        <f t="shared" si="189"/>
        <v/>
      </c>
      <c r="CD291" s="1457" t="str">
        <f t="shared" si="181"/>
        <v/>
      </c>
      <c r="CE291" s="1457" t="str">
        <f t="shared" si="190"/>
        <v/>
      </c>
      <c r="CF291" s="1457"/>
      <c r="CG291" s="1457" t="str">
        <f t="shared" si="191"/>
        <v/>
      </c>
      <c r="DA291" s="1458">
        <f t="shared" si="182"/>
        <v>0</v>
      </c>
      <c r="DB291" s="1458"/>
      <c r="DC291" s="1458"/>
      <c r="DD291" s="1458">
        <f t="shared" si="183"/>
        <v>0</v>
      </c>
      <c r="DE291" s="1458">
        <f t="shared" si="192"/>
        <v>0</v>
      </c>
      <c r="DF291" s="1458"/>
      <c r="DG291" s="1458">
        <f t="shared" si="193"/>
        <v>0</v>
      </c>
    </row>
    <row r="292" spans="1:111" ht="16.350000000000001" customHeight="1" x14ac:dyDescent="0.2">
      <c r="A292" s="8274"/>
      <c r="B292" s="9392" t="s">
        <v>1049</v>
      </c>
      <c r="C292" s="9392"/>
      <c r="D292" s="5181">
        <f t="shared" si="185"/>
        <v>0</v>
      </c>
      <c r="E292" s="3144">
        <f t="shared" si="186"/>
        <v>0</v>
      </c>
      <c r="F292" s="5212">
        <f t="shared" si="186"/>
        <v>0</v>
      </c>
      <c r="G292" s="5216"/>
      <c r="H292" s="3855"/>
      <c r="I292" s="3856"/>
      <c r="J292" s="3855"/>
      <c r="K292" s="3856"/>
      <c r="L292" s="3855"/>
      <c r="M292" s="3856"/>
      <c r="N292" s="3855"/>
      <c r="O292" s="3856"/>
      <c r="P292" s="3855"/>
      <c r="Q292" s="3856"/>
      <c r="R292" s="3855"/>
      <c r="S292" s="3856"/>
      <c r="T292" s="3855"/>
      <c r="U292" s="3856"/>
      <c r="V292" s="5217"/>
      <c r="W292" s="3856"/>
      <c r="X292" s="5217"/>
      <c r="Y292" s="3856"/>
      <c r="Z292" s="5217"/>
      <c r="AA292" s="3856"/>
      <c r="AB292" s="5217"/>
      <c r="AC292" s="3856"/>
      <c r="AD292" s="5217"/>
      <c r="AE292" s="3856"/>
      <c r="AF292" s="5217"/>
      <c r="AG292" s="3856"/>
      <c r="AH292" s="5217"/>
      <c r="AI292" s="3856"/>
      <c r="AJ292" s="5217"/>
      <c r="AK292" s="3856"/>
      <c r="AL292" s="5217"/>
      <c r="AM292" s="3856"/>
      <c r="AN292" s="5217"/>
      <c r="AO292" s="3857"/>
      <c r="AP292" s="3858"/>
      <c r="AQ292" s="5204"/>
      <c r="AR292" s="5225"/>
      <c r="AS292" s="5225"/>
      <c r="AT292" s="3856"/>
      <c r="AU292" s="3856"/>
      <c r="AV292" s="5219"/>
      <c r="AW292" s="5219"/>
      <c r="AX292" s="3855"/>
      <c r="AY292" s="5315" t="str">
        <f t="shared" si="187"/>
        <v/>
      </c>
      <c r="BU292" s="1452"/>
      <c r="BV292" s="1452"/>
      <c r="BW292" s="1460"/>
      <c r="CA292" s="1457" t="str">
        <f t="shared" si="188"/>
        <v/>
      </c>
      <c r="CB292" s="1457" t="str">
        <f t="shared" si="180"/>
        <v/>
      </c>
      <c r="CC292" s="1457" t="str">
        <f t="shared" si="189"/>
        <v/>
      </c>
      <c r="CD292" s="1457" t="str">
        <f t="shared" si="181"/>
        <v/>
      </c>
      <c r="CE292" s="1457" t="str">
        <f t="shared" si="190"/>
        <v/>
      </c>
      <c r="CF292" s="1457"/>
      <c r="CG292" s="1457" t="str">
        <f t="shared" si="191"/>
        <v/>
      </c>
      <c r="DA292" s="1458">
        <f t="shared" si="182"/>
        <v>0</v>
      </c>
      <c r="DB292" s="1458"/>
      <c r="DC292" s="1458"/>
      <c r="DD292" s="1458">
        <f t="shared" si="183"/>
        <v>0</v>
      </c>
      <c r="DE292" s="1458">
        <f t="shared" si="192"/>
        <v>0</v>
      </c>
      <c r="DF292" s="1458"/>
      <c r="DG292" s="1458">
        <f t="shared" si="193"/>
        <v>0</v>
      </c>
    </row>
    <row r="293" spans="1:111" ht="16.350000000000001" customHeight="1" x14ac:dyDescent="0.2">
      <c r="A293" s="8274"/>
      <c r="B293" s="9419" t="s">
        <v>2135</v>
      </c>
      <c r="C293" s="9420"/>
      <c r="D293" s="5181">
        <f t="shared" si="185"/>
        <v>0</v>
      </c>
      <c r="E293" s="3144">
        <f t="shared" si="186"/>
        <v>0</v>
      </c>
      <c r="F293" s="5212">
        <f t="shared" si="186"/>
        <v>0</v>
      </c>
      <c r="G293" s="5216"/>
      <c r="H293" s="3855"/>
      <c r="I293" s="3856"/>
      <c r="J293" s="3855"/>
      <c r="K293" s="3856"/>
      <c r="L293" s="3855"/>
      <c r="M293" s="3856"/>
      <c r="N293" s="3855"/>
      <c r="O293" s="3856"/>
      <c r="P293" s="3855"/>
      <c r="Q293" s="3856"/>
      <c r="R293" s="3855"/>
      <c r="S293" s="3856"/>
      <c r="T293" s="3855"/>
      <c r="U293" s="3856"/>
      <c r="V293" s="5217"/>
      <c r="W293" s="3856"/>
      <c r="X293" s="5217"/>
      <c r="Y293" s="3856"/>
      <c r="Z293" s="5217"/>
      <c r="AA293" s="3856"/>
      <c r="AB293" s="5217"/>
      <c r="AC293" s="3856"/>
      <c r="AD293" s="5217"/>
      <c r="AE293" s="3856"/>
      <c r="AF293" s="5217"/>
      <c r="AG293" s="3856"/>
      <c r="AH293" s="5217"/>
      <c r="AI293" s="3856"/>
      <c r="AJ293" s="5217"/>
      <c r="AK293" s="3856"/>
      <c r="AL293" s="5217"/>
      <c r="AM293" s="3856"/>
      <c r="AN293" s="5217"/>
      <c r="AO293" s="3857"/>
      <c r="AP293" s="3858"/>
      <c r="AQ293" s="5218"/>
      <c r="AR293" s="5233"/>
      <c r="AS293" s="3859"/>
      <c r="AT293" s="3856"/>
      <c r="AU293" s="3856"/>
      <c r="AV293" s="5219"/>
      <c r="AW293" s="5219"/>
      <c r="AX293" s="3855"/>
      <c r="AY293" s="5315" t="str">
        <f t="shared" si="187"/>
        <v/>
      </c>
      <c r="BU293" s="1452"/>
      <c r="BV293" s="1452"/>
      <c r="BW293" s="1460"/>
      <c r="CA293" s="1457" t="str">
        <f t="shared" si="188"/>
        <v/>
      </c>
      <c r="CB293" s="1457" t="str">
        <f t="shared" si="180"/>
        <v/>
      </c>
      <c r="CC293" s="1457" t="str">
        <f t="shared" si="189"/>
        <v/>
      </c>
      <c r="CD293" s="1457" t="str">
        <f t="shared" si="181"/>
        <v/>
      </c>
      <c r="CE293" s="1457" t="str">
        <f t="shared" si="190"/>
        <v/>
      </c>
      <c r="CF293" s="1457"/>
      <c r="CG293" s="1457" t="str">
        <f t="shared" si="191"/>
        <v/>
      </c>
      <c r="DA293" s="1458">
        <f t="shared" si="182"/>
        <v>0</v>
      </c>
      <c r="DB293" s="1458"/>
      <c r="DC293" s="1458"/>
      <c r="DD293" s="1458">
        <f t="shared" si="183"/>
        <v>0</v>
      </c>
      <c r="DE293" s="1458">
        <f t="shared" si="192"/>
        <v>0</v>
      </c>
      <c r="DF293" s="1458"/>
      <c r="DG293" s="1458">
        <f t="shared" si="193"/>
        <v>0</v>
      </c>
    </row>
    <row r="294" spans="1:111" ht="16.350000000000001" customHeight="1" x14ac:dyDescent="0.2">
      <c r="A294" s="9302"/>
      <c r="B294" s="9468" t="s">
        <v>1048</v>
      </c>
      <c r="C294" s="9468"/>
      <c r="D294" s="5220">
        <f t="shared" si="185"/>
        <v>0</v>
      </c>
      <c r="E294" s="5221">
        <f t="shared" si="186"/>
        <v>0</v>
      </c>
      <c r="F294" s="3860">
        <f t="shared" si="186"/>
        <v>0</v>
      </c>
      <c r="G294" s="3335"/>
      <c r="H294" s="3848"/>
      <c r="I294" s="3849"/>
      <c r="J294" s="3848"/>
      <c r="K294" s="3849"/>
      <c r="L294" s="3848"/>
      <c r="M294" s="3849"/>
      <c r="N294" s="3848"/>
      <c r="O294" s="3849"/>
      <c r="P294" s="3848"/>
      <c r="Q294" s="3849"/>
      <c r="R294" s="3848"/>
      <c r="S294" s="3849"/>
      <c r="T294" s="3848"/>
      <c r="U294" s="3849"/>
      <c r="V294" s="3204"/>
      <c r="W294" s="3849"/>
      <c r="X294" s="3204"/>
      <c r="Y294" s="3849"/>
      <c r="Z294" s="3204"/>
      <c r="AA294" s="3849"/>
      <c r="AB294" s="3204"/>
      <c r="AC294" s="3849"/>
      <c r="AD294" s="3204"/>
      <c r="AE294" s="3849"/>
      <c r="AF294" s="3204"/>
      <c r="AG294" s="3849"/>
      <c r="AH294" s="3204"/>
      <c r="AI294" s="3849"/>
      <c r="AJ294" s="3204"/>
      <c r="AK294" s="3849"/>
      <c r="AL294" s="3204"/>
      <c r="AM294" s="3849"/>
      <c r="AN294" s="3204"/>
      <c r="AO294" s="3850"/>
      <c r="AP294" s="3851"/>
      <c r="AQ294" s="5222"/>
      <c r="AR294" s="5235"/>
      <c r="AS294" s="3861"/>
      <c r="AT294" s="3849"/>
      <c r="AU294" s="3849"/>
      <c r="AV294" s="5209"/>
      <c r="AW294" s="5209"/>
      <c r="AX294" s="3848"/>
      <c r="AY294" s="5315" t="str">
        <f t="shared" si="187"/>
        <v/>
      </c>
      <c r="BU294" s="1452"/>
      <c r="BV294" s="1452"/>
      <c r="BW294" s="1460"/>
      <c r="CA294" s="1457" t="str">
        <f t="shared" si="188"/>
        <v/>
      </c>
      <c r="CB294" s="1457" t="str">
        <f t="shared" si="180"/>
        <v/>
      </c>
      <c r="CC294" s="1457" t="str">
        <f t="shared" si="189"/>
        <v/>
      </c>
      <c r="CD294" s="1457" t="str">
        <f t="shared" si="181"/>
        <v/>
      </c>
      <c r="CE294" s="1457" t="str">
        <f t="shared" si="190"/>
        <v/>
      </c>
      <c r="CF294" s="1457"/>
      <c r="CG294" s="1457" t="str">
        <f t="shared" si="191"/>
        <v/>
      </c>
      <c r="DA294" s="1458">
        <f t="shared" si="182"/>
        <v>0</v>
      </c>
      <c r="DB294" s="1458"/>
      <c r="DC294" s="1458"/>
      <c r="DD294" s="1458">
        <f t="shared" si="183"/>
        <v>0</v>
      </c>
      <c r="DE294" s="1458">
        <f t="shared" si="192"/>
        <v>0</v>
      </c>
      <c r="DF294" s="1458"/>
      <c r="DG294" s="1458">
        <f t="shared" si="193"/>
        <v>0</v>
      </c>
    </row>
    <row r="295" spans="1:111" ht="16.350000000000001" customHeight="1" x14ac:dyDescent="0.2">
      <c r="A295" s="9495" t="s">
        <v>1028</v>
      </c>
      <c r="B295" s="9497" t="s">
        <v>1052</v>
      </c>
      <c r="C295" s="9497"/>
      <c r="D295" s="7506">
        <f t="shared" si="185"/>
        <v>0</v>
      </c>
      <c r="E295" s="5258">
        <f t="shared" si="186"/>
        <v>0</v>
      </c>
      <c r="F295" s="5259">
        <f t="shared" si="186"/>
        <v>0</v>
      </c>
      <c r="G295" s="5260"/>
      <c r="H295" s="5261"/>
      <c r="I295" s="5262"/>
      <c r="J295" s="5261"/>
      <c r="K295" s="5262"/>
      <c r="L295" s="5261"/>
      <c r="M295" s="5262"/>
      <c r="N295" s="5261"/>
      <c r="O295" s="5262"/>
      <c r="P295" s="5261"/>
      <c r="Q295" s="5262"/>
      <c r="R295" s="5261"/>
      <c r="S295" s="5262"/>
      <c r="T295" s="5261"/>
      <c r="U295" s="5262"/>
      <c r="V295" s="5263"/>
      <c r="W295" s="5262"/>
      <c r="X295" s="5263"/>
      <c r="Y295" s="5262"/>
      <c r="Z295" s="5263"/>
      <c r="AA295" s="5262"/>
      <c r="AB295" s="5263"/>
      <c r="AC295" s="5262"/>
      <c r="AD295" s="5263"/>
      <c r="AE295" s="5262"/>
      <c r="AF295" s="5263"/>
      <c r="AG295" s="5262"/>
      <c r="AH295" s="5263"/>
      <c r="AI295" s="5262"/>
      <c r="AJ295" s="5263"/>
      <c r="AK295" s="5262"/>
      <c r="AL295" s="5263"/>
      <c r="AM295" s="5260"/>
      <c r="AN295" s="5264"/>
      <c r="AO295" s="5262"/>
      <c r="AP295" s="5265"/>
      <c r="AQ295" s="5260"/>
      <c r="AR295" s="5266"/>
      <c r="AS295" s="5257"/>
      <c r="AT295" s="5267"/>
      <c r="AU295" s="5267"/>
      <c r="AV295" s="3207"/>
      <c r="AW295" s="3207"/>
      <c r="AX295" s="5268"/>
      <c r="AY295" s="5315" t="str">
        <f t="shared" si="187"/>
        <v/>
      </c>
      <c r="BU295" s="1452"/>
      <c r="BV295" s="1452"/>
      <c r="BW295" s="1460"/>
      <c r="CA295" s="1457" t="str">
        <f t="shared" si="188"/>
        <v/>
      </c>
      <c r="CB295" s="1457" t="str">
        <f t="shared" si="180"/>
        <v/>
      </c>
      <c r="CC295" s="1457" t="str">
        <f t="shared" si="189"/>
        <v/>
      </c>
      <c r="CD295" s="1457" t="str">
        <f t="shared" si="181"/>
        <v/>
      </c>
      <c r="CE295" s="1457" t="str">
        <f t="shared" si="190"/>
        <v/>
      </c>
      <c r="CF295" s="1457"/>
      <c r="CG295" s="1457" t="str">
        <f t="shared" si="191"/>
        <v/>
      </c>
      <c r="DA295" s="1458">
        <f t="shared" si="182"/>
        <v>0</v>
      </c>
      <c r="DB295" s="1458">
        <f>IF(D295&lt;AQ295,1,0)</f>
        <v>0</v>
      </c>
      <c r="DC295" s="1458">
        <f>IF(D295&lt;AR295,1,0)</f>
        <v>0</v>
      </c>
      <c r="DD295" s="1458">
        <f t="shared" si="183"/>
        <v>0</v>
      </c>
      <c r="DE295" s="1458">
        <f t="shared" si="192"/>
        <v>0</v>
      </c>
      <c r="DF295" s="1458"/>
      <c r="DG295" s="1458">
        <f t="shared" si="193"/>
        <v>0</v>
      </c>
    </row>
    <row r="296" spans="1:111" ht="16.350000000000001" customHeight="1" x14ac:dyDescent="0.2">
      <c r="A296" s="8151"/>
      <c r="B296" s="9392" t="s">
        <v>1051</v>
      </c>
      <c r="C296" s="9392"/>
      <c r="D296" s="3143">
        <f t="shared" si="185"/>
        <v>0</v>
      </c>
      <c r="E296" s="5269">
        <f t="shared" si="186"/>
        <v>0</v>
      </c>
      <c r="F296" s="5270">
        <f t="shared" si="186"/>
        <v>0</v>
      </c>
      <c r="G296" s="5271"/>
      <c r="H296" s="5272"/>
      <c r="I296" s="5273"/>
      <c r="J296" s="5272"/>
      <c r="K296" s="5273"/>
      <c r="L296" s="5272"/>
      <c r="M296" s="5273"/>
      <c r="N296" s="5272"/>
      <c r="O296" s="5273"/>
      <c r="P296" s="5272"/>
      <c r="Q296" s="5273"/>
      <c r="R296" s="5272"/>
      <c r="S296" s="5273"/>
      <c r="T296" s="5272"/>
      <c r="U296" s="5273"/>
      <c r="V296" s="5274"/>
      <c r="W296" s="5273"/>
      <c r="X296" s="5274"/>
      <c r="Y296" s="5273"/>
      <c r="Z296" s="5274"/>
      <c r="AA296" s="5273"/>
      <c r="AB296" s="5274"/>
      <c r="AC296" s="5273"/>
      <c r="AD296" s="5274"/>
      <c r="AE296" s="5273"/>
      <c r="AF296" s="5274"/>
      <c r="AG296" s="5273"/>
      <c r="AH296" s="5274"/>
      <c r="AI296" s="5273"/>
      <c r="AJ296" s="5274"/>
      <c r="AK296" s="5273"/>
      <c r="AL296" s="5274"/>
      <c r="AM296" s="5271"/>
      <c r="AN296" s="5275"/>
      <c r="AO296" s="5273"/>
      <c r="AP296" s="5276"/>
      <c r="AQ296" s="5204"/>
      <c r="AR296" s="5225"/>
      <c r="AS296" s="3630"/>
      <c r="AT296" s="5214"/>
      <c r="AU296" s="5214"/>
      <c r="AV296" s="5215"/>
      <c r="AW296" s="5215"/>
      <c r="AX296" s="1854"/>
      <c r="AY296" s="5315" t="str">
        <f t="shared" si="187"/>
        <v/>
      </c>
      <c r="BU296" s="1452"/>
      <c r="BV296" s="1452"/>
      <c r="BW296" s="1460"/>
      <c r="CA296" s="1457" t="str">
        <f t="shared" si="188"/>
        <v/>
      </c>
      <c r="CB296" s="1457" t="str">
        <f t="shared" si="180"/>
        <v/>
      </c>
      <c r="CC296" s="1457" t="str">
        <f t="shared" si="189"/>
        <v/>
      </c>
      <c r="CD296" s="1457" t="str">
        <f t="shared" si="181"/>
        <v/>
      </c>
      <c r="CE296" s="1457" t="str">
        <f t="shared" si="190"/>
        <v/>
      </c>
      <c r="CF296" s="1457"/>
      <c r="CG296" s="1457" t="str">
        <f t="shared" si="191"/>
        <v/>
      </c>
      <c r="DA296" s="1458">
        <f t="shared" si="182"/>
        <v>0</v>
      </c>
      <c r="DB296" s="1458"/>
      <c r="DC296" s="1458"/>
      <c r="DD296" s="1458">
        <f t="shared" si="183"/>
        <v>0</v>
      </c>
      <c r="DE296" s="1458">
        <f t="shared" si="192"/>
        <v>0</v>
      </c>
      <c r="DF296" s="1458"/>
      <c r="DG296" s="1458">
        <f t="shared" si="193"/>
        <v>0</v>
      </c>
    </row>
    <row r="297" spans="1:111" ht="16.350000000000001" customHeight="1" x14ac:dyDescent="0.2">
      <c r="A297" s="8151"/>
      <c r="B297" s="9475" t="s">
        <v>1050</v>
      </c>
      <c r="C297" s="9476"/>
      <c r="D297" s="3143">
        <f t="shared" si="185"/>
        <v>0</v>
      </c>
      <c r="E297" s="5269">
        <f t="shared" si="186"/>
        <v>0</v>
      </c>
      <c r="F297" s="5270">
        <f t="shared" si="186"/>
        <v>0</v>
      </c>
      <c r="G297" s="5271"/>
      <c r="H297" s="5272"/>
      <c r="I297" s="5273"/>
      <c r="J297" s="5272"/>
      <c r="K297" s="5273"/>
      <c r="L297" s="5272"/>
      <c r="M297" s="5273"/>
      <c r="N297" s="5272"/>
      <c r="O297" s="5273"/>
      <c r="P297" s="5272"/>
      <c r="Q297" s="5273"/>
      <c r="R297" s="5272"/>
      <c r="S297" s="5273"/>
      <c r="T297" s="5272"/>
      <c r="U297" s="5273"/>
      <c r="V297" s="5274"/>
      <c r="W297" s="5273"/>
      <c r="X297" s="5274"/>
      <c r="Y297" s="5273"/>
      <c r="Z297" s="5274"/>
      <c r="AA297" s="5273"/>
      <c r="AB297" s="5274"/>
      <c r="AC297" s="5273"/>
      <c r="AD297" s="5274"/>
      <c r="AE297" s="5273"/>
      <c r="AF297" s="5274"/>
      <c r="AG297" s="5273"/>
      <c r="AH297" s="5274"/>
      <c r="AI297" s="5273"/>
      <c r="AJ297" s="5274"/>
      <c r="AK297" s="5273"/>
      <c r="AL297" s="5274"/>
      <c r="AM297" s="5271"/>
      <c r="AN297" s="5275"/>
      <c r="AO297" s="5273"/>
      <c r="AP297" s="5276"/>
      <c r="AQ297" s="5204"/>
      <c r="AR297" s="5225"/>
      <c r="AS297" s="5225"/>
      <c r="AT297" s="5214"/>
      <c r="AU297" s="5214"/>
      <c r="AV297" s="5215"/>
      <c r="AW297" s="5215"/>
      <c r="AX297" s="1854"/>
      <c r="AY297" s="5315" t="str">
        <f t="shared" si="187"/>
        <v/>
      </c>
      <c r="BU297" s="1452"/>
      <c r="BV297" s="1452"/>
      <c r="BW297" s="1460"/>
      <c r="CA297" s="1457" t="str">
        <f t="shared" si="188"/>
        <v/>
      </c>
      <c r="CB297" s="1457" t="str">
        <f t="shared" si="180"/>
        <v/>
      </c>
      <c r="CC297" s="1457" t="str">
        <f t="shared" si="189"/>
        <v/>
      </c>
      <c r="CD297" s="1457" t="str">
        <f t="shared" si="181"/>
        <v/>
      </c>
      <c r="CE297" s="1457" t="str">
        <f t="shared" si="190"/>
        <v/>
      </c>
      <c r="CF297" s="1457"/>
      <c r="CG297" s="1457" t="str">
        <f t="shared" si="191"/>
        <v/>
      </c>
      <c r="DA297" s="1458">
        <f t="shared" si="182"/>
        <v>0</v>
      </c>
      <c r="DB297" s="1458"/>
      <c r="DC297" s="1458"/>
      <c r="DD297" s="1458">
        <f t="shared" si="183"/>
        <v>0</v>
      </c>
      <c r="DE297" s="1458">
        <f t="shared" si="192"/>
        <v>0</v>
      </c>
      <c r="DF297" s="1458"/>
      <c r="DG297" s="1458">
        <f t="shared" si="193"/>
        <v>0</v>
      </c>
    </row>
    <row r="298" spans="1:111" ht="16.350000000000001" customHeight="1" x14ac:dyDescent="0.2">
      <c r="A298" s="8151"/>
      <c r="B298" s="9498" t="s">
        <v>1049</v>
      </c>
      <c r="C298" s="9499"/>
      <c r="D298" s="3143">
        <f t="shared" si="185"/>
        <v>0</v>
      </c>
      <c r="E298" s="5269">
        <f t="shared" si="186"/>
        <v>0</v>
      </c>
      <c r="F298" s="5270">
        <f t="shared" si="186"/>
        <v>0</v>
      </c>
      <c r="G298" s="5277"/>
      <c r="H298" s="5278"/>
      <c r="I298" s="5279"/>
      <c r="J298" s="5278"/>
      <c r="K298" s="5279"/>
      <c r="L298" s="5278"/>
      <c r="M298" s="5279"/>
      <c r="N298" s="5278"/>
      <c r="O298" s="5279"/>
      <c r="P298" s="5278"/>
      <c r="Q298" s="5279"/>
      <c r="R298" s="5278"/>
      <c r="S298" s="5279"/>
      <c r="T298" s="5278"/>
      <c r="U298" s="5279"/>
      <c r="V298" s="5278"/>
      <c r="W298" s="5279"/>
      <c r="X298" s="5278"/>
      <c r="Y298" s="5279"/>
      <c r="Z298" s="5278"/>
      <c r="AA298" s="5279"/>
      <c r="AB298" s="5278"/>
      <c r="AC298" s="5279"/>
      <c r="AD298" s="5278"/>
      <c r="AE298" s="5279"/>
      <c r="AF298" s="5278"/>
      <c r="AG298" s="5279"/>
      <c r="AH298" s="5278"/>
      <c r="AI298" s="5279"/>
      <c r="AJ298" s="5278"/>
      <c r="AK298" s="5279"/>
      <c r="AL298" s="5278"/>
      <c r="AM298" s="5277"/>
      <c r="AN298" s="5280"/>
      <c r="AO298" s="5281"/>
      <c r="AP298" s="5282"/>
      <c r="AQ298" s="5204"/>
      <c r="AR298" s="5225"/>
      <c r="AS298" s="5225"/>
      <c r="AT298" s="5281"/>
      <c r="AU298" s="5281"/>
      <c r="AV298" s="5283"/>
      <c r="AW298" s="5283"/>
      <c r="AX298" s="5284"/>
      <c r="AY298" s="5315" t="str">
        <f t="shared" si="187"/>
        <v/>
      </c>
      <c r="BU298" s="1452"/>
      <c r="BV298" s="1452"/>
      <c r="BW298" s="1460"/>
      <c r="CA298" s="1457" t="str">
        <f t="shared" si="188"/>
        <v/>
      </c>
      <c r="CB298" s="1457" t="str">
        <f t="shared" si="180"/>
        <v/>
      </c>
      <c r="CC298" s="1457" t="str">
        <f t="shared" si="189"/>
        <v/>
      </c>
      <c r="CD298" s="1457" t="str">
        <f t="shared" si="181"/>
        <v/>
      </c>
      <c r="CE298" s="1457" t="str">
        <f t="shared" si="190"/>
        <v/>
      </c>
      <c r="CF298" s="1457"/>
      <c r="CG298" s="1457" t="str">
        <f t="shared" si="191"/>
        <v/>
      </c>
      <c r="DA298" s="1458">
        <f t="shared" si="182"/>
        <v>0</v>
      </c>
      <c r="DB298" s="1458"/>
      <c r="DC298" s="1458"/>
      <c r="DD298" s="1458">
        <f t="shared" si="183"/>
        <v>0</v>
      </c>
      <c r="DE298" s="1458">
        <f t="shared" si="192"/>
        <v>0</v>
      </c>
      <c r="DF298" s="1458"/>
      <c r="DG298" s="1458">
        <f t="shared" si="193"/>
        <v>0</v>
      </c>
    </row>
    <row r="299" spans="1:111" ht="16.350000000000001" customHeight="1" x14ac:dyDescent="0.2">
      <c r="A299" s="8151"/>
      <c r="B299" s="9419" t="s">
        <v>2135</v>
      </c>
      <c r="C299" s="9420"/>
      <c r="D299" s="3143">
        <f t="shared" si="185"/>
        <v>0</v>
      </c>
      <c r="E299" s="5269">
        <f t="shared" si="186"/>
        <v>0</v>
      </c>
      <c r="F299" s="5270">
        <f t="shared" si="186"/>
        <v>0</v>
      </c>
      <c r="G299" s="5277"/>
      <c r="H299" s="5278"/>
      <c r="I299" s="5279"/>
      <c r="J299" s="5278"/>
      <c r="K299" s="5279"/>
      <c r="L299" s="5278"/>
      <c r="M299" s="5279"/>
      <c r="N299" s="5278"/>
      <c r="O299" s="5279"/>
      <c r="P299" s="5278"/>
      <c r="Q299" s="5279"/>
      <c r="R299" s="5278"/>
      <c r="S299" s="5279"/>
      <c r="T299" s="5278"/>
      <c r="U299" s="5279"/>
      <c r="V299" s="5278"/>
      <c r="W299" s="5279"/>
      <c r="X299" s="5278"/>
      <c r="Y299" s="5279"/>
      <c r="Z299" s="5278"/>
      <c r="AA299" s="5279"/>
      <c r="AB299" s="5278"/>
      <c r="AC299" s="5279"/>
      <c r="AD299" s="5278"/>
      <c r="AE299" s="5279"/>
      <c r="AF299" s="5278"/>
      <c r="AG299" s="5279"/>
      <c r="AH299" s="5278"/>
      <c r="AI299" s="5279"/>
      <c r="AJ299" s="5278"/>
      <c r="AK299" s="5279"/>
      <c r="AL299" s="5278"/>
      <c r="AM299" s="5277"/>
      <c r="AN299" s="5280"/>
      <c r="AO299" s="2106"/>
      <c r="AP299" s="3886"/>
      <c r="AQ299" s="5218"/>
      <c r="AR299" s="5233"/>
      <c r="AS299" s="3859"/>
      <c r="AT299" s="2106"/>
      <c r="AU299" s="2106"/>
      <c r="AV299" s="3887"/>
      <c r="AW299" s="3887"/>
      <c r="AX299" s="3888"/>
      <c r="AY299" s="5315" t="str">
        <f t="shared" si="187"/>
        <v/>
      </c>
      <c r="BU299" s="1452"/>
      <c r="BV299" s="1452"/>
      <c r="BW299" s="1460"/>
      <c r="CA299" s="1457" t="str">
        <f t="shared" si="188"/>
        <v/>
      </c>
      <c r="CB299" s="1457" t="str">
        <f t="shared" si="180"/>
        <v/>
      </c>
      <c r="CC299" s="1457" t="str">
        <f t="shared" si="189"/>
        <v/>
      </c>
      <c r="CD299" s="1457" t="str">
        <f t="shared" si="181"/>
        <v/>
      </c>
      <c r="CE299" s="1457" t="str">
        <f t="shared" si="190"/>
        <v/>
      </c>
      <c r="CF299" s="1457"/>
      <c r="CG299" s="1457" t="str">
        <f t="shared" si="191"/>
        <v/>
      </c>
      <c r="DA299" s="1458">
        <f t="shared" si="182"/>
        <v>0</v>
      </c>
      <c r="DB299" s="1458"/>
      <c r="DC299" s="1458"/>
      <c r="DD299" s="1458">
        <f t="shared" si="183"/>
        <v>0</v>
      </c>
      <c r="DE299" s="1458">
        <f t="shared" si="192"/>
        <v>0</v>
      </c>
      <c r="DF299" s="1458"/>
      <c r="DG299" s="1458">
        <f t="shared" si="193"/>
        <v>0</v>
      </c>
    </row>
    <row r="300" spans="1:111" ht="16.350000000000001" customHeight="1" thickBot="1" x14ac:dyDescent="0.25">
      <c r="A300" s="9496"/>
      <c r="B300" s="9500" t="s">
        <v>1048</v>
      </c>
      <c r="C300" s="9500"/>
      <c r="D300" s="665">
        <f t="shared" si="185"/>
        <v>0</v>
      </c>
      <c r="E300" s="5285">
        <f t="shared" si="186"/>
        <v>0</v>
      </c>
      <c r="F300" s="5286">
        <f t="shared" si="186"/>
        <v>0</v>
      </c>
      <c r="G300" s="5287"/>
      <c r="H300" s="5288"/>
      <c r="I300" s="5289"/>
      <c r="J300" s="5288"/>
      <c r="K300" s="5289"/>
      <c r="L300" s="5288"/>
      <c r="M300" s="5289"/>
      <c r="N300" s="5288"/>
      <c r="O300" s="5289"/>
      <c r="P300" s="5288"/>
      <c r="Q300" s="5289"/>
      <c r="R300" s="5288"/>
      <c r="S300" s="5289"/>
      <c r="T300" s="5288"/>
      <c r="U300" s="5287"/>
      <c r="V300" s="5288"/>
      <c r="W300" s="5287"/>
      <c r="X300" s="5288"/>
      <c r="Y300" s="5287"/>
      <c r="Z300" s="5288"/>
      <c r="AA300" s="5287"/>
      <c r="AB300" s="5288"/>
      <c r="AC300" s="5287"/>
      <c r="AD300" s="5288"/>
      <c r="AE300" s="5287"/>
      <c r="AF300" s="5288"/>
      <c r="AG300" s="5287"/>
      <c r="AH300" s="5288"/>
      <c r="AI300" s="5287"/>
      <c r="AJ300" s="5288"/>
      <c r="AK300" s="5287"/>
      <c r="AL300" s="5288"/>
      <c r="AM300" s="5287"/>
      <c r="AN300" s="5290"/>
      <c r="AO300" s="5291"/>
      <c r="AP300" s="5292"/>
      <c r="AQ300" s="5293"/>
      <c r="AR300" s="5294"/>
      <c r="AS300" s="3861"/>
      <c r="AT300" s="5291"/>
      <c r="AU300" s="5291"/>
      <c r="AV300" s="5295"/>
      <c r="AW300" s="5295"/>
      <c r="AX300" s="5296"/>
      <c r="AY300" s="5315" t="str">
        <f t="shared" si="187"/>
        <v/>
      </c>
      <c r="BU300" s="1452"/>
      <c r="BV300" s="1452"/>
      <c r="BW300" s="1460"/>
      <c r="CA300" s="1457" t="str">
        <f t="shared" si="188"/>
        <v/>
      </c>
      <c r="CB300" s="1457" t="str">
        <f t="shared" si="180"/>
        <v/>
      </c>
      <c r="CC300" s="1457" t="str">
        <f t="shared" si="189"/>
        <v/>
      </c>
      <c r="CD300" s="1457" t="str">
        <f t="shared" si="181"/>
        <v/>
      </c>
      <c r="CE300" s="1457" t="str">
        <f t="shared" si="190"/>
        <v/>
      </c>
      <c r="CF300" s="1457"/>
      <c r="CG300" s="1457" t="str">
        <f t="shared" si="191"/>
        <v/>
      </c>
      <c r="DA300" s="1458">
        <f t="shared" si="182"/>
        <v>0</v>
      </c>
      <c r="DB300" s="1458"/>
      <c r="DC300" s="1458"/>
      <c r="DD300" s="1458">
        <f t="shared" si="183"/>
        <v>0</v>
      </c>
      <c r="DE300" s="1458">
        <f t="shared" si="192"/>
        <v>0</v>
      </c>
      <c r="DF300" s="1458"/>
      <c r="DG300" s="1458">
        <f t="shared" si="193"/>
        <v>0</v>
      </c>
    </row>
    <row r="301" spans="1:111" ht="16.350000000000001" customHeight="1" thickTop="1" x14ac:dyDescent="0.2">
      <c r="A301" s="9473" t="s">
        <v>24</v>
      </c>
      <c r="B301" s="9460" t="s">
        <v>1052</v>
      </c>
      <c r="C301" s="9460"/>
      <c r="D301" s="3342">
        <f t="shared" ref="D301:D306" si="194">SUM(E301+F301)</f>
        <v>0</v>
      </c>
      <c r="E301" s="3889">
        <f t="shared" ref="E301:F306" si="195">SUM(G301+I301+K301+M301+O301+Q301+S301+U301+W301+Y301+AA301+AC301+AE301+AG301+AI301+AK301+AM301)</f>
        <v>0</v>
      </c>
      <c r="F301" s="3890">
        <f t="shared" si="195"/>
        <v>0</v>
      </c>
      <c r="G301" s="1865">
        <f t="shared" ref="G301:H305" si="196">+G223+G229+G235+G241+G247+G253+G259+G283+G289+G295</f>
        <v>0</v>
      </c>
      <c r="H301" s="1866">
        <f t="shared" si="196"/>
        <v>0</v>
      </c>
      <c r="I301" s="1865">
        <f t="shared" ref="G301:J306" si="197">+I223+I229+I235+I241+I247+I253+I259+I283+I289+I295</f>
        <v>0</v>
      </c>
      <c r="J301" s="1866">
        <f t="shared" si="197"/>
        <v>0</v>
      </c>
      <c r="K301" s="1866">
        <f t="shared" ref="K301:X301" si="198">+K223+K229+K235+K241+K247+K253+K259+K283+K289+K295</f>
        <v>0</v>
      </c>
      <c r="L301" s="1866">
        <f t="shared" si="198"/>
        <v>0</v>
      </c>
      <c r="M301" s="1866">
        <f t="shared" si="198"/>
        <v>0</v>
      </c>
      <c r="N301" s="1866">
        <f t="shared" si="198"/>
        <v>0</v>
      </c>
      <c r="O301" s="1866">
        <f t="shared" si="198"/>
        <v>0</v>
      </c>
      <c r="P301" s="1866">
        <f t="shared" si="198"/>
        <v>0</v>
      </c>
      <c r="Q301" s="1866">
        <f t="shared" si="198"/>
        <v>0</v>
      </c>
      <c r="R301" s="1866">
        <f t="shared" si="198"/>
        <v>0</v>
      </c>
      <c r="S301" s="1866">
        <f t="shared" si="198"/>
        <v>0</v>
      </c>
      <c r="T301" s="1866">
        <f t="shared" si="198"/>
        <v>0</v>
      </c>
      <c r="U301" s="1866">
        <f t="shared" si="198"/>
        <v>0</v>
      </c>
      <c r="V301" s="1866">
        <f t="shared" si="198"/>
        <v>0</v>
      </c>
      <c r="W301" s="1866">
        <f t="shared" si="198"/>
        <v>0</v>
      </c>
      <c r="X301" s="1866">
        <f t="shared" si="198"/>
        <v>0</v>
      </c>
      <c r="Y301" s="1865">
        <f>+Y223+Y229+Y235+Y241+Y247+Y253+Y259+Y265+Y271+Y277+Y283+Y289+Y295</f>
        <v>0</v>
      </c>
      <c r="Z301" s="1865">
        <f t="shared" ref="Z301:AH301" si="199">+Z223+Z229+Z235+Z241+Z247+Z253+Z259+Z265+Z271+Z277+Z283+Z289+Z295</f>
        <v>0</v>
      </c>
      <c r="AA301" s="1865">
        <f t="shared" si="199"/>
        <v>0</v>
      </c>
      <c r="AB301" s="1865">
        <f t="shared" si="199"/>
        <v>0</v>
      </c>
      <c r="AC301" s="1865">
        <f t="shared" si="199"/>
        <v>0</v>
      </c>
      <c r="AD301" s="1865">
        <f t="shared" si="199"/>
        <v>0</v>
      </c>
      <c r="AE301" s="1865">
        <f t="shared" si="199"/>
        <v>0</v>
      </c>
      <c r="AF301" s="1865">
        <f t="shared" si="199"/>
        <v>0</v>
      </c>
      <c r="AG301" s="1865">
        <f t="shared" si="199"/>
        <v>0</v>
      </c>
      <c r="AH301" s="1865">
        <f t="shared" si="199"/>
        <v>0</v>
      </c>
      <c r="AI301" s="1865">
        <f t="shared" ref="AI301:AN304" si="200">+AI223+AI229+AI235+AI241+AI247+AI253+AI259+AI265+AI271+AI277+AI283+AI289+AI295</f>
        <v>0</v>
      </c>
      <c r="AJ301" s="1865">
        <f t="shared" si="200"/>
        <v>0</v>
      </c>
      <c r="AK301" s="1865">
        <f t="shared" si="200"/>
        <v>0</v>
      </c>
      <c r="AL301" s="1865">
        <f t="shared" si="200"/>
        <v>0</v>
      </c>
      <c r="AM301" s="1865">
        <f t="shared" si="200"/>
        <v>0</v>
      </c>
      <c r="AN301" s="1865">
        <f t="shared" si="200"/>
        <v>0</v>
      </c>
      <c r="AO301" s="2105">
        <f t="shared" ref="AO301:AO306" si="201">+AO223+AO229+AO235+AO241+AO259+AO265+AO271+AO277+AO283+AO289+AO295</f>
        <v>0</v>
      </c>
      <c r="AP301" s="1867">
        <f>+AP223+AP229+AP235+AP259+AP265+AP271+AP277+AP283+AP289+AP295</f>
        <v>0</v>
      </c>
      <c r="AQ301" s="3342">
        <f>SUM(AQ223+AQ229+AQ235+AQ241+AQ247+AQ253+AQ259+AQ265+AQ271+AQ277+AQ283+AQ289+AQ295)</f>
        <v>0</v>
      </c>
      <c r="AR301" s="5297">
        <f>SUM(AR223+AR229+AR235+AR241+AR247+AR253+AR259+AR265+AR271+AR277+AR283+AR289+AR295)</f>
        <v>0</v>
      </c>
      <c r="AS301" s="1865">
        <f t="shared" ref="AS301:AX302" si="202">+AS223+AS229+AS235+AS241+AS247+AS253+AS259+AS265+AS271+AS277+AS283+AS289+AS295</f>
        <v>0</v>
      </c>
      <c r="AT301" s="2105">
        <f t="shared" si="202"/>
        <v>0</v>
      </c>
      <c r="AU301" s="2105">
        <f t="shared" si="202"/>
        <v>0</v>
      </c>
      <c r="AV301" s="2105">
        <f t="shared" si="202"/>
        <v>0</v>
      </c>
      <c r="AW301" s="2105">
        <f t="shared" si="202"/>
        <v>0</v>
      </c>
      <c r="AX301" s="2105">
        <f t="shared" si="202"/>
        <v>0</v>
      </c>
      <c r="BU301" s="1452"/>
      <c r="BV301" s="1452"/>
      <c r="BW301" s="1460"/>
      <c r="CA301" s="1457"/>
      <c r="CB301" s="1457"/>
      <c r="CC301" s="1457"/>
      <c r="CD301" s="1457"/>
      <c r="CE301" s="1457"/>
      <c r="CF301" s="1457"/>
      <c r="CG301" s="1457"/>
      <c r="DA301" s="1458"/>
      <c r="DB301" s="1458"/>
      <c r="DC301" s="1458"/>
      <c r="DD301" s="1458"/>
      <c r="DE301" s="1458"/>
      <c r="DF301" s="1458"/>
      <c r="DG301" s="1458"/>
    </row>
    <row r="302" spans="1:111" ht="16.350000000000001" customHeight="1" x14ac:dyDescent="0.2">
      <c r="A302" s="9473"/>
      <c r="B302" s="9392" t="s">
        <v>1051</v>
      </c>
      <c r="C302" s="9392"/>
      <c r="D302" s="3342">
        <f t="shared" si="194"/>
        <v>0</v>
      </c>
      <c r="E302" s="3889">
        <f t="shared" si="195"/>
        <v>0</v>
      </c>
      <c r="F302" s="3890">
        <f t="shared" si="195"/>
        <v>0</v>
      </c>
      <c r="G302" s="5181">
        <f t="shared" si="196"/>
        <v>0</v>
      </c>
      <c r="H302" s="1868">
        <f t="shared" si="196"/>
        <v>0</v>
      </c>
      <c r="I302" s="5181">
        <f t="shared" si="197"/>
        <v>0</v>
      </c>
      <c r="J302" s="1868">
        <f t="shared" si="197"/>
        <v>0</v>
      </c>
      <c r="K302" s="1868">
        <f t="shared" ref="K302:X302" si="203">+K224+K230+K236+K242+K248+K254+K260+K284+K290+K296</f>
        <v>0</v>
      </c>
      <c r="L302" s="1868">
        <f t="shared" si="203"/>
        <v>0</v>
      </c>
      <c r="M302" s="1868">
        <f t="shared" si="203"/>
        <v>0</v>
      </c>
      <c r="N302" s="1868">
        <f t="shared" si="203"/>
        <v>0</v>
      </c>
      <c r="O302" s="1868">
        <f t="shared" si="203"/>
        <v>0</v>
      </c>
      <c r="P302" s="1868">
        <f t="shared" si="203"/>
        <v>0</v>
      </c>
      <c r="Q302" s="1868">
        <f t="shared" si="203"/>
        <v>0</v>
      </c>
      <c r="R302" s="1868">
        <f t="shared" si="203"/>
        <v>0</v>
      </c>
      <c r="S302" s="1868">
        <f t="shared" si="203"/>
        <v>0</v>
      </c>
      <c r="T302" s="1868">
        <f t="shared" si="203"/>
        <v>0</v>
      </c>
      <c r="U302" s="1868">
        <f t="shared" si="203"/>
        <v>0</v>
      </c>
      <c r="V302" s="1868">
        <f t="shared" si="203"/>
        <v>0</v>
      </c>
      <c r="W302" s="1868">
        <f t="shared" si="203"/>
        <v>0</v>
      </c>
      <c r="X302" s="1868">
        <f t="shared" si="203"/>
        <v>0</v>
      </c>
      <c r="Y302" s="5181">
        <f>+Y224+Y230+Y236+Y242+Y248+Y254+Y260+Y266+Y272+Y278+Y284+Y290+Y296</f>
        <v>0</v>
      </c>
      <c r="Z302" s="5181">
        <f t="shared" ref="Z302:AH302" si="204">+Z224+Z230+Z236+Z242+Z248+Z254+Z260+Z266+Z272+Z278+Z284+Z290+Z296</f>
        <v>0</v>
      </c>
      <c r="AA302" s="5181">
        <f t="shared" si="204"/>
        <v>0</v>
      </c>
      <c r="AB302" s="5181">
        <f t="shared" si="204"/>
        <v>0</v>
      </c>
      <c r="AC302" s="5181">
        <f t="shared" si="204"/>
        <v>0</v>
      </c>
      <c r="AD302" s="5181">
        <f t="shared" si="204"/>
        <v>0</v>
      </c>
      <c r="AE302" s="5181">
        <f t="shared" si="204"/>
        <v>0</v>
      </c>
      <c r="AF302" s="5181">
        <f t="shared" si="204"/>
        <v>0</v>
      </c>
      <c r="AG302" s="5181">
        <f t="shared" si="204"/>
        <v>0</v>
      </c>
      <c r="AH302" s="5181">
        <f t="shared" si="204"/>
        <v>0</v>
      </c>
      <c r="AI302" s="5181">
        <f t="shared" si="200"/>
        <v>0</v>
      </c>
      <c r="AJ302" s="5181">
        <f t="shared" si="200"/>
        <v>0</v>
      </c>
      <c r="AK302" s="5181">
        <f t="shared" si="200"/>
        <v>0</v>
      </c>
      <c r="AL302" s="5181">
        <f t="shared" si="200"/>
        <v>0</v>
      </c>
      <c r="AM302" s="5181">
        <f t="shared" si="200"/>
        <v>0</v>
      </c>
      <c r="AN302" s="5181">
        <f t="shared" si="200"/>
        <v>0</v>
      </c>
      <c r="AO302" s="5298">
        <f t="shared" si="201"/>
        <v>0</v>
      </c>
      <c r="AP302" s="1869">
        <f>+AP224+AP230+AP236+AP260+AP266+AP272+AP278+AP284+AP290+AP296</f>
        <v>0</v>
      </c>
      <c r="AQ302" s="5299"/>
      <c r="AR302" s="5300"/>
      <c r="AS302" s="5181">
        <f t="shared" si="202"/>
        <v>0</v>
      </c>
      <c r="AT302" s="5298">
        <f t="shared" si="202"/>
        <v>0</v>
      </c>
      <c r="AU302" s="5298">
        <f t="shared" si="202"/>
        <v>0</v>
      </c>
      <c r="AV302" s="5298">
        <f t="shared" si="202"/>
        <v>0</v>
      </c>
      <c r="AW302" s="5298">
        <f t="shared" si="202"/>
        <v>0</v>
      </c>
      <c r="AX302" s="5298">
        <f t="shared" si="202"/>
        <v>0</v>
      </c>
      <c r="BU302" s="1452"/>
      <c r="BV302" s="1452"/>
      <c r="BW302" s="1460"/>
      <c r="CA302" s="1457"/>
      <c r="CB302" s="1457"/>
      <c r="CC302" s="1457"/>
      <c r="CD302" s="1457"/>
      <c r="CE302" s="1457"/>
      <c r="CF302" s="1457"/>
      <c r="CG302" s="1457"/>
      <c r="DA302" s="1458"/>
      <c r="DB302" s="1458"/>
      <c r="DC302" s="1458"/>
      <c r="DD302" s="1458"/>
      <c r="DE302" s="1458"/>
      <c r="DF302" s="1458"/>
      <c r="DG302" s="1458"/>
    </row>
    <row r="303" spans="1:111" ht="16.350000000000001" customHeight="1" x14ac:dyDescent="0.2">
      <c r="A303" s="9473"/>
      <c r="B303" s="9392" t="s">
        <v>1050</v>
      </c>
      <c r="C303" s="9392"/>
      <c r="D303" s="3342">
        <f t="shared" si="194"/>
        <v>0</v>
      </c>
      <c r="E303" s="3889">
        <f t="shared" si="195"/>
        <v>0</v>
      </c>
      <c r="F303" s="3890">
        <f t="shared" si="195"/>
        <v>0</v>
      </c>
      <c r="G303" s="5181">
        <f t="shared" si="196"/>
        <v>0</v>
      </c>
      <c r="H303" s="1868">
        <f t="shared" si="196"/>
        <v>0</v>
      </c>
      <c r="I303" s="5181">
        <f t="shared" si="197"/>
        <v>0</v>
      </c>
      <c r="J303" s="1868">
        <f t="shared" si="197"/>
        <v>0</v>
      </c>
      <c r="K303" s="1868">
        <f t="shared" ref="K303:X303" si="205">+K225+K231+K237+K243+K249+K255+K261+K285+K291+K297</f>
        <v>0</v>
      </c>
      <c r="L303" s="1868">
        <f t="shared" si="205"/>
        <v>0</v>
      </c>
      <c r="M303" s="1868">
        <f t="shared" si="205"/>
        <v>0</v>
      </c>
      <c r="N303" s="1868">
        <f t="shared" si="205"/>
        <v>0</v>
      </c>
      <c r="O303" s="1868">
        <f t="shared" si="205"/>
        <v>0</v>
      </c>
      <c r="P303" s="1868">
        <f t="shared" si="205"/>
        <v>0</v>
      </c>
      <c r="Q303" s="1868">
        <f t="shared" si="205"/>
        <v>0</v>
      </c>
      <c r="R303" s="1868">
        <f t="shared" si="205"/>
        <v>0</v>
      </c>
      <c r="S303" s="1868">
        <f t="shared" si="205"/>
        <v>0</v>
      </c>
      <c r="T303" s="1868">
        <f t="shared" si="205"/>
        <v>0</v>
      </c>
      <c r="U303" s="1868">
        <f t="shared" si="205"/>
        <v>0</v>
      </c>
      <c r="V303" s="1868">
        <f t="shared" si="205"/>
        <v>0</v>
      </c>
      <c r="W303" s="1868">
        <f t="shared" si="205"/>
        <v>0</v>
      </c>
      <c r="X303" s="1868">
        <f t="shared" si="205"/>
        <v>0</v>
      </c>
      <c r="Y303" s="5181">
        <f>+Y225+Y231+Y237+Y243+Y249+Y255+Y261+Y267+Y273+Y279+Y285+Y291+Y297</f>
        <v>0</v>
      </c>
      <c r="Z303" s="5181">
        <f t="shared" ref="Z303:AH303" si="206">+Z225+Z231+Z237+Z243+Z249+Z255+Z261+Z267+Z273+Z279+Z285+Z291+Z297</f>
        <v>0</v>
      </c>
      <c r="AA303" s="5181">
        <f t="shared" si="206"/>
        <v>0</v>
      </c>
      <c r="AB303" s="5181">
        <f t="shared" si="206"/>
        <v>0</v>
      </c>
      <c r="AC303" s="5181">
        <f t="shared" si="206"/>
        <v>0</v>
      </c>
      <c r="AD303" s="5181">
        <f t="shared" si="206"/>
        <v>0</v>
      </c>
      <c r="AE303" s="5181">
        <f t="shared" si="206"/>
        <v>0</v>
      </c>
      <c r="AF303" s="5181">
        <f t="shared" si="206"/>
        <v>0</v>
      </c>
      <c r="AG303" s="5181">
        <f t="shared" si="206"/>
        <v>0</v>
      </c>
      <c r="AH303" s="5181">
        <f t="shared" si="206"/>
        <v>0</v>
      </c>
      <c r="AI303" s="5181">
        <f t="shared" si="200"/>
        <v>0</v>
      </c>
      <c r="AJ303" s="5181">
        <f t="shared" si="200"/>
        <v>0</v>
      </c>
      <c r="AK303" s="5181">
        <f t="shared" si="200"/>
        <v>0</v>
      </c>
      <c r="AL303" s="5181">
        <f t="shared" si="200"/>
        <v>0</v>
      </c>
      <c r="AM303" s="5181">
        <f t="shared" si="200"/>
        <v>0</v>
      </c>
      <c r="AN303" s="5181">
        <f t="shared" si="200"/>
        <v>0</v>
      </c>
      <c r="AO303" s="5298">
        <f t="shared" si="201"/>
        <v>0</v>
      </c>
      <c r="AP303" s="1869">
        <f>+AP225+AP231+AP237+AP261+AP267+AP273+AP279+AP285+AP291+AP297</f>
        <v>0</v>
      </c>
      <c r="AQ303" s="5299"/>
      <c r="AR303" s="5300"/>
      <c r="AS303" s="5225"/>
      <c r="AT303" s="5298">
        <f t="shared" ref="AT303:AX304" si="207">+AT225+AT231+AT237+AT243+AT249+AT255+AT261+AT267+AT273+AT279+AT285+AT291+AT297</f>
        <v>0</v>
      </c>
      <c r="AU303" s="5298">
        <f t="shared" si="207"/>
        <v>0</v>
      </c>
      <c r="AV303" s="5298">
        <f t="shared" si="207"/>
        <v>0</v>
      </c>
      <c r="AW303" s="5298">
        <f t="shared" si="207"/>
        <v>0</v>
      </c>
      <c r="AX303" s="5298">
        <f t="shared" si="207"/>
        <v>0</v>
      </c>
      <c r="BU303" s="1452"/>
      <c r="BV303" s="1452"/>
      <c r="BW303" s="1460"/>
      <c r="CA303" s="1457"/>
      <c r="CB303" s="1457"/>
      <c r="CC303" s="1457"/>
      <c r="CD303" s="1457"/>
      <c r="CE303" s="1457"/>
      <c r="CF303" s="1457"/>
      <c r="CG303" s="1457"/>
      <c r="DA303" s="1458"/>
      <c r="DB303" s="1458"/>
      <c r="DC303" s="1458"/>
      <c r="DD303" s="1458"/>
      <c r="DE303" s="1458"/>
      <c r="DF303" s="1458"/>
      <c r="DG303" s="1458"/>
    </row>
    <row r="304" spans="1:111" ht="16.350000000000001" customHeight="1" x14ac:dyDescent="0.2">
      <c r="A304" s="9473"/>
      <c r="B304" s="9475" t="s">
        <v>1049</v>
      </c>
      <c r="C304" s="9476"/>
      <c r="D304" s="3342">
        <f t="shared" si="194"/>
        <v>0</v>
      </c>
      <c r="E304" s="3889">
        <f t="shared" si="195"/>
        <v>0</v>
      </c>
      <c r="F304" s="3890">
        <f t="shared" si="195"/>
        <v>0</v>
      </c>
      <c r="G304" s="5181">
        <f t="shared" si="196"/>
        <v>0</v>
      </c>
      <c r="H304" s="1868">
        <f t="shared" si="196"/>
        <v>0</v>
      </c>
      <c r="I304" s="5181">
        <f t="shared" si="197"/>
        <v>0</v>
      </c>
      <c r="J304" s="1868">
        <f t="shared" si="197"/>
        <v>0</v>
      </c>
      <c r="K304" s="1868">
        <f t="shared" ref="K304:X304" si="208">+K226+K232+K238+K244+K250+K256+K262+K286+K292+K298</f>
        <v>0</v>
      </c>
      <c r="L304" s="1868">
        <f t="shared" si="208"/>
        <v>0</v>
      </c>
      <c r="M304" s="1868">
        <f t="shared" si="208"/>
        <v>0</v>
      </c>
      <c r="N304" s="1868">
        <f t="shared" si="208"/>
        <v>0</v>
      </c>
      <c r="O304" s="1868">
        <f t="shared" si="208"/>
        <v>0</v>
      </c>
      <c r="P304" s="1868">
        <f t="shared" si="208"/>
        <v>0</v>
      </c>
      <c r="Q304" s="1868">
        <f t="shared" si="208"/>
        <v>0</v>
      </c>
      <c r="R304" s="1868">
        <f t="shared" si="208"/>
        <v>0</v>
      </c>
      <c r="S304" s="1868">
        <f t="shared" si="208"/>
        <v>0</v>
      </c>
      <c r="T304" s="1868">
        <f t="shared" si="208"/>
        <v>0</v>
      </c>
      <c r="U304" s="1868">
        <f t="shared" si="208"/>
        <v>0</v>
      </c>
      <c r="V304" s="1868">
        <f t="shared" si="208"/>
        <v>0</v>
      </c>
      <c r="W304" s="1868">
        <f t="shared" si="208"/>
        <v>0</v>
      </c>
      <c r="X304" s="1868">
        <f t="shared" si="208"/>
        <v>0</v>
      </c>
      <c r="Y304" s="5181">
        <f>+Y226+Y232+Y238+Y244+Y250+Y256+Y262+Y268+Y274+Y280+Y286+Y292+Y298</f>
        <v>0</v>
      </c>
      <c r="Z304" s="5181">
        <f t="shared" ref="Z304:AH304" si="209">+Z226+Z232+Z238+Z244+Z250+Z256+Z262+Z268+Z274+Z280+Z286+Z292+Z298</f>
        <v>0</v>
      </c>
      <c r="AA304" s="5181">
        <f t="shared" si="209"/>
        <v>0</v>
      </c>
      <c r="AB304" s="5181">
        <f t="shared" si="209"/>
        <v>0</v>
      </c>
      <c r="AC304" s="5181">
        <f t="shared" si="209"/>
        <v>0</v>
      </c>
      <c r="AD304" s="5181">
        <f t="shared" si="209"/>
        <v>0</v>
      </c>
      <c r="AE304" s="5181">
        <f t="shared" si="209"/>
        <v>0</v>
      </c>
      <c r="AF304" s="5181">
        <f t="shared" si="209"/>
        <v>0</v>
      </c>
      <c r="AG304" s="5181">
        <f t="shared" si="209"/>
        <v>0</v>
      </c>
      <c r="AH304" s="5181">
        <f t="shared" si="209"/>
        <v>0</v>
      </c>
      <c r="AI304" s="5181">
        <f t="shared" si="200"/>
        <v>0</v>
      </c>
      <c r="AJ304" s="5181">
        <f t="shared" si="200"/>
        <v>0</v>
      </c>
      <c r="AK304" s="5181">
        <f t="shared" si="200"/>
        <v>0</v>
      </c>
      <c r="AL304" s="5181">
        <f t="shared" si="200"/>
        <v>0</v>
      </c>
      <c r="AM304" s="5181">
        <f t="shared" si="200"/>
        <v>0</v>
      </c>
      <c r="AN304" s="5181">
        <f t="shared" si="200"/>
        <v>0</v>
      </c>
      <c r="AO304" s="5298">
        <f t="shared" si="201"/>
        <v>0</v>
      </c>
      <c r="AP304" s="1869">
        <f>+AP226+AP232+AP238+AP262+AP268+AP274+AP280+AP286+AP292+AP298</f>
        <v>0</v>
      </c>
      <c r="AQ304" s="5299"/>
      <c r="AR304" s="5300"/>
      <c r="AS304" s="5225"/>
      <c r="AT304" s="5298">
        <f t="shared" si="207"/>
        <v>0</v>
      </c>
      <c r="AU304" s="5298">
        <f t="shared" si="207"/>
        <v>0</v>
      </c>
      <c r="AV304" s="5298">
        <f t="shared" si="207"/>
        <v>0</v>
      </c>
      <c r="AW304" s="5298">
        <f t="shared" si="207"/>
        <v>0</v>
      </c>
      <c r="AX304" s="5298">
        <f t="shared" si="207"/>
        <v>0</v>
      </c>
      <c r="BU304" s="1452"/>
      <c r="BV304" s="1452"/>
      <c r="BW304" s="1460"/>
      <c r="CA304" s="1457"/>
      <c r="CB304" s="1457"/>
      <c r="CC304" s="1457"/>
      <c r="CD304" s="1457"/>
      <c r="CE304" s="1457"/>
      <c r="CF304" s="1457"/>
      <c r="CG304" s="1457"/>
      <c r="DA304" s="1458"/>
      <c r="DB304" s="1458"/>
      <c r="DC304" s="1458"/>
      <c r="DD304" s="1458"/>
      <c r="DE304" s="1458"/>
      <c r="DF304" s="1458"/>
      <c r="DG304" s="1458"/>
    </row>
    <row r="305" spans="1:111" ht="16.350000000000001" customHeight="1" x14ac:dyDescent="0.2">
      <c r="A305" s="9473"/>
      <c r="B305" s="9419" t="s">
        <v>2135</v>
      </c>
      <c r="C305" s="9420"/>
      <c r="D305" s="3342">
        <f t="shared" si="194"/>
        <v>0</v>
      </c>
      <c r="E305" s="3889">
        <f t="shared" si="195"/>
        <v>0</v>
      </c>
      <c r="F305" s="3890">
        <f t="shared" si="195"/>
        <v>0</v>
      </c>
      <c r="G305" s="5181">
        <f t="shared" si="196"/>
        <v>0</v>
      </c>
      <c r="H305" s="1868">
        <f t="shared" si="196"/>
        <v>0</v>
      </c>
      <c r="I305" s="5181">
        <f t="shared" si="197"/>
        <v>0</v>
      </c>
      <c r="J305" s="1868">
        <f t="shared" si="197"/>
        <v>0</v>
      </c>
      <c r="K305" s="1868">
        <f t="shared" ref="K305:X305" si="210">+K227+K233+K239+K245+K251+K257+K263+K287+K293+K299</f>
        <v>0</v>
      </c>
      <c r="L305" s="1868">
        <f t="shared" si="210"/>
        <v>0</v>
      </c>
      <c r="M305" s="1868">
        <f t="shared" si="210"/>
        <v>0</v>
      </c>
      <c r="N305" s="1868">
        <f t="shared" si="210"/>
        <v>0</v>
      </c>
      <c r="O305" s="1868">
        <f t="shared" si="210"/>
        <v>0</v>
      </c>
      <c r="P305" s="1868">
        <f t="shared" si="210"/>
        <v>0</v>
      </c>
      <c r="Q305" s="1868">
        <f t="shared" si="210"/>
        <v>0</v>
      </c>
      <c r="R305" s="1868">
        <f t="shared" si="210"/>
        <v>0</v>
      </c>
      <c r="S305" s="1868">
        <f t="shared" si="210"/>
        <v>0</v>
      </c>
      <c r="T305" s="1868">
        <f t="shared" si="210"/>
        <v>0</v>
      </c>
      <c r="U305" s="1868">
        <f t="shared" si="210"/>
        <v>0</v>
      </c>
      <c r="V305" s="1868">
        <f t="shared" si="210"/>
        <v>0</v>
      </c>
      <c r="W305" s="1868">
        <f t="shared" si="210"/>
        <v>0</v>
      </c>
      <c r="X305" s="1868">
        <f t="shared" si="210"/>
        <v>0</v>
      </c>
      <c r="Y305" s="5181">
        <f>+Y227+Y233+Y239+Y245+Y251+Y257+Y263+Y281+Y275+Y269+Y287+Y293+Y299</f>
        <v>0</v>
      </c>
      <c r="Z305" s="5181">
        <f t="shared" ref="Z305:AH305" si="211">+Z227+Z233+Z239+Z245+Z251+Z257+Z263+Z281+Z275+Z269+Z287+Z293+Z299</f>
        <v>0</v>
      </c>
      <c r="AA305" s="5181">
        <f t="shared" si="211"/>
        <v>0</v>
      </c>
      <c r="AB305" s="5181">
        <f t="shared" si="211"/>
        <v>0</v>
      </c>
      <c r="AC305" s="5181">
        <f t="shared" si="211"/>
        <v>0</v>
      </c>
      <c r="AD305" s="5181">
        <f t="shared" si="211"/>
        <v>0</v>
      </c>
      <c r="AE305" s="5181">
        <f t="shared" si="211"/>
        <v>0</v>
      </c>
      <c r="AF305" s="5181">
        <f t="shared" si="211"/>
        <v>0</v>
      </c>
      <c r="AG305" s="5181">
        <f t="shared" si="211"/>
        <v>0</v>
      </c>
      <c r="AH305" s="5181">
        <f t="shared" si="211"/>
        <v>0</v>
      </c>
      <c r="AI305" s="5181">
        <f t="shared" ref="AI305:AN305" si="212">+AI227+AI233+AI239+AI245+AI251+AI257+AI263+AI281+AI275+AI269+AI287+AI293+AI299</f>
        <v>0</v>
      </c>
      <c r="AJ305" s="5181">
        <f t="shared" si="212"/>
        <v>0</v>
      </c>
      <c r="AK305" s="5181">
        <f t="shared" si="212"/>
        <v>0</v>
      </c>
      <c r="AL305" s="5181">
        <f t="shared" si="212"/>
        <v>0</v>
      </c>
      <c r="AM305" s="5181">
        <f t="shared" si="212"/>
        <v>0</v>
      </c>
      <c r="AN305" s="5181">
        <f t="shared" si="212"/>
        <v>0</v>
      </c>
      <c r="AO305" s="5298">
        <f t="shared" si="201"/>
        <v>0</v>
      </c>
      <c r="AP305" s="1869">
        <f>+AP227+AP233+AP239+AP263+AP281+AP275+AP269+AP287+AP293+AP299</f>
        <v>0</v>
      </c>
      <c r="AQ305" s="5299"/>
      <c r="AR305" s="5300"/>
      <c r="AS305" s="3859"/>
      <c r="AT305" s="5298">
        <f>+AT227+AT233+AT239+AT245+AT251+AT257+AT263+AT281+AT275+AT269+AT287+AT293+AT299</f>
        <v>0</v>
      </c>
      <c r="AU305" s="5298">
        <f>+AU227+AU233+AU239+AU245+AU251+AU257+AU263+AU281+AU275+AU269+AU287+AU293+AU299</f>
        <v>0</v>
      </c>
      <c r="AV305" s="5298">
        <f>+AV227+AV233+AV239+AV245+AV251+AV257+AV263+AV281+AV275+AV269+AV287+AV293+AV299</f>
        <v>0</v>
      </c>
      <c r="AW305" s="5298">
        <f>+AW227+AW233+AW239+AW245+AW251+AW257+AW263+AW281+AW275+AW269+AW287+AW293+AW299</f>
        <v>0</v>
      </c>
      <c r="AX305" s="5298">
        <f>+AX227+AX233+AX239+AX245+AX251+AX257+AX263+AX281+AX275+AX269+AX287+AX293+AX299</f>
        <v>0</v>
      </c>
      <c r="BU305" s="1452"/>
      <c r="BV305" s="1452"/>
      <c r="BW305" s="1460"/>
      <c r="CA305" s="1457"/>
      <c r="CB305" s="1457"/>
      <c r="CC305" s="1457"/>
      <c r="CD305" s="1457"/>
      <c r="CE305" s="1457"/>
      <c r="CF305" s="1457"/>
      <c r="CG305" s="1457"/>
      <c r="DA305" s="1458"/>
      <c r="DB305" s="1458"/>
      <c r="DC305" s="1458"/>
      <c r="DD305" s="1458"/>
      <c r="DE305" s="1458"/>
      <c r="DF305" s="1458"/>
      <c r="DG305" s="1458"/>
    </row>
    <row r="306" spans="1:111" ht="16.350000000000001" customHeight="1" x14ac:dyDescent="0.2">
      <c r="A306" s="9474"/>
      <c r="B306" s="9461" t="s">
        <v>1048</v>
      </c>
      <c r="C306" s="9461"/>
      <c r="D306" s="5220">
        <f t="shared" si="194"/>
        <v>0</v>
      </c>
      <c r="E306" s="5301">
        <f t="shared" si="195"/>
        <v>0</v>
      </c>
      <c r="F306" s="3891">
        <f t="shared" si="195"/>
        <v>0</v>
      </c>
      <c r="G306" s="5220">
        <f t="shared" si="197"/>
        <v>0</v>
      </c>
      <c r="H306" s="3891">
        <f t="shared" si="197"/>
        <v>0</v>
      </c>
      <c r="I306" s="5220">
        <f t="shared" si="197"/>
        <v>0</v>
      </c>
      <c r="J306" s="3891">
        <f t="shared" si="197"/>
        <v>0</v>
      </c>
      <c r="K306" s="3891">
        <f t="shared" ref="K306:X306" si="213">+K228+K234+K240+K246+K252+K258+K264+K288+K294+K300</f>
        <v>0</v>
      </c>
      <c r="L306" s="3891">
        <f t="shared" si="213"/>
        <v>0</v>
      </c>
      <c r="M306" s="3891">
        <f t="shared" si="213"/>
        <v>0</v>
      </c>
      <c r="N306" s="3891">
        <f t="shared" si="213"/>
        <v>0</v>
      </c>
      <c r="O306" s="3891">
        <f t="shared" si="213"/>
        <v>0</v>
      </c>
      <c r="P306" s="3891">
        <f t="shared" si="213"/>
        <v>0</v>
      </c>
      <c r="Q306" s="3891">
        <f t="shared" si="213"/>
        <v>0</v>
      </c>
      <c r="R306" s="3891">
        <f t="shared" si="213"/>
        <v>0</v>
      </c>
      <c r="S306" s="3891">
        <f t="shared" si="213"/>
        <v>0</v>
      </c>
      <c r="T306" s="3891">
        <f t="shared" si="213"/>
        <v>0</v>
      </c>
      <c r="U306" s="3891">
        <f t="shared" si="213"/>
        <v>0</v>
      </c>
      <c r="V306" s="3891">
        <f t="shared" si="213"/>
        <v>0</v>
      </c>
      <c r="W306" s="3891">
        <f t="shared" si="213"/>
        <v>0</v>
      </c>
      <c r="X306" s="3891">
        <f t="shared" si="213"/>
        <v>0</v>
      </c>
      <c r="Y306" s="5220">
        <f>SUM(Y228+Y234+Y240+Y246+Y252+Y258+Y264+Y270+Y276+Y282+Y288+Y294+Y300)</f>
        <v>0</v>
      </c>
      <c r="Z306" s="5220">
        <f t="shared" ref="Z306:AH306" si="214">SUM(Z228+Z234+Z240+Z246+Z252+Z258+Z264+Z270+Z276+Z282+Z288+Z294+Z300)</f>
        <v>0</v>
      </c>
      <c r="AA306" s="5220">
        <f t="shared" si="214"/>
        <v>0</v>
      </c>
      <c r="AB306" s="5220">
        <f t="shared" si="214"/>
        <v>0</v>
      </c>
      <c r="AC306" s="5220">
        <f t="shared" si="214"/>
        <v>0</v>
      </c>
      <c r="AD306" s="5220">
        <f t="shared" si="214"/>
        <v>0</v>
      </c>
      <c r="AE306" s="5220">
        <f t="shared" si="214"/>
        <v>0</v>
      </c>
      <c r="AF306" s="5220">
        <f t="shared" si="214"/>
        <v>0</v>
      </c>
      <c r="AG306" s="5220">
        <f t="shared" si="214"/>
        <v>0</v>
      </c>
      <c r="AH306" s="5220">
        <f t="shared" si="214"/>
        <v>0</v>
      </c>
      <c r="AI306" s="5220">
        <f t="shared" ref="AI306:AN306" si="215">SUM(AI228+AI234+AI240+AI246+AI252+AI258+AI264+AI270+AI276+AI282+AI288+AI294+AI300)</f>
        <v>0</v>
      </c>
      <c r="AJ306" s="5220">
        <f t="shared" si="215"/>
        <v>0</v>
      </c>
      <c r="AK306" s="5220">
        <f t="shared" si="215"/>
        <v>0</v>
      </c>
      <c r="AL306" s="5220">
        <f t="shared" si="215"/>
        <v>0</v>
      </c>
      <c r="AM306" s="5220">
        <f t="shared" si="215"/>
        <v>0</v>
      </c>
      <c r="AN306" s="5220">
        <f t="shared" si="215"/>
        <v>0</v>
      </c>
      <c r="AO306" s="3892">
        <f t="shared" si="201"/>
        <v>0</v>
      </c>
      <c r="AP306" s="3893">
        <f>SUM(AP228+AP234+AP240+AP264+AP270+AP276+AP282+AP288+AP294+AP300)</f>
        <v>0</v>
      </c>
      <c r="AQ306" s="5188"/>
      <c r="AR306" s="5302"/>
      <c r="AS306" s="3861"/>
      <c r="AT306" s="3892">
        <f>SUM(AT228+AT234+AT240+AT246+AT252+AT258+AT264+AT270+AT276+AT282+AT288+AT294+AT300)</f>
        <v>0</v>
      </c>
      <c r="AU306" s="3892">
        <f>SUM(AU228+AU234+AU240+AU246+AU252+AU258+AU264+AU270+AU276+AU282+AU288+AU294+AU300)</f>
        <v>0</v>
      </c>
      <c r="AV306" s="3892">
        <f>SUM(AV228+AV234+AV240+AV246+AV252+AV258+AV264+AV270+AV276+AV282+AV288+AV294+AV300)</f>
        <v>0</v>
      </c>
      <c r="AW306" s="3892">
        <f>SUM(AW228+AW234+AW240+AW246+AW252+AW258+AW264+AW270+AW276+AW282+AW288+AW294+AW300)</f>
        <v>0</v>
      </c>
      <c r="AX306" s="3892">
        <f>SUM(AX228+AX234+AX240+AX246+AX252+AX258+AX264+AX270+AX276+AX282+AX288+AX294+AX300)</f>
        <v>0</v>
      </c>
      <c r="BU306" s="1452"/>
      <c r="BV306" s="1452"/>
      <c r="BW306" s="1460"/>
      <c r="CA306" s="1457"/>
      <c r="CB306" s="1457"/>
      <c r="CC306" s="1457"/>
      <c r="DA306" s="1458"/>
      <c r="DB306" s="1458"/>
      <c r="DC306" s="1458"/>
      <c r="DD306" s="1454"/>
      <c r="DE306" s="1454"/>
      <c r="DF306" s="1454"/>
      <c r="DG306" s="1454"/>
    </row>
    <row r="307" spans="1:111" ht="24" customHeight="1" x14ac:dyDescent="0.2">
      <c r="A307" s="133" t="s">
        <v>2051</v>
      </c>
      <c r="B307" s="685"/>
      <c r="C307" s="685"/>
      <c r="D307" s="214"/>
      <c r="E307" s="214"/>
      <c r="F307" s="214"/>
      <c r="G307" s="214"/>
      <c r="H307" s="214"/>
      <c r="I307" s="214"/>
      <c r="AL307" s="290"/>
      <c r="AM307" s="290"/>
      <c r="BV307" s="1452"/>
      <c r="BW307" s="1452"/>
      <c r="DA307" s="1454"/>
      <c r="DB307" s="1454"/>
      <c r="DC307" s="1454"/>
      <c r="DD307" s="1454"/>
      <c r="DE307" s="1454"/>
      <c r="DF307" s="1454"/>
      <c r="DG307" s="1454"/>
    </row>
    <row r="308" spans="1:111" ht="16.350000000000001" customHeight="1" x14ac:dyDescent="0.2">
      <c r="A308" s="9488" t="s">
        <v>1047</v>
      </c>
      <c r="B308" s="9489"/>
      <c r="C308" s="9490"/>
      <c r="D308" s="9515" t="s">
        <v>24</v>
      </c>
      <c r="E308" s="9516"/>
      <c r="F308" s="9517"/>
      <c r="G308" s="9299" t="s">
        <v>1061</v>
      </c>
      <c r="H308" s="9300"/>
      <c r="I308" s="9300"/>
      <c r="J308" s="9300"/>
      <c r="K308" s="9300"/>
      <c r="L308" s="9300"/>
      <c r="M308" s="9300"/>
      <c r="N308" s="9300"/>
      <c r="O308" s="9300"/>
      <c r="P308" s="9300"/>
      <c r="Q308" s="9300"/>
      <c r="R308" s="9300"/>
      <c r="S308" s="9300"/>
      <c r="T308" s="9300"/>
      <c r="U308" s="9300"/>
      <c r="V308" s="9300"/>
      <c r="W308" s="9300"/>
      <c r="X308" s="9300"/>
      <c r="Y308" s="9300"/>
      <c r="Z308" s="9300"/>
      <c r="AA308" s="9300"/>
      <c r="AB308" s="9300"/>
      <c r="AC308" s="9300"/>
      <c r="AD308" s="9300"/>
      <c r="AE308" s="9300"/>
      <c r="AF308" s="9300"/>
      <c r="AG308" s="9300"/>
      <c r="AH308" s="9300"/>
      <c r="AI308" s="9300"/>
      <c r="AJ308" s="9300"/>
      <c r="AK308" s="9300"/>
      <c r="AL308" s="9300"/>
      <c r="AM308" s="9300"/>
      <c r="AN308" s="9300"/>
      <c r="AO308" s="9300"/>
      <c r="AP308" s="9301"/>
      <c r="AQ308" s="9506" t="s">
        <v>112</v>
      </c>
      <c r="AR308" s="9507" t="s">
        <v>2525</v>
      </c>
      <c r="BV308" s="1452"/>
      <c r="BW308" s="1452"/>
      <c r="DA308" s="1454"/>
      <c r="DB308" s="1454"/>
      <c r="DC308" s="1454"/>
      <c r="DD308" s="1454"/>
      <c r="DE308" s="1454"/>
      <c r="DF308" s="1454"/>
      <c r="DG308" s="1454"/>
    </row>
    <row r="309" spans="1:111" ht="32.1" customHeight="1" x14ac:dyDescent="0.2">
      <c r="A309" s="9227"/>
      <c r="B309" s="9254"/>
      <c r="C309" s="9296"/>
      <c r="D309" s="9518"/>
      <c r="E309" s="9519"/>
      <c r="F309" s="9520"/>
      <c r="G309" s="9508" t="s">
        <v>3667</v>
      </c>
      <c r="H309" s="9509"/>
      <c r="I309" s="9299" t="s">
        <v>1077</v>
      </c>
      <c r="J309" s="9510"/>
      <c r="K309" s="9300" t="s">
        <v>1076</v>
      </c>
      <c r="L309" s="9510"/>
      <c r="M309" s="9299" t="s">
        <v>3668</v>
      </c>
      <c r="N309" s="9510"/>
      <c r="O309" s="9299" t="s">
        <v>1075</v>
      </c>
      <c r="P309" s="9510"/>
      <c r="Q309" s="9299" t="s">
        <v>1074</v>
      </c>
      <c r="R309" s="9510"/>
      <c r="S309" s="9299" t="s">
        <v>1045</v>
      </c>
      <c r="T309" s="9510"/>
      <c r="U309" s="9299" t="s">
        <v>1044</v>
      </c>
      <c r="V309" s="9510"/>
      <c r="W309" s="9299" t="s">
        <v>3669</v>
      </c>
      <c r="X309" s="9510"/>
      <c r="Y309" s="9299" t="s">
        <v>48</v>
      </c>
      <c r="Z309" s="9511"/>
      <c r="AA309" s="9299" t="s">
        <v>49</v>
      </c>
      <c r="AB309" s="9511"/>
      <c r="AC309" s="9299" t="s">
        <v>3670</v>
      </c>
      <c r="AD309" s="9511"/>
      <c r="AE309" s="9299" t="s">
        <v>3671</v>
      </c>
      <c r="AF309" s="9511"/>
      <c r="AG309" s="9299" t="s">
        <v>3672</v>
      </c>
      <c r="AH309" s="9511"/>
      <c r="AI309" s="9299" t="s">
        <v>3673</v>
      </c>
      <c r="AJ309" s="9511"/>
      <c r="AK309" s="9299" t="s">
        <v>2127</v>
      </c>
      <c r="AL309" s="9511"/>
      <c r="AM309" s="9299" t="s">
        <v>2128</v>
      </c>
      <c r="AN309" s="9511"/>
      <c r="AO309" s="9299" t="s">
        <v>2126</v>
      </c>
      <c r="AP309" s="9511"/>
      <c r="AQ309" s="8470"/>
      <c r="AR309" s="8274"/>
      <c r="BV309" s="1452"/>
      <c r="BW309" s="1452"/>
      <c r="DA309" s="1454"/>
      <c r="DB309" s="1454"/>
      <c r="DC309" s="1454"/>
      <c r="DD309" s="1454"/>
      <c r="DE309" s="1454"/>
      <c r="DF309" s="1454"/>
      <c r="DG309" s="1454"/>
    </row>
    <row r="310" spans="1:111" ht="16.350000000000001" customHeight="1" x14ac:dyDescent="0.2">
      <c r="A310" s="9281"/>
      <c r="B310" s="9195"/>
      <c r="C310" s="9282"/>
      <c r="D310" s="4927" t="s">
        <v>42</v>
      </c>
      <c r="E310" s="4924" t="s">
        <v>17</v>
      </c>
      <c r="F310" s="4925" t="s">
        <v>18</v>
      </c>
      <c r="G310" s="5303" t="s">
        <v>17</v>
      </c>
      <c r="H310" s="5304" t="s">
        <v>18</v>
      </c>
      <c r="I310" s="5305" t="s">
        <v>17</v>
      </c>
      <c r="J310" s="5304" t="s">
        <v>18</v>
      </c>
      <c r="K310" s="5305" t="s">
        <v>17</v>
      </c>
      <c r="L310" s="5304" t="s">
        <v>18</v>
      </c>
      <c r="M310" s="5305" t="s">
        <v>17</v>
      </c>
      <c r="N310" s="5304" t="s">
        <v>18</v>
      </c>
      <c r="O310" s="5305" t="s">
        <v>17</v>
      </c>
      <c r="P310" s="5304" t="s">
        <v>18</v>
      </c>
      <c r="Q310" s="5305" t="s">
        <v>17</v>
      </c>
      <c r="R310" s="5304" t="s">
        <v>18</v>
      </c>
      <c r="S310" s="5305" t="s">
        <v>17</v>
      </c>
      <c r="T310" s="5304" t="s">
        <v>18</v>
      </c>
      <c r="U310" s="5305" t="s">
        <v>17</v>
      </c>
      <c r="V310" s="5304" t="s">
        <v>18</v>
      </c>
      <c r="W310" s="5305" t="s">
        <v>17</v>
      </c>
      <c r="X310" s="5304" t="s">
        <v>18</v>
      </c>
      <c r="Y310" s="5305" t="s">
        <v>17</v>
      </c>
      <c r="Z310" s="5304" t="s">
        <v>18</v>
      </c>
      <c r="AA310" s="5305" t="s">
        <v>17</v>
      </c>
      <c r="AB310" s="5304" t="s">
        <v>18</v>
      </c>
      <c r="AC310" s="5305" t="s">
        <v>17</v>
      </c>
      <c r="AD310" s="5304" t="s">
        <v>18</v>
      </c>
      <c r="AE310" s="5305" t="s">
        <v>17</v>
      </c>
      <c r="AF310" s="5304" t="s">
        <v>18</v>
      </c>
      <c r="AG310" s="5305" t="s">
        <v>17</v>
      </c>
      <c r="AH310" s="5304" t="s">
        <v>18</v>
      </c>
      <c r="AI310" s="5305" t="s">
        <v>17</v>
      </c>
      <c r="AJ310" s="5304" t="s">
        <v>18</v>
      </c>
      <c r="AK310" s="5305" t="s">
        <v>17</v>
      </c>
      <c r="AL310" s="5304" t="s">
        <v>18</v>
      </c>
      <c r="AM310" s="5305" t="s">
        <v>17</v>
      </c>
      <c r="AN310" s="5304" t="s">
        <v>18</v>
      </c>
      <c r="AO310" s="5305" t="s">
        <v>17</v>
      </c>
      <c r="AP310" s="5304" t="s">
        <v>18</v>
      </c>
      <c r="AQ310" s="9416"/>
      <c r="AR310" s="9302"/>
      <c r="BV310" s="1452"/>
      <c r="BW310" s="1452"/>
      <c r="DA310" s="1454"/>
      <c r="DB310" s="1454"/>
      <c r="DC310" s="1454"/>
      <c r="DD310" s="1454"/>
      <c r="DE310" s="1454"/>
      <c r="DF310" s="1454"/>
      <c r="DG310" s="1454"/>
    </row>
    <row r="311" spans="1:111" ht="16.350000000000001" customHeight="1" x14ac:dyDescent="0.2">
      <c r="A311" s="9477" t="s">
        <v>1043</v>
      </c>
      <c r="B311" s="9478"/>
      <c r="C311" s="9479"/>
      <c r="D311" s="5306">
        <f>SUM(E311:F311)</f>
        <v>0</v>
      </c>
      <c r="E311" s="5307">
        <f t="shared" ref="E311:F315" si="216">SUM(G311+I311+K311+M311+O311+Q311+S311+U311+W311+Y311+AA311+AC311+AE311+AG311+AI311+AK311+AM311+AO311)</f>
        <v>0</v>
      </c>
      <c r="F311" s="5307">
        <f t="shared" si="216"/>
        <v>0</v>
      </c>
      <c r="G311" s="5308"/>
      <c r="H311" s="5309"/>
      <c r="I311" s="5308"/>
      <c r="J311" s="5309"/>
      <c r="K311" s="5308"/>
      <c r="L311" s="5309"/>
      <c r="M311" s="5308"/>
      <c r="N311" s="5309"/>
      <c r="O311" s="5308"/>
      <c r="P311" s="5309"/>
      <c r="Q311" s="5308"/>
      <c r="R311" s="5309"/>
      <c r="S311" s="5308"/>
      <c r="T311" s="5309"/>
      <c r="U311" s="5308"/>
      <c r="V311" s="5309"/>
      <c r="W311" s="5308"/>
      <c r="X311" s="5309"/>
      <c r="Y311" s="5308"/>
      <c r="Z311" s="5309"/>
      <c r="AA311" s="5308"/>
      <c r="AB311" s="5309"/>
      <c r="AC311" s="5308"/>
      <c r="AD311" s="5309"/>
      <c r="AE311" s="5308"/>
      <c r="AF311" s="5309"/>
      <c r="AG311" s="5308"/>
      <c r="AH311" s="5309"/>
      <c r="AI311" s="5308"/>
      <c r="AJ311" s="5309"/>
      <c r="AK311" s="5308"/>
      <c r="AL311" s="5309"/>
      <c r="AM311" s="5308"/>
      <c r="AN311" s="5309"/>
      <c r="AO311" s="5308"/>
      <c r="AP311" s="5310"/>
      <c r="AQ311" s="1056"/>
      <c r="AR311" s="3331"/>
      <c r="AS311" s="1529" t="str">
        <f>$CA311&amp;$CB311&amp;$CC311&amp;$CD311&amp;$CE311&amp;$CF311&amp;$CG311</f>
        <v/>
      </c>
      <c r="BV311" s="1452"/>
      <c r="BW311" s="1452"/>
      <c r="CA311" s="1457" t="str">
        <f>IF(DA311=1,"* Las actividades de 60 años NO DEBE ser mayor que el de 60-64 Años. ","")</f>
        <v/>
      </c>
      <c r="CB311" s="1457" t="str">
        <f>IF(AND(D311&lt;&gt;0,AQ311=""),"* Recuerde que las Embarazadas deben ser incluídas en el ingreso por rango Etario (Digite CEROS si no tiene). ",IF(F311&lt;AQ311,"* Las Embarazadas NO DEBEN ser mayor al total de Mujeres. ",""))</f>
        <v/>
      </c>
      <c r="DA311" s="1458">
        <f>IF((AK311+AL311)&lt;AR311,1,0)</f>
        <v>0</v>
      </c>
      <c r="DB311" s="1458">
        <f>IF(AND(D311&lt;&gt;0,AQ311=""),1,IF(F311&lt;AQ311,1,0))</f>
        <v>0</v>
      </c>
      <c r="DC311" s="1451"/>
      <c r="DD311" s="1454"/>
      <c r="DE311" s="1454"/>
      <c r="DF311" s="1454"/>
      <c r="DG311" s="1454"/>
    </row>
    <row r="312" spans="1:111" ht="16.350000000000001" customHeight="1" x14ac:dyDescent="0.2">
      <c r="A312" s="9331" t="s">
        <v>1042</v>
      </c>
      <c r="B312" s="9332"/>
      <c r="C312" s="9333"/>
      <c r="D312" s="2971">
        <f>SUM(E312:F312)</f>
        <v>0</v>
      </c>
      <c r="E312" s="2984">
        <f t="shared" si="216"/>
        <v>0</v>
      </c>
      <c r="F312" s="2984">
        <f t="shared" si="216"/>
        <v>0</v>
      </c>
      <c r="G312" s="2915"/>
      <c r="H312" s="1882"/>
      <c r="I312" s="2915"/>
      <c r="J312" s="1882"/>
      <c r="K312" s="2915"/>
      <c r="L312" s="1882"/>
      <c r="M312" s="2915"/>
      <c r="N312" s="1882"/>
      <c r="O312" s="2915"/>
      <c r="P312" s="1882"/>
      <c r="Q312" s="2915"/>
      <c r="R312" s="1882"/>
      <c r="S312" s="2915"/>
      <c r="T312" s="1882"/>
      <c r="U312" s="2915"/>
      <c r="V312" s="1882"/>
      <c r="W312" s="2915"/>
      <c r="X312" s="1882"/>
      <c r="Y312" s="2915"/>
      <c r="Z312" s="1882"/>
      <c r="AA312" s="2915"/>
      <c r="AB312" s="1882"/>
      <c r="AC312" s="2915"/>
      <c r="AD312" s="1882"/>
      <c r="AE312" s="2915"/>
      <c r="AF312" s="1882"/>
      <c r="AG312" s="2915"/>
      <c r="AH312" s="1882"/>
      <c r="AI312" s="2915"/>
      <c r="AJ312" s="1882"/>
      <c r="AK312" s="2915"/>
      <c r="AL312" s="1882"/>
      <c r="AM312" s="2915"/>
      <c r="AN312" s="1882"/>
      <c r="AO312" s="2915"/>
      <c r="AP312" s="3029"/>
      <c r="AQ312" s="5131"/>
      <c r="AR312" s="3600"/>
      <c r="AS312" s="1529" t="str">
        <f>$CA312&amp;$CB312&amp;$CC312&amp;$CD312&amp;$CE312&amp;$CF312&amp;$CG312</f>
        <v/>
      </c>
      <c r="BV312" s="1452"/>
      <c r="BW312" s="1452"/>
      <c r="CA312" s="1457" t="str">
        <f>IF(DA312=1,"* Las actividades de 60 años NO DEBE ser mayor que el de 60-64 Años. ","")</f>
        <v/>
      </c>
      <c r="CB312" s="1457" t="str">
        <f>IF(AND(D312&lt;&gt;0,AQ312=""),"* Recuerde que las Embarazadas deben ser incluídas en el ingreso por rango Etario (Digite CEROS si no tiene). ",IF(F312&lt;AQ312,"* Las Embarazadas NO DEBEN ser mayor al total de Mujeres. ",""))</f>
        <v/>
      </c>
      <c r="DA312" s="1458">
        <f>IF((AK312+AL312)&lt;AR312,1,0)</f>
        <v>0</v>
      </c>
      <c r="DB312" s="1458">
        <f>IF(AND(D312&lt;&gt;0,AQ312=""),1,IF(F312&lt;AQ312,1,0))</f>
        <v>0</v>
      </c>
      <c r="DC312" s="1451"/>
      <c r="DD312" s="1454"/>
      <c r="DE312" s="1454"/>
      <c r="DF312" s="1454"/>
      <c r="DG312" s="1454"/>
    </row>
    <row r="313" spans="1:111" ht="16.350000000000001" customHeight="1" x14ac:dyDescent="0.2">
      <c r="A313" s="9331" t="s">
        <v>1041</v>
      </c>
      <c r="B313" s="9332"/>
      <c r="C313" s="9333"/>
      <c r="D313" s="2971">
        <f>SUM(E313:F313)</f>
        <v>0</v>
      </c>
      <c r="E313" s="2984">
        <f t="shared" si="216"/>
        <v>0</v>
      </c>
      <c r="F313" s="2984">
        <f t="shared" si="216"/>
        <v>0</v>
      </c>
      <c r="G313" s="2915"/>
      <c r="H313" s="1882"/>
      <c r="I313" s="2915"/>
      <c r="J313" s="1882"/>
      <c r="K313" s="2915"/>
      <c r="L313" s="1882"/>
      <c r="M313" s="2915"/>
      <c r="N313" s="1882"/>
      <c r="O313" s="2915"/>
      <c r="P313" s="1882"/>
      <c r="Q313" s="2915"/>
      <c r="R313" s="1882"/>
      <c r="S313" s="2915"/>
      <c r="T313" s="1882"/>
      <c r="U313" s="2915"/>
      <c r="V313" s="1882"/>
      <c r="W313" s="2915"/>
      <c r="X313" s="1882"/>
      <c r="Y313" s="2915"/>
      <c r="Z313" s="1882"/>
      <c r="AA313" s="2915"/>
      <c r="AB313" s="1882"/>
      <c r="AC313" s="2915"/>
      <c r="AD313" s="1882"/>
      <c r="AE313" s="2915"/>
      <c r="AF313" s="1882"/>
      <c r="AG313" s="2915"/>
      <c r="AH313" s="1882"/>
      <c r="AI313" s="2915"/>
      <c r="AJ313" s="1882"/>
      <c r="AK313" s="2915"/>
      <c r="AL313" s="1882"/>
      <c r="AM313" s="2915"/>
      <c r="AN313" s="1882"/>
      <c r="AO313" s="2915"/>
      <c r="AP313" s="3029"/>
      <c r="AQ313" s="5131"/>
      <c r="AR313" s="3600"/>
      <c r="AS313" s="1529" t="str">
        <f>$CA313&amp;$CB313&amp;$CC313&amp;$CD313&amp;$CE313&amp;$CF313&amp;$CG313</f>
        <v/>
      </c>
      <c r="BV313" s="1452"/>
      <c r="BW313" s="1452"/>
      <c r="CA313" s="1457" t="str">
        <f>IF(DA313=1,"* Las actividades de 60 años NO DEBE ser mayor que el de 60-64 Años. ","")</f>
        <v/>
      </c>
      <c r="CB313" s="1457" t="str">
        <f>IF(AND(D313&lt;&gt;0,AQ313=""),"* Recuerde que las Embarazadas deben ser incluídas en el ingreso por rango Etario (Digite CEROS si no tiene). ",IF(F313&lt;AQ313,"* Las Embarazadas NO DEBEN ser mayor al total de Mujeres. ",""))</f>
        <v/>
      </c>
      <c r="DA313" s="1458">
        <f>IF((AK313+AL313)&lt;AR313,1,0)</f>
        <v>0</v>
      </c>
      <c r="DB313" s="1458">
        <f>IF(AND(D313&lt;&gt;0,AQ313=""),1,IF(F313&lt;AQ313,1,0))</f>
        <v>0</v>
      </c>
      <c r="DC313" s="1451"/>
      <c r="DD313" s="1454"/>
      <c r="DE313" s="1454"/>
      <c r="DF313" s="1454"/>
      <c r="DG313" s="1454"/>
    </row>
    <row r="314" spans="1:111" ht="16.350000000000001" customHeight="1" x14ac:dyDescent="0.2">
      <c r="A314" s="9480" t="s">
        <v>1040</v>
      </c>
      <c r="B314" s="9481"/>
      <c r="C314" s="9482"/>
      <c r="D314" s="2971">
        <f>SUM(E314:F314)</f>
        <v>0</v>
      </c>
      <c r="E314" s="2984">
        <f t="shared" si="216"/>
        <v>0</v>
      </c>
      <c r="F314" s="2984">
        <f t="shared" si="216"/>
        <v>0</v>
      </c>
      <c r="G314" s="2915"/>
      <c r="H314" s="1882"/>
      <c r="I314" s="2915"/>
      <c r="J314" s="1882"/>
      <c r="K314" s="2915"/>
      <c r="L314" s="1882"/>
      <c r="M314" s="2915"/>
      <c r="N314" s="1882"/>
      <c r="O314" s="2915"/>
      <c r="P314" s="1882"/>
      <c r="Q314" s="2915"/>
      <c r="R314" s="1882"/>
      <c r="S314" s="2915"/>
      <c r="T314" s="1882"/>
      <c r="U314" s="2915"/>
      <c r="V314" s="1882"/>
      <c r="W314" s="2915"/>
      <c r="X314" s="1882"/>
      <c r="Y314" s="2915"/>
      <c r="Z314" s="1882"/>
      <c r="AA314" s="2915"/>
      <c r="AB314" s="1882"/>
      <c r="AC314" s="2915"/>
      <c r="AD314" s="1882"/>
      <c r="AE314" s="2915"/>
      <c r="AF314" s="1882"/>
      <c r="AG314" s="2915"/>
      <c r="AH314" s="1882"/>
      <c r="AI314" s="2915"/>
      <c r="AJ314" s="1882"/>
      <c r="AK314" s="2915"/>
      <c r="AL314" s="1882"/>
      <c r="AM314" s="2915"/>
      <c r="AN314" s="1882"/>
      <c r="AO314" s="2915"/>
      <c r="AP314" s="3029"/>
      <c r="AQ314" s="2585"/>
      <c r="AR314" s="3213"/>
      <c r="AS314" s="1529" t="str">
        <f>$CA314&amp;$CB314&amp;$CC314&amp;$CD314&amp;$CE314&amp;$CF314&amp;$CG314</f>
        <v/>
      </c>
      <c r="BV314" s="1452"/>
      <c r="BW314" s="1452"/>
      <c r="CA314" s="1457" t="str">
        <f>IF(DA314=1,"* Las actividades de 60 años NO DEBE ser mayor que el de 60-64 Años. ","")</f>
        <v/>
      </c>
      <c r="CB314" s="1457" t="str">
        <f>IF(AND(D314&lt;&gt;0,AQ314=""),"* Recuerde que las Embarazadas deben ser incluídas en el ingreso por rango Etario (Digite CEROS si no tiene). ",IF(F314&lt;AQ314,"* Las Embarazadas NO DEBEN ser mayor al total de Mujeres. ",""))</f>
        <v/>
      </c>
      <c r="DA314" s="1458">
        <f>IF((AK314+AL314)&lt;AR314,1,0)</f>
        <v>0</v>
      </c>
      <c r="DB314" s="1458">
        <f>IF(AND(D314&lt;&gt;0,AQ314=""),1,IF(F314&lt;AQ314,1,0))</f>
        <v>0</v>
      </c>
      <c r="DC314" s="1451"/>
      <c r="DD314" s="1454"/>
      <c r="DE314" s="1454"/>
      <c r="DF314" s="1454"/>
      <c r="DG314" s="1454"/>
    </row>
    <row r="315" spans="1:111" ht="16.350000000000001" customHeight="1" x14ac:dyDescent="0.2">
      <c r="A315" s="9375" t="s">
        <v>1039</v>
      </c>
      <c r="B315" s="9447"/>
      <c r="C315" s="9376"/>
      <c r="D315" s="5193">
        <f>SUM(E315:F315)</f>
        <v>0</v>
      </c>
      <c r="E315" s="3325">
        <f t="shared" si="216"/>
        <v>0</v>
      </c>
      <c r="F315" s="3325">
        <f t="shared" si="216"/>
        <v>0</v>
      </c>
      <c r="G315" s="2533"/>
      <c r="H315" s="2884"/>
      <c r="I315" s="2533"/>
      <c r="J315" s="2884"/>
      <c r="K315" s="2533"/>
      <c r="L315" s="2884"/>
      <c r="M315" s="2533"/>
      <c r="N315" s="2884"/>
      <c r="O315" s="2533"/>
      <c r="P315" s="2884"/>
      <c r="Q315" s="2533"/>
      <c r="R315" s="2884"/>
      <c r="S315" s="2533"/>
      <c r="T315" s="2884"/>
      <c r="U315" s="2533"/>
      <c r="V315" s="2884"/>
      <c r="W315" s="2533"/>
      <c r="X315" s="2884"/>
      <c r="Y315" s="2533"/>
      <c r="Z315" s="2884"/>
      <c r="AA315" s="2533"/>
      <c r="AB315" s="2884"/>
      <c r="AC315" s="2533"/>
      <c r="AD315" s="2884"/>
      <c r="AE315" s="2533"/>
      <c r="AF315" s="2884"/>
      <c r="AG315" s="2533"/>
      <c r="AH315" s="2884"/>
      <c r="AI315" s="2533"/>
      <c r="AJ315" s="2884"/>
      <c r="AK315" s="2533"/>
      <c r="AL315" s="2884"/>
      <c r="AM315" s="2533"/>
      <c r="AN315" s="2884"/>
      <c r="AO315" s="2533"/>
      <c r="AP315" s="2893"/>
      <c r="AQ315" s="2546"/>
      <c r="AR315" s="3329"/>
      <c r="AS315" s="1529" t="str">
        <f>$CA315&amp;$CB315&amp;$CC315&amp;$CD315&amp;$CE315&amp;$CF315&amp;$CG315</f>
        <v/>
      </c>
      <c r="BV315" s="1452"/>
      <c r="BW315" s="1452"/>
      <c r="CA315" s="1457" t="str">
        <f>IF(DA315=1,"* Las actividades de 60 años NO DEBE ser mayor que el de 60-64 Años. ","")</f>
        <v/>
      </c>
      <c r="CB315" s="1457" t="str">
        <f>IF(AND(D315&lt;&gt;0,AQ315=""),"* Recuerde que las Embarazadas deben ser incluídas en el ingreso por rango Etario (Digite CEROS si no tiene). ",IF(F315&lt;AQ315,"* Las Embarazadas NO DEBEN ser mayor al total de Mujeres. ",""))</f>
        <v/>
      </c>
      <c r="DA315" s="1458">
        <f>IF((AK315+AL315)&lt;AR315,1,0)</f>
        <v>0</v>
      </c>
      <c r="DB315" s="1458">
        <f>IF(AND(D315&lt;&gt;0,AQ315=""),1,IF(F315&lt;AQ315,1,0))</f>
        <v>0</v>
      </c>
      <c r="DC315" s="1451"/>
      <c r="DD315" s="1454"/>
      <c r="DE315" s="1454"/>
      <c r="DF315" s="1454"/>
      <c r="DG315" s="1454"/>
    </row>
    <row r="316" spans="1:111" ht="33.75" customHeight="1" x14ac:dyDescent="0.2">
      <c r="A316" s="292" t="s">
        <v>3462</v>
      </c>
      <c r="B316" s="5311"/>
      <c r="C316" s="5311"/>
      <c r="D316" s="5312"/>
      <c r="E316" s="524"/>
      <c r="F316" s="290"/>
      <c r="G316" s="290"/>
      <c r="H316" s="290"/>
      <c r="I316" s="290"/>
      <c r="J316" s="290"/>
      <c r="BV316" s="1452"/>
      <c r="BW316" s="1452"/>
      <c r="DA316" s="1454"/>
      <c r="DB316" s="1454"/>
      <c r="DC316" s="1454"/>
      <c r="DD316" s="1454"/>
      <c r="DE316" s="1454"/>
      <c r="DF316" s="1454"/>
      <c r="DG316" s="1454"/>
    </row>
    <row r="317" spans="1:111" ht="38.25" customHeight="1" x14ac:dyDescent="0.2">
      <c r="A317" s="9299" t="s">
        <v>1002</v>
      </c>
      <c r="B317" s="9483"/>
      <c r="C317" s="5313" t="s">
        <v>1037</v>
      </c>
      <c r="D317" s="5313" t="s">
        <v>1036</v>
      </c>
      <c r="E317" s="5313" t="s">
        <v>1035</v>
      </c>
      <c r="F317" s="290"/>
      <c r="G317" s="290"/>
      <c r="H317" s="290"/>
      <c r="I317" s="290"/>
      <c r="J317" s="290"/>
      <c r="BV317" s="1452"/>
      <c r="BW317" s="1452"/>
    </row>
    <row r="318" spans="1:111" x14ac:dyDescent="0.2">
      <c r="A318" s="9484" t="s">
        <v>1034</v>
      </c>
      <c r="B318" s="9485"/>
      <c r="C318" s="5314"/>
      <c r="D318" s="5314"/>
      <c r="E318" s="5314"/>
      <c r="F318" s="290"/>
      <c r="G318" s="290"/>
      <c r="H318" s="290"/>
      <c r="I318" s="290"/>
      <c r="J318" s="290"/>
      <c r="BV318" s="1452"/>
      <c r="BW318" s="1452"/>
    </row>
    <row r="319" spans="1:111" ht="14.25" customHeight="1" x14ac:dyDescent="0.2">
      <c r="A319" s="9471" t="s">
        <v>1033</v>
      </c>
      <c r="B319" s="9472"/>
      <c r="C319" s="3600"/>
      <c r="D319" s="3600"/>
      <c r="E319" s="3600"/>
      <c r="F319" s="290"/>
      <c r="G319" s="290"/>
      <c r="H319" s="290"/>
      <c r="I319" s="290"/>
      <c r="J319" s="290"/>
      <c r="BV319" s="1452"/>
      <c r="BW319" s="1452"/>
    </row>
    <row r="320" spans="1:111" ht="16.350000000000001" customHeight="1" x14ac:dyDescent="0.2">
      <c r="A320" s="9486" t="s">
        <v>1032</v>
      </c>
      <c r="B320" s="9487"/>
      <c r="C320" s="3600"/>
      <c r="D320" s="3600"/>
      <c r="E320" s="3600"/>
      <c r="F320" s="290"/>
      <c r="G320" s="290"/>
      <c r="H320" s="290"/>
      <c r="I320" s="290"/>
      <c r="J320" s="290"/>
      <c r="BV320" s="1452"/>
      <c r="BW320" s="1452"/>
    </row>
    <row r="321" spans="1:75" ht="16.350000000000001" customHeight="1" x14ac:dyDescent="0.2">
      <c r="A321" s="9471" t="s">
        <v>1031</v>
      </c>
      <c r="B321" s="9472"/>
      <c r="C321" s="3600"/>
      <c r="D321" s="3600"/>
      <c r="E321" s="3600"/>
      <c r="F321" s="290"/>
      <c r="G321" s="290"/>
      <c r="H321" s="290"/>
      <c r="I321" s="290"/>
      <c r="J321" s="290"/>
      <c r="BV321" s="1452"/>
      <c r="BW321" s="1452"/>
    </row>
    <row r="322" spans="1:75" ht="16.350000000000001" customHeight="1" x14ac:dyDescent="0.2">
      <c r="A322" s="9471" t="s">
        <v>1030</v>
      </c>
      <c r="B322" s="9472"/>
      <c r="C322" s="3600"/>
      <c r="D322" s="3600"/>
      <c r="E322" s="3600"/>
      <c r="F322" s="290"/>
      <c r="G322" s="290"/>
      <c r="H322" s="290"/>
      <c r="I322" s="290"/>
      <c r="J322" s="290"/>
      <c r="BV322" s="1452"/>
      <c r="BW322" s="1452"/>
    </row>
    <row r="323" spans="1:75" ht="16.350000000000001" customHeight="1" x14ac:dyDescent="0.2">
      <c r="A323" s="9471" t="s">
        <v>1029</v>
      </c>
      <c r="B323" s="9472"/>
      <c r="C323" s="3600"/>
      <c r="D323" s="3600"/>
      <c r="E323" s="3600"/>
      <c r="F323" s="290"/>
      <c r="G323" s="290"/>
      <c r="H323" s="290"/>
      <c r="I323" s="290"/>
      <c r="J323" s="290"/>
      <c r="BV323" s="1452"/>
      <c r="BW323" s="1452"/>
    </row>
    <row r="324" spans="1:75" ht="16.350000000000001" customHeight="1" x14ac:dyDescent="0.2">
      <c r="A324" s="9491" t="s">
        <v>1025</v>
      </c>
      <c r="B324" s="9492"/>
      <c r="C324" s="3600"/>
      <c r="D324" s="3600"/>
      <c r="E324" s="3600"/>
      <c r="F324" s="290"/>
      <c r="G324" s="290"/>
      <c r="H324" s="290"/>
      <c r="I324" s="290"/>
      <c r="J324" s="290"/>
      <c r="BV324" s="1452"/>
      <c r="BW324" s="1452"/>
    </row>
    <row r="325" spans="1:75" ht="16.350000000000001" customHeight="1" x14ac:dyDescent="0.2">
      <c r="A325" s="9493" t="s">
        <v>1028</v>
      </c>
      <c r="B325" s="9494"/>
      <c r="C325" s="3600"/>
      <c r="D325" s="3600"/>
      <c r="E325" s="3600"/>
      <c r="F325" s="290"/>
      <c r="G325" s="290"/>
      <c r="H325" s="290"/>
      <c r="I325" s="290"/>
      <c r="J325" s="290"/>
      <c r="BV325" s="1452"/>
      <c r="BW325" s="1452"/>
    </row>
    <row r="326" spans="1:75" ht="16.350000000000001" customHeight="1" x14ac:dyDescent="0.2">
      <c r="A326" s="9493" t="s">
        <v>1027</v>
      </c>
      <c r="B326" s="9494"/>
      <c r="C326" s="3600"/>
      <c r="D326" s="3600"/>
      <c r="E326" s="3600"/>
      <c r="F326" s="290"/>
      <c r="G326" s="290"/>
      <c r="H326" s="290"/>
      <c r="I326" s="290"/>
      <c r="J326" s="290"/>
      <c r="BV326" s="1452"/>
      <c r="BW326" s="1452"/>
    </row>
    <row r="327" spans="1:75" ht="14.25" customHeight="1" x14ac:dyDescent="0.2">
      <c r="A327" s="9469" t="s">
        <v>1026</v>
      </c>
      <c r="B327" s="9470"/>
      <c r="C327" s="3329"/>
      <c r="D327" s="3329"/>
      <c r="E327" s="3329"/>
      <c r="F327" s="290"/>
      <c r="G327" s="290"/>
      <c r="H327" s="290"/>
      <c r="I327" s="290"/>
      <c r="J327" s="290"/>
      <c r="BV327" s="1452"/>
      <c r="BW327" s="1452"/>
    </row>
    <row r="328" spans="1:75" x14ac:dyDescent="0.2">
      <c r="BV328" s="1452"/>
      <c r="BW328" s="1452"/>
    </row>
    <row r="329" spans="1:75" x14ac:dyDescent="0.2">
      <c r="BV329" s="1452"/>
      <c r="BW329" s="1452"/>
    </row>
    <row r="330" spans="1:75" x14ac:dyDescent="0.2">
      <c r="BV330" s="1452"/>
      <c r="BW330" s="1452"/>
    </row>
    <row r="331" spans="1:75" x14ac:dyDescent="0.2">
      <c r="BV331" s="1452"/>
      <c r="BW331" s="1452"/>
    </row>
    <row r="332" spans="1:75" s="1440" customFormat="1" hidden="1" x14ac:dyDescent="0.2">
      <c r="A332" s="1440">
        <f>SUM(D12:D15,D41:D64,D36,D67:D80,D84:D85,D143,D157,D162:D198,D203:D206,D213:D216,D301:D306,AQ301:AR301,AS301:AX302,AT303:AX306,D311:D315,C318:E327)</f>
        <v>0</v>
      </c>
      <c r="B332" s="1440">
        <f>SUM(DA1:DZ327)</f>
        <v>0</v>
      </c>
    </row>
    <row r="333" spans="1:75" x14ac:dyDescent="0.2">
      <c r="BV333" s="1452"/>
      <c r="BW333" s="1452"/>
    </row>
    <row r="334" spans="1:75" x14ac:dyDescent="0.2">
      <c r="BV334" s="1452"/>
      <c r="BW334" s="1452"/>
    </row>
    <row r="335" spans="1:75" x14ac:dyDescent="0.2">
      <c r="BV335" s="1452"/>
      <c r="BW335" s="1452"/>
    </row>
    <row r="336" spans="1:75" x14ac:dyDescent="0.2">
      <c r="BV336" s="1452"/>
      <c r="BW336" s="1452"/>
    </row>
    <row r="337" spans="74:75" x14ac:dyDescent="0.2">
      <c r="BV337" s="1452"/>
      <c r="BW337" s="1452"/>
    </row>
    <row r="338" spans="74:75" x14ac:dyDescent="0.2">
      <c r="BV338" s="1452"/>
      <c r="BW338" s="1452"/>
    </row>
    <row r="339" spans="74:75" x14ac:dyDescent="0.2">
      <c r="BV339" s="1452"/>
      <c r="BW339" s="1452"/>
    </row>
    <row r="340" spans="74:75" x14ac:dyDescent="0.2">
      <c r="BV340" s="1452"/>
      <c r="BW340" s="1452"/>
    </row>
    <row r="341" spans="74:75" x14ac:dyDescent="0.2">
      <c r="BV341" s="1452"/>
      <c r="BW341" s="1452"/>
    </row>
    <row r="342" spans="74:75" x14ac:dyDescent="0.2">
      <c r="BV342" s="1452"/>
      <c r="BW342" s="1452"/>
    </row>
    <row r="343" spans="74:75" x14ac:dyDescent="0.2">
      <c r="BV343" s="1452"/>
      <c r="BW343" s="1452"/>
    </row>
    <row r="344" spans="74:75" x14ac:dyDescent="0.2">
      <c r="BV344" s="1452"/>
      <c r="BW344" s="1452"/>
    </row>
    <row r="345" spans="74:75" x14ac:dyDescent="0.2">
      <c r="BV345" s="1452"/>
      <c r="BW345" s="1452"/>
    </row>
    <row r="346" spans="74:75" x14ac:dyDescent="0.2">
      <c r="BV346" s="1452"/>
      <c r="BW346" s="1452"/>
    </row>
    <row r="347" spans="74:75" x14ac:dyDescent="0.2">
      <c r="BV347" s="1452"/>
      <c r="BW347" s="1452"/>
    </row>
    <row r="348" spans="74:75" x14ac:dyDescent="0.2">
      <c r="BV348" s="1452"/>
      <c r="BW348" s="1452"/>
    </row>
    <row r="349" spans="74:75" x14ac:dyDescent="0.2">
      <c r="BV349" s="1452"/>
      <c r="BW349" s="1452"/>
    </row>
    <row r="350" spans="74:75" x14ac:dyDescent="0.2">
      <c r="BV350" s="1452"/>
      <c r="BW350" s="1452"/>
    </row>
    <row r="351" spans="74:75" x14ac:dyDescent="0.2">
      <c r="BV351" s="1452"/>
      <c r="BW351" s="1452"/>
    </row>
    <row r="352" spans="74:75" x14ac:dyDescent="0.2">
      <c r="BV352" s="1452"/>
      <c r="BW352" s="1452"/>
    </row>
    <row r="353" spans="1:98" x14ac:dyDescent="0.2">
      <c r="BV353" s="1452"/>
      <c r="BW353" s="1452"/>
    </row>
    <row r="354" spans="1:98" x14ac:dyDescent="0.2">
      <c r="BV354" s="1452"/>
      <c r="BW354" s="1452"/>
    </row>
    <row r="355" spans="1:98" x14ac:dyDescent="0.2">
      <c r="BV355" s="1452"/>
      <c r="BW355" s="1452"/>
    </row>
    <row r="356" spans="1:98" x14ac:dyDescent="0.2">
      <c r="BV356" s="1452"/>
      <c r="BW356" s="1452"/>
    </row>
    <row r="357" spans="1:98" x14ac:dyDescent="0.2">
      <c r="BV357" s="1452"/>
      <c r="BW357" s="1452"/>
    </row>
    <row r="358" spans="1:98" x14ac:dyDescent="0.2">
      <c r="BV358" s="1452"/>
      <c r="BW358" s="1452"/>
    </row>
    <row r="359" spans="1:98" x14ac:dyDescent="0.2">
      <c r="BV359" s="1452"/>
      <c r="BW359" s="1452"/>
    </row>
    <row r="360" spans="1:98" x14ac:dyDescent="0.2">
      <c r="BV360" s="1452"/>
      <c r="BW360" s="1452"/>
    </row>
    <row r="361" spans="1:98" x14ac:dyDescent="0.2">
      <c r="BV361" s="1452"/>
      <c r="BW361" s="1452"/>
    </row>
    <row r="362" spans="1:98" x14ac:dyDescent="0.2">
      <c r="BV362" s="1452"/>
      <c r="BW362" s="1452"/>
    </row>
    <row r="363" spans="1:98" s="1440" customFormat="1" hidden="1" x14ac:dyDescent="0.2">
      <c r="A363" s="1440">
        <f>SUM(D12:D15,D36,D64,D67:J80,D84:D85,D143,D157,D162:D198,D203:D206,D213:D216,D301:D306,D311:D315,C318:C327)</f>
        <v>0</v>
      </c>
      <c r="B363" s="1440">
        <f>SUM(DA9:DZ327)</f>
        <v>0</v>
      </c>
      <c r="AQ363" s="165"/>
      <c r="AR363" s="165"/>
      <c r="AS363" s="165"/>
      <c r="AT363" s="165"/>
      <c r="AU363" s="165"/>
      <c r="AV363" s="165"/>
      <c r="AW363" s="165"/>
      <c r="AY363" s="199"/>
      <c r="BV363" s="1441"/>
      <c r="BW363" s="1441"/>
      <c r="BX363" s="1441"/>
      <c r="BY363" s="1441"/>
      <c r="BZ363" s="1441"/>
      <c r="CA363" s="1451"/>
      <c r="CB363" s="1451"/>
      <c r="CC363" s="1451"/>
      <c r="CD363" s="1451"/>
      <c r="CE363" s="1451"/>
      <c r="CF363" s="1451"/>
      <c r="CG363" s="1451"/>
      <c r="CH363" s="1451"/>
      <c r="CI363" s="1451"/>
      <c r="CJ363" s="1451"/>
      <c r="CK363" s="1451"/>
      <c r="CL363" s="1451"/>
      <c r="CM363" s="1451"/>
      <c r="CN363" s="1451"/>
      <c r="CO363" s="1451"/>
      <c r="CP363" s="1451"/>
      <c r="CQ363" s="1451"/>
      <c r="CR363" s="1451"/>
      <c r="CS363" s="1451"/>
      <c r="CT363" s="1451"/>
    </row>
    <row r="364" spans="1:98" ht="12" customHeight="1" x14ac:dyDescent="0.2">
      <c r="AQ364" s="199"/>
      <c r="AR364" s="199"/>
      <c r="AS364" s="199"/>
      <c r="AT364" s="199"/>
      <c r="AU364" s="199"/>
      <c r="AV364" s="199"/>
      <c r="AW364" s="199"/>
      <c r="BV364" s="1452"/>
      <c r="BW364" s="1452"/>
    </row>
    <row r="366" spans="1:98" x14ac:dyDescent="0.2">
      <c r="BV366" s="1452"/>
      <c r="BW366" s="1452"/>
    </row>
    <row r="367" spans="1:98" x14ac:dyDescent="0.2">
      <c r="BV367" s="1452"/>
      <c r="BW367" s="1452"/>
    </row>
    <row r="368" spans="1:98" x14ac:dyDescent="0.2">
      <c r="BV368" s="1452"/>
      <c r="BW368" s="1452"/>
    </row>
    <row r="369" spans="74:75" x14ac:dyDescent="0.2">
      <c r="BV369" s="1452"/>
      <c r="BW369" s="1452"/>
    </row>
    <row r="370" spans="74:75" x14ac:dyDescent="0.2">
      <c r="BV370" s="1452"/>
      <c r="BW370" s="1452"/>
    </row>
    <row r="371" spans="74:75" x14ac:dyDescent="0.2">
      <c r="BV371" s="1452"/>
      <c r="BW371" s="1452"/>
    </row>
    <row r="372" spans="74:75" x14ac:dyDescent="0.2">
      <c r="BV372" s="1452"/>
      <c r="BW372" s="1452"/>
    </row>
    <row r="373" spans="74:75" x14ac:dyDescent="0.2">
      <c r="BV373" s="1452"/>
      <c r="BW373" s="1452"/>
    </row>
    <row r="374" spans="74:75" x14ac:dyDescent="0.2">
      <c r="BV374" s="1452"/>
      <c r="BW374" s="1452"/>
    </row>
    <row r="375" spans="74:75" x14ac:dyDescent="0.2">
      <c r="BV375" s="1452"/>
      <c r="BW375" s="1452"/>
    </row>
    <row r="376" spans="74:75" x14ac:dyDescent="0.2">
      <c r="BV376" s="1452"/>
      <c r="BW376" s="1452"/>
    </row>
    <row r="377" spans="74:75" x14ac:dyDescent="0.2">
      <c r="BV377" s="1452"/>
      <c r="BW377" s="1452"/>
    </row>
    <row r="378" spans="74:75" x14ac:dyDescent="0.2">
      <c r="BV378" s="1452"/>
      <c r="BW378" s="1452"/>
    </row>
    <row r="379" spans="74:75" x14ac:dyDescent="0.2">
      <c r="BV379" s="1452"/>
      <c r="BW379" s="1452"/>
    </row>
    <row r="380" spans="74:75" x14ac:dyDescent="0.2">
      <c r="BV380" s="1452"/>
      <c r="BW380" s="1452"/>
    </row>
    <row r="381" spans="74:75" x14ac:dyDescent="0.2">
      <c r="BV381" s="1452"/>
      <c r="BW381" s="1452"/>
    </row>
    <row r="382" spans="74:75" x14ac:dyDescent="0.2">
      <c r="BV382" s="1452"/>
      <c r="BW382" s="1452"/>
    </row>
    <row r="383" spans="74:75" x14ac:dyDescent="0.2">
      <c r="BV383" s="1452"/>
      <c r="BW383" s="1452"/>
    </row>
    <row r="384" spans="74:75" x14ac:dyDescent="0.2">
      <c r="BV384" s="1452"/>
      <c r="BW384" s="1452"/>
    </row>
    <row r="385" spans="74:75" x14ac:dyDescent="0.2">
      <c r="BV385" s="1452"/>
      <c r="BW385" s="1452"/>
    </row>
    <row r="386" spans="74:75" x14ac:dyDescent="0.2">
      <c r="BV386" s="1452"/>
      <c r="BW386" s="1452"/>
    </row>
    <row r="387" spans="74:75" x14ac:dyDescent="0.2">
      <c r="BV387" s="1452"/>
      <c r="BW387" s="1452"/>
    </row>
    <row r="388" spans="74:75" x14ac:dyDescent="0.2">
      <c r="BV388" s="1452"/>
      <c r="BW388" s="1452"/>
    </row>
    <row r="389" spans="74:75" x14ac:dyDescent="0.2">
      <c r="BV389" s="1452"/>
      <c r="BW389" s="1452"/>
    </row>
    <row r="390" spans="74:75" x14ac:dyDescent="0.2">
      <c r="BV390" s="1452"/>
      <c r="BW390" s="1452"/>
    </row>
    <row r="391" spans="74:75" x14ac:dyDescent="0.2">
      <c r="BV391" s="1452"/>
      <c r="BW391" s="1452"/>
    </row>
    <row r="392" spans="74:75" x14ac:dyDescent="0.2">
      <c r="BV392" s="1452"/>
      <c r="BW392" s="1452"/>
    </row>
    <row r="393" spans="74:75" x14ac:dyDescent="0.2">
      <c r="BV393" s="1452"/>
      <c r="BW393" s="1452"/>
    </row>
    <row r="394" spans="74:75" x14ac:dyDescent="0.2">
      <c r="BV394" s="1452"/>
      <c r="BW394" s="1452"/>
    </row>
    <row r="395" spans="74:75" x14ac:dyDescent="0.2">
      <c r="BV395" s="1452"/>
      <c r="BW395" s="1452"/>
    </row>
    <row r="396" spans="74:75" x14ac:dyDescent="0.2">
      <c r="BV396" s="1452"/>
      <c r="BW396" s="1452"/>
    </row>
    <row r="397" spans="74:75" x14ac:dyDescent="0.2">
      <c r="BV397" s="1452"/>
      <c r="BW397" s="1452"/>
    </row>
    <row r="398" spans="74:75" x14ac:dyDescent="0.2">
      <c r="BV398" s="1452"/>
      <c r="BW398" s="1452"/>
    </row>
    <row r="399" spans="74:75" x14ac:dyDescent="0.2">
      <c r="BV399" s="1452"/>
      <c r="BW399" s="1452"/>
    </row>
    <row r="400" spans="74:75" x14ac:dyDescent="0.2">
      <c r="BV400" s="1452"/>
      <c r="BW400" s="1452"/>
    </row>
    <row r="401" spans="74:75" x14ac:dyDescent="0.2">
      <c r="BV401" s="1452"/>
      <c r="BW401" s="1452"/>
    </row>
    <row r="402" spans="74:75" x14ac:dyDescent="0.2">
      <c r="BV402" s="1452"/>
      <c r="BW402" s="1452"/>
    </row>
    <row r="403" spans="74:75" x14ac:dyDescent="0.2">
      <c r="BV403" s="1452"/>
      <c r="BW403" s="1452"/>
    </row>
    <row r="404" spans="74:75" x14ac:dyDescent="0.2">
      <c r="BV404" s="1452"/>
      <c r="BW404" s="1452"/>
    </row>
    <row r="405" spans="74:75" x14ac:dyDescent="0.2">
      <c r="BV405" s="1452"/>
      <c r="BW405" s="1452"/>
    </row>
    <row r="406" spans="74:75" x14ac:dyDescent="0.2">
      <c r="BV406" s="1452"/>
      <c r="BW406" s="1452"/>
    </row>
    <row r="407" spans="74:75" x14ac:dyDescent="0.2">
      <c r="BV407" s="1452"/>
      <c r="BW407" s="1452"/>
    </row>
    <row r="408" spans="74:75" x14ac:dyDescent="0.2">
      <c r="BV408" s="1452"/>
      <c r="BW408" s="1452"/>
    </row>
    <row r="409" spans="74:75" x14ac:dyDescent="0.2">
      <c r="BV409" s="1452"/>
      <c r="BW409" s="1452"/>
    </row>
    <row r="410" spans="74:75" x14ac:dyDescent="0.2">
      <c r="BV410" s="1452"/>
      <c r="BW410" s="1452"/>
    </row>
    <row r="411" spans="74:75" x14ac:dyDescent="0.2">
      <c r="BV411" s="1452"/>
      <c r="BW411" s="1452"/>
    </row>
    <row r="412" spans="74:75" x14ac:dyDescent="0.2">
      <c r="BV412" s="1452"/>
      <c r="BW412" s="1452"/>
    </row>
  </sheetData>
  <sheetProtection algorithmName="SHA-512" hashValue="fx5ng1tyXsCRAUSNnv2ydM8O4g0PHfj2gL2hUL3/R03zXXgExFMFAj0gqPC5GIqpSYUChjWCebpigdLDnvWs6Q==" saltValue="MXf6QtwdSw+Wa3e3k9jrOA==" spinCount="100000" sheet="1" objects="1" scenarios="1"/>
  <mergeCells count="542">
    <mergeCell ref="AW218:AW220"/>
    <mergeCell ref="D308:F309"/>
    <mergeCell ref="G308:AP308"/>
    <mergeCell ref="B273:C273"/>
    <mergeCell ref="B274:C274"/>
    <mergeCell ref="B275:C275"/>
    <mergeCell ref="B276:C276"/>
    <mergeCell ref="A265:A270"/>
    <mergeCell ref="B265:C265"/>
    <mergeCell ref="B266:C266"/>
    <mergeCell ref="B267:C267"/>
    <mergeCell ref="B268:C268"/>
    <mergeCell ref="B269:C269"/>
    <mergeCell ref="B270:C270"/>
    <mergeCell ref="AV218:AV220"/>
    <mergeCell ref="B284:C284"/>
    <mergeCell ref="B285:C285"/>
    <mergeCell ref="B286:C286"/>
    <mergeCell ref="B287:C287"/>
    <mergeCell ref="B288:C288"/>
    <mergeCell ref="A277:A282"/>
    <mergeCell ref="B277:C277"/>
    <mergeCell ref="B278:C278"/>
    <mergeCell ref="B279:C279"/>
    <mergeCell ref="B280:C280"/>
    <mergeCell ref="B281:C281"/>
    <mergeCell ref="B282:C282"/>
    <mergeCell ref="A271:A276"/>
    <mergeCell ref="B271:C271"/>
    <mergeCell ref="B272:C272"/>
    <mergeCell ref="A259:A264"/>
    <mergeCell ref="B259:C259"/>
    <mergeCell ref="B260:C260"/>
    <mergeCell ref="B261:C261"/>
    <mergeCell ref="B264:C264"/>
    <mergeCell ref="G246:H246"/>
    <mergeCell ref="B283:C283"/>
    <mergeCell ref="B262:C262"/>
    <mergeCell ref="B263:C263"/>
    <mergeCell ref="AQ308:AQ310"/>
    <mergeCell ref="AR308:AR310"/>
    <mergeCell ref="G309:H309"/>
    <mergeCell ref="I309:J309"/>
    <mergeCell ref="K309:L309"/>
    <mergeCell ref="M309:N309"/>
    <mergeCell ref="O309:P309"/>
    <mergeCell ref="Q309:R309"/>
    <mergeCell ref="S309:T309"/>
    <mergeCell ref="U309:V309"/>
    <mergeCell ref="W309:X309"/>
    <mergeCell ref="Y309:Z309"/>
    <mergeCell ref="AA309:AB309"/>
    <mergeCell ref="AC309:AD309"/>
    <mergeCell ref="AE309:AF309"/>
    <mergeCell ref="AI309:AJ309"/>
    <mergeCell ref="AK309:AL309"/>
    <mergeCell ref="AM309:AN309"/>
    <mergeCell ref="AO309:AP309"/>
    <mergeCell ref="AG309:AH309"/>
    <mergeCell ref="AX9:AX11"/>
    <mergeCell ref="AX17:AX18"/>
    <mergeCell ref="A324:B324"/>
    <mergeCell ref="A325:B325"/>
    <mergeCell ref="A326:B326"/>
    <mergeCell ref="A295:A300"/>
    <mergeCell ref="B295:C295"/>
    <mergeCell ref="B296:C296"/>
    <mergeCell ref="B297:C297"/>
    <mergeCell ref="B298:C298"/>
    <mergeCell ref="B299:C299"/>
    <mergeCell ref="B300:C300"/>
    <mergeCell ref="A289:A294"/>
    <mergeCell ref="B289:C289"/>
    <mergeCell ref="B290:C290"/>
    <mergeCell ref="B291:C291"/>
    <mergeCell ref="B292:C292"/>
    <mergeCell ref="B293:C293"/>
    <mergeCell ref="B294:C294"/>
    <mergeCell ref="A283:A288"/>
    <mergeCell ref="AX218:AX220"/>
    <mergeCell ref="G228:H228"/>
    <mergeCell ref="G234:H234"/>
    <mergeCell ref="G240:H240"/>
    <mergeCell ref="A327:B327"/>
    <mergeCell ref="A323:B323"/>
    <mergeCell ref="A301:A306"/>
    <mergeCell ref="B301:C301"/>
    <mergeCell ref="B302:C302"/>
    <mergeCell ref="B303:C303"/>
    <mergeCell ref="B304:C304"/>
    <mergeCell ref="B305:C305"/>
    <mergeCell ref="B306:C306"/>
    <mergeCell ref="A311:C311"/>
    <mergeCell ref="A312:C312"/>
    <mergeCell ref="A313:C313"/>
    <mergeCell ref="A314:C314"/>
    <mergeCell ref="A315:C315"/>
    <mergeCell ref="A317:B317"/>
    <mergeCell ref="A318:B318"/>
    <mergeCell ref="A319:B319"/>
    <mergeCell ref="A320:B320"/>
    <mergeCell ref="A321:B321"/>
    <mergeCell ref="A322:B322"/>
    <mergeCell ref="A308:C310"/>
    <mergeCell ref="A253:A258"/>
    <mergeCell ref="B253:C253"/>
    <mergeCell ref="B254:C254"/>
    <mergeCell ref="B255:C255"/>
    <mergeCell ref="B256:C256"/>
    <mergeCell ref="B257:C257"/>
    <mergeCell ref="B258:C258"/>
    <mergeCell ref="A247:A252"/>
    <mergeCell ref="B247:C247"/>
    <mergeCell ref="B248:C248"/>
    <mergeCell ref="B249:C249"/>
    <mergeCell ref="B250:C250"/>
    <mergeCell ref="B251:C251"/>
    <mergeCell ref="B252:C252"/>
    <mergeCell ref="A241:A246"/>
    <mergeCell ref="B241:C241"/>
    <mergeCell ref="B242:C242"/>
    <mergeCell ref="B243:C243"/>
    <mergeCell ref="B244:C244"/>
    <mergeCell ref="B245:C245"/>
    <mergeCell ref="B246:C246"/>
    <mergeCell ref="A235:A240"/>
    <mergeCell ref="B235:C235"/>
    <mergeCell ref="B236:C236"/>
    <mergeCell ref="B237:C237"/>
    <mergeCell ref="B238:C238"/>
    <mergeCell ref="B239:C239"/>
    <mergeCell ref="B240:C240"/>
    <mergeCell ref="A229:A234"/>
    <mergeCell ref="B229:C229"/>
    <mergeCell ref="B230:C230"/>
    <mergeCell ref="B231:C231"/>
    <mergeCell ref="B232:C232"/>
    <mergeCell ref="B233:C233"/>
    <mergeCell ref="B234:C234"/>
    <mergeCell ref="A221:A222"/>
    <mergeCell ref="B221:C221"/>
    <mergeCell ref="B222:C222"/>
    <mergeCell ref="A223:A228"/>
    <mergeCell ref="B223:C223"/>
    <mergeCell ref="B224:C224"/>
    <mergeCell ref="B225:C225"/>
    <mergeCell ref="B226:C226"/>
    <mergeCell ref="B227:C227"/>
    <mergeCell ref="B228:C228"/>
    <mergeCell ref="G219:H219"/>
    <mergeCell ref="I219:J219"/>
    <mergeCell ref="K219:L219"/>
    <mergeCell ref="M219:N219"/>
    <mergeCell ref="O219:P219"/>
    <mergeCell ref="Q219:R219"/>
    <mergeCell ref="AQ218:AR218"/>
    <mergeCell ref="AS218:AS220"/>
    <mergeCell ref="AT218:AT220"/>
    <mergeCell ref="AE219:AF219"/>
    <mergeCell ref="AG219:AH219"/>
    <mergeCell ref="AI219:AJ219"/>
    <mergeCell ref="AK219:AL219"/>
    <mergeCell ref="AM219:AN219"/>
    <mergeCell ref="AQ219:AQ220"/>
    <mergeCell ref="S219:T219"/>
    <mergeCell ref="U219:V219"/>
    <mergeCell ref="W219:X219"/>
    <mergeCell ref="Y219:Z219"/>
    <mergeCell ref="AA219:AB219"/>
    <mergeCell ref="AC219:AD219"/>
    <mergeCell ref="AU218:AU220"/>
    <mergeCell ref="AR219:AR220"/>
    <mergeCell ref="AO211:AP211"/>
    <mergeCell ref="A213:C213"/>
    <mergeCell ref="A214:C214"/>
    <mergeCell ref="A215:C215"/>
    <mergeCell ref="A216:C216"/>
    <mergeCell ref="A218:C220"/>
    <mergeCell ref="D218:F219"/>
    <mergeCell ref="G218:AN218"/>
    <mergeCell ref="AO218:AO220"/>
    <mergeCell ref="AP218:AP220"/>
    <mergeCell ref="AC211:AD211"/>
    <mergeCell ref="AE211:AF211"/>
    <mergeCell ref="AG211:AH211"/>
    <mergeCell ref="AI211:AJ211"/>
    <mergeCell ref="AK211:AL211"/>
    <mergeCell ref="AM211:AN211"/>
    <mergeCell ref="Q211:R211"/>
    <mergeCell ref="S211:T211"/>
    <mergeCell ref="U211:V211"/>
    <mergeCell ref="W211:X211"/>
    <mergeCell ref="Y211:Z211"/>
    <mergeCell ref="AA211:AB211"/>
    <mergeCell ref="A207:C207"/>
    <mergeCell ref="A208:C208"/>
    <mergeCell ref="A210:C212"/>
    <mergeCell ref="D210:F211"/>
    <mergeCell ref="G210:AP210"/>
    <mergeCell ref="G211:H211"/>
    <mergeCell ref="I211:J211"/>
    <mergeCell ref="K211:L211"/>
    <mergeCell ref="M211:N211"/>
    <mergeCell ref="O211:P211"/>
    <mergeCell ref="A203:C203"/>
    <mergeCell ref="A204:C204"/>
    <mergeCell ref="A205:C205"/>
    <mergeCell ref="A206:C206"/>
    <mergeCell ref="AA201:AB201"/>
    <mergeCell ref="AC200:AC202"/>
    <mergeCell ref="AD200:AD202"/>
    <mergeCell ref="AE200:AE202"/>
    <mergeCell ref="AF200:AF202"/>
    <mergeCell ref="G200:AB200"/>
    <mergeCell ref="AG200:AG202"/>
    <mergeCell ref="G201:H201"/>
    <mergeCell ref="I201:J201"/>
    <mergeCell ref="K201:L201"/>
    <mergeCell ref="M201:N201"/>
    <mergeCell ref="O201:P201"/>
    <mergeCell ref="Q201:R201"/>
    <mergeCell ref="A197:A198"/>
    <mergeCell ref="B197:B198"/>
    <mergeCell ref="A200:C202"/>
    <mergeCell ref="D200:F201"/>
    <mergeCell ref="S201:T201"/>
    <mergeCell ref="U201:V201"/>
    <mergeCell ref="W201:X201"/>
    <mergeCell ref="Y201:Z201"/>
    <mergeCell ref="A189:A193"/>
    <mergeCell ref="B189:C189"/>
    <mergeCell ref="B190:B191"/>
    <mergeCell ref="B192:B193"/>
    <mergeCell ref="A194:A196"/>
    <mergeCell ref="B194:B196"/>
    <mergeCell ref="A173:A177"/>
    <mergeCell ref="B173:B177"/>
    <mergeCell ref="A178:A180"/>
    <mergeCell ref="B178:B180"/>
    <mergeCell ref="A181:A188"/>
    <mergeCell ref="B181:B183"/>
    <mergeCell ref="B184:B185"/>
    <mergeCell ref="B186:B188"/>
    <mergeCell ref="A162:A172"/>
    <mergeCell ref="B162:C162"/>
    <mergeCell ref="B163:C163"/>
    <mergeCell ref="B165:C165"/>
    <mergeCell ref="B166:B172"/>
    <mergeCell ref="AC160:AD160"/>
    <mergeCell ref="AE160:AF160"/>
    <mergeCell ref="AG160:AH160"/>
    <mergeCell ref="AI160:AJ160"/>
    <mergeCell ref="A159:C161"/>
    <mergeCell ref="D159:F160"/>
    <mergeCell ref="B164:C164"/>
    <mergeCell ref="AV159:AV161"/>
    <mergeCell ref="AW159:AW161"/>
    <mergeCell ref="G160:H160"/>
    <mergeCell ref="I160:J160"/>
    <mergeCell ref="K160:L160"/>
    <mergeCell ref="M160:N160"/>
    <mergeCell ref="O160:P160"/>
    <mergeCell ref="Q160:R160"/>
    <mergeCell ref="S160:T160"/>
    <mergeCell ref="G159:AP159"/>
    <mergeCell ref="AQ159:AQ161"/>
    <mergeCell ref="AR159:AR161"/>
    <mergeCell ref="AS159:AS161"/>
    <mergeCell ref="U160:V160"/>
    <mergeCell ref="W160:X160"/>
    <mergeCell ref="Y160:Z160"/>
    <mergeCell ref="AA160:AB160"/>
    <mergeCell ref="AO160:AP160"/>
    <mergeCell ref="AK160:AL160"/>
    <mergeCell ref="AM160:AN160"/>
    <mergeCell ref="AT159:AT161"/>
    <mergeCell ref="A152:C152"/>
    <mergeCell ref="A153:C153"/>
    <mergeCell ref="A154:C154"/>
    <mergeCell ref="A155:C155"/>
    <mergeCell ref="A156:C156"/>
    <mergeCell ref="A157:C157"/>
    <mergeCell ref="AM146:AN146"/>
    <mergeCell ref="AO146:AP146"/>
    <mergeCell ref="A148:C148"/>
    <mergeCell ref="A149:C149"/>
    <mergeCell ref="A150:C150"/>
    <mergeCell ref="A151:C151"/>
    <mergeCell ref="AA146:AB146"/>
    <mergeCell ref="AC146:AD146"/>
    <mergeCell ref="AE146:AF146"/>
    <mergeCell ref="AG146:AH146"/>
    <mergeCell ref="AI146:AJ146"/>
    <mergeCell ref="AK146:AL146"/>
    <mergeCell ref="O146:P146"/>
    <mergeCell ref="Q146:R146"/>
    <mergeCell ref="S146:T146"/>
    <mergeCell ref="U146:V146"/>
    <mergeCell ref="W146:X146"/>
    <mergeCell ref="Y146:Z146"/>
    <mergeCell ref="AS145:AS147"/>
    <mergeCell ref="AT145:AT147"/>
    <mergeCell ref="AU145:AU147"/>
    <mergeCell ref="AV145:AV147"/>
    <mergeCell ref="AX145:AX147"/>
    <mergeCell ref="A143:C143"/>
    <mergeCell ref="A145:C147"/>
    <mergeCell ref="D145:F146"/>
    <mergeCell ref="G145:AP145"/>
    <mergeCell ref="AQ145:AQ147"/>
    <mergeCell ref="AR145:AR147"/>
    <mergeCell ref="G146:H146"/>
    <mergeCell ref="I146:J146"/>
    <mergeCell ref="K146:L146"/>
    <mergeCell ref="M146:N146"/>
    <mergeCell ref="AW145:AW147"/>
    <mergeCell ref="A137:C137"/>
    <mergeCell ref="A138:C138"/>
    <mergeCell ref="A139:C139"/>
    <mergeCell ref="A140:C140"/>
    <mergeCell ref="A141:C141"/>
    <mergeCell ref="A142:C142"/>
    <mergeCell ref="A131:C131"/>
    <mergeCell ref="A132:C132"/>
    <mergeCell ref="A133:C133"/>
    <mergeCell ref="A134:C134"/>
    <mergeCell ref="A135:C135"/>
    <mergeCell ref="A136:C136"/>
    <mergeCell ref="A125:C125"/>
    <mergeCell ref="A126:C126"/>
    <mergeCell ref="A127:C127"/>
    <mergeCell ref="A128:C128"/>
    <mergeCell ref="A129:C129"/>
    <mergeCell ref="A130:C130"/>
    <mergeCell ref="A119:C119"/>
    <mergeCell ref="A120:C120"/>
    <mergeCell ref="A121:C121"/>
    <mergeCell ref="A122:C122"/>
    <mergeCell ref="A123:C123"/>
    <mergeCell ref="A124:C124"/>
    <mergeCell ref="A113:C113"/>
    <mergeCell ref="A114:C114"/>
    <mergeCell ref="A115:C115"/>
    <mergeCell ref="A116:C116"/>
    <mergeCell ref="A117:C117"/>
    <mergeCell ref="A118:C118"/>
    <mergeCell ref="A107:C107"/>
    <mergeCell ref="A108:C108"/>
    <mergeCell ref="A109:C109"/>
    <mergeCell ref="A110:C110"/>
    <mergeCell ref="A111:C111"/>
    <mergeCell ref="A112:C112"/>
    <mergeCell ref="A101:C101"/>
    <mergeCell ref="A102:C102"/>
    <mergeCell ref="A103:C103"/>
    <mergeCell ref="A104:C104"/>
    <mergeCell ref="A105:C105"/>
    <mergeCell ref="A106:C106"/>
    <mergeCell ref="A96:C96"/>
    <mergeCell ref="A97:C97"/>
    <mergeCell ref="A98:C98"/>
    <mergeCell ref="A99:C99"/>
    <mergeCell ref="A100:C100"/>
    <mergeCell ref="A90:C90"/>
    <mergeCell ref="A91:C91"/>
    <mergeCell ref="A92:C92"/>
    <mergeCell ref="A93:C93"/>
    <mergeCell ref="A94:C94"/>
    <mergeCell ref="A95:C95"/>
    <mergeCell ref="AC88:AD88"/>
    <mergeCell ref="AE88:AF88"/>
    <mergeCell ref="AG88:AH88"/>
    <mergeCell ref="AI88:AJ88"/>
    <mergeCell ref="AK88:AL88"/>
    <mergeCell ref="AM88:AN88"/>
    <mergeCell ref="AT87:AT89"/>
    <mergeCell ref="AV87:AV89"/>
    <mergeCell ref="AW87:AW89"/>
    <mergeCell ref="G88:H88"/>
    <mergeCell ref="I88:J88"/>
    <mergeCell ref="K88:L88"/>
    <mergeCell ref="M88:N88"/>
    <mergeCell ref="O88:P88"/>
    <mergeCell ref="Q88:R88"/>
    <mergeCell ref="S88:T88"/>
    <mergeCell ref="G87:AN87"/>
    <mergeCell ref="AO87:AO89"/>
    <mergeCell ref="AP87:AP89"/>
    <mergeCell ref="AQ87:AQ89"/>
    <mergeCell ref="AR87:AR89"/>
    <mergeCell ref="AS87:AS89"/>
    <mergeCell ref="U88:V88"/>
    <mergeCell ref="W88:X88"/>
    <mergeCell ref="Y88:Z88"/>
    <mergeCell ref="AA88:AB88"/>
    <mergeCell ref="AU87:AU89"/>
    <mergeCell ref="A82:C83"/>
    <mergeCell ref="D82:F82"/>
    <mergeCell ref="A84:A85"/>
    <mergeCell ref="B84:C84"/>
    <mergeCell ref="B85:C85"/>
    <mergeCell ref="A87:C89"/>
    <mergeCell ref="D87:F88"/>
    <mergeCell ref="A76:C76"/>
    <mergeCell ref="A77:C77"/>
    <mergeCell ref="A78:C78"/>
    <mergeCell ref="A79:C79"/>
    <mergeCell ref="A80:C80"/>
    <mergeCell ref="A71:C71"/>
    <mergeCell ref="A72:C72"/>
    <mergeCell ref="A73:C73"/>
    <mergeCell ref="A74:A75"/>
    <mergeCell ref="B74:C74"/>
    <mergeCell ref="B75:C75"/>
    <mergeCell ref="A60:C60"/>
    <mergeCell ref="A61:B64"/>
    <mergeCell ref="A66:C66"/>
    <mergeCell ref="A67:C67"/>
    <mergeCell ref="A68:A70"/>
    <mergeCell ref="B68:C68"/>
    <mergeCell ref="B69:C69"/>
    <mergeCell ref="B70:C70"/>
    <mergeCell ref="A45:C45"/>
    <mergeCell ref="A46:C46"/>
    <mergeCell ref="A47:C47"/>
    <mergeCell ref="A48:B53"/>
    <mergeCell ref="A54:C54"/>
    <mergeCell ref="A55:B59"/>
    <mergeCell ref="AM39:AN39"/>
    <mergeCell ref="AO39:AP39"/>
    <mergeCell ref="A41:C41"/>
    <mergeCell ref="A42:C42"/>
    <mergeCell ref="A43:C43"/>
    <mergeCell ref="A44:C44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R38:AR40"/>
    <mergeCell ref="AS38:AS40"/>
    <mergeCell ref="AT38:AT40"/>
    <mergeCell ref="AU38:AU40"/>
    <mergeCell ref="AW38:AW40"/>
    <mergeCell ref="AX38:AX40"/>
    <mergeCell ref="A35:C35"/>
    <mergeCell ref="A36:C36"/>
    <mergeCell ref="A38:C40"/>
    <mergeCell ref="D38:F39"/>
    <mergeCell ref="G38:AP38"/>
    <mergeCell ref="AQ38:AQ40"/>
    <mergeCell ref="G39:H39"/>
    <mergeCell ref="I39:J39"/>
    <mergeCell ref="K39:L39"/>
    <mergeCell ref="M39:N39"/>
    <mergeCell ref="AV38:AV40"/>
    <mergeCell ref="A29:C29"/>
    <mergeCell ref="A30:C30"/>
    <mergeCell ref="A31:C31"/>
    <mergeCell ref="A32:C32"/>
    <mergeCell ref="A33:C33"/>
    <mergeCell ref="A34:C34"/>
    <mergeCell ref="A23:C23"/>
    <mergeCell ref="A24:C24"/>
    <mergeCell ref="A25:C25"/>
    <mergeCell ref="A26:C26"/>
    <mergeCell ref="A27:C27"/>
    <mergeCell ref="A28:C28"/>
    <mergeCell ref="A21:C21"/>
    <mergeCell ref="A22:C22"/>
    <mergeCell ref="AQ17:AQ18"/>
    <mergeCell ref="AR17:AR18"/>
    <mergeCell ref="AS17:AS18"/>
    <mergeCell ref="AT17:AT18"/>
    <mergeCell ref="AU17:AU18"/>
    <mergeCell ref="AV17:AV18"/>
    <mergeCell ref="AE17:AF17"/>
    <mergeCell ref="AG17:AH17"/>
    <mergeCell ref="AI17:AJ17"/>
    <mergeCell ref="AK17:AL17"/>
    <mergeCell ref="AM17:AN17"/>
    <mergeCell ref="AO17:AP17"/>
    <mergeCell ref="S17:T17"/>
    <mergeCell ref="U17:V17"/>
    <mergeCell ref="W17:X17"/>
    <mergeCell ref="Y17:Z17"/>
    <mergeCell ref="AA17:AB17"/>
    <mergeCell ref="AC17:AD17"/>
    <mergeCell ref="G17:H17"/>
    <mergeCell ref="A12:C12"/>
    <mergeCell ref="A13:C13"/>
    <mergeCell ref="A14:C14"/>
    <mergeCell ref="A15:C15"/>
    <mergeCell ref="A17:C18"/>
    <mergeCell ref="D17:F17"/>
    <mergeCell ref="AW17:AW18"/>
    <mergeCell ref="A19:C19"/>
    <mergeCell ref="A20:C20"/>
    <mergeCell ref="AM10:AN10"/>
    <mergeCell ref="AO10:AP10"/>
    <mergeCell ref="S10:T10"/>
    <mergeCell ref="U10:V10"/>
    <mergeCell ref="W10:X10"/>
    <mergeCell ref="Y10:Z10"/>
    <mergeCell ref="AA10:AB10"/>
    <mergeCell ref="AC10:AD10"/>
    <mergeCell ref="I17:J17"/>
    <mergeCell ref="K17:L17"/>
    <mergeCell ref="M17:N17"/>
    <mergeCell ref="O17:P17"/>
    <mergeCell ref="Q17:R17"/>
    <mergeCell ref="A6:P6"/>
    <mergeCell ref="AW6:BL6"/>
    <mergeCell ref="BM6:CB6"/>
    <mergeCell ref="CC6:CT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G10:H10"/>
    <mergeCell ref="I10:J10"/>
    <mergeCell ref="K10:L10"/>
    <mergeCell ref="M10:N10"/>
    <mergeCell ref="O10:P10"/>
    <mergeCell ref="Q10:R10"/>
    <mergeCell ref="AE10:AF10"/>
    <mergeCell ref="AG10:AH10"/>
    <mergeCell ref="AI10:AJ10"/>
    <mergeCell ref="AK10:AL10"/>
  </mergeCells>
  <dataValidations count="2">
    <dataValidation type="whole" operator="greaterThanOrEqual" allowBlank="1" showInputMessage="1" showErrorMessage="1" errorTitle="Error" error="Favor Ingrese sólo Números." sqref="C318:E327 G311:AR315 E84:F85 G213:AP216 G221:AX300 D67:J80 G90:AW142 G12:AX15 G203:AG208 G19:AX35 G148:AX156 G41:AX64 G162:AW177 G179:AW198" xr:uid="{B60A7AE8-B4A2-482F-97DF-A73F172EC807}">
      <formula1>0</formula1>
    </dataValidation>
    <dataValidation operator="greaterThanOrEqual" allowBlank="1" showInputMessage="1" showErrorMessage="1" error="Valor no Permitido" sqref="CA7:CE59" xr:uid="{22ED84FE-B5F8-4406-B42E-E9E0132C0715}"/>
  </dataValidations>
  <pageMargins left="0.7" right="0.7" top="0.75" bottom="0.75" header="0.3" footer="0.3"/>
  <pageSetup paperSize="9" orientation="portrait" r:id="rId1"/>
  <ignoredErrors>
    <ignoredError sqref="D54:F54 E95:F95 E109:F109 E120:F120" formula="1"/>
    <ignoredError sqref="E213:F216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3"/>
  <dimension ref="A1:DZ308"/>
  <sheetViews>
    <sheetView zoomScaleNormal="100" workbookViewId="0">
      <selection activeCell="A6" sqref="A6:P6"/>
    </sheetView>
  </sheetViews>
  <sheetFormatPr baseColWidth="10" defaultColWidth="11.42578125" defaultRowHeight="15" x14ac:dyDescent="0.25"/>
  <cols>
    <col min="1" max="1" width="43.140625" style="823" customWidth="1"/>
    <col min="2" max="2" width="35.85546875" style="823" customWidth="1"/>
    <col min="3" max="3" width="16.85546875" style="823" customWidth="1"/>
    <col min="4" max="4" width="14.85546875" style="823" customWidth="1"/>
    <col min="5" max="5" width="14.5703125" style="823" customWidth="1"/>
    <col min="6" max="43" width="11.42578125" style="823"/>
    <col min="44" max="44" width="13.42578125" style="823" customWidth="1"/>
    <col min="45" max="45" width="11.42578125" style="823"/>
    <col min="46" max="46" width="12.85546875" style="823" customWidth="1"/>
    <col min="47" max="47" width="11.42578125" style="823"/>
    <col min="48" max="48" width="12.42578125" style="823" customWidth="1"/>
    <col min="49" max="49" width="11.42578125" style="823"/>
    <col min="50" max="50" width="12.140625" style="823" customWidth="1"/>
    <col min="51" max="61" width="11.42578125" style="823"/>
    <col min="62" max="73" width="11.42578125" style="823" customWidth="1"/>
    <col min="74" max="75" width="11.42578125" style="1187" customWidth="1"/>
    <col min="76" max="77" width="8.140625" style="1580" customWidth="1"/>
    <col min="78" max="78" width="9.42578125" style="1580" customWidth="1"/>
    <col min="79" max="79" width="6.85546875" style="2234" hidden="1" customWidth="1"/>
    <col min="80" max="104" width="5.42578125" style="2234" hidden="1" customWidth="1"/>
    <col min="105" max="130" width="5.42578125" style="1465" hidden="1" customWidth="1"/>
    <col min="131" max="131" width="9.42578125" style="823" customWidth="1"/>
    <col min="132" max="133" width="8.140625" style="823" customWidth="1"/>
    <col min="134" max="16384" width="11.42578125" style="823"/>
  </cols>
  <sheetData>
    <row r="1" spans="1:130" s="1117" customFormat="1" ht="16.149999999999999" customHeight="1" x14ac:dyDescent="0.25">
      <c r="A1" s="150" t="s">
        <v>206</v>
      </c>
      <c r="BV1" s="2232"/>
      <c r="BW1" s="2232"/>
      <c r="BX1" s="2233"/>
      <c r="BY1" s="2233"/>
      <c r="BZ1" s="2233"/>
      <c r="CA1" s="2234"/>
      <c r="CB1" s="2234"/>
      <c r="CC1" s="2234"/>
      <c r="CD1" s="2234"/>
      <c r="CE1" s="2234"/>
      <c r="CF1" s="2234"/>
      <c r="CG1" s="2234"/>
      <c r="CH1" s="2234"/>
      <c r="CI1" s="2234"/>
      <c r="CJ1" s="2234"/>
      <c r="CK1" s="2234"/>
      <c r="CL1" s="2234"/>
      <c r="CM1" s="2234"/>
      <c r="CN1" s="2234"/>
      <c r="CO1" s="2234"/>
      <c r="CP1" s="2234"/>
      <c r="CQ1" s="2234"/>
      <c r="CR1" s="2234"/>
      <c r="CS1" s="2234"/>
      <c r="CT1" s="2234"/>
      <c r="CU1" s="2234"/>
      <c r="CV1" s="2234"/>
      <c r="CW1" s="2234"/>
      <c r="CX1" s="2234"/>
      <c r="CY1" s="2234"/>
      <c r="CZ1" s="2234"/>
      <c r="DA1" s="1465"/>
      <c r="DB1" s="1465"/>
      <c r="DC1" s="1465"/>
      <c r="DD1" s="1465"/>
      <c r="DE1" s="1465"/>
      <c r="DF1" s="1465"/>
      <c r="DG1" s="1465"/>
      <c r="DH1" s="1465"/>
      <c r="DI1" s="1465"/>
      <c r="DJ1" s="1465"/>
      <c r="DK1" s="1465"/>
      <c r="DL1" s="1465"/>
      <c r="DM1" s="1465"/>
      <c r="DN1" s="1465"/>
      <c r="DO1" s="1465"/>
      <c r="DP1" s="1465"/>
      <c r="DQ1" s="1465"/>
      <c r="DR1" s="1465"/>
      <c r="DS1" s="1465"/>
      <c r="DT1" s="1465"/>
      <c r="DU1" s="1465"/>
      <c r="DV1" s="1465"/>
      <c r="DW1" s="1465"/>
      <c r="DX1" s="1465"/>
      <c r="DY1" s="1465"/>
      <c r="DZ1" s="1465"/>
    </row>
    <row r="2" spans="1:130" s="1117" customFormat="1" ht="16.149999999999999" customHeight="1" x14ac:dyDescent="0.25">
      <c r="A2" s="150" t="str">
        <f>CONCATENATE("COMUNA: ",NOMBRE!B2," - ","( ",NOMBRE!C2,NOMBRE!D2,NOMBRE!E2,NOMBRE!F2,NOMBRE!G2," )")</f>
        <v>COMUNA:  - (  )</v>
      </c>
      <c r="BV2" s="2232"/>
      <c r="BW2" s="2232"/>
      <c r="BX2" s="2233"/>
      <c r="BY2" s="2233"/>
      <c r="BZ2" s="2233"/>
      <c r="CA2" s="2234"/>
      <c r="CB2" s="2234"/>
      <c r="CC2" s="2234"/>
      <c r="CD2" s="2234"/>
      <c r="CE2" s="2234"/>
      <c r="CF2" s="2234"/>
      <c r="CG2" s="2234"/>
      <c r="CH2" s="2234"/>
      <c r="CI2" s="2234"/>
      <c r="CJ2" s="2234"/>
      <c r="CK2" s="2234"/>
      <c r="CL2" s="2234"/>
      <c r="CM2" s="2234"/>
      <c r="CN2" s="2234"/>
      <c r="CO2" s="2234"/>
      <c r="CP2" s="2234"/>
      <c r="CQ2" s="2234"/>
      <c r="CR2" s="2234"/>
      <c r="CS2" s="2234"/>
      <c r="CT2" s="2234"/>
      <c r="CU2" s="2234"/>
      <c r="CV2" s="2234"/>
      <c r="CW2" s="2234"/>
      <c r="CX2" s="2234"/>
      <c r="CY2" s="2234"/>
      <c r="CZ2" s="2234"/>
      <c r="DA2" s="1465"/>
      <c r="DB2" s="1465"/>
      <c r="DC2" s="1465"/>
      <c r="DD2" s="1465"/>
      <c r="DE2" s="1465"/>
      <c r="DF2" s="1465"/>
      <c r="DG2" s="1465"/>
      <c r="DH2" s="1465"/>
      <c r="DI2" s="1465"/>
      <c r="DJ2" s="1465"/>
      <c r="DK2" s="1465"/>
      <c r="DL2" s="1465"/>
      <c r="DM2" s="1465"/>
      <c r="DN2" s="1465"/>
      <c r="DO2" s="1465"/>
      <c r="DP2" s="1465"/>
      <c r="DQ2" s="1465"/>
      <c r="DR2" s="1465"/>
      <c r="DS2" s="1465"/>
      <c r="DT2" s="1465"/>
      <c r="DU2" s="1465"/>
      <c r="DV2" s="1465"/>
      <c r="DW2" s="1465"/>
      <c r="DX2" s="1465"/>
      <c r="DY2" s="1465"/>
      <c r="DZ2" s="1465"/>
    </row>
    <row r="3" spans="1:130" s="1117" customFormat="1" ht="16.149999999999999" customHeight="1" x14ac:dyDescent="0.25">
      <c r="A3" s="150" t="str">
        <f>CONCATENATE("ESTABLECIMIENTO/ESTRATEGIA: ",NOMBRE!B3," - ","( ",NOMBRE!C3,NOMBRE!D3,NOMBRE!E3,NOMBRE!F3,NOMBRE!G3,NOMBRE!H3," )")</f>
        <v>ESTABLECIMIENTO/ESTRATEGIA:  - (  )</v>
      </c>
      <c r="BV3" s="2232"/>
      <c r="BW3" s="2232"/>
      <c r="BX3" s="2233"/>
      <c r="BY3" s="2233"/>
      <c r="BZ3" s="2233"/>
      <c r="CA3" s="2234"/>
      <c r="CB3" s="2234"/>
      <c r="CC3" s="2234"/>
      <c r="CD3" s="2234"/>
      <c r="CE3" s="2234"/>
      <c r="CF3" s="2234"/>
      <c r="CG3" s="2234"/>
      <c r="CH3" s="2234"/>
      <c r="CI3" s="2234"/>
      <c r="CJ3" s="2234"/>
      <c r="CK3" s="2234"/>
      <c r="CL3" s="2234"/>
      <c r="CM3" s="2234"/>
      <c r="CN3" s="2234"/>
      <c r="CO3" s="2234"/>
      <c r="CP3" s="2234"/>
      <c r="CQ3" s="2234"/>
      <c r="CR3" s="2234"/>
      <c r="CS3" s="2234"/>
      <c r="CT3" s="2234"/>
      <c r="CU3" s="2234"/>
      <c r="CV3" s="2234"/>
      <c r="CW3" s="2234"/>
      <c r="CX3" s="2234"/>
      <c r="CY3" s="2234"/>
      <c r="CZ3" s="2234"/>
      <c r="DA3" s="1465"/>
      <c r="DB3" s="1465"/>
      <c r="DC3" s="1465"/>
      <c r="DD3" s="1465"/>
      <c r="DE3" s="1465"/>
      <c r="DF3" s="1465"/>
      <c r="DG3" s="1465"/>
      <c r="DH3" s="1465"/>
      <c r="DI3" s="1465"/>
      <c r="DJ3" s="1465"/>
      <c r="DK3" s="1465"/>
      <c r="DL3" s="1465"/>
      <c r="DM3" s="1465"/>
      <c r="DN3" s="1465"/>
      <c r="DO3" s="1465"/>
      <c r="DP3" s="1465"/>
      <c r="DQ3" s="1465"/>
      <c r="DR3" s="1465"/>
      <c r="DS3" s="1465"/>
      <c r="DT3" s="1465"/>
      <c r="DU3" s="1465"/>
      <c r="DV3" s="1465"/>
      <c r="DW3" s="1465"/>
      <c r="DX3" s="1465"/>
      <c r="DY3" s="1465"/>
      <c r="DZ3" s="1465"/>
    </row>
    <row r="4" spans="1:130" s="1117" customFormat="1" ht="16.149999999999999" customHeight="1" x14ac:dyDescent="0.25">
      <c r="A4" s="150" t="str">
        <f>CONCATENATE("MES: ",NOMBRE!B6," - ","( ",NOMBRE!C6,NOMBRE!D6," )")</f>
        <v>MES:  - (  )</v>
      </c>
      <c r="BV4" s="2232"/>
      <c r="BW4" s="2232"/>
      <c r="BX4" s="2233"/>
      <c r="BY4" s="2233"/>
      <c r="BZ4" s="2233"/>
      <c r="CA4" s="2234"/>
      <c r="CB4" s="2234"/>
      <c r="CC4" s="2234"/>
      <c r="CD4" s="2234"/>
      <c r="CE4" s="2234"/>
      <c r="CF4" s="2234"/>
      <c r="CG4" s="2234"/>
      <c r="CH4" s="2234"/>
      <c r="CI4" s="2234"/>
      <c r="CJ4" s="2234"/>
      <c r="CK4" s="2234"/>
      <c r="CL4" s="2234"/>
      <c r="CM4" s="2234"/>
      <c r="CN4" s="2234"/>
      <c r="CO4" s="2234"/>
      <c r="CP4" s="2234"/>
      <c r="CQ4" s="2234"/>
      <c r="CR4" s="2234"/>
      <c r="CS4" s="2234"/>
      <c r="CT4" s="2234"/>
      <c r="CU4" s="2234"/>
      <c r="CV4" s="2234"/>
      <c r="CW4" s="2234"/>
      <c r="CX4" s="2234"/>
      <c r="CY4" s="2234"/>
      <c r="CZ4" s="2234"/>
      <c r="DA4" s="1465"/>
      <c r="DB4" s="1465"/>
      <c r="DC4" s="1465"/>
      <c r="DD4" s="1465"/>
      <c r="DE4" s="1465"/>
      <c r="DF4" s="1465"/>
      <c r="DG4" s="1465"/>
      <c r="DH4" s="1465"/>
      <c r="DI4" s="1465"/>
      <c r="DJ4" s="1465"/>
      <c r="DK4" s="1465"/>
      <c r="DL4" s="1465"/>
      <c r="DM4" s="1465"/>
      <c r="DN4" s="1465"/>
      <c r="DO4" s="1465"/>
      <c r="DP4" s="1465"/>
      <c r="DQ4" s="1465"/>
      <c r="DR4" s="1465"/>
      <c r="DS4" s="1465"/>
      <c r="DT4" s="1465"/>
      <c r="DU4" s="1465"/>
      <c r="DV4" s="1465"/>
      <c r="DW4" s="1465"/>
      <c r="DX4" s="1465"/>
      <c r="DY4" s="1465"/>
      <c r="DZ4" s="1465"/>
    </row>
    <row r="5" spans="1:130" s="1117" customFormat="1" ht="16.149999999999999" customHeight="1" x14ac:dyDescent="0.25">
      <c r="A5" s="150" t="str">
        <f>CONCATENATE("AÑO: ",NOMBRE!B7)</f>
        <v>AÑO: 2023</v>
      </c>
      <c r="BV5" s="2232"/>
      <c r="BW5" s="2232"/>
      <c r="BX5" s="2233"/>
      <c r="BY5" s="2233"/>
      <c r="BZ5" s="2233"/>
      <c r="CA5" s="2234"/>
      <c r="CB5" s="2234"/>
      <c r="CC5" s="2234"/>
      <c r="CD5" s="2234"/>
      <c r="CE5" s="2234"/>
      <c r="CF5" s="2234"/>
      <c r="CG5" s="2234"/>
      <c r="CH5" s="2234"/>
      <c r="CI5" s="2234"/>
      <c r="CJ5" s="2234"/>
      <c r="CK5" s="2234"/>
      <c r="CL5" s="2234"/>
      <c r="CM5" s="2234"/>
      <c r="CN5" s="2234"/>
      <c r="CO5" s="2234"/>
      <c r="CP5" s="2234"/>
      <c r="CQ5" s="2234"/>
      <c r="CR5" s="2234"/>
      <c r="CS5" s="2234"/>
      <c r="CT5" s="2234"/>
      <c r="CU5" s="2234"/>
      <c r="CV5" s="2234"/>
      <c r="CW5" s="2234"/>
      <c r="CX5" s="2234"/>
      <c r="CY5" s="2234"/>
      <c r="CZ5" s="2234"/>
      <c r="DA5" s="1465"/>
      <c r="DB5" s="1465"/>
      <c r="DC5" s="1465"/>
      <c r="DD5" s="1465"/>
      <c r="DE5" s="1465"/>
      <c r="DF5" s="1465"/>
      <c r="DG5" s="1465"/>
      <c r="DH5" s="1465"/>
      <c r="DI5" s="1465"/>
      <c r="DJ5" s="1465"/>
      <c r="DK5" s="1465"/>
      <c r="DL5" s="1465"/>
      <c r="DM5" s="1465"/>
      <c r="DN5" s="1465"/>
      <c r="DO5" s="1465"/>
      <c r="DP5" s="1465"/>
      <c r="DQ5" s="1465"/>
      <c r="DR5" s="1465"/>
      <c r="DS5" s="1465"/>
      <c r="DT5" s="1465"/>
      <c r="DU5" s="1465"/>
      <c r="DV5" s="1465"/>
      <c r="DW5" s="1465"/>
      <c r="DX5" s="1465"/>
      <c r="DY5" s="1465"/>
      <c r="DZ5" s="1465"/>
    </row>
    <row r="6" spans="1:130" ht="16.149999999999999" customHeight="1" x14ac:dyDescent="0.25">
      <c r="A6" s="8199" t="s">
        <v>1776</v>
      </c>
      <c r="B6" s="8199"/>
      <c r="C6" s="8199"/>
      <c r="D6" s="8199"/>
      <c r="E6" s="8199"/>
      <c r="F6" s="8199"/>
      <c r="G6" s="8199"/>
      <c r="H6" s="8199"/>
      <c r="I6" s="8199"/>
      <c r="J6" s="8199"/>
      <c r="K6" s="8199"/>
      <c r="L6" s="8199"/>
      <c r="M6" s="8199"/>
      <c r="N6" s="8199"/>
      <c r="O6" s="8199"/>
      <c r="P6" s="8199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  <c r="AB6" s="501"/>
      <c r="AC6" s="501"/>
      <c r="AD6" s="501"/>
      <c r="AE6" s="501"/>
      <c r="AF6" s="140"/>
      <c r="AG6" s="140"/>
      <c r="AH6" s="140"/>
      <c r="AI6" s="140"/>
      <c r="AJ6" s="140"/>
      <c r="AK6" s="140"/>
      <c r="AL6" s="140"/>
      <c r="AX6" s="1117"/>
      <c r="AY6" s="1117"/>
      <c r="AZ6" s="1117"/>
      <c r="BA6" s="1117"/>
      <c r="BB6" s="1117"/>
      <c r="BC6" s="1117"/>
      <c r="BD6" s="1117"/>
      <c r="BE6" s="1117"/>
      <c r="BF6" s="1117"/>
      <c r="BG6" s="1117"/>
      <c r="BH6" s="1117"/>
      <c r="BI6" s="1117"/>
    </row>
    <row r="7" spans="1:130" ht="31.9" customHeight="1" x14ac:dyDescent="0.25">
      <c r="A7" s="798" t="s">
        <v>1777</v>
      </c>
      <c r="B7" s="1091"/>
      <c r="C7" s="1091"/>
      <c r="D7" s="1091"/>
      <c r="E7" s="1091"/>
      <c r="F7" s="1091"/>
      <c r="G7" s="1091"/>
      <c r="H7" s="1091"/>
      <c r="I7" s="1091"/>
      <c r="J7" s="1091"/>
      <c r="K7" s="1091"/>
      <c r="L7" s="1091"/>
      <c r="M7" s="1091"/>
      <c r="N7" s="1091"/>
      <c r="O7" s="1091"/>
      <c r="P7" s="109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  <c r="AB7" s="501"/>
      <c r="AC7" s="501"/>
      <c r="AD7" s="501"/>
      <c r="AE7" s="501"/>
      <c r="AF7" s="140"/>
      <c r="AG7" s="140"/>
      <c r="AH7" s="140"/>
      <c r="AI7" s="140"/>
      <c r="AJ7" s="140"/>
      <c r="AK7" s="140"/>
      <c r="AL7" s="140"/>
      <c r="AR7" s="1118"/>
      <c r="AS7" s="1118"/>
      <c r="AT7" s="1118"/>
      <c r="AU7" s="1118"/>
      <c r="AV7" s="1118"/>
      <c r="AW7" s="1118"/>
      <c r="AX7" s="1117"/>
      <c r="AY7" s="1117"/>
      <c r="AZ7" s="1117"/>
      <c r="BA7" s="1117"/>
      <c r="BB7" s="1117"/>
      <c r="BC7" s="1117"/>
      <c r="BD7" s="1117"/>
      <c r="BE7" s="1117"/>
      <c r="BF7" s="1117"/>
      <c r="BG7" s="1117"/>
      <c r="BH7" s="1117"/>
      <c r="BI7" s="1117"/>
    </row>
    <row r="8" spans="1:130" ht="31.9" customHeight="1" x14ac:dyDescent="0.25">
      <c r="A8" s="937" t="s">
        <v>2534</v>
      </c>
      <c r="B8" s="937"/>
      <c r="C8" s="937"/>
      <c r="D8" s="133"/>
      <c r="E8" s="133"/>
      <c r="F8" s="133"/>
      <c r="G8" s="133"/>
      <c r="H8" s="1117"/>
      <c r="I8" s="133"/>
      <c r="J8" s="108"/>
      <c r="K8" s="108"/>
      <c r="L8" s="108"/>
      <c r="M8" s="108"/>
      <c r="N8" s="108"/>
      <c r="O8" s="108"/>
      <c r="P8" s="108"/>
      <c r="Q8" s="140"/>
      <c r="AX8" s="1117"/>
      <c r="AY8" s="1117"/>
      <c r="AZ8" s="1117"/>
      <c r="BA8" s="1117"/>
      <c r="BB8" s="1117"/>
      <c r="BC8" s="1117"/>
      <c r="BD8" s="1117"/>
      <c r="BE8" s="1117"/>
      <c r="BF8" s="1117"/>
      <c r="BG8" s="1117"/>
      <c r="BH8" s="1117"/>
      <c r="BI8" s="1117"/>
      <c r="BT8" s="1118"/>
      <c r="BU8" s="1118"/>
      <c r="BV8" s="1580"/>
      <c r="BW8" s="1580"/>
    </row>
    <row r="9" spans="1:130" ht="31.9" customHeight="1" x14ac:dyDescent="0.25">
      <c r="A9" s="8208" t="s">
        <v>1778</v>
      </c>
      <c r="B9" s="9194" t="s">
        <v>24</v>
      </c>
      <c r="C9" s="9524"/>
      <c r="D9" s="8215" t="s">
        <v>723</v>
      </c>
      <c r="E9" s="8216"/>
      <c r="F9" s="8216"/>
      <c r="G9" s="8216"/>
      <c r="H9" s="8216"/>
      <c r="I9" s="8216"/>
      <c r="J9" s="8216"/>
      <c r="K9" s="8216"/>
      <c r="L9" s="8216"/>
      <c r="M9" s="8216"/>
      <c r="N9" s="8216"/>
      <c r="O9" s="8216"/>
      <c r="P9" s="8216"/>
      <c r="Q9" s="8216"/>
      <c r="R9" s="8216"/>
      <c r="S9" s="8216"/>
      <c r="T9" s="8216"/>
      <c r="U9" s="8216"/>
      <c r="V9" s="8216"/>
      <c r="W9" s="8216"/>
      <c r="X9" s="8216"/>
      <c r="Y9" s="8216"/>
      <c r="Z9" s="8216"/>
      <c r="AA9" s="8216"/>
      <c r="AB9" s="8216"/>
      <c r="AC9" s="8216"/>
      <c r="AD9" s="8216"/>
      <c r="AE9" s="8216"/>
      <c r="AF9" s="8216"/>
      <c r="AG9" s="8216"/>
      <c r="AH9" s="8216"/>
      <c r="AI9" s="8216"/>
      <c r="AJ9" s="8216"/>
      <c r="AK9" s="8216"/>
      <c r="AL9" s="8216"/>
      <c r="AM9" s="8216"/>
      <c r="AN9" s="8216"/>
      <c r="AO9" s="8216"/>
      <c r="AP9" s="8216"/>
      <c r="AQ9" s="9527"/>
      <c r="AR9" s="9528" t="s">
        <v>1779</v>
      </c>
      <c r="AS9" s="9529"/>
      <c r="AT9" s="9530" t="s">
        <v>711</v>
      </c>
      <c r="AU9" s="9531"/>
      <c r="AV9" s="9534" t="s">
        <v>360</v>
      </c>
      <c r="AW9" s="9536" t="s">
        <v>359</v>
      </c>
      <c r="AX9" s="1187"/>
      <c r="AY9" s="1187"/>
      <c r="AZ9" s="1187"/>
      <c r="BA9" s="1187"/>
      <c r="BB9" s="1187"/>
      <c r="BC9" s="1187"/>
      <c r="BD9" s="1187"/>
      <c r="BE9" s="1187"/>
      <c r="BF9" s="1187"/>
      <c r="BG9" s="1187"/>
      <c r="BH9" s="1187"/>
      <c r="BI9" s="1187"/>
      <c r="BJ9" s="1187"/>
      <c r="BK9" s="1187"/>
      <c r="BL9" s="1187"/>
      <c r="BU9" s="1187"/>
      <c r="BV9" s="1580"/>
      <c r="BW9" s="1580"/>
    </row>
    <row r="10" spans="1:130" ht="16.149999999999999" customHeight="1" x14ac:dyDescent="0.25">
      <c r="A10" s="8274"/>
      <c r="B10" s="9525"/>
      <c r="C10" s="9526"/>
      <c r="D10" s="8218" t="s">
        <v>722</v>
      </c>
      <c r="E10" s="9528"/>
      <c r="F10" s="8218" t="s">
        <v>721</v>
      </c>
      <c r="G10" s="9528"/>
      <c r="H10" s="8218" t="s">
        <v>720</v>
      </c>
      <c r="I10" s="8220"/>
      <c r="J10" s="9528" t="s">
        <v>1820</v>
      </c>
      <c r="K10" s="9528"/>
      <c r="L10" s="8218" t="s">
        <v>1413</v>
      </c>
      <c r="M10" s="9528"/>
      <c r="N10" s="8218" t="s">
        <v>79</v>
      </c>
      <c r="O10" s="9528"/>
      <c r="P10" s="8218" t="s">
        <v>80</v>
      </c>
      <c r="Q10" s="9528"/>
      <c r="R10" s="8218" t="s">
        <v>81</v>
      </c>
      <c r="S10" s="9528"/>
      <c r="T10" s="8218" t="s">
        <v>115</v>
      </c>
      <c r="U10" s="8220"/>
      <c r="V10" s="8218" t="s">
        <v>116</v>
      </c>
      <c r="W10" s="8220"/>
      <c r="X10" s="8218" t="s">
        <v>117</v>
      </c>
      <c r="Y10" s="8220"/>
      <c r="Z10" s="8218" t="s">
        <v>118</v>
      </c>
      <c r="AA10" s="8220"/>
      <c r="AB10" s="8218" t="s">
        <v>119</v>
      </c>
      <c r="AC10" s="8220"/>
      <c r="AD10" s="8218" t="s">
        <v>120</v>
      </c>
      <c r="AE10" s="8220"/>
      <c r="AF10" s="8218" t="s">
        <v>1412</v>
      </c>
      <c r="AG10" s="8220"/>
      <c r="AH10" s="8218" t="s">
        <v>1404</v>
      </c>
      <c r="AI10" s="8220"/>
      <c r="AJ10" s="8218" t="s">
        <v>1395</v>
      </c>
      <c r="AK10" s="8220"/>
      <c r="AL10" s="8218" t="s">
        <v>1394</v>
      </c>
      <c r="AM10" s="8220"/>
      <c r="AN10" s="8218" t="s">
        <v>1393</v>
      </c>
      <c r="AO10" s="8220"/>
      <c r="AP10" s="8218" t="s">
        <v>1403</v>
      </c>
      <c r="AQ10" s="9529"/>
      <c r="AR10" s="9537" t="s">
        <v>17</v>
      </c>
      <c r="AS10" s="9539" t="s">
        <v>18</v>
      </c>
      <c r="AT10" s="9532"/>
      <c r="AU10" s="9533"/>
      <c r="AV10" s="8166"/>
      <c r="AW10" s="8151"/>
      <c r="AX10" s="1187"/>
      <c r="AY10" s="1187"/>
      <c r="AZ10" s="1187"/>
      <c r="BA10" s="1187"/>
      <c r="BB10" s="1187"/>
      <c r="BC10" s="1187"/>
      <c r="BD10" s="1187"/>
      <c r="BE10" s="1187"/>
      <c r="BF10" s="1187"/>
      <c r="BG10" s="1187"/>
      <c r="BH10" s="1187"/>
      <c r="BI10" s="1187"/>
      <c r="BJ10" s="1187"/>
      <c r="BK10" s="1187"/>
      <c r="BL10" s="1187"/>
      <c r="BU10" s="1187"/>
    </row>
    <row r="11" spans="1:130" ht="16.149999999999999" customHeight="1" x14ac:dyDescent="0.25">
      <c r="A11" s="8209"/>
      <c r="B11" s="1119" t="s">
        <v>1780</v>
      </c>
      <c r="C11" s="1120" t="s">
        <v>1781</v>
      </c>
      <c r="D11" s="2207" t="s">
        <v>1780</v>
      </c>
      <c r="E11" s="949" t="s">
        <v>1781</v>
      </c>
      <c r="F11" s="2207" t="s">
        <v>1780</v>
      </c>
      <c r="G11" s="949" t="s">
        <v>1781</v>
      </c>
      <c r="H11" s="2207" t="s">
        <v>1780</v>
      </c>
      <c r="I11" s="1121" t="s">
        <v>1781</v>
      </c>
      <c r="J11" s="2162" t="s">
        <v>1780</v>
      </c>
      <c r="K11" s="949" t="s">
        <v>1781</v>
      </c>
      <c r="L11" s="2207" t="s">
        <v>1780</v>
      </c>
      <c r="M11" s="1121" t="s">
        <v>1781</v>
      </c>
      <c r="N11" s="1122" t="s">
        <v>1780</v>
      </c>
      <c r="O11" s="910" t="s">
        <v>1781</v>
      </c>
      <c r="P11" s="1119" t="s">
        <v>1780</v>
      </c>
      <c r="Q11" s="910" t="s">
        <v>1781</v>
      </c>
      <c r="R11" s="1119" t="s">
        <v>1780</v>
      </c>
      <c r="S11" s="910" t="s">
        <v>1781</v>
      </c>
      <c r="T11" s="1119" t="s">
        <v>1780</v>
      </c>
      <c r="U11" s="910" t="s">
        <v>1781</v>
      </c>
      <c r="V11" s="1119" t="s">
        <v>1780</v>
      </c>
      <c r="W11" s="910" t="s">
        <v>1781</v>
      </c>
      <c r="X11" s="1119" t="s">
        <v>1780</v>
      </c>
      <c r="Y11" s="910" t="s">
        <v>1781</v>
      </c>
      <c r="Z11" s="1119" t="s">
        <v>1780</v>
      </c>
      <c r="AA11" s="910" t="s">
        <v>1781</v>
      </c>
      <c r="AB11" s="1119" t="s">
        <v>1780</v>
      </c>
      <c r="AC11" s="910" t="s">
        <v>1781</v>
      </c>
      <c r="AD11" s="1119" t="s">
        <v>1780</v>
      </c>
      <c r="AE11" s="910" t="s">
        <v>1781</v>
      </c>
      <c r="AF11" s="1119" t="s">
        <v>1780</v>
      </c>
      <c r="AG11" s="910" t="s">
        <v>1781</v>
      </c>
      <c r="AH11" s="1119" t="s">
        <v>1780</v>
      </c>
      <c r="AI11" s="910" t="s">
        <v>1781</v>
      </c>
      <c r="AJ11" s="1119" t="s">
        <v>1780</v>
      </c>
      <c r="AK11" s="910" t="s">
        <v>1781</v>
      </c>
      <c r="AL11" s="1119" t="s">
        <v>1780</v>
      </c>
      <c r="AM11" s="910" t="s">
        <v>1781</v>
      </c>
      <c r="AN11" s="1119" t="s">
        <v>1780</v>
      </c>
      <c r="AO11" s="910" t="s">
        <v>1781</v>
      </c>
      <c r="AP11" s="1119" t="s">
        <v>1780</v>
      </c>
      <c r="AQ11" s="1123" t="s">
        <v>1781</v>
      </c>
      <c r="AR11" s="9538"/>
      <c r="AS11" s="9540"/>
      <c r="AT11" s="2187" t="s">
        <v>356</v>
      </c>
      <c r="AU11" s="2113" t="s">
        <v>357</v>
      </c>
      <c r="AV11" s="9535"/>
      <c r="AW11" s="8152"/>
      <c r="AX11" s="1187"/>
      <c r="AY11" s="1187"/>
      <c r="AZ11" s="1187"/>
      <c r="BA11" s="1187"/>
      <c r="BB11" s="1187"/>
      <c r="BC11" s="1187"/>
      <c r="BD11" s="1187"/>
      <c r="BE11" s="1187"/>
      <c r="BF11" s="1187"/>
      <c r="BG11" s="1187"/>
      <c r="BH11" s="1187"/>
      <c r="BI11" s="1187"/>
      <c r="BJ11" s="1187"/>
      <c r="BK11" s="1187"/>
      <c r="BL11" s="1187"/>
      <c r="BU11" s="1187"/>
    </row>
    <row r="12" spans="1:130" ht="16.149999999999999" customHeight="1" x14ac:dyDescent="0.25">
      <c r="A12" s="2082" t="s">
        <v>1782</v>
      </c>
      <c r="B12" s="2036">
        <f t="shared" ref="B12:C19" si="0">+N12+P12+R12+T12+V12+X12+Z12+AB12+AD12+AF12+AH12+AJ12+AL12+AN12+AP12</f>
        <v>0</v>
      </c>
      <c r="C12" s="2083">
        <f>+O12+Q12+S12+U12+W12+Y12+AA12+AC12+AE12+AG12+AI12+AK12+AM12+AO12+AQ12</f>
        <v>0</v>
      </c>
      <c r="D12" s="1125"/>
      <c r="E12" s="1126"/>
      <c r="F12" s="1127"/>
      <c r="G12" s="1126"/>
      <c r="H12" s="1127"/>
      <c r="I12" s="1126"/>
      <c r="J12" s="1127"/>
      <c r="K12" s="1126"/>
      <c r="L12" s="1127"/>
      <c r="M12" s="1128"/>
      <c r="N12" s="1129"/>
      <c r="O12" s="1130"/>
      <c r="P12" s="1109"/>
      <c r="Q12" s="1130"/>
      <c r="R12" s="1109"/>
      <c r="S12" s="1130"/>
      <c r="T12" s="1109"/>
      <c r="U12" s="1130"/>
      <c r="V12" s="1109"/>
      <c r="W12" s="1130"/>
      <c r="X12" s="1109"/>
      <c r="Y12" s="1130"/>
      <c r="Z12" s="1109"/>
      <c r="AA12" s="1130"/>
      <c r="AB12" s="1109"/>
      <c r="AC12" s="1130"/>
      <c r="AD12" s="1109"/>
      <c r="AE12" s="1130"/>
      <c r="AF12" s="1109"/>
      <c r="AG12" s="1130"/>
      <c r="AH12" s="1109"/>
      <c r="AI12" s="1130"/>
      <c r="AJ12" s="1109"/>
      <c r="AK12" s="1130"/>
      <c r="AL12" s="1109"/>
      <c r="AM12" s="1130"/>
      <c r="AN12" s="1109"/>
      <c r="AO12" s="1130"/>
      <c r="AP12" s="1109"/>
      <c r="AQ12" s="1131"/>
      <c r="AR12" s="1132"/>
      <c r="AS12" s="1131"/>
      <c r="AT12" s="1129"/>
      <c r="AU12" s="1130"/>
      <c r="AV12" s="1109"/>
      <c r="AW12" s="1113"/>
      <c r="AX12" s="1193" t="str">
        <f>$CA12&amp;$CB12&amp;$CC12&amp;$CD12&amp;$CE12&amp;$CF12&amp;$CG12&amp;$CH12&amp;$CI12&amp;$CJ12&amp;$CK12&amp;$CL12&amp;$CM12&amp;$CN12&amp;$CO12&amp;$CP12&amp;$CQ12&amp;$CR12&amp;$CS12&amp;$CT12&amp;$CU12&amp;$CV12&amp;$CW12&amp;$CX12&amp;$CY12&amp;$CZ12</f>
        <v/>
      </c>
      <c r="AY12" s="1193"/>
      <c r="AZ12" s="1193"/>
      <c r="BA12" s="1193"/>
      <c r="BB12" s="1193"/>
      <c r="BC12" s="1193"/>
      <c r="BD12" s="1193"/>
      <c r="BE12" s="1193"/>
      <c r="BF12" s="1193"/>
      <c r="BG12" s="1193"/>
      <c r="BH12" s="1193"/>
      <c r="BI12" s="1187"/>
      <c r="BJ12" s="1187"/>
      <c r="BK12" s="1187"/>
      <c r="BL12" s="1187"/>
      <c r="BU12" s="1187"/>
      <c r="BW12" s="1580"/>
      <c r="CA12" s="2235" t="str">
        <f>IF(B12&lt;C12,"* El total de Reactivos NO DEBE ser superior al total de Procesados. ","")</f>
        <v/>
      </c>
      <c r="CB12" s="2235" t="str">
        <f>IF(B12&lt;&gt;(AR12+ AS12),"* La suma de las columnas Sexo DEBE SER IGUAL a los Procesados. ","")</f>
        <v/>
      </c>
      <c r="CC12" s="2235" t="str">
        <f>IF(B12&lt;(AT12+ AU12),"* La suma de las columna Trans NO DEBE ser superior al total de Procesados. ","")</f>
        <v/>
      </c>
      <c r="CD12" s="2235" t="str">
        <f>IF(B12&lt;AV12,"* La columna Pueblos Originarios NO DEBE ser superior al total de Procesados. ","")</f>
        <v/>
      </c>
      <c r="CE12" s="2235" t="str">
        <f>IF(B12&lt;AW12,"* La columna Migrantes NO DEBE ser superior al total de Procesados. ","")</f>
        <v/>
      </c>
      <c r="CF12" s="2235" t="str">
        <f>IF(D12&lt;E12,CONCATENATE("* El total de procesados debe ser mayor o igual al total de Reactivos en el grupo de edad ",$D$10),"")</f>
        <v/>
      </c>
      <c r="CG12" s="2235" t="str">
        <f>IF(F12&lt;G12,CONCATENATE("* El total de procesados debe ser mayor o igual al total de Reactivos en el grupo de edad ",$F$10),"")</f>
        <v/>
      </c>
      <c r="CH12" s="2235" t="str">
        <f>IF(H12&lt;I12,CONCATENATE("* El total de procesados debe ser mayor o igual al total de Reactivos en el grupo de edad ",$H$10),"")</f>
        <v/>
      </c>
      <c r="CI12" s="2235" t="str">
        <f>IF(J12&lt;K12,CONCATENATE("* El total de procesados debe ser mayor o igual al total de Reactivos en el grupo de edad ",$J$10),"")</f>
        <v/>
      </c>
      <c r="CJ12" s="2235" t="str">
        <f>IF(L12&lt;M12,CONCATENATE("* El total de procesados debe ser mayor o igual al total de Reactivos en el grupo de edad ",$L$10),"")</f>
        <v/>
      </c>
      <c r="CK12" s="2235" t="str">
        <f>IF(N12&lt;O12,CONCATENATE("* El total de procesados debe ser mayor o igual al total de Reactivos en el grupo de edad ",$N$10),"")</f>
        <v/>
      </c>
      <c r="CL12" s="2235" t="str">
        <f>IF(P12&lt;Q12,CONCATENATE("* El total de procesados debe ser mayor o igual al total de Reactivos en el grupo de edad ",$P$10),"")</f>
        <v/>
      </c>
      <c r="CM12" s="2235" t="str">
        <f>IF(R12&lt;S12,CONCATENATE("* El total de procesados debe ser mayor o igual al total de Reactivos en el grupo de edad ",$R$10),"")</f>
        <v/>
      </c>
      <c r="CN12" s="2235" t="str">
        <f>IF(T12&lt;U12,CONCATENATE("* El total de procesados debe ser mayor o igual al total de Reactivos en el grupo de edad ",$T$10),"")</f>
        <v/>
      </c>
      <c r="CO12" s="2235" t="str">
        <f>IF(V12&lt;W12,CONCATENATE("* El total de procesados debe ser mayor o igual al total de Reactivos en el grupo de edad ",$V$10),"")</f>
        <v/>
      </c>
      <c r="CP12" s="2235" t="str">
        <f>IF(X12&lt;Y12,CONCATENATE("* El total de procesados debe ser mayor o igual al total de Reactivos en el grupo de edad ",$X$10),"")</f>
        <v/>
      </c>
      <c r="CQ12" s="2235" t="str">
        <f>IF(Z12&lt;AA12,CONCATENATE("* El total de procesados debe ser mayor o igual al total de Reactivos en el grupo de edad ",$Z$10),"")</f>
        <v/>
      </c>
      <c r="CR12" s="2235" t="str">
        <f>IF(AB12&lt;AC12,CONCATENATE("* El total de procesados debe ser mayor o igual al total de Reactivos en el grupo de edad ",$AB$10),"")</f>
        <v/>
      </c>
      <c r="CS12" s="2235" t="str">
        <f>IF(AD12&lt;AE12,CONCATENATE("* El total de procesados debe ser mayor o igual al total de Reactivos en el grupo de edad ",$AD$10),"")</f>
        <v/>
      </c>
      <c r="CT12" s="2235" t="str">
        <f>IF(AF12&lt;AG12,CONCATENATE("* El total de procesados debe ser mayor o igual al total de Reactivos en el grupo de edad ",$AF$10),"")</f>
        <v/>
      </c>
      <c r="CU12" s="2235" t="str">
        <f>IF(AH12&lt;AI12,CONCATENATE("* El total de procesados debe ser mayor o igual al total de Reactivos en el grupo de edad ",$AH$10),"")</f>
        <v/>
      </c>
      <c r="CV12" s="2235" t="str">
        <f>IF(AJ12&lt;AK12,CONCATENATE("* El total de procesados debe ser mayor o igual al total de Reactivos en el grupo de edad ",$AJ$10),"")</f>
        <v/>
      </c>
      <c r="CW12" s="2235" t="str">
        <f>IF(AL12&lt;AM12,CONCATENATE("* El total de procesados debe ser mayor o igual al total de Reactivos en el grupo de edad ",$AL$10),"")</f>
        <v/>
      </c>
      <c r="CX12" s="2235" t="str">
        <f>IF(AN12&lt;AO12,CONCATENATE("* El total de procesados debe ser mayor o igual al total de Reactivos en el grupo de edad ",$AN$10),"")</f>
        <v/>
      </c>
      <c r="CY12" s="2235" t="str">
        <f>IF(AP12&lt;AQ12,CONCATENATE("* El total de procesados debe ser mayor o igual al total de Reactivos en el grupo de edad ",$AP$10),"")</f>
        <v/>
      </c>
      <c r="CZ12" s="2235" t="str">
        <f t="shared" ref="CZ12:CZ29" si="1">IF(AND(B12&lt;&gt;0,OR(AT12="",AU12="",AV12="",AW12="")),"* No olvide digitar la columna Trans y/o Pueblos Originarios y/o Migrantes (Digite Cero si no tiene). ","")</f>
        <v/>
      </c>
      <c r="DA12" s="1468">
        <f t="shared" ref="DA12:DA29" si="2">IF(B12&lt;   C12,1,0)</f>
        <v>0</v>
      </c>
      <c r="DB12" s="1468">
        <f t="shared" ref="DB12:DB29" si="3">IF(B12&lt;&gt; AR12+AS12,1,0)</f>
        <v>0</v>
      </c>
      <c r="DC12" s="1468">
        <f t="shared" ref="DC12:DC29" si="4">IF(B12&lt;  AT12+AU12,1,0)</f>
        <v>0</v>
      </c>
      <c r="DD12" s="1468">
        <f t="shared" ref="DD12:DD29" si="5">IF(B12&lt;  AV12,1,0)</f>
        <v>0</v>
      </c>
      <c r="DE12" s="1468">
        <f t="shared" ref="DE12:DE29" si="6">IF(B12&lt;  AW12,1,0)</f>
        <v>0</v>
      </c>
      <c r="DF12" s="1468">
        <f>IF(D12&lt;E12,1,0)</f>
        <v>0</v>
      </c>
      <c r="DG12" s="1468">
        <f>IF(F12&lt;G12,1,0)</f>
        <v>0</v>
      </c>
      <c r="DH12" s="1468">
        <f>IF(H12&lt;I12,1,0)</f>
        <v>0</v>
      </c>
      <c r="DI12" s="1468">
        <f>IF(J12&lt;K12,1,0)</f>
        <v>0</v>
      </c>
      <c r="DJ12" s="1468">
        <f>IF(L12&lt;M12,1,0)</f>
        <v>0</v>
      </c>
      <c r="DK12" s="1468">
        <f>IF(N12&lt;O12,1,0)</f>
        <v>0</v>
      </c>
      <c r="DL12" s="1468">
        <f>IF(P12&lt;Q12,1,0)</f>
        <v>0</v>
      </c>
      <c r="DM12" s="1468">
        <f>IF(R12&lt;S12,1,0)</f>
        <v>0</v>
      </c>
      <c r="DN12" s="1468">
        <f>IF(T12&lt;U12,1,0)</f>
        <v>0</v>
      </c>
      <c r="DO12" s="1468">
        <f>IF(V12&lt;W12,1,0)</f>
        <v>0</v>
      </c>
      <c r="DP12" s="1468">
        <f>IF(X12&lt;Y12,1,0)</f>
        <v>0</v>
      </c>
      <c r="DQ12" s="1468">
        <f>IF(Z12&lt;AA12,1,0)</f>
        <v>0</v>
      </c>
      <c r="DR12" s="1468">
        <f>IF(AB12&lt;AC12,1,0)</f>
        <v>0</v>
      </c>
      <c r="DS12" s="1468">
        <f>IF(AD12&lt;AE12,1,0)</f>
        <v>0</v>
      </c>
      <c r="DT12" s="1468">
        <f>IF(AF12&lt;AG12,1,0)</f>
        <v>0</v>
      </c>
      <c r="DU12" s="1468">
        <f>IF(AH12&lt;AI12,1,0)</f>
        <v>0</v>
      </c>
      <c r="DV12" s="1468">
        <f>IF(AJ12&lt;AK12,1,0)</f>
        <v>0</v>
      </c>
      <c r="DW12" s="1468">
        <f>IF(AL12&lt;AM12,1,0)</f>
        <v>0</v>
      </c>
      <c r="DX12" s="1468">
        <f>IF(AN12&lt;AO12,1,0)</f>
        <v>0</v>
      </c>
      <c r="DY12" s="1468">
        <f>IF(AP12&lt;AQ12,1,0)</f>
        <v>0</v>
      </c>
      <c r="DZ12" s="1468">
        <f>IF(AND(B12&lt;&gt;0,OR(AT12="",AU12="",AV12="",AW12="")),1,0)</f>
        <v>0</v>
      </c>
    </row>
    <row r="13" spans="1:130" ht="16.149999999999999" customHeight="1" x14ac:dyDescent="0.25">
      <c r="A13" s="2072" t="s">
        <v>1783</v>
      </c>
      <c r="B13" s="2038">
        <f t="shared" si="0"/>
        <v>0</v>
      </c>
      <c r="C13" s="2084">
        <f t="shared" si="0"/>
        <v>0</v>
      </c>
      <c r="D13" s="1125"/>
      <c r="E13" s="1126"/>
      <c r="F13" s="1127"/>
      <c r="G13" s="1126"/>
      <c r="H13" s="1127"/>
      <c r="I13" s="1126"/>
      <c r="J13" s="1127"/>
      <c r="K13" s="1126"/>
      <c r="L13" s="1127"/>
      <c r="M13" s="1128"/>
      <c r="N13" s="1129"/>
      <c r="O13" s="1130"/>
      <c r="P13" s="1109"/>
      <c r="Q13" s="1130"/>
      <c r="R13" s="1109"/>
      <c r="S13" s="1130"/>
      <c r="T13" s="1109"/>
      <c r="U13" s="1130"/>
      <c r="V13" s="1109"/>
      <c r="W13" s="1130"/>
      <c r="X13" s="1109"/>
      <c r="Y13" s="1130"/>
      <c r="Z13" s="1109"/>
      <c r="AA13" s="1130"/>
      <c r="AB13" s="1109"/>
      <c r="AC13" s="1130"/>
      <c r="AD13" s="1109"/>
      <c r="AE13" s="1130"/>
      <c r="AF13" s="1109"/>
      <c r="AG13" s="1130"/>
      <c r="AH13" s="1109"/>
      <c r="AI13" s="1130"/>
      <c r="AJ13" s="1109"/>
      <c r="AK13" s="1130"/>
      <c r="AL13" s="1109"/>
      <c r="AM13" s="1130"/>
      <c r="AN13" s="1109"/>
      <c r="AO13" s="1130"/>
      <c r="AP13" s="1109"/>
      <c r="AQ13" s="1131"/>
      <c r="AR13" s="1132"/>
      <c r="AS13" s="1131"/>
      <c r="AT13" s="1129"/>
      <c r="AU13" s="1130"/>
      <c r="AV13" s="1109"/>
      <c r="AW13" s="1113"/>
      <c r="AX13" s="1193" t="str">
        <f t="shared" ref="AX13:AX29" si="7">$CA13&amp;$CB13&amp;$CC13&amp;$CD13&amp;$CE13&amp;$CF13&amp;$CG13&amp;$CH13&amp;$CI13&amp;$CJ13&amp;$CK13&amp;$CL13&amp;$CM13&amp;$CN13&amp;$CO13&amp;$CP13&amp;$CQ13&amp;$CR13&amp;$CS13&amp;$CT13&amp;$CU13&amp;$CV13&amp;$CW13&amp;$CX13&amp;$CY13&amp;$CZ13</f>
        <v/>
      </c>
      <c r="AY13" s="1193"/>
      <c r="AZ13" s="1193"/>
      <c r="BA13" s="1193"/>
      <c r="BB13" s="1193"/>
      <c r="BC13" s="1193"/>
      <c r="BD13" s="1193"/>
      <c r="BE13" s="1193"/>
      <c r="BF13" s="1193"/>
      <c r="BG13" s="1193"/>
      <c r="BH13" s="1193"/>
      <c r="BI13" s="1187"/>
      <c r="BJ13" s="1187"/>
      <c r="BK13" s="1187"/>
      <c r="BL13" s="1187"/>
      <c r="BU13" s="1187"/>
      <c r="BW13" s="1580"/>
      <c r="CA13" s="2235" t="str">
        <f t="shared" ref="CA13:CA29" si="8">IF(B13&lt;C13,"* El total de Reactivos NO DEBE ser superior al total de Procesados. ","")</f>
        <v/>
      </c>
      <c r="CB13" s="2235" t="str">
        <f t="shared" ref="CB13:CB29" si="9">IF(B13&lt;&gt;(AR13+ AS13),"* La suma de las columnas Sexo DEBE SER IGUAL a los Procesados. ","")</f>
        <v/>
      </c>
      <c r="CC13" s="2235" t="str">
        <f t="shared" ref="CC13:CC29" si="10">IF(B13&lt;(AT13+ AU13),"* La suma de las columna Trans NO DEBE ser superior al total de Procesados. ","")</f>
        <v/>
      </c>
      <c r="CD13" s="2235" t="str">
        <f t="shared" ref="CD13:CD29" si="11">IF(B13&lt;AV13,"* La columna Pueblos Originarios NO DEBE ser superior al total de Procesados. ","")</f>
        <v/>
      </c>
      <c r="CE13" s="2235" t="str">
        <f t="shared" ref="CE13:CE29" si="12">IF(B13&lt;AW13,"* La columna Migrantes NO DEBE ser superior al total de Procesados. ","")</f>
        <v/>
      </c>
      <c r="CF13" s="2235" t="str">
        <f t="shared" ref="CF13:CF29" si="13">IF(D13&lt;E13,CONCATENATE("* El total de procesados debe ser mayor o igual al total de Reactivos en el grupo de edad ",$D$10),"")</f>
        <v/>
      </c>
      <c r="CG13" s="2235" t="str">
        <f t="shared" ref="CG13:CG29" si="14">IF(F13&lt;G13,CONCATENATE("* El total de procesados debe ser mayor o igual al total de Reactivos en el grupo de edad ",$F$10),"")</f>
        <v/>
      </c>
      <c r="CH13" s="2235" t="str">
        <f t="shared" ref="CH13:CH29" si="15">IF(H13&lt;I13,CONCATENATE("* El total de procesados debe ser mayor o igual al total de Reactivos en el grupo de edad ",$H$10),"")</f>
        <v/>
      </c>
      <c r="CI13" s="2235" t="str">
        <f t="shared" ref="CI13:CI29" si="16">IF(J13&lt;K13,CONCATENATE("* El total de procesados debe ser mayor o igual al total de Reactivos en el grupo de edad ",$J$10),"")</f>
        <v/>
      </c>
      <c r="CJ13" s="2235" t="str">
        <f t="shared" ref="CJ13:CJ29" si="17">IF(L13&lt;M13,CONCATENATE("* El total de procesados debe ser mayor o igual al total de Reactivos en el grupo de edad ",$L$10),"")</f>
        <v/>
      </c>
      <c r="CK13" s="2235" t="str">
        <f t="shared" ref="CK13:CK29" si="18">IF(N13&lt;O13,CONCATENATE("* El total de procesados debe ser mayor o igual al total de Reactivos en el grupo de edad ",$N$10),"")</f>
        <v/>
      </c>
      <c r="CL13" s="2235" t="str">
        <f t="shared" ref="CL13:CL29" si="19">IF(P13&lt;Q13,CONCATENATE("* El total de procesados debe ser mayor o igual al total de Reactivos en el grupo de edad ",$P$10),"")</f>
        <v/>
      </c>
      <c r="CM13" s="2235" t="str">
        <f t="shared" ref="CM13:CM29" si="20">IF(R13&lt;S13,CONCATENATE("* El total de procesados debe ser mayor o igual al total de Reactivos en el grupo de edad ",$R$10),"")</f>
        <v/>
      </c>
      <c r="CN13" s="2235" t="str">
        <f t="shared" ref="CN13:CN29" si="21">IF(T13&lt;U13,CONCATENATE("* El total de procesados debe ser mayor o igual al total de Reactivos en el grupo de edad ",$T$10),"")</f>
        <v/>
      </c>
      <c r="CO13" s="2235" t="str">
        <f t="shared" ref="CO13:CO29" si="22">IF(V13&lt;W13,CONCATENATE("* El total de procesados debe ser mayor o igual al total de Reactivos en el grupo de edad ",$V$10),"")</f>
        <v/>
      </c>
      <c r="CP13" s="2235" t="str">
        <f t="shared" ref="CP13:CP29" si="23">IF(X13&lt;Y13,CONCATENATE("* El total de procesados debe ser mayor o igual al total de Reactivos en el grupo de edad ",$X$10),"")</f>
        <v/>
      </c>
      <c r="CQ13" s="2235" t="str">
        <f t="shared" ref="CQ13:CQ29" si="24">IF(Z13&lt;AA13,CONCATENATE("* El total de procesados debe ser mayor o igual al total de Reactivos en el grupo de edad ",$Z$10),"")</f>
        <v/>
      </c>
      <c r="CR13" s="2235" t="str">
        <f t="shared" ref="CR13:CR29" si="25">IF(AB13&lt;AC13,CONCATENATE("* El total de procesados debe ser mayor o igual al total de Reactivos en el grupo de edad ",$AB$10),"")</f>
        <v/>
      </c>
      <c r="CS13" s="2235" t="str">
        <f t="shared" ref="CS13:CS29" si="26">IF(AD13&lt;AE13,CONCATENATE("* El total de procesados debe ser mayor o igual al total de Reactivos en el grupo de edad ",$AD$10),"")</f>
        <v/>
      </c>
      <c r="CT13" s="2235" t="str">
        <f t="shared" ref="CT13:CT29" si="27">IF(AF13&lt;AG13,CONCATENATE("* El total de procesados debe ser mayor o igual al total de Reactivos en el grupo de edad ",$AF$10),"")</f>
        <v/>
      </c>
      <c r="CU13" s="2235" t="str">
        <f t="shared" ref="CU13:CU29" si="28">IF(AH13&lt;AI13,CONCATENATE("* El total de procesados debe ser mayor o igual al total de Reactivos en el grupo de edad ",$AH$10),"")</f>
        <v/>
      </c>
      <c r="CV13" s="2235" t="str">
        <f t="shared" ref="CV13:CV29" si="29">IF(AJ13&lt;AK13,CONCATENATE("* El total de procesados debe ser mayor o igual al total de Reactivos en el grupo de edad ",$AJ$10),"")</f>
        <v/>
      </c>
      <c r="CW13" s="2235" t="str">
        <f t="shared" ref="CW13:CW29" si="30">IF(AL13&lt;AM13,CONCATENATE("* El total de procesados debe ser mayor o igual al total de Reactivos en el grupo de edad ",$AL$10),"")</f>
        <v/>
      </c>
      <c r="CX13" s="2235" t="str">
        <f t="shared" ref="CX13:CX29" si="31">IF(AN13&lt;AO13,CONCATENATE("* El total de procesados debe ser mayor o igual al total de Reactivos en el grupo de edad ",$AN$10),"")</f>
        <v/>
      </c>
      <c r="CY13" s="2235" t="str">
        <f t="shared" ref="CY13:CY29" si="32">IF(AP13&lt;AQ13,CONCATENATE("* El total de procesados debe ser mayor o igual al total de Reactivos en el grupo de edad ",$AP$10),"")</f>
        <v/>
      </c>
      <c r="CZ13" s="2235" t="str">
        <f t="shared" si="1"/>
        <v/>
      </c>
      <c r="DA13" s="1468">
        <f t="shared" si="2"/>
        <v>0</v>
      </c>
      <c r="DB13" s="1468">
        <f t="shared" si="3"/>
        <v>0</v>
      </c>
      <c r="DC13" s="1468">
        <f t="shared" si="4"/>
        <v>0</v>
      </c>
      <c r="DD13" s="1468">
        <f t="shared" si="5"/>
        <v>0</v>
      </c>
      <c r="DE13" s="1468">
        <f t="shared" si="6"/>
        <v>0</v>
      </c>
      <c r="DF13" s="1468">
        <f t="shared" ref="DF13:DF29" si="33">IF(D13&lt;E13,1,0)</f>
        <v>0</v>
      </c>
      <c r="DG13" s="1468">
        <f t="shared" ref="DG13:DG29" si="34">IF(F13&lt;G13,1,0)</f>
        <v>0</v>
      </c>
      <c r="DH13" s="1468">
        <f t="shared" ref="DH13:DH29" si="35">IF(H13&lt;I13,1,0)</f>
        <v>0</v>
      </c>
      <c r="DI13" s="1468">
        <f t="shared" ref="DI13:DI29" si="36">IF(J13&lt;K13,1,0)</f>
        <v>0</v>
      </c>
      <c r="DJ13" s="1468">
        <f t="shared" ref="DJ13:DJ29" si="37">IF(L13&lt;M13,1,0)</f>
        <v>0</v>
      </c>
      <c r="DK13" s="1468">
        <f t="shared" ref="DK13:DK29" si="38">IF(N13&lt;O13,1,0)</f>
        <v>0</v>
      </c>
      <c r="DL13" s="1468">
        <f t="shared" ref="DL13:DL29" si="39">IF(P13&lt;Q13,1,0)</f>
        <v>0</v>
      </c>
      <c r="DM13" s="1468">
        <f t="shared" ref="DM13:DM29" si="40">IF(R13&lt;S13,1,0)</f>
        <v>0</v>
      </c>
      <c r="DN13" s="1468">
        <f t="shared" ref="DN13:DN29" si="41">IF(T13&lt;U13,1,0)</f>
        <v>0</v>
      </c>
      <c r="DO13" s="1468">
        <f t="shared" ref="DO13:DO29" si="42">IF(V13&lt;W13,1,0)</f>
        <v>0</v>
      </c>
      <c r="DP13" s="1468">
        <f t="shared" ref="DP13:DP29" si="43">IF(X13&lt;Y13,1,0)</f>
        <v>0</v>
      </c>
      <c r="DQ13" s="1468">
        <f t="shared" ref="DQ13:DQ29" si="44">IF(Z13&lt;AA13,1,0)</f>
        <v>0</v>
      </c>
      <c r="DR13" s="1468">
        <f t="shared" ref="DR13:DR29" si="45">IF(AB13&lt;AC13,1,0)</f>
        <v>0</v>
      </c>
      <c r="DS13" s="1468">
        <f t="shared" ref="DS13:DS29" si="46">IF(AD13&lt;AE13,1,0)</f>
        <v>0</v>
      </c>
      <c r="DT13" s="1468">
        <f t="shared" ref="DT13:DT29" si="47">IF(AF13&lt;AG13,1,0)</f>
        <v>0</v>
      </c>
      <c r="DU13" s="1468">
        <f t="shared" ref="DU13:DU29" si="48">IF(AH13&lt;AI13,1,0)</f>
        <v>0</v>
      </c>
      <c r="DV13" s="1468">
        <f t="shared" ref="DV13:DV29" si="49">IF(AJ13&lt;AK13,1,0)</f>
        <v>0</v>
      </c>
      <c r="DW13" s="1468">
        <f t="shared" ref="DW13:DW29" si="50">IF(AL13&lt;AM13,1,0)</f>
        <v>0</v>
      </c>
      <c r="DX13" s="1468">
        <f t="shared" ref="DX13:DX29" si="51">IF(AN13&lt;AO13,1,0)</f>
        <v>0</v>
      </c>
      <c r="DY13" s="1468">
        <f t="shared" ref="DY13:DY29" si="52">IF(AP13&lt;AQ13,1,0)</f>
        <v>0</v>
      </c>
      <c r="DZ13" s="1468">
        <f t="shared" ref="DZ13:DZ29" si="53">IF(AND(B13&lt;&gt;0,OR(AT13="",AU13="",AV13="",AW13="")),1,0)</f>
        <v>0</v>
      </c>
    </row>
    <row r="14" spans="1:130" ht="16.149999999999999" customHeight="1" x14ac:dyDescent="0.25">
      <c r="A14" s="2072" t="s">
        <v>1784</v>
      </c>
      <c r="B14" s="2038">
        <f t="shared" si="0"/>
        <v>0</v>
      </c>
      <c r="C14" s="2084">
        <f t="shared" si="0"/>
        <v>0</v>
      </c>
      <c r="D14" s="1125"/>
      <c r="E14" s="1126"/>
      <c r="F14" s="1127"/>
      <c r="G14" s="1126"/>
      <c r="H14" s="1127"/>
      <c r="I14" s="1126"/>
      <c r="J14" s="1127"/>
      <c r="K14" s="1126"/>
      <c r="L14" s="1127"/>
      <c r="M14" s="1128"/>
      <c r="N14" s="1129"/>
      <c r="O14" s="1130"/>
      <c r="P14" s="1109"/>
      <c r="Q14" s="1130"/>
      <c r="R14" s="1109"/>
      <c r="S14" s="1130"/>
      <c r="T14" s="1109"/>
      <c r="U14" s="1130"/>
      <c r="V14" s="1109"/>
      <c r="W14" s="1130"/>
      <c r="X14" s="1109"/>
      <c r="Y14" s="1130"/>
      <c r="Z14" s="1109"/>
      <c r="AA14" s="1130"/>
      <c r="AB14" s="1109"/>
      <c r="AC14" s="1130"/>
      <c r="AD14" s="1109"/>
      <c r="AE14" s="1130"/>
      <c r="AF14" s="1109"/>
      <c r="AG14" s="1130"/>
      <c r="AH14" s="1109"/>
      <c r="AI14" s="1130"/>
      <c r="AJ14" s="1109"/>
      <c r="AK14" s="1130"/>
      <c r="AL14" s="1109"/>
      <c r="AM14" s="1130"/>
      <c r="AN14" s="1109"/>
      <c r="AO14" s="1130"/>
      <c r="AP14" s="1109"/>
      <c r="AQ14" s="1131"/>
      <c r="AR14" s="1132"/>
      <c r="AS14" s="1131"/>
      <c r="AT14" s="1129"/>
      <c r="AU14" s="1130"/>
      <c r="AV14" s="1109"/>
      <c r="AW14" s="1113"/>
      <c r="AX14" s="1193" t="str">
        <f t="shared" si="7"/>
        <v/>
      </c>
      <c r="AY14" s="1193"/>
      <c r="AZ14" s="1193"/>
      <c r="BA14" s="1193"/>
      <c r="BB14" s="1193"/>
      <c r="BC14" s="1193"/>
      <c r="BD14" s="1193"/>
      <c r="BE14" s="1193"/>
      <c r="BF14" s="1193"/>
      <c r="BG14" s="1193"/>
      <c r="BH14" s="1193"/>
      <c r="BI14" s="1187"/>
      <c r="BJ14" s="1187"/>
      <c r="BK14" s="1187"/>
      <c r="BL14" s="1187"/>
      <c r="BU14" s="1187"/>
      <c r="BW14" s="1580"/>
      <c r="CA14" s="2235" t="str">
        <f t="shared" si="8"/>
        <v/>
      </c>
      <c r="CB14" s="2235" t="str">
        <f t="shared" si="9"/>
        <v/>
      </c>
      <c r="CC14" s="2235" t="str">
        <f t="shared" si="10"/>
        <v/>
      </c>
      <c r="CD14" s="2235" t="str">
        <f t="shared" si="11"/>
        <v/>
      </c>
      <c r="CE14" s="2235" t="str">
        <f t="shared" si="12"/>
        <v/>
      </c>
      <c r="CF14" s="2235" t="str">
        <f t="shared" si="13"/>
        <v/>
      </c>
      <c r="CG14" s="2235" t="str">
        <f t="shared" si="14"/>
        <v/>
      </c>
      <c r="CH14" s="2235" t="str">
        <f t="shared" si="15"/>
        <v/>
      </c>
      <c r="CI14" s="2235" t="str">
        <f t="shared" si="16"/>
        <v/>
      </c>
      <c r="CJ14" s="2235" t="str">
        <f t="shared" si="17"/>
        <v/>
      </c>
      <c r="CK14" s="2235" t="str">
        <f t="shared" si="18"/>
        <v/>
      </c>
      <c r="CL14" s="2235" t="str">
        <f t="shared" si="19"/>
        <v/>
      </c>
      <c r="CM14" s="2235" t="str">
        <f t="shared" si="20"/>
        <v/>
      </c>
      <c r="CN14" s="2235" t="str">
        <f t="shared" si="21"/>
        <v/>
      </c>
      <c r="CO14" s="2235" t="str">
        <f t="shared" si="22"/>
        <v/>
      </c>
      <c r="CP14" s="2235" t="str">
        <f t="shared" si="23"/>
        <v/>
      </c>
      <c r="CQ14" s="2235" t="str">
        <f t="shared" si="24"/>
        <v/>
      </c>
      <c r="CR14" s="2235" t="str">
        <f t="shared" si="25"/>
        <v/>
      </c>
      <c r="CS14" s="2235" t="str">
        <f t="shared" si="26"/>
        <v/>
      </c>
      <c r="CT14" s="2235" t="str">
        <f t="shared" si="27"/>
        <v/>
      </c>
      <c r="CU14" s="2235" t="str">
        <f t="shared" si="28"/>
        <v/>
      </c>
      <c r="CV14" s="2235" t="str">
        <f t="shared" si="29"/>
        <v/>
      </c>
      <c r="CW14" s="2235" t="str">
        <f t="shared" si="30"/>
        <v/>
      </c>
      <c r="CX14" s="2235" t="str">
        <f t="shared" si="31"/>
        <v/>
      </c>
      <c r="CY14" s="2235" t="str">
        <f t="shared" si="32"/>
        <v/>
      </c>
      <c r="CZ14" s="2235" t="str">
        <f t="shared" si="1"/>
        <v/>
      </c>
      <c r="DA14" s="1468">
        <f t="shared" si="2"/>
        <v>0</v>
      </c>
      <c r="DB14" s="1468">
        <f t="shared" si="3"/>
        <v>0</v>
      </c>
      <c r="DC14" s="1468">
        <f t="shared" si="4"/>
        <v>0</v>
      </c>
      <c r="DD14" s="1468">
        <f t="shared" si="5"/>
        <v>0</v>
      </c>
      <c r="DE14" s="1468">
        <f t="shared" si="6"/>
        <v>0</v>
      </c>
      <c r="DF14" s="1468">
        <f t="shared" si="33"/>
        <v>0</v>
      </c>
      <c r="DG14" s="1468">
        <f t="shared" si="34"/>
        <v>0</v>
      </c>
      <c r="DH14" s="1468">
        <f t="shared" si="35"/>
        <v>0</v>
      </c>
      <c r="DI14" s="1468">
        <f t="shared" si="36"/>
        <v>0</v>
      </c>
      <c r="DJ14" s="1468">
        <f t="shared" si="37"/>
        <v>0</v>
      </c>
      <c r="DK14" s="1468">
        <f t="shared" si="38"/>
        <v>0</v>
      </c>
      <c r="DL14" s="1468">
        <f t="shared" si="39"/>
        <v>0</v>
      </c>
      <c r="DM14" s="1468">
        <f t="shared" si="40"/>
        <v>0</v>
      </c>
      <c r="DN14" s="1468">
        <f t="shared" si="41"/>
        <v>0</v>
      </c>
      <c r="DO14" s="1468">
        <f t="shared" si="42"/>
        <v>0</v>
      </c>
      <c r="DP14" s="1468">
        <f t="shared" si="43"/>
        <v>0</v>
      </c>
      <c r="DQ14" s="1468">
        <f t="shared" si="44"/>
        <v>0</v>
      </c>
      <c r="DR14" s="1468">
        <f t="shared" si="45"/>
        <v>0</v>
      </c>
      <c r="DS14" s="1468">
        <f t="shared" si="46"/>
        <v>0</v>
      </c>
      <c r="DT14" s="1468">
        <f t="shared" si="47"/>
        <v>0</v>
      </c>
      <c r="DU14" s="1468">
        <f t="shared" si="48"/>
        <v>0</v>
      </c>
      <c r="DV14" s="1468">
        <f t="shared" si="49"/>
        <v>0</v>
      </c>
      <c r="DW14" s="1468">
        <f t="shared" si="50"/>
        <v>0</v>
      </c>
      <c r="DX14" s="1468">
        <f t="shared" si="51"/>
        <v>0</v>
      </c>
      <c r="DY14" s="1468">
        <f t="shared" si="52"/>
        <v>0</v>
      </c>
      <c r="DZ14" s="1468">
        <f t="shared" si="53"/>
        <v>0</v>
      </c>
    </row>
    <row r="15" spans="1:130" ht="16.149999999999999" customHeight="1" x14ac:dyDescent="0.25">
      <c r="A15" s="2072" t="s">
        <v>1785</v>
      </c>
      <c r="B15" s="2038">
        <f t="shared" si="0"/>
        <v>0</v>
      </c>
      <c r="C15" s="2084">
        <f t="shared" si="0"/>
        <v>0</v>
      </c>
      <c r="D15" s="1125"/>
      <c r="E15" s="1126"/>
      <c r="F15" s="1127"/>
      <c r="G15" s="1126"/>
      <c r="H15" s="1127"/>
      <c r="I15" s="1126"/>
      <c r="J15" s="1127"/>
      <c r="K15" s="1126"/>
      <c r="L15" s="1127"/>
      <c r="M15" s="1128"/>
      <c r="N15" s="1129"/>
      <c r="O15" s="1130"/>
      <c r="P15" s="1109"/>
      <c r="Q15" s="1130"/>
      <c r="R15" s="1109"/>
      <c r="S15" s="1130"/>
      <c r="T15" s="1109"/>
      <c r="U15" s="1130"/>
      <c r="V15" s="1109"/>
      <c r="W15" s="1130"/>
      <c r="X15" s="1109"/>
      <c r="Y15" s="1130"/>
      <c r="Z15" s="1109"/>
      <c r="AA15" s="1130"/>
      <c r="AB15" s="1109"/>
      <c r="AC15" s="1130"/>
      <c r="AD15" s="1109"/>
      <c r="AE15" s="1130"/>
      <c r="AF15" s="1109"/>
      <c r="AG15" s="1130"/>
      <c r="AH15" s="1109"/>
      <c r="AI15" s="1130"/>
      <c r="AJ15" s="1109"/>
      <c r="AK15" s="1130"/>
      <c r="AL15" s="1109"/>
      <c r="AM15" s="1130"/>
      <c r="AN15" s="1109"/>
      <c r="AO15" s="1130"/>
      <c r="AP15" s="1109"/>
      <c r="AQ15" s="1131"/>
      <c r="AR15" s="1132"/>
      <c r="AS15" s="1131"/>
      <c r="AT15" s="1129"/>
      <c r="AU15" s="1130"/>
      <c r="AV15" s="1109"/>
      <c r="AW15" s="1113"/>
      <c r="AX15" s="1193" t="str">
        <f t="shared" si="7"/>
        <v/>
      </c>
      <c r="AY15" s="1193"/>
      <c r="AZ15" s="1193"/>
      <c r="BA15" s="1193"/>
      <c r="BB15" s="1193"/>
      <c r="BC15" s="1193"/>
      <c r="BD15" s="1193"/>
      <c r="BE15" s="1193"/>
      <c r="BF15" s="1193"/>
      <c r="BG15" s="1193"/>
      <c r="BH15" s="1193"/>
      <c r="BI15" s="1187"/>
      <c r="BJ15" s="1187"/>
      <c r="BK15" s="1187"/>
      <c r="BL15" s="1187"/>
      <c r="BU15" s="1187"/>
      <c r="BW15" s="1580"/>
      <c r="CA15" s="2235" t="str">
        <f t="shared" si="8"/>
        <v/>
      </c>
      <c r="CB15" s="2235" t="str">
        <f t="shared" si="9"/>
        <v/>
      </c>
      <c r="CC15" s="2235" t="str">
        <f t="shared" si="10"/>
        <v/>
      </c>
      <c r="CD15" s="2235" t="str">
        <f t="shared" si="11"/>
        <v/>
      </c>
      <c r="CE15" s="2235" t="str">
        <f t="shared" si="12"/>
        <v/>
      </c>
      <c r="CF15" s="2235" t="str">
        <f t="shared" si="13"/>
        <v/>
      </c>
      <c r="CG15" s="2235" t="str">
        <f t="shared" si="14"/>
        <v/>
      </c>
      <c r="CH15" s="2235" t="str">
        <f t="shared" si="15"/>
        <v/>
      </c>
      <c r="CI15" s="2235" t="str">
        <f t="shared" si="16"/>
        <v/>
      </c>
      <c r="CJ15" s="2235" t="str">
        <f t="shared" si="17"/>
        <v/>
      </c>
      <c r="CK15" s="2235" t="str">
        <f t="shared" si="18"/>
        <v/>
      </c>
      <c r="CL15" s="2235" t="str">
        <f t="shared" si="19"/>
        <v/>
      </c>
      <c r="CM15" s="2235" t="str">
        <f t="shared" si="20"/>
        <v/>
      </c>
      <c r="CN15" s="2235" t="str">
        <f t="shared" si="21"/>
        <v/>
      </c>
      <c r="CO15" s="2235" t="str">
        <f t="shared" si="22"/>
        <v/>
      </c>
      <c r="CP15" s="2235" t="str">
        <f t="shared" si="23"/>
        <v/>
      </c>
      <c r="CQ15" s="2235" t="str">
        <f t="shared" si="24"/>
        <v/>
      </c>
      <c r="CR15" s="2235" t="str">
        <f t="shared" si="25"/>
        <v/>
      </c>
      <c r="CS15" s="2235" t="str">
        <f t="shared" si="26"/>
        <v/>
      </c>
      <c r="CT15" s="2235" t="str">
        <f t="shared" si="27"/>
        <v/>
      </c>
      <c r="CU15" s="2235" t="str">
        <f t="shared" si="28"/>
        <v/>
      </c>
      <c r="CV15" s="2235" t="str">
        <f t="shared" si="29"/>
        <v/>
      </c>
      <c r="CW15" s="2235" t="str">
        <f t="shared" si="30"/>
        <v/>
      </c>
      <c r="CX15" s="2235" t="str">
        <f t="shared" si="31"/>
        <v/>
      </c>
      <c r="CY15" s="2235" t="str">
        <f t="shared" si="32"/>
        <v/>
      </c>
      <c r="CZ15" s="2235" t="str">
        <f t="shared" si="1"/>
        <v/>
      </c>
      <c r="DA15" s="1468">
        <f t="shared" si="2"/>
        <v>0</v>
      </c>
      <c r="DB15" s="1468">
        <f t="shared" si="3"/>
        <v>0</v>
      </c>
      <c r="DC15" s="1468">
        <f t="shared" si="4"/>
        <v>0</v>
      </c>
      <c r="DD15" s="1468">
        <f t="shared" si="5"/>
        <v>0</v>
      </c>
      <c r="DE15" s="1468">
        <f t="shared" si="6"/>
        <v>0</v>
      </c>
      <c r="DF15" s="1468">
        <f t="shared" si="33"/>
        <v>0</v>
      </c>
      <c r="DG15" s="1468">
        <f t="shared" si="34"/>
        <v>0</v>
      </c>
      <c r="DH15" s="1468">
        <f t="shared" si="35"/>
        <v>0</v>
      </c>
      <c r="DI15" s="1468">
        <f t="shared" si="36"/>
        <v>0</v>
      </c>
      <c r="DJ15" s="1468">
        <f t="shared" si="37"/>
        <v>0</v>
      </c>
      <c r="DK15" s="1468">
        <f t="shared" si="38"/>
        <v>0</v>
      </c>
      <c r="DL15" s="1468">
        <f t="shared" si="39"/>
        <v>0</v>
      </c>
      <c r="DM15" s="1468">
        <f t="shared" si="40"/>
        <v>0</v>
      </c>
      <c r="DN15" s="1468">
        <f t="shared" si="41"/>
        <v>0</v>
      </c>
      <c r="DO15" s="1468">
        <f t="shared" si="42"/>
        <v>0</v>
      </c>
      <c r="DP15" s="1468">
        <f t="shared" si="43"/>
        <v>0</v>
      </c>
      <c r="DQ15" s="1468">
        <f t="shared" si="44"/>
        <v>0</v>
      </c>
      <c r="DR15" s="1468">
        <f t="shared" si="45"/>
        <v>0</v>
      </c>
      <c r="DS15" s="1468">
        <f t="shared" si="46"/>
        <v>0</v>
      </c>
      <c r="DT15" s="1468">
        <f t="shared" si="47"/>
        <v>0</v>
      </c>
      <c r="DU15" s="1468">
        <f t="shared" si="48"/>
        <v>0</v>
      </c>
      <c r="DV15" s="1468">
        <f t="shared" si="49"/>
        <v>0</v>
      </c>
      <c r="DW15" s="1468">
        <f t="shared" si="50"/>
        <v>0</v>
      </c>
      <c r="DX15" s="1468">
        <f t="shared" si="51"/>
        <v>0</v>
      </c>
      <c r="DY15" s="1468">
        <f t="shared" si="52"/>
        <v>0</v>
      </c>
      <c r="DZ15" s="1468">
        <f t="shared" si="53"/>
        <v>0</v>
      </c>
    </row>
    <row r="16" spans="1:130" ht="16.149999999999999" customHeight="1" x14ac:dyDescent="0.25">
      <c r="A16" s="1995" t="s">
        <v>1786</v>
      </c>
      <c r="B16" s="2038">
        <f t="shared" si="0"/>
        <v>0</v>
      </c>
      <c r="C16" s="2084">
        <f t="shared" si="0"/>
        <v>0</v>
      </c>
      <c r="D16" s="1125"/>
      <c r="E16" s="1126"/>
      <c r="F16" s="1127"/>
      <c r="G16" s="1126"/>
      <c r="H16" s="1127"/>
      <c r="I16" s="1126"/>
      <c r="J16" s="1127"/>
      <c r="K16" s="1126"/>
      <c r="L16" s="1127"/>
      <c r="M16" s="1128"/>
      <c r="N16" s="1129"/>
      <c r="O16" s="1130"/>
      <c r="P16" s="1109"/>
      <c r="Q16" s="1130"/>
      <c r="R16" s="1109"/>
      <c r="S16" s="1130"/>
      <c r="T16" s="1109"/>
      <c r="U16" s="1130"/>
      <c r="V16" s="1109"/>
      <c r="W16" s="1130"/>
      <c r="X16" s="1109"/>
      <c r="Y16" s="1130"/>
      <c r="Z16" s="1109"/>
      <c r="AA16" s="1130"/>
      <c r="AB16" s="1109"/>
      <c r="AC16" s="1130"/>
      <c r="AD16" s="1109"/>
      <c r="AE16" s="1130"/>
      <c r="AF16" s="1109"/>
      <c r="AG16" s="1130"/>
      <c r="AH16" s="1109"/>
      <c r="AI16" s="1130"/>
      <c r="AJ16" s="1109"/>
      <c r="AK16" s="1130"/>
      <c r="AL16" s="1109"/>
      <c r="AM16" s="1130"/>
      <c r="AN16" s="1109"/>
      <c r="AO16" s="1130"/>
      <c r="AP16" s="1109"/>
      <c r="AQ16" s="1131"/>
      <c r="AR16" s="1132"/>
      <c r="AS16" s="1131"/>
      <c r="AT16" s="1129"/>
      <c r="AU16" s="1130"/>
      <c r="AV16" s="1109"/>
      <c r="AW16" s="1113"/>
      <c r="AX16" s="1193" t="str">
        <f t="shared" si="7"/>
        <v/>
      </c>
      <c r="AY16" s="1193"/>
      <c r="AZ16" s="1193"/>
      <c r="BA16" s="1193"/>
      <c r="BB16" s="1193"/>
      <c r="BC16" s="1193"/>
      <c r="BD16" s="1193"/>
      <c r="BE16" s="1193"/>
      <c r="BF16" s="1193"/>
      <c r="BG16" s="1193"/>
      <c r="BH16" s="1193"/>
      <c r="BI16" s="1187"/>
      <c r="BJ16" s="1187"/>
      <c r="BK16" s="1187"/>
      <c r="BL16" s="1187"/>
      <c r="BU16" s="1187"/>
      <c r="BW16" s="1580"/>
      <c r="CA16" s="2235" t="str">
        <f t="shared" si="8"/>
        <v/>
      </c>
      <c r="CB16" s="2235" t="str">
        <f t="shared" si="9"/>
        <v/>
      </c>
      <c r="CC16" s="2235" t="str">
        <f t="shared" si="10"/>
        <v/>
      </c>
      <c r="CD16" s="2235" t="str">
        <f t="shared" si="11"/>
        <v/>
      </c>
      <c r="CE16" s="2235" t="str">
        <f t="shared" si="12"/>
        <v/>
      </c>
      <c r="CF16" s="2235" t="str">
        <f t="shared" si="13"/>
        <v/>
      </c>
      <c r="CG16" s="2235" t="str">
        <f t="shared" si="14"/>
        <v/>
      </c>
      <c r="CH16" s="2235" t="str">
        <f t="shared" si="15"/>
        <v/>
      </c>
      <c r="CI16" s="2235" t="str">
        <f t="shared" si="16"/>
        <v/>
      </c>
      <c r="CJ16" s="2235" t="str">
        <f t="shared" si="17"/>
        <v/>
      </c>
      <c r="CK16" s="2235" t="str">
        <f t="shared" si="18"/>
        <v/>
      </c>
      <c r="CL16" s="2235" t="str">
        <f t="shared" si="19"/>
        <v/>
      </c>
      <c r="CM16" s="2235" t="str">
        <f t="shared" si="20"/>
        <v/>
      </c>
      <c r="CN16" s="2235" t="str">
        <f t="shared" si="21"/>
        <v/>
      </c>
      <c r="CO16" s="2235" t="str">
        <f t="shared" si="22"/>
        <v/>
      </c>
      <c r="CP16" s="2235" t="str">
        <f t="shared" si="23"/>
        <v/>
      </c>
      <c r="CQ16" s="2235" t="str">
        <f t="shared" si="24"/>
        <v/>
      </c>
      <c r="CR16" s="2235" t="str">
        <f t="shared" si="25"/>
        <v/>
      </c>
      <c r="CS16" s="2235" t="str">
        <f t="shared" si="26"/>
        <v/>
      </c>
      <c r="CT16" s="2235" t="str">
        <f t="shared" si="27"/>
        <v/>
      </c>
      <c r="CU16" s="2235" t="str">
        <f t="shared" si="28"/>
        <v/>
      </c>
      <c r="CV16" s="2235" t="str">
        <f t="shared" si="29"/>
        <v/>
      </c>
      <c r="CW16" s="2235" t="str">
        <f t="shared" si="30"/>
        <v/>
      </c>
      <c r="CX16" s="2235" t="str">
        <f t="shared" si="31"/>
        <v/>
      </c>
      <c r="CY16" s="2235" t="str">
        <f t="shared" si="32"/>
        <v/>
      </c>
      <c r="CZ16" s="2235" t="str">
        <f t="shared" si="1"/>
        <v/>
      </c>
      <c r="DA16" s="1468">
        <f t="shared" si="2"/>
        <v>0</v>
      </c>
      <c r="DB16" s="1468">
        <f t="shared" si="3"/>
        <v>0</v>
      </c>
      <c r="DC16" s="1468">
        <f t="shared" si="4"/>
        <v>0</v>
      </c>
      <c r="DD16" s="1468">
        <f t="shared" si="5"/>
        <v>0</v>
      </c>
      <c r="DE16" s="1468">
        <f t="shared" si="6"/>
        <v>0</v>
      </c>
      <c r="DF16" s="1468">
        <f t="shared" si="33"/>
        <v>0</v>
      </c>
      <c r="DG16" s="1468">
        <f t="shared" si="34"/>
        <v>0</v>
      </c>
      <c r="DH16" s="1468">
        <f t="shared" si="35"/>
        <v>0</v>
      </c>
      <c r="DI16" s="1468">
        <f t="shared" si="36"/>
        <v>0</v>
      </c>
      <c r="DJ16" s="1468">
        <f t="shared" si="37"/>
        <v>0</v>
      </c>
      <c r="DK16" s="1468">
        <f t="shared" si="38"/>
        <v>0</v>
      </c>
      <c r="DL16" s="1468">
        <f t="shared" si="39"/>
        <v>0</v>
      </c>
      <c r="DM16" s="1468">
        <f t="shared" si="40"/>
        <v>0</v>
      </c>
      <c r="DN16" s="1468">
        <f t="shared" si="41"/>
        <v>0</v>
      </c>
      <c r="DO16" s="1468">
        <f t="shared" si="42"/>
        <v>0</v>
      </c>
      <c r="DP16" s="1468">
        <f t="shared" si="43"/>
        <v>0</v>
      </c>
      <c r="DQ16" s="1468">
        <f t="shared" si="44"/>
        <v>0</v>
      </c>
      <c r="DR16" s="1468">
        <f t="shared" si="45"/>
        <v>0</v>
      </c>
      <c r="DS16" s="1468">
        <f t="shared" si="46"/>
        <v>0</v>
      </c>
      <c r="DT16" s="1468">
        <f t="shared" si="47"/>
        <v>0</v>
      </c>
      <c r="DU16" s="1468">
        <f t="shared" si="48"/>
        <v>0</v>
      </c>
      <c r="DV16" s="1468">
        <f t="shared" si="49"/>
        <v>0</v>
      </c>
      <c r="DW16" s="1468">
        <f t="shared" si="50"/>
        <v>0</v>
      </c>
      <c r="DX16" s="1468">
        <f t="shared" si="51"/>
        <v>0</v>
      </c>
      <c r="DY16" s="1468">
        <f t="shared" si="52"/>
        <v>0</v>
      </c>
      <c r="DZ16" s="1468">
        <f t="shared" si="53"/>
        <v>0</v>
      </c>
    </row>
    <row r="17" spans="1:130" ht="18" customHeight="1" x14ac:dyDescent="0.25">
      <c r="A17" s="1995" t="s">
        <v>1787</v>
      </c>
      <c r="B17" s="2038">
        <f t="shared" si="0"/>
        <v>0</v>
      </c>
      <c r="C17" s="2084">
        <f t="shared" si="0"/>
        <v>0</v>
      </c>
      <c r="D17" s="1125"/>
      <c r="E17" s="1126"/>
      <c r="F17" s="1127"/>
      <c r="G17" s="1126"/>
      <c r="H17" s="1127"/>
      <c r="I17" s="1126"/>
      <c r="J17" s="1127"/>
      <c r="K17" s="1126"/>
      <c r="L17" s="1127"/>
      <c r="M17" s="1128"/>
      <c r="N17" s="1129"/>
      <c r="O17" s="1130"/>
      <c r="P17" s="1109"/>
      <c r="Q17" s="1130"/>
      <c r="R17" s="1109"/>
      <c r="S17" s="1130"/>
      <c r="T17" s="1109"/>
      <c r="U17" s="1130"/>
      <c r="V17" s="1109"/>
      <c r="W17" s="1130"/>
      <c r="X17" s="1109"/>
      <c r="Y17" s="1130"/>
      <c r="Z17" s="1109"/>
      <c r="AA17" s="1130"/>
      <c r="AB17" s="1109"/>
      <c r="AC17" s="1130"/>
      <c r="AD17" s="1109"/>
      <c r="AE17" s="1130"/>
      <c r="AF17" s="1109"/>
      <c r="AG17" s="1130"/>
      <c r="AH17" s="1109"/>
      <c r="AI17" s="1130"/>
      <c r="AJ17" s="1109"/>
      <c r="AK17" s="1130"/>
      <c r="AL17" s="1109"/>
      <c r="AM17" s="1130"/>
      <c r="AN17" s="1109"/>
      <c r="AO17" s="1130"/>
      <c r="AP17" s="1109"/>
      <c r="AQ17" s="1131"/>
      <c r="AR17" s="1129"/>
      <c r="AS17" s="1131"/>
      <c r="AT17" s="1129"/>
      <c r="AU17" s="1130"/>
      <c r="AV17" s="1109"/>
      <c r="AW17" s="1113"/>
      <c r="AX17" s="1193" t="str">
        <f t="shared" si="7"/>
        <v/>
      </c>
      <c r="AY17" s="1193"/>
      <c r="AZ17" s="1193"/>
      <c r="BA17" s="1193"/>
      <c r="BB17" s="1193"/>
      <c r="BC17" s="1193"/>
      <c r="BD17" s="1193"/>
      <c r="BE17" s="1193"/>
      <c r="BF17" s="1193"/>
      <c r="BG17" s="1193"/>
      <c r="BH17" s="1193"/>
      <c r="BI17" s="1187"/>
      <c r="BJ17" s="1187"/>
      <c r="BK17" s="1187"/>
      <c r="BL17" s="1187"/>
      <c r="BU17" s="1187"/>
      <c r="BW17" s="1580"/>
      <c r="CA17" s="2235" t="str">
        <f t="shared" si="8"/>
        <v/>
      </c>
      <c r="CB17" s="2235" t="str">
        <f t="shared" si="9"/>
        <v/>
      </c>
      <c r="CC17" s="2235" t="str">
        <f t="shared" si="10"/>
        <v/>
      </c>
      <c r="CD17" s="2235" t="str">
        <f t="shared" si="11"/>
        <v/>
      </c>
      <c r="CE17" s="2235" t="str">
        <f t="shared" si="12"/>
        <v/>
      </c>
      <c r="CF17" s="2235" t="str">
        <f t="shared" si="13"/>
        <v/>
      </c>
      <c r="CG17" s="2235" t="str">
        <f t="shared" si="14"/>
        <v/>
      </c>
      <c r="CH17" s="2235" t="str">
        <f t="shared" si="15"/>
        <v/>
      </c>
      <c r="CI17" s="2235" t="str">
        <f t="shared" si="16"/>
        <v/>
      </c>
      <c r="CJ17" s="2235" t="str">
        <f t="shared" si="17"/>
        <v/>
      </c>
      <c r="CK17" s="2235" t="str">
        <f t="shared" si="18"/>
        <v/>
      </c>
      <c r="CL17" s="2235" t="str">
        <f t="shared" si="19"/>
        <v/>
      </c>
      <c r="CM17" s="2235" t="str">
        <f t="shared" si="20"/>
        <v/>
      </c>
      <c r="CN17" s="2235" t="str">
        <f t="shared" si="21"/>
        <v/>
      </c>
      <c r="CO17" s="2235" t="str">
        <f t="shared" si="22"/>
        <v/>
      </c>
      <c r="CP17" s="2235" t="str">
        <f t="shared" si="23"/>
        <v/>
      </c>
      <c r="CQ17" s="2235" t="str">
        <f t="shared" si="24"/>
        <v/>
      </c>
      <c r="CR17" s="2235" t="str">
        <f t="shared" si="25"/>
        <v/>
      </c>
      <c r="CS17" s="2235" t="str">
        <f t="shared" si="26"/>
        <v/>
      </c>
      <c r="CT17" s="2235" t="str">
        <f t="shared" si="27"/>
        <v/>
      </c>
      <c r="CU17" s="2235" t="str">
        <f t="shared" si="28"/>
        <v/>
      </c>
      <c r="CV17" s="2235" t="str">
        <f t="shared" si="29"/>
        <v/>
      </c>
      <c r="CW17" s="2235" t="str">
        <f t="shared" si="30"/>
        <v/>
      </c>
      <c r="CX17" s="2235" t="str">
        <f t="shared" si="31"/>
        <v/>
      </c>
      <c r="CY17" s="2235" t="str">
        <f t="shared" si="32"/>
        <v/>
      </c>
      <c r="CZ17" s="2235" t="str">
        <f t="shared" si="1"/>
        <v/>
      </c>
      <c r="DA17" s="1468">
        <f t="shared" si="2"/>
        <v>0</v>
      </c>
      <c r="DB17" s="1468">
        <f t="shared" si="3"/>
        <v>0</v>
      </c>
      <c r="DC17" s="1468">
        <f t="shared" si="4"/>
        <v>0</v>
      </c>
      <c r="DD17" s="1468">
        <f t="shared" si="5"/>
        <v>0</v>
      </c>
      <c r="DE17" s="1468">
        <f t="shared" si="6"/>
        <v>0</v>
      </c>
      <c r="DF17" s="1468">
        <f t="shared" si="33"/>
        <v>0</v>
      </c>
      <c r="DG17" s="1468">
        <f t="shared" si="34"/>
        <v>0</v>
      </c>
      <c r="DH17" s="1468">
        <f t="shared" si="35"/>
        <v>0</v>
      </c>
      <c r="DI17" s="1468">
        <f t="shared" si="36"/>
        <v>0</v>
      </c>
      <c r="DJ17" s="1468">
        <f t="shared" si="37"/>
        <v>0</v>
      </c>
      <c r="DK17" s="1468">
        <f t="shared" si="38"/>
        <v>0</v>
      </c>
      <c r="DL17" s="1468">
        <f t="shared" si="39"/>
        <v>0</v>
      </c>
      <c r="DM17" s="1468">
        <f t="shared" si="40"/>
        <v>0</v>
      </c>
      <c r="DN17" s="1468">
        <f t="shared" si="41"/>
        <v>0</v>
      </c>
      <c r="DO17" s="1468">
        <f t="shared" si="42"/>
        <v>0</v>
      </c>
      <c r="DP17" s="1468">
        <f t="shared" si="43"/>
        <v>0</v>
      </c>
      <c r="DQ17" s="1468">
        <f t="shared" si="44"/>
        <v>0</v>
      </c>
      <c r="DR17" s="1468">
        <f t="shared" si="45"/>
        <v>0</v>
      </c>
      <c r="DS17" s="1468">
        <f t="shared" si="46"/>
        <v>0</v>
      </c>
      <c r="DT17" s="1468">
        <f t="shared" si="47"/>
        <v>0</v>
      </c>
      <c r="DU17" s="1468">
        <f t="shared" si="48"/>
        <v>0</v>
      </c>
      <c r="DV17" s="1468">
        <f t="shared" si="49"/>
        <v>0</v>
      </c>
      <c r="DW17" s="1468">
        <f t="shared" si="50"/>
        <v>0</v>
      </c>
      <c r="DX17" s="1468">
        <f t="shared" si="51"/>
        <v>0</v>
      </c>
      <c r="DY17" s="1468">
        <f t="shared" si="52"/>
        <v>0</v>
      </c>
      <c r="DZ17" s="1468">
        <f t="shared" si="53"/>
        <v>0</v>
      </c>
    </row>
    <row r="18" spans="1:130" ht="27" customHeight="1" x14ac:dyDescent="0.25">
      <c r="A18" s="1995" t="s">
        <v>1788</v>
      </c>
      <c r="B18" s="2038">
        <f t="shared" si="0"/>
        <v>0</v>
      </c>
      <c r="C18" s="2084">
        <f t="shared" si="0"/>
        <v>0</v>
      </c>
      <c r="D18" s="1125"/>
      <c r="E18" s="1126"/>
      <c r="F18" s="1127"/>
      <c r="G18" s="1126"/>
      <c r="H18" s="1127"/>
      <c r="I18" s="1126"/>
      <c r="J18" s="1127"/>
      <c r="K18" s="1126"/>
      <c r="L18" s="1127"/>
      <c r="M18" s="1128"/>
      <c r="N18" s="1129"/>
      <c r="O18" s="1130"/>
      <c r="P18" s="1109"/>
      <c r="Q18" s="1130"/>
      <c r="R18" s="1109"/>
      <c r="S18" s="1130"/>
      <c r="T18" s="1109"/>
      <c r="U18" s="1130"/>
      <c r="V18" s="1109"/>
      <c r="W18" s="1130"/>
      <c r="X18" s="1109"/>
      <c r="Y18" s="1130"/>
      <c r="Z18" s="1109"/>
      <c r="AA18" s="1130"/>
      <c r="AB18" s="1109"/>
      <c r="AC18" s="1130"/>
      <c r="AD18" s="1109"/>
      <c r="AE18" s="1130"/>
      <c r="AF18" s="1109"/>
      <c r="AG18" s="1130"/>
      <c r="AH18" s="1109"/>
      <c r="AI18" s="1130"/>
      <c r="AJ18" s="1109"/>
      <c r="AK18" s="1130"/>
      <c r="AL18" s="1109"/>
      <c r="AM18" s="1130"/>
      <c r="AN18" s="1109"/>
      <c r="AO18" s="1130"/>
      <c r="AP18" s="1109"/>
      <c r="AQ18" s="1131"/>
      <c r="AR18" s="1132"/>
      <c r="AS18" s="1131"/>
      <c r="AT18" s="1129"/>
      <c r="AU18" s="1130"/>
      <c r="AV18" s="1109"/>
      <c r="AW18" s="1113"/>
      <c r="AX18" s="1193" t="str">
        <f t="shared" si="7"/>
        <v/>
      </c>
      <c r="AY18" s="1193"/>
      <c r="AZ18" s="1193"/>
      <c r="BA18" s="1193"/>
      <c r="BB18" s="1193"/>
      <c r="BC18" s="1193"/>
      <c r="BD18" s="1193"/>
      <c r="BE18" s="1193"/>
      <c r="BF18" s="1193"/>
      <c r="BG18" s="1193"/>
      <c r="BH18" s="1193"/>
      <c r="BI18" s="1187"/>
      <c r="BJ18" s="1187"/>
      <c r="BK18" s="1187"/>
      <c r="BL18" s="1187"/>
      <c r="BU18" s="1187"/>
      <c r="BW18" s="1580"/>
      <c r="CA18" s="2235" t="str">
        <f t="shared" si="8"/>
        <v/>
      </c>
      <c r="CB18" s="2235" t="str">
        <f t="shared" si="9"/>
        <v/>
      </c>
      <c r="CC18" s="2235" t="str">
        <f t="shared" si="10"/>
        <v/>
      </c>
      <c r="CD18" s="2235" t="str">
        <f t="shared" si="11"/>
        <v/>
      </c>
      <c r="CE18" s="2235" t="str">
        <f t="shared" si="12"/>
        <v/>
      </c>
      <c r="CF18" s="2235" t="str">
        <f t="shared" si="13"/>
        <v/>
      </c>
      <c r="CG18" s="2235" t="str">
        <f t="shared" si="14"/>
        <v/>
      </c>
      <c r="CH18" s="2235" t="str">
        <f t="shared" si="15"/>
        <v/>
      </c>
      <c r="CI18" s="2235" t="str">
        <f t="shared" si="16"/>
        <v/>
      </c>
      <c r="CJ18" s="2235" t="str">
        <f t="shared" si="17"/>
        <v/>
      </c>
      <c r="CK18" s="2235" t="str">
        <f t="shared" si="18"/>
        <v/>
      </c>
      <c r="CL18" s="2235" t="str">
        <f t="shared" si="19"/>
        <v/>
      </c>
      <c r="CM18" s="2235" t="str">
        <f t="shared" si="20"/>
        <v/>
      </c>
      <c r="CN18" s="2235" t="str">
        <f t="shared" si="21"/>
        <v/>
      </c>
      <c r="CO18" s="2235" t="str">
        <f t="shared" si="22"/>
        <v/>
      </c>
      <c r="CP18" s="2235" t="str">
        <f t="shared" si="23"/>
        <v/>
      </c>
      <c r="CQ18" s="2235" t="str">
        <f t="shared" si="24"/>
        <v/>
      </c>
      <c r="CR18" s="2235" t="str">
        <f t="shared" si="25"/>
        <v/>
      </c>
      <c r="CS18" s="2235" t="str">
        <f t="shared" si="26"/>
        <v/>
      </c>
      <c r="CT18" s="2235" t="str">
        <f t="shared" si="27"/>
        <v/>
      </c>
      <c r="CU18" s="2235" t="str">
        <f t="shared" si="28"/>
        <v/>
      </c>
      <c r="CV18" s="2235" t="str">
        <f t="shared" si="29"/>
        <v/>
      </c>
      <c r="CW18" s="2235" t="str">
        <f t="shared" si="30"/>
        <v/>
      </c>
      <c r="CX18" s="2235" t="str">
        <f t="shared" si="31"/>
        <v/>
      </c>
      <c r="CY18" s="2235" t="str">
        <f t="shared" si="32"/>
        <v/>
      </c>
      <c r="CZ18" s="2235" t="str">
        <f t="shared" si="1"/>
        <v/>
      </c>
      <c r="DA18" s="1468">
        <f t="shared" si="2"/>
        <v>0</v>
      </c>
      <c r="DB18" s="1468">
        <f t="shared" si="3"/>
        <v>0</v>
      </c>
      <c r="DC18" s="1468">
        <f t="shared" si="4"/>
        <v>0</v>
      </c>
      <c r="DD18" s="1468">
        <f t="shared" si="5"/>
        <v>0</v>
      </c>
      <c r="DE18" s="1468">
        <f t="shared" si="6"/>
        <v>0</v>
      </c>
      <c r="DF18" s="1468">
        <f t="shared" si="33"/>
        <v>0</v>
      </c>
      <c r="DG18" s="1468">
        <f t="shared" si="34"/>
        <v>0</v>
      </c>
      <c r="DH18" s="1468">
        <f t="shared" si="35"/>
        <v>0</v>
      </c>
      <c r="DI18" s="1468">
        <f t="shared" si="36"/>
        <v>0</v>
      </c>
      <c r="DJ18" s="1468">
        <f t="shared" si="37"/>
        <v>0</v>
      </c>
      <c r="DK18" s="1468">
        <f t="shared" si="38"/>
        <v>0</v>
      </c>
      <c r="DL18" s="1468">
        <f t="shared" si="39"/>
        <v>0</v>
      </c>
      <c r="DM18" s="1468">
        <f t="shared" si="40"/>
        <v>0</v>
      </c>
      <c r="DN18" s="1468">
        <f t="shared" si="41"/>
        <v>0</v>
      </c>
      <c r="DO18" s="1468">
        <f t="shared" si="42"/>
        <v>0</v>
      </c>
      <c r="DP18" s="1468">
        <f t="shared" si="43"/>
        <v>0</v>
      </c>
      <c r="DQ18" s="1468">
        <f t="shared" si="44"/>
        <v>0</v>
      </c>
      <c r="DR18" s="1468">
        <f t="shared" si="45"/>
        <v>0</v>
      </c>
      <c r="DS18" s="1468">
        <f t="shared" si="46"/>
        <v>0</v>
      </c>
      <c r="DT18" s="1468">
        <f t="shared" si="47"/>
        <v>0</v>
      </c>
      <c r="DU18" s="1468">
        <f t="shared" si="48"/>
        <v>0</v>
      </c>
      <c r="DV18" s="1468">
        <f t="shared" si="49"/>
        <v>0</v>
      </c>
      <c r="DW18" s="1468">
        <f t="shared" si="50"/>
        <v>0</v>
      </c>
      <c r="DX18" s="1468">
        <f t="shared" si="51"/>
        <v>0</v>
      </c>
      <c r="DY18" s="1468">
        <f t="shared" si="52"/>
        <v>0</v>
      </c>
      <c r="DZ18" s="1468">
        <f t="shared" si="53"/>
        <v>0</v>
      </c>
    </row>
    <row r="19" spans="1:130" ht="16.149999999999999" customHeight="1" x14ac:dyDescent="0.25">
      <c r="A19" s="2072" t="s">
        <v>1789</v>
      </c>
      <c r="B19" s="2038">
        <f t="shared" si="0"/>
        <v>0</v>
      </c>
      <c r="C19" s="2084">
        <f t="shared" si="0"/>
        <v>0</v>
      </c>
      <c r="D19" s="1125"/>
      <c r="E19" s="1126"/>
      <c r="F19" s="1127"/>
      <c r="G19" s="1126"/>
      <c r="H19" s="1127"/>
      <c r="I19" s="1126"/>
      <c r="J19" s="1127"/>
      <c r="K19" s="1126"/>
      <c r="L19" s="1127"/>
      <c r="M19" s="1128"/>
      <c r="N19" s="1129"/>
      <c r="O19" s="1130"/>
      <c r="P19" s="1109"/>
      <c r="Q19" s="1130"/>
      <c r="R19" s="1109"/>
      <c r="S19" s="1130"/>
      <c r="T19" s="1109"/>
      <c r="U19" s="1130"/>
      <c r="V19" s="1109"/>
      <c r="W19" s="1130"/>
      <c r="X19" s="1109"/>
      <c r="Y19" s="1130"/>
      <c r="Z19" s="1109"/>
      <c r="AA19" s="1130"/>
      <c r="AB19" s="1109"/>
      <c r="AC19" s="1130"/>
      <c r="AD19" s="1109"/>
      <c r="AE19" s="1130"/>
      <c r="AF19" s="1109"/>
      <c r="AG19" s="1130"/>
      <c r="AH19" s="1109"/>
      <c r="AI19" s="1130"/>
      <c r="AJ19" s="1109"/>
      <c r="AK19" s="1130"/>
      <c r="AL19" s="1109"/>
      <c r="AM19" s="1130"/>
      <c r="AN19" s="1109"/>
      <c r="AO19" s="1130"/>
      <c r="AP19" s="1109"/>
      <c r="AQ19" s="1131"/>
      <c r="AR19" s="1132"/>
      <c r="AS19" s="1131"/>
      <c r="AT19" s="1129"/>
      <c r="AU19" s="1130"/>
      <c r="AV19" s="1109"/>
      <c r="AW19" s="1113"/>
      <c r="AX19" s="1193" t="str">
        <f t="shared" si="7"/>
        <v/>
      </c>
      <c r="AY19" s="1193"/>
      <c r="AZ19" s="1193"/>
      <c r="BA19" s="1193"/>
      <c r="BB19" s="1193"/>
      <c r="BC19" s="1193"/>
      <c r="BD19" s="1193"/>
      <c r="BE19" s="1193"/>
      <c r="BF19" s="1193"/>
      <c r="BG19" s="1193"/>
      <c r="BH19" s="1193"/>
      <c r="BI19" s="1187"/>
      <c r="BJ19" s="1187"/>
      <c r="BK19" s="1187"/>
      <c r="BL19" s="1187"/>
      <c r="BU19" s="1187"/>
      <c r="BW19" s="1580"/>
      <c r="CA19" s="2235" t="str">
        <f t="shared" si="8"/>
        <v/>
      </c>
      <c r="CB19" s="2235" t="str">
        <f t="shared" si="9"/>
        <v/>
      </c>
      <c r="CC19" s="2235" t="str">
        <f t="shared" si="10"/>
        <v/>
      </c>
      <c r="CD19" s="2235" t="str">
        <f t="shared" si="11"/>
        <v/>
      </c>
      <c r="CE19" s="2235" t="str">
        <f t="shared" si="12"/>
        <v/>
      </c>
      <c r="CF19" s="2235" t="str">
        <f t="shared" si="13"/>
        <v/>
      </c>
      <c r="CG19" s="2235" t="str">
        <f t="shared" si="14"/>
        <v/>
      </c>
      <c r="CH19" s="2235" t="str">
        <f t="shared" si="15"/>
        <v/>
      </c>
      <c r="CI19" s="2235" t="str">
        <f t="shared" si="16"/>
        <v/>
      </c>
      <c r="CJ19" s="2235" t="str">
        <f t="shared" si="17"/>
        <v/>
      </c>
      <c r="CK19" s="2235" t="str">
        <f t="shared" si="18"/>
        <v/>
      </c>
      <c r="CL19" s="2235" t="str">
        <f t="shared" si="19"/>
        <v/>
      </c>
      <c r="CM19" s="2235" t="str">
        <f t="shared" si="20"/>
        <v/>
      </c>
      <c r="CN19" s="2235" t="str">
        <f t="shared" si="21"/>
        <v/>
      </c>
      <c r="CO19" s="2235" t="str">
        <f t="shared" si="22"/>
        <v/>
      </c>
      <c r="CP19" s="2235" t="str">
        <f t="shared" si="23"/>
        <v/>
      </c>
      <c r="CQ19" s="2235" t="str">
        <f t="shared" si="24"/>
        <v/>
      </c>
      <c r="CR19" s="2235" t="str">
        <f t="shared" si="25"/>
        <v/>
      </c>
      <c r="CS19" s="2235" t="str">
        <f t="shared" si="26"/>
        <v/>
      </c>
      <c r="CT19" s="2235" t="str">
        <f t="shared" si="27"/>
        <v/>
      </c>
      <c r="CU19" s="2235" t="str">
        <f t="shared" si="28"/>
        <v/>
      </c>
      <c r="CV19" s="2235" t="str">
        <f t="shared" si="29"/>
        <v/>
      </c>
      <c r="CW19" s="2235" t="str">
        <f t="shared" si="30"/>
        <v/>
      </c>
      <c r="CX19" s="2235" t="str">
        <f t="shared" si="31"/>
        <v/>
      </c>
      <c r="CY19" s="2235" t="str">
        <f t="shared" si="32"/>
        <v/>
      </c>
      <c r="CZ19" s="2235" t="str">
        <f t="shared" si="1"/>
        <v/>
      </c>
      <c r="DA19" s="1468">
        <f t="shared" si="2"/>
        <v>0</v>
      </c>
      <c r="DB19" s="1468">
        <f t="shared" si="3"/>
        <v>0</v>
      </c>
      <c r="DC19" s="1468">
        <f t="shared" si="4"/>
        <v>0</v>
      </c>
      <c r="DD19" s="1468">
        <f t="shared" si="5"/>
        <v>0</v>
      </c>
      <c r="DE19" s="1468">
        <f t="shared" si="6"/>
        <v>0</v>
      </c>
      <c r="DF19" s="1468">
        <f t="shared" si="33"/>
        <v>0</v>
      </c>
      <c r="DG19" s="1468">
        <f t="shared" si="34"/>
        <v>0</v>
      </c>
      <c r="DH19" s="1468">
        <f t="shared" si="35"/>
        <v>0</v>
      </c>
      <c r="DI19" s="1468">
        <f t="shared" si="36"/>
        <v>0</v>
      </c>
      <c r="DJ19" s="1468">
        <f t="shared" si="37"/>
        <v>0</v>
      </c>
      <c r="DK19" s="1468">
        <f t="shared" si="38"/>
        <v>0</v>
      </c>
      <c r="DL19" s="1468">
        <f t="shared" si="39"/>
        <v>0</v>
      </c>
      <c r="DM19" s="1468">
        <f t="shared" si="40"/>
        <v>0</v>
      </c>
      <c r="DN19" s="1468">
        <f t="shared" si="41"/>
        <v>0</v>
      </c>
      <c r="DO19" s="1468">
        <f t="shared" si="42"/>
        <v>0</v>
      </c>
      <c r="DP19" s="1468">
        <f t="shared" si="43"/>
        <v>0</v>
      </c>
      <c r="DQ19" s="1468">
        <f t="shared" si="44"/>
        <v>0</v>
      </c>
      <c r="DR19" s="1468">
        <f t="shared" si="45"/>
        <v>0</v>
      </c>
      <c r="DS19" s="1468">
        <f t="shared" si="46"/>
        <v>0</v>
      </c>
      <c r="DT19" s="1468">
        <f t="shared" si="47"/>
        <v>0</v>
      </c>
      <c r="DU19" s="1468">
        <f t="shared" si="48"/>
        <v>0</v>
      </c>
      <c r="DV19" s="1468">
        <f t="shared" si="49"/>
        <v>0</v>
      </c>
      <c r="DW19" s="1468">
        <f t="shared" si="50"/>
        <v>0</v>
      </c>
      <c r="DX19" s="1468">
        <f t="shared" si="51"/>
        <v>0</v>
      </c>
      <c r="DY19" s="1468">
        <f t="shared" si="52"/>
        <v>0</v>
      </c>
      <c r="DZ19" s="1468">
        <f t="shared" si="53"/>
        <v>0</v>
      </c>
    </row>
    <row r="20" spans="1:130" ht="16.149999999999999" customHeight="1" x14ac:dyDescent="0.25">
      <c r="A20" s="2072" t="s">
        <v>1790</v>
      </c>
      <c r="B20" s="2038">
        <f>+D20+F20+H20+J20+L20+N20+P20+R20+T20+V20+X20+Z20+AB20+AD20+AF20+AH20+AJ20+AL20+AN20+AP20</f>
        <v>0</v>
      </c>
      <c r="C20" s="2084">
        <f>+E20+G20+I20+K20+M20+O20+Q20+S20+U20+W20+Y20+AA20+AC20+AE20+AG20+AI20+AK20+AM20+AO20+AQ20</f>
        <v>0</v>
      </c>
      <c r="D20" s="1129"/>
      <c r="E20" s="1130"/>
      <c r="F20" s="1109"/>
      <c r="G20" s="1130"/>
      <c r="H20" s="1109"/>
      <c r="I20" s="1113"/>
      <c r="J20" s="1129"/>
      <c r="K20" s="1129"/>
      <c r="L20" s="1109"/>
      <c r="M20" s="1113"/>
      <c r="N20" s="1129"/>
      <c r="O20" s="1130"/>
      <c r="P20" s="1109"/>
      <c r="Q20" s="1130"/>
      <c r="R20" s="1109"/>
      <c r="S20" s="1130"/>
      <c r="T20" s="1109"/>
      <c r="U20" s="1130"/>
      <c r="V20" s="1109"/>
      <c r="W20" s="1130"/>
      <c r="X20" s="1109"/>
      <c r="Y20" s="1130"/>
      <c r="Z20" s="1109"/>
      <c r="AA20" s="1130"/>
      <c r="AB20" s="1109"/>
      <c r="AC20" s="1130"/>
      <c r="AD20" s="1109"/>
      <c r="AE20" s="1130"/>
      <c r="AF20" s="1109"/>
      <c r="AG20" s="1130"/>
      <c r="AH20" s="1109"/>
      <c r="AI20" s="1130"/>
      <c r="AJ20" s="1109"/>
      <c r="AK20" s="1130"/>
      <c r="AL20" s="1109"/>
      <c r="AM20" s="1130"/>
      <c r="AN20" s="1109"/>
      <c r="AO20" s="1130"/>
      <c r="AP20" s="1109"/>
      <c r="AQ20" s="1131"/>
      <c r="AR20" s="1132"/>
      <c r="AS20" s="1131"/>
      <c r="AT20" s="1129"/>
      <c r="AU20" s="1130"/>
      <c r="AV20" s="1109"/>
      <c r="AW20" s="1113"/>
      <c r="AX20" s="1193" t="str">
        <f t="shared" si="7"/>
        <v/>
      </c>
      <c r="AY20" s="1193"/>
      <c r="AZ20" s="1193"/>
      <c r="BA20" s="1193"/>
      <c r="BB20" s="1193"/>
      <c r="BC20" s="1193"/>
      <c r="BD20" s="1193"/>
      <c r="BE20" s="1193"/>
      <c r="BF20" s="1193"/>
      <c r="BG20" s="1193"/>
      <c r="BH20" s="1193"/>
      <c r="BI20" s="1187"/>
      <c r="BJ20" s="1187"/>
      <c r="BK20" s="1187"/>
      <c r="BL20" s="1187"/>
      <c r="BU20" s="1187"/>
      <c r="BW20" s="1580"/>
      <c r="CA20" s="2235" t="str">
        <f t="shared" si="8"/>
        <v/>
      </c>
      <c r="CB20" s="2235" t="str">
        <f t="shared" si="9"/>
        <v/>
      </c>
      <c r="CC20" s="2235" t="str">
        <f t="shared" si="10"/>
        <v/>
      </c>
      <c r="CD20" s="2235" t="str">
        <f t="shared" si="11"/>
        <v/>
      </c>
      <c r="CE20" s="2235" t="str">
        <f t="shared" si="12"/>
        <v/>
      </c>
      <c r="CF20" s="2235" t="str">
        <f t="shared" si="13"/>
        <v/>
      </c>
      <c r="CG20" s="2235" t="str">
        <f t="shared" si="14"/>
        <v/>
      </c>
      <c r="CH20" s="2235" t="str">
        <f t="shared" si="15"/>
        <v/>
      </c>
      <c r="CI20" s="2235" t="str">
        <f t="shared" si="16"/>
        <v/>
      </c>
      <c r="CJ20" s="2235" t="str">
        <f t="shared" si="17"/>
        <v/>
      </c>
      <c r="CK20" s="2235" t="str">
        <f t="shared" si="18"/>
        <v/>
      </c>
      <c r="CL20" s="2235" t="str">
        <f t="shared" si="19"/>
        <v/>
      </c>
      <c r="CM20" s="2235" t="str">
        <f t="shared" si="20"/>
        <v/>
      </c>
      <c r="CN20" s="2235" t="str">
        <f t="shared" si="21"/>
        <v/>
      </c>
      <c r="CO20" s="2235" t="str">
        <f t="shared" si="22"/>
        <v/>
      </c>
      <c r="CP20" s="2235" t="str">
        <f t="shared" si="23"/>
        <v/>
      </c>
      <c r="CQ20" s="2235" t="str">
        <f t="shared" si="24"/>
        <v/>
      </c>
      <c r="CR20" s="2235" t="str">
        <f t="shared" si="25"/>
        <v/>
      </c>
      <c r="CS20" s="2235" t="str">
        <f t="shared" si="26"/>
        <v/>
      </c>
      <c r="CT20" s="2235" t="str">
        <f t="shared" si="27"/>
        <v/>
      </c>
      <c r="CU20" s="2235" t="str">
        <f t="shared" si="28"/>
        <v/>
      </c>
      <c r="CV20" s="2235" t="str">
        <f t="shared" si="29"/>
        <v/>
      </c>
      <c r="CW20" s="2235" t="str">
        <f t="shared" si="30"/>
        <v/>
      </c>
      <c r="CX20" s="2235" t="str">
        <f t="shared" si="31"/>
        <v/>
      </c>
      <c r="CY20" s="2235" t="str">
        <f t="shared" si="32"/>
        <v/>
      </c>
      <c r="CZ20" s="2235" t="str">
        <f t="shared" si="1"/>
        <v/>
      </c>
      <c r="DA20" s="1468">
        <f t="shared" si="2"/>
        <v>0</v>
      </c>
      <c r="DB20" s="1468">
        <f t="shared" si="3"/>
        <v>0</v>
      </c>
      <c r="DC20" s="1468">
        <f t="shared" si="4"/>
        <v>0</v>
      </c>
      <c r="DD20" s="1468">
        <f t="shared" si="5"/>
        <v>0</v>
      </c>
      <c r="DE20" s="1468">
        <f t="shared" si="6"/>
        <v>0</v>
      </c>
      <c r="DF20" s="1468">
        <f t="shared" si="33"/>
        <v>0</v>
      </c>
      <c r="DG20" s="1468">
        <f t="shared" si="34"/>
        <v>0</v>
      </c>
      <c r="DH20" s="1468">
        <f t="shared" si="35"/>
        <v>0</v>
      </c>
      <c r="DI20" s="1468">
        <f t="shared" si="36"/>
        <v>0</v>
      </c>
      <c r="DJ20" s="1468">
        <f t="shared" si="37"/>
        <v>0</v>
      </c>
      <c r="DK20" s="1468">
        <f t="shared" si="38"/>
        <v>0</v>
      </c>
      <c r="DL20" s="1468">
        <f t="shared" si="39"/>
        <v>0</v>
      </c>
      <c r="DM20" s="1468">
        <f t="shared" si="40"/>
        <v>0</v>
      </c>
      <c r="DN20" s="1468">
        <f t="shared" si="41"/>
        <v>0</v>
      </c>
      <c r="DO20" s="1468">
        <f t="shared" si="42"/>
        <v>0</v>
      </c>
      <c r="DP20" s="1468">
        <f t="shared" si="43"/>
        <v>0</v>
      </c>
      <c r="DQ20" s="1468">
        <f t="shared" si="44"/>
        <v>0</v>
      </c>
      <c r="DR20" s="1468">
        <f t="shared" si="45"/>
        <v>0</v>
      </c>
      <c r="DS20" s="1468">
        <f t="shared" si="46"/>
        <v>0</v>
      </c>
      <c r="DT20" s="1468">
        <f t="shared" si="47"/>
        <v>0</v>
      </c>
      <c r="DU20" s="1468">
        <f t="shared" si="48"/>
        <v>0</v>
      </c>
      <c r="DV20" s="1468">
        <f t="shared" si="49"/>
        <v>0</v>
      </c>
      <c r="DW20" s="1468">
        <f t="shared" si="50"/>
        <v>0</v>
      </c>
      <c r="DX20" s="1468">
        <f t="shared" si="51"/>
        <v>0</v>
      </c>
      <c r="DY20" s="1468">
        <f t="shared" si="52"/>
        <v>0</v>
      </c>
      <c r="DZ20" s="1468">
        <f t="shared" si="53"/>
        <v>0</v>
      </c>
    </row>
    <row r="21" spans="1:130" ht="24" customHeight="1" x14ac:dyDescent="0.25">
      <c r="A21" s="1995" t="s">
        <v>1791</v>
      </c>
      <c r="B21" s="2038">
        <f>+D21+F21+H21</f>
        <v>0</v>
      </c>
      <c r="C21" s="2084">
        <f>+E21+G21+I21</f>
        <v>0</v>
      </c>
      <c r="D21" s="1129"/>
      <c r="E21" s="1130"/>
      <c r="F21" s="1109"/>
      <c r="G21" s="1130"/>
      <c r="H21" s="1109"/>
      <c r="I21" s="1113"/>
      <c r="J21" s="1135"/>
      <c r="K21" s="1136"/>
      <c r="L21" s="1135"/>
      <c r="M21" s="1136"/>
      <c r="N21" s="1135"/>
      <c r="O21" s="1136"/>
      <c r="P21" s="1135"/>
      <c r="Q21" s="1136"/>
      <c r="R21" s="1135"/>
      <c r="S21" s="1136"/>
      <c r="T21" s="1135"/>
      <c r="U21" s="1136"/>
      <c r="V21" s="1135"/>
      <c r="W21" s="1136"/>
      <c r="X21" s="1135"/>
      <c r="Y21" s="1136"/>
      <c r="Z21" s="1135"/>
      <c r="AA21" s="1136"/>
      <c r="AB21" s="1135"/>
      <c r="AC21" s="1136"/>
      <c r="AD21" s="1135"/>
      <c r="AE21" s="1136"/>
      <c r="AF21" s="1135"/>
      <c r="AG21" s="1136"/>
      <c r="AH21" s="1135"/>
      <c r="AI21" s="1136"/>
      <c r="AJ21" s="1135"/>
      <c r="AK21" s="1136"/>
      <c r="AL21" s="1135"/>
      <c r="AM21" s="1136"/>
      <c r="AN21" s="1135"/>
      <c r="AO21" s="1136"/>
      <c r="AP21" s="1135"/>
      <c r="AQ21" s="1137"/>
      <c r="AR21" s="1129"/>
      <c r="AS21" s="1131"/>
      <c r="AT21" s="1129"/>
      <c r="AU21" s="1130"/>
      <c r="AV21" s="1109"/>
      <c r="AW21" s="1113"/>
      <c r="AX21" s="1193" t="str">
        <f t="shared" si="7"/>
        <v/>
      </c>
      <c r="AY21" s="1193"/>
      <c r="AZ21" s="1193"/>
      <c r="BA21" s="1193"/>
      <c r="BB21" s="1193"/>
      <c r="BC21" s="1193"/>
      <c r="BD21" s="1193"/>
      <c r="BE21" s="1193"/>
      <c r="BF21" s="1193"/>
      <c r="BG21" s="1193"/>
      <c r="BH21" s="1193"/>
      <c r="BI21" s="1187"/>
      <c r="BJ21" s="1187"/>
      <c r="BK21" s="1187"/>
      <c r="BL21" s="1187"/>
      <c r="BU21" s="1187"/>
      <c r="BW21" s="1580"/>
      <c r="CA21" s="2235" t="str">
        <f t="shared" si="8"/>
        <v/>
      </c>
      <c r="CB21" s="2235" t="str">
        <f t="shared" si="9"/>
        <v/>
      </c>
      <c r="CC21" s="2235" t="str">
        <f t="shared" si="10"/>
        <v/>
      </c>
      <c r="CD21" s="2235" t="str">
        <f t="shared" si="11"/>
        <v/>
      </c>
      <c r="CE21" s="2235" t="str">
        <f t="shared" si="12"/>
        <v/>
      </c>
      <c r="CF21" s="2235" t="str">
        <f t="shared" si="13"/>
        <v/>
      </c>
      <c r="CG21" s="2235" t="str">
        <f t="shared" si="14"/>
        <v/>
      </c>
      <c r="CH21" s="2235" t="str">
        <f t="shared" si="15"/>
        <v/>
      </c>
      <c r="CI21" s="2235" t="str">
        <f t="shared" si="16"/>
        <v/>
      </c>
      <c r="CJ21" s="2235" t="str">
        <f t="shared" si="17"/>
        <v/>
      </c>
      <c r="CK21" s="2235" t="str">
        <f t="shared" si="18"/>
        <v/>
      </c>
      <c r="CL21" s="2235" t="str">
        <f t="shared" si="19"/>
        <v/>
      </c>
      <c r="CM21" s="2235" t="str">
        <f t="shared" si="20"/>
        <v/>
      </c>
      <c r="CN21" s="2235" t="str">
        <f t="shared" si="21"/>
        <v/>
      </c>
      <c r="CO21" s="2235" t="str">
        <f t="shared" si="22"/>
        <v/>
      </c>
      <c r="CP21" s="2235" t="str">
        <f t="shared" si="23"/>
        <v/>
      </c>
      <c r="CQ21" s="2235" t="str">
        <f t="shared" si="24"/>
        <v/>
      </c>
      <c r="CR21" s="2235" t="str">
        <f t="shared" si="25"/>
        <v/>
      </c>
      <c r="CS21" s="2235" t="str">
        <f t="shared" si="26"/>
        <v/>
      </c>
      <c r="CT21" s="2235" t="str">
        <f t="shared" si="27"/>
        <v/>
      </c>
      <c r="CU21" s="2235" t="str">
        <f t="shared" si="28"/>
        <v/>
      </c>
      <c r="CV21" s="2235" t="str">
        <f t="shared" si="29"/>
        <v/>
      </c>
      <c r="CW21" s="2235" t="str">
        <f t="shared" si="30"/>
        <v/>
      </c>
      <c r="CX21" s="2235" t="str">
        <f t="shared" si="31"/>
        <v/>
      </c>
      <c r="CY21" s="2235" t="str">
        <f t="shared" si="32"/>
        <v/>
      </c>
      <c r="CZ21" s="2235" t="str">
        <f t="shared" si="1"/>
        <v/>
      </c>
      <c r="DA21" s="1468">
        <f t="shared" si="2"/>
        <v>0</v>
      </c>
      <c r="DB21" s="1468">
        <f t="shared" si="3"/>
        <v>0</v>
      </c>
      <c r="DC21" s="1468">
        <f t="shared" si="4"/>
        <v>0</v>
      </c>
      <c r="DD21" s="1468">
        <f t="shared" si="5"/>
        <v>0</v>
      </c>
      <c r="DE21" s="1468">
        <f t="shared" si="6"/>
        <v>0</v>
      </c>
      <c r="DF21" s="1468">
        <f t="shared" si="33"/>
        <v>0</v>
      </c>
      <c r="DG21" s="1468">
        <f t="shared" si="34"/>
        <v>0</v>
      </c>
      <c r="DH21" s="1468">
        <f t="shared" si="35"/>
        <v>0</v>
      </c>
      <c r="DI21" s="1468">
        <f t="shared" si="36"/>
        <v>0</v>
      </c>
      <c r="DJ21" s="1468">
        <f t="shared" si="37"/>
        <v>0</v>
      </c>
      <c r="DK21" s="1468">
        <f t="shared" si="38"/>
        <v>0</v>
      </c>
      <c r="DL21" s="1468">
        <f t="shared" si="39"/>
        <v>0</v>
      </c>
      <c r="DM21" s="1468">
        <f t="shared" si="40"/>
        <v>0</v>
      </c>
      <c r="DN21" s="1468">
        <f t="shared" si="41"/>
        <v>0</v>
      </c>
      <c r="DO21" s="1468">
        <f t="shared" si="42"/>
        <v>0</v>
      </c>
      <c r="DP21" s="1468">
        <f t="shared" si="43"/>
        <v>0</v>
      </c>
      <c r="DQ21" s="1468">
        <f t="shared" si="44"/>
        <v>0</v>
      </c>
      <c r="DR21" s="1468">
        <f t="shared" si="45"/>
        <v>0</v>
      </c>
      <c r="DS21" s="1468">
        <f t="shared" si="46"/>
        <v>0</v>
      </c>
      <c r="DT21" s="1468">
        <f t="shared" si="47"/>
        <v>0</v>
      </c>
      <c r="DU21" s="1468">
        <f t="shared" si="48"/>
        <v>0</v>
      </c>
      <c r="DV21" s="1468">
        <f t="shared" si="49"/>
        <v>0</v>
      </c>
      <c r="DW21" s="1468">
        <f t="shared" si="50"/>
        <v>0</v>
      </c>
      <c r="DX21" s="1468">
        <f t="shared" si="51"/>
        <v>0</v>
      </c>
      <c r="DY21" s="1468">
        <f t="shared" si="52"/>
        <v>0</v>
      </c>
      <c r="DZ21" s="1468">
        <f t="shared" si="53"/>
        <v>0</v>
      </c>
    </row>
    <row r="22" spans="1:130" ht="18" customHeight="1" x14ac:dyDescent="0.25">
      <c r="A22" s="1995" t="s">
        <v>1792</v>
      </c>
      <c r="B22" s="2038">
        <f>+P22+R22+T22+V22+X22+Z22+AB22+AD22+AF22+AH22+AJ22+AL22+AN22+AP22</f>
        <v>0</v>
      </c>
      <c r="C22" s="2084">
        <f>+Q22+S22+U22+W22+Y22+AA22+AC22+AE22+AG22+AI22+AK22+AM22+AO22+AQ22</f>
        <v>0</v>
      </c>
      <c r="D22" s="1125"/>
      <c r="E22" s="1126"/>
      <c r="F22" s="1127"/>
      <c r="G22" s="1126"/>
      <c r="H22" s="1127"/>
      <c r="I22" s="1126"/>
      <c r="J22" s="1127"/>
      <c r="K22" s="1126"/>
      <c r="L22" s="1127"/>
      <c r="M22" s="1128"/>
      <c r="N22" s="1125"/>
      <c r="O22" s="1126"/>
      <c r="P22" s="1109"/>
      <c r="Q22" s="1130"/>
      <c r="R22" s="1109"/>
      <c r="S22" s="1130"/>
      <c r="T22" s="1109"/>
      <c r="U22" s="1130"/>
      <c r="V22" s="1109"/>
      <c r="W22" s="1130"/>
      <c r="X22" s="1109"/>
      <c r="Y22" s="1130"/>
      <c r="Z22" s="1109"/>
      <c r="AA22" s="1130"/>
      <c r="AB22" s="1109"/>
      <c r="AC22" s="1130"/>
      <c r="AD22" s="1109"/>
      <c r="AE22" s="1130"/>
      <c r="AF22" s="1109"/>
      <c r="AG22" s="1130"/>
      <c r="AH22" s="1109"/>
      <c r="AI22" s="1130"/>
      <c r="AJ22" s="1109"/>
      <c r="AK22" s="1130"/>
      <c r="AL22" s="1109"/>
      <c r="AM22" s="1130"/>
      <c r="AN22" s="1109"/>
      <c r="AO22" s="1130"/>
      <c r="AP22" s="1109"/>
      <c r="AQ22" s="1131"/>
      <c r="AR22" s="1129"/>
      <c r="AS22" s="1131"/>
      <c r="AT22" s="1129"/>
      <c r="AU22" s="1130"/>
      <c r="AV22" s="1109"/>
      <c r="AW22" s="1113"/>
      <c r="AX22" s="1193" t="str">
        <f t="shared" si="7"/>
        <v/>
      </c>
      <c r="AY22" s="1193"/>
      <c r="AZ22" s="1193"/>
      <c r="BA22" s="1193"/>
      <c r="BB22" s="1193"/>
      <c r="BC22" s="1193"/>
      <c r="BD22" s="1193"/>
      <c r="BE22" s="1193"/>
      <c r="BF22" s="1193"/>
      <c r="BG22" s="1193"/>
      <c r="BH22" s="1193"/>
      <c r="BI22" s="1187"/>
      <c r="BJ22" s="1187"/>
      <c r="BK22" s="1187"/>
      <c r="BL22" s="1187"/>
      <c r="BU22" s="1187"/>
      <c r="BW22" s="1580"/>
      <c r="CA22" s="2235" t="str">
        <f t="shared" si="8"/>
        <v/>
      </c>
      <c r="CB22" s="2235" t="str">
        <f t="shared" si="9"/>
        <v/>
      </c>
      <c r="CC22" s="2235" t="str">
        <f t="shared" si="10"/>
        <v/>
      </c>
      <c r="CD22" s="2235" t="str">
        <f t="shared" si="11"/>
        <v/>
      </c>
      <c r="CE22" s="2235" t="str">
        <f t="shared" si="12"/>
        <v/>
      </c>
      <c r="CF22" s="2235" t="str">
        <f t="shared" si="13"/>
        <v/>
      </c>
      <c r="CG22" s="2235" t="str">
        <f t="shared" si="14"/>
        <v/>
      </c>
      <c r="CH22" s="2235" t="str">
        <f t="shared" si="15"/>
        <v/>
      </c>
      <c r="CI22" s="2235" t="str">
        <f t="shared" si="16"/>
        <v/>
      </c>
      <c r="CJ22" s="2235" t="str">
        <f t="shared" si="17"/>
        <v/>
      </c>
      <c r="CK22" s="2235" t="str">
        <f t="shared" si="18"/>
        <v/>
      </c>
      <c r="CL22" s="2235" t="str">
        <f t="shared" si="19"/>
        <v/>
      </c>
      <c r="CM22" s="2235" t="str">
        <f t="shared" si="20"/>
        <v/>
      </c>
      <c r="CN22" s="2235" t="str">
        <f t="shared" si="21"/>
        <v/>
      </c>
      <c r="CO22" s="2235" t="str">
        <f t="shared" si="22"/>
        <v/>
      </c>
      <c r="CP22" s="2235" t="str">
        <f t="shared" si="23"/>
        <v/>
      </c>
      <c r="CQ22" s="2235" t="str">
        <f t="shared" si="24"/>
        <v/>
      </c>
      <c r="CR22" s="2235" t="str">
        <f t="shared" si="25"/>
        <v/>
      </c>
      <c r="CS22" s="2235" t="str">
        <f t="shared" si="26"/>
        <v/>
      </c>
      <c r="CT22" s="2235" t="str">
        <f t="shared" si="27"/>
        <v/>
      </c>
      <c r="CU22" s="2235" t="str">
        <f t="shared" si="28"/>
        <v/>
      </c>
      <c r="CV22" s="2235" t="str">
        <f t="shared" si="29"/>
        <v/>
      </c>
      <c r="CW22" s="2235" t="str">
        <f t="shared" si="30"/>
        <v/>
      </c>
      <c r="CX22" s="2235" t="str">
        <f t="shared" si="31"/>
        <v/>
      </c>
      <c r="CY22" s="2235" t="str">
        <f t="shared" si="32"/>
        <v/>
      </c>
      <c r="CZ22" s="2235" t="str">
        <f t="shared" si="1"/>
        <v/>
      </c>
      <c r="DA22" s="1468">
        <f t="shared" si="2"/>
        <v>0</v>
      </c>
      <c r="DB22" s="1468">
        <f t="shared" si="3"/>
        <v>0</v>
      </c>
      <c r="DC22" s="1468">
        <f t="shared" si="4"/>
        <v>0</v>
      </c>
      <c r="DD22" s="1468">
        <f t="shared" si="5"/>
        <v>0</v>
      </c>
      <c r="DE22" s="1468">
        <f t="shared" si="6"/>
        <v>0</v>
      </c>
      <c r="DF22" s="1468">
        <f t="shared" si="33"/>
        <v>0</v>
      </c>
      <c r="DG22" s="1468">
        <f t="shared" si="34"/>
        <v>0</v>
      </c>
      <c r="DH22" s="1468">
        <f t="shared" si="35"/>
        <v>0</v>
      </c>
      <c r="DI22" s="1468">
        <f t="shared" si="36"/>
        <v>0</v>
      </c>
      <c r="DJ22" s="1468">
        <f t="shared" si="37"/>
        <v>0</v>
      </c>
      <c r="DK22" s="1468">
        <f t="shared" si="38"/>
        <v>0</v>
      </c>
      <c r="DL22" s="1468">
        <f t="shared" si="39"/>
        <v>0</v>
      </c>
      <c r="DM22" s="1468">
        <f t="shared" si="40"/>
        <v>0</v>
      </c>
      <c r="DN22" s="1468">
        <f t="shared" si="41"/>
        <v>0</v>
      </c>
      <c r="DO22" s="1468">
        <f t="shared" si="42"/>
        <v>0</v>
      </c>
      <c r="DP22" s="1468">
        <f t="shared" si="43"/>
        <v>0</v>
      </c>
      <c r="DQ22" s="1468">
        <f t="shared" si="44"/>
        <v>0</v>
      </c>
      <c r="DR22" s="1468">
        <f t="shared" si="45"/>
        <v>0</v>
      </c>
      <c r="DS22" s="1468">
        <f t="shared" si="46"/>
        <v>0</v>
      </c>
      <c r="DT22" s="1468">
        <f t="shared" si="47"/>
        <v>0</v>
      </c>
      <c r="DU22" s="1468">
        <f t="shared" si="48"/>
        <v>0</v>
      </c>
      <c r="DV22" s="1468">
        <f t="shared" si="49"/>
        <v>0</v>
      </c>
      <c r="DW22" s="1468">
        <f t="shared" si="50"/>
        <v>0</v>
      </c>
      <c r="DX22" s="1468">
        <f t="shared" si="51"/>
        <v>0</v>
      </c>
      <c r="DY22" s="1468">
        <f t="shared" si="52"/>
        <v>0</v>
      </c>
      <c r="DZ22" s="1468">
        <f t="shared" si="53"/>
        <v>0</v>
      </c>
    </row>
    <row r="23" spans="1:130" ht="16.149999999999999" customHeight="1" x14ac:dyDescent="0.25">
      <c r="A23" s="2072" t="s">
        <v>1793</v>
      </c>
      <c r="B23" s="2038">
        <f>+N23+P23+R23+T23+V23+X23+Z23+AB23+AD23+AF23+AH23+AJ23+AL23+AN23+AP23</f>
        <v>0</v>
      </c>
      <c r="C23" s="2084">
        <f>+O23+Q23+S23+U23+W23+Y23+AA23+AC23+AE23+AG23+AI23+AK23+AM23+AO23+AQ23</f>
        <v>0</v>
      </c>
      <c r="D23" s="1132"/>
      <c r="E23" s="1136"/>
      <c r="F23" s="1135"/>
      <c r="G23" s="1136"/>
      <c r="H23" s="1135"/>
      <c r="I23" s="1138"/>
      <c r="J23" s="1132"/>
      <c r="K23" s="1132"/>
      <c r="L23" s="1135"/>
      <c r="M23" s="1138"/>
      <c r="N23" s="1129"/>
      <c r="O23" s="1130"/>
      <c r="P23" s="1109"/>
      <c r="Q23" s="1130"/>
      <c r="R23" s="1109"/>
      <c r="S23" s="1130"/>
      <c r="T23" s="1109"/>
      <c r="U23" s="1130"/>
      <c r="V23" s="1109"/>
      <c r="W23" s="1130"/>
      <c r="X23" s="1109"/>
      <c r="Y23" s="1130"/>
      <c r="Z23" s="1109"/>
      <c r="AA23" s="1130"/>
      <c r="AB23" s="1109"/>
      <c r="AC23" s="1130"/>
      <c r="AD23" s="1109"/>
      <c r="AE23" s="1130"/>
      <c r="AF23" s="1109"/>
      <c r="AG23" s="1130"/>
      <c r="AH23" s="1109"/>
      <c r="AI23" s="1130"/>
      <c r="AJ23" s="1109"/>
      <c r="AK23" s="1130"/>
      <c r="AL23" s="1109"/>
      <c r="AM23" s="1130"/>
      <c r="AN23" s="1109"/>
      <c r="AO23" s="1113"/>
      <c r="AP23" s="1109"/>
      <c r="AQ23" s="1131"/>
      <c r="AR23" s="1129"/>
      <c r="AS23" s="1131"/>
      <c r="AT23" s="1129"/>
      <c r="AU23" s="1130"/>
      <c r="AV23" s="1109"/>
      <c r="AW23" s="1113"/>
      <c r="AX23" s="1193" t="str">
        <f t="shared" si="7"/>
        <v/>
      </c>
      <c r="AY23" s="1193"/>
      <c r="AZ23" s="1193"/>
      <c r="BA23" s="1193"/>
      <c r="BB23" s="1193"/>
      <c r="BC23" s="1193"/>
      <c r="BD23" s="1193"/>
      <c r="BE23" s="1193"/>
      <c r="BF23" s="1193"/>
      <c r="BG23" s="1193"/>
      <c r="BH23" s="1193"/>
      <c r="BI23" s="1187"/>
      <c r="BJ23" s="1187"/>
      <c r="BK23" s="1187"/>
      <c r="BL23" s="1187"/>
      <c r="BU23" s="1187"/>
      <c r="BW23" s="1580"/>
      <c r="CA23" s="2235" t="str">
        <f t="shared" si="8"/>
        <v/>
      </c>
      <c r="CB23" s="2235" t="str">
        <f t="shared" si="9"/>
        <v/>
      </c>
      <c r="CC23" s="2235" t="str">
        <f t="shared" si="10"/>
        <v/>
      </c>
      <c r="CD23" s="2235" t="str">
        <f t="shared" si="11"/>
        <v/>
      </c>
      <c r="CE23" s="2235" t="str">
        <f t="shared" si="12"/>
        <v/>
      </c>
      <c r="CF23" s="2235" t="str">
        <f t="shared" si="13"/>
        <v/>
      </c>
      <c r="CG23" s="2235" t="str">
        <f t="shared" si="14"/>
        <v/>
      </c>
      <c r="CH23" s="2235" t="str">
        <f t="shared" si="15"/>
        <v/>
      </c>
      <c r="CI23" s="2235" t="str">
        <f t="shared" si="16"/>
        <v/>
      </c>
      <c r="CJ23" s="2235" t="str">
        <f t="shared" si="17"/>
        <v/>
      </c>
      <c r="CK23" s="2235" t="str">
        <f t="shared" si="18"/>
        <v/>
      </c>
      <c r="CL23" s="2235" t="str">
        <f t="shared" si="19"/>
        <v/>
      </c>
      <c r="CM23" s="2235" t="str">
        <f t="shared" si="20"/>
        <v/>
      </c>
      <c r="CN23" s="2235" t="str">
        <f t="shared" si="21"/>
        <v/>
      </c>
      <c r="CO23" s="2235" t="str">
        <f t="shared" si="22"/>
        <v/>
      </c>
      <c r="CP23" s="2235" t="str">
        <f t="shared" si="23"/>
        <v/>
      </c>
      <c r="CQ23" s="2235" t="str">
        <f t="shared" si="24"/>
        <v/>
      </c>
      <c r="CR23" s="2235" t="str">
        <f t="shared" si="25"/>
        <v/>
      </c>
      <c r="CS23" s="2235" t="str">
        <f t="shared" si="26"/>
        <v/>
      </c>
      <c r="CT23" s="2235" t="str">
        <f t="shared" si="27"/>
        <v/>
      </c>
      <c r="CU23" s="2235" t="str">
        <f t="shared" si="28"/>
        <v/>
      </c>
      <c r="CV23" s="2235" t="str">
        <f t="shared" si="29"/>
        <v/>
      </c>
      <c r="CW23" s="2235" t="str">
        <f t="shared" si="30"/>
        <v/>
      </c>
      <c r="CX23" s="2235" t="str">
        <f t="shared" si="31"/>
        <v/>
      </c>
      <c r="CY23" s="2235" t="str">
        <f t="shared" si="32"/>
        <v/>
      </c>
      <c r="CZ23" s="2235" t="str">
        <f t="shared" si="1"/>
        <v/>
      </c>
      <c r="DA23" s="1468">
        <f t="shared" si="2"/>
        <v>0</v>
      </c>
      <c r="DB23" s="1468">
        <f t="shared" si="3"/>
        <v>0</v>
      </c>
      <c r="DC23" s="1468">
        <f t="shared" si="4"/>
        <v>0</v>
      </c>
      <c r="DD23" s="1468">
        <f t="shared" si="5"/>
        <v>0</v>
      </c>
      <c r="DE23" s="1468">
        <f t="shared" si="6"/>
        <v>0</v>
      </c>
      <c r="DF23" s="1468">
        <f t="shared" si="33"/>
        <v>0</v>
      </c>
      <c r="DG23" s="1468">
        <f t="shared" si="34"/>
        <v>0</v>
      </c>
      <c r="DH23" s="1468">
        <f t="shared" si="35"/>
        <v>0</v>
      </c>
      <c r="DI23" s="1468">
        <f t="shared" si="36"/>
        <v>0</v>
      </c>
      <c r="DJ23" s="1468">
        <f t="shared" si="37"/>
        <v>0</v>
      </c>
      <c r="DK23" s="1468">
        <f t="shared" si="38"/>
        <v>0</v>
      </c>
      <c r="DL23" s="1468">
        <f t="shared" si="39"/>
        <v>0</v>
      </c>
      <c r="DM23" s="1468">
        <f t="shared" si="40"/>
        <v>0</v>
      </c>
      <c r="DN23" s="1468">
        <f t="shared" si="41"/>
        <v>0</v>
      </c>
      <c r="DO23" s="1468">
        <f t="shared" si="42"/>
        <v>0</v>
      </c>
      <c r="DP23" s="1468">
        <f t="shared" si="43"/>
        <v>0</v>
      </c>
      <c r="DQ23" s="1468">
        <f t="shared" si="44"/>
        <v>0</v>
      </c>
      <c r="DR23" s="1468">
        <f t="shared" si="45"/>
        <v>0</v>
      </c>
      <c r="DS23" s="1468">
        <f t="shared" si="46"/>
        <v>0</v>
      </c>
      <c r="DT23" s="1468">
        <f t="shared" si="47"/>
        <v>0</v>
      </c>
      <c r="DU23" s="1468">
        <f t="shared" si="48"/>
        <v>0</v>
      </c>
      <c r="DV23" s="1468">
        <f t="shared" si="49"/>
        <v>0</v>
      </c>
      <c r="DW23" s="1468">
        <f t="shared" si="50"/>
        <v>0</v>
      </c>
      <c r="DX23" s="1468">
        <f t="shared" si="51"/>
        <v>0</v>
      </c>
      <c r="DY23" s="1468">
        <f t="shared" si="52"/>
        <v>0</v>
      </c>
      <c r="DZ23" s="1468">
        <f t="shared" si="53"/>
        <v>0</v>
      </c>
    </row>
    <row r="24" spans="1:130" ht="16.149999999999999" customHeight="1" x14ac:dyDescent="0.25">
      <c r="A24" s="2072" t="s">
        <v>1794</v>
      </c>
      <c r="B24" s="2038">
        <f>+D24+F24+H24+J24+L24+N24+P24+R24+T24+V24+X24+Z24+AB24+AD24+AF24+AH24+AJ24+AL24+AN24+AP24</f>
        <v>0</v>
      </c>
      <c r="C24" s="2084">
        <f>+E24+G24+I24+K24+M24+O24+Q24+S24+U24+W24+Y24+AA24+AC24+AE24+AG24+AI24+AK24+AM24+AO24+AQ24</f>
        <v>0</v>
      </c>
      <c r="D24" s="1129"/>
      <c r="E24" s="1130"/>
      <c r="F24" s="1109"/>
      <c r="G24" s="1130"/>
      <c r="H24" s="1109"/>
      <c r="I24" s="1113"/>
      <c r="J24" s="1129"/>
      <c r="K24" s="1129"/>
      <c r="L24" s="1109"/>
      <c r="M24" s="1113"/>
      <c r="N24" s="1129"/>
      <c r="O24" s="1130"/>
      <c r="P24" s="1109"/>
      <c r="Q24" s="1130"/>
      <c r="R24" s="1109"/>
      <c r="S24" s="1130"/>
      <c r="T24" s="1109"/>
      <c r="U24" s="1130"/>
      <c r="V24" s="1109"/>
      <c r="W24" s="1130"/>
      <c r="X24" s="1109"/>
      <c r="Y24" s="1130"/>
      <c r="Z24" s="1109"/>
      <c r="AA24" s="1130"/>
      <c r="AB24" s="1109"/>
      <c r="AC24" s="1130"/>
      <c r="AD24" s="1109"/>
      <c r="AE24" s="1130"/>
      <c r="AF24" s="1109"/>
      <c r="AG24" s="1130"/>
      <c r="AH24" s="1109"/>
      <c r="AI24" s="1130"/>
      <c r="AJ24" s="1109"/>
      <c r="AK24" s="1130"/>
      <c r="AL24" s="1109"/>
      <c r="AM24" s="1130"/>
      <c r="AN24" s="1109"/>
      <c r="AO24" s="1130"/>
      <c r="AP24" s="1109"/>
      <c r="AQ24" s="1131"/>
      <c r="AR24" s="1129"/>
      <c r="AS24" s="1131"/>
      <c r="AT24" s="1129"/>
      <c r="AU24" s="1130"/>
      <c r="AV24" s="1109"/>
      <c r="AW24" s="1113"/>
      <c r="AX24" s="1193" t="str">
        <f t="shared" si="7"/>
        <v/>
      </c>
      <c r="AY24" s="1193"/>
      <c r="AZ24" s="1193"/>
      <c r="BA24" s="1193"/>
      <c r="BB24" s="1193"/>
      <c r="BC24" s="1193"/>
      <c r="BD24" s="1193"/>
      <c r="BE24" s="1193"/>
      <c r="BF24" s="1193"/>
      <c r="BG24" s="1193"/>
      <c r="BH24" s="1193"/>
      <c r="BI24" s="1187"/>
      <c r="BJ24" s="1187"/>
      <c r="BK24" s="1187"/>
      <c r="BL24" s="1187"/>
      <c r="BU24" s="1187"/>
      <c r="BW24" s="1580"/>
      <c r="CA24" s="2235" t="str">
        <f t="shared" si="8"/>
        <v/>
      </c>
      <c r="CB24" s="2235" t="str">
        <f t="shared" si="9"/>
        <v/>
      </c>
      <c r="CC24" s="2235" t="str">
        <f t="shared" si="10"/>
        <v/>
      </c>
      <c r="CD24" s="2235" t="str">
        <f t="shared" si="11"/>
        <v/>
      </c>
      <c r="CE24" s="2235" t="str">
        <f t="shared" si="12"/>
        <v/>
      </c>
      <c r="CF24" s="2235" t="str">
        <f t="shared" si="13"/>
        <v/>
      </c>
      <c r="CG24" s="2235" t="str">
        <f t="shared" si="14"/>
        <v/>
      </c>
      <c r="CH24" s="2235" t="str">
        <f t="shared" si="15"/>
        <v/>
      </c>
      <c r="CI24" s="2235" t="str">
        <f t="shared" si="16"/>
        <v/>
      </c>
      <c r="CJ24" s="2235" t="str">
        <f t="shared" si="17"/>
        <v/>
      </c>
      <c r="CK24" s="2235" t="str">
        <f t="shared" si="18"/>
        <v/>
      </c>
      <c r="CL24" s="2235" t="str">
        <f t="shared" si="19"/>
        <v/>
      </c>
      <c r="CM24" s="2235" t="str">
        <f t="shared" si="20"/>
        <v/>
      </c>
      <c r="CN24" s="2235" t="str">
        <f t="shared" si="21"/>
        <v/>
      </c>
      <c r="CO24" s="2235" t="str">
        <f t="shared" si="22"/>
        <v/>
      </c>
      <c r="CP24" s="2235" t="str">
        <f t="shared" si="23"/>
        <v/>
      </c>
      <c r="CQ24" s="2235" t="str">
        <f t="shared" si="24"/>
        <v/>
      </c>
      <c r="CR24" s="2235" t="str">
        <f t="shared" si="25"/>
        <v/>
      </c>
      <c r="CS24" s="2235" t="str">
        <f t="shared" si="26"/>
        <v/>
      </c>
      <c r="CT24" s="2235" t="str">
        <f t="shared" si="27"/>
        <v/>
      </c>
      <c r="CU24" s="2235" t="str">
        <f t="shared" si="28"/>
        <v/>
      </c>
      <c r="CV24" s="2235" t="str">
        <f t="shared" si="29"/>
        <v/>
      </c>
      <c r="CW24" s="2235" t="str">
        <f t="shared" si="30"/>
        <v/>
      </c>
      <c r="CX24" s="2235" t="str">
        <f t="shared" si="31"/>
        <v/>
      </c>
      <c r="CY24" s="2235" t="str">
        <f t="shared" si="32"/>
        <v/>
      </c>
      <c r="CZ24" s="2235" t="str">
        <f t="shared" si="1"/>
        <v/>
      </c>
      <c r="DA24" s="1468">
        <f t="shared" si="2"/>
        <v>0</v>
      </c>
      <c r="DB24" s="1468">
        <f t="shared" si="3"/>
        <v>0</v>
      </c>
      <c r="DC24" s="1468">
        <f t="shared" si="4"/>
        <v>0</v>
      </c>
      <c r="DD24" s="1468">
        <f t="shared" si="5"/>
        <v>0</v>
      </c>
      <c r="DE24" s="1468">
        <f t="shared" si="6"/>
        <v>0</v>
      </c>
      <c r="DF24" s="1468">
        <f t="shared" si="33"/>
        <v>0</v>
      </c>
      <c r="DG24" s="1468">
        <f t="shared" si="34"/>
        <v>0</v>
      </c>
      <c r="DH24" s="1468">
        <f t="shared" si="35"/>
        <v>0</v>
      </c>
      <c r="DI24" s="1468">
        <f t="shared" si="36"/>
        <v>0</v>
      </c>
      <c r="DJ24" s="1468">
        <f t="shared" si="37"/>
        <v>0</v>
      </c>
      <c r="DK24" s="1468">
        <f t="shared" si="38"/>
        <v>0</v>
      </c>
      <c r="DL24" s="1468">
        <f t="shared" si="39"/>
        <v>0</v>
      </c>
      <c r="DM24" s="1468">
        <f t="shared" si="40"/>
        <v>0</v>
      </c>
      <c r="DN24" s="1468">
        <f t="shared" si="41"/>
        <v>0</v>
      </c>
      <c r="DO24" s="1468">
        <f t="shared" si="42"/>
        <v>0</v>
      </c>
      <c r="DP24" s="1468">
        <f t="shared" si="43"/>
        <v>0</v>
      </c>
      <c r="DQ24" s="1468">
        <f t="shared" si="44"/>
        <v>0</v>
      </c>
      <c r="DR24" s="1468">
        <f t="shared" si="45"/>
        <v>0</v>
      </c>
      <c r="DS24" s="1468">
        <f t="shared" si="46"/>
        <v>0</v>
      </c>
      <c r="DT24" s="1468">
        <f t="shared" si="47"/>
        <v>0</v>
      </c>
      <c r="DU24" s="1468">
        <f t="shared" si="48"/>
        <v>0</v>
      </c>
      <c r="DV24" s="1468">
        <f t="shared" si="49"/>
        <v>0</v>
      </c>
      <c r="DW24" s="1468">
        <f t="shared" si="50"/>
        <v>0</v>
      </c>
      <c r="DX24" s="1468">
        <f t="shared" si="51"/>
        <v>0</v>
      </c>
      <c r="DY24" s="1468">
        <f t="shared" si="52"/>
        <v>0</v>
      </c>
      <c r="DZ24" s="1468">
        <f t="shared" si="53"/>
        <v>0</v>
      </c>
    </row>
    <row r="25" spans="1:130" ht="16.149999999999999" customHeight="1" x14ac:dyDescent="0.25">
      <c r="A25" s="2072" t="s">
        <v>2179</v>
      </c>
      <c r="B25" s="2038">
        <f>+P25+R25+T25+V25+X25+Z25+AB25+AD25+AF25+AH25+AJ25+AL25+AN25+AP25</f>
        <v>0</v>
      </c>
      <c r="C25" s="2084">
        <f>+Q25+S25+U25+W25+Y25+AA25+AC25+AE25+AG25+AI25+AK25+AM25+AO25+AQ25</f>
        <v>0</v>
      </c>
      <c r="D25" s="1125"/>
      <c r="E25" s="1126"/>
      <c r="F25" s="1127"/>
      <c r="G25" s="1126"/>
      <c r="H25" s="1127"/>
      <c r="I25" s="1126"/>
      <c r="J25" s="1127"/>
      <c r="K25" s="1126"/>
      <c r="L25" s="1127"/>
      <c r="M25" s="1128"/>
      <c r="N25" s="1125"/>
      <c r="O25" s="1126"/>
      <c r="P25" s="1109"/>
      <c r="Q25" s="1130"/>
      <c r="R25" s="1109"/>
      <c r="S25" s="1130"/>
      <c r="T25" s="1109"/>
      <c r="U25" s="1130"/>
      <c r="V25" s="1109"/>
      <c r="W25" s="1130"/>
      <c r="X25" s="1109"/>
      <c r="Y25" s="1130"/>
      <c r="Z25" s="1109"/>
      <c r="AA25" s="1130"/>
      <c r="AB25" s="1109"/>
      <c r="AC25" s="1130"/>
      <c r="AD25" s="1109"/>
      <c r="AE25" s="1130"/>
      <c r="AF25" s="1109"/>
      <c r="AG25" s="1130"/>
      <c r="AH25" s="1109"/>
      <c r="AI25" s="1130"/>
      <c r="AJ25" s="1109"/>
      <c r="AK25" s="1130"/>
      <c r="AL25" s="1109"/>
      <c r="AM25" s="1130"/>
      <c r="AN25" s="1109"/>
      <c r="AO25" s="1130"/>
      <c r="AP25" s="1109"/>
      <c r="AQ25" s="1131"/>
      <c r="AR25" s="1129"/>
      <c r="AS25" s="1131"/>
      <c r="AT25" s="1129"/>
      <c r="AU25" s="1130"/>
      <c r="AV25" s="1109"/>
      <c r="AW25" s="1113"/>
      <c r="AX25" s="1193" t="str">
        <f t="shared" si="7"/>
        <v/>
      </c>
      <c r="AY25" s="1193"/>
      <c r="AZ25" s="1193"/>
      <c r="BA25" s="1193"/>
      <c r="BB25" s="1193"/>
      <c r="BC25" s="1193"/>
      <c r="BD25" s="1193"/>
      <c r="BE25" s="1193"/>
      <c r="BF25" s="1193"/>
      <c r="BG25" s="1193"/>
      <c r="BH25" s="1193"/>
      <c r="BI25" s="1187"/>
      <c r="BJ25" s="1187"/>
      <c r="BK25" s="1187"/>
      <c r="BL25" s="1187"/>
      <c r="BU25" s="1187"/>
      <c r="BW25" s="1580"/>
      <c r="CA25" s="2235" t="str">
        <f t="shared" si="8"/>
        <v/>
      </c>
      <c r="CB25" s="2235" t="str">
        <f t="shared" si="9"/>
        <v/>
      </c>
      <c r="CC25" s="2235" t="str">
        <f t="shared" si="10"/>
        <v/>
      </c>
      <c r="CD25" s="2235" t="str">
        <f t="shared" si="11"/>
        <v/>
      </c>
      <c r="CE25" s="2235" t="str">
        <f t="shared" si="12"/>
        <v/>
      </c>
      <c r="CF25" s="2235" t="str">
        <f t="shared" si="13"/>
        <v/>
      </c>
      <c r="CG25" s="2235" t="str">
        <f t="shared" si="14"/>
        <v/>
      </c>
      <c r="CH25" s="2235" t="str">
        <f t="shared" si="15"/>
        <v/>
      </c>
      <c r="CI25" s="2235" t="str">
        <f t="shared" si="16"/>
        <v/>
      </c>
      <c r="CJ25" s="2235" t="str">
        <f t="shared" si="17"/>
        <v/>
      </c>
      <c r="CK25" s="2235" t="str">
        <f t="shared" si="18"/>
        <v/>
      </c>
      <c r="CL25" s="2235" t="str">
        <f t="shared" si="19"/>
        <v/>
      </c>
      <c r="CM25" s="2235" t="str">
        <f t="shared" si="20"/>
        <v/>
      </c>
      <c r="CN25" s="2235" t="str">
        <f t="shared" si="21"/>
        <v/>
      </c>
      <c r="CO25" s="2235" t="str">
        <f t="shared" si="22"/>
        <v/>
      </c>
      <c r="CP25" s="2235" t="str">
        <f t="shared" si="23"/>
        <v/>
      </c>
      <c r="CQ25" s="2235" t="str">
        <f t="shared" si="24"/>
        <v/>
      </c>
      <c r="CR25" s="2235" t="str">
        <f t="shared" si="25"/>
        <v/>
      </c>
      <c r="CS25" s="2235" t="str">
        <f t="shared" si="26"/>
        <v/>
      </c>
      <c r="CT25" s="2235" t="str">
        <f t="shared" si="27"/>
        <v/>
      </c>
      <c r="CU25" s="2235" t="str">
        <f t="shared" si="28"/>
        <v/>
      </c>
      <c r="CV25" s="2235" t="str">
        <f t="shared" si="29"/>
        <v/>
      </c>
      <c r="CW25" s="2235" t="str">
        <f t="shared" si="30"/>
        <v/>
      </c>
      <c r="CX25" s="2235" t="str">
        <f t="shared" si="31"/>
        <v/>
      </c>
      <c r="CY25" s="2235" t="str">
        <f t="shared" si="32"/>
        <v/>
      </c>
      <c r="CZ25" s="2235" t="str">
        <f t="shared" si="1"/>
        <v/>
      </c>
      <c r="DA25" s="1468">
        <f t="shared" si="2"/>
        <v>0</v>
      </c>
      <c r="DB25" s="1468">
        <f t="shared" si="3"/>
        <v>0</v>
      </c>
      <c r="DC25" s="1468">
        <f t="shared" si="4"/>
        <v>0</v>
      </c>
      <c r="DD25" s="1468">
        <f t="shared" si="5"/>
        <v>0</v>
      </c>
      <c r="DE25" s="1468">
        <f t="shared" si="6"/>
        <v>0</v>
      </c>
      <c r="DF25" s="1468">
        <f t="shared" si="33"/>
        <v>0</v>
      </c>
      <c r="DG25" s="1468">
        <f t="shared" si="34"/>
        <v>0</v>
      </c>
      <c r="DH25" s="1468">
        <f t="shared" si="35"/>
        <v>0</v>
      </c>
      <c r="DI25" s="1468">
        <f t="shared" si="36"/>
        <v>0</v>
      </c>
      <c r="DJ25" s="1468">
        <f t="shared" si="37"/>
        <v>0</v>
      </c>
      <c r="DK25" s="1468">
        <f t="shared" si="38"/>
        <v>0</v>
      </c>
      <c r="DL25" s="1468">
        <f t="shared" si="39"/>
        <v>0</v>
      </c>
      <c r="DM25" s="1468">
        <f t="shared" si="40"/>
        <v>0</v>
      </c>
      <c r="DN25" s="1468">
        <f t="shared" si="41"/>
        <v>0</v>
      </c>
      <c r="DO25" s="1468">
        <f t="shared" si="42"/>
        <v>0</v>
      </c>
      <c r="DP25" s="1468">
        <f t="shared" si="43"/>
        <v>0</v>
      </c>
      <c r="DQ25" s="1468">
        <f t="shared" si="44"/>
        <v>0</v>
      </c>
      <c r="DR25" s="1468">
        <f t="shared" si="45"/>
        <v>0</v>
      </c>
      <c r="DS25" s="1468">
        <f t="shared" si="46"/>
        <v>0</v>
      </c>
      <c r="DT25" s="1468">
        <f t="shared" si="47"/>
        <v>0</v>
      </c>
      <c r="DU25" s="1468">
        <f t="shared" si="48"/>
        <v>0</v>
      </c>
      <c r="DV25" s="1468">
        <f t="shared" si="49"/>
        <v>0</v>
      </c>
      <c r="DW25" s="1468">
        <f t="shared" si="50"/>
        <v>0</v>
      </c>
      <c r="DX25" s="1468">
        <f t="shared" si="51"/>
        <v>0</v>
      </c>
      <c r="DY25" s="1468">
        <f t="shared" si="52"/>
        <v>0</v>
      </c>
      <c r="DZ25" s="1468">
        <f t="shared" si="53"/>
        <v>0</v>
      </c>
    </row>
    <row r="26" spans="1:130" ht="16.149999999999999" customHeight="1" x14ac:dyDescent="0.25">
      <c r="A26" s="2072" t="s">
        <v>1795</v>
      </c>
      <c r="B26" s="2038">
        <f>+P26+R26+T26+V26+X26+Z26+AB26+AD26+AF26+AH26</f>
        <v>0</v>
      </c>
      <c r="C26" s="2084">
        <f>+Q26+S26+U26+W26+Y26+AA26+AC26+AE26+AG26+AI26</f>
        <v>0</v>
      </c>
      <c r="D26" s="1125"/>
      <c r="E26" s="1126"/>
      <c r="F26" s="1127"/>
      <c r="G26" s="1126"/>
      <c r="H26" s="1127"/>
      <c r="I26" s="1126"/>
      <c r="J26" s="1127"/>
      <c r="K26" s="1126"/>
      <c r="L26" s="1127"/>
      <c r="M26" s="1128"/>
      <c r="N26" s="1125"/>
      <c r="O26" s="1126"/>
      <c r="P26" s="1109"/>
      <c r="Q26" s="1130"/>
      <c r="R26" s="1109"/>
      <c r="S26" s="1130"/>
      <c r="T26" s="1109"/>
      <c r="U26" s="1130"/>
      <c r="V26" s="1109"/>
      <c r="W26" s="1130"/>
      <c r="X26" s="1109"/>
      <c r="Y26" s="1130"/>
      <c r="Z26" s="1109"/>
      <c r="AA26" s="1130"/>
      <c r="AB26" s="1109"/>
      <c r="AC26" s="1130"/>
      <c r="AD26" s="1109"/>
      <c r="AE26" s="1130"/>
      <c r="AF26" s="1109"/>
      <c r="AG26" s="1130"/>
      <c r="AH26" s="1109"/>
      <c r="AI26" s="1130"/>
      <c r="AJ26" s="1127"/>
      <c r="AK26" s="1126"/>
      <c r="AL26" s="1127"/>
      <c r="AM26" s="1126"/>
      <c r="AN26" s="1127"/>
      <c r="AO26" s="1126"/>
      <c r="AP26" s="1127"/>
      <c r="AQ26" s="1139"/>
      <c r="AR26" s="1129"/>
      <c r="AS26" s="1131"/>
      <c r="AT26" s="1129"/>
      <c r="AU26" s="1130"/>
      <c r="AV26" s="1109"/>
      <c r="AW26" s="1113"/>
      <c r="AX26" s="1193" t="str">
        <f t="shared" si="7"/>
        <v/>
      </c>
      <c r="AY26" s="1193"/>
      <c r="AZ26" s="1193"/>
      <c r="BA26" s="1193"/>
      <c r="BB26" s="1193"/>
      <c r="BC26" s="1193"/>
      <c r="BD26" s="1193"/>
      <c r="BE26" s="1193"/>
      <c r="BF26" s="1193"/>
      <c r="BG26" s="1193"/>
      <c r="BH26" s="1193"/>
      <c r="BI26" s="1187"/>
      <c r="BJ26" s="1187"/>
      <c r="BK26" s="1187"/>
      <c r="BL26" s="1187"/>
      <c r="BU26" s="1187"/>
      <c r="BW26" s="1580"/>
      <c r="CA26" s="2235" t="str">
        <f t="shared" si="8"/>
        <v/>
      </c>
      <c r="CB26" s="2235" t="str">
        <f t="shared" si="9"/>
        <v/>
      </c>
      <c r="CC26" s="2235" t="str">
        <f t="shared" si="10"/>
        <v/>
      </c>
      <c r="CD26" s="2235" t="str">
        <f t="shared" si="11"/>
        <v/>
      </c>
      <c r="CE26" s="2235" t="str">
        <f t="shared" si="12"/>
        <v/>
      </c>
      <c r="CF26" s="2235" t="str">
        <f t="shared" si="13"/>
        <v/>
      </c>
      <c r="CG26" s="2235" t="str">
        <f t="shared" si="14"/>
        <v/>
      </c>
      <c r="CH26" s="2235" t="str">
        <f t="shared" si="15"/>
        <v/>
      </c>
      <c r="CI26" s="2235" t="str">
        <f t="shared" si="16"/>
        <v/>
      </c>
      <c r="CJ26" s="2235" t="str">
        <f t="shared" si="17"/>
        <v/>
      </c>
      <c r="CK26" s="2235" t="str">
        <f t="shared" si="18"/>
        <v/>
      </c>
      <c r="CL26" s="2235" t="str">
        <f t="shared" si="19"/>
        <v/>
      </c>
      <c r="CM26" s="2235" t="str">
        <f t="shared" si="20"/>
        <v/>
      </c>
      <c r="CN26" s="2235" t="str">
        <f t="shared" si="21"/>
        <v/>
      </c>
      <c r="CO26" s="2235" t="str">
        <f t="shared" si="22"/>
        <v/>
      </c>
      <c r="CP26" s="2235" t="str">
        <f t="shared" si="23"/>
        <v/>
      </c>
      <c r="CQ26" s="2235" t="str">
        <f t="shared" si="24"/>
        <v/>
      </c>
      <c r="CR26" s="2235" t="str">
        <f t="shared" si="25"/>
        <v/>
      </c>
      <c r="CS26" s="2235" t="str">
        <f t="shared" si="26"/>
        <v/>
      </c>
      <c r="CT26" s="2235" t="str">
        <f t="shared" si="27"/>
        <v/>
      </c>
      <c r="CU26" s="2235" t="str">
        <f t="shared" si="28"/>
        <v/>
      </c>
      <c r="CV26" s="2235" t="str">
        <f t="shared" si="29"/>
        <v/>
      </c>
      <c r="CW26" s="2235" t="str">
        <f t="shared" si="30"/>
        <v/>
      </c>
      <c r="CX26" s="2235" t="str">
        <f t="shared" si="31"/>
        <v/>
      </c>
      <c r="CY26" s="2235" t="str">
        <f t="shared" si="32"/>
        <v/>
      </c>
      <c r="CZ26" s="2235" t="str">
        <f t="shared" si="1"/>
        <v/>
      </c>
      <c r="DA26" s="1468">
        <f t="shared" si="2"/>
        <v>0</v>
      </c>
      <c r="DB26" s="1468">
        <f t="shared" si="3"/>
        <v>0</v>
      </c>
      <c r="DC26" s="1468">
        <f t="shared" si="4"/>
        <v>0</v>
      </c>
      <c r="DD26" s="1468">
        <f t="shared" si="5"/>
        <v>0</v>
      </c>
      <c r="DE26" s="1468">
        <f t="shared" si="6"/>
        <v>0</v>
      </c>
      <c r="DF26" s="1468">
        <f t="shared" si="33"/>
        <v>0</v>
      </c>
      <c r="DG26" s="1468">
        <f t="shared" si="34"/>
        <v>0</v>
      </c>
      <c r="DH26" s="1468">
        <f t="shared" si="35"/>
        <v>0</v>
      </c>
      <c r="DI26" s="1468">
        <f t="shared" si="36"/>
        <v>0</v>
      </c>
      <c r="DJ26" s="1468">
        <f t="shared" si="37"/>
        <v>0</v>
      </c>
      <c r="DK26" s="1468">
        <f t="shared" si="38"/>
        <v>0</v>
      </c>
      <c r="DL26" s="1468">
        <f t="shared" si="39"/>
        <v>0</v>
      </c>
      <c r="DM26" s="1468">
        <f t="shared" si="40"/>
        <v>0</v>
      </c>
      <c r="DN26" s="1468">
        <f t="shared" si="41"/>
        <v>0</v>
      </c>
      <c r="DO26" s="1468">
        <f t="shared" si="42"/>
        <v>0</v>
      </c>
      <c r="DP26" s="1468">
        <f t="shared" si="43"/>
        <v>0</v>
      </c>
      <c r="DQ26" s="1468">
        <f t="shared" si="44"/>
        <v>0</v>
      </c>
      <c r="DR26" s="1468">
        <f t="shared" si="45"/>
        <v>0</v>
      </c>
      <c r="DS26" s="1468">
        <f t="shared" si="46"/>
        <v>0</v>
      </c>
      <c r="DT26" s="1468">
        <f t="shared" si="47"/>
        <v>0</v>
      </c>
      <c r="DU26" s="1468">
        <f t="shared" si="48"/>
        <v>0</v>
      </c>
      <c r="DV26" s="1468">
        <f t="shared" si="49"/>
        <v>0</v>
      </c>
      <c r="DW26" s="1468">
        <f t="shared" si="50"/>
        <v>0</v>
      </c>
      <c r="DX26" s="1468">
        <f t="shared" si="51"/>
        <v>0</v>
      </c>
      <c r="DY26" s="1468">
        <f t="shared" si="52"/>
        <v>0</v>
      </c>
      <c r="DZ26" s="1468">
        <f t="shared" si="53"/>
        <v>0</v>
      </c>
    </row>
    <row r="27" spans="1:130" ht="16.149999999999999" customHeight="1" x14ac:dyDescent="0.25">
      <c r="A27" s="2072" t="s">
        <v>1796</v>
      </c>
      <c r="B27" s="2038">
        <f t="shared" ref="B27:C29" si="54">+D27+F27+H27+J27+L27+N27+P27+R27+T27+V27+X27+Z27+AB27+AD27+AF27+AH27+AJ27+AL27+AN27+AP27</f>
        <v>0</v>
      </c>
      <c r="C27" s="2084">
        <f t="shared" si="54"/>
        <v>0</v>
      </c>
      <c r="D27" s="1129"/>
      <c r="E27" s="1130"/>
      <c r="F27" s="1109"/>
      <c r="G27" s="1130"/>
      <c r="H27" s="1109"/>
      <c r="I27" s="1113"/>
      <c r="J27" s="1129"/>
      <c r="K27" s="1129"/>
      <c r="L27" s="1109"/>
      <c r="M27" s="1113"/>
      <c r="N27" s="1129"/>
      <c r="O27" s="1130"/>
      <c r="P27" s="1109"/>
      <c r="Q27" s="1130"/>
      <c r="R27" s="1109"/>
      <c r="S27" s="1130"/>
      <c r="T27" s="1109"/>
      <c r="U27" s="1130"/>
      <c r="V27" s="1109"/>
      <c r="W27" s="1130"/>
      <c r="X27" s="1109"/>
      <c r="Y27" s="1130"/>
      <c r="Z27" s="1109"/>
      <c r="AA27" s="1130"/>
      <c r="AB27" s="1109"/>
      <c r="AC27" s="1130"/>
      <c r="AD27" s="1109"/>
      <c r="AE27" s="1130"/>
      <c r="AF27" s="1109"/>
      <c r="AG27" s="1130"/>
      <c r="AH27" s="1109"/>
      <c r="AI27" s="1130"/>
      <c r="AJ27" s="1109"/>
      <c r="AK27" s="1130"/>
      <c r="AL27" s="1109"/>
      <c r="AM27" s="1130"/>
      <c r="AN27" s="1109"/>
      <c r="AO27" s="1130"/>
      <c r="AP27" s="1109"/>
      <c r="AQ27" s="1131"/>
      <c r="AR27" s="1129"/>
      <c r="AS27" s="1131"/>
      <c r="AT27" s="1129"/>
      <c r="AU27" s="1130"/>
      <c r="AV27" s="1109"/>
      <c r="AW27" s="1113"/>
      <c r="AX27" s="1193" t="str">
        <f t="shared" si="7"/>
        <v/>
      </c>
      <c r="AY27" s="1193"/>
      <c r="AZ27" s="1193"/>
      <c r="BA27" s="1193"/>
      <c r="BB27" s="1193"/>
      <c r="BC27" s="1193"/>
      <c r="BD27" s="1193"/>
      <c r="BE27" s="1193"/>
      <c r="BF27" s="1193"/>
      <c r="BG27" s="1193"/>
      <c r="BH27" s="1193"/>
      <c r="BI27" s="1187"/>
      <c r="BJ27" s="1187"/>
      <c r="BK27" s="1187"/>
      <c r="BL27" s="1187"/>
      <c r="BU27" s="1187"/>
      <c r="BW27" s="1580"/>
      <c r="CA27" s="2235" t="str">
        <f t="shared" si="8"/>
        <v/>
      </c>
      <c r="CB27" s="2235" t="str">
        <f t="shared" si="9"/>
        <v/>
      </c>
      <c r="CC27" s="2235" t="str">
        <f t="shared" si="10"/>
        <v/>
      </c>
      <c r="CD27" s="2235" t="str">
        <f t="shared" si="11"/>
        <v/>
      </c>
      <c r="CE27" s="2235" t="str">
        <f t="shared" si="12"/>
        <v/>
      </c>
      <c r="CF27" s="2235" t="str">
        <f t="shared" si="13"/>
        <v/>
      </c>
      <c r="CG27" s="2235" t="str">
        <f t="shared" si="14"/>
        <v/>
      </c>
      <c r="CH27" s="2235" t="str">
        <f t="shared" si="15"/>
        <v/>
      </c>
      <c r="CI27" s="2235" t="str">
        <f t="shared" si="16"/>
        <v/>
      </c>
      <c r="CJ27" s="2235" t="str">
        <f t="shared" si="17"/>
        <v/>
      </c>
      <c r="CK27" s="2235" t="str">
        <f t="shared" si="18"/>
        <v/>
      </c>
      <c r="CL27" s="2235" t="str">
        <f t="shared" si="19"/>
        <v/>
      </c>
      <c r="CM27" s="2235" t="str">
        <f t="shared" si="20"/>
        <v/>
      </c>
      <c r="CN27" s="2235" t="str">
        <f t="shared" si="21"/>
        <v/>
      </c>
      <c r="CO27" s="2235" t="str">
        <f t="shared" si="22"/>
        <v/>
      </c>
      <c r="CP27" s="2235" t="str">
        <f t="shared" si="23"/>
        <v/>
      </c>
      <c r="CQ27" s="2235" t="str">
        <f t="shared" si="24"/>
        <v/>
      </c>
      <c r="CR27" s="2235" t="str">
        <f t="shared" si="25"/>
        <v/>
      </c>
      <c r="CS27" s="2235" t="str">
        <f t="shared" si="26"/>
        <v/>
      </c>
      <c r="CT27" s="2235" t="str">
        <f t="shared" si="27"/>
        <v/>
      </c>
      <c r="CU27" s="2235" t="str">
        <f t="shared" si="28"/>
        <v/>
      </c>
      <c r="CV27" s="2235" t="str">
        <f t="shared" si="29"/>
        <v/>
      </c>
      <c r="CW27" s="2235" t="str">
        <f t="shared" si="30"/>
        <v/>
      </c>
      <c r="CX27" s="2235" t="str">
        <f t="shared" si="31"/>
        <v/>
      </c>
      <c r="CY27" s="2235" t="str">
        <f t="shared" si="32"/>
        <v/>
      </c>
      <c r="CZ27" s="2235" t="str">
        <f t="shared" si="1"/>
        <v/>
      </c>
      <c r="DA27" s="1468">
        <f t="shared" si="2"/>
        <v>0</v>
      </c>
      <c r="DB27" s="1468">
        <f t="shared" si="3"/>
        <v>0</v>
      </c>
      <c r="DC27" s="1468">
        <f t="shared" si="4"/>
        <v>0</v>
      </c>
      <c r="DD27" s="1468">
        <f t="shared" si="5"/>
        <v>0</v>
      </c>
      <c r="DE27" s="1468">
        <f t="shared" si="6"/>
        <v>0</v>
      </c>
      <c r="DF27" s="1468">
        <f t="shared" si="33"/>
        <v>0</v>
      </c>
      <c r="DG27" s="1468">
        <f t="shared" si="34"/>
        <v>0</v>
      </c>
      <c r="DH27" s="1468">
        <f t="shared" si="35"/>
        <v>0</v>
      </c>
      <c r="DI27" s="1468">
        <f t="shared" si="36"/>
        <v>0</v>
      </c>
      <c r="DJ27" s="1468">
        <f t="shared" si="37"/>
        <v>0</v>
      </c>
      <c r="DK27" s="1468">
        <f t="shared" si="38"/>
        <v>0</v>
      </c>
      <c r="DL27" s="1468">
        <f t="shared" si="39"/>
        <v>0</v>
      </c>
      <c r="DM27" s="1468">
        <f t="shared" si="40"/>
        <v>0</v>
      </c>
      <c r="DN27" s="1468">
        <f t="shared" si="41"/>
        <v>0</v>
      </c>
      <c r="DO27" s="1468">
        <f t="shared" si="42"/>
        <v>0</v>
      </c>
      <c r="DP27" s="1468">
        <f t="shared" si="43"/>
        <v>0</v>
      </c>
      <c r="DQ27" s="1468">
        <f t="shared" si="44"/>
        <v>0</v>
      </c>
      <c r="DR27" s="1468">
        <f t="shared" si="45"/>
        <v>0</v>
      </c>
      <c r="DS27" s="1468">
        <f t="shared" si="46"/>
        <v>0</v>
      </c>
      <c r="DT27" s="1468">
        <f t="shared" si="47"/>
        <v>0</v>
      </c>
      <c r="DU27" s="1468">
        <f t="shared" si="48"/>
        <v>0</v>
      </c>
      <c r="DV27" s="1468">
        <f t="shared" si="49"/>
        <v>0</v>
      </c>
      <c r="DW27" s="1468">
        <f t="shared" si="50"/>
        <v>0</v>
      </c>
      <c r="DX27" s="1468">
        <f t="shared" si="51"/>
        <v>0</v>
      </c>
      <c r="DY27" s="1468">
        <f t="shared" si="52"/>
        <v>0</v>
      </c>
      <c r="DZ27" s="1468">
        <f t="shared" si="53"/>
        <v>0</v>
      </c>
    </row>
    <row r="28" spans="1:130" ht="16.149999999999999" customHeight="1" x14ac:dyDescent="0.25">
      <c r="A28" s="2072" t="s">
        <v>1797</v>
      </c>
      <c r="B28" s="2038">
        <f t="shared" si="54"/>
        <v>0</v>
      </c>
      <c r="C28" s="2084">
        <f t="shared" si="54"/>
        <v>0</v>
      </c>
      <c r="D28" s="1129"/>
      <c r="E28" s="1130"/>
      <c r="F28" s="1109"/>
      <c r="G28" s="1130"/>
      <c r="H28" s="1109"/>
      <c r="I28" s="1113"/>
      <c r="J28" s="1129"/>
      <c r="K28" s="1129"/>
      <c r="L28" s="1109"/>
      <c r="M28" s="1113"/>
      <c r="N28" s="1129"/>
      <c r="O28" s="1130"/>
      <c r="P28" s="1109"/>
      <c r="Q28" s="1130"/>
      <c r="R28" s="1109"/>
      <c r="S28" s="1130"/>
      <c r="T28" s="1109"/>
      <c r="U28" s="1130"/>
      <c r="V28" s="1109"/>
      <c r="W28" s="1130"/>
      <c r="X28" s="1109"/>
      <c r="Y28" s="1130"/>
      <c r="Z28" s="1109"/>
      <c r="AA28" s="1130"/>
      <c r="AB28" s="1109"/>
      <c r="AC28" s="1130"/>
      <c r="AD28" s="1109"/>
      <c r="AE28" s="1130"/>
      <c r="AF28" s="1109"/>
      <c r="AG28" s="1130"/>
      <c r="AH28" s="1109"/>
      <c r="AI28" s="1130"/>
      <c r="AJ28" s="1109"/>
      <c r="AK28" s="1130"/>
      <c r="AL28" s="1109"/>
      <c r="AM28" s="1130"/>
      <c r="AN28" s="1109"/>
      <c r="AO28" s="1130"/>
      <c r="AP28" s="1109"/>
      <c r="AQ28" s="1131"/>
      <c r="AR28" s="1129"/>
      <c r="AS28" s="1131"/>
      <c r="AT28" s="1129"/>
      <c r="AU28" s="1130"/>
      <c r="AV28" s="1109"/>
      <c r="AW28" s="1113"/>
      <c r="AX28" s="1193" t="str">
        <f t="shared" si="7"/>
        <v/>
      </c>
      <c r="AY28" s="1193"/>
      <c r="AZ28" s="1193"/>
      <c r="BA28" s="1193"/>
      <c r="BB28" s="1193"/>
      <c r="BC28" s="1193"/>
      <c r="BD28" s="1193"/>
      <c r="BE28" s="1193"/>
      <c r="BF28" s="1193"/>
      <c r="BG28" s="1193"/>
      <c r="BH28" s="1193"/>
      <c r="BI28" s="1187"/>
      <c r="BJ28" s="1187"/>
      <c r="BK28" s="1187"/>
      <c r="BL28" s="1187"/>
      <c r="BU28" s="1187"/>
      <c r="BW28" s="1580"/>
      <c r="CA28" s="2235" t="str">
        <f t="shared" si="8"/>
        <v/>
      </c>
      <c r="CB28" s="2235" t="str">
        <f t="shared" si="9"/>
        <v/>
      </c>
      <c r="CC28" s="2235" t="str">
        <f t="shared" si="10"/>
        <v/>
      </c>
      <c r="CD28" s="2235" t="str">
        <f t="shared" si="11"/>
        <v/>
      </c>
      <c r="CE28" s="2235" t="str">
        <f t="shared" si="12"/>
        <v/>
      </c>
      <c r="CF28" s="2235" t="str">
        <f t="shared" si="13"/>
        <v/>
      </c>
      <c r="CG28" s="2235" t="str">
        <f t="shared" si="14"/>
        <v/>
      </c>
      <c r="CH28" s="2235" t="str">
        <f t="shared" si="15"/>
        <v/>
      </c>
      <c r="CI28" s="2235" t="str">
        <f t="shared" si="16"/>
        <v/>
      </c>
      <c r="CJ28" s="2235" t="str">
        <f t="shared" si="17"/>
        <v/>
      </c>
      <c r="CK28" s="2235" t="str">
        <f t="shared" si="18"/>
        <v/>
      </c>
      <c r="CL28" s="2235" t="str">
        <f t="shared" si="19"/>
        <v/>
      </c>
      <c r="CM28" s="2235" t="str">
        <f t="shared" si="20"/>
        <v/>
      </c>
      <c r="CN28" s="2235" t="str">
        <f t="shared" si="21"/>
        <v/>
      </c>
      <c r="CO28" s="2235" t="str">
        <f t="shared" si="22"/>
        <v/>
      </c>
      <c r="CP28" s="2235" t="str">
        <f t="shared" si="23"/>
        <v/>
      </c>
      <c r="CQ28" s="2235" t="str">
        <f t="shared" si="24"/>
        <v/>
      </c>
      <c r="CR28" s="2235" t="str">
        <f t="shared" si="25"/>
        <v/>
      </c>
      <c r="CS28" s="2235" t="str">
        <f t="shared" si="26"/>
        <v/>
      </c>
      <c r="CT28" s="2235" t="str">
        <f t="shared" si="27"/>
        <v/>
      </c>
      <c r="CU28" s="2235" t="str">
        <f t="shared" si="28"/>
        <v/>
      </c>
      <c r="CV28" s="2235" t="str">
        <f t="shared" si="29"/>
        <v/>
      </c>
      <c r="CW28" s="2235" t="str">
        <f t="shared" si="30"/>
        <v/>
      </c>
      <c r="CX28" s="2235" t="str">
        <f t="shared" si="31"/>
        <v/>
      </c>
      <c r="CY28" s="2235" t="str">
        <f t="shared" si="32"/>
        <v/>
      </c>
      <c r="CZ28" s="2235" t="str">
        <f t="shared" si="1"/>
        <v/>
      </c>
      <c r="DA28" s="1468">
        <f t="shared" si="2"/>
        <v>0</v>
      </c>
      <c r="DB28" s="1468">
        <f t="shared" si="3"/>
        <v>0</v>
      </c>
      <c r="DC28" s="1468">
        <f t="shared" si="4"/>
        <v>0</v>
      </c>
      <c r="DD28" s="1468">
        <f t="shared" si="5"/>
        <v>0</v>
      </c>
      <c r="DE28" s="1468">
        <f t="shared" si="6"/>
        <v>0</v>
      </c>
      <c r="DF28" s="1468">
        <f t="shared" si="33"/>
        <v>0</v>
      </c>
      <c r="DG28" s="1468">
        <f t="shared" si="34"/>
        <v>0</v>
      </c>
      <c r="DH28" s="1468">
        <f t="shared" si="35"/>
        <v>0</v>
      </c>
      <c r="DI28" s="1468">
        <f t="shared" si="36"/>
        <v>0</v>
      </c>
      <c r="DJ28" s="1468">
        <f t="shared" si="37"/>
        <v>0</v>
      </c>
      <c r="DK28" s="1468">
        <f t="shared" si="38"/>
        <v>0</v>
      </c>
      <c r="DL28" s="1468">
        <f t="shared" si="39"/>
        <v>0</v>
      </c>
      <c r="DM28" s="1468">
        <f t="shared" si="40"/>
        <v>0</v>
      </c>
      <c r="DN28" s="1468">
        <f t="shared" si="41"/>
        <v>0</v>
      </c>
      <c r="DO28" s="1468">
        <f t="shared" si="42"/>
        <v>0</v>
      </c>
      <c r="DP28" s="1468">
        <f t="shared" si="43"/>
        <v>0</v>
      </c>
      <c r="DQ28" s="1468">
        <f t="shared" si="44"/>
        <v>0</v>
      </c>
      <c r="DR28" s="1468">
        <f t="shared" si="45"/>
        <v>0</v>
      </c>
      <c r="DS28" s="1468">
        <f t="shared" si="46"/>
        <v>0</v>
      </c>
      <c r="DT28" s="1468">
        <f t="shared" si="47"/>
        <v>0</v>
      </c>
      <c r="DU28" s="1468">
        <f t="shared" si="48"/>
        <v>0</v>
      </c>
      <c r="DV28" s="1468">
        <f t="shared" si="49"/>
        <v>0</v>
      </c>
      <c r="DW28" s="1468">
        <f t="shared" si="50"/>
        <v>0</v>
      </c>
      <c r="DX28" s="1468">
        <f t="shared" si="51"/>
        <v>0</v>
      </c>
      <c r="DY28" s="1468">
        <f t="shared" si="52"/>
        <v>0</v>
      </c>
      <c r="DZ28" s="1468">
        <f t="shared" si="53"/>
        <v>0</v>
      </c>
    </row>
    <row r="29" spans="1:130" ht="16.149999999999999" customHeight="1" x14ac:dyDescent="0.25">
      <c r="A29" s="2079" t="s">
        <v>1798</v>
      </c>
      <c r="B29" s="1999">
        <f t="shared" si="54"/>
        <v>0</v>
      </c>
      <c r="C29" s="1936">
        <f t="shared" si="54"/>
        <v>0</v>
      </c>
      <c r="D29" s="102"/>
      <c r="E29" s="83"/>
      <c r="F29" s="125"/>
      <c r="G29" s="83"/>
      <c r="H29" s="125"/>
      <c r="I29" s="101"/>
      <c r="J29" s="102"/>
      <c r="K29" s="102"/>
      <c r="L29" s="125"/>
      <c r="M29" s="101"/>
      <c r="N29" s="102"/>
      <c r="O29" s="83"/>
      <c r="P29" s="125"/>
      <c r="Q29" s="83"/>
      <c r="R29" s="125"/>
      <c r="S29" s="83"/>
      <c r="T29" s="125"/>
      <c r="U29" s="83"/>
      <c r="V29" s="125"/>
      <c r="W29" s="83"/>
      <c r="X29" s="125"/>
      <c r="Y29" s="83"/>
      <c r="Z29" s="125"/>
      <c r="AA29" s="83"/>
      <c r="AB29" s="125"/>
      <c r="AC29" s="83"/>
      <c r="AD29" s="125"/>
      <c r="AE29" s="83"/>
      <c r="AF29" s="125"/>
      <c r="AG29" s="83"/>
      <c r="AH29" s="125"/>
      <c r="AI29" s="83"/>
      <c r="AJ29" s="125"/>
      <c r="AK29" s="83"/>
      <c r="AL29" s="125"/>
      <c r="AM29" s="83"/>
      <c r="AN29" s="125"/>
      <c r="AO29" s="83"/>
      <c r="AP29" s="125"/>
      <c r="AQ29" s="198"/>
      <c r="AR29" s="102"/>
      <c r="AS29" s="198"/>
      <c r="AT29" s="102"/>
      <c r="AU29" s="83"/>
      <c r="AV29" s="125"/>
      <c r="AW29" s="101"/>
      <c r="AX29" s="1193" t="str">
        <f t="shared" si="7"/>
        <v/>
      </c>
      <c r="AY29" s="1193"/>
      <c r="AZ29" s="1193"/>
      <c r="BA29" s="1193"/>
      <c r="BB29" s="1193"/>
      <c r="BC29" s="1193"/>
      <c r="BD29" s="1193"/>
      <c r="BE29" s="1193"/>
      <c r="BF29" s="1193"/>
      <c r="BG29" s="1193"/>
      <c r="BH29" s="1193"/>
      <c r="BI29" s="1187"/>
      <c r="BJ29" s="1187"/>
      <c r="BK29" s="1187"/>
      <c r="BL29" s="1187"/>
      <c r="BU29" s="1187"/>
      <c r="BW29" s="1580"/>
      <c r="CA29" s="2235" t="str">
        <f t="shared" si="8"/>
        <v/>
      </c>
      <c r="CB29" s="2235" t="str">
        <f t="shared" si="9"/>
        <v/>
      </c>
      <c r="CC29" s="2235" t="str">
        <f t="shared" si="10"/>
        <v/>
      </c>
      <c r="CD29" s="2235" t="str">
        <f t="shared" si="11"/>
        <v/>
      </c>
      <c r="CE29" s="2235" t="str">
        <f t="shared" si="12"/>
        <v/>
      </c>
      <c r="CF29" s="2235" t="str">
        <f t="shared" si="13"/>
        <v/>
      </c>
      <c r="CG29" s="2235" t="str">
        <f t="shared" si="14"/>
        <v/>
      </c>
      <c r="CH29" s="2235" t="str">
        <f t="shared" si="15"/>
        <v/>
      </c>
      <c r="CI29" s="2235" t="str">
        <f t="shared" si="16"/>
        <v/>
      </c>
      <c r="CJ29" s="2235" t="str">
        <f t="shared" si="17"/>
        <v/>
      </c>
      <c r="CK29" s="2235" t="str">
        <f t="shared" si="18"/>
        <v/>
      </c>
      <c r="CL29" s="2235" t="str">
        <f t="shared" si="19"/>
        <v/>
      </c>
      <c r="CM29" s="2235" t="str">
        <f t="shared" si="20"/>
        <v/>
      </c>
      <c r="CN29" s="2235" t="str">
        <f t="shared" si="21"/>
        <v/>
      </c>
      <c r="CO29" s="2235" t="str">
        <f t="shared" si="22"/>
        <v/>
      </c>
      <c r="CP29" s="2235" t="str">
        <f t="shared" si="23"/>
        <v/>
      </c>
      <c r="CQ29" s="2235" t="str">
        <f t="shared" si="24"/>
        <v/>
      </c>
      <c r="CR29" s="2235" t="str">
        <f t="shared" si="25"/>
        <v/>
      </c>
      <c r="CS29" s="2235" t="str">
        <f t="shared" si="26"/>
        <v/>
      </c>
      <c r="CT29" s="2235" t="str">
        <f t="shared" si="27"/>
        <v/>
      </c>
      <c r="CU29" s="2235" t="str">
        <f t="shared" si="28"/>
        <v/>
      </c>
      <c r="CV29" s="2235" t="str">
        <f t="shared" si="29"/>
        <v/>
      </c>
      <c r="CW29" s="2235" t="str">
        <f t="shared" si="30"/>
        <v/>
      </c>
      <c r="CX29" s="2235" t="str">
        <f t="shared" si="31"/>
        <v/>
      </c>
      <c r="CY29" s="2235" t="str">
        <f t="shared" si="32"/>
        <v/>
      </c>
      <c r="CZ29" s="2235" t="str">
        <f t="shared" si="1"/>
        <v/>
      </c>
      <c r="DA29" s="1468">
        <f t="shared" si="2"/>
        <v>0</v>
      </c>
      <c r="DB29" s="1468">
        <f t="shared" si="3"/>
        <v>0</v>
      </c>
      <c r="DC29" s="1468">
        <f t="shared" si="4"/>
        <v>0</v>
      </c>
      <c r="DD29" s="1468">
        <f t="shared" si="5"/>
        <v>0</v>
      </c>
      <c r="DE29" s="1468">
        <f t="shared" si="6"/>
        <v>0</v>
      </c>
      <c r="DF29" s="1468">
        <f t="shared" si="33"/>
        <v>0</v>
      </c>
      <c r="DG29" s="1468">
        <f t="shared" si="34"/>
        <v>0</v>
      </c>
      <c r="DH29" s="1468">
        <f t="shared" si="35"/>
        <v>0</v>
      </c>
      <c r="DI29" s="1468">
        <f t="shared" si="36"/>
        <v>0</v>
      </c>
      <c r="DJ29" s="1468">
        <f t="shared" si="37"/>
        <v>0</v>
      </c>
      <c r="DK29" s="1468">
        <f t="shared" si="38"/>
        <v>0</v>
      </c>
      <c r="DL29" s="1468">
        <f t="shared" si="39"/>
        <v>0</v>
      </c>
      <c r="DM29" s="1468">
        <f t="shared" si="40"/>
        <v>0</v>
      </c>
      <c r="DN29" s="1468">
        <f t="shared" si="41"/>
        <v>0</v>
      </c>
      <c r="DO29" s="1468">
        <f t="shared" si="42"/>
        <v>0</v>
      </c>
      <c r="DP29" s="1468">
        <f t="shared" si="43"/>
        <v>0</v>
      </c>
      <c r="DQ29" s="1468">
        <f t="shared" si="44"/>
        <v>0</v>
      </c>
      <c r="DR29" s="1468">
        <f t="shared" si="45"/>
        <v>0</v>
      </c>
      <c r="DS29" s="1468">
        <f t="shared" si="46"/>
        <v>0</v>
      </c>
      <c r="DT29" s="1468">
        <f t="shared" si="47"/>
        <v>0</v>
      </c>
      <c r="DU29" s="1468">
        <f t="shared" si="48"/>
        <v>0</v>
      </c>
      <c r="DV29" s="1468">
        <f t="shared" si="49"/>
        <v>0</v>
      </c>
      <c r="DW29" s="1468">
        <f t="shared" si="50"/>
        <v>0</v>
      </c>
      <c r="DX29" s="1468">
        <f t="shared" si="51"/>
        <v>0</v>
      </c>
      <c r="DY29" s="1468">
        <f t="shared" si="52"/>
        <v>0</v>
      </c>
      <c r="DZ29" s="1468">
        <f t="shared" si="53"/>
        <v>0</v>
      </c>
    </row>
    <row r="30" spans="1:130" ht="31.9" customHeight="1" x14ac:dyDescent="0.25">
      <c r="A30" s="2236" t="s">
        <v>1799</v>
      </c>
      <c r="B30" s="937"/>
      <c r="C30" s="937"/>
      <c r="D30" s="937"/>
      <c r="E30" s="937"/>
      <c r="F30" s="937"/>
      <c r="G30" s="937"/>
      <c r="H30" s="133"/>
      <c r="I30" s="133"/>
      <c r="J30" s="108"/>
      <c r="K30" s="108"/>
      <c r="L30" s="108"/>
      <c r="M30" s="108"/>
      <c r="N30" s="108"/>
      <c r="O30" s="108"/>
      <c r="P30" s="108"/>
      <c r="Q30" s="140"/>
      <c r="AX30" s="1187"/>
      <c r="AY30" s="1187"/>
      <c r="AZ30" s="1187"/>
      <c r="BA30" s="1187"/>
      <c r="BB30" s="1187"/>
      <c r="BC30" s="1187"/>
      <c r="BD30" s="1187"/>
      <c r="BE30" s="1187"/>
      <c r="BF30" s="1187"/>
      <c r="BG30" s="1187"/>
      <c r="BH30" s="1187"/>
      <c r="BI30" s="1187"/>
      <c r="BJ30" s="1187"/>
      <c r="BK30" s="1187"/>
      <c r="BL30" s="1187"/>
      <c r="BM30" s="1187"/>
      <c r="BT30" s="1118"/>
      <c r="BU30" s="1118"/>
      <c r="BV30" s="1580"/>
      <c r="BW30" s="1580"/>
    </row>
    <row r="31" spans="1:130" ht="31.9" customHeight="1" x14ac:dyDescent="0.25">
      <c r="A31" s="8208" t="s">
        <v>1778</v>
      </c>
      <c r="B31" s="9194" t="s">
        <v>24</v>
      </c>
      <c r="C31" s="9524"/>
      <c r="D31" s="8215" t="s">
        <v>723</v>
      </c>
      <c r="E31" s="8216"/>
      <c r="F31" s="8216"/>
      <c r="G31" s="8216"/>
      <c r="H31" s="8216"/>
      <c r="I31" s="8216"/>
      <c r="J31" s="8216"/>
      <c r="K31" s="8216"/>
      <c r="L31" s="8216"/>
      <c r="M31" s="8216"/>
      <c r="N31" s="8216"/>
      <c r="O31" s="8216"/>
      <c r="P31" s="8216"/>
      <c r="Q31" s="8216"/>
      <c r="R31" s="8216"/>
      <c r="S31" s="8216"/>
      <c r="T31" s="8216"/>
      <c r="U31" s="8216"/>
      <c r="V31" s="8216"/>
      <c r="W31" s="8216"/>
      <c r="X31" s="8216"/>
      <c r="Y31" s="8216"/>
      <c r="Z31" s="8216"/>
      <c r="AA31" s="8216"/>
      <c r="AB31" s="8216"/>
      <c r="AC31" s="8216"/>
      <c r="AD31" s="8216"/>
      <c r="AE31" s="8216"/>
      <c r="AF31" s="8216"/>
      <c r="AG31" s="8216"/>
      <c r="AH31" s="8216"/>
      <c r="AI31" s="8216"/>
      <c r="AJ31" s="8216"/>
      <c r="AK31" s="8216"/>
      <c r="AL31" s="8216"/>
      <c r="AM31" s="8216"/>
      <c r="AN31" s="8216"/>
      <c r="AO31" s="8216"/>
      <c r="AP31" s="8216"/>
      <c r="AQ31" s="9527"/>
      <c r="AR31" s="9528" t="s">
        <v>1779</v>
      </c>
      <c r="AS31" s="9529"/>
      <c r="AT31" s="9530" t="s">
        <v>711</v>
      </c>
      <c r="AU31" s="9531"/>
      <c r="AV31" s="9534" t="s">
        <v>360</v>
      </c>
      <c r="AW31" s="9536" t="s">
        <v>359</v>
      </c>
      <c r="AX31" s="1187"/>
      <c r="AY31" s="1187"/>
      <c r="AZ31" s="1187"/>
      <c r="BA31" s="1187"/>
      <c r="BB31" s="1187"/>
      <c r="BC31" s="1187"/>
      <c r="BD31" s="1187"/>
      <c r="BE31" s="1187"/>
      <c r="BF31" s="1187"/>
      <c r="BG31" s="1187"/>
      <c r="BH31" s="1187"/>
      <c r="BI31" s="1187"/>
      <c r="BJ31" s="1187"/>
      <c r="BK31" s="1187"/>
      <c r="BL31" s="1187"/>
      <c r="BU31" s="1187"/>
      <c r="BV31" s="1580"/>
      <c r="BW31" s="1580"/>
    </row>
    <row r="32" spans="1:130" ht="16.149999999999999" customHeight="1" x14ac:dyDescent="0.25">
      <c r="A32" s="8274"/>
      <c r="B32" s="9525"/>
      <c r="C32" s="9526"/>
      <c r="D32" s="8218" t="s">
        <v>722</v>
      </c>
      <c r="E32" s="9528"/>
      <c r="F32" s="8218" t="s">
        <v>721</v>
      </c>
      <c r="G32" s="9528"/>
      <c r="H32" s="8218" t="s">
        <v>720</v>
      </c>
      <c r="I32" s="8220"/>
      <c r="J32" s="9528" t="s">
        <v>1820</v>
      </c>
      <c r="K32" s="9528"/>
      <c r="L32" s="8218" t="s">
        <v>1413</v>
      </c>
      <c r="M32" s="9528"/>
      <c r="N32" s="8218" t="s">
        <v>79</v>
      </c>
      <c r="O32" s="9528"/>
      <c r="P32" s="8218" t="s">
        <v>80</v>
      </c>
      <c r="Q32" s="9528"/>
      <c r="R32" s="8218" t="s">
        <v>81</v>
      </c>
      <c r="S32" s="9528"/>
      <c r="T32" s="8218" t="s">
        <v>115</v>
      </c>
      <c r="U32" s="8220"/>
      <c r="V32" s="8218" t="s">
        <v>116</v>
      </c>
      <c r="W32" s="8220"/>
      <c r="X32" s="8218" t="s">
        <v>117</v>
      </c>
      <c r="Y32" s="8220"/>
      <c r="Z32" s="8218" t="s">
        <v>118</v>
      </c>
      <c r="AA32" s="8220"/>
      <c r="AB32" s="8218" t="s">
        <v>119</v>
      </c>
      <c r="AC32" s="8220"/>
      <c r="AD32" s="8218" t="s">
        <v>120</v>
      </c>
      <c r="AE32" s="8220"/>
      <c r="AF32" s="8218" t="s">
        <v>1412</v>
      </c>
      <c r="AG32" s="8220"/>
      <c r="AH32" s="8218" t="s">
        <v>1404</v>
      </c>
      <c r="AI32" s="8220"/>
      <c r="AJ32" s="8218" t="s">
        <v>1395</v>
      </c>
      <c r="AK32" s="8220"/>
      <c r="AL32" s="8218" t="s">
        <v>1394</v>
      </c>
      <c r="AM32" s="8220"/>
      <c r="AN32" s="8218" t="s">
        <v>1393</v>
      </c>
      <c r="AO32" s="8220"/>
      <c r="AP32" s="8218" t="s">
        <v>1403</v>
      </c>
      <c r="AQ32" s="9529"/>
      <c r="AR32" s="9537" t="s">
        <v>17</v>
      </c>
      <c r="AS32" s="9539" t="s">
        <v>18</v>
      </c>
      <c r="AT32" s="9532"/>
      <c r="AU32" s="9533"/>
      <c r="AV32" s="8166"/>
      <c r="AW32" s="8151"/>
      <c r="AX32" s="1187"/>
      <c r="AY32" s="1187"/>
      <c r="AZ32" s="1187"/>
      <c r="BA32" s="1187"/>
      <c r="BB32" s="1187"/>
      <c r="BC32" s="1187"/>
      <c r="BD32" s="1187"/>
      <c r="BE32" s="1187"/>
      <c r="BF32" s="1187"/>
      <c r="BG32" s="1187"/>
      <c r="BH32" s="1187"/>
      <c r="BI32" s="1187"/>
      <c r="BJ32" s="1187"/>
      <c r="BK32" s="1187"/>
      <c r="BL32" s="1187"/>
      <c r="BU32" s="1187"/>
      <c r="BV32" s="1580"/>
      <c r="BW32" s="1580"/>
    </row>
    <row r="33" spans="1:130" ht="16.149999999999999" customHeight="1" x14ac:dyDescent="0.25">
      <c r="A33" s="8209"/>
      <c r="B33" s="1122" t="s">
        <v>1780</v>
      </c>
      <c r="C33" s="935" t="s">
        <v>1781</v>
      </c>
      <c r="D33" s="1119" t="s">
        <v>1780</v>
      </c>
      <c r="E33" s="910" t="s">
        <v>1781</v>
      </c>
      <c r="F33" s="1119" t="s">
        <v>1780</v>
      </c>
      <c r="G33" s="910" t="s">
        <v>1781</v>
      </c>
      <c r="H33" s="1119" t="s">
        <v>1780</v>
      </c>
      <c r="I33" s="935" t="s">
        <v>1781</v>
      </c>
      <c r="J33" s="1122" t="s">
        <v>1780</v>
      </c>
      <c r="K33" s="910" t="s">
        <v>1781</v>
      </c>
      <c r="L33" s="1119" t="s">
        <v>1780</v>
      </c>
      <c r="M33" s="910" t="s">
        <v>1781</v>
      </c>
      <c r="N33" s="1119" t="s">
        <v>1780</v>
      </c>
      <c r="O33" s="910" t="s">
        <v>1781</v>
      </c>
      <c r="P33" s="1119" t="s">
        <v>1780</v>
      </c>
      <c r="Q33" s="910" t="s">
        <v>1781</v>
      </c>
      <c r="R33" s="1119" t="s">
        <v>1780</v>
      </c>
      <c r="S33" s="910" t="s">
        <v>1781</v>
      </c>
      <c r="T33" s="1119" t="s">
        <v>1780</v>
      </c>
      <c r="U33" s="910" t="s">
        <v>1781</v>
      </c>
      <c r="V33" s="1119" t="s">
        <v>1780</v>
      </c>
      <c r="W33" s="910" t="s">
        <v>1781</v>
      </c>
      <c r="X33" s="1119" t="s">
        <v>1780</v>
      </c>
      <c r="Y33" s="910" t="s">
        <v>1781</v>
      </c>
      <c r="Z33" s="1119" t="s">
        <v>1780</v>
      </c>
      <c r="AA33" s="910" t="s">
        <v>1781</v>
      </c>
      <c r="AB33" s="1119" t="s">
        <v>1780</v>
      </c>
      <c r="AC33" s="910" t="s">
        <v>1781</v>
      </c>
      <c r="AD33" s="1119" t="s">
        <v>1780</v>
      </c>
      <c r="AE33" s="910" t="s">
        <v>1781</v>
      </c>
      <c r="AF33" s="1119" t="s">
        <v>1780</v>
      </c>
      <c r="AG33" s="910" t="s">
        <v>1781</v>
      </c>
      <c r="AH33" s="1119" t="s">
        <v>1780</v>
      </c>
      <c r="AI33" s="910" t="s">
        <v>1781</v>
      </c>
      <c r="AJ33" s="1119" t="s">
        <v>1780</v>
      </c>
      <c r="AK33" s="910" t="s">
        <v>1781</v>
      </c>
      <c r="AL33" s="1119" t="s">
        <v>1780</v>
      </c>
      <c r="AM33" s="910" t="s">
        <v>1781</v>
      </c>
      <c r="AN33" s="1119" t="s">
        <v>1780</v>
      </c>
      <c r="AO33" s="910" t="s">
        <v>1781</v>
      </c>
      <c r="AP33" s="1119" t="s">
        <v>1780</v>
      </c>
      <c r="AQ33" s="1123" t="s">
        <v>1781</v>
      </c>
      <c r="AR33" s="9538"/>
      <c r="AS33" s="9540"/>
      <c r="AT33" s="2187" t="s">
        <v>356</v>
      </c>
      <c r="AU33" s="2113" t="s">
        <v>357</v>
      </c>
      <c r="AV33" s="9535"/>
      <c r="AW33" s="8152"/>
      <c r="AX33" s="1187"/>
      <c r="AY33" s="1187"/>
      <c r="AZ33" s="1187"/>
      <c r="BA33" s="1187"/>
      <c r="BB33" s="1187"/>
      <c r="BC33" s="1187"/>
      <c r="BD33" s="1187"/>
      <c r="BE33" s="1187"/>
      <c r="BF33" s="1187"/>
      <c r="BG33" s="1187"/>
      <c r="BH33" s="1187"/>
      <c r="BI33" s="1187"/>
      <c r="BJ33" s="1187"/>
      <c r="BK33" s="1187"/>
      <c r="BL33" s="1187"/>
      <c r="BU33" s="1187"/>
      <c r="BV33" s="1580"/>
      <c r="BW33" s="1580"/>
    </row>
    <row r="34" spans="1:130" ht="16.149999999999999" customHeight="1" x14ac:dyDescent="0.25">
      <c r="A34" s="2071" t="s">
        <v>1782</v>
      </c>
      <c r="B34" s="2036">
        <f t="shared" ref="B34:C41" si="55">+N34+P34+R34+T34+V34+X34+Z34+AB34+AD34+AF34+AH34+AJ34+AL34+AN34+AP34</f>
        <v>0</v>
      </c>
      <c r="C34" s="2083">
        <f t="shared" si="55"/>
        <v>0</v>
      </c>
      <c r="D34" s="1125"/>
      <c r="E34" s="1126"/>
      <c r="F34" s="1127"/>
      <c r="G34" s="1126"/>
      <c r="H34" s="1127"/>
      <c r="I34" s="1126"/>
      <c r="J34" s="1127"/>
      <c r="K34" s="1126"/>
      <c r="L34" s="1127"/>
      <c r="M34" s="1128"/>
      <c r="N34" s="1129"/>
      <c r="O34" s="1130"/>
      <c r="P34" s="1109"/>
      <c r="Q34" s="1130"/>
      <c r="R34" s="1109"/>
      <c r="S34" s="1130"/>
      <c r="T34" s="1109"/>
      <c r="U34" s="1130"/>
      <c r="V34" s="1109"/>
      <c r="W34" s="1130"/>
      <c r="X34" s="1109"/>
      <c r="Y34" s="1130"/>
      <c r="Z34" s="1109"/>
      <c r="AA34" s="1130"/>
      <c r="AB34" s="1109"/>
      <c r="AC34" s="1130"/>
      <c r="AD34" s="1109"/>
      <c r="AE34" s="1130"/>
      <c r="AF34" s="1109"/>
      <c r="AG34" s="1130"/>
      <c r="AH34" s="1109"/>
      <c r="AI34" s="1130"/>
      <c r="AJ34" s="1109"/>
      <c r="AK34" s="1130"/>
      <c r="AL34" s="1109"/>
      <c r="AM34" s="1130"/>
      <c r="AN34" s="1109"/>
      <c r="AO34" s="1130"/>
      <c r="AP34" s="1109"/>
      <c r="AQ34" s="1131"/>
      <c r="AR34" s="1132"/>
      <c r="AS34" s="1131"/>
      <c r="AT34" s="1129"/>
      <c r="AU34" s="1130"/>
      <c r="AV34" s="1109"/>
      <c r="AW34" s="1113"/>
      <c r="AX34" s="1193" t="str">
        <f t="shared" ref="AX34:AX51" si="56">$CA34&amp;$CB34&amp;$CC34&amp;$CD34&amp;$CE34&amp;$CF34&amp;$CG34&amp;$CH34&amp;$CI34&amp;$CJ34&amp;$CK34&amp;$CL34&amp;$CM34&amp;$CN34&amp;$CO34&amp;$CP34&amp;$CQ34&amp;$CR34&amp;$CS34&amp;$CT34&amp;$CU34&amp;$CV34&amp;$CW34&amp;$CX34&amp;$CY34&amp;$CZ34</f>
        <v/>
      </c>
      <c r="AY34" s="1193"/>
      <c r="AZ34" s="1193"/>
      <c r="BA34" s="1193"/>
      <c r="BB34" s="1193"/>
      <c r="BC34" s="1193"/>
      <c r="BD34" s="1193"/>
      <c r="BE34" s="1193"/>
      <c r="BF34" s="1193"/>
      <c r="BG34" s="1193"/>
      <c r="BH34" s="1193"/>
      <c r="BI34" s="1187"/>
      <c r="BJ34" s="1187"/>
      <c r="BK34" s="1187"/>
      <c r="BL34" s="1187"/>
      <c r="BU34" s="1580"/>
      <c r="BV34" s="1580"/>
      <c r="BW34" s="1580"/>
      <c r="CA34" s="2235" t="str">
        <f t="shared" ref="CA34:CA51" si="57">IF(B34&lt;C34,"* El total de Reactivos NO DEBE ser superior al total de Procesados. ","")</f>
        <v/>
      </c>
      <c r="CB34" s="2235" t="str">
        <f t="shared" ref="CB34:CB51" si="58">IF(B34&lt;&gt;(AR34+ AS34),"* La suma de las columnas Sexo DEBE SER IGUAL a los Procesados. ","")</f>
        <v/>
      </c>
      <c r="CC34" s="2235" t="str">
        <f t="shared" ref="CC34:CC51" si="59">IF(B34&lt;(AT34+ AU34),"* La suma de las columna Trans NO DEBE ser superior al total de Procesados. ","")</f>
        <v/>
      </c>
      <c r="CD34" s="2235" t="str">
        <f t="shared" ref="CD34:CD51" si="60">IF(B34&lt;AV34,"* La columna Pueblos Originarios NO DEBE ser superior al total de Procesados. ","")</f>
        <v/>
      </c>
      <c r="CE34" s="2235" t="str">
        <f t="shared" ref="CE34:CE51" si="61">IF(B34&lt;AW34,"* La columna Migrantes NO DEBE ser superior al total de Procesados. ","")</f>
        <v/>
      </c>
      <c r="CF34" s="2235" t="str">
        <f>IF(D34&lt;E34,CONCATENATE("* El total de procesados debe ser mayor o igual al total de Reactivos en el grupo de edad ",$D$32),"")</f>
        <v/>
      </c>
      <c r="CG34" s="2235" t="str">
        <f>IF(F34&lt;G34,CONCATENATE("* El total de procesados debe ser mayor o igual al total de Reactivos en el grupo de edad ",$F$32),"")</f>
        <v/>
      </c>
      <c r="CH34" s="2235" t="str">
        <f>IF(H34&lt;I34,CONCATENATE("* El total de procesados debe ser mayor o igual al total de Reactivos en el grupo de edad ",$H$32),"")</f>
        <v/>
      </c>
      <c r="CI34" s="2235" t="str">
        <f>IF(J34&lt;K34,CONCATENATE("* El total de procesados debe ser mayor o igual al total de Reactivos en el grupo de edad ",$J$32),"")</f>
        <v/>
      </c>
      <c r="CJ34" s="2235" t="str">
        <f>IF(L34&lt;M34,CONCATENATE("* El total de procesados debe ser mayor o igual al total de Reactivos en el grupo de edad ",$L$32),"")</f>
        <v/>
      </c>
      <c r="CK34" s="2235" t="str">
        <f>IF(N34&lt;O34,CONCATENATE("* El total de procesados debe ser mayor o igual al total de Reactivos en el grupo de edad ",$N$32),"")</f>
        <v/>
      </c>
      <c r="CL34" s="2235" t="str">
        <f>IF(P34&lt;Q34,CONCATENATE("* El total de procesados debe ser mayor o igual al total de Reactivos en el grupo de edad ",$P$32),"")</f>
        <v/>
      </c>
      <c r="CM34" s="2235" t="str">
        <f>IF(R34&lt;S34,CONCATENATE("* El total de procesados debe ser mayor o igual al total de Reactivos en el grupo de edad ",$R$32),"")</f>
        <v/>
      </c>
      <c r="CN34" s="2235" t="str">
        <f>IF(T34&lt;U34,CONCATENATE("* El total de procesados debe ser mayor o igual al total de Reactivos en el grupo de edad ",$T$32),"")</f>
        <v/>
      </c>
      <c r="CO34" s="2235" t="str">
        <f>IF(V34&lt;W34,CONCATENATE("* El total de procesados debe ser mayor o igual al total de Reactivos en el grupo de edad ",$V$32),"")</f>
        <v/>
      </c>
      <c r="CP34" s="2235" t="str">
        <f>IF(X34&lt;Y34,CONCATENATE("* El total de procesados debe ser mayor o igual al total de Reactivos en el grupo de edad ",$X$32),"")</f>
        <v/>
      </c>
      <c r="CQ34" s="2235" t="str">
        <f>IF(Z34&lt;AA34,CONCATENATE("* El total de procesados debe ser mayor o igual al total de Reactivos en el grupo de edad ",$Z$32),"")</f>
        <v/>
      </c>
      <c r="CR34" s="2235" t="str">
        <f>IF(AB34&lt;AC34,CONCATENATE("* El total de procesados debe ser mayor o igual al total de Reactivos en el grupo de edad ",$AB$32),"")</f>
        <v/>
      </c>
      <c r="CS34" s="2235" t="str">
        <f>IF(AD34&lt;AE34,CONCATENATE("* El total de procesados debe ser mayor o igual al total de Reactivos en el grupo de edad ",$AD$32),"")</f>
        <v/>
      </c>
      <c r="CT34" s="2235" t="str">
        <f>IF(AF34&lt;AG34,CONCATENATE("* El total de procesados debe ser mayor o igual al total de Reactivos en el grupo de edad ",$AF$32),"")</f>
        <v/>
      </c>
      <c r="CU34" s="2235" t="str">
        <f>IF(AH34&lt;AI34,CONCATENATE("* El total de procesados debe ser mayor o igual al total de Reactivos en el grupo de edad ",$AH$32),"")</f>
        <v/>
      </c>
      <c r="CV34" s="2235" t="str">
        <f>IF(AJ34&lt;AK34,CONCATENATE("* El total de procesados debe ser mayor o igual al total de Reactivos en el grupo de edad ",$AJ$32),"")</f>
        <v/>
      </c>
      <c r="CW34" s="2235" t="str">
        <f>IF(AL34&lt;AM34,CONCATENATE("* El total de procesados debe ser mayor o igual al total de Reactivos en el grupo de edad ",$AL$32),"")</f>
        <v/>
      </c>
      <c r="CX34" s="2235" t="str">
        <f>IF(AN34&lt;AO34,CONCATENATE("* El total de procesados debe ser mayor o igual al total de Reactivos en el grupo de edad ",$AN$32),"")</f>
        <v/>
      </c>
      <c r="CY34" s="2235" t="str">
        <f>IF(AP34&lt;AQ34,CONCATENATE("* El total de procesados debe ser mayor o igual al total de Reactivos en el grupo de edad ",$AP$32),"")</f>
        <v/>
      </c>
      <c r="CZ34" s="2235" t="str">
        <f>IF(AND(B34&lt;&gt;0,OR(AT34="",AU34="",AV34="",AW34="")),"* No olvide digitar la columna Trans y/o Pueblos Originarios y/o Migrantes (Digite Cero si no tiene). ","")</f>
        <v/>
      </c>
      <c r="DA34" s="1468">
        <f>IF(B34&lt;   C34,1,0)</f>
        <v>0</v>
      </c>
      <c r="DB34" s="1468">
        <f>IF(B34&lt;&gt; AR34+AS34,1,0)</f>
        <v>0</v>
      </c>
      <c r="DC34" s="1468">
        <f>IF(B34&lt;  AT34+AU34,1,0)</f>
        <v>0</v>
      </c>
      <c r="DD34" s="1468">
        <f>IF(B34&lt;  AV34,1,0)</f>
        <v>0</v>
      </c>
      <c r="DE34" s="1468">
        <f>IF(B34&lt;  AW34,1,0)</f>
        <v>0</v>
      </c>
      <c r="DF34" s="1468">
        <f t="shared" ref="DF34:DF51" si="62">IF(D34&lt;E34,1,0)</f>
        <v>0</v>
      </c>
      <c r="DG34" s="1468">
        <f t="shared" ref="DG34:DG51" si="63">IF(F34&lt;G34,1,0)</f>
        <v>0</v>
      </c>
      <c r="DH34" s="1468">
        <f t="shared" ref="DH34:DH51" si="64">IF(H34&lt;I34,1,0)</f>
        <v>0</v>
      </c>
      <c r="DI34" s="1468">
        <f t="shared" ref="DI34:DI51" si="65">IF(J34&lt;K34,1,0)</f>
        <v>0</v>
      </c>
      <c r="DJ34" s="1468">
        <f t="shared" ref="DJ34:DJ51" si="66">IF(L34&lt;M34,1,0)</f>
        <v>0</v>
      </c>
      <c r="DK34" s="1468">
        <f t="shared" ref="DK34:DK51" si="67">IF(N34&lt;O34,1,0)</f>
        <v>0</v>
      </c>
      <c r="DL34" s="1468">
        <f t="shared" ref="DL34:DL51" si="68">IF(P34&lt;Q34,1,0)</f>
        <v>0</v>
      </c>
      <c r="DM34" s="1468">
        <f t="shared" ref="DM34:DM51" si="69">IF(R34&lt;S34,1,0)</f>
        <v>0</v>
      </c>
      <c r="DN34" s="1468">
        <f t="shared" ref="DN34:DN51" si="70">IF(T34&lt;U34,1,0)</f>
        <v>0</v>
      </c>
      <c r="DO34" s="1468">
        <f t="shared" ref="DO34:DO51" si="71">IF(V34&lt;W34,1,0)</f>
        <v>0</v>
      </c>
      <c r="DP34" s="1468">
        <f t="shared" ref="DP34:DP51" si="72">IF(X34&lt;Y34,1,0)</f>
        <v>0</v>
      </c>
      <c r="DQ34" s="1468">
        <f t="shared" ref="DQ34:DQ51" si="73">IF(Z34&lt;AA34,1,0)</f>
        <v>0</v>
      </c>
      <c r="DR34" s="1468">
        <f t="shared" ref="DR34:DR51" si="74">IF(AB34&lt;AC34,1,0)</f>
        <v>0</v>
      </c>
      <c r="DS34" s="1468">
        <f t="shared" ref="DS34:DS51" si="75">IF(AD34&lt;AE34,1,0)</f>
        <v>0</v>
      </c>
      <c r="DT34" s="1468">
        <f t="shared" ref="DT34:DT51" si="76">IF(AF34&lt;AG34,1,0)</f>
        <v>0</v>
      </c>
      <c r="DU34" s="1468">
        <f t="shared" ref="DU34:DU51" si="77">IF(AH34&lt;AI34,1,0)</f>
        <v>0</v>
      </c>
      <c r="DV34" s="1468">
        <f t="shared" ref="DV34:DV51" si="78">IF(AJ34&lt;AK34,1,0)</f>
        <v>0</v>
      </c>
      <c r="DW34" s="1468">
        <f t="shared" ref="DW34:DW51" si="79">IF(AL34&lt;AM34,1,0)</f>
        <v>0</v>
      </c>
      <c r="DX34" s="1468">
        <f t="shared" ref="DX34:DX51" si="80">IF(AN34&lt;AO34,1,0)</f>
        <v>0</v>
      </c>
      <c r="DY34" s="1468">
        <f t="shared" ref="DY34:DY51" si="81">IF(AP34&lt;AQ34,1,0)</f>
        <v>0</v>
      </c>
      <c r="DZ34" s="1468">
        <f t="shared" ref="DZ34:DZ51" si="82">IF(AND(B34&lt;&gt;0,OR(AT34="",AU34="",AV34="",AW34="")),1,0)</f>
        <v>0</v>
      </c>
    </row>
    <row r="35" spans="1:130" ht="16.149999999999999" customHeight="1" x14ac:dyDescent="0.25">
      <c r="A35" s="2040" t="s">
        <v>1783</v>
      </c>
      <c r="B35" s="2038">
        <f t="shared" si="55"/>
        <v>0</v>
      </c>
      <c r="C35" s="2084">
        <f t="shared" si="55"/>
        <v>0</v>
      </c>
      <c r="D35" s="1125"/>
      <c r="E35" s="1126"/>
      <c r="F35" s="1127"/>
      <c r="G35" s="1126"/>
      <c r="H35" s="1127"/>
      <c r="I35" s="1126"/>
      <c r="J35" s="1127"/>
      <c r="K35" s="1126"/>
      <c r="L35" s="1127"/>
      <c r="M35" s="1128"/>
      <c r="N35" s="1129"/>
      <c r="O35" s="1130"/>
      <c r="P35" s="1109"/>
      <c r="Q35" s="1130"/>
      <c r="R35" s="1109"/>
      <c r="S35" s="1130"/>
      <c r="T35" s="1109"/>
      <c r="U35" s="1130"/>
      <c r="V35" s="1109"/>
      <c r="W35" s="1130"/>
      <c r="X35" s="1109"/>
      <c r="Y35" s="1130"/>
      <c r="Z35" s="1109"/>
      <c r="AA35" s="1130"/>
      <c r="AB35" s="1109"/>
      <c r="AC35" s="1130"/>
      <c r="AD35" s="1109"/>
      <c r="AE35" s="1130"/>
      <c r="AF35" s="1109"/>
      <c r="AG35" s="1130"/>
      <c r="AH35" s="1109"/>
      <c r="AI35" s="1130"/>
      <c r="AJ35" s="1109"/>
      <c r="AK35" s="1130"/>
      <c r="AL35" s="1109"/>
      <c r="AM35" s="1130"/>
      <c r="AN35" s="1109"/>
      <c r="AO35" s="1130"/>
      <c r="AP35" s="1109"/>
      <c r="AQ35" s="1131"/>
      <c r="AR35" s="1132"/>
      <c r="AS35" s="1131"/>
      <c r="AT35" s="1129"/>
      <c r="AU35" s="1130"/>
      <c r="AV35" s="1109"/>
      <c r="AW35" s="1113"/>
      <c r="AX35" s="1193" t="str">
        <f t="shared" si="56"/>
        <v/>
      </c>
      <c r="AY35" s="1193"/>
      <c r="AZ35" s="1193"/>
      <c r="BA35" s="1193"/>
      <c r="BB35" s="1193"/>
      <c r="BC35" s="1193"/>
      <c r="BD35" s="1193"/>
      <c r="BE35" s="1193"/>
      <c r="BF35" s="1193"/>
      <c r="BG35" s="1193"/>
      <c r="BH35" s="1193"/>
      <c r="BI35" s="1187"/>
      <c r="BJ35" s="1187"/>
      <c r="BK35" s="1187"/>
      <c r="BL35" s="1187"/>
      <c r="BU35" s="1580"/>
      <c r="BV35" s="1580"/>
      <c r="BW35" s="1580"/>
      <c r="CA35" s="2235" t="str">
        <f t="shared" si="57"/>
        <v/>
      </c>
      <c r="CB35" s="2235" t="str">
        <f t="shared" si="58"/>
        <v/>
      </c>
      <c r="CC35" s="2235" t="str">
        <f t="shared" si="59"/>
        <v/>
      </c>
      <c r="CD35" s="2235" t="str">
        <f t="shared" si="60"/>
        <v/>
      </c>
      <c r="CE35" s="2235" t="str">
        <f t="shared" si="61"/>
        <v/>
      </c>
      <c r="CF35" s="2235" t="str">
        <f t="shared" ref="CF35:CF51" si="83">IF(D35&lt;E35,CONCATENATE("* El total de procesados debe ser mayor o igual al total de Reactivos en el grupo de edad ",$D$32),"")</f>
        <v/>
      </c>
      <c r="CG35" s="2235" t="str">
        <f t="shared" ref="CG35:CG51" si="84">IF(F35&lt;G35,CONCATENATE("* El total de procesados debe ser mayor o igual al total de Reactivos en el grupo de edad ",$F$32),"")</f>
        <v/>
      </c>
      <c r="CH35" s="2235" t="str">
        <f t="shared" ref="CH35:CH51" si="85">IF(H35&lt;I35,CONCATENATE("* El total de procesados debe ser mayor o igual al total de Reactivos en el grupo de edad ",$H$32),"")</f>
        <v/>
      </c>
      <c r="CI35" s="2235" t="str">
        <f t="shared" ref="CI35:CI51" si="86">IF(J35&lt;K35,CONCATENATE("* El total de procesados debe ser mayor o igual al total de Reactivos en el grupo de edad ",$J$32),"")</f>
        <v/>
      </c>
      <c r="CJ35" s="2235" t="str">
        <f t="shared" ref="CJ35:CJ51" si="87">IF(L35&lt;M35,CONCATENATE("* El total de procesados debe ser mayor o igual al total de Reactivos en el grupo de edad ",$L$32),"")</f>
        <v/>
      </c>
      <c r="CK35" s="2235" t="str">
        <f t="shared" ref="CK35:CK51" si="88">IF(N35&lt;O35,CONCATENATE("* El total de procesados debe ser mayor o igual al total de Reactivos en el grupo de edad ",$N$32),"")</f>
        <v/>
      </c>
      <c r="CL35" s="2235" t="str">
        <f t="shared" ref="CL35:CL51" si="89">IF(P35&lt;Q35,CONCATENATE("* El total de procesados debe ser mayor o igual al total de Reactivos en el grupo de edad ",$P$32),"")</f>
        <v/>
      </c>
      <c r="CM35" s="2235" t="str">
        <f t="shared" ref="CM35:CM51" si="90">IF(R35&lt;S35,CONCATENATE("* El total de procesados debe ser mayor o igual al total de Reactivos en el grupo de edad ",$R$32),"")</f>
        <v/>
      </c>
      <c r="CN35" s="2235" t="str">
        <f t="shared" ref="CN35:CN51" si="91">IF(T35&lt;U35,CONCATENATE("* El total de procesados debe ser mayor o igual al total de Reactivos en el grupo de edad ",$T$32),"")</f>
        <v/>
      </c>
      <c r="CO35" s="2235" t="str">
        <f t="shared" ref="CO35:CO51" si="92">IF(V35&lt;W35,CONCATENATE("* El total de procesados debe ser mayor o igual al total de Reactivos en el grupo de edad ",$V$32),"")</f>
        <v/>
      </c>
      <c r="CP35" s="2235" t="str">
        <f t="shared" ref="CP35:CP51" si="93">IF(X35&lt;Y35,CONCATENATE("* El total de procesados debe ser mayor o igual al total de Reactivos en el grupo de edad ",$X$32),"")</f>
        <v/>
      </c>
      <c r="CQ35" s="2235" t="str">
        <f t="shared" ref="CQ35:CQ51" si="94">IF(Z35&lt;AA35,CONCATENATE("* El total de procesados debe ser mayor o igual al total de Reactivos en el grupo de edad ",$Z$32),"")</f>
        <v/>
      </c>
      <c r="CR35" s="2235" t="str">
        <f t="shared" ref="CR35:CR51" si="95">IF(AB35&lt;AC35,CONCATENATE("* El total de procesados debe ser mayor o igual al total de Reactivos en el grupo de edad ",$AB$32),"")</f>
        <v/>
      </c>
      <c r="CS35" s="2235" t="str">
        <f t="shared" ref="CS35:CS51" si="96">IF(AD35&lt;AE35,CONCATENATE("* El total de procesados debe ser mayor o igual al total de Reactivos en el grupo de edad ",$AD$32),"")</f>
        <v/>
      </c>
      <c r="CT35" s="2235" t="str">
        <f t="shared" ref="CT35:CT51" si="97">IF(AF35&lt;AG35,CONCATENATE("* El total de procesados debe ser mayor o igual al total de Reactivos en el grupo de edad ",$AF$32),"")</f>
        <v/>
      </c>
      <c r="CU35" s="2235" t="str">
        <f t="shared" ref="CU35:CU51" si="98">IF(AH35&lt;AI35,CONCATENATE("* El total de procesados debe ser mayor o igual al total de Reactivos en el grupo de edad ",$AH$32),"")</f>
        <v/>
      </c>
      <c r="CV35" s="2235" t="str">
        <f t="shared" ref="CV35:CV51" si="99">IF(AJ35&lt;AK35,CONCATENATE("* El total de procesados debe ser mayor o igual al total de Reactivos en el grupo de edad ",$AJ$32),"")</f>
        <v/>
      </c>
      <c r="CW35" s="2235" t="str">
        <f t="shared" ref="CW35:CW51" si="100">IF(AL35&lt;AM35,CONCATENATE("* El total de procesados debe ser mayor o igual al total de Reactivos en el grupo de edad ",$AL$32),"")</f>
        <v/>
      </c>
      <c r="CX35" s="2235" t="str">
        <f t="shared" ref="CX35:CX51" si="101">IF(AN35&lt;AO35,CONCATENATE("* El total de procesados debe ser mayor o igual al total de Reactivos en el grupo de edad ",$AN$32),"")</f>
        <v/>
      </c>
      <c r="CY35" s="2235" t="str">
        <f t="shared" ref="CY35:CY51" si="102">IF(AP35&lt;AQ35,CONCATENATE("* El total de procesados debe ser mayor o igual al total de Reactivos en el grupo de edad ",$AP$32),"")</f>
        <v/>
      </c>
      <c r="CZ35" s="2235" t="str">
        <f t="shared" ref="CZ35:CZ51" si="103">IF(AND(B35&lt;&gt;0,OR(AT35="",AU35="",AV35="",AW35="")),"* No olvide digitar la columna Trans y/o Pueblos Originarios y/o Migrantes (Digite Cero si no tiene). ","")</f>
        <v/>
      </c>
      <c r="DA35" s="1468">
        <f t="shared" ref="DA35:DA51" si="104">IF(B35&lt;   C35,1,0)</f>
        <v>0</v>
      </c>
      <c r="DB35" s="1468">
        <f t="shared" ref="DB35:DB51" si="105">IF(B35&lt;&gt; AR35+AS35,1,0)</f>
        <v>0</v>
      </c>
      <c r="DC35" s="1468">
        <f t="shared" ref="DC35:DC51" si="106">IF(B35&lt;  AT35+AU35,1,0)</f>
        <v>0</v>
      </c>
      <c r="DD35" s="1468">
        <f t="shared" ref="DD35:DD51" si="107">IF(B35&lt;  AV35,1,0)</f>
        <v>0</v>
      </c>
      <c r="DE35" s="1468">
        <f t="shared" ref="DE35:DE51" si="108">IF(B35&lt;  AW35,1,0)</f>
        <v>0</v>
      </c>
      <c r="DF35" s="1468">
        <f t="shared" si="62"/>
        <v>0</v>
      </c>
      <c r="DG35" s="1468">
        <f t="shared" si="63"/>
        <v>0</v>
      </c>
      <c r="DH35" s="1468">
        <f t="shared" si="64"/>
        <v>0</v>
      </c>
      <c r="DI35" s="1468">
        <f t="shared" si="65"/>
        <v>0</v>
      </c>
      <c r="DJ35" s="1468">
        <f t="shared" si="66"/>
        <v>0</v>
      </c>
      <c r="DK35" s="1468">
        <f t="shared" si="67"/>
        <v>0</v>
      </c>
      <c r="DL35" s="1468">
        <f t="shared" si="68"/>
        <v>0</v>
      </c>
      <c r="DM35" s="1468">
        <f t="shared" si="69"/>
        <v>0</v>
      </c>
      <c r="DN35" s="1468">
        <f t="shared" si="70"/>
        <v>0</v>
      </c>
      <c r="DO35" s="1468">
        <f t="shared" si="71"/>
        <v>0</v>
      </c>
      <c r="DP35" s="1468">
        <f t="shared" si="72"/>
        <v>0</v>
      </c>
      <c r="DQ35" s="1468">
        <f t="shared" si="73"/>
        <v>0</v>
      </c>
      <c r="DR35" s="1468">
        <f t="shared" si="74"/>
        <v>0</v>
      </c>
      <c r="DS35" s="1468">
        <f t="shared" si="75"/>
        <v>0</v>
      </c>
      <c r="DT35" s="1468">
        <f t="shared" si="76"/>
        <v>0</v>
      </c>
      <c r="DU35" s="1468">
        <f t="shared" si="77"/>
        <v>0</v>
      </c>
      <c r="DV35" s="1468">
        <f t="shared" si="78"/>
        <v>0</v>
      </c>
      <c r="DW35" s="1468">
        <f t="shared" si="79"/>
        <v>0</v>
      </c>
      <c r="DX35" s="1468">
        <f t="shared" si="80"/>
        <v>0</v>
      </c>
      <c r="DY35" s="1468">
        <f t="shared" si="81"/>
        <v>0</v>
      </c>
      <c r="DZ35" s="1468">
        <f t="shared" si="82"/>
        <v>0</v>
      </c>
    </row>
    <row r="36" spans="1:130" ht="16.149999999999999" customHeight="1" x14ac:dyDescent="0.25">
      <c r="A36" s="2040" t="s">
        <v>1784</v>
      </c>
      <c r="B36" s="2038">
        <f t="shared" si="55"/>
        <v>0</v>
      </c>
      <c r="C36" s="2084">
        <f t="shared" si="55"/>
        <v>0</v>
      </c>
      <c r="D36" s="1125"/>
      <c r="E36" s="1126"/>
      <c r="F36" s="1127"/>
      <c r="G36" s="1126"/>
      <c r="H36" s="1127"/>
      <c r="I36" s="1126"/>
      <c r="J36" s="1127"/>
      <c r="K36" s="1126"/>
      <c r="L36" s="1127"/>
      <c r="M36" s="1128"/>
      <c r="N36" s="1129"/>
      <c r="O36" s="1130"/>
      <c r="P36" s="1109"/>
      <c r="Q36" s="1130"/>
      <c r="R36" s="1109"/>
      <c r="S36" s="1130"/>
      <c r="T36" s="1109"/>
      <c r="U36" s="1130"/>
      <c r="V36" s="1109"/>
      <c r="W36" s="1130"/>
      <c r="X36" s="1109"/>
      <c r="Y36" s="1130"/>
      <c r="Z36" s="1109"/>
      <c r="AA36" s="1130"/>
      <c r="AB36" s="1109"/>
      <c r="AC36" s="1130"/>
      <c r="AD36" s="1109"/>
      <c r="AE36" s="1130"/>
      <c r="AF36" s="1109"/>
      <c r="AG36" s="1130"/>
      <c r="AH36" s="1109"/>
      <c r="AI36" s="1130"/>
      <c r="AJ36" s="1109"/>
      <c r="AK36" s="1130"/>
      <c r="AL36" s="1109"/>
      <c r="AM36" s="1130"/>
      <c r="AN36" s="1109"/>
      <c r="AO36" s="1130"/>
      <c r="AP36" s="1109"/>
      <c r="AQ36" s="1131"/>
      <c r="AR36" s="1132"/>
      <c r="AS36" s="1131"/>
      <c r="AT36" s="1129"/>
      <c r="AU36" s="1130"/>
      <c r="AV36" s="1109"/>
      <c r="AW36" s="1113"/>
      <c r="AX36" s="1193" t="str">
        <f t="shared" si="56"/>
        <v/>
      </c>
      <c r="AY36" s="1193"/>
      <c r="AZ36" s="1193"/>
      <c r="BA36" s="1193"/>
      <c r="BB36" s="1193"/>
      <c r="BC36" s="1193"/>
      <c r="BD36" s="1193"/>
      <c r="BE36" s="1193"/>
      <c r="BF36" s="1193"/>
      <c r="BG36" s="1193"/>
      <c r="BH36" s="1193"/>
      <c r="BI36" s="1187"/>
      <c r="BJ36" s="1187"/>
      <c r="BK36" s="1187"/>
      <c r="BL36" s="1187"/>
      <c r="BU36" s="1580"/>
      <c r="BV36" s="1580"/>
      <c r="BW36" s="1580"/>
      <c r="CA36" s="2235" t="str">
        <f t="shared" si="57"/>
        <v/>
      </c>
      <c r="CB36" s="2235" t="str">
        <f t="shared" si="58"/>
        <v/>
      </c>
      <c r="CC36" s="2235" t="str">
        <f t="shared" si="59"/>
        <v/>
      </c>
      <c r="CD36" s="2235" t="str">
        <f t="shared" si="60"/>
        <v/>
      </c>
      <c r="CE36" s="2235" t="str">
        <f t="shared" si="61"/>
        <v/>
      </c>
      <c r="CF36" s="2235" t="str">
        <f t="shared" si="83"/>
        <v/>
      </c>
      <c r="CG36" s="2235" t="str">
        <f t="shared" si="84"/>
        <v/>
      </c>
      <c r="CH36" s="2235" t="str">
        <f t="shared" si="85"/>
        <v/>
      </c>
      <c r="CI36" s="2235" t="str">
        <f t="shared" si="86"/>
        <v/>
      </c>
      <c r="CJ36" s="2235" t="str">
        <f t="shared" si="87"/>
        <v/>
      </c>
      <c r="CK36" s="2235" t="str">
        <f t="shared" si="88"/>
        <v/>
      </c>
      <c r="CL36" s="2235" t="str">
        <f t="shared" si="89"/>
        <v/>
      </c>
      <c r="CM36" s="2235" t="str">
        <f t="shared" si="90"/>
        <v/>
      </c>
      <c r="CN36" s="2235" t="str">
        <f t="shared" si="91"/>
        <v/>
      </c>
      <c r="CO36" s="2235" t="str">
        <f t="shared" si="92"/>
        <v/>
      </c>
      <c r="CP36" s="2235" t="str">
        <f t="shared" si="93"/>
        <v/>
      </c>
      <c r="CQ36" s="2235" t="str">
        <f t="shared" si="94"/>
        <v/>
      </c>
      <c r="CR36" s="2235" t="str">
        <f t="shared" si="95"/>
        <v/>
      </c>
      <c r="CS36" s="2235" t="str">
        <f t="shared" si="96"/>
        <v/>
      </c>
      <c r="CT36" s="2235" t="str">
        <f t="shared" si="97"/>
        <v/>
      </c>
      <c r="CU36" s="2235" t="str">
        <f t="shared" si="98"/>
        <v/>
      </c>
      <c r="CV36" s="2235" t="str">
        <f t="shared" si="99"/>
        <v/>
      </c>
      <c r="CW36" s="2235" t="str">
        <f t="shared" si="100"/>
        <v/>
      </c>
      <c r="CX36" s="2235" t="str">
        <f t="shared" si="101"/>
        <v/>
      </c>
      <c r="CY36" s="2235" t="str">
        <f t="shared" si="102"/>
        <v/>
      </c>
      <c r="CZ36" s="2235" t="str">
        <f t="shared" si="103"/>
        <v/>
      </c>
      <c r="DA36" s="1468">
        <f t="shared" si="104"/>
        <v>0</v>
      </c>
      <c r="DB36" s="1468">
        <f t="shared" si="105"/>
        <v>0</v>
      </c>
      <c r="DC36" s="1468">
        <f t="shared" si="106"/>
        <v>0</v>
      </c>
      <c r="DD36" s="1468">
        <f t="shared" si="107"/>
        <v>0</v>
      </c>
      <c r="DE36" s="1468">
        <f t="shared" si="108"/>
        <v>0</v>
      </c>
      <c r="DF36" s="1468">
        <f t="shared" si="62"/>
        <v>0</v>
      </c>
      <c r="DG36" s="1468">
        <f t="shared" si="63"/>
        <v>0</v>
      </c>
      <c r="DH36" s="1468">
        <f t="shared" si="64"/>
        <v>0</v>
      </c>
      <c r="DI36" s="1468">
        <f t="shared" si="65"/>
        <v>0</v>
      </c>
      <c r="DJ36" s="1468">
        <f t="shared" si="66"/>
        <v>0</v>
      </c>
      <c r="DK36" s="1468">
        <f t="shared" si="67"/>
        <v>0</v>
      </c>
      <c r="DL36" s="1468">
        <f t="shared" si="68"/>
        <v>0</v>
      </c>
      <c r="DM36" s="1468">
        <f t="shared" si="69"/>
        <v>0</v>
      </c>
      <c r="DN36" s="1468">
        <f t="shared" si="70"/>
        <v>0</v>
      </c>
      <c r="DO36" s="1468">
        <f t="shared" si="71"/>
        <v>0</v>
      </c>
      <c r="DP36" s="1468">
        <f t="shared" si="72"/>
        <v>0</v>
      </c>
      <c r="DQ36" s="1468">
        <f t="shared" si="73"/>
        <v>0</v>
      </c>
      <c r="DR36" s="1468">
        <f t="shared" si="74"/>
        <v>0</v>
      </c>
      <c r="DS36" s="1468">
        <f t="shared" si="75"/>
        <v>0</v>
      </c>
      <c r="DT36" s="1468">
        <f t="shared" si="76"/>
        <v>0</v>
      </c>
      <c r="DU36" s="1468">
        <f t="shared" si="77"/>
        <v>0</v>
      </c>
      <c r="DV36" s="1468">
        <f t="shared" si="78"/>
        <v>0</v>
      </c>
      <c r="DW36" s="1468">
        <f t="shared" si="79"/>
        <v>0</v>
      </c>
      <c r="DX36" s="1468">
        <f t="shared" si="80"/>
        <v>0</v>
      </c>
      <c r="DY36" s="1468">
        <f t="shared" si="81"/>
        <v>0</v>
      </c>
      <c r="DZ36" s="1468">
        <f t="shared" si="82"/>
        <v>0</v>
      </c>
    </row>
    <row r="37" spans="1:130" ht="16.149999999999999" customHeight="1" x14ac:dyDescent="0.25">
      <c r="A37" s="2040" t="s">
        <v>1785</v>
      </c>
      <c r="B37" s="2038">
        <f t="shared" si="55"/>
        <v>0</v>
      </c>
      <c r="C37" s="2084">
        <f t="shared" si="55"/>
        <v>0</v>
      </c>
      <c r="D37" s="1125"/>
      <c r="E37" s="1126"/>
      <c r="F37" s="1127"/>
      <c r="G37" s="1126"/>
      <c r="H37" s="1127"/>
      <c r="I37" s="1126"/>
      <c r="J37" s="1127"/>
      <c r="K37" s="1126"/>
      <c r="L37" s="1127"/>
      <c r="M37" s="1128"/>
      <c r="N37" s="1129"/>
      <c r="O37" s="1130"/>
      <c r="P37" s="1109"/>
      <c r="Q37" s="1130"/>
      <c r="R37" s="1109"/>
      <c r="S37" s="1130"/>
      <c r="T37" s="1109"/>
      <c r="U37" s="1130"/>
      <c r="V37" s="1109"/>
      <c r="W37" s="1130"/>
      <c r="X37" s="1109"/>
      <c r="Y37" s="1130"/>
      <c r="Z37" s="1109"/>
      <c r="AA37" s="1130"/>
      <c r="AB37" s="1109"/>
      <c r="AC37" s="1130"/>
      <c r="AD37" s="1109"/>
      <c r="AE37" s="1130"/>
      <c r="AF37" s="1109"/>
      <c r="AG37" s="1130"/>
      <c r="AH37" s="1109"/>
      <c r="AI37" s="1130"/>
      <c r="AJ37" s="1109"/>
      <c r="AK37" s="1130"/>
      <c r="AL37" s="1109"/>
      <c r="AM37" s="1130"/>
      <c r="AN37" s="1109"/>
      <c r="AO37" s="1130"/>
      <c r="AP37" s="1109"/>
      <c r="AQ37" s="1131"/>
      <c r="AR37" s="1132"/>
      <c r="AS37" s="1131"/>
      <c r="AT37" s="1129"/>
      <c r="AU37" s="1130"/>
      <c r="AV37" s="1109"/>
      <c r="AW37" s="1113"/>
      <c r="AX37" s="1193" t="str">
        <f t="shared" si="56"/>
        <v/>
      </c>
      <c r="AY37" s="1193"/>
      <c r="AZ37" s="1193"/>
      <c r="BA37" s="1193"/>
      <c r="BB37" s="1193"/>
      <c r="BC37" s="1193"/>
      <c r="BD37" s="1193"/>
      <c r="BE37" s="1193"/>
      <c r="BF37" s="1193"/>
      <c r="BG37" s="1193"/>
      <c r="BH37" s="1193"/>
      <c r="BI37" s="1187"/>
      <c r="BJ37" s="1187"/>
      <c r="BK37" s="1187"/>
      <c r="BL37" s="1187"/>
      <c r="BU37" s="1580"/>
      <c r="BV37" s="1580"/>
      <c r="BW37" s="1580"/>
      <c r="CA37" s="2235" t="str">
        <f t="shared" si="57"/>
        <v/>
      </c>
      <c r="CB37" s="2235" t="str">
        <f t="shared" si="58"/>
        <v/>
      </c>
      <c r="CC37" s="2235" t="str">
        <f t="shared" si="59"/>
        <v/>
      </c>
      <c r="CD37" s="2235" t="str">
        <f t="shared" si="60"/>
        <v/>
      </c>
      <c r="CE37" s="2235" t="str">
        <f t="shared" si="61"/>
        <v/>
      </c>
      <c r="CF37" s="2235" t="str">
        <f t="shared" si="83"/>
        <v/>
      </c>
      <c r="CG37" s="2235" t="str">
        <f t="shared" si="84"/>
        <v/>
      </c>
      <c r="CH37" s="2235" t="str">
        <f t="shared" si="85"/>
        <v/>
      </c>
      <c r="CI37" s="2235" t="str">
        <f t="shared" si="86"/>
        <v/>
      </c>
      <c r="CJ37" s="2235" t="str">
        <f t="shared" si="87"/>
        <v/>
      </c>
      <c r="CK37" s="2235" t="str">
        <f t="shared" si="88"/>
        <v/>
      </c>
      <c r="CL37" s="2235" t="str">
        <f t="shared" si="89"/>
        <v/>
      </c>
      <c r="CM37" s="2235" t="str">
        <f t="shared" si="90"/>
        <v/>
      </c>
      <c r="CN37" s="2235" t="str">
        <f t="shared" si="91"/>
        <v/>
      </c>
      <c r="CO37" s="2235" t="str">
        <f t="shared" si="92"/>
        <v/>
      </c>
      <c r="CP37" s="2235" t="str">
        <f t="shared" si="93"/>
        <v/>
      </c>
      <c r="CQ37" s="2235" t="str">
        <f t="shared" si="94"/>
        <v/>
      </c>
      <c r="CR37" s="2235" t="str">
        <f t="shared" si="95"/>
        <v/>
      </c>
      <c r="CS37" s="2235" t="str">
        <f t="shared" si="96"/>
        <v/>
      </c>
      <c r="CT37" s="2235" t="str">
        <f t="shared" si="97"/>
        <v/>
      </c>
      <c r="CU37" s="2235" t="str">
        <f t="shared" si="98"/>
        <v/>
      </c>
      <c r="CV37" s="2235" t="str">
        <f t="shared" si="99"/>
        <v/>
      </c>
      <c r="CW37" s="2235" t="str">
        <f t="shared" si="100"/>
        <v/>
      </c>
      <c r="CX37" s="2235" t="str">
        <f t="shared" si="101"/>
        <v/>
      </c>
      <c r="CY37" s="2235" t="str">
        <f t="shared" si="102"/>
        <v/>
      </c>
      <c r="CZ37" s="2235" t="str">
        <f t="shared" si="103"/>
        <v/>
      </c>
      <c r="DA37" s="1468">
        <f t="shared" si="104"/>
        <v>0</v>
      </c>
      <c r="DB37" s="1468">
        <f t="shared" si="105"/>
        <v>0</v>
      </c>
      <c r="DC37" s="1468">
        <f t="shared" si="106"/>
        <v>0</v>
      </c>
      <c r="DD37" s="1468">
        <f t="shared" si="107"/>
        <v>0</v>
      </c>
      <c r="DE37" s="1468">
        <f t="shared" si="108"/>
        <v>0</v>
      </c>
      <c r="DF37" s="1468">
        <f t="shared" si="62"/>
        <v>0</v>
      </c>
      <c r="DG37" s="1468">
        <f t="shared" si="63"/>
        <v>0</v>
      </c>
      <c r="DH37" s="1468">
        <f t="shared" si="64"/>
        <v>0</v>
      </c>
      <c r="DI37" s="1468">
        <f t="shared" si="65"/>
        <v>0</v>
      </c>
      <c r="DJ37" s="1468">
        <f t="shared" si="66"/>
        <v>0</v>
      </c>
      <c r="DK37" s="1468">
        <f t="shared" si="67"/>
        <v>0</v>
      </c>
      <c r="DL37" s="1468">
        <f t="shared" si="68"/>
        <v>0</v>
      </c>
      <c r="DM37" s="1468">
        <f t="shared" si="69"/>
        <v>0</v>
      </c>
      <c r="DN37" s="1468">
        <f t="shared" si="70"/>
        <v>0</v>
      </c>
      <c r="DO37" s="1468">
        <f t="shared" si="71"/>
        <v>0</v>
      </c>
      <c r="DP37" s="1468">
        <f t="shared" si="72"/>
        <v>0</v>
      </c>
      <c r="DQ37" s="1468">
        <f t="shared" si="73"/>
        <v>0</v>
      </c>
      <c r="DR37" s="1468">
        <f t="shared" si="74"/>
        <v>0</v>
      </c>
      <c r="DS37" s="1468">
        <f t="shared" si="75"/>
        <v>0</v>
      </c>
      <c r="DT37" s="1468">
        <f t="shared" si="76"/>
        <v>0</v>
      </c>
      <c r="DU37" s="1468">
        <f t="shared" si="77"/>
        <v>0</v>
      </c>
      <c r="DV37" s="1468">
        <f t="shared" si="78"/>
        <v>0</v>
      </c>
      <c r="DW37" s="1468">
        <f t="shared" si="79"/>
        <v>0</v>
      </c>
      <c r="DX37" s="1468">
        <f t="shared" si="80"/>
        <v>0</v>
      </c>
      <c r="DY37" s="1468">
        <f t="shared" si="81"/>
        <v>0</v>
      </c>
      <c r="DZ37" s="1468">
        <f t="shared" si="82"/>
        <v>0</v>
      </c>
    </row>
    <row r="38" spans="1:130" ht="16.149999999999999" customHeight="1" x14ac:dyDescent="0.25">
      <c r="A38" s="2085" t="s">
        <v>1786</v>
      </c>
      <c r="B38" s="2038">
        <f t="shared" si="55"/>
        <v>0</v>
      </c>
      <c r="C38" s="2084">
        <f t="shared" si="55"/>
        <v>0</v>
      </c>
      <c r="D38" s="1125"/>
      <c r="E38" s="1126"/>
      <c r="F38" s="1127"/>
      <c r="G38" s="1126"/>
      <c r="H38" s="1127"/>
      <c r="I38" s="1126"/>
      <c r="J38" s="1127"/>
      <c r="K38" s="1126"/>
      <c r="L38" s="1127"/>
      <c r="M38" s="1128"/>
      <c r="N38" s="1129"/>
      <c r="O38" s="1130"/>
      <c r="P38" s="1109"/>
      <c r="Q38" s="1130"/>
      <c r="R38" s="1109"/>
      <c r="S38" s="1130"/>
      <c r="T38" s="1109"/>
      <c r="U38" s="1130"/>
      <c r="V38" s="1109"/>
      <c r="W38" s="1130"/>
      <c r="X38" s="1109"/>
      <c r="Y38" s="1130"/>
      <c r="Z38" s="1109"/>
      <c r="AA38" s="1130"/>
      <c r="AB38" s="1109"/>
      <c r="AC38" s="1130"/>
      <c r="AD38" s="1109"/>
      <c r="AE38" s="1130"/>
      <c r="AF38" s="1109"/>
      <c r="AG38" s="1130"/>
      <c r="AH38" s="1109"/>
      <c r="AI38" s="1130"/>
      <c r="AJ38" s="1109"/>
      <c r="AK38" s="1130"/>
      <c r="AL38" s="1109"/>
      <c r="AM38" s="1130"/>
      <c r="AN38" s="1109"/>
      <c r="AO38" s="1130"/>
      <c r="AP38" s="1109"/>
      <c r="AQ38" s="1131"/>
      <c r="AR38" s="1132"/>
      <c r="AS38" s="1131"/>
      <c r="AT38" s="1129"/>
      <c r="AU38" s="1130"/>
      <c r="AV38" s="1109"/>
      <c r="AW38" s="1113"/>
      <c r="AX38" s="1193" t="str">
        <f t="shared" si="56"/>
        <v/>
      </c>
      <c r="AY38" s="1193"/>
      <c r="AZ38" s="1193"/>
      <c r="BA38" s="1193"/>
      <c r="BB38" s="1193"/>
      <c r="BC38" s="1193"/>
      <c r="BD38" s="1193"/>
      <c r="BE38" s="1193"/>
      <c r="BF38" s="1193"/>
      <c r="BG38" s="1193"/>
      <c r="BH38" s="1193"/>
      <c r="BI38" s="1187"/>
      <c r="BJ38" s="1187"/>
      <c r="BK38" s="1187"/>
      <c r="BL38" s="1187"/>
      <c r="BU38" s="1580"/>
      <c r="BV38" s="1580"/>
      <c r="BW38" s="1580"/>
      <c r="CA38" s="2235" t="str">
        <f t="shared" si="57"/>
        <v/>
      </c>
      <c r="CB38" s="2235" t="str">
        <f t="shared" si="58"/>
        <v/>
      </c>
      <c r="CC38" s="2235" t="str">
        <f t="shared" si="59"/>
        <v/>
      </c>
      <c r="CD38" s="2235" t="str">
        <f t="shared" si="60"/>
        <v/>
      </c>
      <c r="CE38" s="2235" t="str">
        <f t="shared" si="61"/>
        <v/>
      </c>
      <c r="CF38" s="2235" t="str">
        <f t="shared" si="83"/>
        <v/>
      </c>
      <c r="CG38" s="2235" t="str">
        <f t="shared" si="84"/>
        <v/>
      </c>
      <c r="CH38" s="2235" t="str">
        <f t="shared" si="85"/>
        <v/>
      </c>
      <c r="CI38" s="2235" t="str">
        <f t="shared" si="86"/>
        <v/>
      </c>
      <c r="CJ38" s="2235" t="str">
        <f t="shared" si="87"/>
        <v/>
      </c>
      <c r="CK38" s="2235" t="str">
        <f t="shared" si="88"/>
        <v/>
      </c>
      <c r="CL38" s="2235" t="str">
        <f t="shared" si="89"/>
        <v/>
      </c>
      <c r="CM38" s="2235" t="str">
        <f t="shared" si="90"/>
        <v/>
      </c>
      <c r="CN38" s="2235" t="str">
        <f t="shared" si="91"/>
        <v/>
      </c>
      <c r="CO38" s="2235" t="str">
        <f t="shared" si="92"/>
        <v/>
      </c>
      <c r="CP38" s="2235" t="str">
        <f t="shared" si="93"/>
        <v/>
      </c>
      <c r="CQ38" s="2235" t="str">
        <f t="shared" si="94"/>
        <v/>
      </c>
      <c r="CR38" s="2235" t="str">
        <f t="shared" si="95"/>
        <v/>
      </c>
      <c r="CS38" s="2235" t="str">
        <f t="shared" si="96"/>
        <v/>
      </c>
      <c r="CT38" s="2235" t="str">
        <f t="shared" si="97"/>
        <v/>
      </c>
      <c r="CU38" s="2235" t="str">
        <f t="shared" si="98"/>
        <v/>
      </c>
      <c r="CV38" s="2235" t="str">
        <f t="shared" si="99"/>
        <v/>
      </c>
      <c r="CW38" s="2235" t="str">
        <f t="shared" si="100"/>
        <v/>
      </c>
      <c r="CX38" s="2235" t="str">
        <f t="shared" si="101"/>
        <v/>
      </c>
      <c r="CY38" s="2235" t="str">
        <f t="shared" si="102"/>
        <v/>
      </c>
      <c r="CZ38" s="2235" t="str">
        <f t="shared" si="103"/>
        <v/>
      </c>
      <c r="DA38" s="1468">
        <f t="shared" si="104"/>
        <v>0</v>
      </c>
      <c r="DB38" s="1468">
        <f t="shared" si="105"/>
        <v>0</v>
      </c>
      <c r="DC38" s="1468">
        <f t="shared" si="106"/>
        <v>0</v>
      </c>
      <c r="DD38" s="1468">
        <f t="shared" si="107"/>
        <v>0</v>
      </c>
      <c r="DE38" s="1468">
        <f t="shared" si="108"/>
        <v>0</v>
      </c>
      <c r="DF38" s="1468">
        <f t="shared" si="62"/>
        <v>0</v>
      </c>
      <c r="DG38" s="1468">
        <f t="shared" si="63"/>
        <v>0</v>
      </c>
      <c r="DH38" s="1468">
        <f t="shared" si="64"/>
        <v>0</v>
      </c>
      <c r="DI38" s="1468">
        <f t="shared" si="65"/>
        <v>0</v>
      </c>
      <c r="DJ38" s="1468">
        <f t="shared" si="66"/>
        <v>0</v>
      </c>
      <c r="DK38" s="1468">
        <f t="shared" si="67"/>
        <v>0</v>
      </c>
      <c r="DL38" s="1468">
        <f t="shared" si="68"/>
        <v>0</v>
      </c>
      <c r="DM38" s="1468">
        <f t="shared" si="69"/>
        <v>0</v>
      </c>
      <c r="DN38" s="1468">
        <f t="shared" si="70"/>
        <v>0</v>
      </c>
      <c r="DO38" s="1468">
        <f t="shared" si="71"/>
        <v>0</v>
      </c>
      <c r="DP38" s="1468">
        <f t="shared" si="72"/>
        <v>0</v>
      </c>
      <c r="DQ38" s="1468">
        <f t="shared" si="73"/>
        <v>0</v>
      </c>
      <c r="DR38" s="1468">
        <f t="shared" si="74"/>
        <v>0</v>
      </c>
      <c r="DS38" s="1468">
        <f t="shared" si="75"/>
        <v>0</v>
      </c>
      <c r="DT38" s="1468">
        <f t="shared" si="76"/>
        <v>0</v>
      </c>
      <c r="DU38" s="1468">
        <f t="shared" si="77"/>
        <v>0</v>
      </c>
      <c r="DV38" s="1468">
        <f t="shared" si="78"/>
        <v>0</v>
      </c>
      <c r="DW38" s="1468">
        <f t="shared" si="79"/>
        <v>0</v>
      </c>
      <c r="DX38" s="1468">
        <f t="shared" si="80"/>
        <v>0</v>
      </c>
      <c r="DY38" s="1468">
        <f t="shared" si="81"/>
        <v>0</v>
      </c>
      <c r="DZ38" s="1468">
        <f t="shared" si="82"/>
        <v>0</v>
      </c>
    </row>
    <row r="39" spans="1:130" ht="21" customHeight="1" x14ac:dyDescent="0.25">
      <c r="A39" s="2085" t="s">
        <v>1787</v>
      </c>
      <c r="B39" s="2038">
        <f t="shared" si="55"/>
        <v>0</v>
      </c>
      <c r="C39" s="2084">
        <f t="shared" si="55"/>
        <v>0</v>
      </c>
      <c r="D39" s="1125"/>
      <c r="E39" s="1126"/>
      <c r="F39" s="1127"/>
      <c r="G39" s="1126"/>
      <c r="H39" s="1127"/>
      <c r="I39" s="1126"/>
      <c r="J39" s="1127"/>
      <c r="K39" s="1126"/>
      <c r="L39" s="1127"/>
      <c r="M39" s="1128"/>
      <c r="N39" s="1129"/>
      <c r="O39" s="1130"/>
      <c r="P39" s="1109"/>
      <c r="Q39" s="1130"/>
      <c r="R39" s="1109"/>
      <c r="S39" s="1130"/>
      <c r="T39" s="1109"/>
      <c r="U39" s="1130"/>
      <c r="V39" s="1109"/>
      <c r="W39" s="1130"/>
      <c r="X39" s="1109"/>
      <c r="Y39" s="1130"/>
      <c r="Z39" s="1109"/>
      <c r="AA39" s="1130"/>
      <c r="AB39" s="1109"/>
      <c r="AC39" s="1130"/>
      <c r="AD39" s="1109"/>
      <c r="AE39" s="1130"/>
      <c r="AF39" s="1109"/>
      <c r="AG39" s="1130"/>
      <c r="AH39" s="1109"/>
      <c r="AI39" s="1130"/>
      <c r="AJ39" s="1109"/>
      <c r="AK39" s="1130"/>
      <c r="AL39" s="1109"/>
      <c r="AM39" s="1130"/>
      <c r="AN39" s="1109"/>
      <c r="AO39" s="1130"/>
      <c r="AP39" s="1109"/>
      <c r="AQ39" s="1131"/>
      <c r="AR39" s="1129"/>
      <c r="AS39" s="1131"/>
      <c r="AT39" s="1129"/>
      <c r="AU39" s="1130"/>
      <c r="AV39" s="1109"/>
      <c r="AW39" s="1113"/>
      <c r="AX39" s="1193" t="str">
        <f t="shared" si="56"/>
        <v/>
      </c>
      <c r="AY39" s="1193"/>
      <c r="AZ39" s="1193"/>
      <c r="BA39" s="1193"/>
      <c r="BB39" s="1193"/>
      <c r="BC39" s="1193"/>
      <c r="BD39" s="1193"/>
      <c r="BE39" s="1193"/>
      <c r="BF39" s="1193"/>
      <c r="BG39" s="1193"/>
      <c r="BH39" s="1193"/>
      <c r="BI39" s="1187"/>
      <c r="BJ39" s="1187"/>
      <c r="BK39" s="1187"/>
      <c r="BL39" s="1187"/>
      <c r="BU39" s="1580"/>
      <c r="BV39" s="1580"/>
      <c r="BW39" s="1580"/>
      <c r="CA39" s="2235" t="str">
        <f t="shared" si="57"/>
        <v/>
      </c>
      <c r="CB39" s="2235" t="str">
        <f t="shared" si="58"/>
        <v/>
      </c>
      <c r="CC39" s="2235" t="str">
        <f t="shared" si="59"/>
        <v/>
      </c>
      <c r="CD39" s="2235" t="str">
        <f t="shared" si="60"/>
        <v/>
      </c>
      <c r="CE39" s="2235" t="str">
        <f t="shared" si="61"/>
        <v/>
      </c>
      <c r="CF39" s="2235" t="str">
        <f t="shared" si="83"/>
        <v/>
      </c>
      <c r="CG39" s="2235" t="str">
        <f t="shared" si="84"/>
        <v/>
      </c>
      <c r="CH39" s="2235" t="str">
        <f t="shared" si="85"/>
        <v/>
      </c>
      <c r="CI39" s="2235" t="str">
        <f t="shared" si="86"/>
        <v/>
      </c>
      <c r="CJ39" s="2235" t="str">
        <f t="shared" si="87"/>
        <v/>
      </c>
      <c r="CK39" s="2235" t="str">
        <f t="shared" si="88"/>
        <v/>
      </c>
      <c r="CL39" s="2235" t="str">
        <f t="shared" si="89"/>
        <v/>
      </c>
      <c r="CM39" s="2235" t="str">
        <f t="shared" si="90"/>
        <v/>
      </c>
      <c r="CN39" s="2235" t="str">
        <f t="shared" si="91"/>
        <v/>
      </c>
      <c r="CO39" s="2235" t="str">
        <f t="shared" si="92"/>
        <v/>
      </c>
      <c r="CP39" s="2235" t="str">
        <f t="shared" si="93"/>
        <v/>
      </c>
      <c r="CQ39" s="2235" t="str">
        <f t="shared" si="94"/>
        <v/>
      </c>
      <c r="CR39" s="2235" t="str">
        <f t="shared" si="95"/>
        <v/>
      </c>
      <c r="CS39" s="2235" t="str">
        <f t="shared" si="96"/>
        <v/>
      </c>
      <c r="CT39" s="2235" t="str">
        <f t="shared" si="97"/>
        <v/>
      </c>
      <c r="CU39" s="2235" t="str">
        <f t="shared" si="98"/>
        <v/>
      </c>
      <c r="CV39" s="2235" t="str">
        <f t="shared" si="99"/>
        <v/>
      </c>
      <c r="CW39" s="2235" t="str">
        <f t="shared" si="100"/>
        <v/>
      </c>
      <c r="CX39" s="2235" t="str">
        <f t="shared" si="101"/>
        <v/>
      </c>
      <c r="CY39" s="2235" t="str">
        <f t="shared" si="102"/>
        <v/>
      </c>
      <c r="CZ39" s="2235" t="str">
        <f t="shared" si="103"/>
        <v/>
      </c>
      <c r="DA39" s="1468">
        <f t="shared" si="104"/>
        <v>0</v>
      </c>
      <c r="DB39" s="1468">
        <f t="shared" si="105"/>
        <v>0</v>
      </c>
      <c r="DC39" s="1468">
        <f t="shared" si="106"/>
        <v>0</v>
      </c>
      <c r="DD39" s="1468">
        <f t="shared" si="107"/>
        <v>0</v>
      </c>
      <c r="DE39" s="1468">
        <f t="shared" si="108"/>
        <v>0</v>
      </c>
      <c r="DF39" s="1468">
        <f t="shared" si="62"/>
        <v>0</v>
      </c>
      <c r="DG39" s="1468">
        <f t="shared" si="63"/>
        <v>0</v>
      </c>
      <c r="DH39" s="1468">
        <f t="shared" si="64"/>
        <v>0</v>
      </c>
      <c r="DI39" s="1468">
        <f t="shared" si="65"/>
        <v>0</v>
      </c>
      <c r="DJ39" s="1468">
        <f t="shared" si="66"/>
        <v>0</v>
      </c>
      <c r="DK39" s="1468">
        <f t="shared" si="67"/>
        <v>0</v>
      </c>
      <c r="DL39" s="1468">
        <f t="shared" si="68"/>
        <v>0</v>
      </c>
      <c r="DM39" s="1468">
        <f t="shared" si="69"/>
        <v>0</v>
      </c>
      <c r="DN39" s="1468">
        <f t="shared" si="70"/>
        <v>0</v>
      </c>
      <c r="DO39" s="1468">
        <f t="shared" si="71"/>
        <v>0</v>
      </c>
      <c r="DP39" s="1468">
        <f t="shared" si="72"/>
        <v>0</v>
      </c>
      <c r="DQ39" s="1468">
        <f t="shared" si="73"/>
        <v>0</v>
      </c>
      <c r="DR39" s="1468">
        <f t="shared" si="74"/>
        <v>0</v>
      </c>
      <c r="DS39" s="1468">
        <f t="shared" si="75"/>
        <v>0</v>
      </c>
      <c r="DT39" s="1468">
        <f t="shared" si="76"/>
        <v>0</v>
      </c>
      <c r="DU39" s="1468">
        <f t="shared" si="77"/>
        <v>0</v>
      </c>
      <c r="DV39" s="1468">
        <f t="shared" si="78"/>
        <v>0</v>
      </c>
      <c r="DW39" s="1468">
        <f t="shared" si="79"/>
        <v>0</v>
      </c>
      <c r="DX39" s="1468">
        <f t="shared" si="80"/>
        <v>0</v>
      </c>
      <c r="DY39" s="1468">
        <f t="shared" si="81"/>
        <v>0</v>
      </c>
      <c r="DZ39" s="1468">
        <f t="shared" si="82"/>
        <v>0</v>
      </c>
    </row>
    <row r="40" spans="1:130" ht="27" customHeight="1" x14ac:dyDescent="0.25">
      <c r="A40" s="2085" t="s">
        <v>1788</v>
      </c>
      <c r="B40" s="2038">
        <f t="shared" si="55"/>
        <v>0</v>
      </c>
      <c r="C40" s="2084">
        <f t="shared" si="55"/>
        <v>0</v>
      </c>
      <c r="D40" s="1125"/>
      <c r="E40" s="1126"/>
      <c r="F40" s="1127"/>
      <c r="G40" s="1126"/>
      <c r="H40" s="1127"/>
      <c r="I40" s="1126"/>
      <c r="J40" s="1127"/>
      <c r="K40" s="1126"/>
      <c r="L40" s="1127"/>
      <c r="M40" s="1128"/>
      <c r="N40" s="1129"/>
      <c r="O40" s="1130"/>
      <c r="P40" s="1109"/>
      <c r="Q40" s="1130"/>
      <c r="R40" s="1109"/>
      <c r="S40" s="1130"/>
      <c r="T40" s="1109"/>
      <c r="U40" s="1130"/>
      <c r="V40" s="1109"/>
      <c r="W40" s="1130"/>
      <c r="X40" s="1109"/>
      <c r="Y40" s="1130"/>
      <c r="Z40" s="1109"/>
      <c r="AA40" s="1130"/>
      <c r="AB40" s="1109"/>
      <c r="AC40" s="1130"/>
      <c r="AD40" s="1109"/>
      <c r="AE40" s="1130"/>
      <c r="AF40" s="1109"/>
      <c r="AG40" s="1130"/>
      <c r="AH40" s="1109"/>
      <c r="AI40" s="1130"/>
      <c r="AJ40" s="1109"/>
      <c r="AK40" s="1130"/>
      <c r="AL40" s="1109"/>
      <c r="AM40" s="1130"/>
      <c r="AN40" s="1109"/>
      <c r="AO40" s="1130"/>
      <c r="AP40" s="1109"/>
      <c r="AQ40" s="1131"/>
      <c r="AR40" s="1132"/>
      <c r="AS40" s="1131"/>
      <c r="AT40" s="1129"/>
      <c r="AU40" s="1130"/>
      <c r="AV40" s="1109"/>
      <c r="AW40" s="1113"/>
      <c r="AX40" s="1193" t="str">
        <f t="shared" si="56"/>
        <v/>
      </c>
      <c r="AY40" s="1193"/>
      <c r="AZ40" s="1193"/>
      <c r="BA40" s="1193"/>
      <c r="BB40" s="1193"/>
      <c r="BC40" s="1193"/>
      <c r="BD40" s="1193"/>
      <c r="BE40" s="1193"/>
      <c r="BF40" s="1193"/>
      <c r="BG40" s="1193"/>
      <c r="BH40" s="1193"/>
      <c r="BI40" s="1187"/>
      <c r="BJ40" s="1187"/>
      <c r="BK40" s="1187"/>
      <c r="BL40" s="1187"/>
      <c r="BU40" s="1580"/>
      <c r="BV40" s="1580"/>
      <c r="BW40" s="1580"/>
      <c r="CA40" s="2235" t="str">
        <f t="shared" si="57"/>
        <v/>
      </c>
      <c r="CB40" s="2235" t="str">
        <f t="shared" si="58"/>
        <v/>
      </c>
      <c r="CC40" s="2235" t="str">
        <f t="shared" si="59"/>
        <v/>
      </c>
      <c r="CD40" s="2235" t="str">
        <f t="shared" si="60"/>
        <v/>
      </c>
      <c r="CE40" s="2235" t="str">
        <f t="shared" si="61"/>
        <v/>
      </c>
      <c r="CF40" s="2235" t="str">
        <f t="shared" si="83"/>
        <v/>
      </c>
      <c r="CG40" s="2235" t="str">
        <f t="shared" si="84"/>
        <v/>
      </c>
      <c r="CH40" s="2235" t="str">
        <f t="shared" si="85"/>
        <v/>
      </c>
      <c r="CI40" s="2235" t="str">
        <f t="shared" si="86"/>
        <v/>
      </c>
      <c r="CJ40" s="2235" t="str">
        <f t="shared" si="87"/>
        <v/>
      </c>
      <c r="CK40" s="2235" t="str">
        <f t="shared" si="88"/>
        <v/>
      </c>
      <c r="CL40" s="2235" t="str">
        <f t="shared" si="89"/>
        <v/>
      </c>
      <c r="CM40" s="2235" t="str">
        <f t="shared" si="90"/>
        <v/>
      </c>
      <c r="CN40" s="2235" t="str">
        <f t="shared" si="91"/>
        <v/>
      </c>
      <c r="CO40" s="2235" t="str">
        <f t="shared" si="92"/>
        <v/>
      </c>
      <c r="CP40" s="2235" t="str">
        <f t="shared" si="93"/>
        <v/>
      </c>
      <c r="CQ40" s="2235" t="str">
        <f t="shared" si="94"/>
        <v/>
      </c>
      <c r="CR40" s="2235" t="str">
        <f t="shared" si="95"/>
        <v/>
      </c>
      <c r="CS40" s="2235" t="str">
        <f t="shared" si="96"/>
        <v/>
      </c>
      <c r="CT40" s="2235" t="str">
        <f t="shared" si="97"/>
        <v/>
      </c>
      <c r="CU40" s="2235" t="str">
        <f t="shared" si="98"/>
        <v/>
      </c>
      <c r="CV40" s="2235" t="str">
        <f t="shared" si="99"/>
        <v/>
      </c>
      <c r="CW40" s="2235" t="str">
        <f t="shared" si="100"/>
        <v/>
      </c>
      <c r="CX40" s="2235" t="str">
        <f t="shared" si="101"/>
        <v/>
      </c>
      <c r="CY40" s="2235" t="str">
        <f t="shared" si="102"/>
        <v/>
      </c>
      <c r="CZ40" s="2235" t="str">
        <f t="shared" si="103"/>
        <v/>
      </c>
      <c r="DA40" s="1468">
        <f t="shared" si="104"/>
        <v>0</v>
      </c>
      <c r="DB40" s="1468">
        <f t="shared" si="105"/>
        <v>0</v>
      </c>
      <c r="DC40" s="1468">
        <f t="shared" si="106"/>
        <v>0</v>
      </c>
      <c r="DD40" s="1468">
        <f t="shared" si="107"/>
        <v>0</v>
      </c>
      <c r="DE40" s="1468">
        <f t="shared" si="108"/>
        <v>0</v>
      </c>
      <c r="DF40" s="1468">
        <f t="shared" si="62"/>
        <v>0</v>
      </c>
      <c r="DG40" s="1468">
        <f t="shared" si="63"/>
        <v>0</v>
      </c>
      <c r="DH40" s="1468">
        <f t="shared" si="64"/>
        <v>0</v>
      </c>
      <c r="DI40" s="1468">
        <f t="shared" si="65"/>
        <v>0</v>
      </c>
      <c r="DJ40" s="1468">
        <f t="shared" si="66"/>
        <v>0</v>
      </c>
      <c r="DK40" s="1468">
        <f t="shared" si="67"/>
        <v>0</v>
      </c>
      <c r="DL40" s="1468">
        <f t="shared" si="68"/>
        <v>0</v>
      </c>
      <c r="DM40" s="1468">
        <f t="shared" si="69"/>
        <v>0</v>
      </c>
      <c r="DN40" s="1468">
        <f t="shared" si="70"/>
        <v>0</v>
      </c>
      <c r="DO40" s="1468">
        <f t="shared" si="71"/>
        <v>0</v>
      </c>
      <c r="DP40" s="1468">
        <f t="shared" si="72"/>
        <v>0</v>
      </c>
      <c r="DQ40" s="1468">
        <f t="shared" si="73"/>
        <v>0</v>
      </c>
      <c r="DR40" s="1468">
        <f t="shared" si="74"/>
        <v>0</v>
      </c>
      <c r="DS40" s="1468">
        <f t="shared" si="75"/>
        <v>0</v>
      </c>
      <c r="DT40" s="1468">
        <f t="shared" si="76"/>
        <v>0</v>
      </c>
      <c r="DU40" s="1468">
        <f t="shared" si="77"/>
        <v>0</v>
      </c>
      <c r="DV40" s="1468">
        <f t="shared" si="78"/>
        <v>0</v>
      </c>
      <c r="DW40" s="1468">
        <f t="shared" si="79"/>
        <v>0</v>
      </c>
      <c r="DX40" s="1468">
        <f t="shared" si="80"/>
        <v>0</v>
      </c>
      <c r="DY40" s="1468">
        <f t="shared" si="81"/>
        <v>0</v>
      </c>
      <c r="DZ40" s="1468">
        <f t="shared" si="82"/>
        <v>0</v>
      </c>
    </row>
    <row r="41" spans="1:130" ht="16.149999999999999" customHeight="1" x14ac:dyDescent="0.25">
      <c r="A41" s="2040" t="s">
        <v>1789</v>
      </c>
      <c r="B41" s="2038">
        <f t="shared" si="55"/>
        <v>0</v>
      </c>
      <c r="C41" s="2084">
        <f t="shared" si="55"/>
        <v>0</v>
      </c>
      <c r="D41" s="1125"/>
      <c r="E41" s="1126"/>
      <c r="F41" s="1127"/>
      <c r="G41" s="1126"/>
      <c r="H41" s="1127"/>
      <c r="I41" s="1126"/>
      <c r="J41" s="1127"/>
      <c r="K41" s="1126"/>
      <c r="L41" s="1127"/>
      <c r="M41" s="1128"/>
      <c r="N41" s="1129"/>
      <c r="O41" s="1130"/>
      <c r="P41" s="1109"/>
      <c r="Q41" s="1130"/>
      <c r="R41" s="1109"/>
      <c r="S41" s="1130"/>
      <c r="T41" s="1109"/>
      <c r="U41" s="1130"/>
      <c r="V41" s="1109"/>
      <c r="W41" s="1130"/>
      <c r="X41" s="1109"/>
      <c r="Y41" s="1130"/>
      <c r="Z41" s="1109"/>
      <c r="AA41" s="1130"/>
      <c r="AB41" s="1109"/>
      <c r="AC41" s="1130"/>
      <c r="AD41" s="1109"/>
      <c r="AE41" s="1130"/>
      <c r="AF41" s="1109"/>
      <c r="AG41" s="1130"/>
      <c r="AH41" s="1109"/>
      <c r="AI41" s="1130"/>
      <c r="AJ41" s="1109"/>
      <c r="AK41" s="1130"/>
      <c r="AL41" s="1109"/>
      <c r="AM41" s="1130"/>
      <c r="AN41" s="1109"/>
      <c r="AO41" s="1130"/>
      <c r="AP41" s="1109"/>
      <c r="AQ41" s="1131"/>
      <c r="AR41" s="1132"/>
      <c r="AS41" s="1131"/>
      <c r="AT41" s="1129"/>
      <c r="AU41" s="1130"/>
      <c r="AV41" s="1109"/>
      <c r="AW41" s="1113"/>
      <c r="AX41" s="1193" t="str">
        <f t="shared" si="56"/>
        <v/>
      </c>
      <c r="AY41" s="1193"/>
      <c r="AZ41" s="1193"/>
      <c r="BA41" s="1193"/>
      <c r="BB41" s="1193"/>
      <c r="BC41" s="1193"/>
      <c r="BD41" s="1193"/>
      <c r="BE41" s="1193"/>
      <c r="BF41" s="1193"/>
      <c r="BG41" s="1193"/>
      <c r="BH41" s="1193"/>
      <c r="BI41" s="1187"/>
      <c r="BJ41" s="1187"/>
      <c r="BK41" s="1187"/>
      <c r="BL41" s="1187"/>
      <c r="BU41" s="1580"/>
      <c r="BV41" s="1580"/>
      <c r="BW41" s="1580"/>
      <c r="CA41" s="2235" t="str">
        <f t="shared" si="57"/>
        <v/>
      </c>
      <c r="CB41" s="2235" t="str">
        <f t="shared" si="58"/>
        <v/>
      </c>
      <c r="CC41" s="2235" t="str">
        <f t="shared" si="59"/>
        <v/>
      </c>
      <c r="CD41" s="2235" t="str">
        <f t="shared" si="60"/>
        <v/>
      </c>
      <c r="CE41" s="2235" t="str">
        <f t="shared" si="61"/>
        <v/>
      </c>
      <c r="CF41" s="2235" t="str">
        <f t="shared" si="83"/>
        <v/>
      </c>
      <c r="CG41" s="2235" t="str">
        <f t="shared" si="84"/>
        <v/>
      </c>
      <c r="CH41" s="2235" t="str">
        <f t="shared" si="85"/>
        <v/>
      </c>
      <c r="CI41" s="2235" t="str">
        <f t="shared" si="86"/>
        <v/>
      </c>
      <c r="CJ41" s="2235" t="str">
        <f t="shared" si="87"/>
        <v/>
      </c>
      <c r="CK41" s="2235" t="str">
        <f t="shared" si="88"/>
        <v/>
      </c>
      <c r="CL41" s="2235" t="str">
        <f t="shared" si="89"/>
        <v/>
      </c>
      <c r="CM41" s="2235" t="str">
        <f t="shared" si="90"/>
        <v/>
      </c>
      <c r="CN41" s="2235" t="str">
        <f t="shared" si="91"/>
        <v/>
      </c>
      <c r="CO41" s="2235" t="str">
        <f t="shared" si="92"/>
        <v/>
      </c>
      <c r="CP41" s="2235" t="str">
        <f t="shared" si="93"/>
        <v/>
      </c>
      <c r="CQ41" s="2235" t="str">
        <f t="shared" si="94"/>
        <v/>
      </c>
      <c r="CR41" s="2235" t="str">
        <f t="shared" si="95"/>
        <v/>
      </c>
      <c r="CS41" s="2235" t="str">
        <f t="shared" si="96"/>
        <v/>
      </c>
      <c r="CT41" s="2235" t="str">
        <f t="shared" si="97"/>
        <v/>
      </c>
      <c r="CU41" s="2235" t="str">
        <f t="shared" si="98"/>
        <v/>
      </c>
      <c r="CV41" s="2235" t="str">
        <f t="shared" si="99"/>
        <v/>
      </c>
      <c r="CW41" s="2235" t="str">
        <f t="shared" si="100"/>
        <v/>
      </c>
      <c r="CX41" s="2235" t="str">
        <f t="shared" si="101"/>
        <v/>
      </c>
      <c r="CY41" s="2235" t="str">
        <f t="shared" si="102"/>
        <v/>
      </c>
      <c r="CZ41" s="2235" t="str">
        <f t="shared" si="103"/>
        <v/>
      </c>
      <c r="DA41" s="1468">
        <f t="shared" si="104"/>
        <v>0</v>
      </c>
      <c r="DB41" s="1468">
        <f t="shared" si="105"/>
        <v>0</v>
      </c>
      <c r="DC41" s="1468">
        <f t="shared" si="106"/>
        <v>0</v>
      </c>
      <c r="DD41" s="1468">
        <f t="shared" si="107"/>
        <v>0</v>
      </c>
      <c r="DE41" s="1468">
        <f t="shared" si="108"/>
        <v>0</v>
      </c>
      <c r="DF41" s="1468">
        <f t="shared" si="62"/>
        <v>0</v>
      </c>
      <c r="DG41" s="1468">
        <f t="shared" si="63"/>
        <v>0</v>
      </c>
      <c r="DH41" s="1468">
        <f t="shared" si="64"/>
        <v>0</v>
      </c>
      <c r="DI41" s="1468">
        <f t="shared" si="65"/>
        <v>0</v>
      </c>
      <c r="DJ41" s="1468">
        <f t="shared" si="66"/>
        <v>0</v>
      </c>
      <c r="DK41" s="1468">
        <f t="shared" si="67"/>
        <v>0</v>
      </c>
      <c r="DL41" s="1468">
        <f t="shared" si="68"/>
        <v>0</v>
      </c>
      <c r="DM41" s="1468">
        <f t="shared" si="69"/>
        <v>0</v>
      </c>
      <c r="DN41" s="1468">
        <f t="shared" si="70"/>
        <v>0</v>
      </c>
      <c r="DO41" s="1468">
        <f t="shared" si="71"/>
        <v>0</v>
      </c>
      <c r="DP41" s="1468">
        <f t="shared" si="72"/>
        <v>0</v>
      </c>
      <c r="DQ41" s="1468">
        <f t="shared" si="73"/>
        <v>0</v>
      </c>
      <c r="DR41" s="1468">
        <f t="shared" si="74"/>
        <v>0</v>
      </c>
      <c r="DS41" s="1468">
        <f t="shared" si="75"/>
        <v>0</v>
      </c>
      <c r="DT41" s="1468">
        <f t="shared" si="76"/>
        <v>0</v>
      </c>
      <c r="DU41" s="1468">
        <f t="shared" si="77"/>
        <v>0</v>
      </c>
      <c r="DV41" s="1468">
        <f t="shared" si="78"/>
        <v>0</v>
      </c>
      <c r="DW41" s="1468">
        <f t="shared" si="79"/>
        <v>0</v>
      </c>
      <c r="DX41" s="1468">
        <f t="shared" si="80"/>
        <v>0</v>
      </c>
      <c r="DY41" s="1468">
        <f t="shared" si="81"/>
        <v>0</v>
      </c>
      <c r="DZ41" s="1468">
        <f t="shared" si="82"/>
        <v>0</v>
      </c>
    </row>
    <row r="42" spans="1:130" ht="16.149999999999999" customHeight="1" x14ac:dyDescent="0.25">
      <c r="A42" s="2040" t="s">
        <v>1790</v>
      </c>
      <c r="B42" s="2038">
        <f>+D42+F42+H42+J42+L42+N42+P42+R42+T42+V42+X42+Z42+AB42+AD42+AF42+AH42+AJ42+AL42+AN42+AP42</f>
        <v>0</v>
      </c>
      <c r="C42" s="2084">
        <f>+E42+G42+I42+K42+M42+O42+Q42+S42+U42+W42+Y42+AA42+AC42+AE42+AG42+AI42+AK42+AM42+AO42+AQ42</f>
        <v>0</v>
      </c>
      <c r="D42" s="1129"/>
      <c r="E42" s="1130"/>
      <c r="F42" s="1109"/>
      <c r="G42" s="1130"/>
      <c r="H42" s="1109"/>
      <c r="I42" s="1113"/>
      <c r="J42" s="1129"/>
      <c r="K42" s="1129"/>
      <c r="L42" s="1109"/>
      <c r="M42" s="1113"/>
      <c r="N42" s="1129"/>
      <c r="O42" s="1130"/>
      <c r="P42" s="1109"/>
      <c r="Q42" s="1130"/>
      <c r="R42" s="1109"/>
      <c r="S42" s="1130"/>
      <c r="T42" s="1109"/>
      <c r="U42" s="1130"/>
      <c r="V42" s="1109"/>
      <c r="W42" s="1130"/>
      <c r="X42" s="1109"/>
      <c r="Y42" s="1130"/>
      <c r="Z42" s="1109"/>
      <c r="AA42" s="1130"/>
      <c r="AB42" s="1109"/>
      <c r="AC42" s="1130"/>
      <c r="AD42" s="1109"/>
      <c r="AE42" s="1130"/>
      <c r="AF42" s="1109"/>
      <c r="AG42" s="1130"/>
      <c r="AH42" s="1109"/>
      <c r="AI42" s="1130"/>
      <c r="AJ42" s="1109"/>
      <c r="AK42" s="1130"/>
      <c r="AL42" s="1109"/>
      <c r="AM42" s="1130"/>
      <c r="AN42" s="1109"/>
      <c r="AO42" s="1130"/>
      <c r="AP42" s="1109"/>
      <c r="AQ42" s="1131"/>
      <c r="AR42" s="1132"/>
      <c r="AS42" s="1131"/>
      <c r="AT42" s="1129"/>
      <c r="AU42" s="1130"/>
      <c r="AV42" s="1109"/>
      <c r="AW42" s="1113"/>
      <c r="AX42" s="1193" t="str">
        <f t="shared" si="56"/>
        <v/>
      </c>
      <c r="AY42" s="1193"/>
      <c r="AZ42" s="1193"/>
      <c r="BA42" s="1193"/>
      <c r="BB42" s="1193"/>
      <c r="BC42" s="1193"/>
      <c r="BD42" s="1193"/>
      <c r="BE42" s="1193"/>
      <c r="BF42" s="1193"/>
      <c r="BG42" s="1193"/>
      <c r="BH42" s="1193"/>
      <c r="BI42" s="1187"/>
      <c r="BJ42" s="1187"/>
      <c r="BK42" s="1187"/>
      <c r="BL42" s="1187"/>
      <c r="BU42" s="1580"/>
      <c r="BV42" s="1580"/>
      <c r="BW42" s="1580"/>
      <c r="CA42" s="2235" t="str">
        <f t="shared" si="57"/>
        <v/>
      </c>
      <c r="CB42" s="2235" t="str">
        <f t="shared" si="58"/>
        <v/>
      </c>
      <c r="CC42" s="2235" t="str">
        <f t="shared" si="59"/>
        <v/>
      </c>
      <c r="CD42" s="2235" t="str">
        <f t="shared" si="60"/>
        <v/>
      </c>
      <c r="CE42" s="2235" t="str">
        <f t="shared" si="61"/>
        <v/>
      </c>
      <c r="CF42" s="2235" t="str">
        <f t="shared" si="83"/>
        <v/>
      </c>
      <c r="CG42" s="2235" t="str">
        <f t="shared" si="84"/>
        <v/>
      </c>
      <c r="CH42" s="2235" t="str">
        <f t="shared" si="85"/>
        <v/>
      </c>
      <c r="CI42" s="2235" t="str">
        <f t="shared" si="86"/>
        <v/>
      </c>
      <c r="CJ42" s="2235" t="str">
        <f t="shared" si="87"/>
        <v/>
      </c>
      <c r="CK42" s="2235" t="str">
        <f t="shared" si="88"/>
        <v/>
      </c>
      <c r="CL42" s="2235" t="str">
        <f t="shared" si="89"/>
        <v/>
      </c>
      <c r="CM42" s="2235" t="str">
        <f t="shared" si="90"/>
        <v/>
      </c>
      <c r="CN42" s="2235" t="str">
        <f t="shared" si="91"/>
        <v/>
      </c>
      <c r="CO42" s="2235" t="str">
        <f t="shared" si="92"/>
        <v/>
      </c>
      <c r="CP42" s="2235" t="str">
        <f t="shared" si="93"/>
        <v/>
      </c>
      <c r="CQ42" s="2235" t="str">
        <f t="shared" si="94"/>
        <v/>
      </c>
      <c r="CR42" s="2235" t="str">
        <f t="shared" si="95"/>
        <v/>
      </c>
      <c r="CS42" s="2235" t="str">
        <f t="shared" si="96"/>
        <v/>
      </c>
      <c r="CT42" s="2235" t="str">
        <f t="shared" si="97"/>
        <v/>
      </c>
      <c r="CU42" s="2235" t="str">
        <f t="shared" si="98"/>
        <v/>
      </c>
      <c r="CV42" s="2235" t="str">
        <f t="shared" si="99"/>
        <v/>
      </c>
      <c r="CW42" s="2235" t="str">
        <f t="shared" si="100"/>
        <v/>
      </c>
      <c r="CX42" s="2235" t="str">
        <f t="shared" si="101"/>
        <v/>
      </c>
      <c r="CY42" s="2235" t="str">
        <f t="shared" si="102"/>
        <v/>
      </c>
      <c r="CZ42" s="2235" t="str">
        <f t="shared" si="103"/>
        <v/>
      </c>
      <c r="DA42" s="1468">
        <f t="shared" si="104"/>
        <v>0</v>
      </c>
      <c r="DB42" s="1468">
        <f t="shared" si="105"/>
        <v>0</v>
      </c>
      <c r="DC42" s="1468">
        <f t="shared" si="106"/>
        <v>0</v>
      </c>
      <c r="DD42" s="1468">
        <f t="shared" si="107"/>
        <v>0</v>
      </c>
      <c r="DE42" s="1468">
        <f t="shared" si="108"/>
        <v>0</v>
      </c>
      <c r="DF42" s="1468">
        <f t="shared" si="62"/>
        <v>0</v>
      </c>
      <c r="DG42" s="1468">
        <f t="shared" si="63"/>
        <v>0</v>
      </c>
      <c r="DH42" s="1468">
        <f t="shared" si="64"/>
        <v>0</v>
      </c>
      <c r="DI42" s="1468">
        <f t="shared" si="65"/>
        <v>0</v>
      </c>
      <c r="DJ42" s="1468">
        <f t="shared" si="66"/>
        <v>0</v>
      </c>
      <c r="DK42" s="1468">
        <f t="shared" si="67"/>
        <v>0</v>
      </c>
      <c r="DL42" s="1468">
        <f t="shared" si="68"/>
        <v>0</v>
      </c>
      <c r="DM42" s="1468">
        <f t="shared" si="69"/>
        <v>0</v>
      </c>
      <c r="DN42" s="1468">
        <f t="shared" si="70"/>
        <v>0</v>
      </c>
      <c r="DO42" s="1468">
        <f t="shared" si="71"/>
        <v>0</v>
      </c>
      <c r="DP42" s="1468">
        <f t="shared" si="72"/>
        <v>0</v>
      </c>
      <c r="DQ42" s="1468">
        <f t="shared" si="73"/>
        <v>0</v>
      </c>
      <c r="DR42" s="1468">
        <f t="shared" si="74"/>
        <v>0</v>
      </c>
      <c r="DS42" s="1468">
        <f t="shared" si="75"/>
        <v>0</v>
      </c>
      <c r="DT42" s="1468">
        <f t="shared" si="76"/>
        <v>0</v>
      </c>
      <c r="DU42" s="1468">
        <f t="shared" si="77"/>
        <v>0</v>
      </c>
      <c r="DV42" s="1468">
        <f t="shared" si="78"/>
        <v>0</v>
      </c>
      <c r="DW42" s="1468">
        <f t="shared" si="79"/>
        <v>0</v>
      </c>
      <c r="DX42" s="1468">
        <f t="shared" si="80"/>
        <v>0</v>
      </c>
      <c r="DY42" s="1468">
        <f t="shared" si="81"/>
        <v>0</v>
      </c>
      <c r="DZ42" s="1468">
        <f t="shared" si="82"/>
        <v>0</v>
      </c>
    </row>
    <row r="43" spans="1:130" ht="24" customHeight="1" x14ac:dyDescent="0.25">
      <c r="A43" s="2085" t="s">
        <v>1791</v>
      </c>
      <c r="B43" s="2038">
        <f>+D43+F43+H43</f>
        <v>0</v>
      </c>
      <c r="C43" s="2084">
        <f>+E43+G43+I43</f>
        <v>0</v>
      </c>
      <c r="D43" s="1129"/>
      <c r="E43" s="1130"/>
      <c r="F43" s="1109"/>
      <c r="G43" s="1130"/>
      <c r="H43" s="1109"/>
      <c r="I43" s="1113"/>
      <c r="J43" s="1135"/>
      <c r="K43" s="1136"/>
      <c r="L43" s="1135"/>
      <c r="M43" s="1136"/>
      <c r="N43" s="1135"/>
      <c r="O43" s="1136"/>
      <c r="P43" s="1135"/>
      <c r="Q43" s="1136"/>
      <c r="R43" s="1135"/>
      <c r="S43" s="1136"/>
      <c r="T43" s="1135"/>
      <c r="U43" s="1136"/>
      <c r="V43" s="1135"/>
      <c r="W43" s="1136"/>
      <c r="X43" s="1135"/>
      <c r="Y43" s="1136"/>
      <c r="Z43" s="1135"/>
      <c r="AA43" s="1136"/>
      <c r="AB43" s="1135"/>
      <c r="AC43" s="1136"/>
      <c r="AD43" s="1135"/>
      <c r="AE43" s="1136"/>
      <c r="AF43" s="1135"/>
      <c r="AG43" s="1136"/>
      <c r="AH43" s="1135"/>
      <c r="AI43" s="1136"/>
      <c r="AJ43" s="1135"/>
      <c r="AK43" s="1136"/>
      <c r="AL43" s="1135"/>
      <c r="AM43" s="1136"/>
      <c r="AN43" s="1135"/>
      <c r="AO43" s="1136"/>
      <c r="AP43" s="1135"/>
      <c r="AQ43" s="1137"/>
      <c r="AR43" s="1129"/>
      <c r="AS43" s="1131"/>
      <c r="AT43" s="1129"/>
      <c r="AU43" s="1130"/>
      <c r="AV43" s="1109"/>
      <c r="AW43" s="1113"/>
      <c r="AX43" s="1193" t="str">
        <f t="shared" si="56"/>
        <v/>
      </c>
      <c r="AY43" s="1193"/>
      <c r="AZ43" s="1193"/>
      <c r="BA43" s="1193"/>
      <c r="BB43" s="1193"/>
      <c r="BC43" s="1193"/>
      <c r="BD43" s="1193"/>
      <c r="BE43" s="1193"/>
      <c r="BF43" s="1193"/>
      <c r="BG43" s="1193"/>
      <c r="BH43" s="1193"/>
      <c r="BI43" s="1187"/>
      <c r="BJ43" s="1187"/>
      <c r="BK43" s="1187"/>
      <c r="BL43" s="1187"/>
      <c r="BU43" s="1580"/>
      <c r="BV43" s="1580"/>
      <c r="BW43" s="1580"/>
      <c r="CA43" s="2235" t="str">
        <f t="shared" si="57"/>
        <v/>
      </c>
      <c r="CB43" s="2235" t="str">
        <f t="shared" si="58"/>
        <v/>
      </c>
      <c r="CC43" s="2235" t="str">
        <f t="shared" si="59"/>
        <v/>
      </c>
      <c r="CD43" s="2235" t="str">
        <f t="shared" si="60"/>
        <v/>
      </c>
      <c r="CE43" s="2235" t="str">
        <f t="shared" si="61"/>
        <v/>
      </c>
      <c r="CF43" s="2235" t="str">
        <f t="shared" si="83"/>
        <v/>
      </c>
      <c r="CG43" s="2235" t="str">
        <f t="shared" si="84"/>
        <v/>
      </c>
      <c r="CH43" s="2235" t="str">
        <f t="shared" si="85"/>
        <v/>
      </c>
      <c r="CI43" s="2235" t="str">
        <f t="shared" si="86"/>
        <v/>
      </c>
      <c r="CJ43" s="2235" t="str">
        <f t="shared" si="87"/>
        <v/>
      </c>
      <c r="CK43" s="2235" t="str">
        <f t="shared" si="88"/>
        <v/>
      </c>
      <c r="CL43" s="2235" t="str">
        <f t="shared" si="89"/>
        <v/>
      </c>
      <c r="CM43" s="2235" t="str">
        <f t="shared" si="90"/>
        <v/>
      </c>
      <c r="CN43" s="2235" t="str">
        <f t="shared" si="91"/>
        <v/>
      </c>
      <c r="CO43" s="2235" t="str">
        <f t="shared" si="92"/>
        <v/>
      </c>
      <c r="CP43" s="2235" t="str">
        <f t="shared" si="93"/>
        <v/>
      </c>
      <c r="CQ43" s="2235" t="str">
        <f t="shared" si="94"/>
        <v/>
      </c>
      <c r="CR43" s="2235" t="str">
        <f t="shared" si="95"/>
        <v/>
      </c>
      <c r="CS43" s="2235" t="str">
        <f t="shared" si="96"/>
        <v/>
      </c>
      <c r="CT43" s="2235" t="str">
        <f t="shared" si="97"/>
        <v/>
      </c>
      <c r="CU43" s="2235" t="str">
        <f t="shared" si="98"/>
        <v/>
      </c>
      <c r="CV43" s="2235" t="str">
        <f t="shared" si="99"/>
        <v/>
      </c>
      <c r="CW43" s="2235" t="str">
        <f t="shared" si="100"/>
        <v/>
      </c>
      <c r="CX43" s="2235" t="str">
        <f t="shared" si="101"/>
        <v/>
      </c>
      <c r="CY43" s="2235" t="str">
        <f t="shared" si="102"/>
        <v/>
      </c>
      <c r="CZ43" s="2235" t="str">
        <f t="shared" si="103"/>
        <v/>
      </c>
      <c r="DA43" s="1468">
        <f t="shared" si="104"/>
        <v>0</v>
      </c>
      <c r="DB43" s="1468">
        <f t="shared" si="105"/>
        <v>0</v>
      </c>
      <c r="DC43" s="1468">
        <f t="shared" si="106"/>
        <v>0</v>
      </c>
      <c r="DD43" s="1468">
        <f t="shared" si="107"/>
        <v>0</v>
      </c>
      <c r="DE43" s="1468">
        <f t="shared" si="108"/>
        <v>0</v>
      </c>
      <c r="DF43" s="1468">
        <f t="shared" si="62"/>
        <v>0</v>
      </c>
      <c r="DG43" s="1468">
        <f t="shared" si="63"/>
        <v>0</v>
      </c>
      <c r="DH43" s="1468">
        <f t="shared" si="64"/>
        <v>0</v>
      </c>
      <c r="DI43" s="1468">
        <f t="shared" si="65"/>
        <v>0</v>
      </c>
      <c r="DJ43" s="1468">
        <f t="shared" si="66"/>
        <v>0</v>
      </c>
      <c r="DK43" s="1468">
        <f t="shared" si="67"/>
        <v>0</v>
      </c>
      <c r="DL43" s="1468">
        <f t="shared" si="68"/>
        <v>0</v>
      </c>
      <c r="DM43" s="1468">
        <f t="shared" si="69"/>
        <v>0</v>
      </c>
      <c r="DN43" s="1468">
        <f t="shared" si="70"/>
        <v>0</v>
      </c>
      <c r="DO43" s="1468">
        <f t="shared" si="71"/>
        <v>0</v>
      </c>
      <c r="DP43" s="1468">
        <f t="shared" si="72"/>
        <v>0</v>
      </c>
      <c r="DQ43" s="1468">
        <f t="shared" si="73"/>
        <v>0</v>
      </c>
      <c r="DR43" s="1468">
        <f t="shared" si="74"/>
        <v>0</v>
      </c>
      <c r="DS43" s="1468">
        <f t="shared" si="75"/>
        <v>0</v>
      </c>
      <c r="DT43" s="1468">
        <f t="shared" si="76"/>
        <v>0</v>
      </c>
      <c r="DU43" s="1468">
        <f t="shared" si="77"/>
        <v>0</v>
      </c>
      <c r="DV43" s="1468">
        <f t="shared" si="78"/>
        <v>0</v>
      </c>
      <c r="DW43" s="1468">
        <f t="shared" si="79"/>
        <v>0</v>
      </c>
      <c r="DX43" s="1468">
        <f t="shared" si="80"/>
        <v>0</v>
      </c>
      <c r="DY43" s="1468">
        <f t="shared" si="81"/>
        <v>0</v>
      </c>
      <c r="DZ43" s="1468">
        <f t="shared" si="82"/>
        <v>0</v>
      </c>
    </row>
    <row r="44" spans="1:130" ht="15" customHeight="1" x14ac:dyDescent="0.25">
      <c r="A44" s="2085" t="s">
        <v>1792</v>
      </c>
      <c r="B44" s="2038">
        <f>+P44+R44+T44+V44+X44+Z44+AB44+AD44+AF44+AH44+AJ44+AL44+AN44+AP44</f>
        <v>0</v>
      </c>
      <c r="C44" s="2084">
        <f>+Q44+S44+U44+W44+Y44+AA44+AC44+AE44+AG44+AI44+AK44+AM44+AO44+AQ44</f>
        <v>0</v>
      </c>
      <c r="D44" s="1125"/>
      <c r="E44" s="1126"/>
      <c r="F44" s="1127"/>
      <c r="G44" s="1126"/>
      <c r="H44" s="1127"/>
      <c r="I44" s="1126"/>
      <c r="J44" s="1127"/>
      <c r="K44" s="1126"/>
      <c r="L44" s="1127"/>
      <c r="M44" s="1128"/>
      <c r="N44" s="1125"/>
      <c r="O44" s="1126"/>
      <c r="P44" s="1109"/>
      <c r="Q44" s="1130"/>
      <c r="R44" s="1109"/>
      <c r="S44" s="1130"/>
      <c r="T44" s="1109"/>
      <c r="U44" s="1130"/>
      <c r="V44" s="1109"/>
      <c r="W44" s="1130"/>
      <c r="X44" s="1109"/>
      <c r="Y44" s="1130"/>
      <c r="Z44" s="1109"/>
      <c r="AA44" s="1130"/>
      <c r="AB44" s="1109"/>
      <c r="AC44" s="1130"/>
      <c r="AD44" s="1109"/>
      <c r="AE44" s="1130"/>
      <c r="AF44" s="1109"/>
      <c r="AG44" s="1130"/>
      <c r="AH44" s="1109"/>
      <c r="AI44" s="1130"/>
      <c r="AJ44" s="1109"/>
      <c r="AK44" s="1130"/>
      <c r="AL44" s="1109"/>
      <c r="AM44" s="1130"/>
      <c r="AN44" s="1109"/>
      <c r="AO44" s="1130"/>
      <c r="AP44" s="1109"/>
      <c r="AQ44" s="1131"/>
      <c r="AR44" s="1129"/>
      <c r="AS44" s="1131"/>
      <c r="AT44" s="1129"/>
      <c r="AU44" s="1130"/>
      <c r="AV44" s="1109"/>
      <c r="AW44" s="1113"/>
      <c r="AX44" s="1193" t="str">
        <f t="shared" si="56"/>
        <v/>
      </c>
      <c r="AY44" s="1193"/>
      <c r="AZ44" s="1193"/>
      <c r="BA44" s="1193"/>
      <c r="BB44" s="1193"/>
      <c r="BC44" s="1193"/>
      <c r="BD44" s="1193"/>
      <c r="BE44" s="1193"/>
      <c r="BF44" s="1193"/>
      <c r="BG44" s="1193"/>
      <c r="BH44" s="1193"/>
      <c r="BI44" s="1187"/>
      <c r="BJ44" s="1187"/>
      <c r="BK44" s="1187"/>
      <c r="BL44" s="1187"/>
      <c r="BU44" s="1580"/>
      <c r="BV44" s="1580"/>
      <c r="BW44" s="1580"/>
      <c r="CA44" s="2235" t="str">
        <f t="shared" si="57"/>
        <v/>
      </c>
      <c r="CB44" s="2235" t="str">
        <f t="shared" si="58"/>
        <v/>
      </c>
      <c r="CC44" s="2235" t="str">
        <f t="shared" si="59"/>
        <v/>
      </c>
      <c r="CD44" s="2235" t="str">
        <f t="shared" si="60"/>
        <v/>
      </c>
      <c r="CE44" s="2235" t="str">
        <f t="shared" si="61"/>
        <v/>
      </c>
      <c r="CF44" s="2235" t="str">
        <f t="shared" si="83"/>
        <v/>
      </c>
      <c r="CG44" s="2235" t="str">
        <f t="shared" si="84"/>
        <v/>
      </c>
      <c r="CH44" s="2235" t="str">
        <f t="shared" si="85"/>
        <v/>
      </c>
      <c r="CI44" s="2235" t="str">
        <f t="shared" si="86"/>
        <v/>
      </c>
      <c r="CJ44" s="2235" t="str">
        <f t="shared" si="87"/>
        <v/>
      </c>
      <c r="CK44" s="2235" t="str">
        <f t="shared" si="88"/>
        <v/>
      </c>
      <c r="CL44" s="2235" t="str">
        <f t="shared" si="89"/>
        <v/>
      </c>
      <c r="CM44" s="2235" t="str">
        <f t="shared" si="90"/>
        <v/>
      </c>
      <c r="CN44" s="2235" t="str">
        <f t="shared" si="91"/>
        <v/>
      </c>
      <c r="CO44" s="2235" t="str">
        <f t="shared" si="92"/>
        <v/>
      </c>
      <c r="CP44" s="2235" t="str">
        <f t="shared" si="93"/>
        <v/>
      </c>
      <c r="CQ44" s="2235" t="str">
        <f t="shared" si="94"/>
        <v/>
      </c>
      <c r="CR44" s="2235" t="str">
        <f t="shared" si="95"/>
        <v/>
      </c>
      <c r="CS44" s="2235" t="str">
        <f t="shared" si="96"/>
        <v/>
      </c>
      <c r="CT44" s="2235" t="str">
        <f t="shared" si="97"/>
        <v/>
      </c>
      <c r="CU44" s="2235" t="str">
        <f t="shared" si="98"/>
        <v/>
      </c>
      <c r="CV44" s="2235" t="str">
        <f t="shared" si="99"/>
        <v/>
      </c>
      <c r="CW44" s="2235" t="str">
        <f t="shared" si="100"/>
        <v/>
      </c>
      <c r="CX44" s="2235" t="str">
        <f t="shared" si="101"/>
        <v/>
      </c>
      <c r="CY44" s="2235" t="str">
        <f t="shared" si="102"/>
        <v/>
      </c>
      <c r="CZ44" s="2235" t="str">
        <f t="shared" si="103"/>
        <v/>
      </c>
      <c r="DA44" s="1468">
        <f t="shared" si="104"/>
        <v>0</v>
      </c>
      <c r="DB44" s="1468">
        <f t="shared" si="105"/>
        <v>0</v>
      </c>
      <c r="DC44" s="1468">
        <f t="shared" si="106"/>
        <v>0</v>
      </c>
      <c r="DD44" s="1468">
        <f t="shared" si="107"/>
        <v>0</v>
      </c>
      <c r="DE44" s="1468">
        <f t="shared" si="108"/>
        <v>0</v>
      </c>
      <c r="DF44" s="1468">
        <f t="shared" si="62"/>
        <v>0</v>
      </c>
      <c r="DG44" s="1468">
        <f t="shared" si="63"/>
        <v>0</v>
      </c>
      <c r="DH44" s="1468">
        <f t="shared" si="64"/>
        <v>0</v>
      </c>
      <c r="DI44" s="1468">
        <f t="shared" si="65"/>
        <v>0</v>
      </c>
      <c r="DJ44" s="1468">
        <f t="shared" si="66"/>
        <v>0</v>
      </c>
      <c r="DK44" s="1468">
        <f t="shared" si="67"/>
        <v>0</v>
      </c>
      <c r="DL44" s="1468">
        <f t="shared" si="68"/>
        <v>0</v>
      </c>
      <c r="DM44" s="1468">
        <f t="shared" si="69"/>
        <v>0</v>
      </c>
      <c r="DN44" s="1468">
        <f t="shared" si="70"/>
        <v>0</v>
      </c>
      <c r="DO44" s="1468">
        <f t="shared" si="71"/>
        <v>0</v>
      </c>
      <c r="DP44" s="1468">
        <f t="shared" si="72"/>
        <v>0</v>
      </c>
      <c r="DQ44" s="1468">
        <f t="shared" si="73"/>
        <v>0</v>
      </c>
      <c r="DR44" s="1468">
        <f t="shared" si="74"/>
        <v>0</v>
      </c>
      <c r="DS44" s="1468">
        <f t="shared" si="75"/>
        <v>0</v>
      </c>
      <c r="DT44" s="1468">
        <f t="shared" si="76"/>
        <v>0</v>
      </c>
      <c r="DU44" s="1468">
        <f t="shared" si="77"/>
        <v>0</v>
      </c>
      <c r="DV44" s="1468">
        <f t="shared" si="78"/>
        <v>0</v>
      </c>
      <c r="DW44" s="1468">
        <f t="shared" si="79"/>
        <v>0</v>
      </c>
      <c r="DX44" s="1468">
        <f t="shared" si="80"/>
        <v>0</v>
      </c>
      <c r="DY44" s="1468">
        <f t="shared" si="81"/>
        <v>0</v>
      </c>
      <c r="DZ44" s="1468">
        <f t="shared" si="82"/>
        <v>0</v>
      </c>
    </row>
    <row r="45" spans="1:130" ht="16.149999999999999" customHeight="1" x14ac:dyDescent="0.25">
      <c r="A45" s="2040" t="s">
        <v>1793</v>
      </c>
      <c r="B45" s="2038">
        <f>+N45+P45+R45+T45+V45+X45+Z45+AB45+AD45+AF45+AH45+AJ45+AL45+AN45+AP45</f>
        <v>0</v>
      </c>
      <c r="C45" s="2084">
        <f>+O45+Q45+S45+U45+W45+Y45+AA45+AC45+AE45+AG45+AI45+AK45+AM45+AO45+AQ45</f>
        <v>0</v>
      </c>
      <c r="D45" s="1132"/>
      <c r="E45" s="1136"/>
      <c r="F45" s="1135"/>
      <c r="G45" s="1136"/>
      <c r="H45" s="1135"/>
      <c r="I45" s="1138"/>
      <c r="J45" s="1132"/>
      <c r="K45" s="1132"/>
      <c r="L45" s="1135"/>
      <c r="M45" s="1138"/>
      <c r="N45" s="1129"/>
      <c r="O45" s="1130"/>
      <c r="P45" s="1109"/>
      <c r="Q45" s="1130"/>
      <c r="R45" s="1109"/>
      <c r="S45" s="1130"/>
      <c r="T45" s="1109"/>
      <c r="U45" s="1130"/>
      <c r="V45" s="1109"/>
      <c r="W45" s="1130"/>
      <c r="X45" s="1109"/>
      <c r="Y45" s="1130"/>
      <c r="Z45" s="1109"/>
      <c r="AA45" s="1130"/>
      <c r="AB45" s="1109"/>
      <c r="AC45" s="1130"/>
      <c r="AD45" s="1109"/>
      <c r="AE45" s="1130"/>
      <c r="AF45" s="1109"/>
      <c r="AG45" s="1130"/>
      <c r="AH45" s="1109"/>
      <c r="AI45" s="1130"/>
      <c r="AJ45" s="1109"/>
      <c r="AK45" s="1130"/>
      <c r="AL45" s="1109"/>
      <c r="AM45" s="1130"/>
      <c r="AN45" s="1109"/>
      <c r="AO45" s="1130"/>
      <c r="AP45" s="1109"/>
      <c r="AQ45" s="1131"/>
      <c r="AR45" s="1129"/>
      <c r="AS45" s="1131"/>
      <c r="AT45" s="1129"/>
      <c r="AU45" s="1130"/>
      <c r="AV45" s="1109"/>
      <c r="AW45" s="1113"/>
      <c r="AX45" s="1193" t="str">
        <f t="shared" si="56"/>
        <v/>
      </c>
      <c r="AY45" s="1193"/>
      <c r="AZ45" s="1193"/>
      <c r="BA45" s="1193"/>
      <c r="BB45" s="1193"/>
      <c r="BC45" s="1193"/>
      <c r="BD45" s="1193"/>
      <c r="BE45" s="1193"/>
      <c r="BF45" s="1193"/>
      <c r="BG45" s="1193"/>
      <c r="BH45" s="1193"/>
      <c r="BI45" s="1187"/>
      <c r="BJ45" s="1187"/>
      <c r="BK45" s="1187"/>
      <c r="BL45" s="1187"/>
      <c r="BU45" s="1580"/>
      <c r="BV45" s="1580"/>
      <c r="BW45" s="1580"/>
      <c r="CA45" s="2235" t="str">
        <f t="shared" si="57"/>
        <v/>
      </c>
      <c r="CB45" s="2235" t="str">
        <f t="shared" si="58"/>
        <v/>
      </c>
      <c r="CC45" s="2235" t="str">
        <f t="shared" si="59"/>
        <v/>
      </c>
      <c r="CD45" s="2235" t="str">
        <f t="shared" si="60"/>
        <v/>
      </c>
      <c r="CE45" s="2235" t="str">
        <f t="shared" si="61"/>
        <v/>
      </c>
      <c r="CF45" s="2235" t="str">
        <f t="shared" si="83"/>
        <v/>
      </c>
      <c r="CG45" s="2235" t="str">
        <f t="shared" si="84"/>
        <v/>
      </c>
      <c r="CH45" s="2235" t="str">
        <f t="shared" si="85"/>
        <v/>
      </c>
      <c r="CI45" s="2235" t="str">
        <f t="shared" si="86"/>
        <v/>
      </c>
      <c r="CJ45" s="2235" t="str">
        <f t="shared" si="87"/>
        <v/>
      </c>
      <c r="CK45" s="2235" t="str">
        <f t="shared" si="88"/>
        <v/>
      </c>
      <c r="CL45" s="2235" t="str">
        <f t="shared" si="89"/>
        <v/>
      </c>
      <c r="CM45" s="2235" t="str">
        <f t="shared" si="90"/>
        <v/>
      </c>
      <c r="CN45" s="2235" t="str">
        <f t="shared" si="91"/>
        <v/>
      </c>
      <c r="CO45" s="2235" t="str">
        <f t="shared" si="92"/>
        <v/>
      </c>
      <c r="CP45" s="2235" t="str">
        <f t="shared" si="93"/>
        <v/>
      </c>
      <c r="CQ45" s="2235" t="str">
        <f t="shared" si="94"/>
        <v/>
      </c>
      <c r="CR45" s="2235" t="str">
        <f t="shared" si="95"/>
        <v/>
      </c>
      <c r="CS45" s="2235" t="str">
        <f t="shared" si="96"/>
        <v/>
      </c>
      <c r="CT45" s="2235" t="str">
        <f t="shared" si="97"/>
        <v/>
      </c>
      <c r="CU45" s="2235" t="str">
        <f t="shared" si="98"/>
        <v/>
      </c>
      <c r="CV45" s="2235" t="str">
        <f t="shared" si="99"/>
        <v/>
      </c>
      <c r="CW45" s="2235" t="str">
        <f t="shared" si="100"/>
        <v/>
      </c>
      <c r="CX45" s="2235" t="str">
        <f t="shared" si="101"/>
        <v/>
      </c>
      <c r="CY45" s="2235" t="str">
        <f t="shared" si="102"/>
        <v/>
      </c>
      <c r="CZ45" s="2235" t="str">
        <f t="shared" si="103"/>
        <v/>
      </c>
      <c r="DA45" s="1468">
        <f t="shared" si="104"/>
        <v>0</v>
      </c>
      <c r="DB45" s="1468">
        <f t="shared" si="105"/>
        <v>0</v>
      </c>
      <c r="DC45" s="1468">
        <f t="shared" si="106"/>
        <v>0</v>
      </c>
      <c r="DD45" s="1468">
        <f t="shared" si="107"/>
        <v>0</v>
      </c>
      <c r="DE45" s="1468">
        <f t="shared" si="108"/>
        <v>0</v>
      </c>
      <c r="DF45" s="1468">
        <f t="shared" si="62"/>
        <v>0</v>
      </c>
      <c r="DG45" s="1468">
        <f t="shared" si="63"/>
        <v>0</v>
      </c>
      <c r="DH45" s="1468">
        <f t="shared" si="64"/>
        <v>0</v>
      </c>
      <c r="DI45" s="1468">
        <f t="shared" si="65"/>
        <v>0</v>
      </c>
      <c r="DJ45" s="1468">
        <f t="shared" si="66"/>
        <v>0</v>
      </c>
      <c r="DK45" s="1468">
        <f t="shared" si="67"/>
        <v>0</v>
      </c>
      <c r="DL45" s="1468">
        <f t="shared" si="68"/>
        <v>0</v>
      </c>
      <c r="DM45" s="1468">
        <f t="shared" si="69"/>
        <v>0</v>
      </c>
      <c r="DN45" s="1468">
        <f t="shared" si="70"/>
        <v>0</v>
      </c>
      <c r="DO45" s="1468">
        <f t="shared" si="71"/>
        <v>0</v>
      </c>
      <c r="DP45" s="1468">
        <f t="shared" si="72"/>
        <v>0</v>
      </c>
      <c r="DQ45" s="1468">
        <f t="shared" si="73"/>
        <v>0</v>
      </c>
      <c r="DR45" s="1468">
        <f t="shared" si="74"/>
        <v>0</v>
      </c>
      <c r="DS45" s="1468">
        <f t="shared" si="75"/>
        <v>0</v>
      </c>
      <c r="DT45" s="1468">
        <f t="shared" si="76"/>
        <v>0</v>
      </c>
      <c r="DU45" s="1468">
        <f t="shared" si="77"/>
        <v>0</v>
      </c>
      <c r="DV45" s="1468">
        <f t="shared" si="78"/>
        <v>0</v>
      </c>
      <c r="DW45" s="1468">
        <f t="shared" si="79"/>
        <v>0</v>
      </c>
      <c r="DX45" s="1468">
        <f t="shared" si="80"/>
        <v>0</v>
      </c>
      <c r="DY45" s="1468">
        <f t="shared" si="81"/>
        <v>0</v>
      </c>
      <c r="DZ45" s="1468">
        <f t="shared" si="82"/>
        <v>0</v>
      </c>
    </row>
    <row r="46" spans="1:130" ht="16.149999999999999" customHeight="1" x14ac:dyDescent="0.25">
      <c r="A46" s="2040" t="s">
        <v>1794</v>
      </c>
      <c r="B46" s="2038">
        <f>+D46+F46+H46+J46+L46+N46+P46+R46+T46+V46+X46+Z46+AB46+AD46+AF46+AH46+AJ46+AL46+AN46+AP46</f>
        <v>0</v>
      </c>
      <c r="C46" s="2084">
        <f>+E46+G46+I46+K46+M46+O46+Q46+S46+U46+W46+Y46+AA46+AC46+AE46+AG46+AI46+AK46+AM46+AO46+AQ46</f>
        <v>0</v>
      </c>
      <c r="D46" s="1129"/>
      <c r="E46" s="1130"/>
      <c r="F46" s="1109"/>
      <c r="G46" s="1130"/>
      <c r="H46" s="1109"/>
      <c r="I46" s="1113"/>
      <c r="J46" s="1129"/>
      <c r="K46" s="1129"/>
      <c r="L46" s="1109"/>
      <c r="M46" s="1113"/>
      <c r="N46" s="1129"/>
      <c r="O46" s="1130"/>
      <c r="P46" s="1109"/>
      <c r="Q46" s="1130"/>
      <c r="R46" s="1109"/>
      <c r="S46" s="1130"/>
      <c r="T46" s="1109"/>
      <c r="U46" s="1130"/>
      <c r="V46" s="1109"/>
      <c r="W46" s="1130"/>
      <c r="X46" s="1109"/>
      <c r="Y46" s="1130"/>
      <c r="Z46" s="1109"/>
      <c r="AA46" s="1130"/>
      <c r="AB46" s="1109"/>
      <c r="AC46" s="1130"/>
      <c r="AD46" s="1109"/>
      <c r="AE46" s="1130"/>
      <c r="AF46" s="1109"/>
      <c r="AG46" s="1130"/>
      <c r="AH46" s="1109"/>
      <c r="AI46" s="1130"/>
      <c r="AJ46" s="1109"/>
      <c r="AK46" s="1130"/>
      <c r="AL46" s="1109"/>
      <c r="AM46" s="1130"/>
      <c r="AN46" s="1109"/>
      <c r="AO46" s="1130"/>
      <c r="AP46" s="1109"/>
      <c r="AQ46" s="1131"/>
      <c r="AR46" s="1129"/>
      <c r="AS46" s="1131"/>
      <c r="AT46" s="1129"/>
      <c r="AU46" s="1130"/>
      <c r="AV46" s="1109"/>
      <c r="AW46" s="1113"/>
      <c r="AX46" s="1193" t="str">
        <f t="shared" si="56"/>
        <v/>
      </c>
      <c r="AY46" s="1193"/>
      <c r="AZ46" s="1193"/>
      <c r="BA46" s="1193"/>
      <c r="BB46" s="1193"/>
      <c r="BC46" s="1193"/>
      <c r="BD46" s="1193"/>
      <c r="BE46" s="1193"/>
      <c r="BF46" s="1193"/>
      <c r="BG46" s="1193"/>
      <c r="BH46" s="1193"/>
      <c r="BI46" s="1187"/>
      <c r="BJ46" s="1187"/>
      <c r="BK46" s="1187"/>
      <c r="BL46" s="1187"/>
      <c r="BU46" s="1580"/>
      <c r="BV46" s="1580"/>
      <c r="BW46" s="1580"/>
      <c r="CA46" s="2235" t="str">
        <f t="shared" si="57"/>
        <v/>
      </c>
      <c r="CB46" s="2235" t="str">
        <f t="shared" si="58"/>
        <v/>
      </c>
      <c r="CC46" s="2235" t="str">
        <f t="shared" si="59"/>
        <v/>
      </c>
      <c r="CD46" s="2235" t="str">
        <f t="shared" si="60"/>
        <v/>
      </c>
      <c r="CE46" s="2235" t="str">
        <f t="shared" si="61"/>
        <v/>
      </c>
      <c r="CF46" s="2235" t="str">
        <f t="shared" si="83"/>
        <v/>
      </c>
      <c r="CG46" s="2235" t="str">
        <f t="shared" si="84"/>
        <v/>
      </c>
      <c r="CH46" s="2235" t="str">
        <f t="shared" si="85"/>
        <v/>
      </c>
      <c r="CI46" s="2235" t="str">
        <f t="shared" si="86"/>
        <v/>
      </c>
      <c r="CJ46" s="2235" t="str">
        <f t="shared" si="87"/>
        <v/>
      </c>
      <c r="CK46" s="2235" t="str">
        <f t="shared" si="88"/>
        <v/>
      </c>
      <c r="CL46" s="2235" t="str">
        <f t="shared" si="89"/>
        <v/>
      </c>
      <c r="CM46" s="2235" t="str">
        <f t="shared" si="90"/>
        <v/>
      </c>
      <c r="CN46" s="2235" t="str">
        <f t="shared" si="91"/>
        <v/>
      </c>
      <c r="CO46" s="2235" t="str">
        <f t="shared" si="92"/>
        <v/>
      </c>
      <c r="CP46" s="2235" t="str">
        <f t="shared" si="93"/>
        <v/>
      </c>
      <c r="CQ46" s="2235" t="str">
        <f t="shared" si="94"/>
        <v/>
      </c>
      <c r="CR46" s="2235" t="str">
        <f t="shared" si="95"/>
        <v/>
      </c>
      <c r="CS46" s="2235" t="str">
        <f t="shared" si="96"/>
        <v/>
      </c>
      <c r="CT46" s="2235" t="str">
        <f t="shared" si="97"/>
        <v/>
      </c>
      <c r="CU46" s="2235" t="str">
        <f t="shared" si="98"/>
        <v/>
      </c>
      <c r="CV46" s="2235" t="str">
        <f t="shared" si="99"/>
        <v/>
      </c>
      <c r="CW46" s="2235" t="str">
        <f t="shared" si="100"/>
        <v/>
      </c>
      <c r="CX46" s="2235" t="str">
        <f t="shared" si="101"/>
        <v/>
      </c>
      <c r="CY46" s="2235" t="str">
        <f t="shared" si="102"/>
        <v/>
      </c>
      <c r="CZ46" s="2235" t="str">
        <f t="shared" si="103"/>
        <v/>
      </c>
      <c r="DA46" s="1468">
        <f t="shared" si="104"/>
        <v>0</v>
      </c>
      <c r="DB46" s="1468">
        <f t="shared" si="105"/>
        <v>0</v>
      </c>
      <c r="DC46" s="1468">
        <f t="shared" si="106"/>
        <v>0</v>
      </c>
      <c r="DD46" s="1468">
        <f t="shared" si="107"/>
        <v>0</v>
      </c>
      <c r="DE46" s="1468">
        <f t="shared" si="108"/>
        <v>0</v>
      </c>
      <c r="DF46" s="1468">
        <f t="shared" si="62"/>
        <v>0</v>
      </c>
      <c r="DG46" s="1468">
        <f t="shared" si="63"/>
        <v>0</v>
      </c>
      <c r="DH46" s="1468">
        <f t="shared" si="64"/>
        <v>0</v>
      </c>
      <c r="DI46" s="1468">
        <f t="shared" si="65"/>
        <v>0</v>
      </c>
      <c r="DJ46" s="1468">
        <f t="shared" si="66"/>
        <v>0</v>
      </c>
      <c r="DK46" s="1468">
        <f t="shared" si="67"/>
        <v>0</v>
      </c>
      <c r="DL46" s="1468">
        <f t="shared" si="68"/>
        <v>0</v>
      </c>
      <c r="DM46" s="1468">
        <f t="shared" si="69"/>
        <v>0</v>
      </c>
      <c r="DN46" s="1468">
        <f t="shared" si="70"/>
        <v>0</v>
      </c>
      <c r="DO46" s="1468">
        <f t="shared" si="71"/>
        <v>0</v>
      </c>
      <c r="DP46" s="1468">
        <f t="shared" si="72"/>
        <v>0</v>
      </c>
      <c r="DQ46" s="1468">
        <f t="shared" si="73"/>
        <v>0</v>
      </c>
      <c r="DR46" s="1468">
        <f t="shared" si="74"/>
        <v>0</v>
      </c>
      <c r="DS46" s="1468">
        <f t="shared" si="75"/>
        <v>0</v>
      </c>
      <c r="DT46" s="1468">
        <f t="shared" si="76"/>
        <v>0</v>
      </c>
      <c r="DU46" s="1468">
        <f t="shared" si="77"/>
        <v>0</v>
      </c>
      <c r="DV46" s="1468">
        <f t="shared" si="78"/>
        <v>0</v>
      </c>
      <c r="DW46" s="1468">
        <f t="shared" si="79"/>
        <v>0</v>
      </c>
      <c r="DX46" s="1468">
        <f t="shared" si="80"/>
        <v>0</v>
      </c>
      <c r="DY46" s="1468">
        <f t="shared" si="81"/>
        <v>0</v>
      </c>
      <c r="DZ46" s="1468">
        <f t="shared" si="82"/>
        <v>0</v>
      </c>
    </row>
    <row r="47" spans="1:130" ht="16.149999999999999" customHeight="1" x14ac:dyDescent="0.25">
      <c r="A47" s="2072" t="s">
        <v>2179</v>
      </c>
      <c r="B47" s="2038">
        <f>+P47+R47+T47+V47+X47+Z47+AB47+AD47+AF47+AH47+AJ47+AL47+AN47+AP47</f>
        <v>0</v>
      </c>
      <c r="C47" s="2084">
        <f>+Q47+S47+U47+W47+Y47+AA47+AC47+AE47+AG47+AI47+AK47+AM47+AO47+AQ47</f>
        <v>0</v>
      </c>
      <c r="D47" s="1125"/>
      <c r="E47" s="1126"/>
      <c r="F47" s="1127"/>
      <c r="G47" s="1126"/>
      <c r="H47" s="1127"/>
      <c r="I47" s="1126"/>
      <c r="J47" s="1127"/>
      <c r="K47" s="1126"/>
      <c r="L47" s="1127"/>
      <c r="M47" s="1128"/>
      <c r="N47" s="1125"/>
      <c r="O47" s="1126"/>
      <c r="P47" s="1109"/>
      <c r="Q47" s="1130"/>
      <c r="R47" s="1109"/>
      <c r="S47" s="1130"/>
      <c r="T47" s="1109"/>
      <c r="U47" s="1130"/>
      <c r="V47" s="1109"/>
      <c r="W47" s="1130"/>
      <c r="X47" s="1109"/>
      <c r="Y47" s="1130"/>
      <c r="Z47" s="1109"/>
      <c r="AA47" s="1130"/>
      <c r="AB47" s="1109"/>
      <c r="AC47" s="1130"/>
      <c r="AD47" s="1109"/>
      <c r="AE47" s="1130"/>
      <c r="AF47" s="1109"/>
      <c r="AG47" s="1130"/>
      <c r="AH47" s="1109"/>
      <c r="AI47" s="1130"/>
      <c r="AJ47" s="1109"/>
      <c r="AK47" s="1130"/>
      <c r="AL47" s="1109"/>
      <c r="AM47" s="1130"/>
      <c r="AN47" s="1109"/>
      <c r="AO47" s="1130"/>
      <c r="AP47" s="1109"/>
      <c r="AQ47" s="1131"/>
      <c r="AR47" s="1129"/>
      <c r="AS47" s="1131"/>
      <c r="AT47" s="1129"/>
      <c r="AU47" s="1130"/>
      <c r="AV47" s="1109"/>
      <c r="AW47" s="1113"/>
      <c r="AX47" s="1193" t="str">
        <f t="shared" si="56"/>
        <v/>
      </c>
      <c r="AY47" s="1193"/>
      <c r="AZ47" s="1193"/>
      <c r="BA47" s="1193"/>
      <c r="BB47" s="1193"/>
      <c r="BC47" s="1193"/>
      <c r="BD47" s="1193"/>
      <c r="BE47" s="1193"/>
      <c r="BF47" s="1193"/>
      <c r="BG47" s="1193"/>
      <c r="BH47" s="1193"/>
      <c r="BI47" s="1187"/>
      <c r="BJ47" s="1187"/>
      <c r="BK47" s="1187"/>
      <c r="BL47" s="1187"/>
      <c r="BU47" s="1580"/>
      <c r="BV47" s="1580"/>
      <c r="BW47" s="1580"/>
      <c r="CA47" s="2235" t="str">
        <f t="shared" si="57"/>
        <v/>
      </c>
      <c r="CB47" s="2235" t="str">
        <f t="shared" si="58"/>
        <v/>
      </c>
      <c r="CC47" s="2235" t="str">
        <f t="shared" si="59"/>
        <v/>
      </c>
      <c r="CD47" s="2235" t="str">
        <f t="shared" si="60"/>
        <v/>
      </c>
      <c r="CE47" s="2235" t="str">
        <f t="shared" si="61"/>
        <v/>
      </c>
      <c r="CF47" s="2235" t="str">
        <f t="shared" si="83"/>
        <v/>
      </c>
      <c r="CG47" s="2235" t="str">
        <f t="shared" si="84"/>
        <v/>
      </c>
      <c r="CH47" s="2235" t="str">
        <f t="shared" si="85"/>
        <v/>
      </c>
      <c r="CI47" s="2235" t="str">
        <f t="shared" si="86"/>
        <v/>
      </c>
      <c r="CJ47" s="2235" t="str">
        <f t="shared" si="87"/>
        <v/>
      </c>
      <c r="CK47" s="2235" t="str">
        <f t="shared" si="88"/>
        <v/>
      </c>
      <c r="CL47" s="2235" t="str">
        <f t="shared" si="89"/>
        <v/>
      </c>
      <c r="CM47" s="2235" t="str">
        <f t="shared" si="90"/>
        <v/>
      </c>
      <c r="CN47" s="2235" t="str">
        <f t="shared" si="91"/>
        <v/>
      </c>
      <c r="CO47" s="2235" t="str">
        <f t="shared" si="92"/>
        <v/>
      </c>
      <c r="CP47" s="2235" t="str">
        <f t="shared" si="93"/>
        <v/>
      </c>
      <c r="CQ47" s="2235" t="str">
        <f t="shared" si="94"/>
        <v/>
      </c>
      <c r="CR47" s="2235" t="str">
        <f t="shared" si="95"/>
        <v/>
      </c>
      <c r="CS47" s="2235" t="str">
        <f t="shared" si="96"/>
        <v/>
      </c>
      <c r="CT47" s="2235" t="str">
        <f t="shared" si="97"/>
        <v/>
      </c>
      <c r="CU47" s="2235" t="str">
        <f t="shared" si="98"/>
        <v/>
      </c>
      <c r="CV47" s="2235" t="str">
        <f t="shared" si="99"/>
        <v/>
      </c>
      <c r="CW47" s="2235" t="str">
        <f t="shared" si="100"/>
        <v/>
      </c>
      <c r="CX47" s="2235" t="str">
        <f t="shared" si="101"/>
        <v/>
      </c>
      <c r="CY47" s="2235" t="str">
        <f t="shared" si="102"/>
        <v/>
      </c>
      <c r="CZ47" s="2235" t="str">
        <f t="shared" si="103"/>
        <v/>
      </c>
      <c r="DA47" s="1468">
        <f t="shared" si="104"/>
        <v>0</v>
      </c>
      <c r="DB47" s="1468">
        <f t="shared" si="105"/>
        <v>0</v>
      </c>
      <c r="DC47" s="1468">
        <f t="shared" si="106"/>
        <v>0</v>
      </c>
      <c r="DD47" s="1468">
        <f t="shared" si="107"/>
        <v>0</v>
      </c>
      <c r="DE47" s="1468">
        <f t="shared" si="108"/>
        <v>0</v>
      </c>
      <c r="DF47" s="1468">
        <f t="shared" si="62"/>
        <v>0</v>
      </c>
      <c r="DG47" s="1468">
        <f t="shared" si="63"/>
        <v>0</v>
      </c>
      <c r="DH47" s="1468">
        <f t="shared" si="64"/>
        <v>0</v>
      </c>
      <c r="DI47" s="1468">
        <f t="shared" si="65"/>
        <v>0</v>
      </c>
      <c r="DJ47" s="1468">
        <f t="shared" si="66"/>
        <v>0</v>
      </c>
      <c r="DK47" s="1468">
        <f t="shared" si="67"/>
        <v>0</v>
      </c>
      <c r="DL47" s="1468">
        <f t="shared" si="68"/>
        <v>0</v>
      </c>
      <c r="DM47" s="1468">
        <f t="shared" si="69"/>
        <v>0</v>
      </c>
      <c r="DN47" s="1468">
        <f t="shared" si="70"/>
        <v>0</v>
      </c>
      <c r="DO47" s="1468">
        <f t="shared" si="71"/>
        <v>0</v>
      </c>
      <c r="DP47" s="1468">
        <f t="shared" si="72"/>
        <v>0</v>
      </c>
      <c r="DQ47" s="1468">
        <f t="shared" si="73"/>
        <v>0</v>
      </c>
      <c r="DR47" s="1468">
        <f t="shared" si="74"/>
        <v>0</v>
      </c>
      <c r="DS47" s="1468">
        <f t="shared" si="75"/>
        <v>0</v>
      </c>
      <c r="DT47" s="1468">
        <f t="shared" si="76"/>
        <v>0</v>
      </c>
      <c r="DU47" s="1468">
        <f t="shared" si="77"/>
        <v>0</v>
      </c>
      <c r="DV47" s="1468">
        <f t="shared" si="78"/>
        <v>0</v>
      </c>
      <c r="DW47" s="1468">
        <f t="shared" si="79"/>
        <v>0</v>
      </c>
      <c r="DX47" s="1468">
        <f t="shared" si="80"/>
        <v>0</v>
      </c>
      <c r="DY47" s="1468">
        <f t="shared" si="81"/>
        <v>0</v>
      </c>
      <c r="DZ47" s="1468">
        <f t="shared" si="82"/>
        <v>0</v>
      </c>
    </row>
    <row r="48" spans="1:130" ht="16.149999999999999" customHeight="1" x14ac:dyDescent="0.25">
      <c r="A48" s="2040" t="s">
        <v>1795</v>
      </c>
      <c r="B48" s="2038">
        <f>+P48+R48+T48+V48+X48+Z48+AB48+AD48+AF48+AH48</f>
        <v>0</v>
      </c>
      <c r="C48" s="2084">
        <f>+Q48+S48+U48+W48+Y48+AA48+AC48+AE48+AG48+AI48</f>
        <v>0</v>
      </c>
      <c r="D48" s="1125"/>
      <c r="E48" s="1126"/>
      <c r="F48" s="1127"/>
      <c r="G48" s="1126"/>
      <c r="H48" s="1127"/>
      <c r="I48" s="1126"/>
      <c r="J48" s="1127"/>
      <c r="K48" s="1126"/>
      <c r="L48" s="1127"/>
      <c r="M48" s="1128"/>
      <c r="N48" s="1125"/>
      <c r="O48" s="1126"/>
      <c r="P48" s="1109"/>
      <c r="Q48" s="1130"/>
      <c r="R48" s="1109"/>
      <c r="S48" s="1130"/>
      <c r="T48" s="1109"/>
      <c r="U48" s="1130"/>
      <c r="V48" s="1109"/>
      <c r="W48" s="1130"/>
      <c r="X48" s="1109"/>
      <c r="Y48" s="1130"/>
      <c r="Z48" s="1109"/>
      <c r="AA48" s="1130"/>
      <c r="AB48" s="1109"/>
      <c r="AC48" s="1130"/>
      <c r="AD48" s="1109"/>
      <c r="AE48" s="1130"/>
      <c r="AF48" s="1109"/>
      <c r="AG48" s="1130"/>
      <c r="AH48" s="1109"/>
      <c r="AI48" s="1130"/>
      <c r="AJ48" s="1127"/>
      <c r="AK48" s="1126"/>
      <c r="AL48" s="1127"/>
      <c r="AM48" s="1126"/>
      <c r="AN48" s="1127"/>
      <c r="AO48" s="1126"/>
      <c r="AP48" s="1127"/>
      <c r="AQ48" s="1139"/>
      <c r="AR48" s="1129"/>
      <c r="AS48" s="1131"/>
      <c r="AT48" s="1129"/>
      <c r="AU48" s="1130"/>
      <c r="AV48" s="1109"/>
      <c r="AW48" s="1113"/>
      <c r="AX48" s="1193" t="str">
        <f t="shared" si="56"/>
        <v/>
      </c>
      <c r="AY48" s="1193"/>
      <c r="AZ48" s="1193"/>
      <c r="BA48" s="1193"/>
      <c r="BB48" s="1193"/>
      <c r="BC48" s="1193"/>
      <c r="BD48" s="1193"/>
      <c r="BE48" s="1193"/>
      <c r="BF48" s="1193"/>
      <c r="BG48" s="1193"/>
      <c r="BH48" s="1193"/>
      <c r="BI48" s="1187"/>
      <c r="BJ48" s="1187"/>
      <c r="BK48" s="1187"/>
      <c r="BL48" s="1187"/>
      <c r="BU48" s="1580"/>
      <c r="BV48" s="1580"/>
      <c r="BW48" s="1580"/>
      <c r="CA48" s="2235" t="str">
        <f t="shared" si="57"/>
        <v/>
      </c>
      <c r="CB48" s="2235" t="str">
        <f t="shared" si="58"/>
        <v/>
      </c>
      <c r="CC48" s="2235" t="str">
        <f t="shared" si="59"/>
        <v/>
      </c>
      <c r="CD48" s="2235" t="str">
        <f t="shared" si="60"/>
        <v/>
      </c>
      <c r="CE48" s="2235" t="str">
        <f t="shared" si="61"/>
        <v/>
      </c>
      <c r="CF48" s="2235" t="str">
        <f t="shared" si="83"/>
        <v/>
      </c>
      <c r="CG48" s="2235" t="str">
        <f t="shared" si="84"/>
        <v/>
      </c>
      <c r="CH48" s="2235" t="str">
        <f t="shared" si="85"/>
        <v/>
      </c>
      <c r="CI48" s="2235" t="str">
        <f t="shared" si="86"/>
        <v/>
      </c>
      <c r="CJ48" s="2235" t="str">
        <f t="shared" si="87"/>
        <v/>
      </c>
      <c r="CK48" s="2235" t="str">
        <f t="shared" si="88"/>
        <v/>
      </c>
      <c r="CL48" s="2235" t="str">
        <f t="shared" si="89"/>
        <v/>
      </c>
      <c r="CM48" s="2235" t="str">
        <f t="shared" si="90"/>
        <v/>
      </c>
      <c r="CN48" s="2235" t="str">
        <f t="shared" si="91"/>
        <v/>
      </c>
      <c r="CO48" s="2235" t="str">
        <f t="shared" si="92"/>
        <v/>
      </c>
      <c r="CP48" s="2235" t="str">
        <f t="shared" si="93"/>
        <v/>
      </c>
      <c r="CQ48" s="2235" t="str">
        <f t="shared" si="94"/>
        <v/>
      </c>
      <c r="CR48" s="2235" t="str">
        <f t="shared" si="95"/>
        <v/>
      </c>
      <c r="CS48" s="2235" t="str">
        <f t="shared" si="96"/>
        <v/>
      </c>
      <c r="CT48" s="2235" t="str">
        <f t="shared" si="97"/>
        <v/>
      </c>
      <c r="CU48" s="2235" t="str">
        <f t="shared" si="98"/>
        <v/>
      </c>
      <c r="CV48" s="2235" t="str">
        <f t="shared" si="99"/>
        <v/>
      </c>
      <c r="CW48" s="2235" t="str">
        <f t="shared" si="100"/>
        <v/>
      </c>
      <c r="CX48" s="2235" t="str">
        <f t="shared" si="101"/>
        <v/>
      </c>
      <c r="CY48" s="2235" t="str">
        <f t="shared" si="102"/>
        <v/>
      </c>
      <c r="CZ48" s="2235" t="str">
        <f t="shared" si="103"/>
        <v/>
      </c>
      <c r="DA48" s="1468">
        <f t="shared" si="104"/>
        <v>0</v>
      </c>
      <c r="DB48" s="1468">
        <f t="shared" si="105"/>
        <v>0</v>
      </c>
      <c r="DC48" s="1468">
        <f t="shared" si="106"/>
        <v>0</v>
      </c>
      <c r="DD48" s="1468">
        <f t="shared" si="107"/>
        <v>0</v>
      </c>
      <c r="DE48" s="1468">
        <f t="shared" si="108"/>
        <v>0</v>
      </c>
      <c r="DF48" s="1468">
        <f t="shared" si="62"/>
        <v>0</v>
      </c>
      <c r="DG48" s="1468">
        <f t="shared" si="63"/>
        <v>0</v>
      </c>
      <c r="DH48" s="1468">
        <f t="shared" si="64"/>
        <v>0</v>
      </c>
      <c r="DI48" s="1468">
        <f t="shared" si="65"/>
        <v>0</v>
      </c>
      <c r="DJ48" s="1468">
        <f t="shared" si="66"/>
        <v>0</v>
      </c>
      <c r="DK48" s="1468">
        <f t="shared" si="67"/>
        <v>0</v>
      </c>
      <c r="DL48" s="1468">
        <f t="shared" si="68"/>
        <v>0</v>
      </c>
      <c r="DM48" s="1468">
        <f t="shared" si="69"/>
        <v>0</v>
      </c>
      <c r="DN48" s="1468">
        <f t="shared" si="70"/>
        <v>0</v>
      </c>
      <c r="DO48" s="1468">
        <f t="shared" si="71"/>
        <v>0</v>
      </c>
      <c r="DP48" s="1468">
        <f t="shared" si="72"/>
        <v>0</v>
      </c>
      <c r="DQ48" s="1468">
        <f t="shared" si="73"/>
        <v>0</v>
      </c>
      <c r="DR48" s="1468">
        <f t="shared" si="74"/>
        <v>0</v>
      </c>
      <c r="DS48" s="1468">
        <f t="shared" si="75"/>
        <v>0</v>
      </c>
      <c r="DT48" s="1468">
        <f t="shared" si="76"/>
        <v>0</v>
      </c>
      <c r="DU48" s="1468">
        <f t="shared" si="77"/>
        <v>0</v>
      </c>
      <c r="DV48" s="1468">
        <f t="shared" si="78"/>
        <v>0</v>
      </c>
      <c r="DW48" s="1468">
        <f t="shared" si="79"/>
        <v>0</v>
      </c>
      <c r="DX48" s="1468">
        <f t="shared" si="80"/>
        <v>0</v>
      </c>
      <c r="DY48" s="1468">
        <f t="shared" si="81"/>
        <v>0</v>
      </c>
      <c r="DZ48" s="1468">
        <f t="shared" si="82"/>
        <v>0</v>
      </c>
    </row>
    <row r="49" spans="1:130" ht="16.149999999999999" customHeight="1" x14ac:dyDescent="0.25">
      <c r="A49" s="2040" t="s">
        <v>1796</v>
      </c>
      <c r="B49" s="2038">
        <f t="shared" ref="B49:C51" si="109">+D49+F49+H49+J49+L49+N49+P49+R49+T49+V49+X49+Z49+AB49+AD49+AF49+AH49+AJ49+AL49+AN49+AP49</f>
        <v>0</v>
      </c>
      <c r="C49" s="2084">
        <f t="shared" si="109"/>
        <v>0</v>
      </c>
      <c r="D49" s="1129"/>
      <c r="E49" s="1130"/>
      <c r="F49" s="1109"/>
      <c r="G49" s="1130"/>
      <c r="H49" s="1109"/>
      <c r="I49" s="1113"/>
      <c r="J49" s="1129"/>
      <c r="K49" s="1129"/>
      <c r="L49" s="1109"/>
      <c r="M49" s="1113"/>
      <c r="N49" s="1129"/>
      <c r="O49" s="1130"/>
      <c r="P49" s="1109"/>
      <c r="Q49" s="1130"/>
      <c r="R49" s="1109"/>
      <c r="S49" s="1130"/>
      <c r="T49" s="1109"/>
      <c r="U49" s="1130"/>
      <c r="V49" s="1109"/>
      <c r="W49" s="1130"/>
      <c r="X49" s="1109"/>
      <c r="Y49" s="1130"/>
      <c r="Z49" s="1109"/>
      <c r="AA49" s="1130"/>
      <c r="AB49" s="1109"/>
      <c r="AC49" s="1130"/>
      <c r="AD49" s="1109"/>
      <c r="AE49" s="1130"/>
      <c r="AF49" s="1109"/>
      <c r="AG49" s="1130"/>
      <c r="AH49" s="1109"/>
      <c r="AI49" s="1130"/>
      <c r="AJ49" s="1109"/>
      <c r="AK49" s="1130"/>
      <c r="AL49" s="1109"/>
      <c r="AM49" s="1130"/>
      <c r="AN49" s="1109"/>
      <c r="AO49" s="1130"/>
      <c r="AP49" s="1109"/>
      <c r="AQ49" s="1131"/>
      <c r="AR49" s="1129"/>
      <c r="AS49" s="1131"/>
      <c r="AT49" s="1129"/>
      <c r="AU49" s="1130"/>
      <c r="AV49" s="1109"/>
      <c r="AW49" s="1113"/>
      <c r="AX49" s="1193" t="str">
        <f t="shared" si="56"/>
        <v/>
      </c>
      <c r="AY49" s="1193"/>
      <c r="AZ49" s="1193"/>
      <c r="BA49" s="1193"/>
      <c r="BB49" s="1193"/>
      <c r="BC49" s="1193"/>
      <c r="BD49" s="1193"/>
      <c r="BE49" s="1193"/>
      <c r="BF49" s="1193"/>
      <c r="BG49" s="1193"/>
      <c r="BH49" s="1193"/>
      <c r="BI49" s="1187"/>
      <c r="BJ49" s="1187"/>
      <c r="BK49" s="1187"/>
      <c r="BL49" s="1187"/>
      <c r="BU49" s="1580"/>
      <c r="BV49" s="1580"/>
      <c r="BW49" s="1580"/>
      <c r="CA49" s="2235" t="str">
        <f t="shared" si="57"/>
        <v/>
      </c>
      <c r="CB49" s="2235" t="str">
        <f t="shared" si="58"/>
        <v/>
      </c>
      <c r="CC49" s="2235" t="str">
        <f t="shared" si="59"/>
        <v/>
      </c>
      <c r="CD49" s="2235" t="str">
        <f t="shared" si="60"/>
        <v/>
      </c>
      <c r="CE49" s="2235" t="str">
        <f t="shared" si="61"/>
        <v/>
      </c>
      <c r="CF49" s="2235" t="str">
        <f t="shared" si="83"/>
        <v/>
      </c>
      <c r="CG49" s="2235" t="str">
        <f t="shared" si="84"/>
        <v/>
      </c>
      <c r="CH49" s="2235" t="str">
        <f t="shared" si="85"/>
        <v/>
      </c>
      <c r="CI49" s="2235" t="str">
        <f t="shared" si="86"/>
        <v/>
      </c>
      <c r="CJ49" s="2235" t="str">
        <f t="shared" si="87"/>
        <v/>
      </c>
      <c r="CK49" s="2235" t="str">
        <f t="shared" si="88"/>
        <v/>
      </c>
      <c r="CL49" s="2235" t="str">
        <f t="shared" si="89"/>
        <v/>
      </c>
      <c r="CM49" s="2235" t="str">
        <f t="shared" si="90"/>
        <v/>
      </c>
      <c r="CN49" s="2235" t="str">
        <f t="shared" si="91"/>
        <v/>
      </c>
      <c r="CO49" s="2235" t="str">
        <f t="shared" si="92"/>
        <v/>
      </c>
      <c r="CP49" s="2235" t="str">
        <f t="shared" si="93"/>
        <v/>
      </c>
      <c r="CQ49" s="2235" t="str">
        <f t="shared" si="94"/>
        <v/>
      </c>
      <c r="CR49" s="2235" t="str">
        <f t="shared" si="95"/>
        <v/>
      </c>
      <c r="CS49" s="2235" t="str">
        <f t="shared" si="96"/>
        <v/>
      </c>
      <c r="CT49" s="2235" t="str">
        <f t="shared" si="97"/>
        <v/>
      </c>
      <c r="CU49" s="2235" t="str">
        <f t="shared" si="98"/>
        <v/>
      </c>
      <c r="CV49" s="2235" t="str">
        <f t="shared" si="99"/>
        <v/>
      </c>
      <c r="CW49" s="2235" t="str">
        <f t="shared" si="100"/>
        <v/>
      </c>
      <c r="CX49" s="2235" t="str">
        <f t="shared" si="101"/>
        <v/>
      </c>
      <c r="CY49" s="2235" t="str">
        <f t="shared" si="102"/>
        <v/>
      </c>
      <c r="CZ49" s="2235" t="str">
        <f t="shared" si="103"/>
        <v/>
      </c>
      <c r="DA49" s="1468">
        <f t="shared" si="104"/>
        <v>0</v>
      </c>
      <c r="DB49" s="1468">
        <f t="shared" si="105"/>
        <v>0</v>
      </c>
      <c r="DC49" s="1468">
        <f t="shared" si="106"/>
        <v>0</v>
      </c>
      <c r="DD49" s="1468">
        <f t="shared" si="107"/>
        <v>0</v>
      </c>
      <c r="DE49" s="1468">
        <f t="shared" si="108"/>
        <v>0</v>
      </c>
      <c r="DF49" s="1468">
        <f t="shared" si="62"/>
        <v>0</v>
      </c>
      <c r="DG49" s="1468">
        <f t="shared" si="63"/>
        <v>0</v>
      </c>
      <c r="DH49" s="1468">
        <f t="shared" si="64"/>
        <v>0</v>
      </c>
      <c r="DI49" s="1468">
        <f t="shared" si="65"/>
        <v>0</v>
      </c>
      <c r="DJ49" s="1468">
        <f t="shared" si="66"/>
        <v>0</v>
      </c>
      <c r="DK49" s="1468">
        <f t="shared" si="67"/>
        <v>0</v>
      </c>
      <c r="DL49" s="1468">
        <f t="shared" si="68"/>
        <v>0</v>
      </c>
      <c r="DM49" s="1468">
        <f t="shared" si="69"/>
        <v>0</v>
      </c>
      <c r="DN49" s="1468">
        <f t="shared" si="70"/>
        <v>0</v>
      </c>
      <c r="DO49" s="1468">
        <f t="shared" si="71"/>
        <v>0</v>
      </c>
      <c r="DP49" s="1468">
        <f t="shared" si="72"/>
        <v>0</v>
      </c>
      <c r="DQ49" s="1468">
        <f t="shared" si="73"/>
        <v>0</v>
      </c>
      <c r="DR49" s="1468">
        <f t="shared" si="74"/>
        <v>0</v>
      </c>
      <c r="DS49" s="1468">
        <f t="shared" si="75"/>
        <v>0</v>
      </c>
      <c r="DT49" s="1468">
        <f t="shared" si="76"/>
        <v>0</v>
      </c>
      <c r="DU49" s="1468">
        <f t="shared" si="77"/>
        <v>0</v>
      </c>
      <c r="DV49" s="1468">
        <f t="shared" si="78"/>
        <v>0</v>
      </c>
      <c r="DW49" s="1468">
        <f t="shared" si="79"/>
        <v>0</v>
      </c>
      <c r="DX49" s="1468">
        <f t="shared" si="80"/>
        <v>0</v>
      </c>
      <c r="DY49" s="1468">
        <f t="shared" si="81"/>
        <v>0</v>
      </c>
      <c r="DZ49" s="1468">
        <f t="shared" si="82"/>
        <v>0</v>
      </c>
    </row>
    <row r="50" spans="1:130" ht="16.149999999999999" customHeight="1" x14ac:dyDescent="0.25">
      <c r="A50" s="2040" t="s">
        <v>1797</v>
      </c>
      <c r="B50" s="2038">
        <f t="shared" si="109"/>
        <v>0</v>
      </c>
      <c r="C50" s="2084">
        <f t="shared" si="109"/>
        <v>0</v>
      </c>
      <c r="D50" s="1129"/>
      <c r="E50" s="1130"/>
      <c r="F50" s="1109"/>
      <c r="G50" s="1130"/>
      <c r="H50" s="1109"/>
      <c r="I50" s="1113"/>
      <c r="J50" s="1129"/>
      <c r="K50" s="1129"/>
      <c r="L50" s="1109"/>
      <c r="M50" s="1113"/>
      <c r="N50" s="1129"/>
      <c r="O50" s="1130"/>
      <c r="P50" s="1109"/>
      <c r="Q50" s="1130"/>
      <c r="R50" s="1109"/>
      <c r="S50" s="1130"/>
      <c r="T50" s="1109"/>
      <c r="U50" s="1130"/>
      <c r="V50" s="1109"/>
      <c r="W50" s="1130"/>
      <c r="X50" s="1109"/>
      <c r="Y50" s="1130"/>
      <c r="Z50" s="1109"/>
      <c r="AA50" s="1130"/>
      <c r="AB50" s="1109"/>
      <c r="AC50" s="1130"/>
      <c r="AD50" s="1109"/>
      <c r="AE50" s="1130"/>
      <c r="AF50" s="1109"/>
      <c r="AG50" s="1130"/>
      <c r="AH50" s="1109"/>
      <c r="AI50" s="1130"/>
      <c r="AJ50" s="1109"/>
      <c r="AK50" s="1130"/>
      <c r="AL50" s="1109"/>
      <c r="AM50" s="1130"/>
      <c r="AN50" s="1109"/>
      <c r="AO50" s="1130"/>
      <c r="AP50" s="1109"/>
      <c r="AQ50" s="1131"/>
      <c r="AR50" s="1129"/>
      <c r="AS50" s="1131"/>
      <c r="AT50" s="1129"/>
      <c r="AU50" s="1130"/>
      <c r="AV50" s="1109"/>
      <c r="AW50" s="1113"/>
      <c r="AX50" s="1193" t="str">
        <f t="shared" si="56"/>
        <v/>
      </c>
      <c r="AY50" s="1193"/>
      <c r="AZ50" s="1193"/>
      <c r="BA50" s="1193"/>
      <c r="BB50" s="1193"/>
      <c r="BC50" s="1193"/>
      <c r="BD50" s="1193"/>
      <c r="BE50" s="1193"/>
      <c r="BF50" s="1193"/>
      <c r="BG50" s="1193"/>
      <c r="BH50" s="1193"/>
      <c r="BI50" s="1187"/>
      <c r="BJ50" s="1187"/>
      <c r="BK50" s="1187"/>
      <c r="BL50" s="1187"/>
      <c r="BU50" s="1580"/>
      <c r="BV50" s="1580"/>
      <c r="BW50" s="1580"/>
      <c r="CA50" s="2235" t="str">
        <f t="shared" si="57"/>
        <v/>
      </c>
      <c r="CB50" s="2235" t="str">
        <f t="shared" si="58"/>
        <v/>
      </c>
      <c r="CC50" s="2235" t="str">
        <f t="shared" si="59"/>
        <v/>
      </c>
      <c r="CD50" s="2235" t="str">
        <f t="shared" si="60"/>
        <v/>
      </c>
      <c r="CE50" s="2235" t="str">
        <f t="shared" si="61"/>
        <v/>
      </c>
      <c r="CF50" s="2235" t="str">
        <f t="shared" si="83"/>
        <v/>
      </c>
      <c r="CG50" s="2235" t="str">
        <f t="shared" si="84"/>
        <v/>
      </c>
      <c r="CH50" s="2235" t="str">
        <f t="shared" si="85"/>
        <v/>
      </c>
      <c r="CI50" s="2235" t="str">
        <f t="shared" si="86"/>
        <v/>
      </c>
      <c r="CJ50" s="2235" t="str">
        <f t="shared" si="87"/>
        <v/>
      </c>
      <c r="CK50" s="2235" t="str">
        <f t="shared" si="88"/>
        <v/>
      </c>
      <c r="CL50" s="2235" t="str">
        <f t="shared" si="89"/>
        <v/>
      </c>
      <c r="CM50" s="2235" t="str">
        <f t="shared" si="90"/>
        <v/>
      </c>
      <c r="CN50" s="2235" t="str">
        <f t="shared" si="91"/>
        <v/>
      </c>
      <c r="CO50" s="2235" t="str">
        <f t="shared" si="92"/>
        <v/>
      </c>
      <c r="CP50" s="2235" t="str">
        <f t="shared" si="93"/>
        <v/>
      </c>
      <c r="CQ50" s="2235" t="str">
        <f t="shared" si="94"/>
        <v/>
      </c>
      <c r="CR50" s="2235" t="str">
        <f t="shared" si="95"/>
        <v/>
      </c>
      <c r="CS50" s="2235" t="str">
        <f t="shared" si="96"/>
        <v/>
      </c>
      <c r="CT50" s="2235" t="str">
        <f t="shared" si="97"/>
        <v/>
      </c>
      <c r="CU50" s="2235" t="str">
        <f t="shared" si="98"/>
        <v/>
      </c>
      <c r="CV50" s="2235" t="str">
        <f t="shared" si="99"/>
        <v/>
      </c>
      <c r="CW50" s="2235" t="str">
        <f t="shared" si="100"/>
        <v/>
      </c>
      <c r="CX50" s="2235" t="str">
        <f t="shared" si="101"/>
        <v/>
      </c>
      <c r="CY50" s="2235" t="str">
        <f t="shared" si="102"/>
        <v/>
      </c>
      <c r="CZ50" s="2235" t="str">
        <f t="shared" si="103"/>
        <v/>
      </c>
      <c r="DA50" s="1468">
        <f t="shared" si="104"/>
        <v>0</v>
      </c>
      <c r="DB50" s="1468">
        <f t="shared" si="105"/>
        <v>0</v>
      </c>
      <c r="DC50" s="1468">
        <f t="shared" si="106"/>
        <v>0</v>
      </c>
      <c r="DD50" s="1468">
        <f t="shared" si="107"/>
        <v>0</v>
      </c>
      <c r="DE50" s="1468">
        <f t="shared" si="108"/>
        <v>0</v>
      </c>
      <c r="DF50" s="1468">
        <f t="shared" si="62"/>
        <v>0</v>
      </c>
      <c r="DG50" s="1468">
        <f t="shared" si="63"/>
        <v>0</v>
      </c>
      <c r="DH50" s="1468">
        <f t="shared" si="64"/>
        <v>0</v>
      </c>
      <c r="DI50" s="1468">
        <f t="shared" si="65"/>
        <v>0</v>
      </c>
      <c r="DJ50" s="1468">
        <f t="shared" si="66"/>
        <v>0</v>
      </c>
      <c r="DK50" s="1468">
        <f t="shared" si="67"/>
        <v>0</v>
      </c>
      <c r="DL50" s="1468">
        <f t="shared" si="68"/>
        <v>0</v>
      </c>
      <c r="DM50" s="1468">
        <f t="shared" si="69"/>
        <v>0</v>
      </c>
      <c r="DN50" s="1468">
        <f t="shared" si="70"/>
        <v>0</v>
      </c>
      <c r="DO50" s="1468">
        <f t="shared" si="71"/>
        <v>0</v>
      </c>
      <c r="DP50" s="1468">
        <f t="shared" si="72"/>
        <v>0</v>
      </c>
      <c r="DQ50" s="1468">
        <f t="shared" si="73"/>
        <v>0</v>
      </c>
      <c r="DR50" s="1468">
        <f t="shared" si="74"/>
        <v>0</v>
      </c>
      <c r="DS50" s="1468">
        <f t="shared" si="75"/>
        <v>0</v>
      </c>
      <c r="DT50" s="1468">
        <f t="shared" si="76"/>
        <v>0</v>
      </c>
      <c r="DU50" s="1468">
        <f t="shared" si="77"/>
        <v>0</v>
      </c>
      <c r="DV50" s="1468">
        <f t="shared" si="78"/>
        <v>0</v>
      </c>
      <c r="DW50" s="1468">
        <f t="shared" si="79"/>
        <v>0</v>
      </c>
      <c r="DX50" s="1468">
        <f t="shared" si="80"/>
        <v>0</v>
      </c>
      <c r="DY50" s="1468">
        <f t="shared" si="81"/>
        <v>0</v>
      </c>
      <c r="DZ50" s="1468">
        <f t="shared" si="82"/>
        <v>0</v>
      </c>
    </row>
    <row r="51" spans="1:130" ht="16.149999999999999" customHeight="1" x14ac:dyDescent="0.25">
      <c r="A51" s="1936" t="s">
        <v>1798</v>
      </c>
      <c r="B51" s="1999">
        <f t="shared" si="109"/>
        <v>0</v>
      </c>
      <c r="C51" s="1936">
        <f t="shared" si="109"/>
        <v>0</v>
      </c>
      <c r="D51" s="102"/>
      <c r="E51" s="83"/>
      <c r="F51" s="125"/>
      <c r="G51" s="83"/>
      <c r="H51" s="125"/>
      <c r="I51" s="101"/>
      <c r="J51" s="102"/>
      <c r="K51" s="102"/>
      <c r="L51" s="125"/>
      <c r="M51" s="101"/>
      <c r="N51" s="102"/>
      <c r="O51" s="83"/>
      <c r="P51" s="125"/>
      <c r="Q51" s="83"/>
      <c r="R51" s="125"/>
      <c r="S51" s="83"/>
      <c r="T51" s="125"/>
      <c r="U51" s="83"/>
      <c r="V51" s="125"/>
      <c r="W51" s="83"/>
      <c r="X51" s="125"/>
      <c r="Y51" s="83"/>
      <c r="Z51" s="125"/>
      <c r="AA51" s="83"/>
      <c r="AB51" s="125"/>
      <c r="AC51" s="83"/>
      <c r="AD51" s="125"/>
      <c r="AE51" s="83"/>
      <c r="AF51" s="125"/>
      <c r="AG51" s="83"/>
      <c r="AH51" s="125"/>
      <c r="AI51" s="83"/>
      <c r="AJ51" s="125"/>
      <c r="AK51" s="83"/>
      <c r="AL51" s="125"/>
      <c r="AM51" s="83"/>
      <c r="AN51" s="125"/>
      <c r="AO51" s="83"/>
      <c r="AP51" s="125"/>
      <c r="AQ51" s="198"/>
      <c r="AR51" s="102"/>
      <c r="AS51" s="198"/>
      <c r="AT51" s="102"/>
      <c r="AU51" s="83"/>
      <c r="AV51" s="125"/>
      <c r="AW51" s="101"/>
      <c r="AX51" s="1193" t="str">
        <f t="shared" si="56"/>
        <v/>
      </c>
      <c r="AY51" s="1193"/>
      <c r="AZ51" s="1193"/>
      <c r="BA51" s="1193"/>
      <c r="BB51" s="1193"/>
      <c r="BC51" s="1193"/>
      <c r="BD51" s="1193"/>
      <c r="BE51" s="1193"/>
      <c r="BF51" s="1193"/>
      <c r="BG51" s="1193"/>
      <c r="BH51" s="1193"/>
      <c r="BI51" s="1187"/>
      <c r="BJ51" s="1187"/>
      <c r="BK51" s="1187"/>
      <c r="BL51" s="1187"/>
      <c r="BU51" s="1580"/>
      <c r="BV51" s="1580"/>
      <c r="BW51" s="1580"/>
      <c r="CA51" s="2235" t="str">
        <f t="shared" si="57"/>
        <v/>
      </c>
      <c r="CB51" s="2235" t="str">
        <f t="shared" si="58"/>
        <v/>
      </c>
      <c r="CC51" s="2235" t="str">
        <f t="shared" si="59"/>
        <v/>
      </c>
      <c r="CD51" s="2235" t="str">
        <f t="shared" si="60"/>
        <v/>
      </c>
      <c r="CE51" s="2235" t="str">
        <f t="shared" si="61"/>
        <v/>
      </c>
      <c r="CF51" s="2235" t="str">
        <f t="shared" si="83"/>
        <v/>
      </c>
      <c r="CG51" s="2235" t="str">
        <f t="shared" si="84"/>
        <v/>
      </c>
      <c r="CH51" s="2235" t="str">
        <f t="shared" si="85"/>
        <v/>
      </c>
      <c r="CI51" s="2235" t="str">
        <f t="shared" si="86"/>
        <v/>
      </c>
      <c r="CJ51" s="2235" t="str">
        <f t="shared" si="87"/>
        <v/>
      </c>
      <c r="CK51" s="2235" t="str">
        <f t="shared" si="88"/>
        <v/>
      </c>
      <c r="CL51" s="2235" t="str">
        <f t="shared" si="89"/>
        <v/>
      </c>
      <c r="CM51" s="2235" t="str">
        <f t="shared" si="90"/>
        <v/>
      </c>
      <c r="CN51" s="2235" t="str">
        <f t="shared" si="91"/>
        <v/>
      </c>
      <c r="CO51" s="2235" t="str">
        <f t="shared" si="92"/>
        <v/>
      </c>
      <c r="CP51" s="2235" t="str">
        <f t="shared" si="93"/>
        <v/>
      </c>
      <c r="CQ51" s="2235" t="str">
        <f t="shared" si="94"/>
        <v/>
      </c>
      <c r="CR51" s="2235" t="str">
        <f t="shared" si="95"/>
        <v/>
      </c>
      <c r="CS51" s="2235" t="str">
        <f t="shared" si="96"/>
        <v/>
      </c>
      <c r="CT51" s="2235" t="str">
        <f t="shared" si="97"/>
        <v/>
      </c>
      <c r="CU51" s="2235" t="str">
        <f t="shared" si="98"/>
        <v/>
      </c>
      <c r="CV51" s="2235" t="str">
        <f t="shared" si="99"/>
        <v/>
      </c>
      <c r="CW51" s="2235" t="str">
        <f t="shared" si="100"/>
        <v/>
      </c>
      <c r="CX51" s="2235" t="str">
        <f t="shared" si="101"/>
        <v/>
      </c>
      <c r="CY51" s="2235" t="str">
        <f t="shared" si="102"/>
        <v/>
      </c>
      <c r="CZ51" s="2235" t="str">
        <f t="shared" si="103"/>
        <v/>
      </c>
      <c r="DA51" s="1468">
        <f t="shared" si="104"/>
        <v>0</v>
      </c>
      <c r="DB51" s="1468">
        <f t="shared" si="105"/>
        <v>0</v>
      </c>
      <c r="DC51" s="1468">
        <f t="shared" si="106"/>
        <v>0</v>
      </c>
      <c r="DD51" s="1468">
        <f t="shared" si="107"/>
        <v>0</v>
      </c>
      <c r="DE51" s="1468">
        <f t="shared" si="108"/>
        <v>0</v>
      </c>
      <c r="DF51" s="1468">
        <f t="shared" si="62"/>
        <v>0</v>
      </c>
      <c r="DG51" s="1468">
        <f t="shared" si="63"/>
        <v>0</v>
      </c>
      <c r="DH51" s="1468">
        <f t="shared" si="64"/>
        <v>0</v>
      </c>
      <c r="DI51" s="1468">
        <f t="shared" si="65"/>
        <v>0</v>
      </c>
      <c r="DJ51" s="1468">
        <f t="shared" si="66"/>
        <v>0</v>
      </c>
      <c r="DK51" s="1468">
        <f t="shared" si="67"/>
        <v>0</v>
      </c>
      <c r="DL51" s="1468">
        <f t="shared" si="68"/>
        <v>0</v>
      </c>
      <c r="DM51" s="1468">
        <f t="shared" si="69"/>
        <v>0</v>
      </c>
      <c r="DN51" s="1468">
        <f t="shared" si="70"/>
        <v>0</v>
      </c>
      <c r="DO51" s="1468">
        <f t="shared" si="71"/>
        <v>0</v>
      </c>
      <c r="DP51" s="1468">
        <f t="shared" si="72"/>
        <v>0</v>
      </c>
      <c r="DQ51" s="1468">
        <f t="shared" si="73"/>
        <v>0</v>
      </c>
      <c r="DR51" s="1468">
        <f t="shared" si="74"/>
        <v>0</v>
      </c>
      <c r="DS51" s="1468">
        <f t="shared" si="75"/>
        <v>0</v>
      </c>
      <c r="DT51" s="1468">
        <f t="shared" si="76"/>
        <v>0</v>
      </c>
      <c r="DU51" s="1468">
        <f t="shared" si="77"/>
        <v>0</v>
      </c>
      <c r="DV51" s="1468">
        <f t="shared" si="78"/>
        <v>0</v>
      </c>
      <c r="DW51" s="1468">
        <f t="shared" si="79"/>
        <v>0</v>
      </c>
      <c r="DX51" s="1468">
        <f t="shared" si="80"/>
        <v>0</v>
      </c>
      <c r="DY51" s="1468">
        <f t="shared" si="81"/>
        <v>0</v>
      </c>
      <c r="DZ51" s="1468">
        <f t="shared" si="82"/>
        <v>0</v>
      </c>
    </row>
    <row r="52" spans="1:130" ht="31.9" customHeight="1" x14ac:dyDescent="0.25">
      <c r="A52" s="937" t="s">
        <v>2535</v>
      </c>
      <c r="B52" s="937"/>
      <c r="C52" s="937"/>
      <c r="D52" s="133"/>
      <c r="E52" s="133"/>
      <c r="F52" s="133"/>
      <c r="G52" s="133"/>
      <c r="I52" s="133"/>
      <c r="J52" s="108"/>
      <c r="K52" s="108"/>
      <c r="L52" s="108"/>
      <c r="M52" s="108"/>
      <c r="N52" s="108"/>
      <c r="O52" s="108"/>
      <c r="P52" s="108"/>
      <c r="Q52" s="140"/>
      <c r="AX52" s="1187"/>
      <c r="AY52" s="1187"/>
      <c r="AZ52" s="1187"/>
      <c r="BA52" s="1187"/>
      <c r="BB52" s="1187"/>
      <c r="BC52" s="1187"/>
      <c r="BD52" s="1187"/>
      <c r="BE52" s="1187"/>
      <c r="BF52" s="1187"/>
      <c r="BG52" s="1187"/>
      <c r="BH52" s="1187"/>
      <c r="BI52" s="1187"/>
      <c r="BJ52" s="1187"/>
      <c r="BK52" s="1187"/>
      <c r="BL52" s="1187"/>
      <c r="BM52" s="1187"/>
      <c r="BT52" s="1118"/>
      <c r="BU52" s="1118"/>
      <c r="BV52" s="1580"/>
      <c r="BW52" s="1580"/>
    </row>
    <row r="53" spans="1:130" ht="31.9" customHeight="1" x14ac:dyDescent="0.25">
      <c r="A53" s="8208" t="s">
        <v>1778</v>
      </c>
      <c r="B53" s="9194" t="s">
        <v>24</v>
      </c>
      <c r="C53" s="9524"/>
      <c r="D53" s="8215" t="s">
        <v>723</v>
      </c>
      <c r="E53" s="8216"/>
      <c r="F53" s="8216"/>
      <c r="G53" s="8216"/>
      <c r="H53" s="8216"/>
      <c r="I53" s="8216"/>
      <c r="J53" s="8216"/>
      <c r="K53" s="8216"/>
      <c r="L53" s="8216"/>
      <c r="M53" s="8216"/>
      <c r="N53" s="8216"/>
      <c r="O53" s="8216"/>
      <c r="P53" s="8216"/>
      <c r="Q53" s="8216"/>
      <c r="R53" s="8216"/>
      <c r="S53" s="8216"/>
      <c r="T53" s="8216"/>
      <c r="U53" s="8216"/>
      <c r="V53" s="8216"/>
      <c r="W53" s="8216"/>
      <c r="X53" s="8216"/>
      <c r="Y53" s="8216"/>
      <c r="Z53" s="8216"/>
      <c r="AA53" s="8216"/>
      <c r="AB53" s="8216"/>
      <c r="AC53" s="8216"/>
      <c r="AD53" s="8216"/>
      <c r="AE53" s="8216"/>
      <c r="AF53" s="8216"/>
      <c r="AG53" s="8216"/>
      <c r="AH53" s="8216"/>
      <c r="AI53" s="8216"/>
      <c r="AJ53" s="8216"/>
      <c r="AK53" s="8216"/>
      <c r="AL53" s="8216"/>
      <c r="AM53" s="8216"/>
      <c r="AN53" s="8216"/>
      <c r="AO53" s="8216"/>
      <c r="AP53" s="8216"/>
      <c r="AQ53" s="9527"/>
      <c r="AR53" s="9528" t="s">
        <v>1779</v>
      </c>
      <c r="AS53" s="9529"/>
      <c r="AT53" s="9530" t="s">
        <v>711</v>
      </c>
      <c r="AU53" s="9531"/>
      <c r="AV53" s="9534" t="s">
        <v>360</v>
      </c>
      <c r="AW53" s="9536" t="s">
        <v>359</v>
      </c>
      <c r="AX53" s="1187"/>
      <c r="AY53" s="1187"/>
      <c r="AZ53" s="1187"/>
      <c r="BA53" s="1187"/>
      <c r="BB53" s="1187"/>
      <c r="BC53" s="1187"/>
      <c r="BD53" s="1187"/>
      <c r="BE53" s="1187"/>
      <c r="BF53" s="1187"/>
      <c r="BG53" s="1187"/>
      <c r="BH53" s="1187"/>
      <c r="BI53" s="1187"/>
      <c r="BJ53" s="1187"/>
      <c r="BK53" s="1187"/>
      <c r="BL53" s="1187"/>
      <c r="BU53" s="1187"/>
      <c r="BV53" s="1580"/>
      <c r="BW53" s="1580"/>
    </row>
    <row r="54" spans="1:130" ht="16.149999999999999" customHeight="1" x14ac:dyDescent="0.25">
      <c r="A54" s="8274"/>
      <c r="B54" s="9525"/>
      <c r="C54" s="9526"/>
      <c r="D54" s="8218" t="s">
        <v>722</v>
      </c>
      <c r="E54" s="9528"/>
      <c r="F54" s="8218" t="s">
        <v>721</v>
      </c>
      <c r="G54" s="9528"/>
      <c r="H54" s="8218" t="s">
        <v>720</v>
      </c>
      <c r="I54" s="8220"/>
      <c r="J54" s="9528" t="s">
        <v>1820</v>
      </c>
      <c r="K54" s="9528"/>
      <c r="L54" s="8218" t="s">
        <v>1413</v>
      </c>
      <c r="M54" s="9528"/>
      <c r="N54" s="8218" t="s">
        <v>79</v>
      </c>
      <c r="O54" s="9528"/>
      <c r="P54" s="8218" t="s">
        <v>80</v>
      </c>
      <c r="Q54" s="9528"/>
      <c r="R54" s="8218" t="s">
        <v>81</v>
      </c>
      <c r="S54" s="9528"/>
      <c r="T54" s="8218" t="s">
        <v>115</v>
      </c>
      <c r="U54" s="8220"/>
      <c r="V54" s="8218" t="s">
        <v>116</v>
      </c>
      <c r="W54" s="8220"/>
      <c r="X54" s="8218" t="s">
        <v>117</v>
      </c>
      <c r="Y54" s="8220"/>
      <c r="Z54" s="8218" t="s">
        <v>118</v>
      </c>
      <c r="AA54" s="8220"/>
      <c r="AB54" s="8218" t="s">
        <v>119</v>
      </c>
      <c r="AC54" s="8220"/>
      <c r="AD54" s="8218" t="s">
        <v>120</v>
      </c>
      <c r="AE54" s="8220"/>
      <c r="AF54" s="8218" t="s">
        <v>1412</v>
      </c>
      <c r="AG54" s="8220"/>
      <c r="AH54" s="8218" t="s">
        <v>1404</v>
      </c>
      <c r="AI54" s="8220"/>
      <c r="AJ54" s="8218" t="s">
        <v>1395</v>
      </c>
      <c r="AK54" s="8220"/>
      <c r="AL54" s="8218" t="s">
        <v>1394</v>
      </c>
      <c r="AM54" s="8220"/>
      <c r="AN54" s="8218" t="s">
        <v>1393</v>
      </c>
      <c r="AO54" s="8220"/>
      <c r="AP54" s="8218" t="s">
        <v>1403</v>
      </c>
      <c r="AQ54" s="9529"/>
      <c r="AR54" s="9537" t="s">
        <v>17</v>
      </c>
      <c r="AS54" s="9539" t="s">
        <v>18</v>
      </c>
      <c r="AT54" s="9532"/>
      <c r="AU54" s="9533"/>
      <c r="AV54" s="8166"/>
      <c r="AW54" s="8151"/>
      <c r="AX54" s="1187"/>
      <c r="AY54" s="1187"/>
      <c r="AZ54" s="1187"/>
      <c r="BA54" s="1187"/>
      <c r="BB54" s="1187"/>
      <c r="BC54" s="1187"/>
      <c r="BD54" s="1187"/>
      <c r="BE54" s="1187"/>
      <c r="BF54" s="1187"/>
      <c r="BG54" s="1187"/>
      <c r="BH54" s="1187"/>
      <c r="BI54" s="1187"/>
      <c r="BJ54" s="1187"/>
      <c r="BK54" s="1187"/>
      <c r="BL54" s="1187"/>
      <c r="BU54" s="1187"/>
    </row>
    <row r="55" spans="1:130" ht="16.149999999999999" customHeight="1" x14ac:dyDescent="0.25">
      <c r="A55" s="8209"/>
      <c r="B55" s="1122" t="s">
        <v>1780</v>
      </c>
      <c r="C55" s="935" t="s">
        <v>1781</v>
      </c>
      <c r="D55" s="1119" t="s">
        <v>1780</v>
      </c>
      <c r="E55" s="910" t="s">
        <v>1781</v>
      </c>
      <c r="F55" s="1119" t="s">
        <v>1780</v>
      </c>
      <c r="G55" s="910" t="s">
        <v>1781</v>
      </c>
      <c r="H55" s="1119" t="s">
        <v>1780</v>
      </c>
      <c r="I55" s="935" t="s">
        <v>1781</v>
      </c>
      <c r="J55" s="1122" t="s">
        <v>1780</v>
      </c>
      <c r="K55" s="910" t="s">
        <v>1781</v>
      </c>
      <c r="L55" s="1119" t="s">
        <v>1780</v>
      </c>
      <c r="M55" s="910" t="s">
        <v>1781</v>
      </c>
      <c r="N55" s="1119" t="s">
        <v>1780</v>
      </c>
      <c r="O55" s="910" t="s">
        <v>1781</v>
      </c>
      <c r="P55" s="1119" t="s">
        <v>1780</v>
      </c>
      <c r="Q55" s="910" t="s">
        <v>1781</v>
      </c>
      <c r="R55" s="1119" t="s">
        <v>1780</v>
      </c>
      <c r="S55" s="910" t="s">
        <v>1781</v>
      </c>
      <c r="T55" s="1119" t="s">
        <v>1780</v>
      </c>
      <c r="U55" s="910" t="s">
        <v>1781</v>
      </c>
      <c r="V55" s="1119" t="s">
        <v>1780</v>
      </c>
      <c r="W55" s="910" t="s">
        <v>1781</v>
      </c>
      <c r="X55" s="1119" t="s">
        <v>1780</v>
      </c>
      <c r="Y55" s="910" t="s">
        <v>1781</v>
      </c>
      <c r="Z55" s="1119" t="s">
        <v>1780</v>
      </c>
      <c r="AA55" s="910" t="s">
        <v>1781</v>
      </c>
      <c r="AB55" s="1119" t="s">
        <v>1780</v>
      </c>
      <c r="AC55" s="910" t="s">
        <v>1781</v>
      </c>
      <c r="AD55" s="1119" t="s">
        <v>1780</v>
      </c>
      <c r="AE55" s="910" t="s">
        <v>1781</v>
      </c>
      <c r="AF55" s="1119" t="s">
        <v>1780</v>
      </c>
      <c r="AG55" s="910" t="s">
        <v>1781</v>
      </c>
      <c r="AH55" s="1119" t="s">
        <v>1780</v>
      </c>
      <c r="AI55" s="910" t="s">
        <v>1781</v>
      </c>
      <c r="AJ55" s="1119" t="s">
        <v>1780</v>
      </c>
      <c r="AK55" s="910" t="s">
        <v>1781</v>
      </c>
      <c r="AL55" s="1119" t="s">
        <v>1780</v>
      </c>
      <c r="AM55" s="910" t="s">
        <v>1781</v>
      </c>
      <c r="AN55" s="1119" t="s">
        <v>1780</v>
      </c>
      <c r="AO55" s="910" t="s">
        <v>1781</v>
      </c>
      <c r="AP55" s="1119" t="s">
        <v>1780</v>
      </c>
      <c r="AQ55" s="1123" t="s">
        <v>1781</v>
      </c>
      <c r="AR55" s="9538"/>
      <c r="AS55" s="9540"/>
      <c r="AT55" s="2187" t="s">
        <v>356</v>
      </c>
      <c r="AU55" s="2113" t="s">
        <v>357</v>
      </c>
      <c r="AV55" s="9535"/>
      <c r="AW55" s="8152"/>
      <c r="AX55" s="1187"/>
      <c r="AY55" s="1187"/>
      <c r="AZ55" s="1187"/>
      <c r="BA55" s="1187"/>
      <c r="BB55" s="1187"/>
      <c r="BC55" s="1187"/>
      <c r="BD55" s="1187"/>
      <c r="BE55" s="1187"/>
      <c r="BF55" s="1187"/>
      <c r="BG55" s="1187"/>
      <c r="BH55" s="1187"/>
      <c r="BI55" s="1187"/>
      <c r="BJ55" s="1187"/>
      <c r="BK55" s="1187"/>
      <c r="BL55" s="1187"/>
      <c r="BU55" s="1187"/>
    </row>
    <row r="56" spans="1:130" ht="16.149999999999999" customHeight="1" x14ac:dyDescent="0.25">
      <c r="A56" s="2071" t="s">
        <v>1782</v>
      </c>
      <c r="B56" s="2036">
        <f t="shared" ref="B56:C63" si="110">+N56+P56+R56+T56+V56+X56+Z56+AB56+AD56+AF56+AH56+AJ56+AL56+AN56+AP56</f>
        <v>0</v>
      </c>
      <c r="C56" s="2083">
        <f t="shared" si="110"/>
        <v>0</v>
      </c>
      <c r="D56" s="1125"/>
      <c r="E56" s="1126"/>
      <c r="F56" s="1127"/>
      <c r="G56" s="1126"/>
      <c r="H56" s="1127"/>
      <c r="I56" s="1126"/>
      <c r="J56" s="1127"/>
      <c r="K56" s="1126"/>
      <c r="L56" s="1127"/>
      <c r="M56" s="1128"/>
      <c r="N56" s="1129"/>
      <c r="O56" s="1130"/>
      <c r="P56" s="1109"/>
      <c r="Q56" s="1130"/>
      <c r="R56" s="1109"/>
      <c r="S56" s="1130"/>
      <c r="T56" s="1109"/>
      <c r="U56" s="1130"/>
      <c r="V56" s="1109"/>
      <c r="W56" s="1130"/>
      <c r="X56" s="1109"/>
      <c r="Y56" s="1130"/>
      <c r="Z56" s="1109"/>
      <c r="AA56" s="1130"/>
      <c r="AB56" s="1109"/>
      <c r="AC56" s="1130"/>
      <c r="AD56" s="1109"/>
      <c r="AE56" s="1130"/>
      <c r="AF56" s="1109"/>
      <c r="AG56" s="1130"/>
      <c r="AH56" s="1109"/>
      <c r="AI56" s="1130"/>
      <c r="AJ56" s="1109"/>
      <c r="AK56" s="1130"/>
      <c r="AL56" s="1109"/>
      <c r="AM56" s="1130"/>
      <c r="AN56" s="1109"/>
      <c r="AO56" s="1130"/>
      <c r="AP56" s="1109"/>
      <c r="AQ56" s="1131"/>
      <c r="AR56" s="1132"/>
      <c r="AS56" s="1131"/>
      <c r="AT56" s="1129"/>
      <c r="AU56" s="1130"/>
      <c r="AV56" s="1109"/>
      <c r="AW56" s="1113"/>
      <c r="AX56" s="1193" t="str">
        <f t="shared" ref="AX56:AX73" si="111">$CA56&amp;$CB56&amp;$CC56&amp;$CD56&amp;$CE56&amp;$CF56&amp;$CG56&amp;$CH56&amp;$CI56&amp;$CJ56&amp;$CK56&amp;$CL56&amp;$CM56&amp;$CN56&amp;$CO56&amp;$CP56&amp;$CQ56&amp;$CR56&amp;$CS56&amp;$CT56&amp;$CU56&amp;$CV56&amp;$CW56&amp;$CX56&amp;$CY56&amp;$CZ56</f>
        <v/>
      </c>
      <c r="AY56" s="1193"/>
      <c r="AZ56" s="1193"/>
      <c r="BA56" s="1193"/>
      <c r="BB56" s="1193"/>
      <c r="BC56" s="1193"/>
      <c r="BD56" s="1193"/>
      <c r="BE56" s="1193"/>
      <c r="BF56" s="1193"/>
      <c r="BG56" s="1193"/>
      <c r="BH56" s="1193"/>
      <c r="BI56" s="1187"/>
      <c r="BJ56" s="1187"/>
      <c r="BK56" s="1187"/>
      <c r="BL56" s="1187"/>
      <c r="BU56" s="1187"/>
      <c r="BW56" s="1580"/>
      <c r="CA56" s="2235" t="str">
        <f t="shared" ref="CA56:CA73" si="112">IF(B56&lt;C56,"* El total de Reactivos NO DEBE ser superior al total de Procesados. ","")</f>
        <v/>
      </c>
      <c r="CB56" s="2235" t="str">
        <f t="shared" ref="CB56:CB73" si="113">IF(B56&lt;&gt;(AR56+ AS56),"* La suma de las columnas Sexo DEBE SER IGUAL a los Procesados. ","")</f>
        <v/>
      </c>
      <c r="CC56" s="2235" t="str">
        <f t="shared" ref="CC56:CC73" si="114">IF(B56&lt;(AT56+ AU56),"* La suma de las columna Trans NO DEBE ser superior al total de Procesados. ","")</f>
        <v/>
      </c>
      <c r="CD56" s="2235" t="str">
        <f t="shared" ref="CD56:CD73" si="115">IF(B56&lt;AV56,"* La columna Pueblos Originarios NO DEBE ser superior al total de Procesados. ","")</f>
        <v/>
      </c>
      <c r="CE56" s="2235" t="str">
        <f t="shared" ref="CE56:CE73" si="116">IF(B56&lt;AW56,"* La columna Migrantes NO DEBE ser superior al total de Procesados. ","")</f>
        <v/>
      </c>
      <c r="CF56" s="2235" t="str">
        <f>IF(D56&lt;E56,CONCATENATE("* El total de procesados debe ser mayor o igual al total de Reactivos en el grupo de edad ",$D$54),"")</f>
        <v/>
      </c>
      <c r="CG56" s="2235" t="str">
        <f>IF(F56&lt;G56,CONCATENATE("* El total de procesados debe ser mayor o igual al total de Reactivos en el grupo de edad ",$F$54),"")</f>
        <v/>
      </c>
      <c r="CH56" s="2235" t="str">
        <f>IF(H56&lt;I56,CONCATENATE("* El total de procesados debe ser mayor o igual al total de Reactivos en el grupo de edad ",$H$54),"")</f>
        <v/>
      </c>
      <c r="CI56" s="2235" t="str">
        <f>IF(J56&lt;K56,CONCATENATE("* El total de procesados debe ser mayor o igual al total de Reactivos en el grupo de edad ",$J$54),"")</f>
        <v/>
      </c>
      <c r="CJ56" s="2235" t="str">
        <f>IF(L56&lt;M56,CONCATENATE("* El total de procesados debe ser mayor o igual al total de Reactivos en el grupo de edad ",$L$54),"")</f>
        <v/>
      </c>
      <c r="CK56" s="2235" t="str">
        <f>IF(N56&lt;O56,CONCATENATE("* El total de procesados debe ser mayor o igual al total de Reactivos en el grupo de edad ",$N$54),"")</f>
        <v/>
      </c>
      <c r="CL56" s="2235" t="str">
        <f>IF(P56&lt;Q56,CONCATENATE("* El total de procesados debe ser mayor o igual al total de Reactivos en el grupo de edad ",$P$54),"")</f>
        <v/>
      </c>
      <c r="CM56" s="2235" t="str">
        <f>IF(R56&lt;S56,CONCATENATE("* El total de procesados debe ser mayor o igual al total de Reactivos en el grupo de edad ",$R$54),"")</f>
        <v/>
      </c>
      <c r="CN56" s="2235" t="str">
        <f>IF(T56&lt;U56,CONCATENATE("* El total de procesados debe ser mayor o igual al total de Reactivos en el grupo de edad ",$T$54),"")</f>
        <v/>
      </c>
      <c r="CO56" s="2235" t="str">
        <f>IF(V56&lt;W56,CONCATENATE("* El total de procesados debe ser mayor o igual al total de Reactivos en el grupo de edad ",$V$54),"")</f>
        <v/>
      </c>
      <c r="CP56" s="2235" t="str">
        <f>IF(X56&lt;Y56,CONCATENATE("* El total de procesados debe ser mayor o igual al total de Reactivos en el grupo de edad ",$X$54),"")</f>
        <v/>
      </c>
      <c r="CQ56" s="2235" t="str">
        <f>IF(Z56&lt;AA56,CONCATENATE("* El total de procesados debe ser mayor o igual al total de Reactivos en el grupo de edad ",$Z$54),"")</f>
        <v/>
      </c>
      <c r="CR56" s="2235" t="str">
        <f>IF(AB56&lt;AC56,CONCATENATE("* El total de procesados debe ser mayor o igual al total de Reactivos en el grupo de edad ",$AB$54),"")</f>
        <v/>
      </c>
      <c r="CS56" s="2235" t="str">
        <f>IF(AD56&lt;AE56,CONCATENATE("* El total de procesados debe ser mayor o igual al total de Reactivos en el grupo de edad ",$AD$54),"")</f>
        <v/>
      </c>
      <c r="CT56" s="2235" t="str">
        <f>IF(AF56&lt;AG56,CONCATENATE("* El total de procesados debe ser mayor o igual al total de Reactivos en el grupo de edad ",$AF$54),"")</f>
        <v/>
      </c>
      <c r="CU56" s="2235" t="str">
        <f>IF(AH56&lt;AI56,CONCATENATE("* El total de procesados debe ser mayor o igual al total de Reactivos en el grupo de edad ",$AH$54),"")</f>
        <v/>
      </c>
      <c r="CV56" s="2235" t="str">
        <f>IF(AJ56&lt;AK56,CONCATENATE("* El total de procesados debe ser mayor o igual al total de Reactivos en el grupo de edad ",$AJ$54),"")</f>
        <v/>
      </c>
      <c r="CW56" s="2235" t="str">
        <f>IF(AL56&lt;AM56,CONCATENATE("* El total de procesados debe ser mayor o igual al total de Reactivos en el grupo de edad ",$AL$54),"")</f>
        <v/>
      </c>
      <c r="CX56" s="2235" t="str">
        <f>IF(AN56&lt;AO56,CONCATENATE("* El total de procesados debe ser mayor o igual al total de Reactivos en el grupo de edad ",$AN$54),"")</f>
        <v/>
      </c>
      <c r="CY56" s="2235" t="str">
        <f>IF(AP56&lt;AQ56,CONCATENATE("* El total de procesados debe ser mayor o igual al total de Reactivos en el grupo de edad ",$AP$54),"")</f>
        <v/>
      </c>
      <c r="CZ56" s="2235" t="str">
        <f t="shared" ref="CZ56:CZ73" si="117">IF(AND(B56&lt;&gt;0,OR(AT56="",AU56="",AV56="",AW56="")),"* No olvide digitar la columna Trans y/o Pueblos Originarios y/o Migrantes (Digite Cero si no tiene). ","")</f>
        <v/>
      </c>
      <c r="DA56" s="1468">
        <f t="shared" ref="DA56:DA73" si="118">IF(B56&lt;   C56,1,0)</f>
        <v>0</v>
      </c>
      <c r="DB56" s="1468">
        <f t="shared" ref="DB56:DB73" si="119">IF(B56&lt;&gt; AR56+AS56,1,0)</f>
        <v>0</v>
      </c>
      <c r="DC56" s="1468">
        <f t="shared" ref="DC56:DC73" si="120">IF(B56&lt;  AT56+AU56,1,0)</f>
        <v>0</v>
      </c>
      <c r="DD56" s="1468">
        <f t="shared" ref="DD56:DD73" si="121">IF(B56&lt;  AV56,1,0)</f>
        <v>0</v>
      </c>
      <c r="DE56" s="1468">
        <f t="shared" ref="DE56:DE73" si="122">IF(B56&lt;  AW56,1,0)</f>
        <v>0</v>
      </c>
      <c r="DF56" s="1468">
        <f t="shared" ref="DF56:DF73" si="123">IF(D56&lt;E56,1,0)</f>
        <v>0</v>
      </c>
      <c r="DG56" s="1468">
        <f t="shared" ref="DG56:DG73" si="124">IF(F56&lt;G56,1,0)</f>
        <v>0</v>
      </c>
      <c r="DH56" s="1468">
        <f t="shared" ref="DH56:DH73" si="125">IF(H56&lt;I56,1,0)</f>
        <v>0</v>
      </c>
      <c r="DI56" s="1468">
        <f t="shared" ref="DI56:DI73" si="126">IF(J56&lt;K56,1,0)</f>
        <v>0</v>
      </c>
      <c r="DJ56" s="1468">
        <f t="shared" ref="DJ56:DJ73" si="127">IF(L56&lt;M56,1,0)</f>
        <v>0</v>
      </c>
      <c r="DK56" s="1468">
        <f t="shared" ref="DK56:DK73" si="128">IF(N56&lt;O56,1,0)</f>
        <v>0</v>
      </c>
      <c r="DL56" s="1468">
        <f t="shared" ref="DL56:DL73" si="129">IF(P56&lt;Q56,1,0)</f>
        <v>0</v>
      </c>
      <c r="DM56" s="1468">
        <f t="shared" ref="DM56:DM73" si="130">IF(R56&lt;S56,1,0)</f>
        <v>0</v>
      </c>
      <c r="DN56" s="1468">
        <f t="shared" ref="DN56:DN73" si="131">IF(T56&lt;U56,1,0)</f>
        <v>0</v>
      </c>
      <c r="DO56" s="1468">
        <f t="shared" ref="DO56:DO73" si="132">IF(V56&lt;W56,1,0)</f>
        <v>0</v>
      </c>
      <c r="DP56" s="1468">
        <f t="shared" ref="DP56:DP73" si="133">IF(X56&lt;Y56,1,0)</f>
        <v>0</v>
      </c>
      <c r="DQ56" s="1468">
        <f t="shared" ref="DQ56:DQ73" si="134">IF(Z56&lt;AA56,1,0)</f>
        <v>0</v>
      </c>
      <c r="DR56" s="1468">
        <f t="shared" ref="DR56:DR73" si="135">IF(AB56&lt;AC56,1,0)</f>
        <v>0</v>
      </c>
      <c r="DS56" s="1468">
        <f t="shared" ref="DS56:DS73" si="136">IF(AD56&lt;AE56,1,0)</f>
        <v>0</v>
      </c>
      <c r="DT56" s="1468">
        <f t="shared" ref="DT56:DT73" si="137">IF(AF56&lt;AG56,1,0)</f>
        <v>0</v>
      </c>
      <c r="DU56" s="1468">
        <f t="shared" ref="DU56:DU73" si="138">IF(AH56&lt;AI56,1,0)</f>
        <v>0</v>
      </c>
      <c r="DV56" s="1468">
        <f t="shared" ref="DV56:DV73" si="139">IF(AJ56&lt;AK56,1,0)</f>
        <v>0</v>
      </c>
      <c r="DW56" s="1468">
        <f t="shared" ref="DW56:DW73" si="140">IF(AL56&lt;AM56,1,0)</f>
        <v>0</v>
      </c>
      <c r="DX56" s="1468">
        <f t="shared" ref="DX56:DX73" si="141">IF(AN56&lt;AO56,1,0)</f>
        <v>0</v>
      </c>
      <c r="DY56" s="1468">
        <f t="shared" ref="DY56:DY73" si="142">IF(AP56&lt;AQ56,1,0)</f>
        <v>0</v>
      </c>
      <c r="DZ56" s="1468">
        <f t="shared" ref="DZ56:DZ73" si="143">IF(AND(B56&lt;&gt;0,OR(AT56="",AU56="",AV56="",AW56="")),1,0)</f>
        <v>0</v>
      </c>
    </row>
    <row r="57" spans="1:130" ht="16.149999999999999" customHeight="1" x14ac:dyDescent="0.25">
      <c r="A57" s="2040" t="s">
        <v>1783</v>
      </c>
      <c r="B57" s="2038">
        <f t="shared" si="110"/>
        <v>0</v>
      </c>
      <c r="C57" s="2084">
        <f t="shared" si="110"/>
        <v>0</v>
      </c>
      <c r="D57" s="1125"/>
      <c r="E57" s="1126"/>
      <c r="F57" s="1127"/>
      <c r="G57" s="1126"/>
      <c r="H57" s="1127"/>
      <c r="I57" s="1126"/>
      <c r="J57" s="1127"/>
      <c r="K57" s="1126"/>
      <c r="L57" s="1127"/>
      <c r="M57" s="1128"/>
      <c r="N57" s="1129"/>
      <c r="O57" s="1130"/>
      <c r="P57" s="1109"/>
      <c r="Q57" s="1130"/>
      <c r="R57" s="1109"/>
      <c r="S57" s="1130"/>
      <c r="T57" s="1109"/>
      <c r="U57" s="1130"/>
      <c r="V57" s="1109"/>
      <c r="W57" s="1130"/>
      <c r="X57" s="1109"/>
      <c r="Y57" s="1130"/>
      <c r="Z57" s="1109"/>
      <c r="AA57" s="1130"/>
      <c r="AB57" s="1109"/>
      <c r="AC57" s="1130"/>
      <c r="AD57" s="1109"/>
      <c r="AE57" s="1130"/>
      <c r="AF57" s="1109"/>
      <c r="AG57" s="1130"/>
      <c r="AH57" s="1109"/>
      <c r="AI57" s="1130"/>
      <c r="AJ57" s="1109"/>
      <c r="AK57" s="1130"/>
      <c r="AL57" s="1109"/>
      <c r="AM57" s="1130"/>
      <c r="AN57" s="1109"/>
      <c r="AO57" s="1130"/>
      <c r="AP57" s="1109"/>
      <c r="AQ57" s="1131"/>
      <c r="AR57" s="1132"/>
      <c r="AS57" s="1131"/>
      <c r="AT57" s="1129"/>
      <c r="AU57" s="1130"/>
      <c r="AV57" s="1109"/>
      <c r="AW57" s="1113"/>
      <c r="AX57" s="1193" t="str">
        <f t="shared" si="111"/>
        <v/>
      </c>
      <c r="AY57" s="1193"/>
      <c r="AZ57" s="1193"/>
      <c r="BA57" s="1193"/>
      <c r="BB57" s="1193"/>
      <c r="BC57" s="1193"/>
      <c r="BD57" s="1193"/>
      <c r="BE57" s="1193"/>
      <c r="BF57" s="1193"/>
      <c r="BG57" s="1193"/>
      <c r="BH57" s="1193"/>
      <c r="BI57" s="1187"/>
      <c r="BJ57" s="1187"/>
      <c r="BK57" s="1187"/>
      <c r="BL57" s="1187"/>
      <c r="BU57" s="1187"/>
      <c r="BW57" s="1580"/>
      <c r="CA57" s="2235" t="str">
        <f t="shared" si="112"/>
        <v/>
      </c>
      <c r="CB57" s="2235" t="str">
        <f t="shared" si="113"/>
        <v/>
      </c>
      <c r="CC57" s="2235" t="str">
        <f t="shared" si="114"/>
        <v/>
      </c>
      <c r="CD57" s="2235" t="str">
        <f t="shared" si="115"/>
        <v/>
      </c>
      <c r="CE57" s="2235" t="str">
        <f t="shared" si="116"/>
        <v/>
      </c>
      <c r="CF57" s="2235" t="str">
        <f t="shared" ref="CF57:CF73" si="144">IF(D57&lt;E57,CONCATENATE("* El total de procesados debe ser mayor o igual al total de Reactivos en el grupo de edad ",$D$54),"")</f>
        <v/>
      </c>
      <c r="CG57" s="2235" t="str">
        <f t="shared" ref="CG57:CG73" si="145">IF(F57&lt;G57,CONCATENATE("* El total de procesados debe ser mayor o igual al total de Reactivos en el grupo de edad ",$F$54),"")</f>
        <v/>
      </c>
      <c r="CH57" s="2235" t="str">
        <f t="shared" ref="CH57:CH73" si="146">IF(H57&lt;I57,CONCATENATE("* El total de procesados debe ser mayor o igual al total de Reactivos en el grupo de edad ",$H$54),"")</f>
        <v/>
      </c>
      <c r="CI57" s="2235" t="str">
        <f t="shared" ref="CI57:CI73" si="147">IF(J57&lt;K57,CONCATENATE("* El total de procesados debe ser mayor o igual al total de Reactivos en el grupo de edad ",$J$54),"")</f>
        <v/>
      </c>
      <c r="CJ57" s="2235" t="str">
        <f t="shared" ref="CJ57:CJ73" si="148">IF(L57&lt;M57,CONCATENATE("* El total de procesados debe ser mayor o igual al total de Reactivos en el grupo de edad ",$L$54),"")</f>
        <v/>
      </c>
      <c r="CK57" s="2235" t="str">
        <f t="shared" ref="CK57:CK73" si="149">IF(N57&lt;O57,CONCATENATE("* El total de procesados debe ser mayor o igual al total de Reactivos en el grupo de edad ",$N$54),"")</f>
        <v/>
      </c>
      <c r="CL57" s="2235" t="str">
        <f t="shared" ref="CL57:CL73" si="150">IF(P57&lt;Q57,CONCATENATE("* El total de procesados debe ser mayor o igual al total de Reactivos en el grupo de edad ",$P$54),"")</f>
        <v/>
      </c>
      <c r="CM57" s="2235" t="str">
        <f t="shared" ref="CM57:CM73" si="151">IF(R57&lt;S57,CONCATENATE("* El total de procesados debe ser mayor o igual al total de Reactivos en el grupo de edad ",$R$54),"")</f>
        <v/>
      </c>
      <c r="CN57" s="2235" t="str">
        <f t="shared" ref="CN57:CN73" si="152">IF(T57&lt;U57,CONCATENATE("* El total de procesados debe ser mayor o igual al total de Reactivos en el grupo de edad ",$T$54),"")</f>
        <v/>
      </c>
      <c r="CO57" s="2235" t="str">
        <f t="shared" ref="CO57:CO73" si="153">IF(V57&lt;W57,CONCATENATE("* El total de procesados debe ser mayor o igual al total de Reactivos en el grupo de edad ",$V$54),"")</f>
        <v/>
      </c>
      <c r="CP57" s="2235" t="str">
        <f t="shared" ref="CP57:CP73" si="154">IF(X57&lt;Y57,CONCATENATE("* El total de procesados debe ser mayor o igual al total de Reactivos en el grupo de edad ",$X$54),"")</f>
        <v/>
      </c>
      <c r="CQ57" s="2235" t="str">
        <f t="shared" ref="CQ57:CQ73" si="155">IF(Z57&lt;AA57,CONCATENATE("* El total de procesados debe ser mayor o igual al total de Reactivos en el grupo de edad ",$Z$54),"")</f>
        <v/>
      </c>
      <c r="CR57" s="2235" t="str">
        <f t="shared" ref="CR57:CR73" si="156">IF(AB57&lt;AC57,CONCATENATE("* El total de procesados debe ser mayor o igual al total de Reactivos en el grupo de edad ",$AB$54),"")</f>
        <v/>
      </c>
      <c r="CS57" s="2235" t="str">
        <f t="shared" ref="CS57:CS73" si="157">IF(AD57&lt;AE57,CONCATENATE("* El total de procesados debe ser mayor o igual al total de Reactivos en el grupo de edad ",$AD$54),"")</f>
        <v/>
      </c>
      <c r="CT57" s="2235" t="str">
        <f t="shared" ref="CT57:CT73" si="158">IF(AF57&lt;AG57,CONCATENATE("* El total de procesados debe ser mayor o igual al total de Reactivos en el grupo de edad ",$AF$54),"")</f>
        <v/>
      </c>
      <c r="CU57" s="2235" t="str">
        <f t="shared" ref="CU57:CU73" si="159">IF(AH57&lt;AI57,CONCATENATE("* El total de procesados debe ser mayor o igual al total de Reactivos en el grupo de edad ",$AH$54),"")</f>
        <v/>
      </c>
      <c r="CV57" s="2235" t="str">
        <f t="shared" ref="CV57:CV73" si="160">IF(AJ57&lt;AK57,CONCATENATE("* El total de procesados debe ser mayor o igual al total de Reactivos en el grupo de edad ",$AJ$54),"")</f>
        <v/>
      </c>
      <c r="CW57" s="2235" t="str">
        <f t="shared" ref="CW57:CW73" si="161">IF(AL57&lt;AM57,CONCATENATE("* El total de procesados debe ser mayor o igual al total de Reactivos en el grupo de edad ",$AL$54),"")</f>
        <v/>
      </c>
      <c r="CX57" s="2235" t="str">
        <f t="shared" ref="CX57:CX73" si="162">IF(AN57&lt;AO57,CONCATENATE("* El total de procesados debe ser mayor o igual al total de Reactivos en el grupo de edad ",$AN$54),"")</f>
        <v/>
      </c>
      <c r="CY57" s="2235" t="str">
        <f t="shared" ref="CY57:CY73" si="163">IF(AP57&lt;AQ57,CONCATENATE("* El total de procesados debe ser mayor o igual al total de Reactivos en el grupo de edad ",$AP$54),"")</f>
        <v/>
      </c>
      <c r="CZ57" s="2235" t="str">
        <f t="shared" si="117"/>
        <v/>
      </c>
      <c r="DA57" s="1468">
        <f t="shared" si="118"/>
        <v>0</v>
      </c>
      <c r="DB57" s="1468">
        <f t="shared" si="119"/>
        <v>0</v>
      </c>
      <c r="DC57" s="1468">
        <f t="shared" si="120"/>
        <v>0</v>
      </c>
      <c r="DD57" s="1468">
        <f t="shared" si="121"/>
        <v>0</v>
      </c>
      <c r="DE57" s="1468">
        <f t="shared" si="122"/>
        <v>0</v>
      </c>
      <c r="DF57" s="1468">
        <f t="shared" si="123"/>
        <v>0</v>
      </c>
      <c r="DG57" s="1468">
        <f t="shared" si="124"/>
        <v>0</v>
      </c>
      <c r="DH57" s="1468">
        <f t="shared" si="125"/>
        <v>0</v>
      </c>
      <c r="DI57" s="1468">
        <f t="shared" si="126"/>
        <v>0</v>
      </c>
      <c r="DJ57" s="1468">
        <f t="shared" si="127"/>
        <v>0</v>
      </c>
      <c r="DK57" s="1468">
        <f t="shared" si="128"/>
        <v>0</v>
      </c>
      <c r="DL57" s="1468">
        <f t="shared" si="129"/>
        <v>0</v>
      </c>
      <c r="DM57" s="1468">
        <f t="shared" si="130"/>
        <v>0</v>
      </c>
      <c r="DN57" s="1468">
        <f t="shared" si="131"/>
        <v>0</v>
      </c>
      <c r="DO57" s="1468">
        <f t="shared" si="132"/>
        <v>0</v>
      </c>
      <c r="DP57" s="1468">
        <f t="shared" si="133"/>
        <v>0</v>
      </c>
      <c r="DQ57" s="1468">
        <f t="shared" si="134"/>
        <v>0</v>
      </c>
      <c r="DR57" s="1468">
        <f t="shared" si="135"/>
        <v>0</v>
      </c>
      <c r="DS57" s="1468">
        <f t="shared" si="136"/>
        <v>0</v>
      </c>
      <c r="DT57" s="1468">
        <f t="shared" si="137"/>
        <v>0</v>
      </c>
      <c r="DU57" s="1468">
        <f t="shared" si="138"/>
        <v>0</v>
      </c>
      <c r="DV57" s="1468">
        <f t="shared" si="139"/>
        <v>0</v>
      </c>
      <c r="DW57" s="1468">
        <f t="shared" si="140"/>
        <v>0</v>
      </c>
      <c r="DX57" s="1468">
        <f t="shared" si="141"/>
        <v>0</v>
      </c>
      <c r="DY57" s="1468">
        <f t="shared" si="142"/>
        <v>0</v>
      </c>
      <c r="DZ57" s="1468">
        <f t="shared" si="143"/>
        <v>0</v>
      </c>
    </row>
    <row r="58" spans="1:130" ht="16.149999999999999" customHeight="1" x14ac:dyDescent="0.25">
      <c r="A58" s="2040" t="s">
        <v>1784</v>
      </c>
      <c r="B58" s="2038">
        <f t="shared" si="110"/>
        <v>0</v>
      </c>
      <c r="C58" s="2084">
        <f t="shared" si="110"/>
        <v>0</v>
      </c>
      <c r="D58" s="1125"/>
      <c r="E58" s="1126"/>
      <c r="F58" s="1127"/>
      <c r="G58" s="1126"/>
      <c r="H58" s="1127"/>
      <c r="I58" s="1126"/>
      <c r="J58" s="1127"/>
      <c r="K58" s="1126"/>
      <c r="L58" s="1127"/>
      <c r="M58" s="1128"/>
      <c r="N58" s="1129"/>
      <c r="O58" s="1130"/>
      <c r="P58" s="1109"/>
      <c r="Q58" s="1130"/>
      <c r="R58" s="1109"/>
      <c r="S58" s="1130"/>
      <c r="T58" s="1109"/>
      <c r="U58" s="1130"/>
      <c r="V58" s="1109"/>
      <c r="W58" s="1130"/>
      <c r="X58" s="1109"/>
      <c r="Y58" s="1130"/>
      <c r="Z58" s="1109"/>
      <c r="AA58" s="1130"/>
      <c r="AB58" s="1109"/>
      <c r="AC58" s="1130"/>
      <c r="AD58" s="1109"/>
      <c r="AE58" s="1130"/>
      <c r="AF58" s="1109"/>
      <c r="AG58" s="1130"/>
      <c r="AH58" s="1109"/>
      <c r="AI58" s="1130"/>
      <c r="AJ58" s="1109"/>
      <c r="AK58" s="1130"/>
      <c r="AL58" s="1109"/>
      <c r="AM58" s="1130"/>
      <c r="AN58" s="1109"/>
      <c r="AO58" s="1130"/>
      <c r="AP58" s="1109"/>
      <c r="AQ58" s="1131"/>
      <c r="AR58" s="1132"/>
      <c r="AS58" s="1131"/>
      <c r="AT58" s="1129"/>
      <c r="AU58" s="1130"/>
      <c r="AV58" s="1109"/>
      <c r="AW58" s="1113"/>
      <c r="AX58" s="1193" t="str">
        <f t="shared" si="111"/>
        <v/>
      </c>
      <c r="AY58" s="1193"/>
      <c r="AZ58" s="1193"/>
      <c r="BA58" s="1193"/>
      <c r="BB58" s="1193"/>
      <c r="BC58" s="1193"/>
      <c r="BD58" s="1193"/>
      <c r="BE58" s="1193"/>
      <c r="BF58" s="1193"/>
      <c r="BG58" s="1193"/>
      <c r="BH58" s="1193"/>
      <c r="BI58" s="1187"/>
      <c r="BJ58" s="1187"/>
      <c r="BK58" s="1187"/>
      <c r="BL58" s="1187"/>
      <c r="BU58" s="1187"/>
      <c r="BW58" s="1580"/>
      <c r="CA58" s="2235" t="str">
        <f t="shared" si="112"/>
        <v/>
      </c>
      <c r="CB58" s="2235" t="str">
        <f t="shared" si="113"/>
        <v/>
      </c>
      <c r="CC58" s="2235" t="str">
        <f t="shared" si="114"/>
        <v/>
      </c>
      <c r="CD58" s="2235" t="str">
        <f t="shared" si="115"/>
        <v/>
      </c>
      <c r="CE58" s="2235" t="str">
        <f t="shared" si="116"/>
        <v/>
      </c>
      <c r="CF58" s="2235" t="str">
        <f t="shared" si="144"/>
        <v/>
      </c>
      <c r="CG58" s="2235" t="str">
        <f t="shared" si="145"/>
        <v/>
      </c>
      <c r="CH58" s="2235" t="str">
        <f t="shared" si="146"/>
        <v/>
      </c>
      <c r="CI58" s="2235" t="str">
        <f t="shared" si="147"/>
        <v/>
      </c>
      <c r="CJ58" s="2235" t="str">
        <f t="shared" si="148"/>
        <v/>
      </c>
      <c r="CK58" s="2235" t="str">
        <f t="shared" si="149"/>
        <v/>
      </c>
      <c r="CL58" s="2235" t="str">
        <f t="shared" si="150"/>
        <v/>
      </c>
      <c r="CM58" s="2235" t="str">
        <f t="shared" si="151"/>
        <v/>
      </c>
      <c r="CN58" s="2235" t="str">
        <f t="shared" si="152"/>
        <v/>
      </c>
      <c r="CO58" s="2235" t="str">
        <f t="shared" si="153"/>
        <v/>
      </c>
      <c r="CP58" s="2235" t="str">
        <f t="shared" si="154"/>
        <v/>
      </c>
      <c r="CQ58" s="2235" t="str">
        <f t="shared" si="155"/>
        <v/>
      </c>
      <c r="CR58" s="2235" t="str">
        <f t="shared" si="156"/>
        <v/>
      </c>
      <c r="CS58" s="2235" t="str">
        <f t="shared" si="157"/>
        <v/>
      </c>
      <c r="CT58" s="2235" t="str">
        <f t="shared" si="158"/>
        <v/>
      </c>
      <c r="CU58" s="2235" t="str">
        <f t="shared" si="159"/>
        <v/>
      </c>
      <c r="CV58" s="2235" t="str">
        <f t="shared" si="160"/>
        <v/>
      </c>
      <c r="CW58" s="2235" t="str">
        <f t="shared" si="161"/>
        <v/>
      </c>
      <c r="CX58" s="2235" t="str">
        <f t="shared" si="162"/>
        <v/>
      </c>
      <c r="CY58" s="2235" t="str">
        <f t="shared" si="163"/>
        <v/>
      </c>
      <c r="CZ58" s="2235" t="str">
        <f t="shared" si="117"/>
        <v/>
      </c>
      <c r="DA58" s="1468">
        <f t="shared" si="118"/>
        <v>0</v>
      </c>
      <c r="DB58" s="1468">
        <f t="shared" si="119"/>
        <v>0</v>
      </c>
      <c r="DC58" s="1468">
        <f t="shared" si="120"/>
        <v>0</v>
      </c>
      <c r="DD58" s="1468">
        <f t="shared" si="121"/>
        <v>0</v>
      </c>
      <c r="DE58" s="1468">
        <f t="shared" si="122"/>
        <v>0</v>
      </c>
      <c r="DF58" s="1468">
        <f t="shared" si="123"/>
        <v>0</v>
      </c>
      <c r="DG58" s="1468">
        <f t="shared" si="124"/>
        <v>0</v>
      </c>
      <c r="DH58" s="1468">
        <f t="shared" si="125"/>
        <v>0</v>
      </c>
      <c r="DI58" s="1468">
        <f t="shared" si="126"/>
        <v>0</v>
      </c>
      <c r="DJ58" s="1468">
        <f t="shared" si="127"/>
        <v>0</v>
      </c>
      <c r="DK58" s="1468">
        <f t="shared" si="128"/>
        <v>0</v>
      </c>
      <c r="DL58" s="1468">
        <f t="shared" si="129"/>
        <v>0</v>
      </c>
      <c r="DM58" s="1468">
        <f t="shared" si="130"/>
        <v>0</v>
      </c>
      <c r="DN58" s="1468">
        <f t="shared" si="131"/>
        <v>0</v>
      </c>
      <c r="DO58" s="1468">
        <f t="shared" si="132"/>
        <v>0</v>
      </c>
      <c r="DP58" s="1468">
        <f t="shared" si="133"/>
        <v>0</v>
      </c>
      <c r="DQ58" s="1468">
        <f t="shared" si="134"/>
        <v>0</v>
      </c>
      <c r="DR58" s="1468">
        <f t="shared" si="135"/>
        <v>0</v>
      </c>
      <c r="DS58" s="1468">
        <f t="shared" si="136"/>
        <v>0</v>
      </c>
      <c r="DT58" s="1468">
        <f t="shared" si="137"/>
        <v>0</v>
      </c>
      <c r="DU58" s="1468">
        <f t="shared" si="138"/>
        <v>0</v>
      </c>
      <c r="DV58" s="1468">
        <f t="shared" si="139"/>
        <v>0</v>
      </c>
      <c r="DW58" s="1468">
        <f t="shared" si="140"/>
        <v>0</v>
      </c>
      <c r="DX58" s="1468">
        <f t="shared" si="141"/>
        <v>0</v>
      </c>
      <c r="DY58" s="1468">
        <f t="shared" si="142"/>
        <v>0</v>
      </c>
      <c r="DZ58" s="1468">
        <f t="shared" si="143"/>
        <v>0</v>
      </c>
    </row>
    <row r="59" spans="1:130" ht="16.149999999999999" customHeight="1" x14ac:dyDescent="0.25">
      <c r="A59" s="2040" t="s">
        <v>1785</v>
      </c>
      <c r="B59" s="2038">
        <f t="shared" si="110"/>
        <v>0</v>
      </c>
      <c r="C59" s="2084">
        <f t="shared" si="110"/>
        <v>0</v>
      </c>
      <c r="D59" s="1125"/>
      <c r="E59" s="1126"/>
      <c r="F59" s="1127"/>
      <c r="G59" s="1126"/>
      <c r="H59" s="1127"/>
      <c r="I59" s="1126"/>
      <c r="J59" s="1127"/>
      <c r="K59" s="1126"/>
      <c r="L59" s="1127"/>
      <c r="M59" s="1128"/>
      <c r="N59" s="1129"/>
      <c r="O59" s="1130"/>
      <c r="P59" s="1109"/>
      <c r="Q59" s="1130"/>
      <c r="R59" s="1109"/>
      <c r="S59" s="1130"/>
      <c r="T59" s="1109"/>
      <c r="U59" s="1130"/>
      <c r="V59" s="1109"/>
      <c r="W59" s="1130"/>
      <c r="X59" s="1109"/>
      <c r="Y59" s="1130"/>
      <c r="Z59" s="1109"/>
      <c r="AA59" s="1130"/>
      <c r="AB59" s="1109"/>
      <c r="AC59" s="1130"/>
      <c r="AD59" s="1109"/>
      <c r="AE59" s="1130"/>
      <c r="AF59" s="1109"/>
      <c r="AG59" s="1130"/>
      <c r="AH59" s="1109"/>
      <c r="AI59" s="1130"/>
      <c r="AJ59" s="1109"/>
      <c r="AK59" s="1130"/>
      <c r="AL59" s="1109"/>
      <c r="AM59" s="1130"/>
      <c r="AN59" s="1109"/>
      <c r="AO59" s="1130"/>
      <c r="AP59" s="1109"/>
      <c r="AQ59" s="1131"/>
      <c r="AR59" s="1132"/>
      <c r="AS59" s="1131"/>
      <c r="AT59" s="1129"/>
      <c r="AU59" s="1130"/>
      <c r="AV59" s="1109"/>
      <c r="AW59" s="1113"/>
      <c r="AX59" s="1193" t="str">
        <f t="shared" si="111"/>
        <v/>
      </c>
      <c r="AY59" s="1193"/>
      <c r="AZ59" s="1193"/>
      <c r="BA59" s="1193"/>
      <c r="BB59" s="1193"/>
      <c r="BC59" s="1193"/>
      <c r="BD59" s="1193"/>
      <c r="BE59" s="1193"/>
      <c r="BF59" s="1193"/>
      <c r="BG59" s="1193"/>
      <c r="BH59" s="1193"/>
      <c r="BI59" s="1187"/>
      <c r="BJ59" s="1187"/>
      <c r="BK59" s="1187"/>
      <c r="BL59" s="1187"/>
      <c r="BU59" s="1187"/>
      <c r="BW59" s="1580"/>
      <c r="CA59" s="2235" t="str">
        <f t="shared" si="112"/>
        <v/>
      </c>
      <c r="CB59" s="2235" t="str">
        <f t="shared" si="113"/>
        <v/>
      </c>
      <c r="CC59" s="2235" t="str">
        <f t="shared" si="114"/>
        <v/>
      </c>
      <c r="CD59" s="2235" t="str">
        <f t="shared" si="115"/>
        <v/>
      </c>
      <c r="CE59" s="2235" t="str">
        <f t="shared" si="116"/>
        <v/>
      </c>
      <c r="CF59" s="2235" t="str">
        <f t="shared" si="144"/>
        <v/>
      </c>
      <c r="CG59" s="2235" t="str">
        <f t="shared" si="145"/>
        <v/>
      </c>
      <c r="CH59" s="2235" t="str">
        <f t="shared" si="146"/>
        <v/>
      </c>
      <c r="CI59" s="2235" t="str">
        <f t="shared" si="147"/>
        <v/>
      </c>
      <c r="CJ59" s="2235" t="str">
        <f t="shared" si="148"/>
        <v/>
      </c>
      <c r="CK59" s="2235" t="str">
        <f t="shared" si="149"/>
        <v/>
      </c>
      <c r="CL59" s="2235" t="str">
        <f t="shared" si="150"/>
        <v/>
      </c>
      <c r="CM59" s="2235" t="str">
        <f t="shared" si="151"/>
        <v/>
      </c>
      <c r="CN59" s="2235" t="str">
        <f t="shared" si="152"/>
        <v/>
      </c>
      <c r="CO59" s="2235" t="str">
        <f t="shared" si="153"/>
        <v/>
      </c>
      <c r="CP59" s="2235" t="str">
        <f t="shared" si="154"/>
        <v/>
      </c>
      <c r="CQ59" s="2235" t="str">
        <f t="shared" si="155"/>
        <v/>
      </c>
      <c r="CR59" s="2235" t="str">
        <f t="shared" si="156"/>
        <v/>
      </c>
      <c r="CS59" s="2235" t="str">
        <f t="shared" si="157"/>
        <v/>
      </c>
      <c r="CT59" s="2235" t="str">
        <f t="shared" si="158"/>
        <v/>
      </c>
      <c r="CU59" s="2235" t="str">
        <f t="shared" si="159"/>
        <v/>
      </c>
      <c r="CV59" s="2235" t="str">
        <f t="shared" si="160"/>
        <v/>
      </c>
      <c r="CW59" s="2235" t="str">
        <f t="shared" si="161"/>
        <v/>
      </c>
      <c r="CX59" s="2235" t="str">
        <f t="shared" si="162"/>
        <v/>
      </c>
      <c r="CY59" s="2235" t="str">
        <f t="shared" si="163"/>
        <v/>
      </c>
      <c r="CZ59" s="2235" t="str">
        <f t="shared" si="117"/>
        <v/>
      </c>
      <c r="DA59" s="1468">
        <f t="shared" si="118"/>
        <v>0</v>
      </c>
      <c r="DB59" s="1468">
        <f t="shared" si="119"/>
        <v>0</v>
      </c>
      <c r="DC59" s="1468">
        <f t="shared" si="120"/>
        <v>0</v>
      </c>
      <c r="DD59" s="1468">
        <f t="shared" si="121"/>
        <v>0</v>
      </c>
      <c r="DE59" s="1468">
        <f t="shared" si="122"/>
        <v>0</v>
      </c>
      <c r="DF59" s="1468">
        <f t="shared" si="123"/>
        <v>0</v>
      </c>
      <c r="DG59" s="1468">
        <f t="shared" si="124"/>
        <v>0</v>
      </c>
      <c r="DH59" s="1468">
        <f t="shared" si="125"/>
        <v>0</v>
      </c>
      <c r="DI59" s="1468">
        <f t="shared" si="126"/>
        <v>0</v>
      </c>
      <c r="DJ59" s="1468">
        <f t="shared" si="127"/>
        <v>0</v>
      </c>
      <c r="DK59" s="1468">
        <f t="shared" si="128"/>
        <v>0</v>
      </c>
      <c r="DL59" s="1468">
        <f t="shared" si="129"/>
        <v>0</v>
      </c>
      <c r="DM59" s="1468">
        <f t="shared" si="130"/>
        <v>0</v>
      </c>
      <c r="DN59" s="1468">
        <f t="shared" si="131"/>
        <v>0</v>
      </c>
      <c r="DO59" s="1468">
        <f t="shared" si="132"/>
        <v>0</v>
      </c>
      <c r="DP59" s="1468">
        <f t="shared" si="133"/>
        <v>0</v>
      </c>
      <c r="DQ59" s="1468">
        <f t="shared" si="134"/>
        <v>0</v>
      </c>
      <c r="DR59" s="1468">
        <f t="shared" si="135"/>
        <v>0</v>
      </c>
      <c r="DS59" s="1468">
        <f t="shared" si="136"/>
        <v>0</v>
      </c>
      <c r="DT59" s="1468">
        <f t="shared" si="137"/>
        <v>0</v>
      </c>
      <c r="DU59" s="1468">
        <f t="shared" si="138"/>
        <v>0</v>
      </c>
      <c r="DV59" s="1468">
        <f t="shared" si="139"/>
        <v>0</v>
      </c>
      <c r="DW59" s="1468">
        <f t="shared" si="140"/>
        <v>0</v>
      </c>
      <c r="DX59" s="1468">
        <f t="shared" si="141"/>
        <v>0</v>
      </c>
      <c r="DY59" s="1468">
        <f t="shared" si="142"/>
        <v>0</v>
      </c>
      <c r="DZ59" s="1468">
        <f t="shared" si="143"/>
        <v>0</v>
      </c>
    </row>
    <row r="60" spans="1:130" ht="16.149999999999999" customHeight="1" x14ac:dyDescent="0.25">
      <c r="A60" s="2085" t="s">
        <v>1786</v>
      </c>
      <c r="B60" s="2038">
        <f t="shared" si="110"/>
        <v>0</v>
      </c>
      <c r="C60" s="2084">
        <f t="shared" si="110"/>
        <v>0</v>
      </c>
      <c r="D60" s="1125"/>
      <c r="E60" s="1126"/>
      <c r="F60" s="1127"/>
      <c r="G60" s="1126"/>
      <c r="H60" s="1127"/>
      <c r="I60" s="1126"/>
      <c r="J60" s="1127"/>
      <c r="K60" s="1126"/>
      <c r="L60" s="1127"/>
      <c r="M60" s="1128"/>
      <c r="N60" s="1129"/>
      <c r="O60" s="1130"/>
      <c r="P60" s="1109"/>
      <c r="Q60" s="1130"/>
      <c r="R60" s="1109"/>
      <c r="S60" s="1130"/>
      <c r="T60" s="1109"/>
      <c r="U60" s="1130"/>
      <c r="V60" s="1109"/>
      <c r="W60" s="1130"/>
      <c r="X60" s="1109"/>
      <c r="Y60" s="1130"/>
      <c r="Z60" s="1109"/>
      <c r="AA60" s="1130"/>
      <c r="AB60" s="1109"/>
      <c r="AC60" s="1130"/>
      <c r="AD60" s="1109"/>
      <c r="AE60" s="1130"/>
      <c r="AF60" s="1109"/>
      <c r="AG60" s="1130"/>
      <c r="AH60" s="1109"/>
      <c r="AI60" s="1130"/>
      <c r="AJ60" s="1109"/>
      <c r="AK60" s="1130"/>
      <c r="AL60" s="1109"/>
      <c r="AM60" s="1130"/>
      <c r="AN60" s="1109"/>
      <c r="AO60" s="1130"/>
      <c r="AP60" s="1109"/>
      <c r="AQ60" s="1131"/>
      <c r="AR60" s="1132"/>
      <c r="AS60" s="1131"/>
      <c r="AT60" s="1129"/>
      <c r="AU60" s="1130"/>
      <c r="AV60" s="1109"/>
      <c r="AW60" s="1113"/>
      <c r="AX60" s="1193" t="str">
        <f t="shared" si="111"/>
        <v/>
      </c>
      <c r="AY60" s="1193"/>
      <c r="AZ60" s="1193"/>
      <c r="BA60" s="1193"/>
      <c r="BB60" s="1193"/>
      <c r="BC60" s="1193"/>
      <c r="BD60" s="1193"/>
      <c r="BE60" s="1193"/>
      <c r="BF60" s="1193"/>
      <c r="BG60" s="1193"/>
      <c r="BH60" s="1193"/>
      <c r="BI60" s="1187"/>
      <c r="BJ60" s="1187"/>
      <c r="BK60" s="1187"/>
      <c r="BL60" s="1187"/>
      <c r="BU60" s="1187"/>
      <c r="BW60" s="1580"/>
      <c r="CA60" s="2235" t="str">
        <f t="shared" si="112"/>
        <v/>
      </c>
      <c r="CB60" s="2235" t="str">
        <f t="shared" si="113"/>
        <v/>
      </c>
      <c r="CC60" s="2235" t="str">
        <f t="shared" si="114"/>
        <v/>
      </c>
      <c r="CD60" s="2235" t="str">
        <f t="shared" si="115"/>
        <v/>
      </c>
      <c r="CE60" s="2235" t="str">
        <f t="shared" si="116"/>
        <v/>
      </c>
      <c r="CF60" s="2235" t="str">
        <f t="shared" si="144"/>
        <v/>
      </c>
      <c r="CG60" s="2235" t="str">
        <f t="shared" si="145"/>
        <v/>
      </c>
      <c r="CH60" s="2235" t="str">
        <f t="shared" si="146"/>
        <v/>
      </c>
      <c r="CI60" s="2235" t="str">
        <f t="shared" si="147"/>
        <v/>
      </c>
      <c r="CJ60" s="2235" t="str">
        <f t="shared" si="148"/>
        <v/>
      </c>
      <c r="CK60" s="2235" t="str">
        <f t="shared" si="149"/>
        <v/>
      </c>
      <c r="CL60" s="2235" t="str">
        <f t="shared" si="150"/>
        <v/>
      </c>
      <c r="CM60" s="2235" t="str">
        <f t="shared" si="151"/>
        <v/>
      </c>
      <c r="CN60" s="2235" t="str">
        <f t="shared" si="152"/>
        <v/>
      </c>
      <c r="CO60" s="2235" t="str">
        <f t="shared" si="153"/>
        <v/>
      </c>
      <c r="CP60" s="2235" t="str">
        <f t="shared" si="154"/>
        <v/>
      </c>
      <c r="CQ60" s="2235" t="str">
        <f t="shared" si="155"/>
        <v/>
      </c>
      <c r="CR60" s="2235" t="str">
        <f t="shared" si="156"/>
        <v/>
      </c>
      <c r="CS60" s="2235" t="str">
        <f t="shared" si="157"/>
        <v/>
      </c>
      <c r="CT60" s="2235" t="str">
        <f t="shared" si="158"/>
        <v/>
      </c>
      <c r="CU60" s="2235" t="str">
        <f t="shared" si="159"/>
        <v/>
      </c>
      <c r="CV60" s="2235" t="str">
        <f t="shared" si="160"/>
        <v/>
      </c>
      <c r="CW60" s="2235" t="str">
        <f t="shared" si="161"/>
        <v/>
      </c>
      <c r="CX60" s="2235" t="str">
        <f t="shared" si="162"/>
        <v/>
      </c>
      <c r="CY60" s="2235" t="str">
        <f t="shared" si="163"/>
        <v/>
      </c>
      <c r="CZ60" s="2235" t="str">
        <f t="shared" si="117"/>
        <v/>
      </c>
      <c r="DA60" s="1468">
        <f t="shared" si="118"/>
        <v>0</v>
      </c>
      <c r="DB60" s="1468">
        <f t="shared" si="119"/>
        <v>0</v>
      </c>
      <c r="DC60" s="1468">
        <f t="shared" si="120"/>
        <v>0</v>
      </c>
      <c r="DD60" s="1468">
        <f t="shared" si="121"/>
        <v>0</v>
      </c>
      <c r="DE60" s="1468">
        <f t="shared" si="122"/>
        <v>0</v>
      </c>
      <c r="DF60" s="1468">
        <f t="shared" si="123"/>
        <v>0</v>
      </c>
      <c r="DG60" s="1468">
        <f t="shared" si="124"/>
        <v>0</v>
      </c>
      <c r="DH60" s="1468">
        <f t="shared" si="125"/>
        <v>0</v>
      </c>
      <c r="DI60" s="1468">
        <f t="shared" si="126"/>
        <v>0</v>
      </c>
      <c r="DJ60" s="1468">
        <f t="shared" si="127"/>
        <v>0</v>
      </c>
      <c r="DK60" s="1468">
        <f t="shared" si="128"/>
        <v>0</v>
      </c>
      <c r="DL60" s="1468">
        <f t="shared" si="129"/>
        <v>0</v>
      </c>
      <c r="DM60" s="1468">
        <f t="shared" si="130"/>
        <v>0</v>
      </c>
      <c r="DN60" s="1468">
        <f t="shared" si="131"/>
        <v>0</v>
      </c>
      <c r="DO60" s="1468">
        <f t="shared" si="132"/>
        <v>0</v>
      </c>
      <c r="DP60" s="1468">
        <f t="shared" si="133"/>
        <v>0</v>
      </c>
      <c r="DQ60" s="1468">
        <f t="shared" si="134"/>
        <v>0</v>
      </c>
      <c r="DR60" s="1468">
        <f t="shared" si="135"/>
        <v>0</v>
      </c>
      <c r="DS60" s="1468">
        <f t="shared" si="136"/>
        <v>0</v>
      </c>
      <c r="DT60" s="1468">
        <f t="shared" si="137"/>
        <v>0</v>
      </c>
      <c r="DU60" s="1468">
        <f t="shared" si="138"/>
        <v>0</v>
      </c>
      <c r="DV60" s="1468">
        <f t="shared" si="139"/>
        <v>0</v>
      </c>
      <c r="DW60" s="1468">
        <f t="shared" si="140"/>
        <v>0</v>
      </c>
      <c r="DX60" s="1468">
        <f t="shared" si="141"/>
        <v>0</v>
      </c>
      <c r="DY60" s="1468">
        <f t="shared" si="142"/>
        <v>0</v>
      </c>
      <c r="DZ60" s="1468">
        <f t="shared" si="143"/>
        <v>0</v>
      </c>
    </row>
    <row r="61" spans="1:130" ht="19.5" customHeight="1" x14ac:dyDescent="0.25">
      <c r="A61" s="2085" t="s">
        <v>1787</v>
      </c>
      <c r="B61" s="2038">
        <f t="shared" si="110"/>
        <v>0</v>
      </c>
      <c r="C61" s="2084">
        <f t="shared" si="110"/>
        <v>0</v>
      </c>
      <c r="D61" s="1125"/>
      <c r="E61" s="1126"/>
      <c r="F61" s="1127"/>
      <c r="G61" s="1126"/>
      <c r="H61" s="1127"/>
      <c r="I61" s="1126"/>
      <c r="J61" s="1127"/>
      <c r="K61" s="1126"/>
      <c r="L61" s="1127"/>
      <c r="M61" s="1128"/>
      <c r="N61" s="1129"/>
      <c r="O61" s="1130"/>
      <c r="P61" s="1109"/>
      <c r="Q61" s="1130"/>
      <c r="R61" s="1109"/>
      <c r="S61" s="1130"/>
      <c r="T61" s="1109"/>
      <c r="U61" s="1130"/>
      <c r="V61" s="1109"/>
      <c r="W61" s="1130"/>
      <c r="X61" s="1109"/>
      <c r="Y61" s="1130"/>
      <c r="Z61" s="1109"/>
      <c r="AA61" s="1130"/>
      <c r="AB61" s="1109"/>
      <c r="AC61" s="1130"/>
      <c r="AD61" s="1109"/>
      <c r="AE61" s="1130"/>
      <c r="AF61" s="1109"/>
      <c r="AG61" s="1130"/>
      <c r="AH61" s="1109"/>
      <c r="AI61" s="1130"/>
      <c r="AJ61" s="1109"/>
      <c r="AK61" s="1130"/>
      <c r="AL61" s="1109"/>
      <c r="AM61" s="1130"/>
      <c r="AN61" s="1109"/>
      <c r="AO61" s="1130"/>
      <c r="AP61" s="1109"/>
      <c r="AQ61" s="1131"/>
      <c r="AR61" s="1129"/>
      <c r="AS61" s="1131"/>
      <c r="AT61" s="1129"/>
      <c r="AU61" s="1130"/>
      <c r="AV61" s="1109"/>
      <c r="AW61" s="1113"/>
      <c r="AX61" s="1193" t="str">
        <f t="shared" si="111"/>
        <v/>
      </c>
      <c r="AY61" s="1193"/>
      <c r="AZ61" s="1193"/>
      <c r="BA61" s="1193"/>
      <c r="BB61" s="1193"/>
      <c r="BC61" s="1193"/>
      <c r="BD61" s="1193"/>
      <c r="BE61" s="1193"/>
      <c r="BF61" s="1193"/>
      <c r="BG61" s="1193"/>
      <c r="BH61" s="1193"/>
      <c r="BI61" s="1187"/>
      <c r="BJ61" s="1187"/>
      <c r="BK61" s="1187"/>
      <c r="BL61" s="1187"/>
      <c r="BU61" s="1187"/>
      <c r="BW61" s="1580"/>
      <c r="CA61" s="2235" t="str">
        <f t="shared" si="112"/>
        <v/>
      </c>
      <c r="CB61" s="2235" t="str">
        <f t="shared" si="113"/>
        <v/>
      </c>
      <c r="CC61" s="2235" t="str">
        <f t="shared" si="114"/>
        <v/>
      </c>
      <c r="CD61" s="2235" t="str">
        <f t="shared" si="115"/>
        <v/>
      </c>
      <c r="CE61" s="2235" t="str">
        <f t="shared" si="116"/>
        <v/>
      </c>
      <c r="CF61" s="2235" t="str">
        <f t="shared" si="144"/>
        <v/>
      </c>
      <c r="CG61" s="2235" t="str">
        <f t="shared" si="145"/>
        <v/>
      </c>
      <c r="CH61" s="2235" t="str">
        <f t="shared" si="146"/>
        <v/>
      </c>
      <c r="CI61" s="2235" t="str">
        <f t="shared" si="147"/>
        <v/>
      </c>
      <c r="CJ61" s="2235" t="str">
        <f t="shared" si="148"/>
        <v/>
      </c>
      <c r="CK61" s="2235" t="str">
        <f t="shared" si="149"/>
        <v/>
      </c>
      <c r="CL61" s="2235" t="str">
        <f t="shared" si="150"/>
        <v/>
      </c>
      <c r="CM61" s="2235" t="str">
        <f t="shared" si="151"/>
        <v/>
      </c>
      <c r="CN61" s="2235" t="str">
        <f t="shared" si="152"/>
        <v/>
      </c>
      <c r="CO61" s="2235" t="str">
        <f t="shared" si="153"/>
        <v/>
      </c>
      <c r="CP61" s="2235" t="str">
        <f t="shared" si="154"/>
        <v/>
      </c>
      <c r="CQ61" s="2235" t="str">
        <f t="shared" si="155"/>
        <v/>
      </c>
      <c r="CR61" s="2235" t="str">
        <f t="shared" si="156"/>
        <v/>
      </c>
      <c r="CS61" s="2235" t="str">
        <f t="shared" si="157"/>
        <v/>
      </c>
      <c r="CT61" s="2235" t="str">
        <f t="shared" si="158"/>
        <v/>
      </c>
      <c r="CU61" s="2235" t="str">
        <f t="shared" si="159"/>
        <v/>
      </c>
      <c r="CV61" s="2235" t="str">
        <f t="shared" si="160"/>
        <v/>
      </c>
      <c r="CW61" s="2235" t="str">
        <f t="shared" si="161"/>
        <v/>
      </c>
      <c r="CX61" s="2235" t="str">
        <f t="shared" si="162"/>
        <v/>
      </c>
      <c r="CY61" s="2235" t="str">
        <f t="shared" si="163"/>
        <v/>
      </c>
      <c r="CZ61" s="2235" t="str">
        <f t="shared" si="117"/>
        <v/>
      </c>
      <c r="DA61" s="1468">
        <f t="shared" si="118"/>
        <v>0</v>
      </c>
      <c r="DB61" s="1468">
        <f t="shared" si="119"/>
        <v>0</v>
      </c>
      <c r="DC61" s="1468">
        <f t="shared" si="120"/>
        <v>0</v>
      </c>
      <c r="DD61" s="1468">
        <f t="shared" si="121"/>
        <v>0</v>
      </c>
      <c r="DE61" s="1468">
        <f t="shared" si="122"/>
        <v>0</v>
      </c>
      <c r="DF61" s="1468">
        <f t="shared" si="123"/>
        <v>0</v>
      </c>
      <c r="DG61" s="1468">
        <f t="shared" si="124"/>
        <v>0</v>
      </c>
      <c r="DH61" s="1468">
        <f t="shared" si="125"/>
        <v>0</v>
      </c>
      <c r="DI61" s="1468">
        <f t="shared" si="126"/>
        <v>0</v>
      </c>
      <c r="DJ61" s="1468">
        <f t="shared" si="127"/>
        <v>0</v>
      </c>
      <c r="DK61" s="1468">
        <f t="shared" si="128"/>
        <v>0</v>
      </c>
      <c r="DL61" s="1468">
        <f t="shared" si="129"/>
        <v>0</v>
      </c>
      <c r="DM61" s="1468">
        <f t="shared" si="130"/>
        <v>0</v>
      </c>
      <c r="DN61" s="1468">
        <f t="shared" si="131"/>
        <v>0</v>
      </c>
      <c r="DO61" s="1468">
        <f t="shared" si="132"/>
        <v>0</v>
      </c>
      <c r="DP61" s="1468">
        <f t="shared" si="133"/>
        <v>0</v>
      </c>
      <c r="DQ61" s="1468">
        <f t="shared" si="134"/>
        <v>0</v>
      </c>
      <c r="DR61" s="1468">
        <f t="shared" si="135"/>
        <v>0</v>
      </c>
      <c r="DS61" s="1468">
        <f t="shared" si="136"/>
        <v>0</v>
      </c>
      <c r="DT61" s="1468">
        <f t="shared" si="137"/>
        <v>0</v>
      </c>
      <c r="DU61" s="1468">
        <f t="shared" si="138"/>
        <v>0</v>
      </c>
      <c r="DV61" s="1468">
        <f t="shared" si="139"/>
        <v>0</v>
      </c>
      <c r="DW61" s="1468">
        <f t="shared" si="140"/>
        <v>0</v>
      </c>
      <c r="DX61" s="1468">
        <f t="shared" si="141"/>
        <v>0</v>
      </c>
      <c r="DY61" s="1468">
        <f t="shared" si="142"/>
        <v>0</v>
      </c>
      <c r="DZ61" s="1468">
        <f t="shared" si="143"/>
        <v>0</v>
      </c>
    </row>
    <row r="62" spans="1:130" ht="24.75" customHeight="1" x14ac:dyDescent="0.25">
      <c r="A62" s="2085" t="s">
        <v>1788</v>
      </c>
      <c r="B62" s="2038">
        <f t="shared" si="110"/>
        <v>0</v>
      </c>
      <c r="C62" s="2084">
        <f t="shared" si="110"/>
        <v>0</v>
      </c>
      <c r="D62" s="1125"/>
      <c r="E62" s="1126"/>
      <c r="F62" s="1127"/>
      <c r="G62" s="1126"/>
      <c r="H62" s="1127"/>
      <c r="I62" s="1126"/>
      <c r="J62" s="1127"/>
      <c r="K62" s="1126"/>
      <c r="L62" s="1127"/>
      <c r="M62" s="1128"/>
      <c r="N62" s="1129"/>
      <c r="O62" s="1130"/>
      <c r="P62" s="1109"/>
      <c r="Q62" s="1130"/>
      <c r="R62" s="1109"/>
      <c r="S62" s="1130"/>
      <c r="T62" s="1109"/>
      <c r="U62" s="1130"/>
      <c r="V62" s="1109"/>
      <c r="W62" s="1130"/>
      <c r="X62" s="1109"/>
      <c r="Y62" s="1130"/>
      <c r="Z62" s="1109"/>
      <c r="AA62" s="1130"/>
      <c r="AB62" s="1109"/>
      <c r="AC62" s="1130"/>
      <c r="AD62" s="1109"/>
      <c r="AE62" s="1130"/>
      <c r="AF62" s="1109"/>
      <c r="AG62" s="1130"/>
      <c r="AH62" s="1109"/>
      <c r="AI62" s="1130"/>
      <c r="AJ62" s="1109"/>
      <c r="AK62" s="1130"/>
      <c r="AL62" s="1109"/>
      <c r="AM62" s="1130"/>
      <c r="AN62" s="1109"/>
      <c r="AO62" s="1130"/>
      <c r="AP62" s="1109"/>
      <c r="AQ62" s="1131"/>
      <c r="AR62" s="1132"/>
      <c r="AS62" s="1131"/>
      <c r="AT62" s="1129"/>
      <c r="AU62" s="1130"/>
      <c r="AV62" s="1109"/>
      <c r="AW62" s="1113"/>
      <c r="AX62" s="1193" t="str">
        <f t="shared" si="111"/>
        <v/>
      </c>
      <c r="AY62" s="1193"/>
      <c r="AZ62" s="1193"/>
      <c r="BA62" s="1193"/>
      <c r="BB62" s="1193"/>
      <c r="BC62" s="1193"/>
      <c r="BD62" s="1193"/>
      <c r="BE62" s="1193"/>
      <c r="BF62" s="1193"/>
      <c r="BG62" s="1193"/>
      <c r="BH62" s="1193"/>
      <c r="BI62" s="1187"/>
      <c r="BJ62" s="1187"/>
      <c r="BK62" s="1187"/>
      <c r="BL62" s="1187"/>
      <c r="BU62" s="1187"/>
      <c r="BW62" s="1580"/>
      <c r="CA62" s="2235" t="str">
        <f t="shared" si="112"/>
        <v/>
      </c>
      <c r="CB62" s="2235" t="str">
        <f t="shared" si="113"/>
        <v/>
      </c>
      <c r="CC62" s="2235" t="str">
        <f t="shared" si="114"/>
        <v/>
      </c>
      <c r="CD62" s="2235" t="str">
        <f t="shared" si="115"/>
        <v/>
      </c>
      <c r="CE62" s="2235" t="str">
        <f t="shared" si="116"/>
        <v/>
      </c>
      <c r="CF62" s="2235" t="str">
        <f t="shared" si="144"/>
        <v/>
      </c>
      <c r="CG62" s="2235" t="str">
        <f t="shared" si="145"/>
        <v/>
      </c>
      <c r="CH62" s="2235" t="str">
        <f t="shared" si="146"/>
        <v/>
      </c>
      <c r="CI62" s="2235" t="str">
        <f t="shared" si="147"/>
        <v/>
      </c>
      <c r="CJ62" s="2235" t="str">
        <f t="shared" si="148"/>
        <v/>
      </c>
      <c r="CK62" s="2235" t="str">
        <f t="shared" si="149"/>
        <v/>
      </c>
      <c r="CL62" s="2235" t="str">
        <f t="shared" si="150"/>
        <v/>
      </c>
      <c r="CM62" s="2235" t="str">
        <f t="shared" si="151"/>
        <v/>
      </c>
      <c r="CN62" s="2235" t="str">
        <f t="shared" si="152"/>
        <v/>
      </c>
      <c r="CO62" s="2235" t="str">
        <f t="shared" si="153"/>
        <v/>
      </c>
      <c r="CP62" s="2235" t="str">
        <f t="shared" si="154"/>
        <v/>
      </c>
      <c r="CQ62" s="2235" t="str">
        <f t="shared" si="155"/>
        <v/>
      </c>
      <c r="CR62" s="2235" t="str">
        <f t="shared" si="156"/>
        <v/>
      </c>
      <c r="CS62" s="2235" t="str">
        <f t="shared" si="157"/>
        <v/>
      </c>
      <c r="CT62" s="2235" t="str">
        <f t="shared" si="158"/>
        <v/>
      </c>
      <c r="CU62" s="2235" t="str">
        <f t="shared" si="159"/>
        <v/>
      </c>
      <c r="CV62" s="2235" t="str">
        <f t="shared" si="160"/>
        <v/>
      </c>
      <c r="CW62" s="2235" t="str">
        <f t="shared" si="161"/>
        <v/>
      </c>
      <c r="CX62" s="2235" t="str">
        <f t="shared" si="162"/>
        <v/>
      </c>
      <c r="CY62" s="2235" t="str">
        <f t="shared" si="163"/>
        <v/>
      </c>
      <c r="CZ62" s="2235" t="str">
        <f t="shared" si="117"/>
        <v/>
      </c>
      <c r="DA62" s="1468">
        <f t="shared" si="118"/>
        <v>0</v>
      </c>
      <c r="DB62" s="1468">
        <f t="shared" si="119"/>
        <v>0</v>
      </c>
      <c r="DC62" s="1468">
        <f t="shared" si="120"/>
        <v>0</v>
      </c>
      <c r="DD62" s="1468">
        <f t="shared" si="121"/>
        <v>0</v>
      </c>
      <c r="DE62" s="1468">
        <f t="shared" si="122"/>
        <v>0</v>
      </c>
      <c r="DF62" s="1468">
        <f t="shared" si="123"/>
        <v>0</v>
      </c>
      <c r="DG62" s="1468">
        <f t="shared" si="124"/>
        <v>0</v>
      </c>
      <c r="DH62" s="1468">
        <f t="shared" si="125"/>
        <v>0</v>
      </c>
      <c r="DI62" s="1468">
        <f t="shared" si="126"/>
        <v>0</v>
      </c>
      <c r="DJ62" s="1468">
        <f t="shared" si="127"/>
        <v>0</v>
      </c>
      <c r="DK62" s="1468">
        <f t="shared" si="128"/>
        <v>0</v>
      </c>
      <c r="DL62" s="1468">
        <f t="shared" si="129"/>
        <v>0</v>
      </c>
      <c r="DM62" s="1468">
        <f t="shared" si="130"/>
        <v>0</v>
      </c>
      <c r="DN62" s="1468">
        <f t="shared" si="131"/>
        <v>0</v>
      </c>
      <c r="DO62" s="1468">
        <f t="shared" si="132"/>
        <v>0</v>
      </c>
      <c r="DP62" s="1468">
        <f t="shared" si="133"/>
        <v>0</v>
      </c>
      <c r="DQ62" s="1468">
        <f t="shared" si="134"/>
        <v>0</v>
      </c>
      <c r="DR62" s="1468">
        <f t="shared" si="135"/>
        <v>0</v>
      </c>
      <c r="DS62" s="1468">
        <f t="shared" si="136"/>
        <v>0</v>
      </c>
      <c r="DT62" s="1468">
        <f t="shared" si="137"/>
        <v>0</v>
      </c>
      <c r="DU62" s="1468">
        <f t="shared" si="138"/>
        <v>0</v>
      </c>
      <c r="DV62" s="1468">
        <f t="shared" si="139"/>
        <v>0</v>
      </c>
      <c r="DW62" s="1468">
        <f t="shared" si="140"/>
        <v>0</v>
      </c>
      <c r="DX62" s="1468">
        <f t="shared" si="141"/>
        <v>0</v>
      </c>
      <c r="DY62" s="1468">
        <f t="shared" si="142"/>
        <v>0</v>
      </c>
      <c r="DZ62" s="1468">
        <f t="shared" si="143"/>
        <v>0</v>
      </c>
    </row>
    <row r="63" spans="1:130" ht="16.149999999999999" customHeight="1" x14ac:dyDescent="0.25">
      <c r="A63" s="2040" t="s">
        <v>1789</v>
      </c>
      <c r="B63" s="2038">
        <f t="shared" si="110"/>
        <v>0</v>
      </c>
      <c r="C63" s="2084">
        <f t="shared" si="110"/>
        <v>0</v>
      </c>
      <c r="D63" s="1125"/>
      <c r="E63" s="1126"/>
      <c r="F63" s="1127"/>
      <c r="G63" s="1126"/>
      <c r="H63" s="1127"/>
      <c r="I63" s="1126"/>
      <c r="J63" s="1127"/>
      <c r="K63" s="1126"/>
      <c r="L63" s="1127"/>
      <c r="M63" s="1128"/>
      <c r="N63" s="1129"/>
      <c r="O63" s="1130"/>
      <c r="P63" s="1109"/>
      <c r="Q63" s="1130"/>
      <c r="R63" s="1109"/>
      <c r="S63" s="1130"/>
      <c r="T63" s="1109"/>
      <c r="U63" s="1130"/>
      <c r="V63" s="1109"/>
      <c r="W63" s="1130"/>
      <c r="X63" s="1109"/>
      <c r="Y63" s="1130"/>
      <c r="Z63" s="1109"/>
      <c r="AA63" s="1130"/>
      <c r="AB63" s="1109"/>
      <c r="AC63" s="1130"/>
      <c r="AD63" s="1109"/>
      <c r="AE63" s="1130"/>
      <c r="AF63" s="1109"/>
      <c r="AG63" s="1130"/>
      <c r="AH63" s="1109"/>
      <c r="AI63" s="1130"/>
      <c r="AJ63" s="1109"/>
      <c r="AK63" s="1130"/>
      <c r="AL63" s="1109"/>
      <c r="AM63" s="1130"/>
      <c r="AN63" s="1109"/>
      <c r="AO63" s="1130"/>
      <c r="AP63" s="1109"/>
      <c r="AQ63" s="1131"/>
      <c r="AR63" s="1132"/>
      <c r="AS63" s="1131"/>
      <c r="AT63" s="1129"/>
      <c r="AU63" s="1130"/>
      <c r="AV63" s="1109"/>
      <c r="AW63" s="1113"/>
      <c r="AX63" s="1193" t="str">
        <f t="shared" si="111"/>
        <v/>
      </c>
      <c r="AY63" s="1193"/>
      <c r="AZ63" s="1193"/>
      <c r="BA63" s="1193"/>
      <c r="BB63" s="1193"/>
      <c r="BC63" s="1193"/>
      <c r="BD63" s="1193"/>
      <c r="BE63" s="1193"/>
      <c r="BF63" s="1193"/>
      <c r="BG63" s="1193"/>
      <c r="BH63" s="1193"/>
      <c r="BI63" s="1187"/>
      <c r="BJ63" s="1187"/>
      <c r="BK63" s="1187"/>
      <c r="BL63" s="1187"/>
      <c r="BU63" s="1187"/>
      <c r="BW63" s="1580"/>
      <c r="CA63" s="2235" t="str">
        <f t="shared" si="112"/>
        <v/>
      </c>
      <c r="CB63" s="2235" t="str">
        <f t="shared" si="113"/>
        <v/>
      </c>
      <c r="CC63" s="2235" t="str">
        <f t="shared" si="114"/>
        <v/>
      </c>
      <c r="CD63" s="2235" t="str">
        <f t="shared" si="115"/>
        <v/>
      </c>
      <c r="CE63" s="2235" t="str">
        <f t="shared" si="116"/>
        <v/>
      </c>
      <c r="CF63" s="2235" t="str">
        <f t="shared" si="144"/>
        <v/>
      </c>
      <c r="CG63" s="2235" t="str">
        <f t="shared" si="145"/>
        <v/>
      </c>
      <c r="CH63" s="2235" t="str">
        <f t="shared" si="146"/>
        <v/>
      </c>
      <c r="CI63" s="2235" t="str">
        <f t="shared" si="147"/>
        <v/>
      </c>
      <c r="CJ63" s="2235" t="str">
        <f t="shared" si="148"/>
        <v/>
      </c>
      <c r="CK63" s="2235" t="str">
        <f t="shared" si="149"/>
        <v/>
      </c>
      <c r="CL63" s="2235" t="str">
        <f t="shared" si="150"/>
        <v/>
      </c>
      <c r="CM63" s="2235" t="str">
        <f t="shared" si="151"/>
        <v/>
      </c>
      <c r="CN63" s="2235" t="str">
        <f t="shared" si="152"/>
        <v/>
      </c>
      <c r="CO63" s="2235" t="str">
        <f t="shared" si="153"/>
        <v/>
      </c>
      <c r="CP63" s="2235" t="str">
        <f t="shared" si="154"/>
        <v/>
      </c>
      <c r="CQ63" s="2235" t="str">
        <f t="shared" si="155"/>
        <v/>
      </c>
      <c r="CR63" s="2235" t="str">
        <f t="shared" si="156"/>
        <v/>
      </c>
      <c r="CS63" s="2235" t="str">
        <f t="shared" si="157"/>
        <v/>
      </c>
      <c r="CT63" s="2235" t="str">
        <f t="shared" si="158"/>
        <v/>
      </c>
      <c r="CU63" s="2235" t="str">
        <f t="shared" si="159"/>
        <v/>
      </c>
      <c r="CV63" s="2235" t="str">
        <f t="shared" si="160"/>
        <v/>
      </c>
      <c r="CW63" s="2235" t="str">
        <f t="shared" si="161"/>
        <v/>
      </c>
      <c r="CX63" s="2235" t="str">
        <f t="shared" si="162"/>
        <v/>
      </c>
      <c r="CY63" s="2235" t="str">
        <f t="shared" si="163"/>
        <v/>
      </c>
      <c r="CZ63" s="2235" t="str">
        <f t="shared" si="117"/>
        <v/>
      </c>
      <c r="DA63" s="1468">
        <f t="shared" si="118"/>
        <v>0</v>
      </c>
      <c r="DB63" s="1468">
        <f t="shared" si="119"/>
        <v>0</v>
      </c>
      <c r="DC63" s="1468">
        <f t="shared" si="120"/>
        <v>0</v>
      </c>
      <c r="DD63" s="1468">
        <f t="shared" si="121"/>
        <v>0</v>
      </c>
      <c r="DE63" s="1468">
        <f t="shared" si="122"/>
        <v>0</v>
      </c>
      <c r="DF63" s="1468">
        <f t="shared" si="123"/>
        <v>0</v>
      </c>
      <c r="DG63" s="1468">
        <f t="shared" si="124"/>
        <v>0</v>
      </c>
      <c r="DH63" s="1468">
        <f t="shared" si="125"/>
        <v>0</v>
      </c>
      <c r="DI63" s="1468">
        <f t="shared" si="126"/>
        <v>0</v>
      </c>
      <c r="DJ63" s="1468">
        <f t="shared" si="127"/>
        <v>0</v>
      </c>
      <c r="DK63" s="1468">
        <f t="shared" si="128"/>
        <v>0</v>
      </c>
      <c r="DL63" s="1468">
        <f t="shared" si="129"/>
        <v>0</v>
      </c>
      <c r="DM63" s="1468">
        <f t="shared" si="130"/>
        <v>0</v>
      </c>
      <c r="DN63" s="1468">
        <f t="shared" si="131"/>
        <v>0</v>
      </c>
      <c r="DO63" s="1468">
        <f t="shared" si="132"/>
        <v>0</v>
      </c>
      <c r="DP63" s="1468">
        <f t="shared" si="133"/>
        <v>0</v>
      </c>
      <c r="DQ63" s="1468">
        <f t="shared" si="134"/>
        <v>0</v>
      </c>
      <c r="DR63" s="1468">
        <f t="shared" si="135"/>
        <v>0</v>
      </c>
      <c r="DS63" s="1468">
        <f t="shared" si="136"/>
        <v>0</v>
      </c>
      <c r="DT63" s="1468">
        <f t="shared" si="137"/>
        <v>0</v>
      </c>
      <c r="DU63" s="1468">
        <f t="shared" si="138"/>
        <v>0</v>
      </c>
      <c r="DV63" s="1468">
        <f t="shared" si="139"/>
        <v>0</v>
      </c>
      <c r="DW63" s="1468">
        <f t="shared" si="140"/>
        <v>0</v>
      </c>
      <c r="DX63" s="1468">
        <f t="shared" si="141"/>
        <v>0</v>
      </c>
      <c r="DY63" s="1468">
        <f t="shared" si="142"/>
        <v>0</v>
      </c>
      <c r="DZ63" s="1468">
        <f t="shared" si="143"/>
        <v>0</v>
      </c>
    </row>
    <row r="64" spans="1:130" ht="16.149999999999999" customHeight="1" x14ac:dyDescent="0.25">
      <c r="A64" s="2040" t="s">
        <v>1790</v>
      </c>
      <c r="B64" s="2038">
        <f>+D64+F64+H64+J64+L64+N64+P64+R64+T64+V64+X64+Z64+AB64+AD64+AF64+AH64+AJ64+AL64+AN64+AP64</f>
        <v>0</v>
      </c>
      <c r="C64" s="2084">
        <f>+E64+G64+I64+K64+M64+O64+Q64+S64+U64+W64+Y64+AA64+AC64+AE64+AG64+AI64+AK64+AM64+AO64+AQ64</f>
        <v>0</v>
      </c>
      <c r="D64" s="1129"/>
      <c r="E64" s="1130"/>
      <c r="F64" s="1109"/>
      <c r="G64" s="1130"/>
      <c r="H64" s="1109"/>
      <c r="I64" s="1113"/>
      <c r="J64" s="1129"/>
      <c r="K64" s="1129"/>
      <c r="L64" s="1109"/>
      <c r="M64" s="1113"/>
      <c r="N64" s="1129"/>
      <c r="O64" s="1130"/>
      <c r="P64" s="1109"/>
      <c r="Q64" s="1130"/>
      <c r="R64" s="1109"/>
      <c r="S64" s="1130"/>
      <c r="T64" s="1109"/>
      <c r="U64" s="1130"/>
      <c r="V64" s="1109"/>
      <c r="W64" s="1130"/>
      <c r="X64" s="1109"/>
      <c r="Y64" s="1130"/>
      <c r="Z64" s="1109"/>
      <c r="AA64" s="1130"/>
      <c r="AB64" s="1109"/>
      <c r="AC64" s="1130"/>
      <c r="AD64" s="1109"/>
      <c r="AE64" s="1130"/>
      <c r="AF64" s="1109"/>
      <c r="AG64" s="1130"/>
      <c r="AH64" s="1109"/>
      <c r="AI64" s="1130"/>
      <c r="AJ64" s="1109"/>
      <c r="AK64" s="1130"/>
      <c r="AL64" s="1109"/>
      <c r="AM64" s="1130"/>
      <c r="AN64" s="1109"/>
      <c r="AO64" s="1130"/>
      <c r="AP64" s="1109"/>
      <c r="AQ64" s="1131"/>
      <c r="AR64" s="1132"/>
      <c r="AS64" s="1131"/>
      <c r="AT64" s="1129"/>
      <c r="AU64" s="1130"/>
      <c r="AV64" s="1109"/>
      <c r="AW64" s="1113"/>
      <c r="AX64" s="1193" t="str">
        <f t="shared" si="111"/>
        <v/>
      </c>
      <c r="AY64" s="1193"/>
      <c r="AZ64" s="1193"/>
      <c r="BA64" s="1193"/>
      <c r="BB64" s="1193"/>
      <c r="BC64" s="1193"/>
      <c r="BD64" s="1193"/>
      <c r="BE64" s="1193"/>
      <c r="BF64" s="1193"/>
      <c r="BG64" s="1193"/>
      <c r="BH64" s="1193"/>
      <c r="BI64" s="1187"/>
      <c r="BJ64" s="1187"/>
      <c r="BK64" s="1187"/>
      <c r="BL64" s="1187"/>
      <c r="BU64" s="1187"/>
      <c r="BW64" s="1580"/>
      <c r="CA64" s="2235" t="str">
        <f t="shared" si="112"/>
        <v/>
      </c>
      <c r="CB64" s="2235" t="str">
        <f t="shared" si="113"/>
        <v/>
      </c>
      <c r="CC64" s="2235" t="str">
        <f t="shared" si="114"/>
        <v/>
      </c>
      <c r="CD64" s="2235" t="str">
        <f t="shared" si="115"/>
        <v/>
      </c>
      <c r="CE64" s="2235" t="str">
        <f t="shared" si="116"/>
        <v/>
      </c>
      <c r="CF64" s="2235" t="str">
        <f t="shared" si="144"/>
        <v/>
      </c>
      <c r="CG64" s="2235" t="str">
        <f t="shared" si="145"/>
        <v/>
      </c>
      <c r="CH64" s="2235" t="str">
        <f t="shared" si="146"/>
        <v/>
      </c>
      <c r="CI64" s="2235" t="str">
        <f t="shared" si="147"/>
        <v/>
      </c>
      <c r="CJ64" s="2235" t="str">
        <f t="shared" si="148"/>
        <v/>
      </c>
      <c r="CK64" s="2235" t="str">
        <f t="shared" si="149"/>
        <v/>
      </c>
      <c r="CL64" s="2235" t="str">
        <f t="shared" si="150"/>
        <v/>
      </c>
      <c r="CM64" s="2235" t="str">
        <f t="shared" si="151"/>
        <v/>
      </c>
      <c r="CN64" s="2235" t="str">
        <f t="shared" si="152"/>
        <v/>
      </c>
      <c r="CO64" s="2235" t="str">
        <f t="shared" si="153"/>
        <v/>
      </c>
      <c r="CP64" s="2235" t="str">
        <f t="shared" si="154"/>
        <v/>
      </c>
      <c r="CQ64" s="2235" t="str">
        <f t="shared" si="155"/>
        <v/>
      </c>
      <c r="CR64" s="2235" t="str">
        <f t="shared" si="156"/>
        <v/>
      </c>
      <c r="CS64" s="2235" t="str">
        <f t="shared" si="157"/>
        <v/>
      </c>
      <c r="CT64" s="2235" t="str">
        <f t="shared" si="158"/>
        <v/>
      </c>
      <c r="CU64" s="2235" t="str">
        <f t="shared" si="159"/>
        <v/>
      </c>
      <c r="CV64" s="2235" t="str">
        <f t="shared" si="160"/>
        <v/>
      </c>
      <c r="CW64" s="2235" t="str">
        <f t="shared" si="161"/>
        <v/>
      </c>
      <c r="CX64" s="2235" t="str">
        <f t="shared" si="162"/>
        <v/>
      </c>
      <c r="CY64" s="2235" t="str">
        <f t="shared" si="163"/>
        <v/>
      </c>
      <c r="CZ64" s="2235" t="str">
        <f t="shared" si="117"/>
        <v/>
      </c>
      <c r="DA64" s="1468">
        <f t="shared" si="118"/>
        <v>0</v>
      </c>
      <c r="DB64" s="1468">
        <f t="shared" si="119"/>
        <v>0</v>
      </c>
      <c r="DC64" s="1468">
        <f t="shared" si="120"/>
        <v>0</v>
      </c>
      <c r="DD64" s="1468">
        <f t="shared" si="121"/>
        <v>0</v>
      </c>
      <c r="DE64" s="1468">
        <f t="shared" si="122"/>
        <v>0</v>
      </c>
      <c r="DF64" s="1468">
        <f t="shared" si="123"/>
        <v>0</v>
      </c>
      <c r="DG64" s="1468">
        <f t="shared" si="124"/>
        <v>0</v>
      </c>
      <c r="DH64" s="1468">
        <f t="shared" si="125"/>
        <v>0</v>
      </c>
      <c r="DI64" s="1468">
        <f t="shared" si="126"/>
        <v>0</v>
      </c>
      <c r="DJ64" s="1468">
        <f t="shared" si="127"/>
        <v>0</v>
      </c>
      <c r="DK64" s="1468">
        <f t="shared" si="128"/>
        <v>0</v>
      </c>
      <c r="DL64" s="1468">
        <f t="shared" si="129"/>
        <v>0</v>
      </c>
      <c r="DM64" s="1468">
        <f t="shared" si="130"/>
        <v>0</v>
      </c>
      <c r="DN64" s="1468">
        <f t="shared" si="131"/>
        <v>0</v>
      </c>
      <c r="DO64" s="1468">
        <f t="shared" si="132"/>
        <v>0</v>
      </c>
      <c r="DP64" s="1468">
        <f t="shared" si="133"/>
        <v>0</v>
      </c>
      <c r="DQ64" s="1468">
        <f t="shared" si="134"/>
        <v>0</v>
      </c>
      <c r="DR64" s="1468">
        <f t="shared" si="135"/>
        <v>0</v>
      </c>
      <c r="DS64" s="1468">
        <f t="shared" si="136"/>
        <v>0</v>
      </c>
      <c r="DT64" s="1468">
        <f t="shared" si="137"/>
        <v>0</v>
      </c>
      <c r="DU64" s="1468">
        <f t="shared" si="138"/>
        <v>0</v>
      </c>
      <c r="DV64" s="1468">
        <f t="shared" si="139"/>
        <v>0</v>
      </c>
      <c r="DW64" s="1468">
        <f t="shared" si="140"/>
        <v>0</v>
      </c>
      <c r="DX64" s="1468">
        <f t="shared" si="141"/>
        <v>0</v>
      </c>
      <c r="DY64" s="1468">
        <f t="shared" si="142"/>
        <v>0</v>
      </c>
      <c r="DZ64" s="1468">
        <f t="shared" si="143"/>
        <v>0</v>
      </c>
    </row>
    <row r="65" spans="1:130" ht="24" customHeight="1" x14ac:dyDescent="0.25">
      <c r="A65" s="2085" t="s">
        <v>1791</v>
      </c>
      <c r="B65" s="2038">
        <f>+D65+F65+H65</f>
        <v>0</v>
      </c>
      <c r="C65" s="2084">
        <f>+E65+G65+I65</f>
        <v>0</v>
      </c>
      <c r="D65" s="1129"/>
      <c r="E65" s="1130"/>
      <c r="F65" s="1109"/>
      <c r="G65" s="1130"/>
      <c r="H65" s="1109"/>
      <c r="I65" s="1113"/>
      <c r="J65" s="1135"/>
      <c r="K65" s="1136"/>
      <c r="L65" s="1135"/>
      <c r="M65" s="1136"/>
      <c r="N65" s="1135"/>
      <c r="O65" s="1136"/>
      <c r="P65" s="1135"/>
      <c r="Q65" s="1136"/>
      <c r="R65" s="1135"/>
      <c r="S65" s="1136"/>
      <c r="T65" s="1135"/>
      <c r="U65" s="1136"/>
      <c r="V65" s="1135"/>
      <c r="W65" s="1136"/>
      <c r="X65" s="1135"/>
      <c r="Y65" s="1136"/>
      <c r="Z65" s="1135"/>
      <c r="AA65" s="1136"/>
      <c r="AB65" s="1135"/>
      <c r="AC65" s="1136"/>
      <c r="AD65" s="1135"/>
      <c r="AE65" s="1136"/>
      <c r="AF65" s="1135"/>
      <c r="AG65" s="1136"/>
      <c r="AH65" s="1135"/>
      <c r="AI65" s="1136"/>
      <c r="AJ65" s="1135"/>
      <c r="AK65" s="1136"/>
      <c r="AL65" s="1135"/>
      <c r="AM65" s="1136"/>
      <c r="AN65" s="1135"/>
      <c r="AO65" s="1136"/>
      <c r="AP65" s="1135"/>
      <c r="AQ65" s="1137"/>
      <c r="AR65" s="1129"/>
      <c r="AS65" s="1131"/>
      <c r="AT65" s="1129"/>
      <c r="AU65" s="1130"/>
      <c r="AV65" s="1109"/>
      <c r="AW65" s="1113"/>
      <c r="AX65" s="1193" t="str">
        <f t="shared" si="111"/>
        <v/>
      </c>
      <c r="AY65" s="1193"/>
      <c r="AZ65" s="1193"/>
      <c r="BA65" s="1193"/>
      <c r="BB65" s="1193"/>
      <c r="BC65" s="1193"/>
      <c r="BD65" s="1193"/>
      <c r="BE65" s="1193"/>
      <c r="BF65" s="1193"/>
      <c r="BG65" s="1193"/>
      <c r="BH65" s="1193"/>
      <c r="BI65" s="1187"/>
      <c r="BJ65" s="1187"/>
      <c r="BK65" s="1187"/>
      <c r="BL65" s="1187"/>
      <c r="BU65" s="1187"/>
      <c r="BW65" s="1580"/>
      <c r="CA65" s="2235" t="str">
        <f t="shared" si="112"/>
        <v/>
      </c>
      <c r="CB65" s="2235" t="str">
        <f t="shared" si="113"/>
        <v/>
      </c>
      <c r="CC65" s="2235" t="str">
        <f t="shared" si="114"/>
        <v/>
      </c>
      <c r="CD65" s="2235" t="str">
        <f t="shared" si="115"/>
        <v/>
      </c>
      <c r="CE65" s="2235" t="str">
        <f t="shared" si="116"/>
        <v/>
      </c>
      <c r="CF65" s="2235" t="str">
        <f t="shared" si="144"/>
        <v/>
      </c>
      <c r="CG65" s="2235" t="str">
        <f t="shared" si="145"/>
        <v/>
      </c>
      <c r="CH65" s="2235" t="str">
        <f t="shared" si="146"/>
        <v/>
      </c>
      <c r="CI65" s="2235" t="str">
        <f t="shared" si="147"/>
        <v/>
      </c>
      <c r="CJ65" s="2235" t="str">
        <f t="shared" si="148"/>
        <v/>
      </c>
      <c r="CK65" s="2235" t="str">
        <f t="shared" si="149"/>
        <v/>
      </c>
      <c r="CL65" s="2235" t="str">
        <f t="shared" si="150"/>
        <v/>
      </c>
      <c r="CM65" s="2235" t="str">
        <f t="shared" si="151"/>
        <v/>
      </c>
      <c r="CN65" s="2235" t="str">
        <f t="shared" si="152"/>
        <v/>
      </c>
      <c r="CO65" s="2235" t="str">
        <f t="shared" si="153"/>
        <v/>
      </c>
      <c r="CP65" s="2235" t="str">
        <f t="shared" si="154"/>
        <v/>
      </c>
      <c r="CQ65" s="2235" t="str">
        <f t="shared" si="155"/>
        <v/>
      </c>
      <c r="CR65" s="2235" t="str">
        <f t="shared" si="156"/>
        <v/>
      </c>
      <c r="CS65" s="2235" t="str">
        <f t="shared" si="157"/>
        <v/>
      </c>
      <c r="CT65" s="2235" t="str">
        <f t="shared" si="158"/>
        <v/>
      </c>
      <c r="CU65" s="2235" t="str">
        <f t="shared" si="159"/>
        <v/>
      </c>
      <c r="CV65" s="2235" t="str">
        <f t="shared" si="160"/>
        <v/>
      </c>
      <c r="CW65" s="2235" t="str">
        <f t="shared" si="161"/>
        <v/>
      </c>
      <c r="CX65" s="2235" t="str">
        <f t="shared" si="162"/>
        <v/>
      </c>
      <c r="CY65" s="2235" t="str">
        <f t="shared" si="163"/>
        <v/>
      </c>
      <c r="CZ65" s="2235" t="str">
        <f t="shared" si="117"/>
        <v/>
      </c>
      <c r="DA65" s="1468">
        <f t="shared" si="118"/>
        <v>0</v>
      </c>
      <c r="DB65" s="1468">
        <f t="shared" si="119"/>
        <v>0</v>
      </c>
      <c r="DC65" s="1468">
        <f t="shared" si="120"/>
        <v>0</v>
      </c>
      <c r="DD65" s="1468">
        <f t="shared" si="121"/>
        <v>0</v>
      </c>
      <c r="DE65" s="1468">
        <f t="shared" si="122"/>
        <v>0</v>
      </c>
      <c r="DF65" s="1468">
        <f t="shared" si="123"/>
        <v>0</v>
      </c>
      <c r="DG65" s="1468">
        <f t="shared" si="124"/>
        <v>0</v>
      </c>
      <c r="DH65" s="1468">
        <f t="shared" si="125"/>
        <v>0</v>
      </c>
      <c r="DI65" s="1468">
        <f t="shared" si="126"/>
        <v>0</v>
      </c>
      <c r="DJ65" s="1468">
        <f t="shared" si="127"/>
        <v>0</v>
      </c>
      <c r="DK65" s="1468">
        <f t="shared" si="128"/>
        <v>0</v>
      </c>
      <c r="DL65" s="1468">
        <f t="shared" si="129"/>
        <v>0</v>
      </c>
      <c r="DM65" s="1468">
        <f t="shared" si="130"/>
        <v>0</v>
      </c>
      <c r="DN65" s="1468">
        <f t="shared" si="131"/>
        <v>0</v>
      </c>
      <c r="DO65" s="1468">
        <f t="shared" si="132"/>
        <v>0</v>
      </c>
      <c r="DP65" s="1468">
        <f t="shared" si="133"/>
        <v>0</v>
      </c>
      <c r="DQ65" s="1468">
        <f t="shared" si="134"/>
        <v>0</v>
      </c>
      <c r="DR65" s="1468">
        <f t="shared" si="135"/>
        <v>0</v>
      </c>
      <c r="DS65" s="1468">
        <f t="shared" si="136"/>
        <v>0</v>
      </c>
      <c r="DT65" s="1468">
        <f t="shared" si="137"/>
        <v>0</v>
      </c>
      <c r="DU65" s="1468">
        <f t="shared" si="138"/>
        <v>0</v>
      </c>
      <c r="DV65" s="1468">
        <f t="shared" si="139"/>
        <v>0</v>
      </c>
      <c r="DW65" s="1468">
        <f t="shared" si="140"/>
        <v>0</v>
      </c>
      <c r="DX65" s="1468">
        <f t="shared" si="141"/>
        <v>0</v>
      </c>
      <c r="DY65" s="1468">
        <f t="shared" si="142"/>
        <v>0</v>
      </c>
      <c r="DZ65" s="1468">
        <f t="shared" si="143"/>
        <v>0</v>
      </c>
    </row>
    <row r="66" spans="1:130" ht="18.75" customHeight="1" x14ac:dyDescent="0.25">
      <c r="A66" s="2085" t="s">
        <v>1792</v>
      </c>
      <c r="B66" s="2038">
        <f>+P66+R66+T66+V66+X66+Z66+AB66+AD66+AF66+AH66+AJ66+AL66+AN66+AP66</f>
        <v>0</v>
      </c>
      <c r="C66" s="2084">
        <f>+Q66+S66+U66+W66+Y66+AA66+AC66+AE66+AG66+AI66+AK66+AM66+AO66+AQ66</f>
        <v>0</v>
      </c>
      <c r="D66" s="1125"/>
      <c r="E66" s="1126"/>
      <c r="F66" s="1127"/>
      <c r="G66" s="1126"/>
      <c r="H66" s="1127"/>
      <c r="I66" s="1126"/>
      <c r="J66" s="1127"/>
      <c r="K66" s="1126"/>
      <c r="L66" s="1127"/>
      <c r="M66" s="1128"/>
      <c r="N66" s="1125"/>
      <c r="O66" s="1126"/>
      <c r="P66" s="1109"/>
      <c r="Q66" s="1130"/>
      <c r="R66" s="1109"/>
      <c r="S66" s="1130"/>
      <c r="T66" s="1109"/>
      <c r="U66" s="1130"/>
      <c r="V66" s="1109"/>
      <c r="W66" s="1130"/>
      <c r="X66" s="1109"/>
      <c r="Y66" s="1130"/>
      <c r="Z66" s="1109"/>
      <c r="AA66" s="1130"/>
      <c r="AB66" s="1109"/>
      <c r="AC66" s="1130"/>
      <c r="AD66" s="1109"/>
      <c r="AE66" s="1130"/>
      <c r="AF66" s="1109"/>
      <c r="AG66" s="1130"/>
      <c r="AH66" s="1109"/>
      <c r="AI66" s="1130"/>
      <c r="AJ66" s="1109"/>
      <c r="AK66" s="1130"/>
      <c r="AL66" s="1109"/>
      <c r="AM66" s="1130"/>
      <c r="AN66" s="1109"/>
      <c r="AO66" s="1130"/>
      <c r="AP66" s="1109"/>
      <c r="AQ66" s="1131"/>
      <c r="AR66" s="1129"/>
      <c r="AS66" s="1131"/>
      <c r="AT66" s="1129"/>
      <c r="AU66" s="1130"/>
      <c r="AV66" s="1109"/>
      <c r="AW66" s="1113"/>
      <c r="AX66" s="1193" t="str">
        <f t="shared" si="111"/>
        <v/>
      </c>
      <c r="AY66" s="1193"/>
      <c r="AZ66" s="1193"/>
      <c r="BA66" s="1193"/>
      <c r="BB66" s="1193"/>
      <c r="BC66" s="1193"/>
      <c r="BD66" s="1193"/>
      <c r="BE66" s="1193"/>
      <c r="BF66" s="1193"/>
      <c r="BG66" s="1193"/>
      <c r="BH66" s="1193"/>
      <c r="BI66" s="1187"/>
      <c r="BJ66" s="1187"/>
      <c r="BK66" s="1187"/>
      <c r="BL66" s="1187"/>
      <c r="BU66" s="1187"/>
      <c r="BW66" s="1580"/>
      <c r="CA66" s="2235" t="str">
        <f t="shared" si="112"/>
        <v/>
      </c>
      <c r="CB66" s="2235" t="str">
        <f t="shared" si="113"/>
        <v/>
      </c>
      <c r="CC66" s="2235" t="str">
        <f t="shared" si="114"/>
        <v/>
      </c>
      <c r="CD66" s="2235" t="str">
        <f t="shared" si="115"/>
        <v/>
      </c>
      <c r="CE66" s="2235" t="str">
        <f t="shared" si="116"/>
        <v/>
      </c>
      <c r="CF66" s="2235" t="str">
        <f t="shared" si="144"/>
        <v/>
      </c>
      <c r="CG66" s="2235" t="str">
        <f t="shared" si="145"/>
        <v/>
      </c>
      <c r="CH66" s="2235" t="str">
        <f t="shared" si="146"/>
        <v/>
      </c>
      <c r="CI66" s="2235" t="str">
        <f t="shared" si="147"/>
        <v/>
      </c>
      <c r="CJ66" s="2235" t="str">
        <f t="shared" si="148"/>
        <v/>
      </c>
      <c r="CK66" s="2235" t="str">
        <f t="shared" si="149"/>
        <v/>
      </c>
      <c r="CL66" s="2235" t="str">
        <f t="shared" si="150"/>
        <v/>
      </c>
      <c r="CM66" s="2235" t="str">
        <f t="shared" si="151"/>
        <v/>
      </c>
      <c r="CN66" s="2235" t="str">
        <f t="shared" si="152"/>
        <v/>
      </c>
      <c r="CO66" s="2235" t="str">
        <f t="shared" si="153"/>
        <v/>
      </c>
      <c r="CP66" s="2235" t="str">
        <f t="shared" si="154"/>
        <v/>
      </c>
      <c r="CQ66" s="2235" t="str">
        <f t="shared" si="155"/>
        <v/>
      </c>
      <c r="CR66" s="2235" t="str">
        <f t="shared" si="156"/>
        <v/>
      </c>
      <c r="CS66" s="2235" t="str">
        <f t="shared" si="157"/>
        <v/>
      </c>
      <c r="CT66" s="2235" t="str">
        <f t="shared" si="158"/>
        <v/>
      </c>
      <c r="CU66" s="2235" t="str">
        <f t="shared" si="159"/>
        <v/>
      </c>
      <c r="CV66" s="2235" t="str">
        <f t="shared" si="160"/>
        <v/>
      </c>
      <c r="CW66" s="2235" t="str">
        <f t="shared" si="161"/>
        <v/>
      </c>
      <c r="CX66" s="2235" t="str">
        <f t="shared" si="162"/>
        <v/>
      </c>
      <c r="CY66" s="2235" t="str">
        <f t="shared" si="163"/>
        <v/>
      </c>
      <c r="CZ66" s="2235" t="str">
        <f t="shared" si="117"/>
        <v/>
      </c>
      <c r="DA66" s="1468">
        <f t="shared" si="118"/>
        <v>0</v>
      </c>
      <c r="DB66" s="1468">
        <f t="shared" si="119"/>
        <v>0</v>
      </c>
      <c r="DC66" s="1468">
        <f t="shared" si="120"/>
        <v>0</v>
      </c>
      <c r="DD66" s="1468">
        <f t="shared" si="121"/>
        <v>0</v>
      </c>
      <c r="DE66" s="1468">
        <f t="shared" si="122"/>
        <v>0</v>
      </c>
      <c r="DF66" s="1468">
        <f t="shared" si="123"/>
        <v>0</v>
      </c>
      <c r="DG66" s="1468">
        <f t="shared" si="124"/>
        <v>0</v>
      </c>
      <c r="DH66" s="1468">
        <f t="shared" si="125"/>
        <v>0</v>
      </c>
      <c r="DI66" s="1468">
        <f t="shared" si="126"/>
        <v>0</v>
      </c>
      <c r="DJ66" s="1468">
        <f t="shared" si="127"/>
        <v>0</v>
      </c>
      <c r="DK66" s="1468">
        <f t="shared" si="128"/>
        <v>0</v>
      </c>
      <c r="DL66" s="1468">
        <f t="shared" si="129"/>
        <v>0</v>
      </c>
      <c r="DM66" s="1468">
        <f t="shared" si="130"/>
        <v>0</v>
      </c>
      <c r="DN66" s="1468">
        <f t="shared" si="131"/>
        <v>0</v>
      </c>
      <c r="DO66" s="1468">
        <f t="shared" si="132"/>
        <v>0</v>
      </c>
      <c r="DP66" s="1468">
        <f t="shared" si="133"/>
        <v>0</v>
      </c>
      <c r="DQ66" s="1468">
        <f t="shared" si="134"/>
        <v>0</v>
      </c>
      <c r="DR66" s="1468">
        <f t="shared" si="135"/>
        <v>0</v>
      </c>
      <c r="DS66" s="1468">
        <f t="shared" si="136"/>
        <v>0</v>
      </c>
      <c r="DT66" s="1468">
        <f t="shared" si="137"/>
        <v>0</v>
      </c>
      <c r="DU66" s="1468">
        <f t="shared" si="138"/>
        <v>0</v>
      </c>
      <c r="DV66" s="1468">
        <f t="shared" si="139"/>
        <v>0</v>
      </c>
      <c r="DW66" s="1468">
        <f t="shared" si="140"/>
        <v>0</v>
      </c>
      <c r="DX66" s="1468">
        <f t="shared" si="141"/>
        <v>0</v>
      </c>
      <c r="DY66" s="1468">
        <f t="shared" si="142"/>
        <v>0</v>
      </c>
      <c r="DZ66" s="1468">
        <f t="shared" si="143"/>
        <v>0</v>
      </c>
    </row>
    <row r="67" spans="1:130" ht="16.149999999999999" customHeight="1" x14ac:dyDescent="0.25">
      <c r="A67" s="2040" t="s">
        <v>1793</v>
      </c>
      <c r="B67" s="2038">
        <f>+N67+P67+R67+T67+V67+X67+Z67+AB67+AD67+AF67+AH67+AJ67+AL67+AN67+AP67</f>
        <v>0</v>
      </c>
      <c r="C67" s="2084">
        <f>+O67+Q67+S67+U67+W67+Y67+AA67+AC67+AE67+AG67+AI67+AK67+AM67+AO67+AQ67</f>
        <v>0</v>
      </c>
      <c r="D67" s="1132"/>
      <c r="E67" s="1136"/>
      <c r="F67" s="1135"/>
      <c r="G67" s="1136"/>
      <c r="H67" s="1135"/>
      <c r="I67" s="1138"/>
      <c r="J67" s="1132"/>
      <c r="K67" s="1132"/>
      <c r="L67" s="1135"/>
      <c r="M67" s="1138"/>
      <c r="N67" s="1129"/>
      <c r="O67" s="1130"/>
      <c r="P67" s="1109"/>
      <c r="Q67" s="1130"/>
      <c r="R67" s="1109"/>
      <c r="S67" s="1130"/>
      <c r="T67" s="1109"/>
      <c r="U67" s="1130"/>
      <c r="V67" s="1109"/>
      <c r="W67" s="1130"/>
      <c r="X67" s="1109"/>
      <c r="Y67" s="1130"/>
      <c r="Z67" s="1109"/>
      <c r="AA67" s="1130"/>
      <c r="AB67" s="1109"/>
      <c r="AC67" s="1130"/>
      <c r="AD67" s="1109"/>
      <c r="AE67" s="1130"/>
      <c r="AF67" s="1109"/>
      <c r="AG67" s="1130"/>
      <c r="AH67" s="1109"/>
      <c r="AI67" s="1130"/>
      <c r="AJ67" s="1109"/>
      <c r="AK67" s="1130"/>
      <c r="AL67" s="1109"/>
      <c r="AM67" s="1130"/>
      <c r="AN67" s="1109"/>
      <c r="AO67" s="1130"/>
      <c r="AP67" s="1109"/>
      <c r="AQ67" s="1131"/>
      <c r="AR67" s="1129"/>
      <c r="AS67" s="1131"/>
      <c r="AT67" s="1129"/>
      <c r="AU67" s="1130"/>
      <c r="AV67" s="1109"/>
      <c r="AW67" s="1113"/>
      <c r="AX67" s="1193" t="str">
        <f t="shared" si="111"/>
        <v/>
      </c>
      <c r="AY67" s="1193"/>
      <c r="AZ67" s="1193"/>
      <c r="BA67" s="1193"/>
      <c r="BB67" s="1193"/>
      <c r="BC67" s="1193"/>
      <c r="BD67" s="1193"/>
      <c r="BE67" s="1193"/>
      <c r="BF67" s="1193"/>
      <c r="BG67" s="1193"/>
      <c r="BH67" s="1193"/>
      <c r="BI67" s="1187"/>
      <c r="BJ67" s="1187"/>
      <c r="BK67" s="1187"/>
      <c r="BL67" s="1187"/>
      <c r="BU67" s="1187"/>
      <c r="BW67" s="1580"/>
      <c r="CA67" s="2235" t="str">
        <f t="shared" si="112"/>
        <v/>
      </c>
      <c r="CB67" s="2235" t="str">
        <f t="shared" si="113"/>
        <v/>
      </c>
      <c r="CC67" s="2235" t="str">
        <f t="shared" si="114"/>
        <v/>
      </c>
      <c r="CD67" s="2235" t="str">
        <f t="shared" si="115"/>
        <v/>
      </c>
      <c r="CE67" s="2235" t="str">
        <f t="shared" si="116"/>
        <v/>
      </c>
      <c r="CF67" s="2235" t="str">
        <f t="shared" si="144"/>
        <v/>
      </c>
      <c r="CG67" s="2235" t="str">
        <f t="shared" si="145"/>
        <v/>
      </c>
      <c r="CH67" s="2235" t="str">
        <f t="shared" si="146"/>
        <v/>
      </c>
      <c r="CI67" s="2235" t="str">
        <f t="shared" si="147"/>
        <v/>
      </c>
      <c r="CJ67" s="2235" t="str">
        <f t="shared" si="148"/>
        <v/>
      </c>
      <c r="CK67" s="2235" t="str">
        <f t="shared" si="149"/>
        <v/>
      </c>
      <c r="CL67" s="2235" t="str">
        <f t="shared" si="150"/>
        <v/>
      </c>
      <c r="CM67" s="2235" t="str">
        <f t="shared" si="151"/>
        <v/>
      </c>
      <c r="CN67" s="2235" t="str">
        <f t="shared" si="152"/>
        <v/>
      </c>
      <c r="CO67" s="2235" t="str">
        <f t="shared" si="153"/>
        <v/>
      </c>
      <c r="CP67" s="2235" t="str">
        <f t="shared" si="154"/>
        <v/>
      </c>
      <c r="CQ67" s="2235" t="str">
        <f t="shared" si="155"/>
        <v/>
      </c>
      <c r="CR67" s="2235" t="str">
        <f t="shared" si="156"/>
        <v/>
      </c>
      <c r="CS67" s="2235" t="str">
        <f t="shared" si="157"/>
        <v/>
      </c>
      <c r="CT67" s="2235" t="str">
        <f t="shared" si="158"/>
        <v/>
      </c>
      <c r="CU67" s="2235" t="str">
        <f t="shared" si="159"/>
        <v/>
      </c>
      <c r="CV67" s="2235" t="str">
        <f t="shared" si="160"/>
        <v/>
      </c>
      <c r="CW67" s="2235" t="str">
        <f t="shared" si="161"/>
        <v/>
      </c>
      <c r="CX67" s="2235" t="str">
        <f t="shared" si="162"/>
        <v/>
      </c>
      <c r="CY67" s="2235" t="str">
        <f t="shared" si="163"/>
        <v/>
      </c>
      <c r="CZ67" s="2235" t="str">
        <f t="shared" si="117"/>
        <v/>
      </c>
      <c r="DA67" s="1468">
        <f t="shared" si="118"/>
        <v>0</v>
      </c>
      <c r="DB67" s="1468">
        <f t="shared" si="119"/>
        <v>0</v>
      </c>
      <c r="DC67" s="1468">
        <f t="shared" si="120"/>
        <v>0</v>
      </c>
      <c r="DD67" s="1468">
        <f t="shared" si="121"/>
        <v>0</v>
      </c>
      <c r="DE67" s="1468">
        <f t="shared" si="122"/>
        <v>0</v>
      </c>
      <c r="DF67" s="1468">
        <f t="shared" si="123"/>
        <v>0</v>
      </c>
      <c r="DG67" s="1468">
        <f t="shared" si="124"/>
        <v>0</v>
      </c>
      <c r="DH67" s="1468">
        <f t="shared" si="125"/>
        <v>0</v>
      </c>
      <c r="DI67" s="1468">
        <f t="shared" si="126"/>
        <v>0</v>
      </c>
      <c r="DJ67" s="1468">
        <f t="shared" si="127"/>
        <v>0</v>
      </c>
      <c r="DK67" s="1468">
        <f t="shared" si="128"/>
        <v>0</v>
      </c>
      <c r="DL67" s="1468">
        <f t="shared" si="129"/>
        <v>0</v>
      </c>
      <c r="DM67" s="1468">
        <f t="shared" si="130"/>
        <v>0</v>
      </c>
      <c r="DN67" s="1468">
        <f t="shared" si="131"/>
        <v>0</v>
      </c>
      <c r="DO67" s="1468">
        <f t="shared" si="132"/>
        <v>0</v>
      </c>
      <c r="DP67" s="1468">
        <f t="shared" si="133"/>
        <v>0</v>
      </c>
      <c r="DQ67" s="1468">
        <f t="shared" si="134"/>
        <v>0</v>
      </c>
      <c r="DR67" s="1468">
        <f t="shared" si="135"/>
        <v>0</v>
      </c>
      <c r="DS67" s="1468">
        <f t="shared" si="136"/>
        <v>0</v>
      </c>
      <c r="DT67" s="1468">
        <f t="shared" si="137"/>
        <v>0</v>
      </c>
      <c r="DU67" s="1468">
        <f t="shared" si="138"/>
        <v>0</v>
      </c>
      <c r="DV67" s="1468">
        <f t="shared" si="139"/>
        <v>0</v>
      </c>
      <c r="DW67" s="1468">
        <f t="shared" si="140"/>
        <v>0</v>
      </c>
      <c r="DX67" s="1468">
        <f t="shared" si="141"/>
        <v>0</v>
      </c>
      <c r="DY67" s="1468">
        <f t="shared" si="142"/>
        <v>0</v>
      </c>
      <c r="DZ67" s="1468">
        <f t="shared" si="143"/>
        <v>0</v>
      </c>
    </row>
    <row r="68" spans="1:130" ht="16.149999999999999" customHeight="1" x14ac:dyDescent="0.25">
      <c r="A68" s="2040" t="s">
        <v>1794</v>
      </c>
      <c r="B68" s="2038">
        <f>+D68+F68+H68+J68+L68+N68+P68+R68+T68+V68+X68+Z68+AB68+AD68+AF68+AH68+AJ68+AL68+AN68+AP68</f>
        <v>0</v>
      </c>
      <c r="C68" s="2084">
        <f>+E68+G68+I68+K68+M68+O68+Q68+S68+U68+W68+Y68+AA68+AC68+AE68+AG68+AI68+AK68+AM68+AO68+AQ68</f>
        <v>0</v>
      </c>
      <c r="D68" s="1129"/>
      <c r="E68" s="1130"/>
      <c r="F68" s="1109"/>
      <c r="G68" s="1130"/>
      <c r="H68" s="1109"/>
      <c r="I68" s="1113"/>
      <c r="J68" s="1129"/>
      <c r="K68" s="1129"/>
      <c r="L68" s="1109"/>
      <c r="M68" s="1113"/>
      <c r="N68" s="1129"/>
      <c r="O68" s="1130"/>
      <c r="P68" s="1109"/>
      <c r="Q68" s="1130"/>
      <c r="R68" s="1109"/>
      <c r="S68" s="1130"/>
      <c r="T68" s="1109"/>
      <c r="U68" s="1130"/>
      <c r="V68" s="1109"/>
      <c r="W68" s="1130"/>
      <c r="X68" s="1109"/>
      <c r="Y68" s="1130"/>
      <c r="Z68" s="1109"/>
      <c r="AA68" s="1130"/>
      <c r="AB68" s="1109"/>
      <c r="AC68" s="1130"/>
      <c r="AD68" s="1109"/>
      <c r="AE68" s="1130"/>
      <c r="AF68" s="1109"/>
      <c r="AG68" s="1130"/>
      <c r="AH68" s="1109"/>
      <c r="AI68" s="1130"/>
      <c r="AJ68" s="1109"/>
      <c r="AK68" s="1130"/>
      <c r="AL68" s="1109"/>
      <c r="AM68" s="1130"/>
      <c r="AN68" s="1109"/>
      <c r="AO68" s="1130"/>
      <c r="AP68" s="1109"/>
      <c r="AQ68" s="1131"/>
      <c r="AR68" s="1129"/>
      <c r="AS68" s="1131"/>
      <c r="AT68" s="1129"/>
      <c r="AU68" s="1130"/>
      <c r="AV68" s="1109"/>
      <c r="AW68" s="1113"/>
      <c r="AX68" s="1193" t="str">
        <f t="shared" si="111"/>
        <v/>
      </c>
      <c r="AY68" s="1193"/>
      <c r="AZ68" s="1193"/>
      <c r="BA68" s="1193"/>
      <c r="BB68" s="1193"/>
      <c r="BC68" s="1193"/>
      <c r="BD68" s="1193"/>
      <c r="BE68" s="1193"/>
      <c r="BF68" s="1193"/>
      <c r="BG68" s="1193"/>
      <c r="BH68" s="1193"/>
      <c r="BI68" s="1187"/>
      <c r="BJ68" s="1187"/>
      <c r="BK68" s="1187"/>
      <c r="BL68" s="1187"/>
      <c r="BU68" s="1187"/>
      <c r="BW68" s="1580"/>
      <c r="CA68" s="2235" t="str">
        <f t="shared" si="112"/>
        <v/>
      </c>
      <c r="CB68" s="2235" t="str">
        <f t="shared" si="113"/>
        <v/>
      </c>
      <c r="CC68" s="2235" t="str">
        <f t="shared" si="114"/>
        <v/>
      </c>
      <c r="CD68" s="2235" t="str">
        <f t="shared" si="115"/>
        <v/>
      </c>
      <c r="CE68" s="2235" t="str">
        <f t="shared" si="116"/>
        <v/>
      </c>
      <c r="CF68" s="2235" t="str">
        <f t="shared" si="144"/>
        <v/>
      </c>
      <c r="CG68" s="2235" t="str">
        <f t="shared" si="145"/>
        <v/>
      </c>
      <c r="CH68" s="2235" t="str">
        <f t="shared" si="146"/>
        <v/>
      </c>
      <c r="CI68" s="2235" t="str">
        <f t="shared" si="147"/>
        <v/>
      </c>
      <c r="CJ68" s="2235" t="str">
        <f t="shared" si="148"/>
        <v/>
      </c>
      <c r="CK68" s="2235" t="str">
        <f t="shared" si="149"/>
        <v/>
      </c>
      <c r="CL68" s="2235" t="str">
        <f t="shared" si="150"/>
        <v/>
      </c>
      <c r="CM68" s="2235" t="str">
        <f t="shared" si="151"/>
        <v/>
      </c>
      <c r="CN68" s="2235" t="str">
        <f t="shared" si="152"/>
        <v/>
      </c>
      <c r="CO68" s="2235" t="str">
        <f t="shared" si="153"/>
        <v/>
      </c>
      <c r="CP68" s="2235" t="str">
        <f t="shared" si="154"/>
        <v/>
      </c>
      <c r="CQ68" s="2235" t="str">
        <f t="shared" si="155"/>
        <v/>
      </c>
      <c r="CR68" s="2235" t="str">
        <f t="shared" si="156"/>
        <v/>
      </c>
      <c r="CS68" s="2235" t="str">
        <f t="shared" si="157"/>
        <v/>
      </c>
      <c r="CT68" s="2235" t="str">
        <f t="shared" si="158"/>
        <v/>
      </c>
      <c r="CU68" s="2235" t="str">
        <f t="shared" si="159"/>
        <v/>
      </c>
      <c r="CV68" s="2235" t="str">
        <f t="shared" si="160"/>
        <v/>
      </c>
      <c r="CW68" s="2235" t="str">
        <f t="shared" si="161"/>
        <v/>
      </c>
      <c r="CX68" s="2235" t="str">
        <f t="shared" si="162"/>
        <v/>
      </c>
      <c r="CY68" s="2235" t="str">
        <f t="shared" si="163"/>
        <v/>
      </c>
      <c r="CZ68" s="2235" t="str">
        <f t="shared" si="117"/>
        <v/>
      </c>
      <c r="DA68" s="1468">
        <f t="shared" si="118"/>
        <v>0</v>
      </c>
      <c r="DB68" s="1468">
        <f t="shared" si="119"/>
        <v>0</v>
      </c>
      <c r="DC68" s="1468">
        <f t="shared" si="120"/>
        <v>0</v>
      </c>
      <c r="DD68" s="1468">
        <f t="shared" si="121"/>
        <v>0</v>
      </c>
      <c r="DE68" s="1468">
        <f t="shared" si="122"/>
        <v>0</v>
      </c>
      <c r="DF68" s="1468">
        <f t="shared" si="123"/>
        <v>0</v>
      </c>
      <c r="DG68" s="1468">
        <f t="shared" si="124"/>
        <v>0</v>
      </c>
      <c r="DH68" s="1468">
        <f t="shared" si="125"/>
        <v>0</v>
      </c>
      <c r="DI68" s="1468">
        <f t="shared" si="126"/>
        <v>0</v>
      </c>
      <c r="DJ68" s="1468">
        <f t="shared" si="127"/>
        <v>0</v>
      </c>
      <c r="DK68" s="1468">
        <f t="shared" si="128"/>
        <v>0</v>
      </c>
      <c r="DL68" s="1468">
        <f t="shared" si="129"/>
        <v>0</v>
      </c>
      <c r="DM68" s="1468">
        <f t="shared" si="130"/>
        <v>0</v>
      </c>
      <c r="DN68" s="1468">
        <f t="shared" si="131"/>
        <v>0</v>
      </c>
      <c r="DO68" s="1468">
        <f t="shared" si="132"/>
        <v>0</v>
      </c>
      <c r="DP68" s="1468">
        <f t="shared" si="133"/>
        <v>0</v>
      </c>
      <c r="DQ68" s="1468">
        <f t="shared" si="134"/>
        <v>0</v>
      </c>
      <c r="DR68" s="1468">
        <f t="shared" si="135"/>
        <v>0</v>
      </c>
      <c r="DS68" s="1468">
        <f t="shared" si="136"/>
        <v>0</v>
      </c>
      <c r="DT68" s="1468">
        <f t="shared" si="137"/>
        <v>0</v>
      </c>
      <c r="DU68" s="1468">
        <f t="shared" si="138"/>
        <v>0</v>
      </c>
      <c r="DV68" s="1468">
        <f t="shared" si="139"/>
        <v>0</v>
      </c>
      <c r="DW68" s="1468">
        <f t="shared" si="140"/>
        <v>0</v>
      </c>
      <c r="DX68" s="1468">
        <f t="shared" si="141"/>
        <v>0</v>
      </c>
      <c r="DY68" s="1468">
        <f t="shared" si="142"/>
        <v>0</v>
      </c>
      <c r="DZ68" s="1468">
        <f t="shared" si="143"/>
        <v>0</v>
      </c>
    </row>
    <row r="69" spans="1:130" ht="16.149999999999999" customHeight="1" x14ac:dyDescent="0.25">
      <c r="A69" s="2072" t="s">
        <v>2179</v>
      </c>
      <c r="B69" s="2038">
        <f>+P69+R69+T69+V69+X69+Z69+AB69+AD69+AF69+AH69+AJ69+AL69+AN69+AP69</f>
        <v>0</v>
      </c>
      <c r="C69" s="2084">
        <f>+Q69+S69+U69+W69+Y69+AA69+AC69+AE69+AG69+AI69+AK69+AM69+AO69+AQ69</f>
        <v>0</v>
      </c>
      <c r="D69" s="1125"/>
      <c r="E69" s="1126"/>
      <c r="F69" s="1127"/>
      <c r="G69" s="1126"/>
      <c r="H69" s="1127"/>
      <c r="I69" s="1126"/>
      <c r="J69" s="1127"/>
      <c r="K69" s="1126"/>
      <c r="L69" s="1127"/>
      <c r="M69" s="1128"/>
      <c r="N69" s="1125"/>
      <c r="O69" s="1126"/>
      <c r="P69" s="1109"/>
      <c r="Q69" s="1130"/>
      <c r="R69" s="1109"/>
      <c r="S69" s="1130"/>
      <c r="T69" s="1109"/>
      <c r="U69" s="1130"/>
      <c r="V69" s="1109"/>
      <c r="W69" s="1130"/>
      <c r="X69" s="1109"/>
      <c r="Y69" s="1130"/>
      <c r="Z69" s="1109"/>
      <c r="AA69" s="1130"/>
      <c r="AB69" s="1109"/>
      <c r="AC69" s="1130"/>
      <c r="AD69" s="1109"/>
      <c r="AE69" s="1130"/>
      <c r="AF69" s="1109"/>
      <c r="AG69" s="1130"/>
      <c r="AH69" s="1109"/>
      <c r="AI69" s="1130"/>
      <c r="AJ69" s="1109"/>
      <c r="AK69" s="1130"/>
      <c r="AL69" s="1109"/>
      <c r="AM69" s="1130"/>
      <c r="AN69" s="1109"/>
      <c r="AO69" s="1130"/>
      <c r="AP69" s="1109"/>
      <c r="AQ69" s="1131"/>
      <c r="AR69" s="1129"/>
      <c r="AS69" s="1131"/>
      <c r="AT69" s="1129"/>
      <c r="AU69" s="1130"/>
      <c r="AV69" s="1109"/>
      <c r="AW69" s="1113"/>
      <c r="AX69" s="1193" t="str">
        <f t="shared" si="111"/>
        <v/>
      </c>
      <c r="AY69" s="1193"/>
      <c r="AZ69" s="1193"/>
      <c r="BA69" s="1193"/>
      <c r="BB69" s="1193"/>
      <c r="BC69" s="1193"/>
      <c r="BD69" s="1193"/>
      <c r="BE69" s="1193"/>
      <c r="BF69" s="1193"/>
      <c r="BG69" s="1193"/>
      <c r="BH69" s="1193"/>
      <c r="BI69" s="1187"/>
      <c r="BJ69" s="1187"/>
      <c r="BK69" s="1187"/>
      <c r="BL69" s="1187"/>
      <c r="BU69" s="1187"/>
      <c r="BW69" s="1580"/>
      <c r="CA69" s="2235" t="str">
        <f t="shared" si="112"/>
        <v/>
      </c>
      <c r="CB69" s="2235" t="str">
        <f t="shared" si="113"/>
        <v/>
      </c>
      <c r="CC69" s="2235" t="str">
        <f t="shared" si="114"/>
        <v/>
      </c>
      <c r="CD69" s="2235" t="str">
        <f t="shared" si="115"/>
        <v/>
      </c>
      <c r="CE69" s="2235" t="str">
        <f t="shared" si="116"/>
        <v/>
      </c>
      <c r="CF69" s="2235" t="str">
        <f t="shared" si="144"/>
        <v/>
      </c>
      <c r="CG69" s="2235" t="str">
        <f t="shared" si="145"/>
        <v/>
      </c>
      <c r="CH69" s="2235" t="str">
        <f t="shared" si="146"/>
        <v/>
      </c>
      <c r="CI69" s="2235" t="str">
        <f t="shared" si="147"/>
        <v/>
      </c>
      <c r="CJ69" s="2235" t="str">
        <f t="shared" si="148"/>
        <v/>
      </c>
      <c r="CK69" s="2235" t="str">
        <f t="shared" si="149"/>
        <v/>
      </c>
      <c r="CL69" s="2235" t="str">
        <f t="shared" si="150"/>
        <v/>
      </c>
      <c r="CM69" s="2235" t="str">
        <f t="shared" si="151"/>
        <v/>
      </c>
      <c r="CN69" s="2235" t="str">
        <f t="shared" si="152"/>
        <v/>
      </c>
      <c r="CO69" s="2235" t="str">
        <f t="shared" si="153"/>
        <v/>
      </c>
      <c r="CP69" s="2235" t="str">
        <f t="shared" si="154"/>
        <v/>
      </c>
      <c r="CQ69" s="2235" t="str">
        <f t="shared" si="155"/>
        <v/>
      </c>
      <c r="CR69" s="2235" t="str">
        <f t="shared" si="156"/>
        <v/>
      </c>
      <c r="CS69" s="2235" t="str">
        <f t="shared" si="157"/>
        <v/>
      </c>
      <c r="CT69" s="2235" t="str">
        <f t="shared" si="158"/>
        <v/>
      </c>
      <c r="CU69" s="2235" t="str">
        <f t="shared" si="159"/>
        <v/>
      </c>
      <c r="CV69" s="2235" t="str">
        <f t="shared" si="160"/>
        <v/>
      </c>
      <c r="CW69" s="2235" t="str">
        <f t="shared" si="161"/>
        <v/>
      </c>
      <c r="CX69" s="2235" t="str">
        <f t="shared" si="162"/>
        <v/>
      </c>
      <c r="CY69" s="2235" t="str">
        <f t="shared" si="163"/>
        <v/>
      </c>
      <c r="CZ69" s="2235" t="str">
        <f t="shared" si="117"/>
        <v/>
      </c>
      <c r="DA69" s="1468">
        <f t="shared" si="118"/>
        <v>0</v>
      </c>
      <c r="DB69" s="1468">
        <f t="shared" si="119"/>
        <v>0</v>
      </c>
      <c r="DC69" s="1468">
        <f t="shared" si="120"/>
        <v>0</v>
      </c>
      <c r="DD69" s="1468">
        <f t="shared" si="121"/>
        <v>0</v>
      </c>
      <c r="DE69" s="1468">
        <f t="shared" si="122"/>
        <v>0</v>
      </c>
      <c r="DF69" s="1468">
        <f t="shared" si="123"/>
        <v>0</v>
      </c>
      <c r="DG69" s="1468">
        <f t="shared" si="124"/>
        <v>0</v>
      </c>
      <c r="DH69" s="1468">
        <f t="shared" si="125"/>
        <v>0</v>
      </c>
      <c r="DI69" s="1468">
        <f t="shared" si="126"/>
        <v>0</v>
      </c>
      <c r="DJ69" s="1468">
        <f t="shared" si="127"/>
        <v>0</v>
      </c>
      <c r="DK69" s="1468">
        <f t="shared" si="128"/>
        <v>0</v>
      </c>
      <c r="DL69" s="1468">
        <f t="shared" si="129"/>
        <v>0</v>
      </c>
      <c r="DM69" s="1468">
        <f t="shared" si="130"/>
        <v>0</v>
      </c>
      <c r="DN69" s="1468">
        <f t="shared" si="131"/>
        <v>0</v>
      </c>
      <c r="DO69" s="1468">
        <f t="shared" si="132"/>
        <v>0</v>
      </c>
      <c r="DP69" s="1468">
        <f t="shared" si="133"/>
        <v>0</v>
      </c>
      <c r="DQ69" s="1468">
        <f t="shared" si="134"/>
        <v>0</v>
      </c>
      <c r="DR69" s="1468">
        <f t="shared" si="135"/>
        <v>0</v>
      </c>
      <c r="DS69" s="1468">
        <f t="shared" si="136"/>
        <v>0</v>
      </c>
      <c r="DT69" s="1468">
        <f t="shared" si="137"/>
        <v>0</v>
      </c>
      <c r="DU69" s="1468">
        <f t="shared" si="138"/>
        <v>0</v>
      </c>
      <c r="DV69" s="1468">
        <f t="shared" si="139"/>
        <v>0</v>
      </c>
      <c r="DW69" s="1468">
        <f t="shared" si="140"/>
        <v>0</v>
      </c>
      <c r="DX69" s="1468">
        <f t="shared" si="141"/>
        <v>0</v>
      </c>
      <c r="DY69" s="1468">
        <f t="shared" si="142"/>
        <v>0</v>
      </c>
      <c r="DZ69" s="1468">
        <f t="shared" si="143"/>
        <v>0</v>
      </c>
    </row>
    <row r="70" spans="1:130" ht="16.149999999999999" customHeight="1" x14ac:dyDescent="0.25">
      <c r="A70" s="2040" t="s">
        <v>1795</v>
      </c>
      <c r="B70" s="2038">
        <f>+P70+R70+T70+V70+X70+Z70+AB70+AD70+AF70+AH70</f>
        <v>0</v>
      </c>
      <c r="C70" s="2084">
        <f>+Q70+S70+U70+W70+Y70+AA70+AC70+AE70+AG70+AI70</f>
        <v>0</v>
      </c>
      <c r="D70" s="1125"/>
      <c r="E70" s="1126"/>
      <c r="F70" s="1127"/>
      <c r="G70" s="1126"/>
      <c r="H70" s="1127"/>
      <c r="I70" s="1126"/>
      <c r="J70" s="1127"/>
      <c r="K70" s="1126"/>
      <c r="L70" s="1127"/>
      <c r="M70" s="1128"/>
      <c r="N70" s="1125"/>
      <c r="O70" s="1126"/>
      <c r="P70" s="1109"/>
      <c r="Q70" s="1130"/>
      <c r="R70" s="1109"/>
      <c r="S70" s="1130"/>
      <c r="T70" s="1109"/>
      <c r="U70" s="1130"/>
      <c r="V70" s="1109"/>
      <c r="W70" s="1130"/>
      <c r="X70" s="1109"/>
      <c r="Y70" s="1130"/>
      <c r="Z70" s="1109"/>
      <c r="AA70" s="1130"/>
      <c r="AB70" s="1109"/>
      <c r="AC70" s="1130"/>
      <c r="AD70" s="1109"/>
      <c r="AE70" s="1130"/>
      <c r="AF70" s="1109"/>
      <c r="AG70" s="1130"/>
      <c r="AH70" s="1109"/>
      <c r="AI70" s="1130"/>
      <c r="AJ70" s="1127"/>
      <c r="AK70" s="1126"/>
      <c r="AL70" s="1127"/>
      <c r="AM70" s="1126"/>
      <c r="AN70" s="1127"/>
      <c r="AO70" s="1126"/>
      <c r="AP70" s="1127"/>
      <c r="AQ70" s="1139"/>
      <c r="AR70" s="1129"/>
      <c r="AS70" s="1131"/>
      <c r="AT70" s="1129"/>
      <c r="AU70" s="1130"/>
      <c r="AV70" s="1109"/>
      <c r="AW70" s="1113"/>
      <c r="AX70" s="1193" t="str">
        <f t="shared" si="111"/>
        <v/>
      </c>
      <c r="AY70" s="1193"/>
      <c r="AZ70" s="1193"/>
      <c r="BA70" s="1193"/>
      <c r="BB70" s="1193"/>
      <c r="BC70" s="1193"/>
      <c r="BD70" s="1193"/>
      <c r="BE70" s="1193"/>
      <c r="BF70" s="1193"/>
      <c r="BG70" s="1193"/>
      <c r="BH70" s="1193"/>
      <c r="BI70" s="1187"/>
      <c r="BJ70" s="1187"/>
      <c r="BK70" s="1187"/>
      <c r="BL70" s="1187"/>
      <c r="BU70" s="1187"/>
      <c r="BW70" s="1580"/>
      <c r="CA70" s="2235" t="str">
        <f t="shared" si="112"/>
        <v/>
      </c>
      <c r="CB70" s="2235" t="str">
        <f t="shared" si="113"/>
        <v/>
      </c>
      <c r="CC70" s="2235" t="str">
        <f t="shared" si="114"/>
        <v/>
      </c>
      <c r="CD70" s="2235" t="str">
        <f t="shared" si="115"/>
        <v/>
      </c>
      <c r="CE70" s="2235" t="str">
        <f t="shared" si="116"/>
        <v/>
      </c>
      <c r="CF70" s="2235" t="str">
        <f t="shared" si="144"/>
        <v/>
      </c>
      <c r="CG70" s="2235" t="str">
        <f t="shared" si="145"/>
        <v/>
      </c>
      <c r="CH70" s="2235" t="str">
        <f t="shared" si="146"/>
        <v/>
      </c>
      <c r="CI70" s="2235" t="str">
        <f t="shared" si="147"/>
        <v/>
      </c>
      <c r="CJ70" s="2235" t="str">
        <f t="shared" si="148"/>
        <v/>
      </c>
      <c r="CK70" s="2235" t="str">
        <f t="shared" si="149"/>
        <v/>
      </c>
      <c r="CL70" s="2235" t="str">
        <f t="shared" si="150"/>
        <v/>
      </c>
      <c r="CM70" s="2235" t="str">
        <f t="shared" si="151"/>
        <v/>
      </c>
      <c r="CN70" s="2235" t="str">
        <f t="shared" si="152"/>
        <v/>
      </c>
      <c r="CO70" s="2235" t="str">
        <f t="shared" si="153"/>
        <v/>
      </c>
      <c r="CP70" s="2235" t="str">
        <f t="shared" si="154"/>
        <v/>
      </c>
      <c r="CQ70" s="2235" t="str">
        <f t="shared" si="155"/>
        <v/>
      </c>
      <c r="CR70" s="2235" t="str">
        <f t="shared" si="156"/>
        <v/>
      </c>
      <c r="CS70" s="2235" t="str">
        <f t="shared" si="157"/>
        <v/>
      </c>
      <c r="CT70" s="2235" t="str">
        <f t="shared" si="158"/>
        <v/>
      </c>
      <c r="CU70" s="2235" t="str">
        <f t="shared" si="159"/>
        <v/>
      </c>
      <c r="CV70" s="2235" t="str">
        <f t="shared" si="160"/>
        <v/>
      </c>
      <c r="CW70" s="2235" t="str">
        <f t="shared" si="161"/>
        <v/>
      </c>
      <c r="CX70" s="2235" t="str">
        <f t="shared" si="162"/>
        <v/>
      </c>
      <c r="CY70" s="2235" t="str">
        <f t="shared" si="163"/>
        <v/>
      </c>
      <c r="CZ70" s="2235" t="str">
        <f t="shared" si="117"/>
        <v/>
      </c>
      <c r="DA70" s="1468">
        <f t="shared" si="118"/>
        <v>0</v>
      </c>
      <c r="DB70" s="1468">
        <f t="shared" si="119"/>
        <v>0</v>
      </c>
      <c r="DC70" s="1468">
        <f t="shared" si="120"/>
        <v>0</v>
      </c>
      <c r="DD70" s="1468">
        <f t="shared" si="121"/>
        <v>0</v>
      </c>
      <c r="DE70" s="1468">
        <f t="shared" si="122"/>
        <v>0</v>
      </c>
      <c r="DF70" s="1468">
        <f t="shared" si="123"/>
        <v>0</v>
      </c>
      <c r="DG70" s="1468">
        <f t="shared" si="124"/>
        <v>0</v>
      </c>
      <c r="DH70" s="1468">
        <f t="shared" si="125"/>
        <v>0</v>
      </c>
      <c r="DI70" s="1468">
        <f t="shared" si="126"/>
        <v>0</v>
      </c>
      <c r="DJ70" s="1468">
        <f t="shared" si="127"/>
        <v>0</v>
      </c>
      <c r="DK70" s="1468">
        <f t="shared" si="128"/>
        <v>0</v>
      </c>
      <c r="DL70" s="1468">
        <f t="shared" si="129"/>
        <v>0</v>
      </c>
      <c r="DM70" s="1468">
        <f t="shared" si="130"/>
        <v>0</v>
      </c>
      <c r="DN70" s="1468">
        <f t="shared" si="131"/>
        <v>0</v>
      </c>
      <c r="DO70" s="1468">
        <f t="shared" si="132"/>
        <v>0</v>
      </c>
      <c r="DP70" s="1468">
        <f t="shared" si="133"/>
        <v>0</v>
      </c>
      <c r="DQ70" s="1468">
        <f t="shared" si="134"/>
        <v>0</v>
      </c>
      <c r="DR70" s="1468">
        <f t="shared" si="135"/>
        <v>0</v>
      </c>
      <c r="DS70" s="1468">
        <f t="shared" si="136"/>
        <v>0</v>
      </c>
      <c r="DT70" s="1468">
        <f t="shared" si="137"/>
        <v>0</v>
      </c>
      <c r="DU70" s="1468">
        <f t="shared" si="138"/>
        <v>0</v>
      </c>
      <c r="DV70" s="1468">
        <f t="shared" si="139"/>
        <v>0</v>
      </c>
      <c r="DW70" s="1468">
        <f t="shared" si="140"/>
        <v>0</v>
      </c>
      <c r="DX70" s="1468">
        <f t="shared" si="141"/>
        <v>0</v>
      </c>
      <c r="DY70" s="1468">
        <f t="shared" si="142"/>
        <v>0</v>
      </c>
      <c r="DZ70" s="1468">
        <f t="shared" si="143"/>
        <v>0</v>
      </c>
    </row>
    <row r="71" spans="1:130" ht="16.149999999999999" customHeight="1" x14ac:dyDescent="0.25">
      <c r="A71" s="2040" t="s">
        <v>1796</v>
      </c>
      <c r="B71" s="2038">
        <f t="shared" ref="B71:C73" si="164">+D71+F71+H71+J71+L71+N71+P71+R71+T71+V71+X71+Z71+AB71+AD71+AF71+AH71+AJ71+AL71+AN71+AP71</f>
        <v>0</v>
      </c>
      <c r="C71" s="2084">
        <f t="shared" si="164"/>
        <v>0</v>
      </c>
      <c r="D71" s="1129"/>
      <c r="E71" s="1130"/>
      <c r="F71" s="1109"/>
      <c r="G71" s="1130"/>
      <c r="H71" s="1109"/>
      <c r="I71" s="1113"/>
      <c r="J71" s="1129"/>
      <c r="K71" s="1129"/>
      <c r="L71" s="1109"/>
      <c r="M71" s="1113"/>
      <c r="N71" s="1129"/>
      <c r="O71" s="1130"/>
      <c r="P71" s="1109"/>
      <c r="Q71" s="1130"/>
      <c r="R71" s="1109"/>
      <c r="S71" s="1130"/>
      <c r="T71" s="1109"/>
      <c r="U71" s="1130"/>
      <c r="V71" s="1109"/>
      <c r="W71" s="1130"/>
      <c r="X71" s="1109"/>
      <c r="Y71" s="1130"/>
      <c r="Z71" s="1109"/>
      <c r="AA71" s="1130"/>
      <c r="AB71" s="1109"/>
      <c r="AC71" s="1130"/>
      <c r="AD71" s="1109"/>
      <c r="AE71" s="1130"/>
      <c r="AF71" s="1109"/>
      <c r="AG71" s="1130"/>
      <c r="AH71" s="1109"/>
      <c r="AI71" s="1130"/>
      <c r="AJ71" s="1109"/>
      <c r="AK71" s="1130"/>
      <c r="AL71" s="1109"/>
      <c r="AM71" s="1130"/>
      <c r="AN71" s="1109"/>
      <c r="AO71" s="1130"/>
      <c r="AP71" s="1109"/>
      <c r="AQ71" s="1131"/>
      <c r="AR71" s="1129"/>
      <c r="AS71" s="1131"/>
      <c r="AT71" s="1129"/>
      <c r="AU71" s="1130"/>
      <c r="AV71" s="1109"/>
      <c r="AW71" s="1113"/>
      <c r="AX71" s="1193" t="str">
        <f t="shared" si="111"/>
        <v/>
      </c>
      <c r="AY71" s="1193"/>
      <c r="AZ71" s="1193"/>
      <c r="BA71" s="1193"/>
      <c r="BB71" s="1193"/>
      <c r="BC71" s="1193"/>
      <c r="BD71" s="1193"/>
      <c r="BE71" s="1193"/>
      <c r="BF71" s="1193"/>
      <c r="BG71" s="1193"/>
      <c r="BH71" s="1193"/>
      <c r="BI71" s="1187"/>
      <c r="BJ71" s="1187"/>
      <c r="BK71" s="1187"/>
      <c r="BL71" s="1187"/>
      <c r="BU71" s="1187"/>
      <c r="BW71" s="1580"/>
      <c r="CA71" s="2235" t="str">
        <f t="shared" si="112"/>
        <v/>
      </c>
      <c r="CB71" s="2235" t="str">
        <f t="shared" si="113"/>
        <v/>
      </c>
      <c r="CC71" s="2235" t="str">
        <f t="shared" si="114"/>
        <v/>
      </c>
      <c r="CD71" s="2235" t="str">
        <f t="shared" si="115"/>
        <v/>
      </c>
      <c r="CE71" s="2235" t="str">
        <f t="shared" si="116"/>
        <v/>
      </c>
      <c r="CF71" s="2235" t="str">
        <f t="shared" si="144"/>
        <v/>
      </c>
      <c r="CG71" s="2235" t="str">
        <f t="shared" si="145"/>
        <v/>
      </c>
      <c r="CH71" s="2235" t="str">
        <f t="shared" si="146"/>
        <v/>
      </c>
      <c r="CI71" s="2235" t="str">
        <f t="shared" si="147"/>
        <v/>
      </c>
      <c r="CJ71" s="2235" t="str">
        <f t="shared" si="148"/>
        <v/>
      </c>
      <c r="CK71" s="2235" t="str">
        <f t="shared" si="149"/>
        <v/>
      </c>
      <c r="CL71" s="2235" t="str">
        <f t="shared" si="150"/>
        <v/>
      </c>
      <c r="CM71" s="2235" t="str">
        <f t="shared" si="151"/>
        <v/>
      </c>
      <c r="CN71" s="2235" t="str">
        <f t="shared" si="152"/>
        <v/>
      </c>
      <c r="CO71" s="2235" t="str">
        <f t="shared" si="153"/>
        <v/>
      </c>
      <c r="CP71" s="2235" t="str">
        <f t="shared" si="154"/>
        <v/>
      </c>
      <c r="CQ71" s="2235" t="str">
        <f t="shared" si="155"/>
        <v/>
      </c>
      <c r="CR71" s="2235" t="str">
        <f t="shared" si="156"/>
        <v/>
      </c>
      <c r="CS71" s="2235" t="str">
        <f t="shared" si="157"/>
        <v/>
      </c>
      <c r="CT71" s="2235" t="str">
        <f t="shared" si="158"/>
        <v/>
      </c>
      <c r="CU71" s="2235" t="str">
        <f t="shared" si="159"/>
        <v/>
      </c>
      <c r="CV71" s="2235" t="str">
        <f t="shared" si="160"/>
        <v/>
      </c>
      <c r="CW71" s="2235" t="str">
        <f t="shared" si="161"/>
        <v/>
      </c>
      <c r="CX71" s="2235" t="str">
        <f t="shared" si="162"/>
        <v/>
      </c>
      <c r="CY71" s="2235" t="str">
        <f t="shared" si="163"/>
        <v/>
      </c>
      <c r="CZ71" s="2235" t="str">
        <f t="shared" si="117"/>
        <v/>
      </c>
      <c r="DA71" s="1468">
        <f t="shared" si="118"/>
        <v>0</v>
      </c>
      <c r="DB71" s="1468">
        <f t="shared" si="119"/>
        <v>0</v>
      </c>
      <c r="DC71" s="1468">
        <f t="shared" si="120"/>
        <v>0</v>
      </c>
      <c r="DD71" s="1468">
        <f t="shared" si="121"/>
        <v>0</v>
      </c>
      <c r="DE71" s="1468">
        <f t="shared" si="122"/>
        <v>0</v>
      </c>
      <c r="DF71" s="1468">
        <f t="shared" si="123"/>
        <v>0</v>
      </c>
      <c r="DG71" s="1468">
        <f t="shared" si="124"/>
        <v>0</v>
      </c>
      <c r="DH71" s="1468">
        <f t="shared" si="125"/>
        <v>0</v>
      </c>
      <c r="DI71" s="1468">
        <f t="shared" si="126"/>
        <v>0</v>
      </c>
      <c r="DJ71" s="1468">
        <f t="shared" si="127"/>
        <v>0</v>
      </c>
      <c r="DK71" s="1468">
        <f t="shared" si="128"/>
        <v>0</v>
      </c>
      <c r="DL71" s="1468">
        <f t="shared" si="129"/>
        <v>0</v>
      </c>
      <c r="DM71" s="1468">
        <f t="shared" si="130"/>
        <v>0</v>
      </c>
      <c r="DN71" s="1468">
        <f t="shared" si="131"/>
        <v>0</v>
      </c>
      <c r="DO71" s="1468">
        <f t="shared" si="132"/>
        <v>0</v>
      </c>
      <c r="DP71" s="1468">
        <f t="shared" si="133"/>
        <v>0</v>
      </c>
      <c r="DQ71" s="1468">
        <f t="shared" si="134"/>
        <v>0</v>
      </c>
      <c r="DR71" s="1468">
        <f t="shared" si="135"/>
        <v>0</v>
      </c>
      <c r="DS71" s="1468">
        <f t="shared" si="136"/>
        <v>0</v>
      </c>
      <c r="DT71" s="1468">
        <f t="shared" si="137"/>
        <v>0</v>
      </c>
      <c r="DU71" s="1468">
        <f t="shared" si="138"/>
        <v>0</v>
      </c>
      <c r="DV71" s="1468">
        <f t="shared" si="139"/>
        <v>0</v>
      </c>
      <c r="DW71" s="1468">
        <f t="shared" si="140"/>
        <v>0</v>
      </c>
      <c r="DX71" s="1468">
        <f t="shared" si="141"/>
        <v>0</v>
      </c>
      <c r="DY71" s="1468">
        <f t="shared" si="142"/>
        <v>0</v>
      </c>
      <c r="DZ71" s="1468">
        <f t="shared" si="143"/>
        <v>0</v>
      </c>
    </row>
    <row r="72" spans="1:130" ht="16.149999999999999" customHeight="1" x14ac:dyDescent="0.25">
      <c r="A72" s="2040" t="s">
        <v>1797</v>
      </c>
      <c r="B72" s="2038">
        <f t="shared" si="164"/>
        <v>0</v>
      </c>
      <c r="C72" s="2084">
        <f t="shared" si="164"/>
        <v>0</v>
      </c>
      <c r="D72" s="1129"/>
      <c r="E72" s="1130"/>
      <c r="F72" s="1109"/>
      <c r="G72" s="1130"/>
      <c r="H72" s="1109"/>
      <c r="I72" s="1113"/>
      <c r="J72" s="1129"/>
      <c r="K72" s="1129"/>
      <c r="L72" s="1109"/>
      <c r="M72" s="1113"/>
      <c r="N72" s="1129"/>
      <c r="O72" s="1130"/>
      <c r="P72" s="1109"/>
      <c r="Q72" s="1130"/>
      <c r="R72" s="1109"/>
      <c r="S72" s="1130"/>
      <c r="T72" s="1109"/>
      <c r="U72" s="1130"/>
      <c r="V72" s="1109"/>
      <c r="W72" s="1130"/>
      <c r="X72" s="1109"/>
      <c r="Y72" s="1130"/>
      <c r="Z72" s="1109"/>
      <c r="AA72" s="1130"/>
      <c r="AB72" s="1109"/>
      <c r="AC72" s="1130"/>
      <c r="AD72" s="1109"/>
      <c r="AE72" s="1130"/>
      <c r="AF72" s="1109"/>
      <c r="AG72" s="1130"/>
      <c r="AH72" s="1109"/>
      <c r="AI72" s="1130"/>
      <c r="AJ72" s="1109"/>
      <c r="AK72" s="1130"/>
      <c r="AL72" s="1109"/>
      <c r="AM72" s="1130"/>
      <c r="AN72" s="1109"/>
      <c r="AO72" s="1130"/>
      <c r="AP72" s="1109"/>
      <c r="AQ72" s="1131"/>
      <c r="AR72" s="1129"/>
      <c r="AS72" s="1131"/>
      <c r="AT72" s="1129"/>
      <c r="AU72" s="1130"/>
      <c r="AV72" s="1109"/>
      <c r="AW72" s="1113"/>
      <c r="AX72" s="1193" t="str">
        <f t="shared" si="111"/>
        <v/>
      </c>
      <c r="AY72" s="1193"/>
      <c r="AZ72" s="1193"/>
      <c r="BA72" s="1193"/>
      <c r="BB72" s="1193"/>
      <c r="BC72" s="1193"/>
      <c r="BD72" s="1193"/>
      <c r="BE72" s="1193"/>
      <c r="BF72" s="1193"/>
      <c r="BG72" s="1193"/>
      <c r="BH72" s="1193"/>
      <c r="BI72" s="1187"/>
      <c r="BJ72" s="1187"/>
      <c r="BK72" s="1187"/>
      <c r="BL72" s="1187"/>
      <c r="BU72" s="1187"/>
      <c r="BW72" s="1580"/>
      <c r="CA72" s="2235" t="str">
        <f t="shared" si="112"/>
        <v/>
      </c>
      <c r="CB72" s="2235" t="str">
        <f t="shared" si="113"/>
        <v/>
      </c>
      <c r="CC72" s="2235" t="str">
        <f t="shared" si="114"/>
        <v/>
      </c>
      <c r="CD72" s="2235" t="str">
        <f t="shared" si="115"/>
        <v/>
      </c>
      <c r="CE72" s="2235" t="str">
        <f t="shared" si="116"/>
        <v/>
      </c>
      <c r="CF72" s="2235" t="str">
        <f t="shared" si="144"/>
        <v/>
      </c>
      <c r="CG72" s="2235" t="str">
        <f t="shared" si="145"/>
        <v/>
      </c>
      <c r="CH72" s="2235" t="str">
        <f t="shared" si="146"/>
        <v/>
      </c>
      <c r="CI72" s="2235" t="str">
        <f t="shared" si="147"/>
        <v/>
      </c>
      <c r="CJ72" s="2235" t="str">
        <f t="shared" si="148"/>
        <v/>
      </c>
      <c r="CK72" s="2235" t="str">
        <f t="shared" si="149"/>
        <v/>
      </c>
      <c r="CL72" s="2235" t="str">
        <f t="shared" si="150"/>
        <v/>
      </c>
      <c r="CM72" s="2235" t="str">
        <f t="shared" si="151"/>
        <v/>
      </c>
      <c r="CN72" s="2235" t="str">
        <f t="shared" si="152"/>
        <v/>
      </c>
      <c r="CO72" s="2235" t="str">
        <f t="shared" si="153"/>
        <v/>
      </c>
      <c r="CP72" s="2235" t="str">
        <f t="shared" si="154"/>
        <v/>
      </c>
      <c r="CQ72" s="2235" t="str">
        <f t="shared" si="155"/>
        <v/>
      </c>
      <c r="CR72" s="2235" t="str">
        <f t="shared" si="156"/>
        <v/>
      </c>
      <c r="CS72" s="2235" t="str">
        <f t="shared" si="157"/>
        <v/>
      </c>
      <c r="CT72" s="2235" t="str">
        <f t="shared" si="158"/>
        <v/>
      </c>
      <c r="CU72" s="2235" t="str">
        <f t="shared" si="159"/>
        <v/>
      </c>
      <c r="CV72" s="2235" t="str">
        <f t="shared" si="160"/>
        <v/>
      </c>
      <c r="CW72" s="2235" t="str">
        <f t="shared" si="161"/>
        <v/>
      </c>
      <c r="CX72" s="2235" t="str">
        <f t="shared" si="162"/>
        <v/>
      </c>
      <c r="CY72" s="2235" t="str">
        <f t="shared" si="163"/>
        <v/>
      </c>
      <c r="CZ72" s="2235" t="str">
        <f t="shared" si="117"/>
        <v/>
      </c>
      <c r="DA72" s="1468">
        <f t="shared" si="118"/>
        <v>0</v>
      </c>
      <c r="DB72" s="1468">
        <f t="shared" si="119"/>
        <v>0</v>
      </c>
      <c r="DC72" s="1468">
        <f t="shared" si="120"/>
        <v>0</v>
      </c>
      <c r="DD72" s="1468">
        <f t="shared" si="121"/>
        <v>0</v>
      </c>
      <c r="DE72" s="1468">
        <f t="shared" si="122"/>
        <v>0</v>
      </c>
      <c r="DF72" s="1468">
        <f t="shared" si="123"/>
        <v>0</v>
      </c>
      <c r="DG72" s="1468">
        <f t="shared" si="124"/>
        <v>0</v>
      </c>
      <c r="DH72" s="1468">
        <f t="shared" si="125"/>
        <v>0</v>
      </c>
      <c r="DI72" s="1468">
        <f t="shared" si="126"/>
        <v>0</v>
      </c>
      <c r="DJ72" s="1468">
        <f t="shared" si="127"/>
        <v>0</v>
      </c>
      <c r="DK72" s="1468">
        <f t="shared" si="128"/>
        <v>0</v>
      </c>
      <c r="DL72" s="1468">
        <f t="shared" si="129"/>
        <v>0</v>
      </c>
      <c r="DM72" s="1468">
        <f t="shared" si="130"/>
        <v>0</v>
      </c>
      <c r="DN72" s="1468">
        <f t="shared" si="131"/>
        <v>0</v>
      </c>
      <c r="DO72" s="1468">
        <f t="shared" si="132"/>
        <v>0</v>
      </c>
      <c r="DP72" s="1468">
        <f t="shared" si="133"/>
        <v>0</v>
      </c>
      <c r="DQ72" s="1468">
        <f t="shared" si="134"/>
        <v>0</v>
      </c>
      <c r="DR72" s="1468">
        <f t="shared" si="135"/>
        <v>0</v>
      </c>
      <c r="DS72" s="1468">
        <f t="shared" si="136"/>
        <v>0</v>
      </c>
      <c r="DT72" s="1468">
        <f t="shared" si="137"/>
        <v>0</v>
      </c>
      <c r="DU72" s="1468">
        <f t="shared" si="138"/>
        <v>0</v>
      </c>
      <c r="DV72" s="1468">
        <f t="shared" si="139"/>
        <v>0</v>
      </c>
      <c r="DW72" s="1468">
        <f t="shared" si="140"/>
        <v>0</v>
      </c>
      <c r="DX72" s="1468">
        <f t="shared" si="141"/>
        <v>0</v>
      </c>
      <c r="DY72" s="1468">
        <f t="shared" si="142"/>
        <v>0</v>
      </c>
      <c r="DZ72" s="1468">
        <f t="shared" si="143"/>
        <v>0</v>
      </c>
    </row>
    <row r="73" spans="1:130" ht="16.149999999999999" customHeight="1" x14ac:dyDescent="0.25">
      <c r="A73" s="1936" t="s">
        <v>1798</v>
      </c>
      <c r="B73" s="1999">
        <f t="shared" si="164"/>
        <v>0</v>
      </c>
      <c r="C73" s="1936">
        <f t="shared" si="164"/>
        <v>0</v>
      </c>
      <c r="D73" s="102"/>
      <c r="E73" s="83"/>
      <c r="F73" s="125"/>
      <c r="G73" s="83"/>
      <c r="H73" s="125"/>
      <c r="I73" s="101"/>
      <c r="J73" s="102"/>
      <c r="K73" s="102"/>
      <c r="L73" s="125"/>
      <c r="M73" s="101"/>
      <c r="N73" s="102"/>
      <c r="O73" s="83"/>
      <c r="P73" s="125"/>
      <c r="Q73" s="83"/>
      <c r="R73" s="125"/>
      <c r="S73" s="83"/>
      <c r="T73" s="125"/>
      <c r="U73" s="83"/>
      <c r="V73" s="125"/>
      <c r="W73" s="83"/>
      <c r="X73" s="125"/>
      <c r="Y73" s="83"/>
      <c r="Z73" s="125"/>
      <c r="AA73" s="83"/>
      <c r="AB73" s="125"/>
      <c r="AC73" s="83"/>
      <c r="AD73" s="125"/>
      <c r="AE73" s="83"/>
      <c r="AF73" s="125"/>
      <c r="AG73" s="83"/>
      <c r="AH73" s="125"/>
      <c r="AI73" s="83"/>
      <c r="AJ73" s="125"/>
      <c r="AK73" s="83"/>
      <c r="AL73" s="125"/>
      <c r="AM73" s="83"/>
      <c r="AN73" s="125"/>
      <c r="AO73" s="83"/>
      <c r="AP73" s="125"/>
      <c r="AQ73" s="198"/>
      <c r="AR73" s="102"/>
      <c r="AS73" s="198"/>
      <c r="AT73" s="102"/>
      <c r="AU73" s="83"/>
      <c r="AV73" s="125"/>
      <c r="AW73" s="101"/>
      <c r="AX73" s="1193" t="str">
        <f t="shared" si="111"/>
        <v/>
      </c>
      <c r="AY73" s="1193"/>
      <c r="AZ73" s="1193"/>
      <c r="BA73" s="1193"/>
      <c r="BB73" s="1193"/>
      <c r="BC73" s="1193"/>
      <c r="BD73" s="1193"/>
      <c r="BE73" s="1193"/>
      <c r="BF73" s="1193"/>
      <c r="BG73" s="1193"/>
      <c r="BH73" s="1193"/>
      <c r="BI73" s="1187"/>
      <c r="BJ73" s="1187"/>
      <c r="BK73" s="1187"/>
      <c r="BL73" s="1187"/>
      <c r="BU73" s="1187"/>
      <c r="BW73" s="1580"/>
      <c r="CA73" s="2235" t="str">
        <f t="shared" si="112"/>
        <v/>
      </c>
      <c r="CB73" s="2235" t="str">
        <f t="shared" si="113"/>
        <v/>
      </c>
      <c r="CC73" s="2235" t="str">
        <f t="shared" si="114"/>
        <v/>
      </c>
      <c r="CD73" s="2235" t="str">
        <f t="shared" si="115"/>
        <v/>
      </c>
      <c r="CE73" s="2235" t="str">
        <f t="shared" si="116"/>
        <v/>
      </c>
      <c r="CF73" s="2235" t="str">
        <f t="shared" si="144"/>
        <v/>
      </c>
      <c r="CG73" s="2235" t="str">
        <f t="shared" si="145"/>
        <v/>
      </c>
      <c r="CH73" s="2235" t="str">
        <f t="shared" si="146"/>
        <v/>
      </c>
      <c r="CI73" s="2235" t="str">
        <f t="shared" si="147"/>
        <v/>
      </c>
      <c r="CJ73" s="2235" t="str">
        <f t="shared" si="148"/>
        <v/>
      </c>
      <c r="CK73" s="2235" t="str">
        <f t="shared" si="149"/>
        <v/>
      </c>
      <c r="CL73" s="2235" t="str">
        <f t="shared" si="150"/>
        <v/>
      </c>
      <c r="CM73" s="2235" t="str">
        <f t="shared" si="151"/>
        <v/>
      </c>
      <c r="CN73" s="2235" t="str">
        <f t="shared" si="152"/>
        <v/>
      </c>
      <c r="CO73" s="2235" t="str">
        <f t="shared" si="153"/>
        <v/>
      </c>
      <c r="CP73" s="2235" t="str">
        <f t="shared" si="154"/>
        <v/>
      </c>
      <c r="CQ73" s="2235" t="str">
        <f t="shared" si="155"/>
        <v/>
      </c>
      <c r="CR73" s="2235" t="str">
        <f t="shared" si="156"/>
        <v/>
      </c>
      <c r="CS73" s="2235" t="str">
        <f t="shared" si="157"/>
        <v/>
      </c>
      <c r="CT73" s="2235" t="str">
        <f t="shared" si="158"/>
        <v/>
      </c>
      <c r="CU73" s="2235" t="str">
        <f t="shared" si="159"/>
        <v/>
      </c>
      <c r="CV73" s="2235" t="str">
        <f t="shared" si="160"/>
        <v/>
      </c>
      <c r="CW73" s="2235" t="str">
        <f t="shared" si="161"/>
        <v/>
      </c>
      <c r="CX73" s="2235" t="str">
        <f t="shared" si="162"/>
        <v/>
      </c>
      <c r="CY73" s="2235" t="str">
        <f t="shared" si="163"/>
        <v/>
      </c>
      <c r="CZ73" s="2235" t="str">
        <f t="shared" si="117"/>
        <v/>
      </c>
      <c r="DA73" s="1468">
        <f t="shared" si="118"/>
        <v>0</v>
      </c>
      <c r="DB73" s="1468">
        <f t="shared" si="119"/>
        <v>0</v>
      </c>
      <c r="DC73" s="1468">
        <f t="shared" si="120"/>
        <v>0</v>
      </c>
      <c r="DD73" s="1468">
        <f t="shared" si="121"/>
        <v>0</v>
      </c>
      <c r="DE73" s="1468">
        <f t="shared" si="122"/>
        <v>0</v>
      </c>
      <c r="DF73" s="1468">
        <f t="shared" si="123"/>
        <v>0</v>
      </c>
      <c r="DG73" s="1468">
        <f t="shared" si="124"/>
        <v>0</v>
      </c>
      <c r="DH73" s="1468">
        <f t="shared" si="125"/>
        <v>0</v>
      </c>
      <c r="DI73" s="1468">
        <f t="shared" si="126"/>
        <v>0</v>
      </c>
      <c r="DJ73" s="1468">
        <f t="shared" si="127"/>
        <v>0</v>
      </c>
      <c r="DK73" s="1468">
        <f t="shared" si="128"/>
        <v>0</v>
      </c>
      <c r="DL73" s="1468">
        <f t="shared" si="129"/>
        <v>0</v>
      </c>
      <c r="DM73" s="1468">
        <f t="shared" si="130"/>
        <v>0</v>
      </c>
      <c r="DN73" s="1468">
        <f t="shared" si="131"/>
        <v>0</v>
      </c>
      <c r="DO73" s="1468">
        <f t="shared" si="132"/>
        <v>0</v>
      </c>
      <c r="DP73" s="1468">
        <f t="shared" si="133"/>
        <v>0</v>
      </c>
      <c r="DQ73" s="1468">
        <f t="shared" si="134"/>
        <v>0</v>
      </c>
      <c r="DR73" s="1468">
        <f t="shared" si="135"/>
        <v>0</v>
      </c>
      <c r="DS73" s="1468">
        <f t="shared" si="136"/>
        <v>0</v>
      </c>
      <c r="DT73" s="1468">
        <f t="shared" si="137"/>
        <v>0</v>
      </c>
      <c r="DU73" s="1468">
        <f t="shared" si="138"/>
        <v>0</v>
      </c>
      <c r="DV73" s="1468">
        <f t="shared" si="139"/>
        <v>0</v>
      </c>
      <c r="DW73" s="1468">
        <f t="shared" si="140"/>
        <v>0</v>
      </c>
      <c r="DX73" s="1468">
        <f t="shared" si="141"/>
        <v>0</v>
      </c>
      <c r="DY73" s="1468">
        <f t="shared" si="142"/>
        <v>0</v>
      </c>
      <c r="DZ73" s="1468">
        <f t="shared" si="143"/>
        <v>0</v>
      </c>
    </row>
    <row r="74" spans="1:130" ht="31.9" customHeight="1" x14ac:dyDescent="0.25">
      <c r="A74" s="937" t="s">
        <v>1800</v>
      </c>
      <c r="B74" s="937"/>
      <c r="C74" s="937"/>
      <c r="D74" s="937"/>
      <c r="E74" s="937"/>
      <c r="F74" s="937"/>
      <c r="G74" s="937"/>
      <c r="I74" s="133"/>
      <c r="J74" s="108"/>
      <c r="K74" s="108"/>
      <c r="L74" s="108"/>
      <c r="M74" s="108"/>
      <c r="N74" s="108"/>
      <c r="O74" s="108"/>
      <c r="P74" s="108"/>
      <c r="Q74" s="140"/>
      <c r="AR74" s="823" t="s">
        <v>1801</v>
      </c>
      <c r="AX74" s="1187"/>
      <c r="AY74" s="1187"/>
      <c r="AZ74" s="1187"/>
      <c r="BA74" s="1187"/>
      <c r="BB74" s="1187"/>
      <c r="BC74" s="1187"/>
      <c r="BD74" s="1187"/>
      <c r="BE74" s="1187"/>
      <c r="BF74" s="1187"/>
      <c r="BG74" s="1187"/>
      <c r="BH74" s="1187"/>
      <c r="BI74" s="1187"/>
      <c r="BJ74" s="1187"/>
      <c r="BK74" s="1187"/>
      <c r="BL74" s="1187"/>
      <c r="BM74" s="1187"/>
      <c r="BT74" s="1118"/>
      <c r="BU74" s="1118"/>
      <c r="BV74" s="1580"/>
      <c r="BW74" s="1580"/>
    </row>
    <row r="75" spans="1:130" ht="31.9" customHeight="1" x14ac:dyDescent="0.25">
      <c r="A75" s="8208" t="s">
        <v>1778</v>
      </c>
      <c r="B75" s="9194" t="s">
        <v>24</v>
      </c>
      <c r="C75" s="9524"/>
      <c r="D75" s="8215" t="s">
        <v>723</v>
      </c>
      <c r="E75" s="8216"/>
      <c r="F75" s="8216"/>
      <c r="G75" s="8216"/>
      <c r="H75" s="8216"/>
      <c r="I75" s="8216"/>
      <c r="J75" s="8216"/>
      <c r="K75" s="8216"/>
      <c r="L75" s="8216"/>
      <c r="M75" s="8216"/>
      <c r="N75" s="8216"/>
      <c r="O75" s="8216"/>
      <c r="P75" s="8216"/>
      <c r="Q75" s="8216"/>
      <c r="R75" s="8216"/>
      <c r="S75" s="8216"/>
      <c r="T75" s="8216"/>
      <c r="U75" s="8216"/>
      <c r="V75" s="8216"/>
      <c r="W75" s="8216"/>
      <c r="X75" s="8216"/>
      <c r="Y75" s="8216"/>
      <c r="Z75" s="8216"/>
      <c r="AA75" s="8216"/>
      <c r="AB75" s="8216"/>
      <c r="AC75" s="8216"/>
      <c r="AD75" s="8216"/>
      <c r="AE75" s="8216"/>
      <c r="AF75" s="8216"/>
      <c r="AG75" s="8216"/>
      <c r="AH75" s="8216"/>
      <c r="AI75" s="8216"/>
      <c r="AJ75" s="8216"/>
      <c r="AK75" s="8216"/>
      <c r="AL75" s="8216"/>
      <c r="AM75" s="8216"/>
      <c r="AN75" s="8216"/>
      <c r="AO75" s="8216"/>
      <c r="AP75" s="8216"/>
      <c r="AQ75" s="9527"/>
      <c r="AR75" s="9528" t="s">
        <v>1779</v>
      </c>
      <c r="AS75" s="9529"/>
      <c r="AT75" s="9530" t="s">
        <v>711</v>
      </c>
      <c r="AU75" s="9531"/>
      <c r="AV75" s="9534" t="s">
        <v>360</v>
      </c>
      <c r="AW75" s="9536" t="s">
        <v>359</v>
      </c>
      <c r="AX75" s="1187"/>
      <c r="AY75" s="1187"/>
      <c r="AZ75" s="1187"/>
      <c r="BA75" s="1187"/>
      <c r="BB75" s="1187"/>
      <c r="BC75" s="1187"/>
      <c r="BD75" s="1187"/>
      <c r="BE75" s="1187"/>
      <c r="BF75" s="1187"/>
      <c r="BG75" s="1187"/>
      <c r="BH75" s="1187"/>
      <c r="BI75" s="1187"/>
      <c r="BJ75" s="1187"/>
      <c r="BK75" s="1187"/>
      <c r="BL75" s="1187"/>
      <c r="BU75" s="1187"/>
      <c r="BV75" s="1580"/>
      <c r="BW75" s="1580"/>
    </row>
    <row r="76" spans="1:130" ht="16.149999999999999" customHeight="1" x14ac:dyDescent="0.25">
      <c r="A76" s="8274"/>
      <c r="B76" s="9525"/>
      <c r="C76" s="9526"/>
      <c r="D76" s="8218" t="s">
        <v>722</v>
      </c>
      <c r="E76" s="9528"/>
      <c r="F76" s="8218" t="s">
        <v>721</v>
      </c>
      <c r="G76" s="9528"/>
      <c r="H76" s="8218" t="s">
        <v>720</v>
      </c>
      <c r="I76" s="8220"/>
      <c r="J76" s="9528" t="s">
        <v>1820</v>
      </c>
      <c r="K76" s="9528"/>
      <c r="L76" s="8218" t="s">
        <v>1413</v>
      </c>
      <c r="M76" s="9528"/>
      <c r="N76" s="8218" t="s">
        <v>79</v>
      </c>
      <c r="O76" s="9528"/>
      <c r="P76" s="8218" t="s">
        <v>80</v>
      </c>
      <c r="Q76" s="9528"/>
      <c r="R76" s="8218" t="s">
        <v>81</v>
      </c>
      <c r="S76" s="9528"/>
      <c r="T76" s="8218" t="s">
        <v>115</v>
      </c>
      <c r="U76" s="8220"/>
      <c r="V76" s="8218" t="s">
        <v>116</v>
      </c>
      <c r="W76" s="8220"/>
      <c r="X76" s="8218" t="s">
        <v>117</v>
      </c>
      <c r="Y76" s="8220"/>
      <c r="Z76" s="8218" t="s">
        <v>118</v>
      </c>
      <c r="AA76" s="8220"/>
      <c r="AB76" s="8218" t="s">
        <v>119</v>
      </c>
      <c r="AC76" s="8220"/>
      <c r="AD76" s="8218" t="s">
        <v>120</v>
      </c>
      <c r="AE76" s="8220"/>
      <c r="AF76" s="8218" t="s">
        <v>1412</v>
      </c>
      <c r="AG76" s="8220"/>
      <c r="AH76" s="8218" t="s">
        <v>1404</v>
      </c>
      <c r="AI76" s="8220"/>
      <c r="AJ76" s="8218" t="s">
        <v>1395</v>
      </c>
      <c r="AK76" s="8220"/>
      <c r="AL76" s="8218" t="s">
        <v>1394</v>
      </c>
      <c r="AM76" s="8220"/>
      <c r="AN76" s="8218" t="s">
        <v>1393</v>
      </c>
      <c r="AO76" s="8220"/>
      <c r="AP76" s="8218" t="s">
        <v>1403</v>
      </c>
      <c r="AQ76" s="9529"/>
      <c r="AR76" s="9537" t="s">
        <v>17</v>
      </c>
      <c r="AS76" s="9539" t="s">
        <v>18</v>
      </c>
      <c r="AT76" s="9532"/>
      <c r="AU76" s="9533"/>
      <c r="AV76" s="8166"/>
      <c r="AW76" s="8151"/>
      <c r="AX76" s="1187"/>
      <c r="AY76" s="1187"/>
      <c r="AZ76" s="1187"/>
      <c r="BA76" s="1187"/>
      <c r="BB76" s="1187"/>
      <c r="BC76" s="1187"/>
      <c r="BD76" s="1187"/>
      <c r="BE76" s="1187"/>
      <c r="BF76" s="1187"/>
      <c r="BG76" s="1187"/>
      <c r="BH76" s="1187"/>
      <c r="BI76" s="1187"/>
      <c r="BJ76" s="1187"/>
      <c r="BK76" s="1187"/>
      <c r="BL76" s="1187"/>
      <c r="BU76" s="1187"/>
      <c r="BV76" s="1580"/>
      <c r="BW76" s="1580"/>
    </row>
    <row r="77" spans="1:130" ht="16.149999999999999" customHeight="1" x14ac:dyDescent="0.25">
      <c r="A77" s="8209"/>
      <c r="B77" s="1122" t="s">
        <v>1780</v>
      </c>
      <c r="C77" s="935" t="s">
        <v>1781</v>
      </c>
      <c r="D77" s="1119" t="s">
        <v>1780</v>
      </c>
      <c r="E77" s="910" t="s">
        <v>1781</v>
      </c>
      <c r="F77" s="1119" t="s">
        <v>1780</v>
      </c>
      <c r="G77" s="910" t="s">
        <v>1781</v>
      </c>
      <c r="H77" s="1119" t="s">
        <v>1780</v>
      </c>
      <c r="I77" s="935" t="s">
        <v>1781</v>
      </c>
      <c r="J77" s="1122" t="s">
        <v>1780</v>
      </c>
      <c r="K77" s="910" t="s">
        <v>1781</v>
      </c>
      <c r="L77" s="1119" t="s">
        <v>1780</v>
      </c>
      <c r="M77" s="910" t="s">
        <v>1781</v>
      </c>
      <c r="N77" s="1119" t="s">
        <v>1780</v>
      </c>
      <c r="O77" s="910" t="s">
        <v>1781</v>
      </c>
      <c r="P77" s="1119" t="s">
        <v>1780</v>
      </c>
      <c r="Q77" s="910" t="s">
        <v>1781</v>
      </c>
      <c r="R77" s="1119" t="s">
        <v>1780</v>
      </c>
      <c r="S77" s="910" t="s">
        <v>1781</v>
      </c>
      <c r="T77" s="1119" t="s">
        <v>1780</v>
      </c>
      <c r="U77" s="910" t="s">
        <v>1781</v>
      </c>
      <c r="V77" s="1119" t="s">
        <v>1780</v>
      </c>
      <c r="W77" s="910" t="s">
        <v>1781</v>
      </c>
      <c r="X77" s="1119" t="s">
        <v>1780</v>
      </c>
      <c r="Y77" s="910" t="s">
        <v>1781</v>
      </c>
      <c r="Z77" s="1119" t="s">
        <v>1780</v>
      </c>
      <c r="AA77" s="910" t="s">
        <v>1781</v>
      </c>
      <c r="AB77" s="1119" t="s">
        <v>1780</v>
      </c>
      <c r="AC77" s="910" t="s">
        <v>1781</v>
      </c>
      <c r="AD77" s="1119" t="s">
        <v>1780</v>
      </c>
      <c r="AE77" s="910" t="s">
        <v>1781</v>
      </c>
      <c r="AF77" s="1119" t="s">
        <v>1780</v>
      </c>
      <c r="AG77" s="910" t="s">
        <v>1781</v>
      </c>
      <c r="AH77" s="1119" t="s">
        <v>1780</v>
      </c>
      <c r="AI77" s="910" t="s">
        <v>1781</v>
      </c>
      <c r="AJ77" s="1119" t="s">
        <v>1780</v>
      </c>
      <c r="AK77" s="910" t="s">
        <v>1781</v>
      </c>
      <c r="AL77" s="1119" t="s">
        <v>1780</v>
      </c>
      <c r="AM77" s="910" t="s">
        <v>1781</v>
      </c>
      <c r="AN77" s="1119" t="s">
        <v>1780</v>
      </c>
      <c r="AO77" s="910" t="s">
        <v>1781</v>
      </c>
      <c r="AP77" s="1119" t="s">
        <v>1780</v>
      </c>
      <c r="AQ77" s="1123" t="s">
        <v>1781</v>
      </c>
      <c r="AR77" s="9538"/>
      <c r="AS77" s="9540"/>
      <c r="AT77" s="2187" t="s">
        <v>356</v>
      </c>
      <c r="AU77" s="2113" t="s">
        <v>357</v>
      </c>
      <c r="AV77" s="9535"/>
      <c r="AW77" s="8152"/>
      <c r="AX77" s="1187"/>
      <c r="AY77" s="1187"/>
      <c r="AZ77" s="1187"/>
      <c r="BA77" s="1187"/>
      <c r="BB77" s="1187"/>
      <c r="BC77" s="1187"/>
      <c r="BD77" s="1187"/>
      <c r="BE77" s="1187"/>
      <c r="BF77" s="1187"/>
      <c r="BG77" s="1187"/>
      <c r="BH77" s="1187"/>
      <c r="BI77" s="1187"/>
      <c r="BJ77" s="1187"/>
      <c r="BK77" s="1187"/>
      <c r="BL77" s="1187"/>
      <c r="BU77" s="1187"/>
      <c r="BV77" s="1580"/>
      <c r="BW77" s="1580"/>
    </row>
    <row r="78" spans="1:130" ht="16.149999999999999" customHeight="1" x14ac:dyDescent="0.25">
      <c r="A78" s="2071" t="s">
        <v>1782</v>
      </c>
      <c r="B78" s="2036">
        <f t="shared" ref="B78:C85" si="165">+N78+P78+R78+T78+V78+X78+Z78+AB78+AD78+AF78+AH78+AJ78+AL78+AN78+AP78</f>
        <v>0</v>
      </c>
      <c r="C78" s="2083">
        <f t="shared" si="165"/>
        <v>0</v>
      </c>
      <c r="D78" s="1125"/>
      <c r="E78" s="1126"/>
      <c r="F78" s="1127"/>
      <c r="G78" s="1126"/>
      <c r="H78" s="1127"/>
      <c r="I78" s="1126"/>
      <c r="J78" s="1127"/>
      <c r="K78" s="1126"/>
      <c r="L78" s="1127"/>
      <c r="M78" s="1128"/>
      <c r="N78" s="1129"/>
      <c r="O78" s="1130"/>
      <c r="P78" s="1109"/>
      <c r="Q78" s="1130"/>
      <c r="R78" s="1109"/>
      <c r="S78" s="1130"/>
      <c r="T78" s="1109"/>
      <c r="U78" s="1130"/>
      <c r="V78" s="1109"/>
      <c r="W78" s="1130"/>
      <c r="X78" s="1109"/>
      <c r="Y78" s="1130"/>
      <c r="Z78" s="1109"/>
      <c r="AA78" s="1130"/>
      <c r="AB78" s="1109"/>
      <c r="AC78" s="1130"/>
      <c r="AD78" s="1109"/>
      <c r="AE78" s="1130"/>
      <c r="AF78" s="1109"/>
      <c r="AG78" s="1130"/>
      <c r="AH78" s="1109"/>
      <c r="AI78" s="1130"/>
      <c r="AJ78" s="1109"/>
      <c r="AK78" s="1130"/>
      <c r="AL78" s="1109"/>
      <c r="AM78" s="1130"/>
      <c r="AN78" s="1109"/>
      <c r="AO78" s="1130"/>
      <c r="AP78" s="1109"/>
      <c r="AQ78" s="1131"/>
      <c r="AR78" s="1132"/>
      <c r="AS78" s="1131"/>
      <c r="AT78" s="1129"/>
      <c r="AU78" s="1130"/>
      <c r="AV78" s="1109"/>
      <c r="AW78" s="1113"/>
      <c r="AX78" s="1193" t="str">
        <f t="shared" ref="AX78:AX95" si="166">$CA78&amp;$CB78&amp;$CC78&amp;$CD78&amp;$CE78&amp;$CF78&amp;$CG78&amp;$CH78&amp;$CI78&amp;$CJ78&amp;$CK78&amp;$CL78&amp;$CM78&amp;$CN78&amp;$CO78&amp;$CP78&amp;$CQ78&amp;$CR78&amp;$CS78&amp;$CT78&amp;$CU78&amp;$CV78&amp;$CW78&amp;$CX78&amp;$CY78&amp;$CZ78</f>
        <v/>
      </c>
      <c r="AY78" s="1193"/>
      <c r="AZ78" s="1193"/>
      <c r="BA78" s="1193"/>
      <c r="BB78" s="1193"/>
      <c r="BC78" s="1193"/>
      <c r="BD78" s="1193"/>
      <c r="BE78" s="1193"/>
      <c r="BF78" s="1193"/>
      <c r="BG78" s="1193"/>
      <c r="BH78" s="1193"/>
      <c r="BI78" s="1187"/>
      <c r="BJ78" s="1187"/>
      <c r="BK78" s="1187"/>
      <c r="BL78" s="1187"/>
      <c r="BU78" s="1580"/>
      <c r="BV78" s="1580"/>
      <c r="BW78" s="1580"/>
      <c r="CA78" s="2235" t="str">
        <f t="shared" ref="CA78:CA95" si="167">IF(B78&lt;C78,"* El total de Reactivos NO DEBE ser superior al total de Procesados. ","")</f>
        <v/>
      </c>
      <c r="CB78" s="2235" t="str">
        <f t="shared" ref="CB78:CB95" si="168">IF(B78&lt;&gt;(AR78+ AS78),"* La suma de las columnas Sexo DEBE SER IGUAL a los Procesados. ","")</f>
        <v/>
      </c>
      <c r="CC78" s="2235" t="str">
        <f t="shared" ref="CC78:CC95" si="169">IF(B78&lt;(AT78+ AU78),"* La suma de las columna Trans NO DEBE ser superior al total de Procesados. ","")</f>
        <v/>
      </c>
      <c r="CD78" s="2235" t="str">
        <f t="shared" ref="CD78:CD95" si="170">IF(B78&lt;AV78,"* La columna Pueblos Originarios NO DEBE ser superior al total de Procesados. ","")</f>
        <v/>
      </c>
      <c r="CE78" s="2235" t="str">
        <f t="shared" ref="CE78:CE95" si="171">IF(B78&lt;AW78,"* La columna Migrantes NO DEBE ser superior al total de Procesados. ","")</f>
        <v/>
      </c>
      <c r="CF78" s="2235" t="str">
        <f>IF(D78&lt;E78,CONCATENATE("* El total de procesados debe ser mayor o igual al total de Reactivos en el grupo de edad ",$D$76),"")</f>
        <v/>
      </c>
      <c r="CG78" s="2235" t="str">
        <f>IF(F78&lt;G78,CONCATENATE("* El total de procesados debe ser mayor o igual al total de Reactivos en el grupo de edad ",$F$76),"")</f>
        <v/>
      </c>
      <c r="CH78" s="2235" t="str">
        <f>IF(H78&lt;I78,CONCATENATE("* El total de procesados debe ser mayor o igual al total de Reactivos en el grupo de edad ",$H$76),"")</f>
        <v/>
      </c>
      <c r="CI78" s="2235" t="str">
        <f>IF(J78&lt;K78,CONCATENATE("* El total de procesados debe ser mayor o igual al total de Reactivos en el grupo de edad ",$J$76),"")</f>
        <v/>
      </c>
      <c r="CJ78" s="2235" t="str">
        <f>IF(L78&lt;M78,CONCATENATE("* El total de procesados debe ser mayor o igual al total de Reactivos en el grupo de edad ",$L$76),"")</f>
        <v/>
      </c>
      <c r="CK78" s="2235" t="str">
        <f>IF(N78&lt;O78,CONCATENATE("* El total de procesados debe ser mayor o igual al total de Reactivos en el grupo de edad ",$N$76),"")</f>
        <v/>
      </c>
      <c r="CL78" s="2235" t="str">
        <f>IF(P78&lt;Q78,CONCATENATE("* El total de procesados debe ser mayor o igual al total de Reactivos en el grupo de edad ",$P$76),"")</f>
        <v/>
      </c>
      <c r="CM78" s="2235" t="str">
        <f>IF(R78&lt;S78,CONCATENATE("* El total de procesados debe ser mayor o igual al total de Reactivos en el grupo de edad ",$R$76),"")</f>
        <v/>
      </c>
      <c r="CN78" s="2235" t="str">
        <f>IF(T78&lt;U78,CONCATENATE("* El total de procesados debe ser mayor o igual al total de Reactivos en el grupo de edad ",$T$76),"")</f>
        <v/>
      </c>
      <c r="CO78" s="2235" t="str">
        <f>IF(V78&lt;W78,CONCATENATE("* El total de procesados debe ser mayor o igual al total de Reactivos en el grupo de edad ",$V$76),"")</f>
        <v/>
      </c>
      <c r="CP78" s="2235" t="str">
        <f>IF(X78&lt;Y78,CONCATENATE("* El total de procesados debe ser mayor o igual al total de Reactivos en el grupo de edad ",$X$76),"")</f>
        <v/>
      </c>
      <c r="CQ78" s="2235" t="str">
        <f>IF(Z78&lt;AA78,CONCATENATE("* El total de procesados debe ser mayor o igual al total de Reactivos en el grupo de edad ",$Z$76),"")</f>
        <v/>
      </c>
      <c r="CR78" s="2235" t="str">
        <f>IF(AB78&lt;AC78,CONCATENATE("* El total de procesados debe ser mayor o igual al total de Reactivos en el grupo de edad ",$AB$76),"")</f>
        <v/>
      </c>
      <c r="CS78" s="2235" t="str">
        <f>IF(AD78&lt;AE78,CONCATENATE("* El total de procesados debe ser mayor o igual al total de Reactivos en el grupo de edad ",$AD$76),"")</f>
        <v/>
      </c>
      <c r="CT78" s="2235" t="str">
        <f>IF(AF78&lt;AG78,CONCATENATE("* El total de procesados debe ser mayor o igual al total de Reactivos en el grupo de edad ",$AF$76),"")</f>
        <v/>
      </c>
      <c r="CU78" s="2235" t="str">
        <f>IF(AH78&lt;AI78,CONCATENATE("* El total de procesados debe ser mayor o igual al total de Reactivos en el grupo de edad ",$AH$76),"")</f>
        <v/>
      </c>
      <c r="CV78" s="2235" t="str">
        <f>IF(AJ78&lt;AK78,CONCATENATE("* El total de procesados debe ser mayor o igual al total de Reactivos en el grupo de edad ",$AJ$76),"")</f>
        <v/>
      </c>
      <c r="CW78" s="2235" t="str">
        <f>IF(AL78&lt;AM78,CONCATENATE("* El total de procesados debe ser mayor o igual al total de Reactivos en el grupo de edad ",$AL$76),"")</f>
        <v/>
      </c>
      <c r="CX78" s="2235" t="str">
        <f>IF(AN78&lt;AO78,CONCATENATE("* El total de procesados debe ser mayor o igual al total de Reactivos en el grupo de edad ",$AN$76),"")</f>
        <v/>
      </c>
      <c r="CY78" s="2235" t="str">
        <f>IF(AP78&lt;AQ78,CONCATENATE("* El total de procesados debe ser mayor o igual al total de Reactivos en el grupo de edad ",$AP$76),"")</f>
        <v/>
      </c>
      <c r="CZ78" s="2235" t="str">
        <f t="shared" ref="CZ78:CZ95" si="172">IF(AND(B78&lt;&gt;0,OR(AT78="",AU78="",AV78="",AW78="")),"* No olvide digitar la columna Trans y/o Pueblos Originarios y/o Migrantes (Digite Cero si no tiene). ","")</f>
        <v/>
      </c>
      <c r="DA78" s="1468">
        <f t="shared" ref="DA78:DA95" si="173">IF(B78&lt;   C78,1,0)</f>
        <v>0</v>
      </c>
      <c r="DB78" s="1468">
        <f t="shared" ref="DB78:DB95" si="174">IF(B78&lt;&gt; AR78+AS78,1,0)</f>
        <v>0</v>
      </c>
      <c r="DC78" s="1468">
        <f t="shared" ref="DC78:DC95" si="175">IF(B78&lt;  AT78+AU78,1,0)</f>
        <v>0</v>
      </c>
      <c r="DD78" s="1468">
        <f t="shared" ref="DD78:DD95" si="176">IF(B78&lt;  AV78,1,0)</f>
        <v>0</v>
      </c>
      <c r="DE78" s="1468">
        <f t="shared" ref="DE78:DE95" si="177">IF(B78&lt;  AW78,1,0)</f>
        <v>0</v>
      </c>
      <c r="DF78" s="1468">
        <f t="shared" ref="DF78:DF95" si="178">IF(D78&lt;E78,1,0)</f>
        <v>0</v>
      </c>
      <c r="DG78" s="1468">
        <f t="shared" ref="DG78:DG95" si="179">IF(F78&lt;G78,1,0)</f>
        <v>0</v>
      </c>
      <c r="DH78" s="1468">
        <f t="shared" ref="DH78:DH95" si="180">IF(H78&lt;I78,1,0)</f>
        <v>0</v>
      </c>
      <c r="DI78" s="1468">
        <f t="shared" ref="DI78:DI95" si="181">IF(J78&lt;K78,1,0)</f>
        <v>0</v>
      </c>
      <c r="DJ78" s="1468">
        <f t="shared" ref="DJ78:DJ95" si="182">IF(L78&lt;M78,1,0)</f>
        <v>0</v>
      </c>
      <c r="DK78" s="1468">
        <f t="shared" ref="DK78:DK95" si="183">IF(N78&lt;O78,1,0)</f>
        <v>0</v>
      </c>
      <c r="DL78" s="1468">
        <f t="shared" ref="DL78:DL95" si="184">IF(P78&lt;Q78,1,0)</f>
        <v>0</v>
      </c>
      <c r="DM78" s="1468">
        <f t="shared" ref="DM78:DM95" si="185">IF(R78&lt;S78,1,0)</f>
        <v>0</v>
      </c>
      <c r="DN78" s="1468">
        <f t="shared" ref="DN78:DN95" si="186">IF(T78&lt;U78,1,0)</f>
        <v>0</v>
      </c>
      <c r="DO78" s="1468">
        <f t="shared" ref="DO78:DO95" si="187">IF(V78&lt;W78,1,0)</f>
        <v>0</v>
      </c>
      <c r="DP78" s="1468">
        <f t="shared" ref="DP78:DP95" si="188">IF(X78&lt;Y78,1,0)</f>
        <v>0</v>
      </c>
      <c r="DQ78" s="1468">
        <f t="shared" ref="DQ78:DQ95" si="189">IF(Z78&lt;AA78,1,0)</f>
        <v>0</v>
      </c>
      <c r="DR78" s="1468">
        <f t="shared" ref="DR78:DR95" si="190">IF(AB78&lt;AC78,1,0)</f>
        <v>0</v>
      </c>
      <c r="DS78" s="1468">
        <f t="shared" ref="DS78:DS95" si="191">IF(AD78&lt;AE78,1,0)</f>
        <v>0</v>
      </c>
      <c r="DT78" s="1468">
        <f t="shared" ref="DT78:DT95" si="192">IF(AF78&lt;AG78,1,0)</f>
        <v>0</v>
      </c>
      <c r="DU78" s="1468">
        <f t="shared" ref="DU78:DU95" si="193">IF(AH78&lt;AI78,1,0)</f>
        <v>0</v>
      </c>
      <c r="DV78" s="1468">
        <f t="shared" ref="DV78:DV95" si="194">IF(AJ78&lt;AK78,1,0)</f>
        <v>0</v>
      </c>
      <c r="DW78" s="1468">
        <f t="shared" ref="DW78:DW95" si="195">IF(AL78&lt;AM78,1,0)</f>
        <v>0</v>
      </c>
      <c r="DX78" s="1468">
        <f t="shared" ref="DX78:DX95" si="196">IF(AN78&lt;AO78,1,0)</f>
        <v>0</v>
      </c>
      <c r="DY78" s="1468">
        <f t="shared" ref="DY78:DY95" si="197">IF(AP78&lt;AQ78,1,0)</f>
        <v>0</v>
      </c>
      <c r="DZ78" s="1468">
        <f t="shared" ref="DZ78:DZ95" si="198">IF(AND(B78&lt;&gt;0,OR(AT78="",AU78="",AV78="",AW78="")),1,0)</f>
        <v>0</v>
      </c>
    </row>
    <row r="79" spans="1:130" ht="16.149999999999999" customHeight="1" x14ac:dyDescent="0.25">
      <c r="A79" s="2040" t="s">
        <v>1783</v>
      </c>
      <c r="B79" s="2038">
        <f t="shared" si="165"/>
        <v>0</v>
      </c>
      <c r="C79" s="2084">
        <f t="shared" si="165"/>
        <v>0</v>
      </c>
      <c r="D79" s="1125"/>
      <c r="E79" s="1126"/>
      <c r="F79" s="1127"/>
      <c r="G79" s="1126"/>
      <c r="H79" s="1127"/>
      <c r="I79" s="1126"/>
      <c r="J79" s="1127"/>
      <c r="K79" s="1126"/>
      <c r="L79" s="1127"/>
      <c r="M79" s="1128"/>
      <c r="N79" s="1129"/>
      <c r="O79" s="1130"/>
      <c r="P79" s="1109"/>
      <c r="Q79" s="1130"/>
      <c r="R79" s="1109"/>
      <c r="S79" s="1130"/>
      <c r="T79" s="1109"/>
      <c r="U79" s="1130"/>
      <c r="V79" s="1109"/>
      <c r="W79" s="1130"/>
      <c r="X79" s="1109"/>
      <c r="Y79" s="1130"/>
      <c r="Z79" s="1109"/>
      <c r="AA79" s="1130"/>
      <c r="AB79" s="1109"/>
      <c r="AC79" s="1130"/>
      <c r="AD79" s="1109"/>
      <c r="AE79" s="1130"/>
      <c r="AF79" s="1109"/>
      <c r="AG79" s="1130"/>
      <c r="AH79" s="1109"/>
      <c r="AI79" s="1130"/>
      <c r="AJ79" s="1109"/>
      <c r="AK79" s="1130"/>
      <c r="AL79" s="1109"/>
      <c r="AM79" s="1130"/>
      <c r="AN79" s="1109"/>
      <c r="AO79" s="1130"/>
      <c r="AP79" s="1109"/>
      <c r="AQ79" s="1131"/>
      <c r="AR79" s="1132"/>
      <c r="AS79" s="1131"/>
      <c r="AT79" s="1129"/>
      <c r="AU79" s="1130"/>
      <c r="AV79" s="1109"/>
      <c r="AW79" s="1113"/>
      <c r="AX79" s="1193" t="str">
        <f t="shared" si="166"/>
        <v/>
      </c>
      <c r="AY79" s="1193"/>
      <c r="AZ79" s="1193"/>
      <c r="BA79" s="1193"/>
      <c r="BB79" s="1193"/>
      <c r="BC79" s="1193"/>
      <c r="BD79" s="1193"/>
      <c r="BE79" s="1193"/>
      <c r="BF79" s="1193"/>
      <c r="BG79" s="1193"/>
      <c r="BH79" s="1193"/>
      <c r="BI79" s="1187"/>
      <c r="BJ79" s="1187"/>
      <c r="BK79" s="1187"/>
      <c r="BL79" s="1187"/>
      <c r="BU79" s="1580"/>
      <c r="BV79" s="1580"/>
      <c r="BW79" s="1580"/>
      <c r="CA79" s="2235" t="str">
        <f t="shared" si="167"/>
        <v/>
      </c>
      <c r="CB79" s="2235" t="str">
        <f t="shared" si="168"/>
        <v/>
      </c>
      <c r="CC79" s="2235" t="str">
        <f t="shared" si="169"/>
        <v/>
      </c>
      <c r="CD79" s="2235" t="str">
        <f t="shared" si="170"/>
        <v/>
      </c>
      <c r="CE79" s="2235" t="str">
        <f t="shared" si="171"/>
        <v/>
      </c>
      <c r="CF79" s="2235" t="str">
        <f t="shared" ref="CF79:CF95" si="199">IF(D79&lt;E79,CONCATENATE("* El total de procesados debe ser mayor o igual al total de Reactivos en el grupo de edad ",$D$76),"")</f>
        <v/>
      </c>
      <c r="CG79" s="2235" t="str">
        <f t="shared" ref="CG79:CG95" si="200">IF(F79&lt;G79,CONCATENATE("* El total de procesados debe ser mayor o igual al total de Reactivos en el grupo de edad ",$F$76),"")</f>
        <v/>
      </c>
      <c r="CH79" s="2235" t="str">
        <f t="shared" ref="CH79:CH95" si="201">IF(H79&lt;I79,CONCATENATE("* El total de procesados debe ser mayor o igual al total de Reactivos en el grupo de edad ",$H$76),"")</f>
        <v/>
      </c>
      <c r="CI79" s="2235" t="str">
        <f t="shared" ref="CI79:CI95" si="202">IF(J79&lt;K79,CONCATENATE("* El total de procesados debe ser mayor o igual al total de Reactivos en el grupo de edad ",$J$76),"")</f>
        <v/>
      </c>
      <c r="CJ79" s="2235" t="str">
        <f t="shared" ref="CJ79:CJ95" si="203">IF(L79&lt;M79,CONCATENATE("* El total de procesados debe ser mayor o igual al total de Reactivos en el grupo de edad ",$L$76),"")</f>
        <v/>
      </c>
      <c r="CK79" s="2235" t="str">
        <f t="shared" ref="CK79:CK95" si="204">IF(N79&lt;O79,CONCATENATE("* El total de procesados debe ser mayor o igual al total de Reactivos en el grupo de edad ",$N$76),"")</f>
        <v/>
      </c>
      <c r="CL79" s="2235" t="str">
        <f t="shared" ref="CL79:CL95" si="205">IF(P79&lt;Q79,CONCATENATE("* El total de procesados debe ser mayor o igual al total de Reactivos en el grupo de edad ",$P$76),"")</f>
        <v/>
      </c>
      <c r="CM79" s="2235" t="str">
        <f t="shared" ref="CM79:CM95" si="206">IF(R79&lt;S79,CONCATENATE("* El total de procesados debe ser mayor o igual al total de Reactivos en el grupo de edad ",$R$76),"")</f>
        <v/>
      </c>
      <c r="CN79" s="2235" t="str">
        <f t="shared" ref="CN79:CN95" si="207">IF(T79&lt;U79,CONCATENATE("* El total de procesados debe ser mayor o igual al total de Reactivos en el grupo de edad ",$T$76),"")</f>
        <v/>
      </c>
      <c r="CO79" s="2235" t="str">
        <f t="shared" ref="CO79:CO95" si="208">IF(V79&lt;W79,CONCATENATE("* El total de procesados debe ser mayor o igual al total de Reactivos en el grupo de edad ",$V$76),"")</f>
        <v/>
      </c>
      <c r="CP79" s="2235" t="str">
        <f t="shared" ref="CP79:CP95" si="209">IF(X79&lt;Y79,CONCATENATE("* El total de procesados debe ser mayor o igual al total de Reactivos en el grupo de edad ",$X$76),"")</f>
        <v/>
      </c>
      <c r="CQ79" s="2235" t="str">
        <f t="shared" ref="CQ79:CQ95" si="210">IF(Z79&lt;AA79,CONCATENATE("* El total de procesados debe ser mayor o igual al total de Reactivos en el grupo de edad ",$Z$76),"")</f>
        <v/>
      </c>
      <c r="CR79" s="2235" t="str">
        <f t="shared" ref="CR79:CR95" si="211">IF(AB79&lt;AC79,CONCATENATE("* El total de procesados debe ser mayor o igual al total de Reactivos en el grupo de edad ",$AB$76),"")</f>
        <v/>
      </c>
      <c r="CS79" s="2235" t="str">
        <f t="shared" ref="CS79:CS95" si="212">IF(AD79&lt;AE79,CONCATENATE("* El total de procesados debe ser mayor o igual al total de Reactivos en el grupo de edad ",$AD$76),"")</f>
        <v/>
      </c>
      <c r="CT79" s="2235" t="str">
        <f t="shared" ref="CT79:CT95" si="213">IF(AF79&lt;AG79,CONCATENATE("* El total de procesados debe ser mayor o igual al total de Reactivos en el grupo de edad ",$AF$76),"")</f>
        <v/>
      </c>
      <c r="CU79" s="2235" t="str">
        <f t="shared" ref="CU79:CU95" si="214">IF(AH79&lt;AI79,CONCATENATE("* El total de procesados debe ser mayor o igual al total de Reactivos en el grupo de edad ",$AH$76),"")</f>
        <v/>
      </c>
      <c r="CV79" s="2235" t="str">
        <f t="shared" ref="CV79:CV95" si="215">IF(AJ79&lt;AK79,CONCATENATE("* El total de procesados debe ser mayor o igual al total de Reactivos en el grupo de edad ",$AJ$76),"")</f>
        <v/>
      </c>
      <c r="CW79" s="2235" t="str">
        <f t="shared" ref="CW79:CW95" si="216">IF(AL79&lt;AM79,CONCATENATE("* El total de procesados debe ser mayor o igual al total de Reactivos en el grupo de edad ",$AL$76),"")</f>
        <v/>
      </c>
      <c r="CX79" s="2235" t="str">
        <f t="shared" ref="CX79:CX95" si="217">IF(AN79&lt;AO79,CONCATENATE("* El total de procesados debe ser mayor o igual al total de Reactivos en el grupo de edad ",$AN$76),"")</f>
        <v/>
      </c>
      <c r="CY79" s="2235" t="str">
        <f t="shared" ref="CY79:CY95" si="218">IF(AP79&lt;AQ79,CONCATENATE("* El total de procesados debe ser mayor o igual al total de Reactivos en el grupo de edad ",$AP$76),"")</f>
        <v/>
      </c>
      <c r="CZ79" s="2235" t="str">
        <f t="shared" si="172"/>
        <v/>
      </c>
      <c r="DA79" s="1468">
        <f t="shared" si="173"/>
        <v>0</v>
      </c>
      <c r="DB79" s="1468">
        <f t="shared" si="174"/>
        <v>0</v>
      </c>
      <c r="DC79" s="1468">
        <f t="shared" si="175"/>
        <v>0</v>
      </c>
      <c r="DD79" s="1468">
        <f t="shared" si="176"/>
        <v>0</v>
      </c>
      <c r="DE79" s="1468">
        <f t="shared" si="177"/>
        <v>0</v>
      </c>
      <c r="DF79" s="1468">
        <f t="shared" si="178"/>
        <v>0</v>
      </c>
      <c r="DG79" s="1468">
        <f t="shared" si="179"/>
        <v>0</v>
      </c>
      <c r="DH79" s="1468">
        <f t="shared" si="180"/>
        <v>0</v>
      </c>
      <c r="DI79" s="1468">
        <f t="shared" si="181"/>
        <v>0</v>
      </c>
      <c r="DJ79" s="1468">
        <f t="shared" si="182"/>
        <v>0</v>
      </c>
      <c r="DK79" s="1468">
        <f t="shared" si="183"/>
        <v>0</v>
      </c>
      <c r="DL79" s="1468">
        <f t="shared" si="184"/>
        <v>0</v>
      </c>
      <c r="DM79" s="1468">
        <f t="shared" si="185"/>
        <v>0</v>
      </c>
      <c r="DN79" s="1468">
        <f t="shared" si="186"/>
        <v>0</v>
      </c>
      <c r="DO79" s="1468">
        <f t="shared" si="187"/>
        <v>0</v>
      </c>
      <c r="DP79" s="1468">
        <f t="shared" si="188"/>
        <v>0</v>
      </c>
      <c r="DQ79" s="1468">
        <f t="shared" si="189"/>
        <v>0</v>
      </c>
      <c r="DR79" s="1468">
        <f t="shared" si="190"/>
        <v>0</v>
      </c>
      <c r="DS79" s="1468">
        <f t="shared" si="191"/>
        <v>0</v>
      </c>
      <c r="DT79" s="1468">
        <f t="shared" si="192"/>
        <v>0</v>
      </c>
      <c r="DU79" s="1468">
        <f t="shared" si="193"/>
        <v>0</v>
      </c>
      <c r="DV79" s="1468">
        <f t="shared" si="194"/>
        <v>0</v>
      </c>
      <c r="DW79" s="1468">
        <f t="shared" si="195"/>
        <v>0</v>
      </c>
      <c r="DX79" s="1468">
        <f t="shared" si="196"/>
        <v>0</v>
      </c>
      <c r="DY79" s="1468">
        <f t="shared" si="197"/>
        <v>0</v>
      </c>
      <c r="DZ79" s="1468">
        <f t="shared" si="198"/>
        <v>0</v>
      </c>
    </row>
    <row r="80" spans="1:130" ht="16.149999999999999" customHeight="1" x14ac:dyDescent="0.25">
      <c r="A80" s="2040" t="s">
        <v>1784</v>
      </c>
      <c r="B80" s="2038">
        <f t="shared" si="165"/>
        <v>0</v>
      </c>
      <c r="C80" s="2084">
        <f t="shared" si="165"/>
        <v>0</v>
      </c>
      <c r="D80" s="1125"/>
      <c r="E80" s="1126"/>
      <c r="F80" s="1127"/>
      <c r="G80" s="1126"/>
      <c r="H80" s="1127"/>
      <c r="I80" s="1126"/>
      <c r="J80" s="1127"/>
      <c r="K80" s="1126"/>
      <c r="L80" s="1127"/>
      <c r="M80" s="1128"/>
      <c r="N80" s="1129"/>
      <c r="O80" s="1130"/>
      <c r="P80" s="1109"/>
      <c r="Q80" s="1130"/>
      <c r="R80" s="1109"/>
      <c r="S80" s="1130"/>
      <c r="T80" s="1109"/>
      <c r="U80" s="1130"/>
      <c r="V80" s="1109"/>
      <c r="W80" s="1130"/>
      <c r="X80" s="1109"/>
      <c r="Y80" s="1130"/>
      <c r="Z80" s="1109"/>
      <c r="AA80" s="1130"/>
      <c r="AB80" s="1109"/>
      <c r="AC80" s="1130"/>
      <c r="AD80" s="1109"/>
      <c r="AE80" s="1130"/>
      <c r="AF80" s="1109"/>
      <c r="AG80" s="1130"/>
      <c r="AH80" s="1109"/>
      <c r="AI80" s="1130"/>
      <c r="AJ80" s="1109"/>
      <c r="AK80" s="1130"/>
      <c r="AL80" s="1109"/>
      <c r="AM80" s="1130"/>
      <c r="AN80" s="1109"/>
      <c r="AO80" s="1130"/>
      <c r="AP80" s="1109"/>
      <c r="AQ80" s="1131"/>
      <c r="AR80" s="1132"/>
      <c r="AS80" s="1131"/>
      <c r="AT80" s="1129"/>
      <c r="AU80" s="1130"/>
      <c r="AV80" s="1109"/>
      <c r="AW80" s="1113"/>
      <c r="AX80" s="1193" t="str">
        <f t="shared" si="166"/>
        <v/>
      </c>
      <c r="AY80" s="1193"/>
      <c r="AZ80" s="1193"/>
      <c r="BA80" s="1193"/>
      <c r="BB80" s="1193"/>
      <c r="BC80" s="1193"/>
      <c r="BD80" s="1193"/>
      <c r="BE80" s="1193"/>
      <c r="BF80" s="1193"/>
      <c r="BG80" s="1193"/>
      <c r="BH80" s="1193"/>
      <c r="BI80" s="1187"/>
      <c r="BJ80" s="1187"/>
      <c r="BK80" s="1187"/>
      <c r="BL80" s="1187"/>
      <c r="BU80" s="1580"/>
      <c r="BV80" s="1580"/>
      <c r="BW80" s="1580"/>
      <c r="CA80" s="2235" t="str">
        <f t="shared" si="167"/>
        <v/>
      </c>
      <c r="CB80" s="2235" t="str">
        <f t="shared" si="168"/>
        <v/>
      </c>
      <c r="CC80" s="2235" t="str">
        <f t="shared" si="169"/>
        <v/>
      </c>
      <c r="CD80" s="2235" t="str">
        <f t="shared" si="170"/>
        <v/>
      </c>
      <c r="CE80" s="2235" t="str">
        <f t="shared" si="171"/>
        <v/>
      </c>
      <c r="CF80" s="2235" t="str">
        <f t="shared" si="199"/>
        <v/>
      </c>
      <c r="CG80" s="2235" t="str">
        <f t="shared" si="200"/>
        <v/>
      </c>
      <c r="CH80" s="2235" t="str">
        <f t="shared" si="201"/>
        <v/>
      </c>
      <c r="CI80" s="2235" t="str">
        <f t="shared" si="202"/>
        <v/>
      </c>
      <c r="CJ80" s="2235" t="str">
        <f t="shared" si="203"/>
        <v/>
      </c>
      <c r="CK80" s="2235" t="str">
        <f t="shared" si="204"/>
        <v/>
      </c>
      <c r="CL80" s="2235" t="str">
        <f t="shared" si="205"/>
        <v/>
      </c>
      <c r="CM80" s="2235" t="str">
        <f t="shared" si="206"/>
        <v/>
      </c>
      <c r="CN80" s="2235" t="str">
        <f t="shared" si="207"/>
        <v/>
      </c>
      <c r="CO80" s="2235" t="str">
        <f t="shared" si="208"/>
        <v/>
      </c>
      <c r="CP80" s="2235" t="str">
        <f t="shared" si="209"/>
        <v/>
      </c>
      <c r="CQ80" s="2235" t="str">
        <f t="shared" si="210"/>
        <v/>
      </c>
      <c r="CR80" s="2235" t="str">
        <f t="shared" si="211"/>
        <v/>
      </c>
      <c r="CS80" s="2235" t="str">
        <f t="shared" si="212"/>
        <v/>
      </c>
      <c r="CT80" s="2235" t="str">
        <f t="shared" si="213"/>
        <v/>
      </c>
      <c r="CU80" s="2235" t="str">
        <f t="shared" si="214"/>
        <v/>
      </c>
      <c r="CV80" s="2235" t="str">
        <f t="shared" si="215"/>
        <v/>
      </c>
      <c r="CW80" s="2235" t="str">
        <f t="shared" si="216"/>
        <v/>
      </c>
      <c r="CX80" s="2235" t="str">
        <f t="shared" si="217"/>
        <v/>
      </c>
      <c r="CY80" s="2235" t="str">
        <f t="shared" si="218"/>
        <v/>
      </c>
      <c r="CZ80" s="2235" t="str">
        <f t="shared" si="172"/>
        <v/>
      </c>
      <c r="DA80" s="1468">
        <f t="shared" si="173"/>
        <v>0</v>
      </c>
      <c r="DB80" s="1468">
        <f t="shared" si="174"/>
        <v>0</v>
      </c>
      <c r="DC80" s="1468">
        <f t="shared" si="175"/>
        <v>0</v>
      </c>
      <c r="DD80" s="1468">
        <f t="shared" si="176"/>
        <v>0</v>
      </c>
      <c r="DE80" s="1468">
        <f t="shared" si="177"/>
        <v>0</v>
      </c>
      <c r="DF80" s="1468">
        <f t="shared" si="178"/>
        <v>0</v>
      </c>
      <c r="DG80" s="1468">
        <f t="shared" si="179"/>
        <v>0</v>
      </c>
      <c r="DH80" s="1468">
        <f t="shared" si="180"/>
        <v>0</v>
      </c>
      <c r="DI80" s="1468">
        <f t="shared" si="181"/>
        <v>0</v>
      </c>
      <c r="DJ80" s="1468">
        <f t="shared" si="182"/>
        <v>0</v>
      </c>
      <c r="DK80" s="1468">
        <f t="shared" si="183"/>
        <v>0</v>
      </c>
      <c r="DL80" s="1468">
        <f t="shared" si="184"/>
        <v>0</v>
      </c>
      <c r="DM80" s="1468">
        <f t="shared" si="185"/>
        <v>0</v>
      </c>
      <c r="DN80" s="1468">
        <f t="shared" si="186"/>
        <v>0</v>
      </c>
      <c r="DO80" s="1468">
        <f t="shared" si="187"/>
        <v>0</v>
      </c>
      <c r="DP80" s="1468">
        <f t="shared" si="188"/>
        <v>0</v>
      </c>
      <c r="DQ80" s="1468">
        <f t="shared" si="189"/>
        <v>0</v>
      </c>
      <c r="DR80" s="1468">
        <f t="shared" si="190"/>
        <v>0</v>
      </c>
      <c r="DS80" s="1468">
        <f t="shared" si="191"/>
        <v>0</v>
      </c>
      <c r="DT80" s="1468">
        <f t="shared" si="192"/>
        <v>0</v>
      </c>
      <c r="DU80" s="1468">
        <f t="shared" si="193"/>
        <v>0</v>
      </c>
      <c r="DV80" s="1468">
        <f t="shared" si="194"/>
        <v>0</v>
      </c>
      <c r="DW80" s="1468">
        <f t="shared" si="195"/>
        <v>0</v>
      </c>
      <c r="DX80" s="1468">
        <f t="shared" si="196"/>
        <v>0</v>
      </c>
      <c r="DY80" s="1468">
        <f t="shared" si="197"/>
        <v>0</v>
      </c>
      <c r="DZ80" s="1468">
        <f t="shared" si="198"/>
        <v>0</v>
      </c>
    </row>
    <row r="81" spans="1:130" ht="16.149999999999999" customHeight="1" x14ac:dyDescent="0.25">
      <c r="A81" s="2040" t="s">
        <v>1785</v>
      </c>
      <c r="B81" s="2038">
        <f t="shared" si="165"/>
        <v>0</v>
      </c>
      <c r="C81" s="2084">
        <f t="shared" si="165"/>
        <v>0</v>
      </c>
      <c r="D81" s="1125"/>
      <c r="E81" s="1126"/>
      <c r="F81" s="1127"/>
      <c r="G81" s="1126"/>
      <c r="H81" s="1127"/>
      <c r="I81" s="1126"/>
      <c r="J81" s="1127"/>
      <c r="K81" s="1126"/>
      <c r="L81" s="1127"/>
      <c r="M81" s="1128"/>
      <c r="N81" s="1129"/>
      <c r="O81" s="1130"/>
      <c r="P81" s="1109"/>
      <c r="Q81" s="1130"/>
      <c r="R81" s="1109"/>
      <c r="S81" s="1130"/>
      <c r="T81" s="1109"/>
      <c r="U81" s="1130"/>
      <c r="V81" s="1109"/>
      <c r="W81" s="1130"/>
      <c r="X81" s="1109"/>
      <c r="Y81" s="1130"/>
      <c r="Z81" s="1109"/>
      <c r="AA81" s="1130"/>
      <c r="AB81" s="1109"/>
      <c r="AC81" s="1130"/>
      <c r="AD81" s="1109"/>
      <c r="AE81" s="1130"/>
      <c r="AF81" s="1109"/>
      <c r="AG81" s="1130"/>
      <c r="AH81" s="1109"/>
      <c r="AI81" s="1130"/>
      <c r="AJ81" s="1109"/>
      <c r="AK81" s="1130"/>
      <c r="AL81" s="1109"/>
      <c r="AM81" s="1130"/>
      <c r="AN81" s="1109"/>
      <c r="AO81" s="1130"/>
      <c r="AP81" s="1109"/>
      <c r="AQ81" s="1131"/>
      <c r="AR81" s="1132"/>
      <c r="AS81" s="1131"/>
      <c r="AT81" s="1129"/>
      <c r="AU81" s="1130"/>
      <c r="AV81" s="1109"/>
      <c r="AW81" s="1113"/>
      <c r="AX81" s="1193" t="str">
        <f t="shared" si="166"/>
        <v/>
      </c>
      <c r="AY81" s="1193"/>
      <c r="AZ81" s="1193"/>
      <c r="BA81" s="1193"/>
      <c r="BB81" s="1193"/>
      <c r="BC81" s="1193"/>
      <c r="BD81" s="1193"/>
      <c r="BE81" s="1193"/>
      <c r="BF81" s="1193"/>
      <c r="BG81" s="1193"/>
      <c r="BH81" s="1193"/>
      <c r="BI81" s="1187"/>
      <c r="BJ81" s="1187"/>
      <c r="BK81" s="1187"/>
      <c r="BL81" s="1187"/>
      <c r="BU81" s="1580"/>
      <c r="BV81" s="1580"/>
      <c r="BW81" s="1580"/>
      <c r="CA81" s="2235" t="str">
        <f t="shared" si="167"/>
        <v/>
      </c>
      <c r="CB81" s="2235" t="str">
        <f t="shared" si="168"/>
        <v/>
      </c>
      <c r="CC81" s="2235" t="str">
        <f t="shared" si="169"/>
        <v/>
      </c>
      <c r="CD81" s="2235" t="str">
        <f t="shared" si="170"/>
        <v/>
      </c>
      <c r="CE81" s="2235" t="str">
        <f t="shared" si="171"/>
        <v/>
      </c>
      <c r="CF81" s="2235" t="str">
        <f t="shared" si="199"/>
        <v/>
      </c>
      <c r="CG81" s="2235" t="str">
        <f t="shared" si="200"/>
        <v/>
      </c>
      <c r="CH81" s="2235" t="str">
        <f t="shared" si="201"/>
        <v/>
      </c>
      <c r="CI81" s="2235" t="str">
        <f t="shared" si="202"/>
        <v/>
      </c>
      <c r="CJ81" s="2235" t="str">
        <f t="shared" si="203"/>
        <v/>
      </c>
      <c r="CK81" s="2235" t="str">
        <f t="shared" si="204"/>
        <v/>
      </c>
      <c r="CL81" s="2235" t="str">
        <f t="shared" si="205"/>
        <v/>
      </c>
      <c r="CM81" s="2235" t="str">
        <f t="shared" si="206"/>
        <v/>
      </c>
      <c r="CN81" s="2235" t="str">
        <f t="shared" si="207"/>
        <v/>
      </c>
      <c r="CO81" s="2235" t="str">
        <f t="shared" si="208"/>
        <v/>
      </c>
      <c r="CP81" s="2235" t="str">
        <f t="shared" si="209"/>
        <v/>
      </c>
      <c r="CQ81" s="2235" t="str">
        <f t="shared" si="210"/>
        <v/>
      </c>
      <c r="CR81" s="2235" t="str">
        <f t="shared" si="211"/>
        <v/>
      </c>
      <c r="CS81" s="2235" t="str">
        <f t="shared" si="212"/>
        <v/>
      </c>
      <c r="CT81" s="2235" t="str">
        <f t="shared" si="213"/>
        <v/>
      </c>
      <c r="CU81" s="2235" t="str">
        <f t="shared" si="214"/>
        <v/>
      </c>
      <c r="CV81" s="2235" t="str">
        <f t="shared" si="215"/>
        <v/>
      </c>
      <c r="CW81" s="2235" t="str">
        <f t="shared" si="216"/>
        <v/>
      </c>
      <c r="CX81" s="2235" t="str">
        <f t="shared" si="217"/>
        <v/>
      </c>
      <c r="CY81" s="2235" t="str">
        <f t="shared" si="218"/>
        <v/>
      </c>
      <c r="CZ81" s="2235" t="str">
        <f t="shared" si="172"/>
        <v/>
      </c>
      <c r="DA81" s="1468">
        <f t="shared" si="173"/>
        <v>0</v>
      </c>
      <c r="DB81" s="1468">
        <f t="shared" si="174"/>
        <v>0</v>
      </c>
      <c r="DC81" s="1468">
        <f t="shared" si="175"/>
        <v>0</v>
      </c>
      <c r="DD81" s="1468">
        <f t="shared" si="176"/>
        <v>0</v>
      </c>
      <c r="DE81" s="1468">
        <f t="shared" si="177"/>
        <v>0</v>
      </c>
      <c r="DF81" s="1468">
        <f t="shared" si="178"/>
        <v>0</v>
      </c>
      <c r="DG81" s="1468">
        <f t="shared" si="179"/>
        <v>0</v>
      </c>
      <c r="DH81" s="1468">
        <f t="shared" si="180"/>
        <v>0</v>
      </c>
      <c r="DI81" s="1468">
        <f t="shared" si="181"/>
        <v>0</v>
      </c>
      <c r="DJ81" s="1468">
        <f t="shared" si="182"/>
        <v>0</v>
      </c>
      <c r="DK81" s="1468">
        <f t="shared" si="183"/>
        <v>0</v>
      </c>
      <c r="DL81" s="1468">
        <f t="shared" si="184"/>
        <v>0</v>
      </c>
      <c r="DM81" s="1468">
        <f t="shared" si="185"/>
        <v>0</v>
      </c>
      <c r="DN81" s="1468">
        <f t="shared" si="186"/>
        <v>0</v>
      </c>
      <c r="DO81" s="1468">
        <f t="shared" si="187"/>
        <v>0</v>
      </c>
      <c r="DP81" s="1468">
        <f t="shared" si="188"/>
        <v>0</v>
      </c>
      <c r="DQ81" s="1468">
        <f t="shared" si="189"/>
        <v>0</v>
      </c>
      <c r="DR81" s="1468">
        <f t="shared" si="190"/>
        <v>0</v>
      </c>
      <c r="DS81" s="1468">
        <f t="shared" si="191"/>
        <v>0</v>
      </c>
      <c r="DT81" s="1468">
        <f t="shared" si="192"/>
        <v>0</v>
      </c>
      <c r="DU81" s="1468">
        <f t="shared" si="193"/>
        <v>0</v>
      </c>
      <c r="DV81" s="1468">
        <f t="shared" si="194"/>
        <v>0</v>
      </c>
      <c r="DW81" s="1468">
        <f t="shared" si="195"/>
        <v>0</v>
      </c>
      <c r="DX81" s="1468">
        <f t="shared" si="196"/>
        <v>0</v>
      </c>
      <c r="DY81" s="1468">
        <f t="shared" si="197"/>
        <v>0</v>
      </c>
      <c r="DZ81" s="1468">
        <f t="shared" si="198"/>
        <v>0</v>
      </c>
    </row>
    <row r="82" spans="1:130" ht="16.149999999999999" customHeight="1" x14ac:dyDescent="0.25">
      <c r="A82" s="2085" t="s">
        <v>1786</v>
      </c>
      <c r="B82" s="2038">
        <f t="shared" si="165"/>
        <v>0</v>
      </c>
      <c r="C82" s="2084">
        <f t="shared" si="165"/>
        <v>0</v>
      </c>
      <c r="D82" s="1125"/>
      <c r="E82" s="1126"/>
      <c r="F82" s="1127"/>
      <c r="G82" s="1126"/>
      <c r="H82" s="1127"/>
      <c r="I82" s="1126"/>
      <c r="J82" s="1127"/>
      <c r="K82" s="1126"/>
      <c r="L82" s="1127"/>
      <c r="M82" s="1128"/>
      <c r="N82" s="1129"/>
      <c r="O82" s="1130"/>
      <c r="P82" s="1109"/>
      <c r="Q82" s="1130"/>
      <c r="R82" s="1109"/>
      <c r="S82" s="1130"/>
      <c r="T82" s="1109"/>
      <c r="U82" s="1130"/>
      <c r="V82" s="1109"/>
      <c r="W82" s="1130"/>
      <c r="X82" s="1109"/>
      <c r="Y82" s="1130"/>
      <c r="Z82" s="1109"/>
      <c r="AA82" s="1130"/>
      <c r="AB82" s="1109"/>
      <c r="AC82" s="1130"/>
      <c r="AD82" s="1109"/>
      <c r="AE82" s="1130"/>
      <c r="AF82" s="1109"/>
      <c r="AG82" s="1130"/>
      <c r="AH82" s="1109"/>
      <c r="AI82" s="1130"/>
      <c r="AJ82" s="1109"/>
      <c r="AK82" s="1130"/>
      <c r="AL82" s="1109"/>
      <c r="AM82" s="1130"/>
      <c r="AN82" s="1109"/>
      <c r="AO82" s="1130"/>
      <c r="AP82" s="1109"/>
      <c r="AQ82" s="1131"/>
      <c r="AR82" s="1132"/>
      <c r="AS82" s="1131"/>
      <c r="AT82" s="1129"/>
      <c r="AU82" s="1130"/>
      <c r="AV82" s="1109"/>
      <c r="AW82" s="1113"/>
      <c r="AX82" s="1193" t="str">
        <f t="shared" si="166"/>
        <v/>
      </c>
      <c r="AY82" s="1193"/>
      <c r="AZ82" s="1193"/>
      <c r="BA82" s="1193"/>
      <c r="BB82" s="1193"/>
      <c r="BC82" s="1193"/>
      <c r="BD82" s="1193"/>
      <c r="BE82" s="1193"/>
      <c r="BF82" s="1193"/>
      <c r="BG82" s="1193"/>
      <c r="BH82" s="1193"/>
      <c r="BI82" s="1187"/>
      <c r="BJ82" s="1187"/>
      <c r="BK82" s="1187"/>
      <c r="BL82" s="1187"/>
      <c r="BU82" s="1580"/>
      <c r="BV82" s="1580"/>
      <c r="BW82" s="1580"/>
      <c r="CA82" s="2235" t="str">
        <f t="shared" si="167"/>
        <v/>
      </c>
      <c r="CB82" s="2235" t="str">
        <f t="shared" si="168"/>
        <v/>
      </c>
      <c r="CC82" s="2235" t="str">
        <f t="shared" si="169"/>
        <v/>
      </c>
      <c r="CD82" s="2235" t="str">
        <f t="shared" si="170"/>
        <v/>
      </c>
      <c r="CE82" s="2235" t="str">
        <f t="shared" si="171"/>
        <v/>
      </c>
      <c r="CF82" s="2235" t="str">
        <f t="shared" si="199"/>
        <v/>
      </c>
      <c r="CG82" s="2235" t="str">
        <f t="shared" si="200"/>
        <v/>
      </c>
      <c r="CH82" s="2235" t="str">
        <f t="shared" si="201"/>
        <v/>
      </c>
      <c r="CI82" s="2235" t="str">
        <f t="shared" si="202"/>
        <v/>
      </c>
      <c r="CJ82" s="2235" t="str">
        <f t="shared" si="203"/>
        <v/>
      </c>
      <c r="CK82" s="2235" t="str">
        <f t="shared" si="204"/>
        <v/>
      </c>
      <c r="CL82" s="2235" t="str">
        <f t="shared" si="205"/>
        <v/>
      </c>
      <c r="CM82" s="2235" t="str">
        <f t="shared" si="206"/>
        <v/>
      </c>
      <c r="CN82" s="2235" t="str">
        <f t="shared" si="207"/>
        <v/>
      </c>
      <c r="CO82" s="2235" t="str">
        <f t="shared" si="208"/>
        <v/>
      </c>
      <c r="CP82" s="2235" t="str">
        <f t="shared" si="209"/>
        <v/>
      </c>
      <c r="CQ82" s="2235" t="str">
        <f t="shared" si="210"/>
        <v/>
      </c>
      <c r="CR82" s="2235" t="str">
        <f t="shared" si="211"/>
        <v/>
      </c>
      <c r="CS82" s="2235" t="str">
        <f t="shared" si="212"/>
        <v/>
      </c>
      <c r="CT82" s="2235" t="str">
        <f t="shared" si="213"/>
        <v/>
      </c>
      <c r="CU82" s="2235" t="str">
        <f t="shared" si="214"/>
        <v/>
      </c>
      <c r="CV82" s="2235" t="str">
        <f t="shared" si="215"/>
        <v/>
      </c>
      <c r="CW82" s="2235" t="str">
        <f t="shared" si="216"/>
        <v/>
      </c>
      <c r="CX82" s="2235" t="str">
        <f t="shared" si="217"/>
        <v/>
      </c>
      <c r="CY82" s="2235" t="str">
        <f t="shared" si="218"/>
        <v/>
      </c>
      <c r="CZ82" s="2235" t="str">
        <f t="shared" si="172"/>
        <v/>
      </c>
      <c r="DA82" s="1468">
        <f t="shared" si="173"/>
        <v>0</v>
      </c>
      <c r="DB82" s="1468">
        <f t="shared" si="174"/>
        <v>0</v>
      </c>
      <c r="DC82" s="1468">
        <f t="shared" si="175"/>
        <v>0</v>
      </c>
      <c r="DD82" s="1468">
        <f t="shared" si="176"/>
        <v>0</v>
      </c>
      <c r="DE82" s="1468">
        <f t="shared" si="177"/>
        <v>0</v>
      </c>
      <c r="DF82" s="1468">
        <f t="shared" si="178"/>
        <v>0</v>
      </c>
      <c r="DG82" s="1468">
        <f t="shared" si="179"/>
        <v>0</v>
      </c>
      <c r="DH82" s="1468">
        <f t="shared" si="180"/>
        <v>0</v>
      </c>
      <c r="DI82" s="1468">
        <f t="shared" si="181"/>
        <v>0</v>
      </c>
      <c r="DJ82" s="1468">
        <f t="shared" si="182"/>
        <v>0</v>
      </c>
      <c r="DK82" s="1468">
        <f t="shared" si="183"/>
        <v>0</v>
      </c>
      <c r="DL82" s="1468">
        <f t="shared" si="184"/>
        <v>0</v>
      </c>
      <c r="DM82" s="1468">
        <f t="shared" si="185"/>
        <v>0</v>
      </c>
      <c r="DN82" s="1468">
        <f t="shared" si="186"/>
        <v>0</v>
      </c>
      <c r="DO82" s="1468">
        <f t="shared" si="187"/>
        <v>0</v>
      </c>
      <c r="DP82" s="1468">
        <f t="shared" si="188"/>
        <v>0</v>
      </c>
      <c r="DQ82" s="1468">
        <f t="shared" si="189"/>
        <v>0</v>
      </c>
      <c r="DR82" s="1468">
        <f t="shared" si="190"/>
        <v>0</v>
      </c>
      <c r="DS82" s="1468">
        <f t="shared" si="191"/>
        <v>0</v>
      </c>
      <c r="DT82" s="1468">
        <f t="shared" si="192"/>
        <v>0</v>
      </c>
      <c r="DU82" s="1468">
        <f t="shared" si="193"/>
        <v>0</v>
      </c>
      <c r="DV82" s="1468">
        <f t="shared" si="194"/>
        <v>0</v>
      </c>
      <c r="DW82" s="1468">
        <f t="shared" si="195"/>
        <v>0</v>
      </c>
      <c r="DX82" s="1468">
        <f t="shared" si="196"/>
        <v>0</v>
      </c>
      <c r="DY82" s="1468">
        <f t="shared" si="197"/>
        <v>0</v>
      </c>
      <c r="DZ82" s="1468">
        <f t="shared" si="198"/>
        <v>0</v>
      </c>
    </row>
    <row r="83" spans="1:130" ht="16.5" customHeight="1" x14ac:dyDescent="0.25">
      <c r="A83" s="2085" t="s">
        <v>1787</v>
      </c>
      <c r="B83" s="2038">
        <f t="shared" si="165"/>
        <v>0</v>
      </c>
      <c r="C83" s="2084">
        <f t="shared" si="165"/>
        <v>0</v>
      </c>
      <c r="D83" s="1125"/>
      <c r="E83" s="1126"/>
      <c r="F83" s="1127"/>
      <c r="G83" s="1126"/>
      <c r="H83" s="1127"/>
      <c r="I83" s="1126"/>
      <c r="J83" s="1127"/>
      <c r="K83" s="1126"/>
      <c r="L83" s="1127"/>
      <c r="M83" s="1128"/>
      <c r="N83" s="1129"/>
      <c r="O83" s="1130"/>
      <c r="P83" s="1109"/>
      <c r="Q83" s="1130"/>
      <c r="R83" s="1109"/>
      <c r="S83" s="1130"/>
      <c r="T83" s="1109"/>
      <c r="U83" s="1130"/>
      <c r="V83" s="1109"/>
      <c r="W83" s="1130"/>
      <c r="X83" s="1109"/>
      <c r="Y83" s="1130"/>
      <c r="Z83" s="1109"/>
      <c r="AA83" s="1130"/>
      <c r="AB83" s="1109"/>
      <c r="AC83" s="1130"/>
      <c r="AD83" s="1109"/>
      <c r="AE83" s="1130"/>
      <c r="AF83" s="1109"/>
      <c r="AG83" s="1130"/>
      <c r="AH83" s="1109"/>
      <c r="AI83" s="1130"/>
      <c r="AJ83" s="1109"/>
      <c r="AK83" s="1130"/>
      <c r="AL83" s="1109"/>
      <c r="AM83" s="1130"/>
      <c r="AN83" s="1109"/>
      <c r="AO83" s="1130"/>
      <c r="AP83" s="1109"/>
      <c r="AQ83" s="1131"/>
      <c r="AR83" s="1129"/>
      <c r="AS83" s="1131"/>
      <c r="AT83" s="1129"/>
      <c r="AU83" s="1130"/>
      <c r="AV83" s="1109"/>
      <c r="AW83" s="1113"/>
      <c r="AX83" s="1193" t="str">
        <f t="shared" si="166"/>
        <v/>
      </c>
      <c r="AY83" s="1193"/>
      <c r="AZ83" s="1193"/>
      <c r="BA83" s="1193"/>
      <c r="BB83" s="1193"/>
      <c r="BC83" s="1193"/>
      <c r="BD83" s="1193"/>
      <c r="BE83" s="1193"/>
      <c r="BF83" s="1193"/>
      <c r="BG83" s="1193"/>
      <c r="BH83" s="1193"/>
      <c r="BI83" s="1187"/>
      <c r="BJ83" s="1187"/>
      <c r="BK83" s="1187"/>
      <c r="BL83" s="1187"/>
      <c r="BU83" s="1580"/>
      <c r="BV83" s="1580"/>
      <c r="BW83" s="1580"/>
      <c r="CA83" s="2235" t="str">
        <f t="shared" si="167"/>
        <v/>
      </c>
      <c r="CB83" s="2235" t="str">
        <f t="shared" si="168"/>
        <v/>
      </c>
      <c r="CC83" s="2235" t="str">
        <f t="shared" si="169"/>
        <v/>
      </c>
      <c r="CD83" s="2235" t="str">
        <f t="shared" si="170"/>
        <v/>
      </c>
      <c r="CE83" s="2235" t="str">
        <f t="shared" si="171"/>
        <v/>
      </c>
      <c r="CF83" s="2235" t="str">
        <f t="shared" si="199"/>
        <v/>
      </c>
      <c r="CG83" s="2235" t="str">
        <f t="shared" si="200"/>
        <v/>
      </c>
      <c r="CH83" s="2235" t="str">
        <f t="shared" si="201"/>
        <v/>
      </c>
      <c r="CI83" s="2235" t="str">
        <f t="shared" si="202"/>
        <v/>
      </c>
      <c r="CJ83" s="2235" t="str">
        <f t="shared" si="203"/>
        <v/>
      </c>
      <c r="CK83" s="2235" t="str">
        <f t="shared" si="204"/>
        <v/>
      </c>
      <c r="CL83" s="2235" t="str">
        <f t="shared" si="205"/>
        <v/>
      </c>
      <c r="CM83" s="2235" t="str">
        <f t="shared" si="206"/>
        <v/>
      </c>
      <c r="CN83" s="2235" t="str">
        <f t="shared" si="207"/>
        <v/>
      </c>
      <c r="CO83" s="2235" t="str">
        <f t="shared" si="208"/>
        <v/>
      </c>
      <c r="CP83" s="2235" t="str">
        <f t="shared" si="209"/>
        <v/>
      </c>
      <c r="CQ83" s="2235" t="str">
        <f t="shared" si="210"/>
        <v/>
      </c>
      <c r="CR83" s="2235" t="str">
        <f t="shared" si="211"/>
        <v/>
      </c>
      <c r="CS83" s="2235" t="str">
        <f t="shared" si="212"/>
        <v/>
      </c>
      <c r="CT83" s="2235" t="str">
        <f t="shared" si="213"/>
        <v/>
      </c>
      <c r="CU83" s="2235" t="str">
        <f t="shared" si="214"/>
        <v/>
      </c>
      <c r="CV83" s="2235" t="str">
        <f t="shared" si="215"/>
        <v/>
      </c>
      <c r="CW83" s="2235" t="str">
        <f t="shared" si="216"/>
        <v/>
      </c>
      <c r="CX83" s="2235" t="str">
        <f t="shared" si="217"/>
        <v/>
      </c>
      <c r="CY83" s="2235" t="str">
        <f t="shared" si="218"/>
        <v/>
      </c>
      <c r="CZ83" s="2235" t="str">
        <f t="shared" si="172"/>
        <v/>
      </c>
      <c r="DA83" s="1468">
        <f t="shared" si="173"/>
        <v>0</v>
      </c>
      <c r="DB83" s="1468">
        <f t="shared" si="174"/>
        <v>0</v>
      </c>
      <c r="DC83" s="1468">
        <f t="shared" si="175"/>
        <v>0</v>
      </c>
      <c r="DD83" s="1468">
        <f t="shared" si="176"/>
        <v>0</v>
      </c>
      <c r="DE83" s="1468">
        <f t="shared" si="177"/>
        <v>0</v>
      </c>
      <c r="DF83" s="1468">
        <f t="shared" si="178"/>
        <v>0</v>
      </c>
      <c r="DG83" s="1468">
        <f t="shared" si="179"/>
        <v>0</v>
      </c>
      <c r="DH83" s="1468">
        <f t="shared" si="180"/>
        <v>0</v>
      </c>
      <c r="DI83" s="1468">
        <f t="shared" si="181"/>
        <v>0</v>
      </c>
      <c r="DJ83" s="1468">
        <f t="shared" si="182"/>
        <v>0</v>
      </c>
      <c r="DK83" s="1468">
        <f t="shared" si="183"/>
        <v>0</v>
      </c>
      <c r="DL83" s="1468">
        <f t="shared" si="184"/>
        <v>0</v>
      </c>
      <c r="DM83" s="1468">
        <f t="shared" si="185"/>
        <v>0</v>
      </c>
      <c r="DN83" s="1468">
        <f t="shared" si="186"/>
        <v>0</v>
      </c>
      <c r="DO83" s="1468">
        <f t="shared" si="187"/>
        <v>0</v>
      </c>
      <c r="DP83" s="1468">
        <f t="shared" si="188"/>
        <v>0</v>
      </c>
      <c r="DQ83" s="1468">
        <f t="shared" si="189"/>
        <v>0</v>
      </c>
      <c r="DR83" s="1468">
        <f t="shared" si="190"/>
        <v>0</v>
      </c>
      <c r="DS83" s="1468">
        <f t="shared" si="191"/>
        <v>0</v>
      </c>
      <c r="DT83" s="1468">
        <f t="shared" si="192"/>
        <v>0</v>
      </c>
      <c r="DU83" s="1468">
        <f t="shared" si="193"/>
        <v>0</v>
      </c>
      <c r="DV83" s="1468">
        <f t="shared" si="194"/>
        <v>0</v>
      </c>
      <c r="DW83" s="1468">
        <f t="shared" si="195"/>
        <v>0</v>
      </c>
      <c r="DX83" s="1468">
        <f t="shared" si="196"/>
        <v>0</v>
      </c>
      <c r="DY83" s="1468">
        <f t="shared" si="197"/>
        <v>0</v>
      </c>
      <c r="DZ83" s="1468">
        <f t="shared" si="198"/>
        <v>0</v>
      </c>
    </row>
    <row r="84" spans="1:130" ht="19.899999999999999" customHeight="1" x14ac:dyDescent="0.25">
      <c r="A84" s="2085" t="s">
        <v>1788</v>
      </c>
      <c r="B84" s="2038">
        <f t="shared" si="165"/>
        <v>0</v>
      </c>
      <c r="C84" s="2084">
        <f t="shared" si="165"/>
        <v>0</v>
      </c>
      <c r="D84" s="1125"/>
      <c r="E84" s="1126"/>
      <c r="F84" s="1127"/>
      <c r="G84" s="1126"/>
      <c r="H84" s="1127"/>
      <c r="I84" s="1126"/>
      <c r="J84" s="1127"/>
      <c r="K84" s="1126"/>
      <c r="L84" s="1127"/>
      <c r="M84" s="1128"/>
      <c r="N84" s="1129"/>
      <c r="O84" s="1130"/>
      <c r="P84" s="1109"/>
      <c r="Q84" s="1130"/>
      <c r="R84" s="1109"/>
      <c r="S84" s="1130"/>
      <c r="T84" s="1109"/>
      <c r="U84" s="1130"/>
      <c r="V84" s="1109"/>
      <c r="W84" s="1130"/>
      <c r="X84" s="1109"/>
      <c r="Y84" s="1130"/>
      <c r="Z84" s="1109"/>
      <c r="AA84" s="1130"/>
      <c r="AB84" s="1109"/>
      <c r="AC84" s="1130"/>
      <c r="AD84" s="1109"/>
      <c r="AE84" s="1130"/>
      <c r="AF84" s="1109"/>
      <c r="AG84" s="1130"/>
      <c r="AH84" s="1109"/>
      <c r="AI84" s="1130"/>
      <c r="AJ84" s="1109"/>
      <c r="AK84" s="1130"/>
      <c r="AL84" s="1109"/>
      <c r="AM84" s="1130"/>
      <c r="AN84" s="1109"/>
      <c r="AO84" s="1130"/>
      <c r="AP84" s="1109"/>
      <c r="AQ84" s="1131"/>
      <c r="AR84" s="1132"/>
      <c r="AS84" s="1131"/>
      <c r="AT84" s="1129"/>
      <c r="AU84" s="1130"/>
      <c r="AV84" s="1109"/>
      <c r="AW84" s="1113"/>
      <c r="AX84" s="1193" t="str">
        <f t="shared" si="166"/>
        <v/>
      </c>
      <c r="AY84" s="1193"/>
      <c r="AZ84" s="1193"/>
      <c r="BA84" s="1193"/>
      <c r="BB84" s="1193"/>
      <c r="BC84" s="1193"/>
      <c r="BD84" s="1193"/>
      <c r="BE84" s="1193"/>
      <c r="BF84" s="1193"/>
      <c r="BG84" s="1193"/>
      <c r="BH84" s="1193"/>
      <c r="BI84" s="1187"/>
      <c r="BJ84" s="1187"/>
      <c r="BK84" s="1187"/>
      <c r="BL84" s="1187"/>
      <c r="BU84" s="1580"/>
      <c r="BV84" s="1580"/>
      <c r="BW84" s="1580"/>
      <c r="CA84" s="2235" t="str">
        <f t="shared" si="167"/>
        <v/>
      </c>
      <c r="CB84" s="2235" t="str">
        <f t="shared" si="168"/>
        <v/>
      </c>
      <c r="CC84" s="2235" t="str">
        <f t="shared" si="169"/>
        <v/>
      </c>
      <c r="CD84" s="2235" t="str">
        <f t="shared" si="170"/>
        <v/>
      </c>
      <c r="CE84" s="2235" t="str">
        <f t="shared" si="171"/>
        <v/>
      </c>
      <c r="CF84" s="2235" t="str">
        <f t="shared" si="199"/>
        <v/>
      </c>
      <c r="CG84" s="2235" t="str">
        <f t="shared" si="200"/>
        <v/>
      </c>
      <c r="CH84" s="2235" t="str">
        <f t="shared" si="201"/>
        <v/>
      </c>
      <c r="CI84" s="2235" t="str">
        <f t="shared" si="202"/>
        <v/>
      </c>
      <c r="CJ84" s="2235" t="str">
        <f t="shared" si="203"/>
        <v/>
      </c>
      <c r="CK84" s="2235" t="str">
        <f t="shared" si="204"/>
        <v/>
      </c>
      <c r="CL84" s="2235" t="str">
        <f t="shared" si="205"/>
        <v/>
      </c>
      <c r="CM84" s="2235" t="str">
        <f t="shared" si="206"/>
        <v/>
      </c>
      <c r="CN84" s="2235" t="str">
        <f t="shared" si="207"/>
        <v/>
      </c>
      <c r="CO84" s="2235" t="str">
        <f t="shared" si="208"/>
        <v/>
      </c>
      <c r="CP84" s="2235" t="str">
        <f t="shared" si="209"/>
        <v/>
      </c>
      <c r="CQ84" s="2235" t="str">
        <f t="shared" si="210"/>
        <v/>
      </c>
      <c r="CR84" s="2235" t="str">
        <f t="shared" si="211"/>
        <v/>
      </c>
      <c r="CS84" s="2235" t="str">
        <f t="shared" si="212"/>
        <v/>
      </c>
      <c r="CT84" s="2235" t="str">
        <f t="shared" si="213"/>
        <v/>
      </c>
      <c r="CU84" s="2235" t="str">
        <f t="shared" si="214"/>
        <v/>
      </c>
      <c r="CV84" s="2235" t="str">
        <f t="shared" si="215"/>
        <v/>
      </c>
      <c r="CW84" s="2235" t="str">
        <f t="shared" si="216"/>
        <v/>
      </c>
      <c r="CX84" s="2235" t="str">
        <f t="shared" si="217"/>
        <v/>
      </c>
      <c r="CY84" s="2235" t="str">
        <f t="shared" si="218"/>
        <v/>
      </c>
      <c r="CZ84" s="2235" t="str">
        <f t="shared" si="172"/>
        <v/>
      </c>
      <c r="DA84" s="1468">
        <f t="shared" si="173"/>
        <v>0</v>
      </c>
      <c r="DB84" s="1468">
        <f t="shared" si="174"/>
        <v>0</v>
      </c>
      <c r="DC84" s="1468">
        <f t="shared" si="175"/>
        <v>0</v>
      </c>
      <c r="DD84" s="1468">
        <f t="shared" si="176"/>
        <v>0</v>
      </c>
      <c r="DE84" s="1468">
        <f t="shared" si="177"/>
        <v>0</v>
      </c>
      <c r="DF84" s="1468">
        <f t="shared" si="178"/>
        <v>0</v>
      </c>
      <c r="DG84" s="1468">
        <f t="shared" si="179"/>
        <v>0</v>
      </c>
      <c r="DH84" s="1468">
        <f t="shared" si="180"/>
        <v>0</v>
      </c>
      <c r="DI84" s="1468">
        <f t="shared" si="181"/>
        <v>0</v>
      </c>
      <c r="DJ84" s="1468">
        <f t="shared" si="182"/>
        <v>0</v>
      </c>
      <c r="DK84" s="1468">
        <f t="shared" si="183"/>
        <v>0</v>
      </c>
      <c r="DL84" s="1468">
        <f t="shared" si="184"/>
        <v>0</v>
      </c>
      <c r="DM84" s="1468">
        <f t="shared" si="185"/>
        <v>0</v>
      </c>
      <c r="DN84" s="1468">
        <f t="shared" si="186"/>
        <v>0</v>
      </c>
      <c r="DO84" s="1468">
        <f t="shared" si="187"/>
        <v>0</v>
      </c>
      <c r="DP84" s="1468">
        <f t="shared" si="188"/>
        <v>0</v>
      </c>
      <c r="DQ84" s="1468">
        <f t="shared" si="189"/>
        <v>0</v>
      </c>
      <c r="DR84" s="1468">
        <f t="shared" si="190"/>
        <v>0</v>
      </c>
      <c r="DS84" s="1468">
        <f t="shared" si="191"/>
        <v>0</v>
      </c>
      <c r="DT84" s="1468">
        <f t="shared" si="192"/>
        <v>0</v>
      </c>
      <c r="DU84" s="1468">
        <f t="shared" si="193"/>
        <v>0</v>
      </c>
      <c r="DV84" s="1468">
        <f t="shared" si="194"/>
        <v>0</v>
      </c>
      <c r="DW84" s="1468">
        <f t="shared" si="195"/>
        <v>0</v>
      </c>
      <c r="DX84" s="1468">
        <f t="shared" si="196"/>
        <v>0</v>
      </c>
      <c r="DY84" s="1468">
        <f t="shared" si="197"/>
        <v>0</v>
      </c>
      <c r="DZ84" s="1468">
        <f t="shared" si="198"/>
        <v>0</v>
      </c>
    </row>
    <row r="85" spans="1:130" ht="16.149999999999999" customHeight="1" x14ac:dyDescent="0.25">
      <c r="A85" s="2040" t="s">
        <v>1789</v>
      </c>
      <c r="B85" s="2038">
        <f t="shared" si="165"/>
        <v>0</v>
      </c>
      <c r="C85" s="2084">
        <f t="shared" si="165"/>
        <v>0</v>
      </c>
      <c r="D85" s="1125"/>
      <c r="E85" s="1126"/>
      <c r="F85" s="1127"/>
      <c r="G85" s="1126"/>
      <c r="H85" s="1127"/>
      <c r="I85" s="1126"/>
      <c r="J85" s="1127"/>
      <c r="K85" s="1126"/>
      <c r="L85" s="1127"/>
      <c r="M85" s="1128"/>
      <c r="N85" s="1129"/>
      <c r="O85" s="1130"/>
      <c r="P85" s="1109"/>
      <c r="Q85" s="1130"/>
      <c r="R85" s="1109"/>
      <c r="S85" s="1130"/>
      <c r="T85" s="1109"/>
      <c r="U85" s="1130"/>
      <c r="V85" s="1109"/>
      <c r="W85" s="1130"/>
      <c r="X85" s="1109"/>
      <c r="Y85" s="1130"/>
      <c r="Z85" s="1109"/>
      <c r="AA85" s="1130"/>
      <c r="AB85" s="1109"/>
      <c r="AC85" s="1130"/>
      <c r="AD85" s="1109"/>
      <c r="AE85" s="1130"/>
      <c r="AF85" s="1109"/>
      <c r="AG85" s="1130"/>
      <c r="AH85" s="1109"/>
      <c r="AI85" s="1130"/>
      <c r="AJ85" s="1109"/>
      <c r="AK85" s="1130"/>
      <c r="AL85" s="1109"/>
      <c r="AM85" s="1130"/>
      <c r="AN85" s="1109"/>
      <c r="AO85" s="1130"/>
      <c r="AP85" s="1109"/>
      <c r="AQ85" s="1131"/>
      <c r="AR85" s="1132"/>
      <c r="AS85" s="1131"/>
      <c r="AT85" s="1129"/>
      <c r="AU85" s="1130"/>
      <c r="AV85" s="1109"/>
      <c r="AW85" s="1113"/>
      <c r="AX85" s="1193" t="str">
        <f t="shared" si="166"/>
        <v/>
      </c>
      <c r="AY85" s="1193"/>
      <c r="AZ85" s="1193"/>
      <c r="BA85" s="1193"/>
      <c r="BB85" s="1193"/>
      <c r="BC85" s="1193"/>
      <c r="BD85" s="1193"/>
      <c r="BE85" s="1193"/>
      <c r="BF85" s="1193"/>
      <c r="BG85" s="1193"/>
      <c r="BH85" s="1193"/>
      <c r="BI85" s="1187"/>
      <c r="BJ85" s="1187"/>
      <c r="BK85" s="1187"/>
      <c r="BL85" s="1187"/>
      <c r="BU85" s="1580"/>
      <c r="BV85" s="1580"/>
      <c r="BW85" s="1580"/>
      <c r="CA85" s="2235" t="str">
        <f t="shared" si="167"/>
        <v/>
      </c>
      <c r="CB85" s="2235" t="str">
        <f t="shared" si="168"/>
        <v/>
      </c>
      <c r="CC85" s="2235" t="str">
        <f t="shared" si="169"/>
        <v/>
      </c>
      <c r="CD85" s="2235" t="str">
        <f t="shared" si="170"/>
        <v/>
      </c>
      <c r="CE85" s="2235" t="str">
        <f t="shared" si="171"/>
        <v/>
      </c>
      <c r="CF85" s="2235" t="str">
        <f t="shared" si="199"/>
        <v/>
      </c>
      <c r="CG85" s="2235" t="str">
        <f t="shared" si="200"/>
        <v/>
      </c>
      <c r="CH85" s="2235" t="str">
        <f t="shared" si="201"/>
        <v/>
      </c>
      <c r="CI85" s="2235" t="str">
        <f t="shared" si="202"/>
        <v/>
      </c>
      <c r="CJ85" s="2235" t="str">
        <f t="shared" si="203"/>
        <v/>
      </c>
      <c r="CK85" s="2235" t="str">
        <f t="shared" si="204"/>
        <v/>
      </c>
      <c r="CL85" s="2235" t="str">
        <f t="shared" si="205"/>
        <v/>
      </c>
      <c r="CM85" s="2235" t="str">
        <f t="shared" si="206"/>
        <v/>
      </c>
      <c r="CN85" s="2235" t="str">
        <f t="shared" si="207"/>
        <v/>
      </c>
      <c r="CO85" s="2235" t="str">
        <f t="shared" si="208"/>
        <v/>
      </c>
      <c r="CP85" s="2235" t="str">
        <f t="shared" si="209"/>
        <v/>
      </c>
      <c r="CQ85" s="2235" t="str">
        <f t="shared" si="210"/>
        <v/>
      </c>
      <c r="CR85" s="2235" t="str">
        <f t="shared" si="211"/>
        <v/>
      </c>
      <c r="CS85" s="2235" t="str">
        <f t="shared" si="212"/>
        <v/>
      </c>
      <c r="CT85" s="2235" t="str">
        <f t="shared" si="213"/>
        <v/>
      </c>
      <c r="CU85" s="2235" t="str">
        <f t="shared" si="214"/>
        <v/>
      </c>
      <c r="CV85" s="2235" t="str">
        <f t="shared" si="215"/>
        <v/>
      </c>
      <c r="CW85" s="2235" t="str">
        <f t="shared" si="216"/>
        <v/>
      </c>
      <c r="CX85" s="2235" t="str">
        <f t="shared" si="217"/>
        <v/>
      </c>
      <c r="CY85" s="2235" t="str">
        <f t="shared" si="218"/>
        <v/>
      </c>
      <c r="CZ85" s="2235" t="str">
        <f t="shared" si="172"/>
        <v/>
      </c>
      <c r="DA85" s="1468">
        <f t="shared" si="173"/>
        <v>0</v>
      </c>
      <c r="DB85" s="1468">
        <f t="shared" si="174"/>
        <v>0</v>
      </c>
      <c r="DC85" s="1468">
        <f t="shared" si="175"/>
        <v>0</v>
      </c>
      <c r="DD85" s="1468">
        <f t="shared" si="176"/>
        <v>0</v>
      </c>
      <c r="DE85" s="1468">
        <f t="shared" si="177"/>
        <v>0</v>
      </c>
      <c r="DF85" s="1468">
        <f t="shared" si="178"/>
        <v>0</v>
      </c>
      <c r="DG85" s="1468">
        <f t="shared" si="179"/>
        <v>0</v>
      </c>
      <c r="DH85" s="1468">
        <f t="shared" si="180"/>
        <v>0</v>
      </c>
      <c r="DI85" s="1468">
        <f t="shared" si="181"/>
        <v>0</v>
      </c>
      <c r="DJ85" s="1468">
        <f t="shared" si="182"/>
        <v>0</v>
      </c>
      <c r="DK85" s="1468">
        <f t="shared" si="183"/>
        <v>0</v>
      </c>
      <c r="DL85" s="1468">
        <f t="shared" si="184"/>
        <v>0</v>
      </c>
      <c r="DM85" s="1468">
        <f t="shared" si="185"/>
        <v>0</v>
      </c>
      <c r="DN85" s="1468">
        <f t="shared" si="186"/>
        <v>0</v>
      </c>
      <c r="DO85" s="1468">
        <f t="shared" si="187"/>
        <v>0</v>
      </c>
      <c r="DP85" s="1468">
        <f t="shared" si="188"/>
        <v>0</v>
      </c>
      <c r="DQ85" s="1468">
        <f t="shared" si="189"/>
        <v>0</v>
      </c>
      <c r="DR85" s="1468">
        <f t="shared" si="190"/>
        <v>0</v>
      </c>
      <c r="DS85" s="1468">
        <f t="shared" si="191"/>
        <v>0</v>
      </c>
      <c r="DT85" s="1468">
        <f t="shared" si="192"/>
        <v>0</v>
      </c>
      <c r="DU85" s="1468">
        <f t="shared" si="193"/>
        <v>0</v>
      </c>
      <c r="DV85" s="1468">
        <f t="shared" si="194"/>
        <v>0</v>
      </c>
      <c r="DW85" s="1468">
        <f t="shared" si="195"/>
        <v>0</v>
      </c>
      <c r="DX85" s="1468">
        <f t="shared" si="196"/>
        <v>0</v>
      </c>
      <c r="DY85" s="1468">
        <f t="shared" si="197"/>
        <v>0</v>
      </c>
      <c r="DZ85" s="1468">
        <f t="shared" si="198"/>
        <v>0</v>
      </c>
    </row>
    <row r="86" spans="1:130" ht="16.149999999999999" customHeight="1" x14ac:dyDescent="0.25">
      <c r="A86" s="2040" t="s">
        <v>1790</v>
      </c>
      <c r="B86" s="2038">
        <f>+D86+F86+H86+J86+L86+N86+P86+R86+T86+V86+X86+Z86+AB86+AD86+AF86+AH86+AJ86+AL86+AN86+AP86</f>
        <v>0</v>
      </c>
      <c r="C86" s="2084">
        <f>+E86+G86+I86+K86+M86+O86+Q86+S86+U86+W86+Y86+AA86+AC86+AE86+AG86+AI86+AK86+AM86+AO86+AQ86</f>
        <v>0</v>
      </c>
      <c r="D86" s="1129"/>
      <c r="E86" s="1130"/>
      <c r="F86" s="1109"/>
      <c r="G86" s="1130"/>
      <c r="H86" s="1109"/>
      <c r="I86" s="1113"/>
      <c r="J86" s="1129"/>
      <c r="K86" s="1129"/>
      <c r="L86" s="1109"/>
      <c r="M86" s="1113"/>
      <c r="N86" s="1129"/>
      <c r="O86" s="1130"/>
      <c r="P86" s="1109"/>
      <c r="Q86" s="1130"/>
      <c r="R86" s="1109"/>
      <c r="S86" s="1130"/>
      <c r="T86" s="1109"/>
      <c r="U86" s="1130"/>
      <c r="V86" s="1109"/>
      <c r="W86" s="1130"/>
      <c r="X86" s="1109"/>
      <c r="Y86" s="1130"/>
      <c r="Z86" s="1109"/>
      <c r="AA86" s="1130"/>
      <c r="AB86" s="1109"/>
      <c r="AC86" s="1130"/>
      <c r="AD86" s="1109"/>
      <c r="AE86" s="1130"/>
      <c r="AF86" s="1109"/>
      <c r="AG86" s="1130"/>
      <c r="AH86" s="1109"/>
      <c r="AI86" s="1130"/>
      <c r="AJ86" s="1109"/>
      <c r="AK86" s="1130"/>
      <c r="AL86" s="1109"/>
      <c r="AM86" s="1130"/>
      <c r="AN86" s="1109"/>
      <c r="AO86" s="1130"/>
      <c r="AP86" s="1109"/>
      <c r="AQ86" s="1131"/>
      <c r="AR86" s="1132"/>
      <c r="AS86" s="1131"/>
      <c r="AT86" s="1129"/>
      <c r="AU86" s="1130"/>
      <c r="AV86" s="1109"/>
      <c r="AW86" s="1113"/>
      <c r="AX86" s="1193" t="str">
        <f t="shared" si="166"/>
        <v/>
      </c>
      <c r="AY86" s="1193"/>
      <c r="AZ86" s="1193"/>
      <c r="BA86" s="1193"/>
      <c r="BB86" s="1193"/>
      <c r="BC86" s="1193"/>
      <c r="BD86" s="1193"/>
      <c r="BE86" s="1193"/>
      <c r="BF86" s="1193"/>
      <c r="BG86" s="1193"/>
      <c r="BH86" s="1193"/>
      <c r="BI86" s="1187"/>
      <c r="BJ86" s="1187"/>
      <c r="BK86" s="1187"/>
      <c r="BL86" s="1187"/>
      <c r="BU86" s="1580"/>
      <c r="BV86" s="1580"/>
      <c r="BW86" s="1580"/>
      <c r="CA86" s="2235" t="str">
        <f t="shared" si="167"/>
        <v/>
      </c>
      <c r="CB86" s="2235" t="str">
        <f t="shared" si="168"/>
        <v/>
      </c>
      <c r="CC86" s="2235" t="str">
        <f t="shared" si="169"/>
        <v/>
      </c>
      <c r="CD86" s="2235" t="str">
        <f t="shared" si="170"/>
        <v/>
      </c>
      <c r="CE86" s="2235" t="str">
        <f t="shared" si="171"/>
        <v/>
      </c>
      <c r="CF86" s="2235" t="str">
        <f t="shared" si="199"/>
        <v/>
      </c>
      <c r="CG86" s="2235" t="str">
        <f t="shared" si="200"/>
        <v/>
      </c>
      <c r="CH86" s="2235" t="str">
        <f t="shared" si="201"/>
        <v/>
      </c>
      <c r="CI86" s="2235" t="str">
        <f t="shared" si="202"/>
        <v/>
      </c>
      <c r="CJ86" s="2235" t="str">
        <f t="shared" si="203"/>
        <v/>
      </c>
      <c r="CK86" s="2235" t="str">
        <f t="shared" si="204"/>
        <v/>
      </c>
      <c r="CL86" s="2235" t="str">
        <f t="shared" si="205"/>
        <v/>
      </c>
      <c r="CM86" s="2235" t="str">
        <f t="shared" si="206"/>
        <v/>
      </c>
      <c r="CN86" s="2235" t="str">
        <f t="shared" si="207"/>
        <v/>
      </c>
      <c r="CO86" s="2235" t="str">
        <f t="shared" si="208"/>
        <v/>
      </c>
      <c r="CP86" s="2235" t="str">
        <f t="shared" si="209"/>
        <v/>
      </c>
      <c r="CQ86" s="2235" t="str">
        <f t="shared" si="210"/>
        <v/>
      </c>
      <c r="CR86" s="2235" t="str">
        <f t="shared" si="211"/>
        <v/>
      </c>
      <c r="CS86" s="2235" t="str">
        <f t="shared" si="212"/>
        <v/>
      </c>
      <c r="CT86" s="2235" t="str">
        <f t="shared" si="213"/>
        <v/>
      </c>
      <c r="CU86" s="2235" t="str">
        <f t="shared" si="214"/>
        <v/>
      </c>
      <c r="CV86" s="2235" t="str">
        <f t="shared" si="215"/>
        <v/>
      </c>
      <c r="CW86" s="2235" t="str">
        <f t="shared" si="216"/>
        <v/>
      </c>
      <c r="CX86" s="2235" t="str">
        <f t="shared" si="217"/>
        <v/>
      </c>
      <c r="CY86" s="2235" t="str">
        <f t="shared" si="218"/>
        <v/>
      </c>
      <c r="CZ86" s="2235" t="str">
        <f t="shared" si="172"/>
        <v/>
      </c>
      <c r="DA86" s="1468">
        <f t="shared" si="173"/>
        <v>0</v>
      </c>
      <c r="DB86" s="1468">
        <f t="shared" si="174"/>
        <v>0</v>
      </c>
      <c r="DC86" s="1468">
        <f t="shared" si="175"/>
        <v>0</v>
      </c>
      <c r="DD86" s="1468">
        <f t="shared" si="176"/>
        <v>0</v>
      </c>
      <c r="DE86" s="1468">
        <f t="shared" si="177"/>
        <v>0</v>
      </c>
      <c r="DF86" s="1468">
        <f t="shared" si="178"/>
        <v>0</v>
      </c>
      <c r="DG86" s="1468">
        <f t="shared" si="179"/>
        <v>0</v>
      </c>
      <c r="DH86" s="1468">
        <f t="shared" si="180"/>
        <v>0</v>
      </c>
      <c r="DI86" s="1468">
        <f t="shared" si="181"/>
        <v>0</v>
      </c>
      <c r="DJ86" s="1468">
        <f t="shared" si="182"/>
        <v>0</v>
      </c>
      <c r="DK86" s="1468">
        <f t="shared" si="183"/>
        <v>0</v>
      </c>
      <c r="DL86" s="1468">
        <f t="shared" si="184"/>
        <v>0</v>
      </c>
      <c r="DM86" s="1468">
        <f t="shared" si="185"/>
        <v>0</v>
      </c>
      <c r="DN86" s="1468">
        <f t="shared" si="186"/>
        <v>0</v>
      </c>
      <c r="DO86" s="1468">
        <f t="shared" si="187"/>
        <v>0</v>
      </c>
      <c r="DP86" s="1468">
        <f t="shared" si="188"/>
        <v>0</v>
      </c>
      <c r="DQ86" s="1468">
        <f t="shared" si="189"/>
        <v>0</v>
      </c>
      <c r="DR86" s="1468">
        <f t="shared" si="190"/>
        <v>0</v>
      </c>
      <c r="DS86" s="1468">
        <f t="shared" si="191"/>
        <v>0</v>
      </c>
      <c r="DT86" s="1468">
        <f t="shared" si="192"/>
        <v>0</v>
      </c>
      <c r="DU86" s="1468">
        <f t="shared" si="193"/>
        <v>0</v>
      </c>
      <c r="DV86" s="1468">
        <f t="shared" si="194"/>
        <v>0</v>
      </c>
      <c r="DW86" s="1468">
        <f t="shared" si="195"/>
        <v>0</v>
      </c>
      <c r="DX86" s="1468">
        <f t="shared" si="196"/>
        <v>0</v>
      </c>
      <c r="DY86" s="1468">
        <f t="shared" si="197"/>
        <v>0</v>
      </c>
      <c r="DZ86" s="1468">
        <f t="shared" si="198"/>
        <v>0</v>
      </c>
    </row>
    <row r="87" spans="1:130" ht="24" customHeight="1" x14ac:dyDescent="0.25">
      <c r="A87" s="2085" t="s">
        <v>1791</v>
      </c>
      <c r="B87" s="2038">
        <f>+D87+F87+H87</f>
        <v>0</v>
      </c>
      <c r="C87" s="2084">
        <f>+E87+G87+I87</f>
        <v>0</v>
      </c>
      <c r="D87" s="1129"/>
      <c r="E87" s="1130"/>
      <c r="F87" s="1109"/>
      <c r="G87" s="1130"/>
      <c r="H87" s="1109"/>
      <c r="I87" s="1113"/>
      <c r="J87" s="1135"/>
      <c r="K87" s="1136"/>
      <c r="L87" s="1135"/>
      <c r="M87" s="1136"/>
      <c r="N87" s="1135"/>
      <c r="O87" s="1136"/>
      <c r="P87" s="1135"/>
      <c r="Q87" s="1136"/>
      <c r="R87" s="1135"/>
      <c r="S87" s="1136"/>
      <c r="T87" s="1135"/>
      <c r="U87" s="1136"/>
      <c r="V87" s="1135"/>
      <c r="W87" s="1136"/>
      <c r="X87" s="1135"/>
      <c r="Y87" s="1136"/>
      <c r="Z87" s="1135"/>
      <c r="AA87" s="1136"/>
      <c r="AB87" s="1135"/>
      <c r="AC87" s="1136"/>
      <c r="AD87" s="1135"/>
      <c r="AE87" s="1136"/>
      <c r="AF87" s="1135"/>
      <c r="AG87" s="1136"/>
      <c r="AH87" s="1135"/>
      <c r="AI87" s="1136"/>
      <c r="AJ87" s="1135"/>
      <c r="AK87" s="1136"/>
      <c r="AL87" s="1135"/>
      <c r="AM87" s="1136"/>
      <c r="AN87" s="1135"/>
      <c r="AO87" s="1136"/>
      <c r="AP87" s="1135"/>
      <c r="AQ87" s="1137"/>
      <c r="AR87" s="1129"/>
      <c r="AS87" s="1131"/>
      <c r="AT87" s="1129"/>
      <c r="AU87" s="1130"/>
      <c r="AV87" s="1109"/>
      <c r="AW87" s="1113"/>
      <c r="AX87" s="1193" t="str">
        <f t="shared" si="166"/>
        <v/>
      </c>
      <c r="AY87" s="1193"/>
      <c r="AZ87" s="1193"/>
      <c r="BA87" s="1193"/>
      <c r="BB87" s="1193"/>
      <c r="BC87" s="1193"/>
      <c r="BD87" s="1193"/>
      <c r="BE87" s="1193"/>
      <c r="BF87" s="1193"/>
      <c r="BG87" s="1193"/>
      <c r="BH87" s="1193"/>
      <c r="BI87" s="1187"/>
      <c r="BJ87" s="1187"/>
      <c r="BK87" s="1187"/>
      <c r="BL87" s="1187"/>
      <c r="BU87" s="1580"/>
      <c r="BV87" s="1580"/>
      <c r="BW87" s="1580"/>
      <c r="CA87" s="2235" t="str">
        <f t="shared" si="167"/>
        <v/>
      </c>
      <c r="CB87" s="2235" t="str">
        <f t="shared" si="168"/>
        <v/>
      </c>
      <c r="CC87" s="2235" t="str">
        <f t="shared" si="169"/>
        <v/>
      </c>
      <c r="CD87" s="2235" t="str">
        <f t="shared" si="170"/>
        <v/>
      </c>
      <c r="CE87" s="2235" t="str">
        <f t="shared" si="171"/>
        <v/>
      </c>
      <c r="CF87" s="2235" t="str">
        <f t="shared" si="199"/>
        <v/>
      </c>
      <c r="CG87" s="2235" t="str">
        <f t="shared" si="200"/>
        <v/>
      </c>
      <c r="CH87" s="2235" t="str">
        <f t="shared" si="201"/>
        <v/>
      </c>
      <c r="CI87" s="2235" t="str">
        <f t="shared" si="202"/>
        <v/>
      </c>
      <c r="CJ87" s="2235" t="str">
        <f t="shared" si="203"/>
        <v/>
      </c>
      <c r="CK87" s="2235" t="str">
        <f t="shared" si="204"/>
        <v/>
      </c>
      <c r="CL87" s="2235" t="str">
        <f t="shared" si="205"/>
        <v/>
      </c>
      <c r="CM87" s="2235" t="str">
        <f t="shared" si="206"/>
        <v/>
      </c>
      <c r="CN87" s="2235" t="str">
        <f t="shared" si="207"/>
        <v/>
      </c>
      <c r="CO87" s="2235" t="str">
        <f t="shared" si="208"/>
        <v/>
      </c>
      <c r="CP87" s="2235" t="str">
        <f t="shared" si="209"/>
        <v/>
      </c>
      <c r="CQ87" s="2235" t="str">
        <f t="shared" si="210"/>
        <v/>
      </c>
      <c r="CR87" s="2235" t="str">
        <f t="shared" si="211"/>
        <v/>
      </c>
      <c r="CS87" s="2235" t="str">
        <f t="shared" si="212"/>
        <v/>
      </c>
      <c r="CT87" s="2235" t="str">
        <f t="shared" si="213"/>
        <v/>
      </c>
      <c r="CU87" s="2235" t="str">
        <f t="shared" si="214"/>
        <v/>
      </c>
      <c r="CV87" s="2235" t="str">
        <f t="shared" si="215"/>
        <v/>
      </c>
      <c r="CW87" s="2235" t="str">
        <f t="shared" si="216"/>
        <v/>
      </c>
      <c r="CX87" s="2235" t="str">
        <f t="shared" si="217"/>
        <v/>
      </c>
      <c r="CY87" s="2235" t="str">
        <f t="shared" si="218"/>
        <v/>
      </c>
      <c r="CZ87" s="2235" t="str">
        <f t="shared" si="172"/>
        <v/>
      </c>
      <c r="DA87" s="1468">
        <f t="shared" si="173"/>
        <v>0</v>
      </c>
      <c r="DB87" s="1468">
        <f t="shared" si="174"/>
        <v>0</v>
      </c>
      <c r="DC87" s="1468">
        <f t="shared" si="175"/>
        <v>0</v>
      </c>
      <c r="DD87" s="1468">
        <f t="shared" si="176"/>
        <v>0</v>
      </c>
      <c r="DE87" s="1468">
        <f t="shared" si="177"/>
        <v>0</v>
      </c>
      <c r="DF87" s="1468">
        <f t="shared" si="178"/>
        <v>0</v>
      </c>
      <c r="DG87" s="1468">
        <f t="shared" si="179"/>
        <v>0</v>
      </c>
      <c r="DH87" s="1468">
        <f t="shared" si="180"/>
        <v>0</v>
      </c>
      <c r="DI87" s="1468">
        <f t="shared" si="181"/>
        <v>0</v>
      </c>
      <c r="DJ87" s="1468">
        <f t="shared" si="182"/>
        <v>0</v>
      </c>
      <c r="DK87" s="1468">
        <f t="shared" si="183"/>
        <v>0</v>
      </c>
      <c r="DL87" s="1468">
        <f t="shared" si="184"/>
        <v>0</v>
      </c>
      <c r="DM87" s="1468">
        <f t="shared" si="185"/>
        <v>0</v>
      </c>
      <c r="DN87" s="1468">
        <f t="shared" si="186"/>
        <v>0</v>
      </c>
      <c r="DO87" s="1468">
        <f t="shared" si="187"/>
        <v>0</v>
      </c>
      <c r="DP87" s="1468">
        <f t="shared" si="188"/>
        <v>0</v>
      </c>
      <c r="DQ87" s="1468">
        <f t="shared" si="189"/>
        <v>0</v>
      </c>
      <c r="DR87" s="1468">
        <f t="shared" si="190"/>
        <v>0</v>
      </c>
      <c r="DS87" s="1468">
        <f t="shared" si="191"/>
        <v>0</v>
      </c>
      <c r="DT87" s="1468">
        <f t="shared" si="192"/>
        <v>0</v>
      </c>
      <c r="DU87" s="1468">
        <f t="shared" si="193"/>
        <v>0</v>
      </c>
      <c r="DV87" s="1468">
        <f t="shared" si="194"/>
        <v>0</v>
      </c>
      <c r="DW87" s="1468">
        <f t="shared" si="195"/>
        <v>0</v>
      </c>
      <c r="DX87" s="1468">
        <f t="shared" si="196"/>
        <v>0</v>
      </c>
      <c r="DY87" s="1468">
        <f t="shared" si="197"/>
        <v>0</v>
      </c>
      <c r="DZ87" s="1468">
        <f t="shared" si="198"/>
        <v>0</v>
      </c>
    </row>
    <row r="88" spans="1:130" ht="18.75" customHeight="1" x14ac:dyDescent="0.25">
      <c r="A88" s="2085" t="s">
        <v>1792</v>
      </c>
      <c r="B88" s="2038">
        <f>+P88+R88+T88+V88+X88+Z88+AB88+AD88+AF88+AH88+AJ88+AL88+AN88+AP88</f>
        <v>0</v>
      </c>
      <c r="C88" s="2084">
        <f>+Q88+S88+U88+W88+Y88+AA88+AC88+AE88+AG88+AI88+AK88+AM88+AO88+AQ88</f>
        <v>0</v>
      </c>
      <c r="D88" s="1125"/>
      <c r="E88" s="1126"/>
      <c r="F88" s="1127"/>
      <c r="G88" s="1126"/>
      <c r="H88" s="1127"/>
      <c r="I88" s="1126"/>
      <c r="J88" s="1127"/>
      <c r="K88" s="1126"/>
      <c r="L88" s="1127"/>
      <c r="M88" s="1128"/>
      <c r="N88" s="1125"/>
      <c r="O88" s="1126"/>
      <c r="P88" s="1109"/>
      <c r="Q88" s="1130"/>
      <c r="R88" s="1109"/>
      <c r="S88" s="1130"/>
      <c r="T88" s="1109"/>
      <c r="U88" s="1130"/>
      <c r="V88" s="1109"/>
      <c r="W88" s="1130"/>
      <c r="X88" s="1109"/>
      <c r="Y88" s="1130"/>
      <c r="Z88" s="1109"/>
      <c r="AA88" s="1130"/>
      <c r="AB88" s="1109"/>
      <c r="AC88" s="1130"/>
      <c r="AD88" s="1109"/>
      <c r="AE88" s="1130"/>
      <c r="AF88" s="1109"/>
      <c r="AG88" s="1130"/>
      <c r="AH88" s="1109"/>
      <c r="AI88" s="1130"/>
      <c r="AJ88" s="1109"/>
      <c r="AK88" s="1130"/>
      <c r="AL88" s="1109"/>
      <c r="AM88" s="1130"/>
      <c r="AN88" s="1109"/>
      <c r="AO88" s="1130"/>
      <c r="AP88" s="1109"/>
      <c r="AQ88" s="1131"/>
      <c r="AR88" s="1129"/>
      <c r="AS88" s="1131"/>
      <c r="AT88" s="1129"/>
      <c r="AU88" s="1130"/>
      <c r="AV88" s="1109"/>
      <c r="AW88" s="1113"/>
      <c r="AX88" s="1193" t="str">
        <f t="shared" si="166"/>
        <v/>
      </c>
      <c r="AY88" s="1193"/>
      <c r="AZ88" s="1193"/>
      <c r="BA88" s="1193"/>
      <c r="BB88" s="1193"/>
      <c r="BC88" s="1193"/>
      <c r="BD88" s="1193"/>
      <c r="BE88" s="1193"/>
      <c r="BF88" s="1193"/>
      <c r="BG88" s="1193"/>
      <c r="BH88" s="1193"/>
      <c r="BI88" s="1187"/>
      <c r="BJ88" s="1187"/>
      <c r="BK88" s="1187"/>
      <c r="BL88" s="1187"/>
      <c r="BU88" s="1580"/>
      <c r="BV88" s="1580"/>
      <c r="BW88" s="1580"/>
      <c r="CA88" s="2235" t="str">
        <f t="shared" si="167"/>
        <v/>
      </c>
      <c r="CB88" s="2235" t="str">
        <f t="shared" si="168"/>
        <v/>
      </c>
      <c r="CC88" s="2235" t="str">
        <f t="shared" si="169"/>
        <v/>
      </c>
      <c r="CD88" s="2235" t="str">
        <f t="shared" si="170"/>
        <v/>
      </c>
      <c r="CE88" s="2235" t="str">
        <f t="shared" si="171"/>
        <v/>
      </c>
      <c r="CF88" s="2235" t="str">
        <f t="shared" si="199"/>
        <v/>
      </c>
      <c r="CG88" s="2235" t="str">
        <f t="shared" si="200"/>
        <v/>
      </c>
      <c r="CH88" s="2235" t="str">
        <f t="shared" si="201"/>
        <v/>
      </c>
      <c r="CI88" s="2235" t="str">
        <f t="shared" si="202"/>
        <v/>
      </c>
      <c r="CJ88" s="2235" t="str">
        <f t="shared" si="203"/>
        <v/>
      </c>
      <c r="CK88" s="2235" t="str">
        <f t="shared" si="204"/>
        <v/>
      </c>
      <c r="CL88" s="2235" t="str">
        <f t="shared" si="205"/>
        <v/>
      </c>
      <c r="CM88" s="2235" t="str">
        <f t="shared" si="206"/>
        <v/>
      </c>
      <c r="CN88" s="2235" t="str">
        <f t="shared" si="207"/>
        <v/>
      </c>
      <c r="CO88" s="2235" t="str">
        <f t="shared" si="208"/>
        <v/>
      </c>
      <c r="CP88" s="2235" t="str">
        <f t="shared" si="209"/>
        <v/>
      </c>
      <c r="CQ88" s="2235" t="str">
        <f t="shared" si="210"/>
        <v/>
      </c>
      <c r="CR88" s="2235" t="str">
        <f t="shared" si="211"/>
        <v/>
      </c>
      <c r="CS88" s="2235" t="str">
        <f t="shared" si="212"/>
        <v/>
      </c>
      <c r="CT88" s="2235" t="str">
        <f t="shared" si="213"/>
        <v/>
      </c>
      <c r="CU88" s="2235" t="str">
        <f t="shared" si="214"/>
        <v/>
      </c>
      <c r="CV88" s="2235" t="str">
        <f t="shared" si="215"/>
        <v/>
      </c>
      <c r="CW88" s="2235" t="str">
        <f t="shared" si="216"/>
        <v/>
      </c>
      <c r="CX88" s="2235" t="str">
        <f t="shared" si="217"/>
        <v/>
      </c>
      <c r="CY88" s="2235" t="str">
        <f t="shared" si="218"/>
        <v/>
      </c>
      <c r="CZ88" s="2235" t="str">
        <f t="shared" si="172"/>
        <v/>
      </c>
      <c r="DA88" s="1468">
        <f t="shared" si="173"/>
        <v>0</v>
      </c>
      <c r="DB88" s="1468">
        <f t="shared" si="174"/>
        <v>0</v>
      </c>
      <c r="DC88" s="1468">
        <f t="shared" si="175"/>
        <v>0</v>
      </c>
      <c r="DD88" s="1468">
        <f t="shared" si="176"/>
        <v>0</v>
      </c>
      <c r="DE88" s="1468">
        <f t="shared" si="177"/>
        <v>0</v>
      </c>
      <c r="DF88" s="1468">
        <f t="shared" si="178"/>
        <v>0</v>
      </c>
      <c r="DG88" s="1468">
        <f t="shared" si="179"/>
        <v>0</v>
      </c>
      <c r="DH88" s="1468">
        <f t="shared" si="180"/>
        <v>0</v>
      </c>
      <c r="DI88" s="1468">
        <f t="shared" si="181"/>
        <v>0</v>
      </c>
      <c r="DJ88" s="1468">
        <f t="shared" si="182"/>
        <v>0</v>
      </c>
      <c r="DK88" s="1468">
        <f t="shared" si="183"/>
        <v>0</v>
      </c>
      <c r="DL88" s="1468">
        <f t="shared" si="184"/>
        <v>0</v>
      </c>
      <c r="DM88" s="1468">
        <f t="shared" si="185"/>
        <v>0</v>
      </c>
      <c r="DN88" s="1468">
        <f t="shared" si="186"/>
        <v>0</v>
      </c>
      <c r="DO88" s="1468">
        <f t="shared" si="187"/>
        <v>0</v>
      </c>
      <c r="DP88" s="1468">
        <f t="shared" si="188"/>
        <v>0</v>
      </c>
      <c r="DQ88" s="1468">
        <f t="shared" si="189"/>
        <v>0</v>
      </c>
      <c r="DR88" s="1468">
        <f t="shared" si="190"/>
        <v>0</v>
      </c>
      <c r="DS88" s="1468">
        <f t="shared" si="191"/>
        <v>0</v>
      </c>
      <c r="DT88" s="1468">
        <f t="shared" si="192"/>
        <v>0</v>
      </c>
      <c r="DU88" s="1468">
        <f t="shared" si="193"/>
        <v>0</v>
      </c>
      <c r="DV88" s="1468">
        <f t="shared" si="194"/>
        <v>0</v>
      </c>
      <c r="DW88" s="1468">
        <f t="shared" si="195"/>
        <v>0</v>
      </c>
      <c r="DX88" s="1468">
        <f t="shared" si="196"/>
        <v>0</v>
      </c>
      <c r="DY88" s="1468">
        <f t="shared" si="197"/>
        <v>0</v>
      </c>
      <c r="DZ88" s="1468">
        <f t="shared" si="198"/>
        <v>0</v>
      </c>
    </row>
    <row r="89" spans="1:130" ht="16.149999999999999" customHeight="1" x14ac:dyDescent="0.25">
      <c r="A89" s="2040" t="s">
        <v>1793</v>
      </c>
      <c r="B89" s="2038">
        <f>+N89+P89+R89+T89+V89+X89+Z89+AB89+AD89+AF89+AH89+AJ89+AL89+AN89+AP89</f>
        <v>0</v>
      </c>
      <c r="C89" s="2084">
        <f>+O89+Q89+S89+U89+W89+Y89+AA89+AC89+AE89+AG89+AI89+AK89+AM89+AO89+AQ89</f>
        <v>0</v>
      </c>
      <c r="D89" s="1132"/>
      <c r="E89" s="1136"/>
      <c r="F89" s="1135"/>
      <c r="G89" s="1136"/>
      <c r="H89" s="1135"/>
      <c r="I89" s="1138"/>
      <c r="J89" s="1132"/>
      <c r="K89" s="1132"/>
      <c r="L89" s="1135"/>
      <c r="M89" s="1138"/>
      <c r="N89" s="1129"/>
      <c r="O89" s="1130"/>
      <c r="P89" s="1109"/>
      <c r="Q89" s="1130"/>
      <c r="R89" s="1109"/>
      <c r="S89" s="1130"/>
      <c r="T89" s="1109"/>
      <c r="U89" s="1130"/>
      <c r="V89" s="1109"/>
      <c r="W89" s="1130"/>
      <c r="X89" s="1109"/>
      <c r="Y89" s="1130"/>
      <c r="Z89" s="1109"/>
      <c r="AA89" s="1130"/>
      <c r="AB89" s="1109"/>
      <c r="AC89" s="1130"/>
      <c r="AD89" s="1109"/>
      <c r="AE89" s="1130"/>
      <c r="AF89" s="1109"/>
      <c r="AG89" s="1130"/>
      <c r="AH89" s="1109"/>
      <c r="AI89" s="1130"/>
      <c r="AJ89" s="1109"/>
      <c r="AK89" s="1130"/>
      <c r="AL89" s="1109"/>
      <c r="AM89" s="1130"/>
      <c r="AN89" s="1109"/>
      <c r="AO89" s="1130"/>
      <c r="AP89" s="1109"/>
      <c r="AQ89" s="1131"/>
      <c r="AR89" s="1129"/>
      <c r="AS89" s="1131"/>
      <c r="AT89" s="1129"/>
      <c r="AU89" s="1130"/>
      <c r="AV89" s="1109"/>
      <c r="AW89" s="1113"/>
      <c r="AX89" s="1193" t="str">
        <f t="shared" si="166"/>
        <v/>
      </c>
      <c r="AY89" s="1193"/>
      <c r="AZ89" s="1193"/>
      <c r="BA89" s="1193"/>
      <c r="BB89" s="1193"/>
      <c r="BC89" s="1193"/>
      <c r="BD89" s="1193"/>
      <c r="BE89" s="1193"/>
      <c r="BF89" s="1193"/>
      <c r="BG89" s="1193"/>
      <c r="BH89" s="1193"/>
      <c r="BI89" s="1187"/>
      <c r="BJ89" s="1187"/>
      <c r="BK89" s="1187"/>
      <c r="BL89" s="1187"/>
      <c r="BU89" s="1580"/>
      <c r="BV89" s="1580"/>
      <c r="BW89" s="1580"/>
      <c r="CA89" s="2235" t="str">
        <f t="shared" si="167"/>
        <v/>
      </c>
      <c r="CB89" s="2235" t="str">
        <f t="shared" si="168"/>
        <v/>
      </c>
      <c r="CC89" s="2235" t="str">
        <f t="shared" si="169"/>
        <v/>
      </c>
      <c r="CD89" s="2235" t="str">
        <f t="shared" si="170"/>
        <v/>
      </c>
      <c r="CE89" s="2235" t="str">
        <f t="shared" si="171"/>
        <v/>
      </c>
      <c r="CF89" s="2235" t="str">
        <f t="shared" si="199"/>
        <v/>
      </c>
      <c r="CG89" s="2235" t="str">
        <f t="shared" si="200"/>
        <v/>
      </c>
      <c r="CH89" s="2235" t="str">
        <f t="shared" si="201"/>
        <v/>
      </c>
      <c r="CI89" s="2235" t="str">
        <f t="shared" si="202"/>
        <v/>
      </c>
      <c r="CJ89" s="2235" t="str">
        <f t="shared" si="203"/>
        <v/>
      </c>
      <c r="CK89" s="2235" t="str">
        <f t="shared" si="204"/>
        <v/>
      </c>
      <c r="CL89" s="2235" t="str">
        <f t="shared" si="205"/>
        <v/>
      </c>
      <c r="CM89" s="2235" t="str">
        <f t="shared" si="206"/>
        <v/>
      </c>
      <c r="CN89" s="2235" t="str">
        <f t="shared" si="207"/>
        <v/>
      </c>
      <c r="CO89" s="2235" t="str">
        <f t="shared" si="208"/>
        <v/>
      </c>
      <c r="CP89" s="2235" t="str">
        <f t="shared" si="209"/>
        <v/>
      </c>
      <c r="CQ89" s="2235" t="str">
        <f t="shared" si="210"/>
        <v/>
      </c>
      <c r="CR89" s="2235" t="str">
        <f t="shared" si="211"/>
        <v/>
      </c>
      <c r="CS89" s="2235" t="str">
        <f t="shared" si="212"/>
        <v/>
      </c>
      <c r="CT89" s="2235" t="str">
        <f t="shared" si="213"/>
        <v/>
      </c>
      <c r="CU89" s="2235" t="str">
        <f t="shared" si="214"/>
        <v/>
      </c>
      <c r="CV89" s="2235" t="str">
        <f t="shared" si="215"/>
        <v/>
      </c>
      <c r="CW89" s="2235" t="str">
        <f t="shared" si="216"/>
        <v/>
      </c>
      <c r="CX89" s="2235" t="str">
        <f t="shared" si="217"/>
        <v/>
      </c>
      <c r="CY89" s="2235" t="str">
        <f t="shared" si="218"/>
        <v/>
      </c>
      <c r="CZ89" s="2235" t="str">
        <f t="shared" si="172"/>
        <v/>
      </c>
      <c r="DA89" s="1468">
        <f t="shared" si="173"/>
        <v>0</v>
      </c>
      <c r="DB89" s="1468">
        <f t="shared" si="174"/>
        <v>0</v>
      </c>
      <c r="DC89" s="1468">
        <f t="shared" si="175"/>
        <v>0</v>
      </c>
      <c r="DD89" s="1468">
        <f t="shared" si="176"/>
        <v>0</v>
      </c>
      <c r="DE89" s="1468">
        <f t="shared" si="177"/>
        <v>0</v>
      </c>
      <c r="DF89" s="1468">
        <f t="shared" si="178"/>
        <v>0</v>
      </c>
      <c r="DG89" s="1468">
        <f t="shared" si="179"/>
        <v>0</v>
      </c>
      <c r="DH89" s="1468">
        <f t="shared" si="180"/>
        <v>0</v>
      </c>
      <c r="DI89" s="1468">
        <f t="shared" si="181"/>
        <v>0</v>
      </c>
      <c r="DJ89" s="1468">
        <f t="shared" si="182"/>
        <v>0</v>
      </c>
      <c r="DK89" s="1468">
        <f t="shared" si="183"/>
        <v>0</v>
      </c>
      <c r="DL89" s="1468">
        <f t="shared" si="184"/>
        <v>0</v>
      </c>
      <c r="DM89" s="1468">
        <f t="shared" si="185"/>
        <v>0</v>
      </c>
      <c r="DN89" s="1468">
        <f t="shared" si="186"/>
        <v>0</v>
      </c>
      <c r="DO89" s="1468">
        <f t="shared" si="187"/>
        <v>0</v>
      </c>
      <c r="DP89" s="1468">
        <f t="shared" si="188"/>
        <v>0</v>
      </c>
      <c r="DQ89" s="1468">
        <f t="shared" si="189"/>
        <v>0</v>
      </c>
      <c r="DR89" s="1468">
        <f t="shared" si="190"/>
        <v>0</v>
      </c>
      <c r="DS89" s="1468">
        <f t="shared" si="191"/>
        <v>0</v>
      </c>
      <c r="DT89" s="1468">
        <f t="shared" si="192"/>
        <v>0</v>
      </c>
      <c r="DU89" s="1468">
        <f t="shared" si="193"/>
        <v>0</v>
      </c>
      <c r="DV89" s="1468">
        <f t="shared" si="194"/>
        <v>0</v>
      </c>
      <c r="DW89" s="1468">
        <f t="shared" si="195"/>
        <v>0</v>
      </c>
      <c r="DX89" s="1468">
        <f t="shared" si="196"/>
        <v>0</v>
      </c>
      <c r="DY89" s="1468">
        <f t="shared" si="197"/>
        <v>0</v>
      </c>
      <c r="DZ89" s="1468">
        <f t="shared" si="198"/>
        <v>0</v>
      </c>
    </row>
    <row r="90" spans="1:130" ht="16.149999999999999" customHeight="1" x14ac:dyDescent="0.25">
      <c r="A90" s="2040" t="s">
        <v>1794</v>
      </c>
      <c r="B90" s="2038">
        <f>+D90+F90+H90+J90+L90+N90+P90+R90+T90+V90+X90+Z90+AB90+AD90+AF90+AH90+AJ90+AL90+AN90+AP90</f>
        <v>0</v>
      </c>
      <c r="C90" s="2084">
        <f>+E90+G90+I90+K90+M90+O90+Q90+S90+U90+W90+Y90+AA90+AC90+AE90+AG90+AI90+AK90+AM90+AO90+AQ90</f>
        <v>0</v>
      </c>
      <c r="D90" s="1129"/>
      <c r="E90" s="1130"/>
      <c r="F90" s="1109"/>
      <c r="G90" s="1130"/>
      <c r="H90" s="1109"/>
      <c r="I90" s="1113"/>
      <c r="J90" s="1129"/>
      <c r="K90" s="1129"/>
      <c r="L90" s="1109"/>
      <c r="M90" s="1113"/>
      <c r="N90" s="1129"/>
      <c r="O90" s="1130"/>
      <c r="P90" s="1109"/>
      <c r="Q90" s="1130"/>
      <c r="R90" s="1109"/>
      <c r="S90" s="1130"/>
      <c r="T90" s="1109"/>
      <c r="U90" s="1130"/>
      <c r="V90" s="1109"/>
      <c r="W90" s="1130"/>
      <c r="X90" s="1109"/>
      <c r="Y90" s="1130"/>
      <c r="Z90" s="1109"/>
      <c r="AA90" s="1130"/>
      <c r="AB90" s="1109"/>
      <c r="AC90" s="1130"/>
      <c r="AD90" s="1109"/>
      <c r="AE90" s="1130"/>
      <c r="AF90" s="1109"/>
      <c r="AG90" s="1130"/>
      <c r="AH90" s="1109"/>
      <c r="AI90" s="1130"/>
      <c r="AJ90" s="1109"/>
      <c r="AK90" s="1130"/>
      <c r="AL90" s="1109"/>
      <c r="AM90" s="1130"/>
      <c r="AN90" s="1109"/>
      <c r="AO90" s="1130"/>
      <c r="AP90" s="1109"/>
      <c r="AQ90" s="1131"/>
      <c r="AR90" s="1129"/>
      <c r="AS90" s="1131"/>
      <c r="AT90" s="1129"/>
      <c r="AU90" s="1130"/>
      <c r="AV90" s="1109"/>
      <c r="AW90" s="1113"/>
      <c r="AX90" s="1193" t="str">
        <f t="shared" si="166"/>
        <v/>
      </c>
      <c r="AY90" s="1193"/>
      <c r="AZ90" s="1193"/>
      <c r="BA90" s="1193"/>
      <c r="BB90" s="1193"/>
      <c r="BC90" s="1193"/>
      <c r="BD90" s="1193"/>
      <c r="BE90" s="1193"/>
      <c r="BF90" s="1193"/>
      <c r="BG90" s="1193"/>
      <c r="BH90" s="1193"/>
      <c r="BI90" s="1187"/>
      <c r="BJ90" s="1187"/>
      <c r="BK90" s="1187"/>
      <c r="BL90" s="1187"/>
      <c r="BU90" s="1580"/>
      <c r="BV90" s="1580"/>
      <c r="BW90" s="1580"/>
      <c r="CA90" s="2235" t="str">
        <f t="shared" si="167"/>
        <v/>
      </c>
      <c r="CB90" s="2235" t="str">
        <f t="shared" si="168"/>
        <v/>
      </c>
      <c r="CC90" s="2235" t="str">
        <f t="shared" si="169"/>
        <v/>
      </c>
      <c r="CD90" s="2235" t="str">
        <f t="shared" si="170"/>
        <v/>
      </c>
      <c r="CE90" s="2235" t="str">
        <f t="shared" si="171"/>
        <v/>
      </c>
      <c r="CF90" s="2235" t="str">
        <f t="shared" si="199"/>
        <v/>
      </c>
      <c r="CG90" s="2235" t="str">
        <f t="shared" si="200"/>
        <v/>
      </c>
      <c r="CH90" s="2235" t="str">
        <f t="shared" si="201"/>
        <v/>
      </c>
      <c r="CI90" s="2235" t="str">
        <f t="shared" si="202"/>
        <v/>
      </c>
      <c r="CJ90" s="2235" t="str">
        <f t="shared" si="203"/>
        <v/>
      </c>
      <c r="CK90" s="2235" t="str">
        <f t="shared" si="204"/>
        <v/>
      </c>
      <c r="CL90" s="2235" t="str">
        <f t="shared" si="205"/>
        <v/>
      </c>
      <c r="CM90" s="2235" t="str">
        <f t="shared" si="206"/>
        <v/>
      </c>
      <c r="CN90" s="2235" t="str">
        <f t="shared" si="207"/>
        <v/>
      </c>
      <c r="CO90" s="2235" t="str">
        <f t="shared" si="208"/>
        <v/>
      </c>
      <c r="CP90" s="2235" t="str">
        <f t="shared" si="209"/>
        <v/>
      </c>
      <c r="CQ90" s="2235" t="str">
        <f t="shared" si="210"/>
        <v/>
      </c>
      <c r="CR90" s="2235" t="str">
        <f t="shared" si="211"/>
        <v/>
      </c>
      <c r="CS90" s="2235" t="str">
        <f t="shared" si="212"/>
        <v/>
      </c>
      <c r="CT90" s="2235" t="str">
        <f t="shared" si="213"/>
        <v/>
      </c>
      <c r="CU90" s="2235" t="str">
        <f t="shared" si="214"/>
        <v/>
      </c>
      <c r="CV90" s="2235" t="str">
        <f t="shared" si="215"/>
        <v/>
      </c>
      <c r="CW90" s="2235" t="str">
        <f t="shared" si="216"/>
        <v/>
      </c>
      <c r="CX90" s="2235" t="str">
        <f t="shared" si="217"/>
        <v/>
      </c>
      <c r="CY90" s="2235" t="str">
        <f t="shared" si="218"/>
        <v/>
      </c>
      <c r="CZ90" s="2235" t="str">
        <f t="shared" si="172"/>
        <v/>
      </c>
      <c r="DA90" s="1468">
        <f t="shared" si="173"/>
        <v>0</v>
      </c>
      <c r="DB90" s="1468">
        <f t="shared" si="174"/>
        <v>0</v>
      </c>
      <c r="DC90" s="1468">
        <f t="shared" si="175"/>
        <v>0</v>
      </c>
      <c r="DD90" s="1468">
        <f t="shared" si="176"/>
        <v>0</v>
      </c>
      <c r="DE90" s="1468">
        <f t="shared" si="177"/>
        <v>0</v>
      </c>
      <c r="DF90" s="1468">
        <f t="shared" si="178"/>
        <v>0</v>
      </c>
      <c r="DG90" s="1468">
        <f t="shared" si="179"/>
        <v>0</v>
      </c>
      <c r="DH90" s="1468">
        <f t="shared" si="180"/>
        <v>0</v>
      </c>
      <c r="DI90" s="1468">
        <f t="shared" si="181"/>
        <v>0</v>
      </c>
      <c r="DJ90" s="1468">
        <f t="shared" si="182"/>
        <v>0</v>
      </c>
      <c r="DK90" s="1468">
        <f t="shared" si="183"/>
        <v>0</v>
      </c>
      <c r="DL90" s="1468">
        <f t="shared" si="184"/>
        <v>0</v>
      </c>
      <c r="DM90" s="1468">
        <f t="shared" si="185"/>
        <v>0</v>
      </c>
      <c r="DN90" s="1468">
        <f t="shared" si="186"/>
        <v>0</v>
      </c>
      <c r="DO90" s="1468">
        <f t="shared" si="187"/>
        <v>0</v>
      </c>
      <c r="DP90" s="1468">
        <f t="shared" si="188"/>
        <v>0</v>
      </c>
      <c r="DQ90" s="1468">
        <f t="shared" si="189"/>
        <v>0</v>
      </c>
      <c r="DR90" s="1468">
        <f t="shared" si="190"/>
        <v>0</v>
      </c>
      <c r="DS90" s="1468">
        <f t="shared" si="191"/>
        <v>0</v>
      </c>
      <c r="DT90" s="1468">
        <f t="shared" si="192"/>
        <v>0</v>
      </c>
      <c r="DU90" s="1468">
        <f t="shared" si="193"/>
        <v>0</v>
      </c>
      <c r="DV90" s="1468">
        <f t="shared" si="194"/>
        <v>0</v>
      </c>
      <c r="DW90" s="1468">
        <f t="shared" si="195"/>
        <v>0</v>
      </c>
      <c r="DX90" s="1468">
        <f t="shared" si="196"/>
        <v>0</v>
      </c>
      <c r="DY90" s="1468">
        <f t="shared" si="197"/>
        <v>0</v>
      </c>
      <c r="DZ90" s="1468">
        <f t="shared" si="198"/>
        <v>0</v>
      </c>
    </row>
    <row r="91" spans="1:130" ht="16.149999999999999" customHeight="1" x14ac:dyDescent="0.25">
      <c r="A91" s="2072" t="s">
        <v>2179</v>
      </c>
      <c r="B91" s="2038">
        <f>+P91+R91+T91+V91+X91+Z91+AB91+AD91+AF91+AH91+AJ91+AL91+AN91+AP91</f>
        <v>0</v>
      </c>
      <c r="C91" s="2084">
        <f>+Q91+S91+U91+W91+Y91+AA91+AC91+AE91+AG91+AI91+AK91+AM91+AO91+AQ91</f>
        <v>0</v>
      </c>
      <c r="D91" s="1125"/>
      <c r="E91" s="1126"/>
      <c r="F91" s="1127"/>
      <c r="G91" s="1126"/>
      <c r="H91" s="1127"/>
      <c r="I91" s="1126"/>
      <c r="J91" s="1127"/>
      <c r="K91" s="1126"/>
      <c r="L91" s="1127"/>
      <c r="M91" s="1128"/>
      <c r="N91" s="1125"/>
      <c r="O91" s="1126"/>
      <c r="P91" s="1109"/>
      <c r="Q91" s="1130"/>
      <c r="R91" s="1109"/>
      <c r="S91" s="1130"/>
      <c r="T91" s="1109"/>
      <c r="U91" s="1130"/>
      <c r="V91" s="1109"/>
      <c r="W91" s="1130"/>
      <c r="X91" s="1109"/>
      <c r="Y91" s="1130"/>
      <c r="Z91" s="1109"/>
      <c r="AA91" s="1130"/>
      <c r="AB91" s="1109"/>
      <c r="AC91" s="1130"/>
      <c r="AD91" s="1109"/>
      <c r="AE91" s="1130"/>
      <c r="AF91" s="1109"/>
      <c r="AG91" s="1130"/>
      <c r="AH91" s="1109"/>
      <c r="AI91" s="1130"/>
      <c r="AJ91" s="1109"/>
      <c r="AK91" s="1130"/>
      <c r="AL91" s="1109"/>
      <c r="AM91" s="1130"/>
      <c r="AN91" s="1109"/>
      <c r="AO91" s="1130"/>
      <c r="AP91" s="1109"/>
      <c r="AQ91" s="1131"/>
      <c r="AR91" s="1129"/>
      <c r="AS91" s="1131"/>
      <c r="AT91" s="1129"/>
      <c r="AU91" s="1130"/>
      <c r="AV91" s="1109"/>
      <c r="AW91" s="1113"/>
      <c r="AX91" s="1193" t="str">
        <f t="shared" si="166"/>
        <v/>
      </c>
      <c r="AY91" s="1193"/>
      <c r="AZ91" s="1193"/>
      <c r="BA91" s="1193"/>
      <c r="BB91" s="1193"/>
      <c r="BC91" s="1193"/>
      <c r="BD91" s="1193"/>
      <c r="BE91" s="1193"/>
      <c r="BF91" s="1193"/>
      <c r="BG91" s="1193"/>
      <c r="BH91" s="1193"/>
      <c r="BI91" s="1187"/>
      <c r="BJ91" s="1187"/>
      <c r="BK91" s="1187"/>
      <c r="BL91" s="1187"/>
      <c r="BU91" s="1580"/>
      <c r="BV91" s="1580"/>
      <c r="BW91" s="1580"/>
      <c r="CA91" s="2235" t="str">
        <f t="shared" si="167"/>
        <v/>
      </c>
      <c r="CB91" s="2235" t="str">
        <f t="shared" si="168"/>
        <v/>
      </c>
      <c r="CC91" s="2235" t="str">
        <f t="shared" si="169"/>
        <v/>
      </c>
      <c r="CD91" s="2235" t="str">
        <f t="shared" si="170"/>
        <v/>
      </c>
      <c r="CE91" s="2235" t="str">
        <f t="shared" si="171"/>
        <v/>
      </c>
      <c r="CF91" s="2235" t="str">
        <f t="shared" si="199"/>
        <v/>
      </c>
      <c r="CG91" s="2235" t="str">
        <f t="shared" si="200"/>
        <v/>
      </c>
      <c r="CH91" s="2235" t="str">
        <f t="shared" si="201"/>
        <v/>
      </c>
      <c r="CI91" s="2235" t="str">
        <f t="shared" si="202"/>
        <v/>
      </c>
      <c r="CJ91" s="2235" t="str">
        <f t="shared" si="203"/>
        <v/>
      </c>
      <c r="CK91" s="2235" t="str">
        <f t="shared" si="204"/>
        <v/>
      </c>
      <c r="CL91" s="2235" t="str">
        <f t="shared" si="205"/>
        <v/>
      </c>
      <c r="CM91" s="2235" t="str">
        <f t="shared" si="206"/>
        <v/>
      </c>
      <c r="CN91" s="2235" t="str">
        <f t="shared" si="207"/>
        <v/>
      </c>
      <c r="CO91" s="2235" t="str">
        <f t="shared" si="208"/>
        <v/>
      </c>
      <c r="CP91" s="2235" t="str">
        <f t="shared" si="209"/>
        <v/>
      </c>
      <c r="CQ91" s="2235" t="str">
        <f t="shared" si="210"/>
        <v/>
      </c>
      <c r="CR91" s="2235" t="str">
        <f t="shared" si="211"/>
        <v/>
      </c>
      <c r="CS91" s="2235" t="str">
        <f t="shared" si="212"/>
        <v/>
      </c>
      <c r="CT91" s="2235" t="str">
        <f t="shared" si="213"/>
        <v/>
      </c>
      <c r="CU91" s="2235" t="str">
        <f t="shared" si="214"/>
        <v/>
      </c>
      <c r="CV91" s="2235" t="str">
        <f t="shared" si="215"/>
        <v/>
      </c>
      <c r="CW91" s="2235" t="str">
        <f t="shared" si="216"/>
        <v/>
      </c>
      <c r="CX91" s="2235" t="str">
        <f t="shared" si="217"/>
        <v/>
      </c>
      <c r="CY91" s="2235" t="str">
        <f t="shared" si="218"/>
        <v/>
      </c>
      <c r="CZ91" s="2235" t="str">
        <f t="shared" si="172"/>
        <v/>
      </c>
      <c r="DA91" s="1468">
        <f t="shared" si="173"/>
        <v>0</v>
      </c>
      <c r="DB91" s="1468">
        <f t="shared" si="174"/>
        <v>0</v>
      </c>
      <c r="DC91" s="1468">
        <f t="shared" si="175"/>
        <v>0</v>
      </c>
      <c r="DD91" s="1468">
        <f t="shared" si="176"/>
        <v>0</v>
      </c>
      <c r="DE91" s="1468">
        <f t="shared" si="177"/>
        <v>0</v>
      </c>
      <c r="DF91" s="1468">
        <f t="shared" si="178"/>
        <v>0</v>
      </c>
      <c r="DG91" s="1468">
        <f t="shared" si="179"/>
        <v>0</v>
      </c>
      <c r="DH91" s="1468">
        <f t="shared" si="180"/>
        <v>0</v>
      </c>
      <c r="DI91" s="1468">
        <f t="shared" si="181"/>
        <v>0</v>
      </c>
      <c r="DJ91" s="1468">
        <f t="shared" si="182"/>
        <v>0</v>
      </c>
      <c r="DK91" s="1468">
        <f t="shared" si="183"/>
        <v>0</v>
      </c>
      <c r="DL91" s="1468">
        <f t="shared" si="184"/>
        <v>0</v>
      </c>
      <c r="DM91" s="1468">
        <f t="shared" si="185"/>
        <v>0</v>
      </c>
      <c r="DN91" s="1468">
        <f t="shared" si="186"/>
        <v>0</v>
      </c>
      <c r="DO91" s="1468">
        <f t="shared" si="187"/>
        <v>0</v>
      </c>
      <c r="DP91" s="1468">
        <f t="shared" si="188"/>
        <v>0</v>
      </c>
      <c r="DQ91" s="1468">
        <f t="shared" si="189"/>
        <v>0</v>
      </c>
      <c r="DR91" s="1468">
        <f t="shared" si="190"/>
        <v>0</v>
      </c>
      <c r="DS91" s="1468">
        <f t="shared" si="191"/>
        <v>0</v>
      </c>
      <c r="DT91" s="1468">
        <f t="shared" si="192"/>
        <v>0</v>
      </c>
      <c r="DU91" s="1468">
        <f t="shared" si="193"/>
        <v>0</v>
      </c>
      <c r="DV91" s="1468">
        <f t="shared" si="194"/>
        <v>0</v>
      </c>
      <c r="DW91" s="1468">
        <f t="shared" si="195"/>
        <v>0</v>
      </c>
      <c r="DX91" s="1468">
        <f t="shared" si="196"/>
        <v>0</v>
      </c>
      <c r="DY91" s="1468">
        <f t="shared" si="197"/>
        <v>0</v>
      </c>
      <c r="DZ91" s="1468">
        <f t="shared" si="198"/>
        <v>0</v>
      </c>
    </row>
    <row r="92" spans="1:130" ht="16.149999999999999" customHeight="1" x14ac:dyDescent="0.25">
      <c r="A92" s="2040" t="s">
        <v>1795</v>
      </c>
      <c r="B92" s="2038">
        <f>+P92+R92+T92+V92+X92+Z92+AB92+AD92+AF92+AH92</f>
        <v>0</v>
      </c>
      <c r="C92" s="2084">
        <f>+Q92+S92+U92+W92+Y92+AA92+AC92+AE92+AG92+AI92</f>
        <v>0</v>
      </c>
      <c r="D92" s="1125"/>
      <c r="E92" s="1126"/>
      <c r="F92" s="1127"/>
      <c r="G92" s="1126"/>
      <c r="H92" s="1127"/>
      <c r="I92" s="1126"/>
      <c r="J92" s="1127"/>
      <c r="K92" s="1126"/>
      <c r="L92" s="1127"/>
      <c r="M92" s="1128"/>
      <c r="N92" s="1125"/>
      <c r="O92" s="1126"/>
      <c r="P92" s="1109"/>
      <c r="Q92" s="1130"/>
      <c r="R92" s="1109"/>
      <c r="S92" s="1130"/>
      <c r="T92" s="1109"/>
      <c r="U92" s="1130"/>
      <c r="V92" s="1109"/>
      <c r="W92" s="1130"/>
      <c r="X92" s="1109"/>
      <c r="Y92" s="1130"/>
      <c r="Z92" s="1109"/>
      <c r="AA92" s="1130"/>
      <c r="AB92" s="1109"/>
      <c r="AC92" s="1130"/>
      <c r="AD92" s="1109"/>
      <c r="AE92" s="1130"/>
      <c r="AF92" s="1109"/>
      <c r="AG92" s="1130"/>
      <c r="AH92" s="1109"/>
      <c r="AI92" s="1130"/>
      <c r="AJ92" s="1127"/>
      <c r="AK92" s="1126"/>
      <c r="AL92" s="1127"/>
      <c r="AM92" s="1126"/>
      <c r="AN92" s="1127"/>
      <c r="AO92" s="1126"/>
      <c r="AP92" s="1127"/>
      <c r="AQ92" s="1139"/>
      <c r="AR92" s="1129"/>
      <c r="AS92" s="1131"/>
      <c r="AT92" s="1129"/>
      <c r="AU92" s="1130"/>
      <c r="AV92" s="1109"/>
      <c r="AW92" s="1113"/>
      <c r="AX92" s="1193" t="str">
        <f t="shared" si="166"/>
        <v/>
      </c>
      <c r="AY92" s="1193"/>
      <c r="AZ92" s="1193"/>
      <c r="BA92" s="1193"/>
      <c r="BB92" s="1193"/>
      <c r="BC92" s="1193"/>
      <c r="BD92" s="1193"/>
      <c r="BE92" s="1193"/>
      <c r="BF92" s="1193"/>
      <c r="BG92" s="1193"/>
      <c r="BH92" s="1193"/>
      <c r="BI92" s="1187"/>
      <c r="BJ92" s="1187"/>
      <c r="BK92" s="1187"/>
      <c r="BL92" s="1187"/>
      <c r="BU92" s="1580"/>
      <c r="BV92" s="1580"/>
      <c r="BW92" s="1580"/>
      <c r="CA92" s="2235" t="str">
        <f t="shared" si="167"/>
        <v/>
      </c>
      <c r="CB92" s="2235" t="str">
        <f t="shared" si="168"/>
        <v/>
      </c>
      <c r="CC92" s="2235" t="str">
        <f t="shared" si="169"/>
        <v/>
      </c>
      <c r="CD92" s="2235" t="str">
        <f t="shared" si="170"/>
        <v/>
      </c>
      <c r="CE92" s="2235" t="str">
        <f t="shared" si="171"/>
        <v/>
      </c>
      <c r="CF92" s="2235" t="str">
        <f t="shared" si="199"/>
        <v/>
      </c>
      <c r="CG92" s="2235" t="str">
        <f t="shared" si="200"/>
        <v/>
      </c>
      <c r="CH92" s="2235" t="str">
        <f t="shared" si="201"/>
        <v/>
      </c>
      <c r="CI92" s="2235" t="str">
        <f t="shared" si="202"/>
        <v/>
      </c>
      <c r="CJ92" s="2235" t="str">
        <f t="shared" si="203"/>
        <v/>
      </c>
      <c r="CK92" s="2235" t="str">
        <f t="shared" si="204"/>
        <v/>
      </c>
      <c r="CL92" s="2235" t="str">
        <f t="shared" si="205"/>
        <v/>
      </c>
      <c r="CM92" s="2235" t="str">
        <f t="shared" si="206"/>
        <v/>
      </c>
      <c r="CN92" s="2235" t="str">
        <f t="shared" si="207"/>
        <v/>
      </c>
      <c r="CO92" s="2235" t="str">
        <f t="shared" si="208"/>
        <v/>
      </c>
      <c r="CP92" s="2235" t="str">
        <f t="shared" si="209"/>
        <v/>
      </c>
      <c r="CQ92" s="2235" t="str">
        <f t="shared" si="210"/>
        <v/>
      </c>
      <c r="CR92" s="2235" t="str">
        <f t="shared" si="211"/>
        <v/>
      </c>
      <c r="CS92" s="2235" t="str">
        <f t="shared" si="212"/>
        <v/>
      </c>
      <c r="CT92" s="2235" t="str">
        <f t="shared" si="213"/>
        <v/>
      </c>
      <c r="CU92" s="2235" t="str">
        <f t="shared" si="214"/>
        <v/>
      </c>
      <c r="CV92" s="2235" t="str">
        <f t="shared" si="215"/>
        <v/>
      </c>
      <c r="CW92" s="2235" t="str">
        <f t="shared" si="216"/>
        <v/>
      </c>
      <c r="CX92" s="2235" t="str">
        <f t="shared" si="217"/>
        <v/>
      </c>
      <c r="CY92" s="2235" t="str">
        <f t="shared" si="218"/>
        <v/>
      </c>
      <c r="CZ92" s="2235" t="str">
        <f t="shared" si="172"/>
        <v/>
      </c>
      <c r="DA92" s="1468">
        <f t="shared" si="173"/>
        <v>0</v>
      </c>
      <c r="DB92" s="1468">
        <f t="shared" si="174"/>
        <v>0</v>
      </c>
      <c r="DC92" s="1468">
        <f t="shared" si="175"/>
        <v>0</v>
      </c>
      <c r="DD92" s="1468">
        <f t="shared" si="176"/>
        <v>0</v>
      </c>
      <c r="DE92" s="1468">
        <f t="shared" si="177"/>
        <v>0</v>
      </c>
      <c r="DF92" s="1468">
        <f t="shared" si="178"/>
        <v>0</v>
      </c>
      <c r="DG92" s="1468">
        <f t="shared" si="179"/>
        <v>0</v>
      </c>
      <c r="DH92" s="1468">
        <f t="shared" si="180"/>
        <v>0</v>
      </c>
      <c r="DI92" s="1468">
        <f t="shared" si="181"/>
        <v>0</v>
      </c>
      <c r="DJ92" s="1468">
        <f t="shared" si="182"/>
        <v>0</v>
      </c>
      <c r="DK92" s="1468">
        <f t="shared" si="183"/>
        <v>0</v>
      </c>
      <c r="DL92" s="1468">
        <f t="shared" si="184"/>
        <v>0</v>
      </c>
      <c r="DM92" s="1468">
        <f t="shared" si="185"/>
        <v>0</v>
      </c>
      <c r="DN92" s="1468">
        <f t="shared" si="186"/>
        <v>0</v>
      </c>
      <c r="DO92" s="1468">
        <f t="shared" si="187"/>
        <v>0</v>
      </c>
      <c r="DP92" s="1468">
        <f t="shared" si="188"/>
        <v>0</v>
      </c>
      <c r="DQ92" s="1468">
        <f t="shared" si="189"/>
        <v>0</v>
      </c>
      <c r="DR92" s="1468">
        <f t="shared" si="190"/>
        <v>0</v>
      </c>
      <c r="DS92" s="1468">
        <f t="shared" si="191"/>
        <v>0</v>
      </c>
      <c r="DT92" s="1468">
        <f t="shared" si="192"/>
        <v>0</v>
      </c>
      <c r="DU92" s="1468">
        <f t="shared" si="193"/>
        <v>0</v>
      </c>
      <c r="DV92" s="1468">
        <f t="shared" si="194"/>
        <v>0</v>
      </c>
      <c r="DW92" s="1468">
        <f t="shared" si="195"/>
        <v>0</v>
      </c>
      <c r="DX92" s="1468">
        <f t="shared" si="196"/>
        <v>0</v>
      </c>
      <c r="DY92" s="1468">
        <f t="shared" si="197"/>
        <v>0</v>
      </c>
      <c r="DZ92" s="1468">
        <f t="shared" si="198"/>
        <v>0</v>
      </c>
    </row>
    <row r="93" spans="1:130" ht="16.149999999999999" customHeight="1" x14ac:dyDescent="0.25">
      <c r="A93" s="2040" t="s">
        <v>1796</v>
      </c>
      <c r="B93" s="2038">
        <f t="shared" ref="B93:C95" si="219">+D93+F93+H93+J93+L93+N93+P93+R93+T93+V93+X93+Z93+AB93+AD93+AF93+AH93+AJ93+AL93+AN93+AP93</f>
        <v>0</v>
      </c>
      <c r="C93" s="2084">
        <f t="shared" si="219"/>
        <v>0</v>
      </c>
      <c r="D93" s="1129"/>
      <c r="E93" s="1130"/>
      <c r="F93" s="1109"/>
      <c r="G93" s="1130"/>
      <c r="H93" s="1109"/>
      <c r="I93" s="1113"/>
      <c r="J93" s="1129"/>
      <c r="K93" s="1129"/>
      <c r="L93" s="1109"/>
      <c r="M93" s="1113"/>
      <c r="N93" s="1129"/>
      <c r="O93" s="1130"/>
      <c r="P93" s="1109"/>
      <c r="Q93" s="1130"/>
      <c r="R93" s="1109"/>
      <c r="S93" s="1130"/>
      <c r="T93" s="1109"/>
      <c r="U93" s="1130"/>
      <c r="V93" s="1109"/>
      <c r="W93" s="1130"/>
      <c r="X93" s="1109"/>
      <c r="Y93" s="1130"/>
      <c r="Z93" s="1109"/>
      <c r="AA93" s="1130"/>
      <c r="AB93" s="1109"/>
      <c r="AC93" s="1130"/>
      <c r="AD93" s="1109"/>
      <c r="AE93" s="1130"/>
      <c r="AF93" s="1109"/>
      <c r="AG93" s="1130"/>
      <c r="AH93" s="1109"/>
      <c r="AI93" s="1130"/>
      <c r="AJ93" s="1109"/>
      <c r="AK93" s="1130"/>
      <c r="AL93" s="1109"/>
      <c r="AM93" s="1130"/>
      <c r="AN93" s="1109"/>
      <c r="AO93" s="1130"/>
      <c r="AP93" s="1109"/>
      <c r="AQ93" s="1131"/>
      <c r="AR93" s="1129"/>
      <c r="AS93" s="1131"/>
      <c r="AT93" s="1129"/>
      <c r="AU93" s="1130"/>
      <c r="AV93" s="1109"/>
      <c r="AW93" s="1113"/>
      <c r="AX93" s="1193" t="str">
        <f t="shared" si="166"/>
        <v/>
      </c>
      <c r="AY93" s="1193"/>
      <c r="AZ93" s="1193"/>
      <c r="BA93" s="1193"/>
      <c r="BB93" s="1193"/>
      <c r="BC93" s="1193"/>
      <c r="BD93" s="1193"/>
      <c r="BE93" s="1193"/>
      <c r="BF93" s="1193"/>
      <c r="BG93" s="1193"/>
      <c r="BH93" s="1193"/>
      <c r="BI93" s="1187"/>
      <c r="BJ93" s="1187"/>
      <c r="BK93" s="1187"/>
      <c r="BL93" s="1187"/>
      <c r="BU93" s="1580"/>
      <c r="BV93" s="1580"/>
      <c r="BW93" s="1580"/>
      <c r="CA93" s="2235" t="str">
        <f t="shared" si="167"/>
        <v/>
      </c>
      <c r="CB93" s="2235" t="str">
        <f t="shared" si="168"/>
        <v/>
      </c>
      <c r="CC93" s="2235" t="str">
        <f t="shared" si="169"/>
        <v/>
      </c>
      <c r="CD93" s="2235" t="str">
        <f t="shared" si="170"/>
        <v/>
      </c>
      <c r="CE93" s="2235" t="str">
        <f t="shared" si="171"/>
        <v/>
      </c>
      <c r="CF93" s="2235" t="str">
        <f t="shared" si="199"/>
        <v/>
      </c>
      <c r="CG93" s="2235" t="str">
        <f t="shared" si="200"/>
        <v/>
      </c>
      <c r="CH93" s="2235" t="str">
        <f t="shared" si="201"/>
        <v/>
      </c>
      <c r="CI93" s="2235" t="str">
        <f t="shared" si="202"/>
        <v/>
      </c>
      <c r="CJ93" s="2235" t="str">
        <f t="shared" si="203"/>
        <v/>
      </c>
      <c r="CK93" s="2235" t="str">
        <f t="shared" si="204"/>
        <v/>
      </c>
      <c r="CL93" s="2235" t="str">
        <f t="shared" si="205"/>
        <v/>
      </c>
      <c r="CM93" s="2235" t="str">
        <f t="shared" si="206"/>
        <v/>
      </c>
      <c r="CN93" s="2235" t="str">
        <f t="shared" si="207"/>
        <v/>
      </c>
      <c r="CO93" s="2235" t="str">
        <f t="shared" si="208"/>
        <v/>
      </c>
      <c r="CP93" s="2235" t="str">
        <f t="shared" si="209"/>
        <v/>
      </c>
      <c r="CQ93" s="2235" t="str">
        <f t="shared" si="210"/>
        <v/>
      </c>
      <c r="CR93" s="2235" t="str">
        <f t="shared" si="211"/>
        <v/>
      </c>
      <c r="CS93" s="2235" t="str">
        <f t="shared" si="212"/>
        <v/>
      </c>
      <c r="CT93" s="2235" t="str">
        <f t="shared" si="213"/>
        <v/>
      </c>
      <c r="CU93" s="2235" t="str">
        <f t="shared" si="214"/>
        <v/>
      </c>
      <c r="CV93" s="2235" t="str">
        <f t="shared" si="215"/>
        <v/>
      </c>
      <c r="CW93" s="2235" t="str">
        <f t="shared" si="216"/>
        <v/>
      </c>
      <c r="CX93" s="2235" t="str">
        <f t="shared" si="217"/>
        <v/>
      </c>
      <c r="CY93" s="2235" t="str">
        <f t="shared" si="218"/>
        <v/>
      </c>
      <c r="CZ93" s="2235" t="str">
        <f t="shared" si="172"/>
        <v/>
      </c>
      <c r="DA93" s="1468">
        <f t="shared" si="173"/>
        <v>0</v>
      </c>
      <c r="DB93" s="1468">
        <f t="shared" si="174"/>
        <v>0</v>
      </c>
      <c r="DC93" s="1468">
        <f t="shared" si="175"/>
        <v>0</v>
      </c>
      <c r="DD93" s="1468">
        <f t="shared" si="176"/>
        <v>0</v>
      </c>
      <c r="DE93" s="1468">
        <f t="shared" si="177"/>
        <v>0</v>
      </c>
      <c r="DF93" s="1468">
        <f t="shared" si="178"/>
        <v>0</v>
      </c>
      <c r="DG93" s="1468">
        <f t="shared" si="179"/>
        <v>0</v>
      </c>
      <c r="DH93" s="1468">
        <f t="shared" si="180"/>
        <v>0</v>
      </c>
      <c r="DI93" s="1468">
        <f t="shared" si="181"/>
        <v>0</v>
      </c>
      <c r="DJ93" s="1468">
        <f t="shared" si="182"/>
        <v>0</v>
      </c>
      <c r="DK93" s="1468">
        <f t="shared" si="183"/>
        <v>0</v>
      </c>
      <c r="DL93" s="1468">
        <f t="shared" si="184"/>
        <v>0</v>
      </c>
      <c r="DM93" s="1468">
        <f t="shared" si="185"/>
        <v>0</v>
      </c>
      <c r="DN93" s="1468">
        <f t="shared" si="186"/>
        <v>0</v>
      </c>
      <c r="DO93" s="1468">
        <f t="shared" si="187"/>
        <v>0</v>
      </c>
      <c r="DP93" s="1468">
        <f t="shared" si="188"/>
        <v>0</v>
      </c>
      <c r="DQ93" s="1468">
        <f t="shared" si="189"/>
        <v>0</v>
      </c>
      <c r="DR93" s="1468">
        <f t="shared" si="190"/>
        <v>0</v>
      </c>
      <c r="DS93" s="1468">
        <f t="shared" si="191"/>
        <v>0</v>
      </c>
      <c r="DT93" s="1468">
        <f t="shared" si="192"/>
        <v>0</v>
      </c>
      <c r="DU93" s="1468">
        <f t="shared" si="193"/>
        <v>0</v>
      </c>
      <c r="DV93" s="1468">
        <f t="shared" si="194"/>
        <v>0</v>
      </c>
      <c r="DW93" s="1468">
        <f t="shared" si="195"/>
        <v>0</v>
      </c>
      <c r="DX93" s="1468">
        <f t="shared" si="196"/>
        <v>0</v>
      </c>
      <c r="DY93" s="1468">
        <f t="shared" si="197"/>
        <v>0</v>
      </c>
      <c r="DZ93" s="1468">
        <f t="shared" si="198"/>
        <v>0</v>
      </c>
    </row>
    <row r="94" spans="1:130" ht="16.149999999999999" customHeight="1" x14ac:dyDescent="0.25">
      <c r="A94" s="2040" t="s">
        <v>1797</v>
      </c>
      <c r="B94" s="2038">
        <f t="shared" si="219"/>
        <v>0</v>
      </c>
      <c r="C94" s="2084">
        <f t="shared" si="219"/>
        <v>0</v>
      </c>
      <c r="D94" s="1129"/>
      <c r="E94" s="1130"/>
      <c r="F94" s="1109"/>
      <c r="G94" s="1130"/>
      <c r="H94" s="1109"/>
      <c r="I94" s="1113"/>
      <c r="J94" s="1129"/>
      <c r="K94" s="1129"/>
      <c r="L94" s="1109"/>
      <c r="M94" s="1113"/>
      <c r="N94" s="1129"/>
      <c r="O94" s="1130"/>
      <c r="P94" s="1109"/>
      <c r="Q94" s="1130"/>
      <c r="R94" s="1109"/>
      <c r="S94" s="1130"/>
      <c r="T94" s="1109"/>
      <c r="U94" s="1130"/>
      <c r="V94" s="1109"/>
      <c r="W94" s="1130"/>
      <c r="X94" s="1109"/>
      <c r="Y94" s="1130"/>
      <c r="Z94" s="1109"/>
      <c r="AA94" s="1130"/>
      <c r="AB94" s="1109"/>
      <c r="AC94" s="1130"/>
      <c r="AD94" s="1109"/>
      <c r="AE94" s="1130"/>
      <c r="AF94" s="1109"/>
      <c r="AG94" s="1130"/>
      <c r="AH94" s="1109"/>
      <c r="AI94" s="1130"/>
      <c r="AJ94" s="1109"/>
      <c r="AK94" s="1130"/>
      <c r="AL94" s="1109"/>
      <c r="AM94" s="1130"/>
      <c r="AN94" s="1109"/>
      <c r="AO94" s="1130"/>
      <c r="AP94" s="1109"/>
      <c r="AQ94" s="1131"/>
      <c r="AR94" s="1129"/>
      <c r="AS94" s="1131"/>
      <c r="AT94" s="1129"/>
      <c r="AU94" s="1130"/>
      <c r="AV94" s="1109"/>
      <c r="AW94" s="1113"/>
      <c r="AX94" s="1193" t="str">
        <f t="shared" si="166"/>
        <v/>
      </c>
      <c r="AY94" s="1193"/>
      <c r="AZ94" s="1193"/>
      <c r="BA94" s="1193"/>
      <c r="BB94" s="1193"/>
      <c r="BC94" s="1193"/>
      <c r="BD94" s="1193"/>
      <c r="BE94" s="1193"/>
      <c r="BF94" s="1193"/>
      <c r="BG94" s="1193"/>
      <c r="BH94" s="1193"/>
      <c r="BI94" s="1187"/>
      <c r="BJ94" s="1187"/>
      <c r="BK94" s="1187"/>
      <c r="BL94" s="1187"/>
      <c r="BU94" s="1580"/>
      <c r="BV94" s="1580"/>
      <c r="BW94" s="1580"/>
      <c r="CA94" s="2235" t="str">
        <f t="shared" si="167"/>
        <v/>
      </c>
      <c r="CB94" s="2235" t="str">
        <f t="shared" si="168"/>
        <v/>
      </c>
      <c r="CC94" s="2235" t="str">
        <f t="shared" si="169"/>
        <v/>
      </c>
      <c r="CD94" s="2235" t="str">
        <f t="shared" si="170"/>
        <v/>
      </c>
      <c r="CE94" s="2235" t="str">
        <f t="shared" si="171"/>
        <v/>
      </c>
      <c r="CF94" s="2235" t="str">
        <f t="shared" si="199"/>
        <v/>
      </c>
      <c r="CG94" s="2235" t="str">
        <f t="shared" si="200"/>
        <v/>
      </c>
      <c r="CH94" s="2235" t="str">
        <f t="shared" si="201"/>
        <v/>
      </c>
      <c r="CI94" s="2235" t="str">
        <f t="shared" si="202"/>
        <v/>
      </c>
      <c r="CJ94" s="2235" t="str">
        <f t="shared" si="203"/>
        <v/>
      </c>
      <c r="CK94" s="2235" t="str">
        <f t="shared" si="204"/>
        <v/>
      </c>
      <c r="CL94" s="2235" t="str">
        <f t="shared" si="205"/>
        <v/>
      </c>
      <c r="CM94" s="2235" t="str">
        <f t="shared" si="206"/>
        <v/>
      </c>
      <c r="CN94" s="2235" t="str">
        <f t="shared" si="207"/>
        <v/>
      </c>
      <c r="CO94" s="2235" t="str">
        <f t="shared" si="208"/>
        <v/>
      </c>
      <c r="CP94" s="2235" t="str">
        <f t="shared" si="209"/>
        <v/>
      </c>
      <c r="CQ94" s="2235" t="str">
        <f t="shared" si="210"/>
        <v/>
      </c>
      <c r="CR94" s="2235" t="str">
        <f t="shared" si="211"/>
        <v/>
      </c>
      <c r="CS94" s="2235" t="str">
        <f t="shared" si="212"/>
        <v/>
      </c>
      <c r="CT94" s="2235" t="str">
        <f t="shared" si="213"/>
        <v/>
      </c>
      <c r="CU94" s="2235" t="str">
        <f t="shared" si="214"/>
        <v/>
      </c>
      <c r="CV94" s="2235" t="str">
        <f t="shared" si="215"/>
        <v/>
      </c>
      <c r="CW94" s="2235" t="str">
        <f t="shared" si="216"/>
        <v/>
      </c>
      <c r="CX94" s="2235" t="str">
        <f t="shared" si="217"/>
        <v/>
      </c>
      <c r="CY94" s="2235" t="str">
        <f t="shared" si="218"/>
        <v/>
      </c>
      <c r="CZ94" s="2235" t="str">
        <f t="shared" si="172"/>
        <v/>
      </c>
      <c r="DA94" s="1468">
        <f t="shared" si="173"/>
        <v>0</v>
      </c>
      <c r="DB94" s="1468">
        <f t="shared" si="174"/>
        <v>0</v>
      </c>
      <c r="DC94" s="1468">
        <f t="shared" si="175"/>
        <v>0</v>
      </c>
      <c r="DD94" s="1468">
        <f t="shared" si="176"/>
        <v>0</v>
      </c>
      <c r="DE94" s="1468">
        <f t="shared" si="177"/>
        <v>0</v>
      </c>
      <c r="DF94" s="1468">
        <f t="shared" si="178"/>
        <v>0</v>
      </c>
      <c r="DG94" s="1468">
        <f t="shared" si="179"/>
        <v>0</v>
      </c>
      <c r="DH94" s="1468">
        <f t="shared" si="180"/>
        <v>0</v>
      </c>
      <c r="DI94" s="1468">
        <f t="shared" si="181"/>
        <v>0</v>
      </c>
      <c r="DJ94" s="1468">
        <f t="shared" si="182"/>
        <v>0</v>
      </c>
      <c r="DK94" s="1468">
        <f t="shared" si="183"/>
        <v>0</v>
      </c>
      <c r="DL94" s="1468">
        <f t="shared" si="184"/>
        <v>0</v>
      </c>
      <c r="DM94" s="1468">
        <f t="shared" si="185"/>
        <v>0</v>
      </c>
      <c r="DN94" s="1468">
        <f t="shared" si="186"/>
        <v>0</v>
      </c>
      <c r="DO94" s="1468">
        <f t="shared" si="187"/>
        <v>0</v>
      </c>
      <c r="DP94" s="1468">
        <f t="shared" si="188"/>
        <v>0</v>
      </c>
      <c r="DQ94" s="1468">
        <f t="shared" si="189"/>
        <v>0</v>
      </c>
      <c r="DR94" s="1468">
        <f t="shared" si="190"/>
        <v>0</v>
      </c>
      <c r="DS94" s="1468">
        <f t="shared" si="191"/>
        <v>0</v>
      </c>
      <c r="DT94" s="1468">
        <f t="shared" si="192"/>
        <v>0</v>
      </c>
      <c r="DU94" s="1468">
        <f t="shared" si="193"/>
        <v>0</v>
      </c>
      <c r="DV94" s="1468">
        <f t="shared" si="194"/>
        <v>0</v>
      </c>
      <c r="DW94" s="1468">
        <f t="shared" si="195"/>
        <v>0</v>
      </c>
      <c r="DX94" s="1468">
        <f t="shared" si="196"/>
        <v>0</v>
      </c>
      <c r="DY94" s="1468">
        <f t="shared" si="197"/>
        <v>0</v>
      </c>
      <c r="DZ94" s="1468">
        <f t="shared" si="198"/>
        <v>0</v>
      </c>
    </row>
    <row r="95" spans="1:130" ht="16.149999999999999" customHeight="1" x14ac:dyDescent="0.25">
      <c r="A95" s="1936" t="s">
        <v>1798</v>
      </c>
      <c r="B95" s="1999">
        <f t="shared" si="219"/>
        <v>0</v>
      </c>
      <c r="C95" s="1936">
        <f t="shared" si="219"/>
        <v>0</v>
      </c>
      <c r="D95" s="102"/>
      <c r="E95" s="83"/>
      <c r="F95" s="125"/>
      <c r="G95" s="83"/>
      <c r="H95" s="125"/>
      <c r="I95" s="101"/>
      <c r="J95" s="102"/>
      <c r="K95" s="102"/>
      <c r="L95" s="125"/>
      <c r="M95" s="101"/>
      <c r="N95" s="102"/>
      <c r="O95" s="83"/>
      <c r="P95" s="125"/>
      <c r="Q95" s="83"/>
      <c r="R95" s="125"/>
      <c r="S95" s="83"/>
      <c r="T95" s="125"/>
      <c r="U95" s="83"/>
      <c r="V95" s="125"/>
      <c r="W95" s="83"/>
      <c r="X95" s="125"/>
      <c r="Y95" s="83"/>
      <c r="Z95" s="125"/>
      <c r="AA95" s="83"/>
      <c r="AB95" s="125"/>
      <c r="AC95" s="83"/>
      <c r="AD95" s="125"/>
      <c r="AE95" s="83"/>
      <c r="AF95" s="125"/>
      <c r="AG95" s="83"/>
      <c r="AH95" s="125"/>
      <c r="AI95" s="83"/>
      <c r="AJ95" s="125"/>
      <c r="AK95" s="83"/>
      <c r="AL95" s="125"/>
      <c r="AM95" s="83"/>
      <c r="AN95" s="125"/>
      <c r="AO95" s="83"/>
      <c r="AP95" s="125"/>
      <c r="AQ95" s="198"/>
      <c r="AR95" s="102"/>
      <c r="AS95" s="198"/>
      <c r="AT95" s="102"/>
      <c r="AU95" s="83"/>
      <c r="AV95" s="125"/>
      <c r="AW95" s="101"/>
      <c r="AX95" s="1193" t="str">
        <f t="shared" si="166"/>
        <v/>
      </c>
      <c r="AY95" s="1193"/>
      <c r="AZ95" s="1193"/>
      <c r="BA95" s="1193"/>
      <c r="BB95" s="1193"/>
      <c r="BC95" s="1193"/>
      <c r="BD95" s="1193"/>
      <c r="BE95" s="1193"/>
      <c r="BF95" s="1193"/>
      <c r="BG95" s="1193"/>
      <c r="BH95" s="1193"/>
      <c r="BI95" s="1187"/>
      <c r="BJ95" s="1187"/>
      <c r="BK95" s="1187"/>
      <c r="BL95" s="1187"/>
      <c r="BU95" s="1580"/>
      <c r="BV95" s="1580"/>
      <c r="BW95" s="1580"/>
      <c r="CA95" s="2235" t="str">
        <f t="shared" si="167"/>
        <v/>
      </c>
      <c r="CB95" s="2235" t="str">
        <f t="shared" si="168"/>
        <v/>
      </c>
      <c r="CC95" s="2235" t="str">
        <f t="shared" si="169"/>
        <v/>
      </c>
      <c r="CD95" s="2235" t="str">
        <f t="shared" si="170"/>
        <v/>
      </c>
      <c r="CE95" s="2235" t="str">
        <f t="shared" si="171"/>
        <v/>
      </c>
      <c r="CF95" s="2235" t="str">
        <f t="shared" si="199"/>
        <v/>
      </c>
      <c r="CG95" s="2235" t="str">
        <f t="shared" si="200"/>
        <v/>
      </c>
      <c r="CH95" s="2235" t="str">
        <f t="shared" si="201"/>
        <v/>
      </c>
      <c r="CI95" s="2235" t="str">
        <f t="shared" si="202"/>
        <v/>
      </c>
      <c r="CJ95" s="2235" t="str">
        <f t="shared" si="203"/>
        <v/>
      </c>
      <c r="CK95" s="2235" t="str">
        <f t="shared" si="204"/>
        <v/>
      </c>
      <c r="CL95" s="2235" t="str">
        <f t="shared" si="205"/>
        <v/>
      </c>
      <c r="CM95" s="2235" t="str">
        <f t="shared" si="206"/>
        <v/>
      </c>
      <c r="CN95" s="2235" t="str">
        <f t="shared" si="207"/>
        <v/>
      </c>
      <c r="CO95" s="2235" t="str">
        <f t="shared" si="208"/>
        <v/>
      </c>
      <c r="CP95" s="2235" t="str">
        <f t="shared" si="209"/>
        <v/>
      </c>
      <c r="CQ95" s="2235" t="str">
        <f t="shared" si="210"/>
        <v/>
      </c>
      <c r="CR95" s="2235" t="str">
        <f t="shared" si="211"/>
        <v/>
      </c>
      <c r="CS95" s="2235" t="str">
        <f t="shared" si="212"/>
        <v/>
      </c>
      <c r="CT95" s="2235" t="str">
        <f t="shared" si="213"/>
        <v/>
      </c>
      <c r="CU95" s="2235" t="str">
        <f t="shared" si="214"/>
        <v/>
      </c>
      <c r="CV95" s="2235" t="str">
        <f t="shared" si="215"/>
        <v/>
      </c>
      <c r="CW95" s="2235" t="str">
        <f t="shared" si="216"/>
        <v/>
      </c>
      <c r="CX95" s="2235" t="str">
        <f t="shared" si="217"/>
        <v/>
      </c>
      <c r="CY95" s="2235" t="str">
        <f t="shared" si="218"/>
        <v/>
      </c>
      <c r="CZ95" s="2235" t="str">
        <f t="shared" si="172"/>
        <v/>
      </c>
      <c r="DA95" s="1468">
        <f t="shared" si="173"/>
        <v>0</v>
      </c>
      <c r="DB95" s="1468">
        <f t="shared" si="174"/>
        <v>0</v>
      </c>
      <c r="DC95" s="1468">
        <f t="shared" si="175"/>
        <v>0</v>
      </c>
      <c r="DD95" s="1468">
        <f t="shared" si="176"/>
        <v>0</v>
      </c>
      <c r="DE95" s="1468">
        <f t="shared" si="177"/>
        <v>0</v>
      </c>
      <c r="DF95" s="1468">
        <f t="shared" si="178"/>
        <v>0</v>
      </c>
      <c r="DG95" s="1468">
        <f t="shared" si="179"/>
        <v>0</v>
      </c>
      <c r="DH95" s="1468">
        <f t="shared" si="180"/>
        <v>0</v>
      </c>
      <c r="DI95" s="1468">
        <f t="shared" si="181"/>
        <v>0</v>
      </c>
      <c r="DJ95" s="1468">
        <f t="shared" si="182"/>
        <v>0</v>
      </c>
      <c r="DK95" s="1468">
        <f t="shared" si="183"/>
        <v>0</v>
      </c>
      <c r="DL95" s="1468">
        <f t="shared" si="184"/>
        <v>0</v>
      </c>
      <c r="DM95" s="1468">
        <f t="shared" si="185"/>
        <v>0</v>
      </c>
      <c r="DN95" s="1468">
        <f t="shared" si="186"/>
        <v>0</v>
      </c>
      <c r="DO95" s="1468">
        <f t="shared" si="187"/>
        <v>0</v>
      </c>
      <c r="DP95" s="1468">
        <f t="shared" si="188"/>
        <v>0</v>
      </c>
      <c r="DQ95" s="1468">
        <f t="shared" si="189"/>
        <v>0</v>
      </c>
      <c r="DR95" s="1468">
        <f t="shared" si="190"/>
        <v>0</v>
      </c>
      <c r="DS95" s="1468">
        <f t="shared" si="191"/>
        <v>0</v>
      </c>
      <c r="DT95" s="1468">
        <f t="shared" si="192"/>
        <v>0</v>
      </c>
      <c r="DU95" s="1468">
        <f t="shared" si="193"/>
        <v>0</v>
      </c>
      <c r="DV95" s="1468">
        <f t="shared" si="194"/>
        <v>0</v>
      </c>
      <c r="DW95" s="1468">
        <f t="shared" si="195"/>
        <v>0</v>
      </c>
      <c r="DX95" s="1468">
        <f t="shared" si="196"/>
        <v>0</v>
      </c>
      <c r="DY95" s="1468">
        <f t="shared" si="197"/>
        <v>0</v>
      </c>
      <c r="DZ95" s="1468">
        <f t="shared" si="198"/>
        <v>0</v>
      </c>
    </row>
    <row r="96" spans="1:130" ht="31.9" customHeight="1" x14ac:dyDescent="0.25">
      <c r="A96" s="937" t="s">
        <v>2536</v>
      </c>
      <c r="B96" s="937"/>
      <c r="C96" s="937"/>
      <c r="D96" s="133"/>
      <c r="E96" s="133"/>
      <c r="F96" s="133"/>
      <c r="G96" s="133"/>
      <c r="H96" s="133"/>
      <c r="I96" s="133"/>
      <c r="J96" s="108"/>
      <c r="K96" s="108"/>
      <c r="L96" s="108"/>
      <c r="M96" s="108"/>
      <c r="N96" s="108"/>
      <c r="O96" s="108"/>
      <c r="P96" s="108"/>
      <c r="Q96" s="140"/>
      <c r="AX96" s="1187"/>
      <c r="AY96" s="1187"/>
      <c r="AZ96" s="1187"/>
      <c r="BA96" s="1187"/>
      <c r="BB96" s="1187"/>
      <c r="BC96" s="1187"/>
      <c r="BD96" s="1187"/>
      <c r="BE96" s="1187"/>
      <c r="BF96" s="1187"/>
      <c r="BG96" s="1187"/>
      <c r="BH96" s="1187"/>
      <c r="BI96" s="1187"/>
      <c r="BJ96" s="1187"/>
      <c r="BK96" s="1187"/>
      <c r="BL96" s="1187"/>
      <c r="BM96" s="1187"/>
      <c r="BT96" s="1118"/>
      <c r="BU96" s="1118"/>
      <c r="BV96" s="1580"/>
      <c r="BW96" s="1580"/>
    </row>
    <row r="97" spans="1:130" ht="31.9" customHeight="1" x14ac:dyDescent="0.25">
      <c r="A97" s="8208" t="s">
        <v>1778</v>
      </c>
      <c r="B97" s="9194" t="s">
        <v>24</v>
      </c>
      <c r="C97" s="9524"/>
      <c r="D97" s="8215" t="s">
        <v>723</v>
      </c>
      <c r="E97" s="8216"/>
      <c r="F97" s="8216"/>
      <c r="G97" s="8216"/>
      <c r="H97" s="8216"/>
      <c r="I97" s="8216"/>
      <c r="J97" s="8216"/>
      <c r="K97" s="8216"/>
      <c r="L97" s="8216"/>
      <c r="M97" s="8216"/>
      <c r="N97" s="8216"/>
      <c r="O97" s="8216"/>
      <c r="P97" s="8216"/>
      <c r="Q97" s="8216"/>
      <c r="R97" s="8216"/>
      <c r="S97" s="8216"/>
      <c r="T97" s="8216"/>
      <c r="U97" s="8216"/>
      <c r="V97" s="8216"/>
      <c r="W97" s="8216"/>
      <c r="X97" s="8216"/>
      <c r="Y97" s="8216"/>
      <c r="Z97" s="8216"/>
      <c r="AA97" s="8216"/>
      <c r="AB97" s="8216"/>
      <c r="AC97" s="8216"/>
      <c r="AD97" s="8216"/>
      <c r="AE97" s="8216"/>
      <c r="AF97" s="8216"/>
      <c r="AG97" s="8216"/>
      <c r="AH97" s="8216"/>
      <c r="AI97" s="8216"/>
      <c r="AJ97" s="8216"/>
      <c r="AK97" s="8216"/>
      <c r="AL97" s="8216"/>
      <c r="AM97" s="8216"/>
      <c r="AN97" s="8216"/>
      <c r="AO97" s="8216"/>
      <c r="AP97" s="8216"/>
      <c r="AQ97" s="9527"/>
      <c r="AR97" s="9528" t="s">
        <v>1779</v>
      </c>
      <c r="AS97" s="9529"/>
      <c r="AT97" s="9530" t="s">
        <v>711</v>
      </c>
      <c r="AU97" s="9531"/>
      <c r="AV97" s="9534" t="s">
        <v>360</v>
      </c>
      <c r="AW97" s="9536" t="s">
        <v>359</v>
      </c>
      <c r="AX97" s="1187"/>
      <c r="AY97" s="1187"/>
      <c r="AZ97" s="1187"/>
      <c r="BA97" s="1187"/>
      <c r="BB97" s="1187"/>
      <c r="BC97" s="1187"/>
      <c r="BD97" s="1187"/>
      <c r="BE97" s="1187"/>
      <c r="BF97" s="1187"/>
      <c r="BG97" s="1187"/>
      <c r="BH97" s="1187"/>
      <c r="BI97" s="1187"/>
      <c r="BJ97" s="1187"/>
      <c r="BK97" s="1187"/>
      <c r="BL97" s="1187"/>
      <c r="BU97" s="1187"/>
      <c r="BV97" s="1580"/>
      <c r="BW97" s="1580"/>
    </row>
    <row r="98" spans="1:130" ht="16.149999999999999" customHeight="1" x14ac:dyDescent="0.25">
      <c r="A98" s="8274"/>
      <c r="B98" s="9525"/>
      <c r="C98" s="9526"/>
      <c r="D98" s="8218" t="s">
        <v>722</v>
      </c>
      <c r="E98" s="9528"/>
      <c r="F98" s="8218" t="s">
        <v>721</v>
      </c>
      <c r="G98" s="9528"/>
      <c r="H98" s="8218" t="s">
        <v>720</v>
      </c>
      <c r="I98" s="8220"/>
      <c r="J98" s="9528" t="s">
        <v>1820</v>
      </c>
      <c r="K98" s="9528"/>
      <c r="L98" s="8218" t="s">
        <v>1413</v>
      </c>
      <c r="M98" s="9528"/>
      <c r="N98" s="8218" t="s">
        <v>79</v>
      </c>
      <c r="O98" s="9528"/>
      <c r="P98" s="8218" t="s">
        <v>80</v>
      </c>
      <c r="Q98" s="9528"/>
      <c r="R98" s="8218" t="s">
        <v>81</v>
      </c>
      <c r="S98" s="9528"/>
      <c r="T98" s="8218" t="s">
        <v>115</v>
      </c>
      <c r="U98" s="8220"/>
      <c r="V98" s="8218" t="s">
        <v>116</v>
      </c>
      <c r="W98" s="8220"/>
      <c r="X98" s="8218" t="s">
        <v>117</v>
      </c>
      <c r="Y98" s="8220"/>
      <c r="Z98" s="8218" t="s">
        <v>118</v>
      </c>
      <c r="AA98" s="8220"/>
      <c r="AB98" s="8218" t="s">
        <v>119</v>
      </c>
      <c r="AC98" s="8220"/>
      <c r="AD98" s="8218" t="s">
        <v>120</v>
      </c>
      <c r="AE98" s="8220"/>
      <c r="AF98" s="8218" t="s">
        <v>1412</v>
      </c>
      <c r="AG98" s="8220"/>
      <c r="AH98" s="8218" t="s">
        <v>1404</v>
      </c>
      <c r="AI98" s="8220"/>
      <c r="AJ98" s="8218" t="s">
        <v>1395</v>
      </c>
      <c r="AK98" s="8220"/>
      <c r="AL98" s="8218" t="s">
        <v>1394</v>
      </c>
      <c r="AM98" s="8220"/>
      <c r="AN98" s="8218" t="s">
        <v>1393</v>
      </c>
      <c r="AO98" s="8220"/>
      <c r="AP98" s="8218" t="s">
        <v>1403</v>
      </c>
      <c r="AQ98" s="9529"/>
      <c r="AR98" s="9537" t="s">
        <v>17</v>
      </c>
      <c r="AS98" s="9539" t="s">
        <v>18</v>
      </c>
      <c r="AT98" s="9532"/>
      <c r="AU98" s="9533"/>
      <c r="AV98" s="8166"/>
      <c r="AW98" s="8151"/>
      <c r="AX98" s="1187"/>
      <c r="AY98" s="1187"/>
      <c r="AZ98" s="1187"/>
      <c r="BA98" s="1187"/>
      <c r="BB98" s="1187"/>
      <c r="BC98" s="1187"/>
      <c r="BD98" s="1187"/>
      <c r="BE98" s="1187"/>
      <c r="BF98" s="1187"/>
      <c r="BG98" s="1187"/>
      <c r="BH98" s="1187"/>
      <c r="BI98" s="1187"/>
      <c r="BJ98" s="1187"/>
      <c r="BK98" s="1187"/>
      <c r="BL98" s="1187"/>
      <c r="BU98" s="1187"/>
    </row>
    <row r="99" spans="1:130" ht="16.149999999999999" customHeight="1" x14ac:dyDescent="0.25">
      <c r="A99" s="8209"/>
      <c r="B99" s="1122" t="s">
        <v>1780</v>
      </c>
      <c r="C99" s="935" t="s">
        <v>1781</v>
      </c>
      <c r="D99" s="1119" t="s">
        <v>1780</v>
      </c>
      <c r="E99" s="910" t="s">
        <v>1781</v>
      </c>
      <c r="F99" s="1119" t="s">
        <v>1780</v>
      </c>
      <c r="G99" s="910" t="s">
        <v>1781</v>
      </c>
      <c r="H99" s="1119" t="s">
        <v>1780</v>
      </c>
      <c r="I99" s="935" t="s">
        <v>1781</v>
      </c>
      <c r="J99" s="1122" t="s">
        <v>1780</v>
      </c>
      <c r="K99" s="910" t="s">
        <v>1781</v>
      </c>
      <c r="L99" s="1119" t="s">
        <v>1780</v>
      </c>
      <c r="M99" s="910" t="s">
        <v>1781</v>
      </c>
      <c r="N99" s="1119" t="s">
        <v>1780</v>
      </c>
      <c r="O99" s="910" t="s">
        <v>1781</v>
      </c>
      <c r="P99" s="1119" t="s">
        <v>1780</v>
      </c>
      <c r="Q99" s="910" t="s">
        <v>1781</v>
      </c>
      <c r="R99" s="1119" t="s">
        <v>1780</v>
      </c>
      <c r="S99" s="910" t="s">
        <v>1781</v>
      </c>
      <c r="T99" s="1119" t="s">
        <v>1780</v>
      </c>
      <c r="U99" s="910" t="s">
        <v>1781</v>
      </c>
      <c r="V99" s="1119" t="s">
        <v>1780</v>
      </c>
      <c r="W99" s="910" t="s">
        <v>1781</v>
      </c>
      <c r="X99" s="1119" t="s">
        <v>1780</v>
      </c>
      <c r="Y99" s="910" t="s">
        <v>1781</v>
      </c>
      <c r="Z99" s="1119" t="s">
        <v>1780</v>
      </c>
      <c r="AA99" s="910" t="s">
        <v>1781</v>
      </c>
      <c r="AB99" s="1119" t="s">
        <v>1780</v>
      </c>
      <c r="AC99" s="910" t="s">
        <v>1781</v>
      </c>
      <c r="AD99" s="1119" t="s">
        <v>1780</v>
      </c>
      <c r="AE99" s="910" t="s">
        <v>1781</v>
      </c>
      <c r="AF99" s="1119" t="s">
        <v>1780</v>
      </c>
      <c r="AG99" s="910" t="s">
        <v>1781</v>
      </c>
      <c r="AH99" s="1119" t="s">
        <v>1780</v>
      </c>
      <c r="AI99" s="910" t="s">
        <v>1781</v>
      </c>
      <c r="AJ99" s="1119" t="s">
        <v>1780</v>
      </c>
      <c r="AK99" s="910" t="s">
        <v>1781</v>
      </c>
      <c r="AL99" s="1119" t="s">
        <v>1780</v>
      </c>
      <c r="AM99" s="910" t="s">
        <v>1781</v>
      </c>
      <c r="AN99" s="1119" t="s">
        <v>1780</v>
      </c>
      <c r="AO99" s="910" t="s">
        <v>1781</v>
      </c>
      <c r="AP99" s="1119" t="s">
        <v>1780</v>
      </c>
      <c r="AQ99" s="1123" t="s">
        <v>1781</v>
      </c>
      <c r="AR99" s="9538"/>
      <c r="AS99" s="9540"/>
      <c r="AT99" s="2187" t="s">
        <v>356</v>
      </c>
      <c r="AU99" s="2113" t="s">
        <v>357</v>
      </c>
      <c r="AV99" s="9535"/>
      <c r="AW99" s="8152"/>
      <c r="AX99" s="1187"/>
      <c r="AY99" s="1187"/>
      <c r="AZ99" s="1187"/>
      <c r="BA99" s="1187"/>
      <c r="BB99" s="1187"/>
      <c r="BC99" s="1187"/>
      <c r="BD99" s="1187"/>
      <c r="BE99" s="1187"/>
      <c r="BF99" s="1187"/>
      <c r="BG99" s="1187"/>
      <c r="BH99" s="1187"/>
      <c r="BI99" s="1187"/>
      <c r="BJ99" s="1187"/>
      <c r="BK99" s="1187"/>
      <c r="BL99" s="1187"/>
      <c r="BU99" s="1187"/>
    </row>
    <row r="100" spans="1:130" ht="16.149999999999999" customHeight="1" x14ac:dyDescent="0.25">
      <c r="A100" s="2071" t="s">
        <v>1782</v>
      </c>
      <c r="B100" s="2036">
        <f t="shared" ref="B100:C107" si="220">+N100+P100+R100+T100+V100+X100+Z100+AB100+AD100+AF100+AH100+AJ100+AL100+AN100+AP100</f>
        <v>0</v>
      </c>
      <c r="C100" s="2083">
        <f t="shared" si="220"/>
        <v>0</v>
      </c>
      <c r="D100" s="1125"/>
      <c r="E100" s="1126"/>
      <c r="F100" s="1127"/>
      <c r="G100" s="1126"/>
      <c r="H100" s="1127"/>
      <c r="I100" s="1126"/>
      <c r="J100" s="1127"/>
      <c r="K100" s="1126"/>
      <c r="L100" s="1127"/>
      <c r="M100" s="1128"/>
      <c r="N100" s="1129"/>
      <c r="O100" s="1130"/>
      <c r="P100" s="1109"/>
      <c r="Q100" s="1130"/>
      <c r="R100" s="1109"/>
      <c r="S100" s="1130"/>
      <c r="T100" s="1109"/>
      <c r="U100" s="1130"/>
      <c r="V100" s="1109"/>
      <c r="W100" s="1130"/>
      <c r="X100" s="1109"/>
      <c r="Y100" s="1130"/>
      <c r="Z100" s="1109"/>
      <c r="AA100" s="1130"/>
      <c r="AB100" s="1109"/>
      <c r="AC100" s="1130"/>
      <c r="AD100" s="1109"/>
      <c r="AE100" s="1130"/>
      <c r="AF100" s="1109"/>
      <c r="AG100" s="1130"/>
      <c r="AH100" s="1109"/>
      <c r="AI100" s="1130"/>
      <c r="AJ100" s="1109"/>
      <c r="AK100" s="1130"/>
      <c r="AL100" s="1109"/>
      <c r="AM100" s="1130"/>
      <c r="AN100" s="1109"/>
      <c r="AO100" s="1130"/>
      <c r="AP100" s="1109"/>
      <c r="AQ100" s="1131"/>
      <c r="AR100" s="1132"/>
      <c r="AS100" s="1131"/>
      <c r="AT100" s="1129"/>
      <c r="AU100" s="1130"/>
      <c r="AV100" s="1109"/>
      <c r="AW100" s="1113"/>
      <c r="AX100" s="1193" t="str">
        <f t="shared" ref="AX100:AX117" si="221">$CA100&amp;$CB100&amp;$CC100&amp;$CD100&amp;$CE100&amp;$CF100&amp;$CG100&amp;$CH100&amp;$CI100&amp;$CJ100&amp;$CK100&amp;$CL100&amp;$CM100&amp;$CN100&amp;$CO100&amp;$CP100&amp;$CQ100&amp;$CR100&amp;$CS100&amp;$CT100&amp;$CU100&amp;$CV100&amp;$CW100&amp;$CX100&amp;$CY100&amp;$CZ100</f>
        <v/>
      </c>
      <c r="AY100" s="1193"/>
      <c r="AZ100" s="1193"/>
      <c r="BA100" s="1193"/>
      <c r="BB100" s="1193"/>
      <c r="BC100" s="1193"/>
      <c r="BD100" s="1193"/>
      <c r="BE100" s="1193"/>
      <c r="BF100" s="1193"/>
      <c r="BG100" s="1193"/>
      <c r="BH100" s="1193"/>
      <c r="BI100" s="1187"/>
      <c r="BJ100" s="1187"/>
      <c r="BK100" s="1187"/>
      <c r="BL100" s="1187"/>
      <c r="BU100" s="1187"/>
      <c r="BW100" s="1580"/>
      <c r="CA100" s="2235" t="str">
        <f t="shared" ref="CA100:CA117" si="222">IF(B100&lt;C100,"* El total de Reactivos NO DEBE ser superior al total de Procesados. ","")</f>
        <v/>
      </c>
      <c r="CB100" s="2235" t="str">
        <f t="shared" ref="CB100:CB117" si="223">IF(B100&lt;&gt;(AR100+ AS100),"* La suma de las columnas Sexo DEBE SER IGUAL a los Procesados. ","")</f>
        <v/>
      </c>
      <c r="CC100" s="2235" t="str">
        <f t="shared" ref="CC100:CC117" si="224">IF(B100&lt;(AT100+ AU100),"* La suma de las columna Trans NO DEBE ser superior al total de Procesados. ","")</f>
        <v/>
      </c>
      <c r="CD100" s="2235" t="str">
        <f t="shared" ref="CD100:CD117" si="225">IF(B100&lt;AV100,"* La columna Pueblos Originarios NO DEBE ser superior al total de Procesados. ","")</f>
        <v/>
      </c>
      <c r="CE100" s="2235" t="str">
        <f t="shared" ref="CE100:CE117" si="226">IF(B100&lt;AW100,"* La columna Migrantes NO DEBE ser superior al total de Procesados. ","")</f>
        <v/>
      </c>
      <c r="CF100" s="2235" t="str">
        <f>IF(D100&lt;E100,CONCATENATE("* El total de procesados debe ser mayor o igual al total de Reactivos en el grupo de edad ",$D$98),"")</f>
        <v/>
      </c>
      <c r="CG100" s="2235" t="str">
        <f>IF(F100&lt;G100,CONCATENATE("* El total de procesados debe ser mayor o igual al total de Reactivos en el grupo de edad ",$F$98),"")</f>
        <v/>
      </c>
      <c r="CH100" s="2235" t="str">
        <f>IF(H100&lt;I100,CONCATENATE("* El total de procesados debe ser mayor o igual al total de Reactivos en el grupo de edad ",$H$98),"")</f>
        <v/>
      </c>
      <c r="CI100" s="2235" t="str">
        <f>IF(J100&lt;K100,CONCATENATE("* El total de procesados debe ser mayor o igual al total de Reactivos en el grupo de edad ",$J$98),"")</f>
        <v/>
      </c>
      <c r="CJ100" s="2235" t="str">
        <f>IF(L100&lt;M100,CONCATENATE("* El total de procesados debe ser mayor o igual al total de Reactivos en el grupo de edad ",$L$98),"")</f>
        <v/>
      </c>
      <c r="CK100" s="2235" t="str">
        <f>IF(N100&lt;O100,CONCATENATE("* El total de procesados debe ser mayor o igual al total de Reactivos en el grupo de edad ",$N$98),"")</f>
        <v/>
      </c>
      <c r="CL100" s="2235" t="str">
        <f>IF(P100&lt;Q100,CONCATENATE("* El total de procesados debe ser mayor o igual al total de Reactivos en el grupo de edad ",$P$98),"")</f>
        <v/>
      </c>
      <c r="CM100" s="2235" t="str">
        <f>IF(R100&lt;S100,CONCATENATE("* El total de procesados debe ser mayor o igual al total de Reactivos en el grupo de edad ",$R$98),"")</f>
        <v/>
      </c>
      <c r="CN100" s="2235" t="str">
        <f>IF(T100&lt;U100,CONCATENATE("* El total de procesados debe ser mayor o igual al total de Reactivos en el grupo de edad ",$T$98),"")</f>
        <v/>
      </c>
      <c r="CO100" s="2235" t="str">
        <f>IF(V100&lt;W100,CONCATENATE("* El total de procesados debe ser mayor o igual al total de Reactivos en el grupo de edad ",$V$98),"")</f>
        <v/>
      </c>
      <c r="CP100" s="2235" t="str">
        <f>IF(X100&lt;Y100,CONCATENATE("* El total de procesados debe ser mayor o igual al total de Reactivos en el grupo de edad ",$X$98),"")</f>
        <v/>
      </c>
      <c r="CQ100" s="2235" t="str">
        <f>IF(Z100&lt;AA100,CONCATENATE("* El total de procesados debe ser mayor o igual al total de Reactivos en el grupo de edad ",$Z$98),"")</f>
        <v/>
      </c>
      <c r="CR100" s="2235" t="str">
        <f>IF(AB100&lt;AC100,CONCATENATE("* El total de procesados debe ser mayor o igual al total de Reactivos en el grupo de edad ",$AB$98),"")</f>
        <v/>
      </c>
      <c r="CS100" s="2235" t="str">
        <f>IF(AD100&lt;AE100,CONCATENATE("* El total de procesados debe ser mayor o igual al total de Reactivos en el grupo de edad ",$AD$98),"")</f>
        <v/>
      </c>
      <c r="CT100" s="2235" t="str">
        <f>IF(AF100&lt;AG100,CONCATENATE("* El total de procesados debe ser mayor o igual al total de Reactivos en el grupo de edad ",$AF$98),"")</f>
        <v/>
      </c>
      <c r="CU100" s="2235" t="str">
        <f>IF(AH100&lt;AI100,CONCATENATE("* El total de procesados debe ser mayor o igual al total de Reactivos en el grupo de edad ",$AH$98),"")</f>
        <v/>
      </c>
      <c r="CV100" s="2235" t="str">
        <f>IF(AJ100&lt;AK100,CONCATENATE("* El total de procesados debe ser mayor o igual al total de Reactivos en el grupo de edad ",$AJ$98),"")</f>
        <v/>
      </c>
      <c r="CW100" s="2235" t="str">
        <f>IF(AL100&lt;AM100,CONCATENATE("* El total de procesados debe ser mayor o igual al total de Reactivos en el grupo de edad ",$AL$98),"")</f>
        <v/>
      </c>
      <c r="CX100" s="2235" t="str">
        <f>IF(AN100&lt;AO100,CONCATENATE("* El total de procesados debe ser mayor o igual al total de Reactivos en el grupo de edad ",$AN$98),"")</f>
        <v/>
      </c>
      <c r="CY100" s="2235" t="str">
        <f>IF(AP100&lt;AQ100,CONCATENATE("* El total de procesados debe ser mayor o igual al total de Reactivos en el grupo de edad ",$AP$98),"")</f>
        <v/>
      </c>
      <c r="CZ100" s="2235" t="str">
        <f t="shared" ref="CZ100:CZ117" si="227">IF(AND(B100&lt;&gt;0,OR(AT100="",AU100="",AV100="",AW100="")),"* No olvide digitar la columna Trans y/o Pueblos Originarios y/o Migrantes (Digite Cero si no tiene). ","")</f>
        <v/>
      </c>
      <c r="DA100" s="1468">
        <f t="shared" ref="DA100:DA117" si="228">IF(B100&lt;   C100,1,0)</f>
        <v>0</v>
      </c>
      <c r="DB100" s="1468">
        <f t="shared" ref="DB100:DB117" si="229">IF(B100&lt;&gt; AR100+AS100,1,0)</f>
        <v>0</v>
      </c>
      <c r="DC100" s="1468">
        <f t="shared" ref="DC100:DC117" si="230">IF(B100&lt;  AT100+AU100,1,0)</f>
        <v>0</v>
      </c>
      <c r="DD100" s="1468">
        <f t="shared" ref="DD100:DD117" si="231">IF(B100&lt;  AV100,1,0)</f>
        <v>0</v>
      </c>
      <c r="DE100" s="1468">
        <f t="shared" ref="DE100:DE117" si="232">IF(B100&lt;  AW100,1,0)</f>
        <v>0</v>
      </c>
      <c r="DF100" s="1468">
        <f t="shared" ref="DF100:DF117" si="233">IF(D100&lt;E100,1,0)</f>
        <v>0</v>
      </c>
      <c r="DG100" s="1468">
        <f t="shared" ref="DG100:DG117" si="234">IF(F100&lt;G100,1,0)</f>
        <v>0</v>
      </c>
      <c r="DH100" s="1468">
        <f t="shared" ref="DH100:DH117" si="235">IF(H100&lt;I100,1,0)</f>
        <v>0</v>
      </c>
      <c r="DI100" s="1468">
        <f t="shared" ref="DI100:DI117" si="236">IF(J100&lt;K100,1,0)</f>
        <v>0</v>
      </c>
      <c r="DJ100" s="1468">
        <f t="shared" ref="DJ100:DJ117" si="237">IF(L100&lt;M100,1,0)</f>
        <v>0</v>
      </c>
      <c r="DK100" s="1468">
        <f t="shared" ref="DK100:DK117" si="238">IF(N100&lt;O100,1,0)</f>
        <v>0</v>
      </c>
      <c r="DL100" s="1468">
        <f t="shared" ref="DL100:DL117" si="239">IF(P100&lt;Q100,1,0)</f>
        <v>0</v>
      </c>
      <c r="DM100" s="1468">
        <f t="shared" ref="DM100:DM117" si="240">IF(R100&lt;S100,1,0)</f>
        <v>0</v>
      </c>
      <c r="DN100" s="1468">
        <f t="shared" ref="DN100:DN117" si="241">IF(T100&lt;U100,1,0)</f>
        <v>0</v>
      </c>
      <c r="DO100" s="1468">
        <f t="shared" ref="DO100:DO117" si="242">IF(V100&lt;W100,1,0)</f>
        <v>0</v>
      </c>
      <c r="DP100" s="1468">
        <f t="shared" ref="DP100:DP117" si="243">IF(X100&lt;Y100,1,0)</f>
        <v>0</v>
      </c>
      <c r="DQ100" s="1468">
        <f t="shared" ref="DQ100:DQ117" si="244">IF(Z100&lt;AA100,1,0)</f>
        <v>0</v>
      </c>
      <c r="DR100" s="1468">
        <f t="shared" ref="DR100:DR117" si="245">IF(AB100&lt;AC100,1,0)</f>
        <v>0</v>
      </c>
      <c r="DS100" s="1468">
        <f t="shared" ref="DS100:DS117" si="246">IF(AD100&lt;AE100,1,0)</f>
        <v>0</v>
      </c>
      <c r="DT100" s="1468">
        <f t="shared" ref="DT100:DT117" si="247">IF(AF100&lt;AG100,1,0)</f>
        <v>0</v>
      </c>
      <c r="DU100" s="1468">
        <f t="shared" ref="DU100:DU117" si="248">IF(AH100&lt;AI100,1,0)</f>
        <v>0</v>
      </c>
      <c r="DV100" s="1468">
        <f t="shared" ref="DV100:DV117" si="249">IF(AJ100&lt;AK100,1,0)</f>
        <v>0</v>
      </c>
      <c r="DW100" s="1468">
        <f t="shared" ref="DW100:DW117" si="250">IF(AL100&lt;AM100,1,0)</f>
        <v>0</v>
      </c>
      <c r="DX100" s="1468">
        <f t="shared" ref="DX100:DX117" si="251">IF(AN100&lt;AO100,1,0)</f>
        <v>0</v>
      </c>
      <c r="DY100" s="1468">
        <f t="shared" ref="DY100:DY117" si="252">IF(AP100&lt;AQ100,1,0)</f>
        <v>0</v>
      </c>
      <c r="DZ100" s="1468">
        <f t="shared" ref="DZ100:DZ117" si="253">IF(AND(B100&lt;&gt;0,OR(AT100="",AU100="",AV100="",AW100="")),1,0)</f>
        <v>0</v>
      </c>
    </row>
    <row r="101" spans="1:130" ht="16.149999999999999" customHeight="1" x14ac:dyDescent="0.25">
      <c r="A101" s="2040" t="s">
        <v>1783</v>
      </c>
      <c r="B101" s="2038">
        <f t="shared" si="220"/>
        <v>0</v>
      </c>
      <c r="C101" s="2084">
        <f t="shared" si="220"/>
        <v>0</v>
      </c>
      <c r="D101" s="1125"/>
      <c r="E101" s="1126"/>
      <c r="F101" s="1127"/>
      <c r="G101" s="1126"/>
      <c r="H101" s="1127"/>
      <c r="I101" s="1126"/>
      <c r="J101" s="1127"/>
      <c r="K101" s="1126"/>
      <c r="L101" s="1127"/>
      <c r="M101" s="1128"/>
      <c r="N101" s="1129"/>
      <c r="O101" s="1130"/>
      <c r="P101" s="1109"/>
      <c r="Q101" s="1130"/>
      <c r="R101" s="1109"/>
      <c r="S101" s="1130"/>
      <c r="T101" s="1109"/>
      <c r="U101" s="1130"/>
      <c r="V101" s="1109"/>
      <c r="W101" s="1130"/>
      <c r="X101" s="1109"/>
      <c r="Y101" s="1130"/>
      <c r="Z101" s="1109"/>
      <c r="AA101" s="1130"/>
      <c r="AB101" s="1109"/>
      <c r="AC101" s="1130"/>
      <c r="AD101" s="1109"/>
      <c r="AE101" s="1130"/>
      <c r="AF101" s="1109"/>
      <c r="AG101" s="1130"/>
      <c r="AH101" s="1109"/>
      <c r="AI101" s="1130"/>
      <c r="AJ101" s="1109"/>
      <c r="AK101" s="1130"/>
      <c r="AL101" s="1109"/>
      <c r="AM101" s="1130"/>
      <c r="AN101" s="1109"/>
      <c r="AO101" s="1130"/>
      <c r="AP101" s="1109"/>
      <c r="AQ101" s="1131"/>
      <c r="AR101" s="1132"/>
      <c r="AS101" s="1131"/>
      <c r="AT101" s="1129"/>
      <c r="AU101" s="1130"/>
      <c r="AV101" s="1109"/>
      <c r="AW101" s="1113"/>
      <c r="AX101" s="1193" t="str">
        <f t="shared" si="221"/>
        <v/>
      </c>
      <c r="AY101" s="1193"/>
      <c r="AZ101" s="1193"/>
      <c r="BA101" s="1193"/>
      <c r="BB101" s="1193"/>
      <c r="BC101" s="1193"/>
      <c r="BD101" s="1193"/>
      <c r="BE101" s="1193"/>
      <c r="BF101" s="1193"/>
      <c r="BG101" s="1193"/>
      <c r="BH101" s="1193"/>
      <c r="BI101" s="1187"/>
      <c r="BJ101" s="1187"/>
      <c r="BK101" s="1187"/>
      <c r="BL101" s="1187"/>
      <c r="BU101" s="1187"/>
      <c r="BW101" s="1580"/>
      <c r="CA101" s="2235" t="str">
        <f t="shared" si="222"/>
        <v/>
      </c>
      <c r="CB101" s="2235" t="str">
        <f t="shared" si="223"/>
        <v/>
      </c>
      <c r="CC101" s="2235" t="str">
        <f t="shared" si="224"/>
        <v/>
      </c>
      <c r="CD101" s="2235" t="str">
        <f t="shared" si="225"/>
        <v/>
      </c>
      <c r="CE101" s="2235" t="str">
        <f t="shared" si="226"/>
        <v/>
      </c>
      <c r="CF101" s="2235" t="str">
        <f t="shared" ref="CF101:CF117" si="254">IF(D101&lt;E101,CONCATENATE("* El total de procesados debe ser mayor o igual al total de Reactivos en el grupo de edad ",$D$98),"")</f>
        <v/>
      </c>
      <c r="CG101" s="2235" t="str">
        <f t="shared" ref="CG101:CG117" si="255">IF(F101&lt;G101,CONCATENATE("* El total de procesados debe ser mayor o igual al total de Reactivos en el grupo de edad ",$F$98),"")</f>
        <v/>
      </c>
      <c r="CH101" s="2235" t="str">
        <f t="shared" ref="CH101:CH117" si="256">IF(H101&lt;I101,CONCATENATE("* El total de procesados debe ser mayor o igual al total de Reactivos en el grupo de edad ",$H$98),"")</f>
        <v/>
      </c>
      <c r="CI101" s="2235" t="str">
        <f t="shared" ref="CI101:CI117" si="257">IF(J101&lt;K101,CONCATENATE("* El total de procesados debe ser mayor o igual al total de Reactivos en el grupo de edad ",$J$98),"")</f>
        <v/>
      </c>
      <c r="CJ101" s="2235" t="str">
        <f t="shared" ref="CJ101:CJ117" si="258">IF(L101&lt;M101,CONCATENATE("* El total de procesados debe ser mayor o igual al total de Reactivos en el grupo de edad ",$L$98),"")</f>
        <v/>
      </c>
      <c r="CK101" s="2235" t="str">
        <f t="shared" ref="CK101:CK117" si="259">IF(N101&lt;O101,CONCATENATE("* El total de procesados debe ser mayor o igual al total de Reactivos en el grupo de edad ",$N$98),"")</f>
        <v/>
      </c>
      <c r="CL101" s="2235" t="str">
        <f t="shared" ref="CL101:CL117" si="260">IF(P101&lt;Q101,CONCATENATE("* El total de procesados debe ser mayor o igual al total de Reactivos en el grupo de edad ",$P$98),"")</f>
        <v/>
      </c>
      <c r="CM101" s="2235" t="str">
        <f t="shared" ref="CM101:CM117" si="261">IF(R101&lt;S101,CONCATENATE("* El total de procesados debe ser mayor o igual al total de Reactivos en el grupo de edad ",$R$98),"")</f>
        <v/>
      </c>
      <c r="CN101" s="2235" t="str">
        <f t="shared" ref="CN101:CN117" si="262">IF(T101&lt;U101,CONCATENATE("* El total de procesados debe ser mayor o igual al total de Reactivos en el grupo de edad ",$T$98),"")</f>
        <v/>
      </c>
      <c r="CO101" s="2235" t="str">
        <f t="shared" ref="CO101:CO117" si="263">IF(V101&lt;W101,CONCATENATE("* El total de procesados debe ser mayor o igual al total de Reactivos en el grupo de edad ",$V$98),"")</f>
        <v/>
      </c>
      <c r="CP101" s="2235" t="str">
        <f t="shared" ref="CP101:CP117" si="264">IF(X101&lt;Y101,CONCATENATE("* El total de procesados debe ser mayor o igual al total de Reactivos en el grupo de edad ",$X$98),"")</f>
        <v/>
      </c>
      <c r="CQ101" s="2235" t="str">
        <f t="shared" ref="CQ101:CQ117" si="265">IF(Z101&lt;AA101,CONCATENATE("* El total de procesados debe ser mayor o igual al total de Reactivos en el grupo de edad ",$Z$98),"")</f>
        <v/>
      </c>
      <c r="CR101" s="2235" t="str">
        <f t="shared" ref="CR101:CR117" si="266">IF(AB101&lt;AC101,CONCATENATE("* El total de procesados debe ser mayor o igual al total de Reactivos en el grupo de edad ",$AB$98),"")</f>
        <v/>
      </c>
      <c r="CS101" s="2235" t="str">
        <f t="shared" ref="CS101:CS117" si="267">IF(AD101&lt;AE101,CONCATENATE("* El total de procesados debe ser mayor o igual al total de Reactivos en el grupo de edad ",$AD$98),"")</f>
        <v/>
      </c>
      <c r="CT101" s="2235" t="str">
        <f t="shared" ref="CT101:CT117" si="268">IF(AF101&lt;AG101,CONCATENATE("* El total de procesados debe ser mayor o igual al total de Reactivos en el grupo de edad ",$AF$98),"")</f>
        <v/>
      </c>
      <c r="CU101" s="2235" t="str">
        <f t="shared" ref="CU101:CU117" si="269">IF(AH101&lt;AI101,CONCATENATE("* El total de procesados debe ser mayor o igual al total de Reactivos en el grupo de edad ",$AH$98),"")</f>
        <v/>
      </c>
      <c r="CV101" s="2235" t="str">
        <f t="shared" ref="CV101:CV117" si="270">IF(AJ101&lt;AK101,CONCATENATE("* El total de procesados debe ser mayor o igual al total de Reactivos en el grupo de edad ",$AJ$98),"")</f>
        <v/>
      </c>
      <c r="CW101" s="2235" t="str">
        <f t="shared" ref="CW101:CW117" si="271">IF(AL101&lt;AM101,CONCATENATE("* El total de procesados debe ser mayor o igual al total de Reactivos en el grupo de edad ",$AL$98),"")</f>
        <v/>
      </c>
      <c r="CX101" s="2235" t="str">
        <f t="shared" ref="CX101:CX117" si="272">IF(AN101&lt;AO101,CONCATENATE("* El total de procesados debe ser mayor o igual al total de Reactivos en el grupo de edad ",$AN$98),"")</f>
        <v/>
      </c>
      <c r="CY101" s="2235" t="str">
        <f t="shared" ref="CY101:CY117" si="273">IF(AP101&lt;AQ101,CONCATENATE("* El total de procesados debe ser mayor o igual al total de Reactivos en el grupo de edad ",$AP$98),"")</f>
        <v/>
      </c>
      <c r="CZ101" s="2235" t="str">
        <f t="shared" si="227"/>
        <v/>
      </c>
      <c r="DA101" s="1468">
        <f t="shared" si="228"/>
        <v>0</v>
      </c>
      <c r="DB101" s="1468">
        <f t="shared" si="229"/>
        <v>0</v>
      </c>
      <c r="DC101" s="1468">
        <f t="shared" si="230"/>
        <v>0</v>
      </c>
      <c r="DD101" s="1468">
        <f t="shared" si="231"/>
        <v>0</v>
      </c>
      <c r="DE101" s="1468">
        <f t="shared" si="232"/>
        <v>0</v>
      </c>
      <c r="DF101" s="1468">
        <f t="shared" si="233"/>
        <v>0</v>
      </c>
      <c r="DG101" s="1468">
        <f t="shared" si="234"/>
        <v>0</v>
      </c>
      <c r="DH101" s="1468">
        <f t="shared" si="235"/>
        <v>0</v>
      </c>
      <c r="DI101" s="1468">
        <f t="shared" si="236"/>
        <v>0</v>
      </c>
      <c r="DJ101" s="1468">
        <f t="shared" si="237"/>
        <v>0</v>
      </c>
      <c r="DK101" s="1468">
        <f t="shared" si="238"/>
        <v>0</v>
      </c>
      <c r="DL101" s="1468">
        <f t="shared" si="239"/>
        <v>0</v>
      </c>
      <c r="DM101" s="1468">
        <f t="shared" si="240"/>
        <v>0</v>
      </c>
      <c r="DN101" s="1468">
        <f t="shared" si="241"/>
        <v>0</v>
      </c>
      <c r="DO101" s="1468">
        <f t="shared" si="242"/>
        <v>0</v>
      </c>
      <c r="DP101" s="1468">
        <f t="shared" si="243"/>
        <v>0</v>
      </c>
      <c r="DQ101" s="1468">
        <f t="shared" si="244"/>
        <v>0</v>
      </c>
      <c r="DR101" s="1468">
        <f t="shared" si="245"/>
        <v>0</v>
      </c>
      <c r="DS101" s="1468">
        <f t="shared" si="246"/>
        <v>0</v>
      </c>
      <c r="DT101" s="1468">
        <f t="shared" si="247"/>
        <v>0</v>
      </c>
      <c r="DU101" s="1468">
        <f t="shared" si="248"/>
        <v>0</v>
      </c>
      <c r="DV101" s="1468">
        <f t="shared" si="249"/>
        <v>0</v>
      </c>
      <c r="DW101" s="1468">
        <f t="shared" si="250"/>
        <v>0</v>
      </c>
      <c r="DX101" s="1468">
        <f t="shared" si="251"/>
        <v>0</v>
      </c>
      <c r="DY101" s="1468">
        <f t="shared" si="252"/>
        <v>0</v>
      </c>
      <c r="DZ101" s="1468">
        <f t="shared" si="253"/>
        <v>0</v>
      </c>
    </row>
    <row r="102" spans="1:130" ht="16.149999999999999" customHeight="1" x14ac:dyDescent="0.25">
      <c r="A102" s="2040" t="s">
        <v>1784</v>
      </c>
      <c r="B102" s="2038">
        <f t="shared" si="220"/>
        <v>0</v>
      </c>
      <c r="C102" s="2084">
        <f t="shared" si="220"/>
        <v>0</v>
      </c>
      <c r="D102" s="1125"/>
      <c r="E102" s="1126"/>
      <c r="F102" s="1127"/>
      <c r="G102" s="1126"/>
      <c r="H102" s="1127"/>
      <c r="I102" s="1126"/>
      <c r="J102" s="1127"/>
      <c r="K102" s="1126"/>
      <c r="L102" s="1127"/>
      <c r="M102" s="1128"/>
      <c r="N102" s="1129"/>
      <c r="O102" s="1130"/>
      <c r="P102" s="1109"/>
      <c r="Q102" s="1130"/>
      <c r="R102" s="1109"/>
      <c r="S102" s="1130"/>
      <c r="T102" s="1109"/>
      <c r="U102" s="1130"/>
      <c r="V102" s="1109"/>
      <c r="W102" s="1130"/>
      <c r="X102" s="1109"/>
      <c r="Y102" s="1130"/>
      <c r="Z102" s="1109"/>
      <c r="AA102" s="1130"/>
      <c r="AB102" s="1109"/>
      <c r="AC102" s="1130"/>
      <c r="AD102" s="1109"/>
      <c r="AE102" s="1130"/>
      <c r="AF102" s="1109"/>
      <c r="AG102" s="1130"/>
      <c r="AH102" s="1109"/>
      <c r="AI102" s="1130"/>
      <c r="AJ102" s="1109"/>
      <c r="AK102" s="1130"/>
      <c r="AL102" s="1109"/>
      <c r="AM102" s="1130"/>
      <c r="AN102" s="1109"/>
      <c r="AO102" s="1130"/>
      <c r="AP102" s="1109"/>
      <c r="AQ102" s="1131"/>
      <c r="AR102" s="1132"/>
      <c r="AS102" s="1131"/>
      <c r="AT102" s="1129"/>
      <c r="AU102" s="1130"/>
      <c r="AV102" s="1109"/>
      <c r="AW102" s="1113"/>
      <c r="AX102" s="1193" t="str">
        <f t="shared" si="221"/>
        <v/>
      </c>
      <c r="AY102" s="1193"/>
      <c r="AZ102" s="1193"/>
      <c r="BA102" s="1193"/>
      <c r="BB102" s="1193"/>
      <c r="BC102" s="1193"/>
      <c r="BD102" s="1193"/>
      <c r="BE102" s="1193"/>
      <c r="BF102" s="1193"/>
      <c r="BG102" s="1193"/>
      <c r="BH102" s="1193"/>
      <c r="BI102" s="1187"/>
      <c r="BJ102" s="1187"/>
      <c r="BK102" s="1187"/>
      <c r="BL102" s="1187"/>
      <c r="BU102" s="1187"/>
      <c r="BW102" s="1580"/>
      <c r="CA102" s="2235" t="str">
        <f t="shared" si="222"/>
        <v/>
      </c>
      <c r="CB102" s="2235" t="str">
        <f t="shared" si="223"/>
        <v/>
      </c>
      <c r="CC102" s="2235" t="str">
        <f t="shared" si="224"/>
        <v/>
      </c>
      <c r="CD102" s="2235" t="str">
        <f t="shared" si="225"/>
        <v/>
      </c>
      <c r="CE102" s="2235" t="str">
        <f t="shared" si="226"/>
        <v/>
      </c>
      <c r="CF102" s="2235" t="str">
        <f t="shared" si="254"/>
        <v/>
      </c>
      <c r="CG102" s="2235" t="str">
        <f t="shared" si="255"/>
        <v/>
      </c>
      <c r="CH102" s="2235" t="str">
        <f t="shared" si="256"/>
        <v/>
      </c>
      <c r="CI102" s="2235" t="str">
        <f t="shared" si="257"/>
        <v/>
      </c>
      <c r="CJ102" s="2235" t="str">
        <f t="shared" si="258"/>
        <v/>
      </c>
      <c r="CK102" s="2235" t="str">
        <f t="shared" si="259"/>
        <v/>
      </c>
      <c r="CL102" s="2235" t="str">
        <f t="shared" si="260"/>
        <v/>
      </c>
      <c r="CM102" s="2235" t="str">
        <f t="shared" si="261"/>
        <v/>
      </c>
      <c r="CN102" s="2235" t="str">
        <f t="shared" si="262"/>
        <v/>
      </c>
      <c r="CO102" s="2235" t="str">
        <f t="shared" si="263"/>
        <v/>
      </c>
      <c r="CP102" s="2235" t="str">
        <f t="shared" si="264"/>
        <v/>
      </c>
      <c r="CQ102" s="2235" t="str">
        <f t="shared" si="265"/>
        <v/>
      </c>
      <c r="CR102" s="2235" t="str">
        <f t="shared" si="266"/>
        <v/>
      </c>
      <c r="CS102" s="2235" t="str">
        <f t="shared" si="267"/>
        <v/>
      </c>
      <c r="CT102" s="2235" t="str">
        <f t="shared" si="268"/>
        <v/>
      </c>
      <c r="CU102" s="2235" t="str">
        <f t="shared" si="269"/>
        <v/>
      </c>
      <c r="CV102" s="2235" t="str">
        <f t="shared" si="270"/>
        <v/>
      </c>
      <c r="CW102" s="2235" t="str">
        <f t="shared" si="271"/>
        <v/>
      </c>
      <c r="CX102" s="2235" t="str">
        <f t="shared" si="272"/>
        <v/>
      </c>
      <c r="CY102" s="2235" t="str">
        <f t="shared" si="273"/>
        <v/>
      </c>
      <c r="CZ102" s="2235" t="str">
        <f t="shared" si="227"/>
        <v/>
      </c>
      <c r="DA102" s="1468">
        <f t="shared" si="228"/>
        <v>0</v>
      </c>
      <c r="DB102" s="1468">
        <f t="shared" si="229"/>
        <v>0</v>
      </c>
      <c r="DC102" s="1468">
        <f t="shared" si="230"/>
        <v>0</v>
      </c>
      <c r="DD102" s="1468">
        <f t="shared" si="231"/>
        <v>0</v>
      </c>
      <c r="DE102" s="1468">
        <f t="shared" si="232"/>
        <v>0</v>
      </c>
      <c r="DF102" s="1468">
        <f t="shared" si="233"/>
        <v>0</v>
      </c>
      <c r="DG102" s="1468">
        <f t="shared" si="234"/>
        <v>0</v>
      </c>
      <c r="DH102" s="1468">
        <f t="shared" si="235"/>
        <v>0</v>
      </c>
      <c r="DI102" s="1468">
        <f t="shared" si="236"/>
        <v>0</v>
      </c>
      <c r="DJ102" s="1468">
        <f t="shared" si="237"/>
        <v>0</v>
      </c>
      <c r="DK102" s="1468">
        <f t="shared" si="238"/>
        <v>0</v>
      </c>
      <c r="DL102" s="1468">
        <f t="shared" si="239"/>
        <v>0</v>
      </c>
      <c r="DM102" s="1468">
        <f t="shared" si="240"/>
        <v>0</v>
      </c>
      <c r="DN102" s="1468">
        <f t="shared" si="241"/>
        <v>0</v>
      </c>
      <c r="DO102" s="1468">
        <f t="shared" si="242"/>
        <v>0</v>
      </c>
      <c r="DP102" s="1468">
        <f t="shared" si="243"/>
        <v>0</v>
      </c>
      <c r="DQ102" s="1468">
        <f t="shared" si="244"/>
        <v>0</v>
      </c>
      <c r="DR102" s="1468">
        <f t="shared" si="245"/>
        <v>0</v>
      </c>
      <c r="DS102" s="1468">
        <f t="shared" si="246"/>
        <v>0</v>
      </c>
      <c r="DT102" s="1468">
        <f t="shared" si="247"/>
        <v>0</v>
      </c>
      <c r="DU102" s="1468">
        <f t="shared" si="248"/>
        <v>0</v>
      </c>
      <c r="DV102" s="1468">
        <f t="shared" si="249"/>
        <v>0</v>
      </c>
      <c r="DW102" s="1468">
        <f t="shared" si="250"/>
        <v>0</v>
      </c>
      <c r="DX102" s="1468">
        <f t="shared" si="251"/>
        <v>0</v>
      </c>
      <c r="DY102" s="1468">
        <f t="shared" si="252"/>
        <v>0</v>
      </c>
      <c r="DZ102" s="1468">
        <f t="shared" si="253"/>
        <v>0</v>
      </c>
    </row>
    <row r="103" spans="1:130" ht="16.149999999999999" customHeight="1" x14ac:dyDescent="0.25">
      <c r="A103" s="2040" t="s">
        <v>1785</v>
      </c>
      <c r="B103" s="2038">
        <f t="shared" si="220"/>
        <v>0</v>
      </c>
      <c r="C103" s="2084">
        <f t="shared" si="220"/>
        <v>0</v>
      </c>
      <c r="D103" s="1125"/>
      <c r="E103" s="1126"/>
      <c r="F103" s="1127"/>
      <c r="G103" s="1126"/>
      <c r="H103" s="1127"/>
      <c r="I103" s="1126"/>
      <c r="J103" s="1127"/>
      <c r="K103" s="1126"/>
      <c r="L103" s="1127"/>
      <c r="M103" s="1128"/>
      <c r="N103" s="1129"/>
      <c r="O103" s="1130"/>
      <c r="P103" s="1109"/>
      <c r="Q103" s="1130"/>
      <c r="R103" s="1109"/>
      <c r="S103" s="1130"/>
      <c r="T103" s="1109"/>
      <c r="U103" s="1130"/>
      <c r="V103" s="1109"/>
      <c r="W103" s="1130"/>
      <c r="X103" s="1109"/>
      <c r="Y103" s="1130"/>
      <c r="Z103" s="1109"/>
      <c r="AA103" s="1130"/>
      <c r="AB103" s="1109"/>
      <c r="AC103" s="1130"/>
      <c r="AD103" s="1109"/>
      <c r="AE103" s="1130"/>
      <c r="AF103" s="1109"/>
      <c r="AG103" s="1130"/>
      <c r="AH103" s="1109"/>
      <c r="AI103" s="1130"/>
      <c r="AJ103" s="1109"/>
      <c r="AK103" s="1130"/>
      <c r="AL103" s="1109"/>
      <c r="AM103" s="1130"/>
      <c r="AN103" s="1109"/>
      <c r="AO103" s="1130"/>
      <c r="AP103" s="1109"/>
      <c r="AQ103" s="1131"/>
      <c r="AR103" s="1132"/>
      <c r="AS103" s="1131"/>
      <c r="AT103" s="1129"/>
      <c r="AU103" s="1130"/>
      <c r="AV103" s="1109"/>
      <c r="AW103" s="1113"/>
      <c r="AX103" s="1193" t="str">
        <f t="shared" si="221"/>
        <v/>
      </c>
      <c r="AY103" s="1193"/>
      <c r="AZ103" s="1193"/>
      <c r="BA103" s="1193"/>
      <c r="BB103" s="1193"/>
      <c r="BC103" s="1193"/>
      <c r="BD103" s="1193"/>
      <c r="BE103" s="1193"/>
      <c r="BF103" s="1193"/>
      <c r="BG103" s="1193"/>
      <c r="BH103" s="1193"/>
      <c r="BI103" s="1187"/>
      <c r="BJ103" s="1187"/>
      <c r="BK103" s="1187"/>
      <c r="BL103" s="1187"/>
      <c r="BU103" s="1187"/>
      <c r="BW103" s="1580"/>
      <c r="CA103" s="2235" t="str">
        <f t="shared" si="222"/>
        <v/>
      </c>
      <c r="CB103" s="2235" t="str">
        <f t="shared" si="223"/>
        <v/>
      </c>
      <c r="CC103" s="2235" t="str">
        <f t="shared" si="224"/>
        <v/>
      </c>
      <c r="CD103" s="2235" t="str">
        <f t="shared" si="225"/>
        <v/>
      </c>
      <c r="CE103" s="2235" t="str">
        <f t="shared" si="226"/>
        <v/>
      </c>
      <c r="CF103" s="2235" t="str">
        <f t="shared" si="254"/>
        <v/>
      </c>
      <c r="CG103" s="2235" t="str">
        <f t="shared" si="255"/>
        <v/>
      </c>
      <c r="CH103" s="2235" t="str">
        <f t="shared" si="256"/>
        <v/>
      </c>
      <c r="CI103" s="2235" t="str">
        <f t="shared" si="257"/>
        <v/>
      </c>
      <c r="CJ103" s="2235" t="str">
        <f t="shared" si="258"/>
        <v/>
      </c>
      <c r="CK103" s="2235" t="str">
        <f t="shared" si="259"/>
        <v/>
      </c>
      <c r="CL103" s="2235" t="str">
        <f t="shared" si="260"/>
        <v/>
      </c>
      <c r="CM103" s="2235" t="str">
        <f t="shared" si="261"/>
        <v/>
      </c>
      <c r="CN103" s="2235" t="str">
        <f t="shared" si="262"/>
        <v/>
      </c>
      <c r="CO103" s="2235" t="str">
        <f t="shared" si="263"/>
        <v/>
      </c>
      <c r="CP103" s="2235" t="str">
        <f t="shared" si="264"/>
        <v/>
      </c>
      <c r="CQ103" s="2235" t="str">
        <f t="shared" si="265"/>
        <v/>
      </c>
      <c r="CR103" s="2235" t="str">
        <f t="shared" si="266"/>
        <v/>
      </c>
      <c r="CS103" s="2235" t="str">
        <f t="shared" si="267"/>
        <v/>
      </c>
      <c r="CT103" s="2235" t="str">
        <f t="shared" si="268"/>
        <v/>
      </c>
      <c r="CU103" s="2235" t="str">
        <f t="shared" si="269"/>
        <v/>
      </c>
      <c r="CV103" s="2235" t="str">
        <f t="shared" si="270"/>
        <v/>
      </c>
      <c r="CW103" s="2235" t="str">
        <f t="shared" si="271"/>
        <v/>
      </c>
      <c r="CX103" s="2235" t="str">
        <f t="shared" si="272"/>
        <v/>
      </c>
      <c r="CY103" s="2235" t="str">
        <f t="shared" si="273"/>
        <v/>
      </c>
      <c r="CZ103" s="2235" t="str">
        <f t="shared" si="227"/>
        <v/>
      </c>
      <c r="DA103" s="1468">
        <f t="shared" si="228"/>
        <v>0</v>
      </c>
      <c r="DB103" s="1468">
        <f t="shared" si="229"/>
        <v>0</v>
      </c>
      <c r="DC103" s="1468">
        <f t="shared" si="230"/>
        <v>0</v>
      </c>
      <c r="DD103" s="1468">
        <f t="shared" si="231"/>
        <v>0</v>
      </c>
      <c r="DE103" s="1468">
        <f t="shared" si="232"/>
        <v>0</v>
      </c>
      <c r="DF103" s="1468">
        <f t="shared" si="233"/>
        <v>0</v>
      </c>
      <c r="DG103" s="1468">
        <f t="shared" si="234"/>
        <v>0</v>
      </c>
      <c r="DH103" s="1468">
        <f t="shared" si="235"/>
        <v>0</v>
      </c>
      <c r="DI103" s="1468">
        <f t="shared" si="236"/>
        <v>0</v>
      </c>
      <c r="DJ103" s="1468">
        <f t="shared" si="237"/>
        <v>0</v>
      </c>
      <c r="DK103" s="1468">
        <f t="shared" si="238"/>
        <v>0</v>
      </c>
      <c r="DL103" s="1468">
        <f t="shared" si="239"/>
        <v>0</v>
      </c>
      <c r="DM103" s="1468">
        <f t="shared" si="240"/>
        <v>0</v>
      </c>
      <c r="DN103" s="1468">
        <f t="shared" si="241"/>
        <v>0</v>
      </c>
      <c r="DO103" s="1468">
        <f t="shared" si="242"/>
        <v>0</v>
      </c>
      <c r="DP103" s="1468">
        <f t="shared" si="243"/>
        <v>0</v>
      </c>
      <c r="DQ103" s="1468">
        <f t="shared" si="244"/>
        <v>0</v>
      </c>
      <c r="DR103" s="1468">
        <f t="shared" si="245"/>
        <v>0</v>
      </c>
      <c r="DS103" s="1468">
        <f t="shared" si="246"/>
        <v>0</v>
      </c>
      <c r="DT103" s="1468">
        <f t="shared" si="247"/>
        <v>0</v>
      </c>
      <c r="DU103" s="1468">
        <f t="shared" si="248"/>
        <v>0</v>
      </c>
      <c r="DV103" s="1468">
        <f t="shared" si="249"/>
        <v>0</v>
      </c>
      <c r="DW103" s="1468">
        <f t="shared" si="250"/>
        <v>0</v>
      </c>
      <c r="DX103" s="1468">
        <f t="shared" si="251"/>
        <v>0</v>
      </c>
      <c r="DY103" s="1468">
        <f t="shared" si="252"/>
        <v>0</v>
      </c>
      <c r="DZ103" s="1468">
        <f t="shared" si="253"/>
        <v>0</v>
      </c>
    </row>
    <row r="104" spans="1:130" ht="16.149999999999999" customHeight="1" x14ac:dyDescent="0.25">
      <c r="A104" s="2085" t="s">
        <v>1786</v>
      </c>
      <c r="B104" s="2038">
        <f t="shared" si="220"/>
        <v>0</v>
      </c>
      <c r="C104" s="2084">
        <f t="shared" si="220"/>
        <v>0</v>
      </c>
      <c r="D104" s="1125"/>
      <c r="E104" s="1126"/>
      <c r="F104" s="1127"/>
      <c r="G104" s="1126"/>
      <c r="H104" s="1127"/>
      <c r="I104" s="1126"/>
      <c r="J104" s="1127"/>
      <c r="K104" s="1126"/>
      <c r="L104" s="1127"/>
      <c r="M104" s="1128"/>
      <c r="N104" s="1129"/>
      <c r="O104" s="1130"/>
      <c r="P104" s="1109"/>
      <c r="Q104" s="1130"/>
      <c r="R104" s="1109"/>
      <c r="S104" s="1130"/>
      <c r="T104" s="1109"/>
      <c r="U104" s="1130"/>
      <c r="V104" s="1109"/>
      <c r="W104" s="1130"/>
      <c r="X104" s="1109"/>
      <c r="Y104" s="1130"/>
      <c r="Z104" s="1109"/>
      <c r="AA104" s="1130"/>
      <c r="AB104" s="1109"/>
      <c r="AC104" s="1130"/>
      <c r="AD104" s="1109"/>
      <c r="AE104" s="1130"/>
      <c r="AF104" s="1109"/>
      <c r="AG104" s="1130"/>
      <c r="AH104" s="1109"/>
      <c r="AI104" s="1130"/>
      <c r="AJ104" s="1109"/>
      <c r="AK104" s="1130"/>
      <c r="AL104" s="1109"/>
      <c r="AM104" s="1130"/>
      <c r="AN104" s="1109"/>
      <c r="AO104" s="1130"/>
      <c r="AP104" s="1109"/>
      <c r="AQ104" s="1131"/>
      <c r="AR104" s="1132"/>
      <c r="AS104" s="1131"/>
      <c r="AT104" s="1129"/>
      <c r="AU104" s="1130"/>
      <c r="AV104" s="1109"/>
      <c r="AW104" s="1113"/>
      <c r="AX104" s="1193" t="str">
        <f t="shared" si="221"/>
        <v/>
      </c>
      <c r="AY104" s="1193"/>
      <c r="AZ104" s="1193"/>
      <c r="BA104" s="1193"/>
      <c r="BB104" s="1193"/>
      <c r="BC104" s="1193"/>
      <c r="BD104" s="1193"/>
      <c r="BE104" s="1193"/>
      <c r="BF104" s="1193"/>
      <c r="BG104" s="1193"/>
      <c r="BH104" s="1193"/>
      <c r="BI104" s="1187"/>
      <c r="BJ104" s="1187"/>
      <c r="BK104" s="1187"/>
      <c r="BL104" s="1187"/>
      <c r="BU104" s="1187"/>
      <c r="BW104" s="1580"/>
      <c r="CA104" s="2235" t="str">
        <f t="shared" si="222"/>
        <v/>
      </c>
      <c r="CB104" s="2235" t="str">
        <f t="shared" si="223"/>
        <v/>
      </c>
      <c r="CC104" s="2235" t="str">
        <f t="shared" si="224"/>
        <v/>
      </c>
      <c r="CD104" s="2235" t="str">
        <f t="shared" si="225"/>
        <v/>
      </c>
      <c r="CE104" s="2235" t="str">
        <f t="shared" si="226"/>
        <v/>
      </c>
      <c r="CF104" s="2235" t="str">
        <f t="shared" si="254"/>
        <v/>
      </c>
      <c r="CG104" s="2235" t="str">
        <f t="shared" si="255"/>
        <v/>
      </c>
      <c r="CH104" s="2235" t="str">
        <f t="shared" si="256"/>
        <v/>
      </c>
      <c r="CI104" s="2235" t="str">
        <f t="shared" si="257"/>
        <v/>
      </c>
      <c r="CJ104" s="2235" t="str">
        <f t="shared" si="258"/>
        <v/>
      </c>
      <c r="CK104" s="2235" t="str">
        <f t="shared" si="259"/>
        <v/>
      </c>
      <c r="CL104" s="2235" t="str">
        <f t="shared" si="260"/>
        <v/>
      </c>
      <c r="CM104" s="2235" t="str">
        <f t="shared" si="261"/>
        <v/>
      </c>
      <c r="CN104" s="2235" t="str">
        <f t="shared" si="262"/>
        <v/>
      </c>
      <c r="CO104" s="2235" t="str">
        <f t="shared" si="263"/>
        <v/>
      </c>
      <c r="CP104" s="2235" t="str">
        <f t="shared" si="264"/>
        <v/>
      </c>
      <c r="CQ104" s="2235" t="str">
        <f t="shared" si="265"/>
        <v/>
      </c>
      <c r="CR104" s="2235" t="str">
        <f t="shared" si="266"/>
        <v/>
      </c>
      <c r="CS104" s="2235" t="str">
        <f t="shared" si="267"/>
        <v/>
      </c>
      <c r="CT104" s="2235" t="str">
        <f t="shared" si="268"/>
        <v/>
      </c>
      <c r="CU104" s="2235" t="str">
        <f t="shared" si="269"/>
        <v/>
      </c>
      <c r="CV104" s="2235" t="str">
        <f t="shared" si="270"/>
        <v/>
      </c>
      <c r="CW104" s="2235" t="str">
        <f t="shared" si="271"/>
        <v/>
      </c>
      <c r="CX104" s="2235" t="str">
        <f t="shared" si="272"/>
        <v/>
      </c>
      <c r="CY104" s="2235" t="str">
        <f t="shared" si="273"/>
        <v/>
      </c>
      <c r="CZ104" s="2235" t="str">
        <f t="shared" si="227"/>
        <v/>
      </c>
      <c r="DA104" s="1468">
        <f t="shared" si="228"/>
        <v>0</v>
      </c>
      <c r="DB104" s="1468">
        <f t="shared" si="229"/>
        <v>0</v>
      </c>
      <c r="DC104" s="1468">
        <f t="shared" si="230"/>
        <v>0</v>
      </c>
      <c r="DD104" s="1468">
        <f t="shared" si="231"/>
        <v>0</v>
      </c>
      <c r="DE104" s="1468">
        <f t="shared" si="232"/>
        <v>0</v>
      </c>
      <c r="DF104" s="1468">
        <f t="shared" si="233"/>
        <v>0</v>
      </c>
      <c r="DG104" s="1468">
        <f t="shared" si="234"/>
        <v>0</v>
      </c>
      <c r="DH104" s="1468">
        <f t="shared" si="235"/>
        <v>0</v>
      </c>
      <c r="DI104" s="1468">
        <f t="shared" si="236"/>
        <v>0</v>
      </c>
      <c r="DJ104" s="1468">
        <f t="shared" si="237"/>
        <v>0</v>
      </c>
      <c r="DK104" s="1468">
        <f t="shared" si="238"/>
        <v>0</v>
      </c>
      <c r="DL104" s="1468">
        <f t="shared" si="239"/>
        <v>0</v>
      </c>
      <c r="DM104" s="1468">
        <f t="shared" si="240"/>
        <v>0</v>
      </c>
      <c r="DN104" s="1468">
        <f t="shared" si="241"/>
        <v>0</v>
      </c>
      <c r="DO104" s="1468">
        <f t="shared" si="242"/>
        <v>0</v>
      </c>
      <c r="DP104" s="1468">
        <f t="shared" si="243"/>
        <v>0</v>
      </c>
      <c r="DQ104" s="1468">
        <f t="shared" si="244"/>
        <v>0</v>
      </c>
      <c r="DR104" s="1468">
        <f t="shared" si="245"/>
        <v>0</v>
      </c>
      <c r="DS104" s="1468">
        <f t="shared" si="246"/>
        <v>0</v>
      </c>
      <c r="DT104" s="1468">
        <f t="shared" si="247"/>
        <v>0</v>
      </c>
      <c r="DU104" s="1468">
        <f t="shared" si="248"/>
        <v>0</v>
      </c>
      <c r="DV104" s="1468">
        <f t="shared" si="249"/>
        <v>0</v>
      </c>
      <c r="DW104" s="1468">
        <f t="shared" si="250"/>
        <v>0</v>
      </c>
      <c r="DX104" s="1468">
        <f t="shared" si="251"/>
        <v>0</v>
      </c>
      <c r="DY104" s="1468">
        <f t="shared" si="252"/>
        <v>0</v>
      </c>
      <c r="DZ104" s="1468">
        <f t="shared" si="253"/>
        <v>0</v>
      </c>
    </row>
    <row r="105" spans="1:130" ht="19.5" customHeight="1" x14ac:dyDescent="0.25">
      <c r="A105" s="2085" t="s">
        <v>1787</v>
      </c>
      <c r="B105" s="2038">
        <f t="shared" si="220"/>
        <v>0</v>
      </c>
      <c r="C105" s="2084">
        <f t="shared" si="220"/>
        <v>0</v>
      </c>
      <c r="D105" s="1125"/>
      <c r="E105" s="1126"/>
      <c r="F105" s="1127"/>
      <c r="G105" s="1126"/>
      <c r="H105" s="1127"/>
      <c r="I105" s="1126"/>
      <c r="J105" s="1127"/>
      <c r="K105" s="1126"/>
      <c r="L105" s="1127"/>
      <c r="M105" s="1128"/>
      <c r="N105" s="1129"/>
      <c r="O105" s="1130"/>
      <c r="P105" s="1109"/>
      <c r="Q105" s="1130"/>
      <c r="R105" s="1109"/>
      <c r="S105" s="1130"/>
      <c r="T105" s="1109"/>
      <c r="U105" s="1130"/>
      <c r="V105" s="1109"/>
      <c r="W105" s="1130"/>
      <c r="X105" s="1109"/>
      <c r="Y105" s="1130"/>
      <c r="Z105" s="1109"/>
      <c r="AA105" s="1130"/>
      <c r="AB105" s="1109"/>
      <c r="AC105" s="1130"/>
      <c r="AD105" s="1109"/>
      <c r="AE105" s="1130"/>
      <c r="AF105" s="1109"/>
      <c r="AG105" s="1130"/>
      <c r="AH105" s="1109"/>
      <c r="AI105" s="1130"/>
      <c r="AJ105" s="1109"/>
      <c r="AK105" s="1130"/>
      <c r="AL105" s="1109"/>
      <c r="AM105" s="1130"/>
      <c r="AN105" s="1109"/>
      <c r="AO105" s="1130"/>
      <c r="AP105" s="1109"/>
      <c r="AQ105" s="1131"/>
      <c r="AR105" s="1129"/>
      <c r="AS105" s="1131"/>
      <c r="AT105" s="1129"/>
      <c r="AU105" s="1130"/>
      <c r="AV105" s="1109"/>
      <c r="AW105" s="1113"/>
      <c r="AX105" s="1193" t="str">
        <f t="shared" si="221"/>
        <v/>
      </c>
      <c r="AY105" s="1193"/>
      <c r="AZ105" s="1193"/>
      <c r="BA105" s="1193"/>
      <c r="BB105" s="1193"/>
      <c r="BC105" s="1193"/>
      <c r="BD105" s="1193"/>
      <c r="BE105" s="1193"/>
      <c r="BF105" s="1193"/>
      <c r="BG105" s="1193"/>
      <c r="BH105" s="1193"/>
      <c r="BI105" s="1187"/>
      <c r="BJ105" s="1187"/>
      <c r="BK105" s="1187"/>
      <c r="BL105" s="1187"/>
      <c r="BU105" s="1187"/>
      <c r="BW105" s="1580"/>
      <c r="CA105" s="2235" t="str">
        <f t="shared" si="222"/>
        <v/>
      </c>
      <c r="CB105" s="2235" t="str">
        <f t="shared" si="223"/>
        <v/>
      </c>
      <c r="CC105" s="2235" t="str">
        <f t="shared" si="224"/>
        <v/>
      </c>
      <c r="CD105" s="2235" t="str">
        <f t="shared" si="225"/>
        <v/>
      </c>
      <c r="CE105" s="2235" t="str">
        <f t="shared" si="226"/>
        <v/>
      </c>
      <c r="CF105" s="2235" t="str">
        <f t="shared" si="254"/>
        <v/>
      </c>
      <c r="CG105" s="2235" t="str">
        <f t="shared" si="255"/>
        <v/>
      </c>
      <c r="CH105" s="2235" t="str">
        <f t="shared" si="256"/>
        <v/>
      </c>
      <c r="CI105" s="2235" t="str">
        <f t="shared" si="257"/>
        <v/>
      </c>
      <c r="CJ105" s="2235" t="str">
        <f t="shared" si="258"/>
        <v/>
      </c>
      <c r="CK105" s="2235" t="str">
        <f t="shared" si="259"/>
        <v/>
      </c>
      <c r="CL105" s="2235" t="str">
        <f t="shared" si="260"/>
        <v/>
      </c>
      <c r="CM105" s="2235" t="str">
        <f t="shared" si="261"/>
        <v/>
      </c>
      <c r="CN105" s="2235" t="str">
        <f t="shared" si="262"/>
        <v/>
      </c>
      <c r="CO105" s="2235" t="str">
        <f t="shared" si="263"/>
        <v/>
      </c>
      <c r="CP105" s="2235" t="str">
        <f t="shared" si="264"/>
        <v/>
      </c>
      <c r="CQ105" s="2235" t="str">
        <f t="shared" si="265"/>
        <v/>
      </c>
      <c r="CR105" s="2235" t="str">
        <f t="shared" si="266"/>
        <v/>
      </c>
      <c r="CS105" s="2235" t="str">
        <f t="shared" si="267"/>
        <v/>
      </c>
      <c r="CT105" s="2235" t="str">
        <f t="shared" si="268"/>
        <v/>
      </c>
      <c r="CU105" s="2235" t="str">
        <f t="shared" si="269"/>
        <v/>
      </c>
      <c r="CV105" s="2235" t="str">
        <f t="shared" si="270"/>
        <v/>
      </c>
      <c r="CW105" s="2235" t="str">
        <f t="shared" si="271"/>
        <v/>
      </c>
      <c r="CX105" s="2235" t="str">
        <f t="shared" si="272"/>
        <v/>
      </c>
      <c r="CY105" s="2235" t="str">
        <f t="shared" si="273"/>
        <v/>
      </c>
      <c r="CZ105" s="2235" t="str">
        <f t="shared" si="227"/>
        <v/>
      </c>
      <c r="DA105" s="1468">
        <f t="shared" si="228"/>
        <v>0</v>
      </c>
      <c r="DB105" s="1468">
        <f t="shared" si="229"/>
        <v>0</v>
      </c>
      <c r="DC105" s="1468">
        <f t="shared" si="230"/>
        <v>0</v>
      </c>
      <c r="DD105" s="1468">
        <f t="shared" si="231"/>
        <v>0</v>
      </c>
      <c r="DE105" s="1468">
        <f t="shared" si="232"/>
        <v>0</v>
      </c>
      <c r="DF105" s="1468">
        <f t="shared" si="233"/>
        <v>0</v>
      </c>
      <c r="DG105" s="1468">
        <f t="shared" si="234"/>
        <v>0</v>
      </c>
      <c r="DH105" s="1468">
        <f t="shared" si="235"/>
        <v>0</v>
      </c>
      <c r="DI105" s="1468">
        <f t="shared" si="236"/>
        <v>0</v>
      </c>
      <c r="DJ105" s="1468">
        <f t="shared" si="237"/>
        <v>0</v>
      </c>
      <c r="DK105" s="1468">
        <f t="shared" si="238"/>
        <v>0</v>
      </c>
      <c r="DL105" s="1468">
        <f t="shared" si="239"/>
        <v>0</v>
      </c>
      <c r="DM105" s="1468">
        <f t="shared" si="240"/>
        <v>0</v>
      </c>
      <c r="DN105" s="1468">
        <f t="shared" si="241"/>
        <v>0</v>
      </c>
      <c r="DO105" s="1468">
        <f t="shared" si="242"/>
        <v>0</v>
      </c>
      <c r="DP105" s="1468">
        <f t="shared" si="243"/>
        <v>0</v>
      </c>
      <c r="DQ105" s="1468">
        <f t="shared" si="244"/>
        <v>0</v>
      </c>
      <c r="DR105" s="1468">
        <f t="shared" si="245"/>
        <v>0</v>
      </c>
      <c r="DS105" s="1468">
        <f t="shared" si="246"/>
        <v>0</v>
      </c>
      <c r="DT105" s="1468">
        <f t="shared" si="247"/>
        <v>0</v>
      </c>
      <c r="DU105" s="1468">
        <f t="shared" si="248"/>
        <v>0</v>
      </c>
      <c r="DV105" s="1468">
        <f t="shared" si="249"/>
        <v>0</v>
      </c>
      <c r="DW105" s="1468">
        <f t="shared" si="250"/>
        <v>0</v>
      </c>
      <c r="DX105" s="1468">
        <f t="shared" si="251"/>
        <v>0</v>
      </c>
      <c r="DY105" s="1468">
        <f t="shared" si="252"/>
        <v>0</v>
      </c>
      <c r="DZ105" s="1468">
        <f t="shared" si="253"/>
        <v>0</v>
      </c>
    </row>
    <row r="106" spans="1:130" ht="20.45" customHeight="1" x14ac:dyDescent="0.25">
      <c r="A106" s="2085" t="s">
        <v>1788</v>
      </c>
      <c r="B106" s="2038">
        <f t="shared" si="220"/>
        <v>0</v>
      </c>
      <c r="C106" s="2084">
        <f t="shared" si="220"/>
        <v>0</v>
      </c>
      <c r="D106" s="1125"/>
      <c r="E106" s="1126"/>
      <c r="F106" s="1127"/>
      <c r="G106" s="1126"/>
      <c r="H106" s="1127"/>
      <c r="I106" s="1126"/>
      <c r="J106" s="1127"/>
      <c r="K106" s="1126"/>
      <c r="L106" s="1127"/>
      <c r="M106" s="1128"/>
      <c r="N106" s="1129"/>
      <c r="O106" s="1130"/>
      <c r="P106" s="1109"/>
      <c r="Q106" s="1130"/>
      <c r="R106" s="1109"/>
      <c r="S106" s="1130"/>
      <c r="T106" s="1109"/>
      <c r="U106" s="1130"/>
      <c r="V106" s="1109"/>
      <c r="W106" s="1130"/>
      <c r="X106" s="1109"/>
      <c r="Y106" s="1130"/>
      <c r="Z106" s="1109"/>
      <c r="AA106" s="1130"/>
      <c r="AB106" s="1109"/>
      <c r="AC106" s="1130"/>
      <c r="AD106" s="1109"/>
      <c r="AE106" s="1130"/>
      <c r="AF106" s="1109"/>
      <c r="AG106" s="1130"/>
      <c r="AH106" s="1109"/>
      <c r="AI106" s="1130"/>
      <c r="AJ106" s="1109"/>
      <c r="AK106" s="1130"/>
      <c r="AL106" s="1109"/>
      <c r="AM106" s="1130"/>
      <c r="AN106" s="1109"/>
      <c r="AO106" s="1130"/>
      <c r="AP106" s="1109"/>
      <c r="AQ106" s="1131"/>
      <c r="AR106" s="1132"/>
      <c r="AS106" s="1131"/>
      <c r="AT106" s="1129"/>
      <c r="AU106" s="1130"/>
      <c r="AV106" s="1109"/>
      <c r="AW106" s="1113"/>
      <c r="AX106" s="1193" t="str">
        <f t="shared" si="221"/>
        <v/>
      </c>
      <c r="AY106" s="1193"/>
      <c r="AZ106" s="1193"/>
      <c r="BA106" s="1193"/>
      <c r="BB106" s="1193"/>
      <c r="BC106" s="1193"/>
      <c r="BD106" s="1193"/>
      <c r="BE106" s="1193"/>
      <c r="BF106" s="1193"/>
      <c r="BG106" s="1193"/>
      <c r="BH106" s="1193"/>
      <c r="BI106" s="1187"/>
      <c r="BJ106" s="1187"/>
      <c r="BK106" s="1187"/>
      <c r="BL106" s="1187"/>
      <c r="BU106" s="1187"/>
      <c r="BW106" s="1580"/>
      <c r="CA106" s="2235" t="str">
        <f t="shared" si="222"/>
        <v/>
      </c>
      <c r="CB106" s="2235" t="str">
        <f t="shared" si="223"/>
        <v/>
      </c>
      <c r="CC106" s="2235" t="str">
        <f t="shared" si="224"/>
        <v/>
      </c>
      <c r="CD106" s="2235" t="str">
        <f t="shared" si="225"/>
        <v/>
      </c>
      <c r="CE106" s="2235" t="str">
        <f t="shared" si="226"/>
        <v/>
      </c>
      <c r="CF106" s="2235" t="str">
        <f t="shared" si="254"/>
        <v/>
      </c>
      <c r="CG106" s="2235" t="str">
        <f t="shared" si="255"/>
        <v/>
      </c>
      <c r="CH106" s="2235" t="str">
        <f t="shared" si="256"/>
        <v/>
      </c>
      <c r="CI106" s="2235" t="str">
        <f t="shared" si="257"/>
        <v/>
      </c>
      <c r="CJ106" s="2235" t="str">
        <f t="shared" si="258"/>
        <v/>
      </c>
      <c r="CK106" s="2235" t="str">
        <f t="shared" si="259"/>
        <v/>
      </c>
      <c r="CL106" s="2235" t="str">
        <f t="shared" si="260"/>
        <v/>
      </c>
      <c r="CM106" s="2235" t="str">
        <f t="shared" si="261"/>
        <v/>
      </c>
      <c r="CN106" s="2235" t="str">
        <f t="shared" si="262"/>
        <v/>
      </c>
      <c r="CO106" s="2235" t="str">
        <f t="shared" si="263"/>
        <v/>
      </c>
      <c r="CP106" s="2235" t="str">
        <f t="shared" si="264"/>
        <v/>
      </c>
      <c r="CQ106" s="2235" t="str">
        <f t="shared" si="265"/>
        <v/>
      </c>
      <c r="CR106" s="2235" t="str">
        <f t="shared" si="266"/>
        <v/>
      </c>
      <c r="CS106" s="2235" t="str">
        <f t="shared" si="267"/>
        <v/>
      </c>
      <c r="CT106" s="2235" t="str">
        <f t="shared" si="268"/>
        <v/>
      </c>
      <c r="CU106" s="2235" t="str">
        <f t="shared" si="269"/>
        <v/>
      </c>
      <c r="CV106" s="2235" t="str">
        <f t="shared" si="270"/>
        <v/>
      </c>
      <c r="CW106" s="2235" t="str">
        <f t="shared" si="271"/>
        <v/>
      </c>
      <c r="CX106" s="2235" t="str">
        <f t="shared" si="272"/>
        <v/>
      </c>
      <c r="CY106" s="2235" t="str">
        <f t="shared" si="273"/>
        <v/>
      </c>
      <c r="CZ106" s="2235" t="str">
        <f t="shared" si="227"/>
        <v/>
      </c>
      <c r="DA106" s="1468">
        <f t="shared" si="228"/>
        <v>0</v>
      </c>
      <c r="DB106" s="1468">
        <f t="shared" si="229"/>
        <v>0</v>
      </c>
      <c r="DC106" s="1468">
        <f t="shared" si="230"/>
        <v>0</v>
      </c>
      <c r="DD106" s="1468">
        <f t="shared" si="231"/>
        <v>0</v>
      </c>
      <c r="DE106" s="1468">
        <f t="shared" si="232"/>
        <v>0</v>
      </c>
      <c r="DF106" s="1468">
        <f t="shared" si="233"/>
        <v>0</v>
      </c>
      <c r="DG106" s="1468">
        <f t="shared" si="234"/>
        <v>0</v>
      </c>
      <c r="DH106" s="1468">
        <f t="shared" si="235"/>
        <v>0</v>
      </c>
      <c r="DI106" s="1468">
        <f t="shared" si="236"/>
        <v>0</v>
      </c>
      <c r="DJ106" s="1468">
        <f t="shared" si="237"/>
        <v>0</v>
      </c>
      <c r="DK106" s="1468">
        <f t="shared" si="238"/>
        <v>0</v>
      </c>
      <c r="DL106" s="1468">
        <f t="shared" si="239"/>
        <v>0</v>
      </c>
      <c r="DM106" s="1468">
        <f t="shared" si="240"/>
        <v>0</v>
      </c>
      <c r="DN106" s="1468">
        <f t="shared" si="241"/>
        <v>0</v>
      </c>
      <c r="DO106" s="1468">
        <f t="shared" si="242"/>
        <v>0</v>
      </c>
      <c r="DP106" s="1468">
        <f t="shared" si="243"/>
        <v>0</v>
      </c>
      <c r="DQ106" s="1468">
        <f t="shared" si="244"/>
        <v>0</v>
      </c>
      <c r="DR106" s="1468">
        <f t="shared" si="245"/>
        <v>0</v>
      </c>
      <c r="DS106" s="1468">
        <f t="shared" si="246"/>
        <v>0</v>
      </c>
      <c r="DT106" s="1468">
        <f t="shared" si="247"/>
        <v>0</v>
      </c>
      <c r="DU106" s="1468">
        <f t="shared" si="248"/>
        <v>0</v>
      </c>
      <c r="DV106" s="1468">
        <f t="shared" si="249"/>
        <v>0</v>
      </c>
      <c r="DW106" s="1468">
        <f t="shared" si="250"/>
        <v>0</v>
      </c>
      <c r="DX106" s="1468">
        <f t="shared" si="251"/>
        <v>0</v>
      </c>
      <c r="DY106" s="1468">
        <f t="shared" si="252"/>
        <v>0</v>
      </c>
      <c r="DZ106" s="1468">
        <f t="shared" si="253"/>
        <v>0</v>
      </c>
    </row>
    <row r="107" spans="1:130" ht="16.149999999999999" customHeight="1" x14ac:dyDescent="0.25">
      <c r="A107" s="2040" t="s">
        <v>1789</v>
      </c>
      <c r="B107" s="2038">
        <f t="shared" si="220"/>
        <v>0</v>
      </c>
      <c r="C107" s="2084">
        <f t="shared" si="220"/>
        <v>0</v>
      </c>
      <c r="D107" s="1125"/>
      <c r="E107" s="1126"/>
      <c r="F107" s="1127"/>
      <c r="G107" s="1126"/>
      <c r="H107" s="1127"/>
      <c r="I107" s="1126"/>
      <c r="J107" s="1127"/>
      <c r="K107" s="1126"/>
      <c r="L107" s="1127"/>
      <c r="M107" s="1128"/>
      <c r="N107" s="1129"/>
      <c r="O107" s="1130"/>
      <c r="P107" s="1109"/>
      <c r="Q107" s="1130"/>
      <c r="R107" s="1109"/>
      <c r="S107" s="1130"/>
      <c r="T107" s="1109"/>
      <c r="U107" s="1130"/>
      <c r="V107" s="1109"/>
      <c r="W107" s="1130"/>
      <c r="X107" s="1109"/>
      <c r="Y107" s="1130"/>
      <c r="Z107" s="1109"/>
      <c r="AA107" s="1130"/>
      <c r="AB107" s="1109"/>
      <c r="AC107" s="1130"/>
      <c r="AD107" s="1109"/>
      <c r="AE107" s="1130"/>
      <c r="AF107" s="1109"/>
      <c r="AG107" s="1130"/>
      <c r="AH107" s="1109"/>
      <c r="AI107" s="1130"/>
      <c r="AJ107" s="1109"/>
      <c r="AK107" s="1130"/>
      <c r="AL107" s="1109"/>
      <c r="AM107" s="1130"/>
      <c r="AN107" s="1109"/>
      <c r="AO107" s="1130"/>
      <c r="AP107" s="1109"/>
      <c r="AQ107" s="1131"/>
      <c r="AR107" s="1132"/>
      <c r="AS107" s="1131"/>
      <c r="AT107" s="1129"/>
      <c r="AU107" s="1130"/>
      <c r="AV107" s="1109"/>
      <c r="AW107" s="1113"/>
      <c r="AX107" s="1193" t="str">
        <f t="shared" si="221"/>
        <v/>
      </c>
      <c r="AY107" s="1193"/>
      <c r="AZ107" s="1193"/>
      <c r="BA107" s="1193"/>
      <c r="BB107" s="1193"/>
      <c r="BC107" s="1193"/>
      <c r="BD107" s="1193"/>
      <c r="BE107" s="1193"/>
      <c r="BF107" s="1193"/>
      <c r="BG107" s="1193"/>
      <c r="BH107" s="1193"/>
      <c r="BI107" s="1187"/>
      <c r="BJ107" s="1187"/>
      <c r="BK107" s="1187"/>
      <c r="BL107" s="1187"/>
      <c r="BU107" s="1187"/>
      <c r="BW107" s="1580"/>
      <c r="CA107" s="2235" t="str">
        <f t="shared" si="222"/>
        <v/>
      </c>
      <c r="CB107" s="2235" t="str">
        <f t="shared" si="223"/>
        <v/>
      </c>
      <c r="CC107" s="2235" t="str">
        <f t="shared" si="224"/>
        <v/>
      </c>
      <c r="CD107" s="2235" t="str">
        <f t="shared" si="225"/>
        <v/>
      </c>
      <c r="CE107" s="2235" t="str">
        <f t="shared" si="226"/>
        <v/>
      </c>
      <c r="CF107" s="2235" t="str">
        <f t="shared" si="254"/>
        <v/>
      </c>
      <c r="CG107" s="2235" t="str">
        <f t="shared" si="255"/>
        <v/>
      </c>
      <c r="CH107" s="2235" t="str">
        <f t="shared" si="256"/>
        <v/>
      </c>
      <c r="CI107" s="2235" t="str">
        <f t="shared" si="257"/>
        <v/>
      </c>
      <c r="CJ107" s="2235" t="str">
        <f t="shared" si="258"/>
        <v/>
      </c>
      <c r="CK107" s="2235" t="str">
        <f t="shared" si="259"/>
        <v/>
      </c>
      <c r="CL107" s="2235" t="str">
        <f t="shared" si="260"/>
        <v/>
      </c>
      <c r="CM107" s="2235" t="str">
        <f t="shared" si="261"/>
        <v/>
      </c>
      <c r="CN107" s="2235" t="str">
        <f t="shared" si="262"/>
        <v/>
      </c>
      <c r="CO107" s="2235" t="str">
        <f t="shared" si="263"/>
        <v/>
      </c>
      <c r="CP107" s="2235" t="str">
        <f t="shared" si="264"/>
        <v/>
      </c>
      <c r="CQ107" s="2235" t="str">
        <f t="shared" si="265"/>
        <v/>
      </c>
      <c r="CR107" s="2235" t="str">
        <f t="shared" si="266"/>
        <v/>
      </c>
      <c r="CS107" s="2235" t="str">
        <f t="shared" si="267"/>
        <v/>
      </c>
      <c r="CT107" s="2235" t="str">
        <f t="shared" si="268"/>
        <v/>
      </c>
      <c r="CU107" s="2235" t="str">
        <f t="shared" si="269"/>
        <v/>
      </c>
      <c r="CV107" s="2235" t="str">
        <f t="shared" si="270"/>
        <v/>
      </c>
      <c r="CW107" s="2235" t="str">
        <f t="shared" si="271"/>
        <v/>
      </c>
      <c r="CX107" s="2235" t="str">
        <f t="shared" si="272"/>
        <v/>
      </c>
      <c r="CY107" s="2235" t="str">
        <f t="shared" si="273"/>
        <v/>
      </c>
      <c r="CZ107" s="2235" t="str">
        <f t="shared" si="227"/>
        <v/>
      </c>
      <c r="DA107" s="1468">
        <f t="shared" si="228"/>
        <v>0</v>
      </c>
      <c r="DB107" s="1468">
        <f t="shared" si="229"/>
        <v>0</v>
      </c>
      <c r="DC107" s="1468">
        <f t="shared" si="230"/>
        <v>0</v>
      </c>
      <c r="DD107" s="1468">
        <f t="shared" si="231"/>
        <v>0</v>
      </c>
      <c r="DE107" s="1468">
        <f t="shared" si="232"/>
        <v>0</v>
      </c>
      <c r="DF107" s="1468">
        <f t="shared" si="233"/>
        <v>0</v>
      </c>
      <c r="DG107" s="1468">
        <f t="shared" si="234"/>
        <v>0</v>
      </c>
      <c r="DH107" s="1468">
        <f t="shared" si="235"/>
        <v>0</v>
      </c>
      <c r="DI107" s="1468">
        <f t="shared" si="236"/>
        <v>0</v>
      </c>
      <c r="DJ107" s="1468">
        <f t="shared" si="237"/>
        <v>0</v>
      </c>
      <c r="DK107" s="1468">
        <f t="shared" si="238"/>
        <v>0</v>
      </c>
      <c r="DL107" s="1468">
        <f t="shared" si="239"/>
        <v>0</v>
      </c>
      <c r="DM107" s="1468">
        <f t="shared" si="240"/>
        <v>0</v>
      </c>
      <c r="DN107" s="1468">
        <f t="shared" si="241"/>
        <v>0</v>
      </c>
      <c r="DO107" s="1468">
        <f t="shared" si="242"/>
        <v>0</v>
      </c>
      <c r="DP107" s="1468">
        <f t="shared" si="243"/>
        <v>0</v>
      </c>
      <c r="DQ107" s="1468">
        <f t="shared" si="244"/>
        <v>0</v>
      </c>
      <c r="DR107" s="1468">
        <f t="shared" si="245"/>
        <v>0</v>
      </c>
      <c r="DS107" s="1468">
        <f t="shared" si="246"/>
        <v>0</v>
      </c>
      <c r="DT107" s="1468">
        <f t="shared" si="247"/>
        <v>0</v>
      </c>
      <c r="DU107" s="1468">
        <f t="shared" si="248"/>
        <v>0</v>
      </c>
      <c r="DV107" s="1468">
        <f t="shared" si="249"/>
        <v>0</v>
      </c>
      <c r="DW107" s="1468">
        <f t="shared" si="250"/>
        <v>0</v>
      </c>
      <c r="DX107" s="1468">
        <f t="shared" si="251"/>
        <v>0</v>
      </c>
      <c r="DY107" s="1468">
        <f t="shared" si="252"/>
        <v>0</v>
      </c>
      <c r="DZ107" s="1468">
        <f t="shared" si="253"/>
        <v>0</v>
      </c>
    </row>
    <row r="108" spans="1:130" ht="16.149999999999999" customHeight="1" x14ac:dyDescent="0.25">
      <c r="A108" s="2040" t="s">
        <v>1790</v>
      </c>
      <c r="B108" s="2038">
        <f>+D108+F108+H108+J108+L108+N108+P108+R108+T108+V108+X108+Z108+AB108+AD108+AF108+AH108+AJ108+AL108+AN108+AP108</f>
        <v>0</v>
      </c>
      <c r="C108" s="2084">
        <f>+E108+G108+I108+K108+M108+O108+Q108+S108+U108+W108+Y108+AA108+AC108+AE108+AG108+AI108+AK108+AM108+AO108+AQ108</f>
        <v>0</v>
      </c>
      <c r="D108" s="1129"/>
      <c r="E108" s="1130"/>
      <c r="F108" s="1109"/>
      <c r="G108" s="1130"/>
      <c r="H108" s="1109"/>
      <c r="I108" s="1113"/>
      <c r="J108" s="1129"/>
      <c r="K108" s="1129"/>
      <c r="L108" s="1109"/>
      <c r="M108" s="1113"/>
      <c r="N108" s="1129"/>
      <c r="O108" s="1130"/>
      <c r="P108" s="1109"/>
      <c r="Q108" s="1130"/>
      <c r="R108" s="1109"/>
      <c r="S108" s="1130"/>
      <c r="T108" s="1109"/>
      <c r="U108" s="1130"/>
      <c r="V108" s="1109"/>
      <c r="W108" s="1130"/>
      <c r="X108" s="1109"/>
      <c r="Y108" s="1130"/>
      <c r="Z108" s="1109"/>
      <c r="AA108" s="1130"/>
      <c r="AB108" s="1109"/>
      <c r="AC108" s="1130"/>
      <c r="AD108" s="1109"/>
      <c r="AE108" s="1130"/>
      <c r="AF108" s="1109"/>
      <c r="AG108" s="1130"/>
      <c r="AH108" s="1109"/>
      <c r="AI108" s="1130"/>
      <c r="AJ108" s="1109"/>
      <c r="AK108" s="1130"/>
      <c r="AL108" s="1109"/>
      <c r="AM108" s="1130"/>
      <c r="AN108" s="1109"/>
      <c r="AO108" s="1130"/>
      <c r="AP108" s="1109"/>
      <c r="AQ108" s="1131"/>
      <c r="AR108" s="1132"/>
      <c r="AS108" s="1131"/>
      <c r="AT108" s="1129"/>
      <c r="AU108" s="1130"/>
      <c r="AV108" s="1109"/>
      <c r="AW108" s="1113"/>
      <c r="AX108" s="1193" t="str">
        <f t="shared" si="221"/>
        <v/>
      </c>
      <c r="AY108" s="1193"/>
      <c r="AZ108" s="1193"/>
      <c r="BA108" s="1193"/>
      <c r="BB108" s="1193"/>
      <c r="BC108" s="1193"/>
      <c r="BD108" s="1193"/>
      <c r="BE108" s="1193"/>
      <c r="BF108" s="1193"/>
      <c r="BG108" s="1193"/>
      <c r="BH108" s="1193"/>
      <c r="BI108" s="1187"/>
      <c r="BJ108" s="1187"/>
      <c r="BK108" s="1187"/>
      <c r="BL108" s="1187"/>
      <c r="BU108" s="1187"/>
      <c r="BW108" s="1580"/>
      <c r="CA108" s="2235" t="str">
        <f t="shared" si="222"/>
        <v/>
      </c>
      <c r="CB108" s="2235" t="str">
        <f t="shared" si="223"/>
        <v/>
      </c>
      <c r="CC108" s="2235" t="str">
        <f t="shared" si="224"/>
        <v/>
      </c>
      <c r="CD108" s="2235" t="str">
        <f t="shared" si="225"/>
        <v/>
      </c>
      <c r="CE108" s="2235" t="str">
        <f t="shared" si="226"/>
        <v/>
      </c>
      <c r="CF108" s="2235" t="str">
        <f t="shared" si="254"/>
        <v/>
      </c>
      <c r="CG108" s="2235" t="str">
        <f t="shared" si="255"/>
        <v/>
      </c>
      <c r="CH108" s="2235" t="str">
        <f t="shared" si="256"/>
        <v/>
      </c>
      <c r="CI108" s="2235" t="str">
        <f t="shared" si="257"/>
        <v/>
      </c>
      <c r="CJ108" s="2235" t="str">
        <f t="shared" si="258"/>
        <v/>
      </c>
      <c r="CK108" s="2235" t="str">
        <f t="shared" si="259"/>
        <v/>
      </c>
      <c r="CL108" s="2235" t="str">
        <f t="shared" si="260"/>
        <v/>
      </c>
      <c r="CM108" s="2235" t="str">
        <f t="shared" si="261"/>
        <v/>
      </c>
      <c r="CN108" s="2235" t="str">
        <f t="shared" si="262"/>
        <v/>
      </c>
      <c r="CO108" s="2235" t="str">
        <f t="shared" si="263"/>
        <v/>
      </c>
      <c r="CP108" s="2235" t="str">
        <f t="shared" si="264"/>
        <v/>
      </c>
      <c r="CQ108" s="2235" t="str">
        <f t="shared" si="265"/>
        <v/>
      </c>
      <c r="CR108" s="2235" t="str">
        <f t="shared" si="266"/>
        <v/>
      </c>
      <c r="CS108" s="2235" t="str">
        <f t="shared" si="267"/>
        <v/>
      </c>
      <c r="CT108" s="2235" t="str">
        <f t="shared" si="268"/>
        <v/>
      </c>
      <c r="CU108" s="2235" t="str">
        <f t="shared" si="269"/>
        <v/>
      </c>
      <c r="CV108" s="2235" t="str">
        <f t="shared" si="270"/>
        <v/>
      </c>
      <c r="CW108" s="2235" t="str">
        <f t="shared" si="271"/>
        <v/>
      </c>
      <c r="CX108" s="2235" t="str">
        <f t="shared" si="272"/>
        <v/>
      </c>
      <c r="CY108" s="2235" t="str">
        <f t="shared" si="273"/>
        <v/>
      </c>
      <c r="CZ108" s="2235" t="str">
        <f t="shared" si="227"/>
        <v/>
      </c>
      <c r="DA108" s="1468">
        <f t="shared" si="228"/>
        <v>0</v>
      </c>
      <c r="DB108" s="1468">
        <f t="shared" si="229"/>
        <v>0</v>
      </c>
      <c r="DC108" s="1468">
        <f t="shared" si="230"/>
        <v>0</v>
      </c>
      <c r="DD108" s="1468">
        <f t="shared" si="231"/>
        <v>0</v>
      </c>
      <c r="DE108" s="1468">
        <f t="shared" si="232"/>
        <v>0</v>
      </c>
      <c r="DF108" s="1468">
        <f t="shared" si="233"/>
        <v>0</v>
      </c>
      <c r="DG108" s="1468">
        <f t="shared" si="234"/>
        <v>0</v>
      </c>
      <c r="DH108" s="1468">
        <f t="shared" si="235"/>
        <v>0</v>
      </c>
      <c r="DI108" s="1468">
        <f t="shared" si="236"/>
        <v>0</v>
      </c>
      <c r="DJ108" s="1468">
        <f t="shared" si="237"/>
        <v>0</v>
      </c>
      <c r="DK108" s="1468">
        <f t="shared" si="238"/>
        <v>0</v>
      </c>
      <c r="DL108" s="1468">
        <f t="shared" si="239"/>
        <v>0</v>
      </c>
      <c r="DM108" s="1468">
        <f t="shared" si="240"/>
        <v>0</v>
      </c>
      <c r="DN108" s="1468">
        <f t="shared" si="241"/>
        <v>0</v>
      </c>
      <c r="DO108" s="1468">
        <f t="shared" si="242"/>
        <v>0</v>
      </c>
      <c r="DP108" s="1468">
        <f t="shared" si="243"/>
        <v>0</v>
      </c>
      <c r="DQ108" s="1468">
        <f t="shared" si="244"/>
        <v>0</v>
      </c>
      <c r="DR108" s="1468">
        <f t="shared" si="245"/>
        <v>0</v>
      </c>
      <c r="DS108" s="1468">
        <f t="shared" si="246"/>
        <v>0</v>
      </c>
      <c r="DT108" s="1468">
        <f t="shared" si="247"/>
        <v>0</v>
      </c>
      <c r="DU108" s="1468">
        <f t="shared" si="248"/>
        <v>0</v>
      </c>
      <c r="DV108" s="1468">
        <f t="shared" si="249"/>
        <v>0</v>
      </c>
      <c r="DW108" s="1468">
        <f t="shared" si="250"/>
        <v>0</v>
      </c>
      <c r="DX108" s="1468">
        <f t="shared" si="251"/>
        <v>0</v>
      </c>
      <c r="DY108" s="1468">
        <f t="shared" si="252"/>
        <v>0</v>
      </c>
      <c r="DZ108" s="1468">
        <f t="shared" si="253"/>
        <v>0</v>
      </c>
    </row>
    <row r="109" spans="1:130" ht="24" customHeight="1" x14ac:dyDescent="0.25">
      <c r="A109" s="2085" t="s">
        <v>1791</v>
      </c>
      <c r="B109" s="2038">
        <f>+D109+F109+H109</f>
        <v>0</v>
      </c>
      <c r="C109" s="2084">
        <f>+E109+G109+I109</f>
        <v>0</v>
      </c>
      <c r="D109" s="1129"/>
      <c r="E109" s="1130"/>
      <c r="F109" s="1109"/>
      <c r="G109" s="1130"/>
      <c r="H109" s="1109"/>
      <c r="I109" s="1113"/>
      <c r="J109" s="1135"/>
      <c r="K109" s="1136"/>
      <c r="L109" s="1135"/>
      <c r="M109" s="1136"/>
      <c r="N109" s="1135"/>
      <c r="O109" s="1136"/>
      <c r="P109" s="1135"/>
      <c r="Q109" s="1136"/>
      <c r="R109" s="1135"/>
      <c r="S109" s="1136"/>
      <c r="T109" s="1135"/>
      <c r="U109" s="1136"/>
      <c r="V109" s="1135"/>
      <c r="W109" s="1136"/>
      <c r="X109" s="1135"/>
      <c r="Y109" s="1136"/>
      <c r="Z109" s="1135"/>
      <c r="AA109" s="1136"/>
      <c r="AB109" s="1135"/>
      <c r="AC109" s="1136"/>
      <c r="AD109" s="1135"/>
      <c r="AE109" s="1136"/>
      <c r="AF109" s="1135"/>
      <c r="AG109" s="1136"/>
      <c r="AH109" s="1135"/>
      <c r="AI109" s="1136"/>
      <c r="AJ109" s="1135"/>
      <c r="AK109" s="1136"/>
      <c r="AL109" s="1135"/>
      <c r="AM109" s="1136"/>
      <c r="AN109" s="1135"/>
      <c r="AO109" s="1136"/>
      <c r="AP109" s="1135"/>
      <c r="AQ109" s="1137"/>
      <c r="AR109" s="1129"/>
      <c r="AS109" s="1131"/>
      <c r="AT109" s="1129"/>
      <c r="AU109" s="1130"/>
      <c r="AV109" s="1109"/>
      <c r="AW109" s="1113"/>
      <c r="AX109" s="1193" t="str">
        <f t="shared" si="221"/>
        <v/>
      </c>
      <c r="AY109" s="1193"/>
      <c r="AZ109" s="1193"/>
      <c r="BA109" s="1193"/>
      <c r="BB109" s="1193"/>
      <c r="BC109" s="1193"/>
      <c r="BD109" s="1193"/>
      <c r="BE109" s="1193"/>
      <c r="BF109" s="1193"/>
      <c r="BG109" s="1193"/>
      <c r="BH109" s="1193"/>
      <c r="BI109" s="1187"/>
      <c r="BJ109" s="1187"/>
      <c r="BK109" s="1187"/>
      <c r="BL109" s="1187"/>
      <c r="BU109" s="1187"/>
      <c r="BW109" s="1580"/>
      <c r="CA109" s="2235" t="str">
        <f t="shared" si="222"/>
        <v/>
      </c>
      <c r="CB109" s="2235" t="str">
        <f t="shared" si="223"/>
        <v/>
      </c>
      <c r="CC109" s="2235" t="str">
        <f t="shared" si="224"/>
        <v/>
      </c>
      <c r="CD109" s="2235" t="str">
        <f t="shared" si="225"/>
        <v/>
      </c>
      <c r="CE109" s="2235" t="str">
        <f t="shared" si="226"/>
        <v/>
      </c>
      <c r="CF109" s="2235" t="str">
        <f t="shared" si="254"/>
        <v/>
      </c>
      <c r="CG109" s="2235" t="str">
        <f t="shared" si="255"/>
        <v/>
      </c>
      <c r="CH109" s="2235" t="str">
        <f t="shared" si="256"/>
        <v/>
      </c>
      <c r="CI109" s="2235" t="str">
        <f t="shared" si="257"/>
        <v/>
      </c>
      <c r="CJ109" s="2235" t="str">
        <f t="shared" si="258"/>
        <v/>
      </c>
      <c r="CK109" s="2235" t="str">
        <f t="shared" si="259"/>
        <v/>
      </c>
      <c r="CL109" s="2235" t="str">
        <f t="shared" si="260"/>
        <v/>
      </c>
      <c r="CM109" s="2235" t="str">
        <f t="shared" si="261"/>
        <v/>
      </c>
      <c r="CN109" s="2235" t="str">
        <f t="shared" si="262"/>
        <v/>
      </c>
      <c r="CO109" s="2235" t="str">
        <f t="shared" si="263"/>
        <v/>
      </c>
      <c r="CP109" s="2235" t="str">
        <f t="shared" si="264"/>
        <v/>
      </c>
      <c r="CQ109" s="2235" t="str">
        <f t="shared" si="265"/>
        <v/>
      </c>
      <c r="CR109" s="2235" t="str">
        <f t="shared" si="266"/>
        <v/>
      </c>
      <c r="CS109" s="2235" t="str">
        <f t="shared" si="267"/>
        <v/>
      </c>
      <c r="CT109" s="2235" t="str">
        <f t="shared" si="268"/>
        <v/>
      </c>
      <c r="CU109" s="2235" t="str">
        <f t="shared" si="269"/>
        <v/>
      </c>
      <c r="CV109" s="2235" t="str">
        <f t="shared" si="270"/>
        <v/>
      </c>
      <c r="CW109" s="2235" t="str">
        <f t="shared" si="271"/>
        <v/>
      </c>
      <c r="CX109" s="2235" t="str">
        <f t="shared" si="272"/>
        <v/>
      </c>
      <c r="CY109" s="2235" t="str">
        <f t="shared" si="273"/>
        <v/>
      </c>
      <c r="CZ109" s="2235" t="str">
        <f t="shared" si="227"/>
        <v/>
      </c>
      <c r="DA109" s="1468">
        <f t="shared" si="228"/>
        <v>0</v>
      </c>
      <c r="DB109" s="1468">
        <f t="shared" si="229"/>
        <v>0</v>
      </c>
      <c r="DC109" s="1468">
        <f t="shared" si="230"/>
        <v>0</v>
      </c>
      <c r="DD109" s="1468">
        <f t="shared" si="231"/>
        <v>0</v>
      </c>
      <c r="DE109" s="1468">
        <f t="shared" si="232"/>
        <v>0</v>
      </c>
      <c r="DF109" s="1468">
        <f t="shared" si="233"/>
        <v>0</v>
      </c>
      <c r="DG109" s="1468">
        <f t="shared" si="234"/>
        <v>0</v>
      </c>
      <c r="DH109" s="1468">
        <f t="shared" si="235"/>
        <v>0</v>
      </c>
      <c r="DI109" s="1468">
        <f t="shared" si="236"/>
        <v>0</v>
      </c>
      <c r="DJ109" s="1468">
        <f t="shared" si="237"/>
        <v>0</v>
      </c>
      <c r="DK109" s="1468">
        <f t="shared" si="238"/>
        <v>0</v>
      </c>
      <c r="DL109" s="1468">
        <f t="shared" si="239"/>
        <v>0</v>
      </c>
      <c r="DM109" s="1468">
        <f t="shared" si="240"/>
        <v>0</v>
      </c>
      <c r="DN109" s="1468">
        <f t="shared" si="241"/>
        <v>0</v>
      </c>
      <c r="DO109" s="1468">
        <f t="shared" si="242"/>
        <v>0</v>
      </c>
      <c r="DP109" s="1468">
        <f t="shared" si="243"/>
        <v>0</v>
      </c>
      <c r="DQ109" s="1468">
        <f t="shared" si="244"/>
        <v>0</v>
      </c>
      <c r="DR109" s="1468">
        <f t="shared" si="245"/>
        <v>0</v>
      </c>
      <c r="DS109" s="1468">
        <f t="shared" si="246"/>
        <v>0</v>
      </c>
      <c r="DT109" s="1468">
        <f t="shared" si="247"/>
        <v>0</v>
      </c>
      <c r="DU109" s="1468">
        <f t="shared" si="248"/>
        <v>0</v>
      </c>
      <c r="DV109" s="1468">
        <f t="shared" si="249"/>
        <v>0</v>
      </c>
      <c r="DW109" s="1468">
        <f t="shared" si="250"/>
        <v>0</v>
      </c>
      <c r="DX109" s="1468">
        <f t="shared" si="251"/>
        <v>0</v>
      </c>
      <c r="DY109" s="1468">
        <f t="shared" si="252"/>
        <v>0</v>
      </c>
      <c r="DZ109" s="1468">
        <f t="shared" si="253"/>
        <v>0</v>
      </c>
    </row>
    <row r="110" spans="1:130" ht="18" customHeight="1" x14ac:dyDescent="0.25">
      <c r="A110" s="2085" t="s">
        <v>1792</v>
      </c>
      <c r="B110" s="2038">
        <f>+P110+R110+T110+V110+X110+Z110+AB110+AD110+AF110+AH110+AJ110+AL110+AN110+AP110</f>
        <v>0</v>
      </c>
      <c r="C110" s="2084">
        <f>+Q110+S110+U110+W110+Y110+AA110+AC110+AE110+AG110+AI110+AK110+AM110+AO110+AQ110</f>
        <v>0</v>
      </c>
      <c r="D110" s="1125"/>
      <c r="E110" s="1126"/>
      <c r="F110" s="1127"/>
      <c r="G110" s="1126"/>
      <c r="H110" s="1127"/>
      <c r="I110" s="1126"/>
      <c r="J110" s="1127"/>
      <c r="K110" s="1126"/>
      <c r="L110" s="1127"/>
      <c r="M110" s="1128"/>
      <c r="N110" s="1125"/>
      <c r="O110" s="1126"/>
      <c r="P110" s="1109"/>
      <c r="Q110" s="1130"/>
      <c r="R110" s="1109"/>
      <c r="S110" s="1130"/>
      <c r="T110" s="1109"/>
      <c r="U110" s="1130"/>
      <c r="V110" s="1109"/>
      <c r="W110" s="1130"/>
      <c r="X110" s="1109"/>
      <c r="Y110" s="1130"/>
      <c r="Z110" s="1109"/>
      <c r="AA110" s="1130"/>
      <c r="AB110" s="1109"/>
      <c r="AC110" s="1130"/>
      <c r="AD110" s="1109"/>
      <c r="AE110" s="1130"/>
      <c r="AF110" s="1109"/>
      <c r="AG110" s="1130"/>
      <c r="AH110" s="1109"/>
      <c r="AI110" s="1130"/>
      <c r="AJ110" s="1109"/>
      <c r="AK110" s="1130"/>
      <c r="AL110" s="1109"/>
      <c r="AM110" s="1130"/>
      <c r="AN110" s="1109"/>
      <c r="AO110" s="1130"/>
      <c r="AP110" s="1109"/>
      <c r="AQ110" s="1131"/>
      <c r="AR110" s="1129"/>
      <c r="AS110" s="1131"/>
      <c r="AT110" s="1129"/>
      <c r="AU110" s="1130"/>
      <c r="AV110" s="1109"/>
      <c r="AW110" s="1113"/>
      <c r="AX110" s="1193" t="str">
        <f t="shared" si="221"/>
        <v/>
      </c>
      <c r="AY110" s="1193"/>
      <c r="AZ110" s="1193"/>
      <c r="BA110" s="1193"/>
      <c r="BB110" s="1193"/>
      <c r="BC110" s="1193"/>
      <c r="BD110" s="1193"/>
      <c r="BE110" s="1193"/>
      <c r="BF110" s="1193"/>
      <c r="BG110" s="1193"/>
      <c r="BH110" s="1193"/>
      <c r="BI110" s="1187"/>
      <c r="BJ110" s="1187"/>
      <c r="BK110" s="1187"/>
      <c r="BL110" s="1187"/>
      <c r="BU110" s="1187"/>
      <c r="BW110" s="1580"/>
      <c r="CA110" s="2235" t="str">
        <f t="shared" si="222"/>
        <v/>
      </c>
      <c r="CB110" s="2235" t="str">
        <f t="shared" si="223"/>
        <v/>
      </c>
      <c r="CC110" s="2235" t="str">
        <f t="shared" si="224"/>
        <v/>
      </c>
      <c r="CD110" s="2235" t="str">
        <f t="shared" si="225"/>
        <v/>
      </c>
      <c r="CE110" s="2235" t="str">
        <f t="shared" si="226"/>
        <v/>
      </c>
      <c r="CF110" s="2235" t="str">
        <f t="shared" si="254"/>
        <v/>
      </c>
      <c r="CG110" s="2235" t="str">
        <f t="shared" si="255"/>
        <v/>
      </c>
      <c r="CH110" s="2235" t="str">
        <f t="shared" si="256"/>
        <v/>
      </c>
      <c r="CI110" s="2235" t="str">
        <f t="shared" si="257"/>
        <v/>
      </c>
      <c r="CJ110" s="2235" t="str">
        <f t="shared" si="258"/>
        <v/>
      </c>
      <c r="CK110" s="2235" t="str">
        <f t="shared" si="259"/>
        <v/>
      </c>
      <c r="CL110" s="2235" t="str">
        <f t="shared" si="260"/>
        <v/>
      </c>
      <c r="CM110" s="2235" t="str">
        <f t="shared" si="261"/>
        <v/>
      </c>
      <c r="CN110" s="2235" t="str">
        <f t="shared" si="262"/>
        <v/>
      </c>
      <c r="CO110" s="2235" t="str">
        <f t="shared" si="263"/>
        <v/>
      </c>
      <c r="CP110" s="2235" t="str">
        <f t="shared" si="264"/>
        <v/>
      </c>
      <c r="CQ110" s="2235" t="str">
        <f t="shared" si="265"/>
        <v/>
      </c>
      <c r="CR110" s="2235" t="str">
        <f t="shared" si="266"/>
        <v/>
      </c>
      <c r="CS110" s="2235" t="str">
        <f t="shared" si="267"/>
        <v/>
      </c>
      <c r="CT110" s="2235" t="str">
        <f t="shared" si="268"/>
        <v/>
      </c>
      <c r="CU110" s="2235" t="str">
        <f t="shared" si="269"/>
        <v/>
      </c>
      <c r="CV110" s="2235" t="str">
        <f t="shared" si="270"/>
        <v/>
      </c>
      <c r="CW110" s="2235" t="str">
        <f t="shared" si="271"/>
        <v/>
      </c>
      <c r="CX110" s="2235" t="str">
        <f t="shared" si="272"/>
        <v/>
      </c>
      <c r="CY110" s="2235" t="str">
        <f t="shared" si="273"/>
        <v/>
      </c>
      <c r="CZ110" s="2235" t="str">
        <f t="shared" si="227"/>
        <v/>
      </c>
      <c r="DA110" s="1468">
        <f t="shared" si="228"/>
        <v>0</v>
      </c>
      <c r="DB110" s="1468">
        <f t="shared" si="229"/>
        <v>0</v>
      </c>
      <c r="DC110" s="1468">
        <f t="shared" si="230"/>
        <v>0</v>
      </c>
      <c r="DD110" s="1468">
        <f t="shared" si="231"/>
        <v>0</v>
      </c>
      <c r="DE110" s="1468">
        <f t="shared" si="232"/>
        <v>0</v>
      </c>
      <c r="DF110" s="1468">
        <f t="shared" si="233"/>
        <v>0</v>
      </c>
      <c r="DG110" s="1468">
        <f t="shared" si="234"/>
        <v>0</v>
      </c>
      <c r="DH110" s="1468">
        <f t="shared" si="235"/>
        <v>0</v>
      </c>
      <c r="DI110" s="1468">
        <f t="shared" si="236"/>
        <v>0</v>
      </c>
      <c r="DJ110" s="1468">
        <f t="shared" si="237"/>
        <v>0</v>
      </c>
      <c r="DK110" s="1468">
        <f t="shared" si="238"/>
        <v>0</v>
      </c>
      <c r="DL110" s="1468">
        <f t="shared" si="239"/>
        <v>0</v>
      </c>
      <c r="DM110" s="1468">
        <f t="shared" si="240"/>
        <v>0</v>
      </c>
      <c r="DN110" s="1468">
        <f t="shared" si="241"/>
        <v>0</v>
      </c>
      <c r="DO110" s="1468">
        <f t="shared" si="242"/>
        <v>0</v>
      </c>
      <c r="DP110" s="1468">
        <f t="shared" si="243"/>
        <v>0</v>
      </c>
      <c r="DQ110" s="1468">
        <f t="shared" si="244"/>
        <v>0</v>
      </c>
      <c r="DR110" s="1468">
        <f t="shared" si="245"/>
        <v>0</v>
      </c>
      <c r="DS110" s="1468">
        <f t="shared" si="246"/>
        <v>0</v>
      </c>
      <c r="DT110" s="1468">
        <f t="shared" si="247"/>
        <v>0</v>
      </c>
      <c r="DU110" s="1468">
        <f t="shared" si="248"/>
        <v>0</v>
      </c>
      <c r="DV110" s="1468">
        <f t="shared" si="249"/>
        <v>0</v>
      </c>
      <c r="DW110" s="1468">
        <f t="shared" si="250"/>
        <v>0</v>
      </c>
      <c r="DX110" s="1468">
        <f t="shared" si="251"/>
        <v>0</v>
      </c>
      <c r="DY110" s="1468">
        <f t="shared" si="252"/>
        <v>0</v>
      </c>
      <c r="DZ110" s="1468">
        <f t="shared" si="253"/>
        <v>0</v>
      </c>
    </row>
    <row r="111" spans="1:130" ht="16.149999999999999" customHeight="1" x14ac:dyDescent="0.25">
      <c r="A111" s="2040" t="s">
        <v>1793</v>
      </c>
      <c r="B111" s="2038">
        <f>+N111+P111+R111+T111+V111+X111+Z111+AB111+AD111+AF111+AH111+AJ111+AL111+AN111+AP111</f>
        <v>0</v>
      </c>
      <c r="C111" s="2084">
        <f>+O111+Q111+S111+U111+W111+Y111+AA111+AC111+AE111+AG111+AI111+AK111+AM111+AO111+AQ111</f>
        <v>0</v>
      </c>
      <c r="D111" s="1132"/>
      <c r="E111" s="1136"/>
      <c r="F111" s="1135"/>
      <c r="G111" s="1136"/>
      <c r="H111" s="1135"/>
      <c r="I111" s="1138"/>
      <c r="J111" s="1132"/>
      <c r="K111" s="1132"/>
      <c r="L111" s="1135"/>
      <c r="M111" s="1138"/>
      <c r="N111" s="1129"/>
      <c r="O111" s="1130"/>
      <c r="P111" s="1109"/>
      <c r="Q111" s="1130"/>
      <c r="R111" s="1109"/>
      <c r="S111" s="1130"/>
      <c r="T111" s="1109"/>
      <c r="U111" s="1130"/>
      <c r="V111" s="1109"/>
      <c r="W111" s="1130"/>
      <c r="X111" s="1109"/>
      <c r="Y111" s="1130"/>
      <c r="Z111" s="1109"/>
      <c r="AA111" s="1130"/>
      <c r="AB111" s="1109"/>
      <c r="AC111" s="1130"/>
      <c r="AD111" s="1109"/>
      <c r="AE111" s="1130"/>
      <c r="AF111" s="1109"/>
      <c r="AG111" s="1130"/>
      <c r="AH111" s="1109"/>
      <c r="AI111" s="1130"/>
      <c r="AJ111" s="1109"/>
      <c r="AK111" s="1130"/>
      <c r="AL111" s="1109"/>
      <c r="AM111" s="1130"/>
      <c r="AN111" s="1109"/>
      <c r="AO111" s="1130"/>
      <c r="AP111" s="1109"/>
      <c r="AQ111" s="1131"/>
      <c r="AR111" s="1129"/>
      <c r="AS111" s="1131"/>
      <c r="AT111" s="1129"/>
      <c r="AU111" s="1130"/>
      <c r="AV111" s="1109"/>
      <c r="AW111" s="1113"/>
      <c r="AX111" s="1193" t="str">
        <f t="shared" si="221"/>
        <v/>
      </c>
      <c r="AY111" s="1193"/>
      <c r="AZ111" s="1193"/>
      <c r="BA111" s="1193"/>
      <c r="BB111" s="1193"/>
      <c r="BC111" s="1193"/>
      <c r="BD111" s="1193"/>
      <c r="BE111" s="1193"/>
      <c r="BF111" s="1193"/>
      <c r="BG111" s="1193"/>
      <c r="BH111" s="1193"/>
      <c r="BI111" s="1187"/>
      <c r="BJ111" s="1187"/>
      <c r="BK111" s="1187"/>
      <c r="BL111" s="1187"/>
      <c r="BU111" s="1187"/>
      <c r="BW111" s="1580"/>
      <c r="CA111" s="2235" t="str">
        <f t="shared" si="222"/>
        <v/>
      </c>
      <c r="CB111" s="2235" t="str">
        <f t="shared" si="223"/>
        <v/>
      </c>
      <c r="CC111" s="2235" t="str">
        <f t="shared" si="224"/>
        <v/>
      </c>
      <c r="CD111" s="2235" t="str">
        <f t="shared" si="225"/>
        <v/>
      </c>
      <c r="CE111" s="2235" t="str">
        <f t="shared" si="226"/>
        <v/>
      </c>
      <c r="CF111" s="2235" t="str">
        <f t="shared" si="254"/>
        <v/>
      </c>
      <c r="CG111" s="2235" t="str">
        <f t="shared" si="255"/>
        <v/>
      </c>
      <c r="CH111" s="2235" t="str">
        <f t="shared" si="256"/>
        <v/>
      </c>
      <c r="CI111" s="2235" t="str">
        <f t="shared" si="257"/>
        <v/>
      </c>
      <c r="CJ111" s="2235" t="str">
        <f t="shared" si="258"/>
        <v/>
      </c>
      <c r="CK111" s="2235" t="str">
        <f t="shared" si="259"/>
        <v/>
      </c>
      <c r="CL111" s="2235" t="str">
        <f t="shared" si="260"/>
        <v/>
      </c>
      <c r="CM111" s="2235" t="str">
        <f t="shared" si="261"/>
        <v/>
      </c>
      <c r="CN111" s="2235" t="str">
        <f t="shared" si="262"/>
        <v/>
      </c>
      <c r="CO111" s="2235" t="str">
        <f t="shared" si="263"/>
        <v/>
      </c>
      <c r="CP111" s="2235" t="str">
        <f t="shared" si="264"/>
        <v/>
      </c>
      <c r="CQ111" s="2235" t="str">
        <f t="shared" si="265"/>
        <v/>
      </c>
      <c r="CR111" s="2235" t="str">
        <f t="shared" si="266"/>
        <v/>
      </c>
      <c r="CS111" s="2235" t="str">
        <f t="shared" si="267"/>
        <v/>
      </c>
      <c r="CT111" s="2235" t="str">
        <f t="shared" si="268"/>
        <v/>
      </c>
      <c r="CU111" s="2235" t="str">
        <f t="shared" si="269"/>
        <v/>
      </c>
      <c r="CV111" s="2235" t="str">
        <f t="shared" si="270"/>
        <v/>
      </c>
      <c r="CW111" s="2235" t="str">
        <f t="shared" si="271"/>
        <v/>
      </c>
      <c r="CX111" s="2235" t="str">
        <f t="shared" si="272"/>
        <v/>
      </c>
      <c r="CY111" s="2235" t="str">
        <f t="shared" si="273"/>
        <v/>
      </c>
      <c r="CZ111" s="2235" t="str">
        <f t="shared" si="227"/>
        <v/>
      </c>
      <c r="DA111" s="1468">
        <f t="shared" si="228"/>
        <v>0</v>
      </c>
      <c r="DB111" s="1468">
        <f t="shared" si="229"/>
        <v>0</v>
      </c>
      <c r="DC111" s="1468">
        <f t="shared" si="230"/>
        <v>0</v>
      </c>
      <c r="DD111" s="1468">
        <f t="shared" si="231"/>
        <v>0</v>
      </c>
      <c r="DE111" s="1468">
        <f t="shared" si="232"/>
        <v>0</v>
      </c>
      <c r="DF111" s="1468">
        <f t="shared" si="233"/>
        <v>0</v>
      </c>
      <c r="DG111" s="1468">
        <f t="shared" si="234"/>
        <v>0</v>
      </c>
      <c r="DH111" s="1468">
        <f t="shared" si="235"/>
        <v>0</v>
      </c>
      <c r="DI111" s="1468">
        <f t="shared" si="236"/>
        <v>0</v>
      </c>
      <c r="DJ111" s="1468">
        <f t="shared" si="237"/>
        <v>0</v>
      </c>
      <c r="DK111" s="1468">
        <f t="shared" si="238"/>
        <v>0</v>
      </c>
      <c r="DL111" s="1468">
        <f t="shared" si="239"/>
        <v>0</v>
      </c>
      <c r="DM111" s="1468">
        <f t="shared" si="240"/>
        <v>0</v>
      </c>
      <c r="DN111" s="1468">
        <f t="shared" si="241"/>
        <v>0</v>
      </c>
      <c r="DO111" s="1468">
        <f t="shared" si="242"/>
        <v>0</v>
      </c>
      <c r="DP111" s="1468">
        <f t="shared" si="243"/>
        <v>0</v>
      </c>
      <c r="DQ111" s="1468">
        <f t="shared" si="244"/>
        <v>0</v>
      </c>
      <c r="DR111" s="1468">
        <f t="shared" si="245"/>
        <v>0</v>
      </c>
      <c r="DS111" s="1468">
        <f t="shared" si="246"/>
        <v>0</v>
      </c>
      <c r="DT111" s="1468">
        <f t="shared" si="247"/>
        <v>0</v>
      </c>
      <c r="DU111" s="1468">
        <f t="shared" si="248"/>
        <v>0</v>
      </c>
      <c r="DV111" s="1468">
        <f t="shared" si="249"/>
        <v>0</v>
      </c>
      <c r="DW111" s="1468">
        <f t="shared" si="250"/>
        <v>0</v>
      </c>
      <c r="DX111" s="1468">
        <f t="shared" si="251"/>
        <v>0</v>
      </c>
      <c r="DY111" s="1468">
        <f t="shared" si="252"/>
        <v>0</v>
      </c>
      <c r="DZ111" s="1468">
        <f t="shared" si="253"/>
        <v>0</v>
      </c>
    </row>
    <row r="112" spans="1:130" ht="16.149999999999999" customHeight="1" x14ac:dyDescent="0.25">
      <c r="A112" s="2040" t="s">
        <v>1794</v>
      </c>
      <c r="B112" s="2038">
        <f>+D112+F112+H112+J112+L112+N112+P112+R112+T112+V112+X112+Z112+AB112+AD112+AF112+AH112+AJ112+AL112+AN112+AP112</f>
        <v>0</v>
      </c>
      <c r="C112" s="2084">
        <f>+E112+G112+I112+K112+M112+O112+Q112+S112+U112+W112+Y112+AA112+AC112+AE112+AG112+AI112+AK112+AM112+AO112+AQ112</f>
        <v>0</v>
      </c>
      <c r="D112" s="1129"/>
      <c r="E112" s="1130"/>
      <c r="F112" s="1109"/>
      <c r="G112" s="1130"/>
      <c r="H112" s="1109"/>
      <c r="I112" s="1113"/>
      <c r="J112" s="1129"/>
      <c r="K112" s="1129"/>
      <c r="L112" s="1109"/>
      <c r="M112" s="1113"/>
      <c r="N112" s="1129"/>
      <c r="O112" s="1130"/>
      <c r="P112" s="1109"/>
      <c r="Q112" s="1130"/>
      <c r="R112" s="1109"/>
      <c r="S112" s="1130"/>
      <c r="T112" s="1109"/>
      <c r="U112" s="1130"/>
      <c r="V112" s="1109"/>
      <c r="W112" s="1130"/>
      <c r="X112" s="1109"/>
      <c r="Y112" s="1130"/>
      <c r="Z112" s="1109"/>
      <c r="AA112" s="1130"/>
      <c r="AB112" s="1109"/>
      <c r="AC112" s="1130"/>
      <c r="AD112" s="1109"/>
      <c r="AE112" s="1130"/>
      <c r="AF112" s="1109"/>
      <c r="AG112" s="1130"/>
      <c r="AH112" s="1109"/>
      <c r="AI112" s="1130"/>
      <c r="AJ112" s="1109"/>
      <c r="AK112" s="1130"/>
      <c r="AL112" s="1109"/>
      <c r="AM112" s="1130"/>
      <c r="AN112" s="1109"/>
      <c r="AO112" s="1130"/>
      <c r="AP112" s="1109"/>
      <c r="AQ112" s="1131"/>
      <c r="AR112" s="1129"/>
      <c r="AS112" s="1131"/>
      <c r="AT112" s="1129"/>
      <c r="AU112" s="1130"/>
      <c r="AV112" s="1109"/>
      <c r="AW112" s="1113"/>
      <c r="AX112" s="1193" t="str">
        <f t="shared" si="221"/>
        <v/>
      </c>
      <c r="AY112" s="1193"/>
      <c r="AZ112" s="1193"/>
      <c r="BA112" s="1193"/>
      <c r="BB112" s="1193"/>
      <c r="BC112" s="1193"/>
      <c r="BD112" s="1193"/>
      <c r="BE112" s="1193"/>
      <c r="BF112" s="1193"/>
      <c r="BG112" s="1193"/>
      <c r="BH112" s="1193"/>
      <c r="BI112" s="1187"/>
      <c r="BJ112" s="1187"/>
      <c r="BK112" s="1187"/>
      <c r="BL112" s="1187"/>
      <c r="BU112" s="1187"/>
      <c r="BW112" s="1580"/>
      <c r="CA112" s="2235" t="str">
        <f t="shared" si="222"/>
        <v/>
      </c>
      <c r="CB112" s="2235" t="str">
        <f t="shared" si="223"/>
        <v/>
      </c>
      <c r="CC112" s="2235" t="str">
        <f t="shared" si="224"/>
        <v/>
      </c>
      <c r="CD112" s="2235" t="str">
        <f t="shared" si="225"/>
        <v/>
      </c>
      <c r="CE112" s="2235" t="str">
        <f t="shared" si="226"/>
        <v/>
      </c>
      <c r="CF112" s="2235" t="str">
        <f t="shared" si="254"/>
        <v/>
      </c>
      <c r="CG112" s="2235" t="str">
        <f t="shared" si="255"/>
        <v/>
      </c>
      <c r="CH112" s="2235" t="str">
        <f t="shared" si="256"/>
        <v/>
      </c>
      <c r="CI112" s="2235" t="str">
        <f t="shared" si="257"/>
        <v/>
      </c>
      <c r="CJ112" s="2235" t="str">
        <f t="shared" si="258"/>
        <v/>
      </c>
      <c r="CK112" s="2235" t="str">
        <f t="shared" si="259"/>
        <v/>
      </c>
      <c r="CL112" s="2235" t="str">
        <f t="shared" si="260"/>
        <v/>
      </c>
      <c r="CM112" s="2235" t="str">
        <f t="shared" si="261"/>
        <v/>
      </c>
      <c r="CN112" s="2235" t="str">
        <f t="shared" si="262"/>
        <v/>
      </c>
      <c r="CO112" s="2235" t="str">
        <f t="shared" si="263"/>
        <v/>
      </c>
      <c r="CP112" s="2235" t="str">
        <f t="shared" si="264"/>
        <v/>
      </c>
      <c r="CQ112" s="2235" t="str">
        <f t="shared" si="265"/>
        <v/>
      </c>
      <c r="CR112" s="2235" t="str">
        <f t="shared" si="266"/>
        <v/>
      </c>
      <c r="CS112" s="2235" t="str">
        <f t="shared" si="267"/>
        <v/>
      </c>
      <c r="CT112" s="2235" t="str">
        <f t="shared" si="268"/>
        <v/>
      </c>
      <c r="CU112" s="2235" t="str">
        <f t="shared" si="269"/>
        <v/>
      </c>
      <c r="CV112" s="2235" t="str">
        <f t="shared" si="270"/>
        <v/>
      </c>
      <c r="CW112" s="2235" t="str">
        <f t="shared" si="271"/>
        <v/>
      </c>
      <c r="CX112" s="2235" t="str">
        <f t="shared" si="272"/>
        <v/>
      </c>
      <c r="CY112" s="2235" t="str">
        <f t="shared" si="273"/>
        <v/>
      </c>
      <c r="CZ112" s="2235" t="str">
        <f t="shared" si="227"/>
        <v/>
      </c>
      <c r="DA112" s="1468">
        <f t="shared" si="228"/>
        <v>0</v>
      </c>
      <c r="DB112" s="1468">
        <f t="shared" si="229"/>
        <v>0</v>
      </c>
      <c r="DC112" s="1468">
        <f t="shared" si="230"/>
        <v>0</v>
      </c>
      <c r="DD112" s="1468">
        <f t="shared" si="231"/>
        <v>0</v>
      </c>
      <c r="DE112" s="1468">
        <f t="shared" si="232"/>
        <v>0</v>
      </c>
      <c r="DF112" s="1468">
        <f t="shared" si="233"/>
        <v>0</v>
      </c>
      <c r="DG112" s="1468">
        <f t="shared" si="234"/>
        <v>0</v>
      </c>
      <c r="DH112" s="1468">
        <f t="shared" si="235"/>
        <v>0</v>
      </c>
      <c r="DI112" s="1468">
        <f t="shared" si="236"/>
        <v>0</v>
      </c>
      <c r="DJ112" s="1468">
        <f t="shared" si="237"/>
        <v>0</v>
      </c>
      <c r="DK112" s="1468">
        <f t="shared" si="238"/>
        <v>0</v>
      </c>
      <c r="DL112" s="1468">
        <f t="shared" si="239"/>
        <v>0</v>
      </c>
      <c r="DM112" s="1468">
        <f t="shared" si="240"/>
        <v>0</v>
      </c>
      <c r="DN112" s="1468">
        <f t="shared" si="241"/>
        <v>0</v>
      </c>
      <c r="DO112" s="1468">
        <f t="shared" si="242"/>
        <v>0</v>
      </c>
      <c r="DP112" s="1468">
        <f t="shared" si="243"/>
        <v>0</v>
      </c>
      <c r="DQ112" s="1468">
        <f t="shared" si="244"/>
        <v>0</v>
      </c>
      <c r="DR112" s="1468">
        <f t="shared" si="245"/>
        <v>0</v>
      </c>
      <c r="DS112" s="1468">
        <f t="shared" si="246"/>
        <v>0</v>
      </c>
      <c r="DT112" s="1468">
        <f t="shared" si="247"/>
        <v>0</v>
      </c>
      <c r="DU112" s="1468">
        <f t="shared" si="248"/>
        <v>0</v>
      </c>
      <c r="DV112" s="1468">
        <f t="shared" si="249"/>
        <v>0</v>
      </c>
      <c r="DW112" s="1468">
        <f t="shared" si="250"/>
        <v>0</v>
      </c>
      <c r="DX112" s="1468">
        <f t="shared" si="251"/>
        <v>0</v>
      </c>
      <c r="DY112" s="1468">
        <f t="shared" si="252"/>
        <v>0</v>
      </c>
      <c r="DZ112" s="1468">
        <f t="shared" si="253"/>
        <v>0</v>
      </c>
    </row>
    <row r="113" spans="1:130" ht="16.149999999999999" customHeight="1" x14ac:dyDescent="0.25">
      <c r="A113" s="2072" t="s">
        <v>2179</v>
      </c>
      <c r="B113" s="2038">
        <f>+P113+R113+T113+V113+X113+Z113+AB113+AD113+AF113+AH113+AJ113+AL113+AN113+AP113</f>
        <v>0</v>
      </c>
      <c r="C113" s="2084">
        <f>+Q113+S113+U113+W113+Y113+AA113+AC113+AE113+AG113+AI113+AK113+AM113+AO113+AQ113</f>
        <v>0</v>
      </c>
      <c r="D113" s="1125"/>
      <c r="E113" s="1126"/>
      <c r="F113" s="1127"/>
      <c r="G113" s="1126"/>
      <c r="H113" s="1127"/>
      <c r="I113" s="1126"/>
      <c r="J113" s="1127"/>
      <c r="K113" s="1126"/>
      <c r="L113" s="1127"/>
      <c r="M113" s="1128"/>
      <c r="N113" s="1125"/>
      <c r="O113" s="1126"/>
      <c r="P113" s="1109"/>
      <c r="Q113" s="1130"/>
      <c r="R113" s="1109"/>
      <c r="S113" s="1130"/>
      <c r="T113" s="1109"/>
      <c r="U113" s="1130"/>
      <c r="V113" s="1109"/>
      <c r="W113" s="1130"/>
      <c r="X113" s="1109"/>
      <c r="Y113" s="1130"/>
      <c r="Z113" s="1109"/>
      <c r="AA113" s="1130"/>
      <c r="AB113" s="1109"/>
      <c r="AC113" s="1130"/>
      <c r="AD113" s="1109"/>
      <c r="AE113" s="1130"/>
      <c r="AF113" s="1109"/>
      <c r="AG113" s="1130"/>
      <c r="AH113" s="1109"/>
      <c r="AI113" s="1130"/>
      <c r="AJ113" s="1109"/>
      <c r="AK113" s="1130"/>
      <c r="AL113" s="1109"/>
      <c r="AM113" s="1130"/>
      <c r="AN113" s="1109"/>
      <c r="AO113" s="1130"/>
      <c r="AP113" s="1109"/>
      <c r="AQ113" s="1131"/>
      <c r="AR113" s="1129"/>
      <c r="AS113" s="1131"/>
      <c r="AT113" s="1129"/>
      <c r="AU113" s="1130"/>
      <c r="AV113" s="1109"/>
      <c r="AW113" s="1113"/>
      <c r="AX113" s="1193" t="str">
        <f t="shared" si="221"/>
        <v/>
      </c>
      <c r="AY113" s="1193"/>
      <c r="AZ113" s="1193"/>
      <c r="BA113" s="1193"/>
      <c r="BB113" s="1193"/>
      <c r="BC113" s="1193"/>
      <c r="BD113" s="1193"/>
      <c r="BE113" s="1193"/>
      <c r="BF113" s="1193"/>
      <c r="BG113" s="1193"/>
      <c r="BH113" s="1193"/>
      <c r="BI113" s="1187"/>
      <c r="BJ113" s="1187"/>
      <c r="BK113" s="1187"/>
      <c r="BL113" s="1187"/>
      <c r="BU113" s="1187"/>
      <c r="BW113" s="1580"/>
      <c r="CA113" s="2235" t="str">
        <f t="shared" si="222"/>
        <v/>
      </c>
      <c r="CB113" s="2235" t="str">
        <f t="shared" si="223"/>
        <v/>
      </c>
      <c r="CC113" s="2235" t="str">
        <f t="shared" si="224"/>
        <v/>
      </c>
      <c r="CD113" s="2235" t="str">
        <f t="shared" si="225"/>
        <v/>
      </c>
      <c r="CE113" s="2235" t="str">
        <f t="shared" si="226"/>
        <v/>
      </c>
      <c r="CF113" s="2235" t="str">
        <f t="shared" si="254"/>
        <v/>
      </c>
      <c r="CG113" s="2235" t="str">
        <f t="shared" si="255"/>
        <v/>
      </c>
      <c r="CH113" s="2235" t="str">
        <f t="shared" si="256"/>
        <v/>
      </c>
      <c r="CI113" s="2235" t="str">
        <f t="shared" si="257"/>
        <v/>
      </c>
      <c r="CJ113" s="2235" t="str">
        <f t="shared" si="258"/>
        <v/>
      </c>
      <c r="CK113" s="2235" t="str">
        <f t="shared" si="259"/>
        <v/>
      </c>
      <c r="CL113" s="2235" t="str">
        <f t="shared" si="260"/>
        <v/>
      </c>
      <c r="CM113" s="2235" t="str">
        <f t="shared" si="261"/>
        <v/>
      </c>
      <c r="CN113" s="2235" t="str">
        <f t="shared" si="262"/>
        <v/>
      </c>
      <c r="CO113" s="2235" t="str">
        <f t="shared" si="263"/>
        <v/>
      </c>
      <c r="CP113" s="2235" t="str">
        <f t="shared" si="264"/>
        <v/>
      </c>
      <c r="CQ113" s="2235" t="str">
        <f t="shared" si="265"/>
        <v/>
      </c>
      <c r="CR113" s="2235" t="str">
        <f t="shared" si="266"/>
        <v/>
      </c>
      <c r="CS113" s="2235" t="str">
        <f t="shared" si="267"/>
        <v/>
      </c>
      <c r="CT113" s="2235" t="str">
        <f t="shared" si="268"/>
        <v/>
      </c>
      <c r="CU113" s="2235" t="str">
        <f t="shared" si="269"/>
        <v/>
      </c>
      <c r="CV113" s="2235" t="str">
        <f t="shared" si="270"/>
        <v/>
      </c>
      <c r="CW113" s="2235" t="str">
        <f t="shared" si="271"/>
        <v/>
      </c>
      <c r="CX113" s="2235" t="str">
        <f t="shared" si="272"/>
        <v/>
      </c>
      <c r="CY113" s="2235" t="str">
        <f t="shared" si="273"/>
        <v/>
      </c>
      <c r="CZ113" s="2235" t="str">
        <f t="shared" si="227"/>
        <v/>
      </c>
      <c r="DA113" s="1468">
        <f t="shared" si="228"/>
        <v>0</v>
      </c>
      <c r="DB113" s="1468">
        <f t="shared" si="229"/>
        <v>0</v>
      </c>
      <c r="DC113" s="1468">
        <f t="shared" si="230"/>
        <v>0</v>
      </c>
      <c r="DD113" s="1468">
        <f t="shared" si="231"/>
        <v>0</v>
      </c>
      <c r="DE113" s="1468">
        <f t="shared" si="232"/>
        <v>0</v>
      </c>
      <c r="DF113" s="1468">
        <f t="shared" si="233"/>
        <v>0</v>
      </c>
      <c r="DG113" s="1468">
        <f t="shared" si="234"/>
        <v>0</v>
      </c>
      <c r="DH113" s="1468">
        <f t="shared" si="235"/>
        <v>0</v>
      </c>
      <c r="DI113" s="1468">
        <f t="shared" si="236"/>
        <v>0</v>
      </c>
      <c r="DJ113" s="1468">
        <f t="shared" si="237"/>
        <v>0</v>
      </c>
      <c r="DK113" s="1468">
        <f t="shared" si="238"/>
        <v>0</v>
      </c>
      <c r="DL113" s="1468">
        <f t="shared" si="239"/>
        <v>0</v>
      </c>
      <c r="DM113" s="1468">
        <f t="shared" si="240"/>
        <v>0</v>
      </c>
      <c r="DN113" s="1468">
        <f t="shared" si="241"/>
        <v>0</v>
      </c>
      <c r="DO113" s="1468">
        <f t="shared" si="242"/>
        <v>0</v>
      </c>
      <c r="DP113" s="1468">
        <f t="shared" si="243"/>
        <v>0</v>
      </c>
      <c r="DQ113" s="1468">
        <f t="shared" si="244"/>
        <v>0</v>
      </c>
      <c r="DR113" s="1468">
        <f t="shared" si="245"/>
        <v>0</v>
      </c>
      <c r="DS113" s="1468">
        <f t="shared" si="246"/>
        <v>0</v>
      </c>
      <c r="DT113" s="1468">
        <f t="shared" si="247"/>
        <v>0</v>
      </c>
      <c r="DU113" s="1468">
        <f t="shared" si="248"/>
        <v>0</v>
      </c>
      <c r="DV113" s="1468">
        <f t="shared" si="249"/>
        <v>0</v>
      </c>
      <c r="DW113" s="1468">
        <f t="shared" si="250"/>
        <v>0</v>
      </c>
      <c r="DX113" s="1468">
        <f t="shared" si="251"/>
        <v>0</v>
      </c>
      <c r="DY113" s="1468">
        <f t="shared" si="252"/>
        <v>0</v>
      </c>
      <c r="DZ113" s="1468">
        <f t="shared" si="253"/>
        <v>0</v>
      </c>
    </row>
    <row r="114" spans="1:130" ht="16.149999999999999" customHeight="1" x14ac:dyDescent="0.25">
      <c r="A114" s="2040" t="s">
        <v>1795</v>
      </c>
      <c r="B114" s="2038">
        <f>+P114+R114+T114+V114+X114+Z114+AB114+AD114+AF114+AH114</f>
        <v>0</v>
      </c>
      <c r="C114" s="2084">
        <f>+Q114+S114+U114+W114+Y114+AA114+AC114+AE114+AG114+AI114</f>
        <v>0</v>
      </c>
      <c r="D114" s="1125"/>
      <c r="E114" s="1126"/>
      <c r="F114" s="1127"/>
      <c r="G114" s="1126"/>
      <c r="H114" s="1127"/>
      <c r="I114" s="1126"/>
      <c r="J114" s="1127"/>
      <c r="K114" s="1126"/>
      <c r="L114" s="1127"/>
      <c r="M114" s="1128"/>
      <c r="N114" s="1125"/>
      <c r="O114" s="1126"/>
      <c r="P114" s="1109"/>
      <c r="Q114" s="1130"/>
      <c r="R114" s="1109"/>
      <c r="S114" s="1130"/>
      <c r="T114" s="1109"/>
      <c r="U114" s="1130"/>
      <c r="V114" s="1109"/>
      <c r="W114" s="1130"/>
      <c r="X114" s="1109"/>
      <c r="Y114" s="1130"/>
      <c r="Z114" s="1109"/>
      <c r="AA114" s="1130"/>
      <c r="AB114" s="1109"/>
      <c r="AC114" s="1130"/>
      <c r="AD114" s="1109"/>
      <c r="AE114" s="1130"/>
      <c r="AF114" s="1109"/>
      <c r="AG114" s="1130"/>
      <c r="AH114" s="1109"/>
      <c r="AI114" s="1130"/>
      <c r="AJ114" s="1127"/>
      <c r="AK114" s="1126"/>
      <c r="AL114" s="1127"/>
      <c r="AM114" s="1126"/>
      <c r="AN114" s="1127"/>
      <c r="AO114" s="1126"/>
      <c r="AP114" s="1127"/>
      <c r="AQ114" s="1139"/>
      <c r="AR114" s="1129"/>
      <c r="AS114" s="1131"/>
      <c r="AT114" s="1129"/>
      <c r="AU114" s="1130"/>
      <c r="AV114" s="1109"/>
      <c r="AW114" s="1113"/>
      <c r="AX114" s="1193" t="str">
        <f t="shared" si="221"/>
        <v/>
      </c>
      <c r="AY114" s="1193"/>
      <c r="AZ114" s="1193"/>
      <c r="BA114" s="1193"/>
      <c r="BB114" s="1193"/>
      <c r="BC114" s="1193"/>
      <c r="BD114" s="1193"/>
      <c r="BE114" s="1193"/>
      <c r="BF114" s="1193"/>
      <c r="BG114" s="1193"/>
      <c r="BH114" s="1193"/>
      <c r="BI114" s="1187"/>
      <c r="BJ114" s="1187"/>
      <c r="BK114" s="1187"/>
      <c r="BL114" s="1187"/>
      <c r="BU114" s="1187"/>
      <c r="BW114" s="1580"/>
      <c r="CA114" s="2235" t="str">
        <f t="shared" si="222"/>
        <v/>
      </c>
      <c r="CB114" s="2235" t="str">
        <f t="shared" si="223"/>
        <v/>
      </c>
      <c r="CC114" s="2235" t="str">
        <f t="shared" si="224"/>
        <v/>
      </c>
      <c r="CD114" s="2235" t="str">
        <f t="shared" si="225"/>
        <v/>
      </c>
      <c r="CE114" s="2235" t="str">
        <f t="shared" si="226"/>
        <v/>
      </c>
      <c r="CF114" s="2235" t="str">
        <f t="shared" si="254"/>
        <v/>
      </c>
      <c r="CG114" s="2235" t="str">
        <f t="shared" si="255"/>
        <v/>
      </c>
      <c r="CH114" s="2235" t="str">
        <f t="shared" si="256"/>
        <v/>
      </c>
      <c r="CI114" s="2235" t="str">
        <f t="shared" si="257"/>
        <v/>
      </c>
      <c r="CJ114" s="2235" t="str">
        <f t="shared" si="258"/>
        <v/>
      </c>
      <c r="CK114" s="2235" t="str">
        <f t="shared" si="259"/>
        <v/>
      </c>
      <c r="CL114" s="2235" t="str">
        <f t="shared" si="260"/>
        <v/>
      </c>
      <c r="CM114" s="2235" t="str">
        <f t="shared" si="261"/>
        <v/>
      </c>
      <c r="CN114" s="2235" t="str">
        <f t="shared" si="262"/>
        <v/>
      </c>
      <c r="CO114" s="2235" t="str">
        <f t="shared" si="263"/>
        <v/>
      </c>
      <c r="CP114" s="2235" t="str">
        <f t="shared" si="264"/>
        <v/>
      </c>
      <c r="CQ114" s="2235" t="str">
        <f t="shared" si="265"/>
        <v/>
      </c>
      <c r="CR114" s="2235" t="str">
        <f t="shared" si="266"/>
        <v/>
      </c>
      <c r="CS114" s="2235" t="str">
        <f t="shared" si="267"/>
        <v/>
      </c>
      <c r="CT114" s="2235" t="str">
        <f t="shared" si="268"/>
        <v/>
      </c>
      <c r="CU114" s="2235" t="str">
        <f t="shared" si="269"/>
        <v/>
      </c>
      <c r="CV114" s="2235" t="str">
        <f t="shared" si="270"/>
        <v/>
      </c>
      <c r="CW114" s="2235" t="str">
        <f t="shared" si="271"/>
        <v/>
      </c>
      <c r="CX114" s="2235" t="str">
        <f t="shared" si="272"/>
        <v/>
      </c>
      <c r="CY114" s="2235" t="str">
        <f t="shared" si="273"/>
        <v/>
      </c>
      <c r="CZ114" s="2235" t="str">
        <f t="shared" si="227"/>
        <v/>
      </c>
      <c r="DA114" s="1468">
        <f t="shared" si="228"/>
        <v>0</v>
      </c>
      <c r="DB114" s="1468">
        <f t="shared" si="229"/>
        <v>0</v>
      </c>
      <c r="DC114" s="1468">
        <f t="shared" si="230"/>
        <v>0</v>
      </c>
      <c r="DD114" s="1468">
        <f t="shared" si="231"/>
        <v>0</v>
      </c>
      <c r="DE114" s="1468">
        <f t="shared" si="232"/>
        <v>0</v>
      </c>
      <c r="DF114" s="1468">
        <f t="shared" si="233"/>
        <v>0</v>
      </c>
      <c r="DG114" s="1468">
        <f t="shared" si="234"/>
        <v>0</v>
      </c>
      <c r="DH114" s="1468">
        <f t="shared" si="235"/>
        <v>0</v>
      </c>
      <c r="DI114" s="1468">
        <f t="shared" si="236"/>
        <v>0</v>
      </c>
      <c r="DJ114" s="1468">
        <f t="shared" si="237"/>
        <v>0</v>
      </c>
      <c r="DK114" s="1468">
        <f t="shared" si="238"/>
        <v>0</v>
      </c>
      <c r="DL114" s="1468">
        <f t="shared" si="239"/>
        <v>0</v>
      </c>
      <c r="DM114" s="1468">
        <f t="shared" si="240"/>
        <v>0</v>
      </c>
      <c r="DN114" s="1468">
        <f t="shared" si="241"/>
        <v>0</v>
      </c>
      <c r="DO114" s="1468">
        <f t="shared" si="242"/>
        <v>0</v>
      </c>
      <c r="DP114" s="1468">
        <f t="shared" si="243"/>
        <v>0</v>
      </c>
      <c r="DQ114" s="1468">
        <f t="shared" si="244"/>
        <v>0</v>
      </c>
      <c r="DR114" s="1468">
        <f t="shared" si="245"/>
        <v>0</v>
      </c>
      <c r="DS114" s="1468">
        <f t="shared" si="246"/>
        <v>0</v>
      </c>
      <c r="DT114" s="1468">
        <f t="shared" si="247"/>
        <v>0</v>
      </c>
      <c r="DU114" s="1468">
        <f t="shared" si="248"/>
        <v>0</v>
      </c>
      <c r="DV114" s="1468">
        <f t="shared" si="249"/>
        <v>0</v>
      </c>
      <c r="DW114" s="1468">
        <f t="shared" si="250"/>
        <v>0</v>
      </c>
      <c r="DX114" s="1468">
        <f t="shared" si="251"/>
        <v>0</v>
      </c>
      <c r="DY114" s="1468">
        <f t="shared" si="252"/>
        <v>0</v>
      </c>
      <c r="DZ114" s="1468">
        <f t="shared" si="253"/>
        <v>0</v>
      </c>
    </row>
    <row r="115" spans="1:130" ht="16.149999999999999" customHeight="1" x14ac:dyDescent="0.25">
      <c r="A115" s="2040" t="s">
        <v>1796</v>
      </c>
      <c r="B115" s="2038">
        <f t="shared" ref="B115:C117" si="274">+D115+F115+H115+J115+L115+N115+P115+R115+T115+V115+X115+Z115+AB115+AD115+AF115+AH115+AJ115+AL115+AN115+AP115</f>
        <v>0</v>
      </c>
      <c r="C115" s="2084">
        <f t="shared" si="274"/>
        <v>0</v>
      </c>
      <c r="D115" s="1129"/>
      <c r="E115" s="1130"/>
      <c r="F115" s="1109"/>
      <c r="G115" s="1130"/>
      <c r="H115" s="1109"/>
      <c r="I115" s="1113"/>
      <c r="J115" s="1129"/>
      <c r="K115" s="1129"/>
      <c r="L115" s="1109"/>
      <c r="M115" s="1113"/>
      <c r="N115" s="1129"/>
      <c r="O115" s="1130"/>
      <c r="P115" s="1109"/>
      <c r="Q115" s="1130"/>
      <c r="R115" s="1109"/>
      <c r="S115" s="1130"/>
      <c r="T115" s="1109"/>
      <c r="U115" s="1130"/>
      <c r="V115" s="1109"/>
      <c r="W115" s="1130"/>
      <c r="X115" s="1109"/>
      <c r="Y115" s="1130"/>
      <c r="Z115" s="1109"/>
      <c r="AA115" s="1130"/>
      <c r="AB115" s="1109"/>
      <c r="AC115" s="1130"/>
      <c r="AD115" s="1109"/>
      <c r="AE115" s="1130"/>
      <c r="AF115" s="1109"/>
      <c r="AG115" s="1130"/>
      <c r="AH115" s="1109"/>
      <c r="AI115" s="1130"/>
      <c r="AJ115" s="1109"/>
      <c r="AK115" s="1130"/>
      <c r="AL115" s="1109"/>
      <c r="AM115" s="1130"/>
      <c r="AN115" s="1109"/>
      <c r="AO115" s="1130"/>
      <c r="AP115" s="1109"/>
      <c r="AQ115" s="1131"/>
      <c r="AR115" s="1129"/>
      <c r="AS115" s="1131"/>
      <c r="AT115" s="1129"/>
      <c r="AU115" s="1130"/>
      <c r="AV115" s="1109"/>
      <c r="AW115" s="1113"/>
      <c r="AX115" s="1193" t="str">
        <f t="shared" si="221"/>
        <v/>
      </c>
      <c r="AY115" s="1193"/>
      <c r="AZ115" s="1193"/>
      <c r="BA115" s="1193"/>
      <c r="BB115" s="1193"/>
      <c r="BC115" s="1193"/>
      <c r="BD115" s="1193"/>
      <c r="BE115" s="1193"/>
      <c r="BF115" s="1193"/>
      <c r="BG115" s="1193"/>
      <c r="BH115" s="1193"/>
      <c r="BI115" s="1187"/>
      <c r="BJ115" s="1187"/>
      <c r="BK115" s="1187"/>
      <c r="BL115" s="1187"/>
      <c r="BU115" s="1187"/>
      <c r="BW115" s="1580"/>
      <c r="CA115" s="2235" t="str">
        <f t="shared" si="222"/>
        <v/>
      </c>
      <c r="CB115" s="2235" t="str">
        <f t="shared" si="223"/>
        <v/>
      </c>
      <c r="CC115" s="2235" t="str">
        <f t="shared" si="224"/>
        <v/>
      </c>
      <c r="CD115" s="2235" t="str">
        <f t="shared" si="225"/>
        <v/>
      </c>
      <c r="CE115" s="2235" t="str">
        <f t="shared" si="226"/>
        <v/>
      </c>
      <c r="CF115" s="2235" t="str">
        <f t="shared" si="254"/>
        <v/>
      </c>
      <c r="CG115" s="2235" t="str">
        <f t="shared" si="255"/>
        <v/>
      </c>
      <c r="CH115" s="2235" t="str">
        <f t="shared" si="256"/>
        <v/>
      </c>
      <c r="CI115" s="2235" t="str">
        <f t="shared" si="257"/>
        <v/>
      </c>
      <c r="CJ115" s="2235" t="str">
        <f t="shared" si="258"/>
        <v/>
      </c>
      <c r="CK115" s="2235" t="str">
        <f t="shared" si="259"/>
        <v/>
      </c>
      <c r="CL115" s="2235" t="str">
        <f t="shared" si="260"/>
        <v/>
      </c>
      <c r="CM115" s="2235" t="str">
        <f t="shared" si="261"/>
        <v/>
      </c>
      <c r="CN115" s="2235" t="str">
        <f t="shared" si="262"/>
        <v/>
      </c>
      <c r="CO115" s="2235" t="str">
        <f t="shared" si="263"/>
        <v/>
      </c>
      <c r="CP115" s="2235" t="str">
        <f t="shared" si="264"/>
        <v/>
      </c>
      <c r="CQ115" s="2235" t="str">
        <f t="shared" si="265"/>
        <v/>
      </c>
      <c r="CR115" s="2235" t="str">
        <f t="shared" si="266"/>
        <v/>
      </c>
      <c r="CS115" s="2235" t="str">
        <f t="shared" si="267"/>
        <v/>
      </c>
      <c r="CT115" s="2235" t="str">
        <f t="shared" si="268"/>
        <v/>
      </c>
      <c r="CU115" s="2235" t="str">
        <f t="shared" si="269"/>
        <v/>
      </c>
      <c r="CV115" s="2235" t="str">
        <f t="shared" si="270"/>
        <v/>
      </c>
      <c r="CW115" s="2235" t="str">
        <f t="shared" si="271"/>
        <v/>
      </c>
      <c r="CX115" s="2235" t="str">
        <f t="shared" si="272"/>
        <v/>
      </c>
      <c r="CY115" s="2235" t="str">
        <f t="shared" si="273"/>
        <v/>
      </c>
      <c r="CZ115" s="2235" t="str">
        <f t="shared" si="227"/>
        <v/>
      </c>
      <c r="DA115" s="1468">
        <f t="shared" si="228"/>
        <v>0</v>
      </c>
      <c r="DB115" s="1468">
        <f t="shared" si="229"/>
        <v>0</v>
      </c>
      <c r="DC115" s="1468">
        <f t="shared" si="230"/>
        <v>0</v>
      </c>
      <c r="DD115" s="1468">
        <f t="shared" si="231"/>
        <v>0</v>
      </c>
      <c r="DE115" s="1468">
        <f t="shared" si="232"/>
        <v>0</v>
      </c>
      <c r="DF115" s="1468">
        <f t="shared" si="233"/>
        <v>0</v>
      </c>
      <c r="DG115" s="1468">
        <f t="shared" si="234"/>
        <v>0</v>
      </c>
      <c r="DH115" s="1468">
        <f t="shared" si="235"/>
        <v>0</v>
      </c>
      <c r="DI115" s="1468">
        <f t="shared" si="236"/>
        <v>0</v>
      </c>
      <c r="DJ115" s="1468">
        <f t="shared" si="237"/>
        <v>0</v>
      </c>
      <c r="DK115" s="1468">
        <f t="shared" si="238"/>
        <v>0</v>
      </c>
      <c r="DL115" s="1468">
        <f t="shared" si="239"/>
        <v>0</v>
      </c>
      <c r="DM115" s="1468">
        <f t="shared" si="240"/>
        <v>0</v>
      </c>
      <c r="DN115" s="1468">
        <f t="shared" si="241"/>
        <v>0</v>
      </c>
      <c r="DO115" s="1468">
        <f t="shared" si="242"/>
        <v>0</v>
      </c>
      <c r="DP115" s="1468">
        <f t="shared" si="243"/>
        <v>0</v>
      </c>
      <c r="DQ115" s="1468">
        <f t="shared" si="244"/>
        <v>0</v>
      </c>
      <c r="DR115" s="1468">
        <f t="shared" si="245"/>
        <v>0</v>
      </c>
      <c r="DS115" s="1468">
        <f t="shared" si="246"/>
        <v>0</v>
      </c>
      <c r="DT115" s="1468">
        <f t="shared" si="247"/>
        <v>0</v>
      </c>
      <c r="DU115" s="1468">
        <f t="shared" si="248"/>
        <v>0</v>
      </c>
      <c r="DV115" s="1468">
        <f t="shared" si="249"/>
        <v>0</v>
      </c>
      <c r="DW115" s="1468">
        <f t="shared" si="250"/>
        <v>0</v>
      </c>
      <c r="DX115" s="1468">
        <f t="shared" si="251"/>
        <v>0</v>
      </c>
      <c r="DY115" s="1468">
        <f t="shared" si="252"/>
        <v>0</v>
      </c>
      <c r="DZ115" s="1468">
        <f t="shared" si="253"/>
        <v>0</v>
      </c>
    </row>
    <row r="116" spans="1:130" ht="16.149999999999999" customHeight="1" x14ac:dyDescent="0.25">
      <c r="A116" s="2040" t="s">
        <v>1797</v>
      </c>
      <c r="B116" s="2038">
        <f t="shared" si="274"/>
        <v>0</v>
      </c>
      <c r="C116" s="2084">
        <f t="shared" si="274"/>
        <v>0</v>
      </c>
      <c r="D116" s="1129"/>
      <c r="E116" s="1130"/>
      <c r="F116" s="1109"/>
      <c r="G116" s="1130"/>
      <c r="H116" s="1109"/>
      <c r="I116" s="1113"/>
      <c r="J116" s="1129"/>
      <c r="K116" s="1129"/>
      <c r="L116" s="1109"/>
      <c r="M116" s="1113"/>
      <c r="N116" s="1129"/>
      <c r="O116" s="1130"/>
      <c r="P116" s="1109"/>
      <c r="Q116" s="1130"/>
      <c r="R116" s="1109"/>
      <c r="S116" s="1130"/>
      <c r="T116" s="1109"/>
      <c r="U116" s="1130"/>
      <c r="V116" s="1109"/>
      <c r="W116" s="1130"/>
      <c r="X116" s="1109"/>
      <c r="Y116" s="1130"/>
      <c r="Z116" s="1109"/>
      <c r="AA116" s="1130"/>
      <c r="AB116" s="1109"/>
      <c r="AC116" s="1130"/>
      <c r="AD116" s="1109"/>
      <c r="AE116" s="1130"/>
      <c r="AF116" s="1109"/>
      <c r="AG116" s="1130"/>
      <c r="AH116" s="1109"/>
      <c r="AI116" s="1130"/>
      <c r="AJ116" s="1109"/>
      <c r="AK116" s="1130"/>
      <c r="AL116" s="1109"/>
      <c r="AM116" s="1130"/>
      <c r="AN116" s="1109"/>
      <c r="AO116" s="1130"/>
      <c r="AP116" s="1109"/>
      <c r="AQ116" s="1131"/>
      <c r="AR116" s="1129"/>
      <c r="AS116" s="1131"/>
      <c r="AT116" s="1129"/>
      <c r="AU116" s="1130"/>
      <c r="AV116" s="1109"/>
      <c r="AW116" s="1113"/>
      <c r="AX116" s="1193" t="str">
        <f t="shared" si="221"/>
        <v/>
      </c>
      <c r="AY116" s="1193"/>
      <c r="AZ116" s="1193"/>
      <c r="BA116" s="1193"/>
      <c r="BB116" s="1193"/>
      <c r="BC116" s="1193"/>
      <c r="BD116" s="1193"/>
      <c r="BE116" s="1193"/>
      <c r="BF116" s="1193"/>
      <c r="BG116" s="1193"/>
      <c r="BH116" s="1193"/>
      <c r="BI116" s="1187"/>
      <c r="BJ116" s="1187"/>
      <c r="BK116" s="1187"/>
      <c r="BL116" s="1187"/>
      <c r="BU116" s="1187"/>
      <c r="BW116" s="1580"/>
      <c r="CA116" s="2235" t="str">
        <f t="shared" si="222"/>
        <v/>
      </c>
      <c r="CB116" s="2235" t="str">
        <f t="shared" si="223"/>
        <v/>
      </c>
      <c r="CC116" s="2235" t="str">
        <f t="shared" si="224"/>
        <v/>
      </c>
      <c r="CD116" s="2235" t="str">
        <f t="shared" si="225"/>
        <v/>
      </c>
      <c r="CE116" s="2235" t="str">
        <f t="shared" si="226"/>
        <v/>
      </c>
      <c r="CF116" s="2235" t="str">
        <f t="shared" si="254"/>
        <v/>
      </c>
      <c r="CG116" s="2235" t="str">
        <f t="shared" si="255"/>
        <v/>
      </c>
      <c r="CH116" s="2235" t="str">
        <f t="shared" si="256"/>
        <v/>
      </c>
      <c r="CI116" s="2235" t="str">
        <f t="shared" si="257"/>
        <v/>
      </c>
      <c r="CJ116" s="2235" t="str">
        <f t="shared" si="258"/>
        <v/>
      </c>
      <c r="CK116" s="2235" t="str">
        <f t="shared" si="259"/>
        <v/>
      </c>
      <c r="CL116" s="2235" t="str">
        <f t="shared" si="260"/>
        <v/>
      </c>
      <c r="CM116" s="2235" t="str">
        <f t="shared" si="261"/>
        <v/>
      </c>
      <c r="CN116" s="2235" t="str">
        <f t="shared" si="262"/>
        <v/>
      </c>
      <c r="CO116" s="2235" t="str">
        <f t="shared" si="263"/>
        <v/>
      </c>
      <c r="CP116" s="2235" t="str">
        <f t="shared" si="264"/>
        <v/>
      </c>
      <c r="CQ116" s="2235" t="str">
        <f t="shared" si="265"/>
        <v/>
      </c>
      <c r="CR116" s="2235" t="str">
        <f t="shared" si="266"/>
        <v/>
      </c>
      <c r="CS116" s="2235" t="str">
        <f t="shared" si="267"/>
        <v/>
      </c>
      <c r="CT116" s="2235" t="str">
        <f t="shared" si="268"/>
        <v/>
      </c>
      <c r="CU116" s="2235" t="str">
        <f t="shared" si="269"/>
        <v/>
      </c>
      <c r="CV116" s="2235" t="str">
        <f t="shared" si="270"/>
        <v/>
      </c>
      <c r="CW116" s="2235" t="str">
        <f t="shared" si="271"/>
        <v/>
      </c>
      <c r="CX116" s="2235" t="str">
        <f t="shared" si="272"/>
        <v/>
      </c>
      <c r="CY116" s="2235" t="str">
        <f t="shared" si="273"/>
        <v/>
      </c>
      <c r="CZ116" s="2235" t="str">
        <f t="shared" si="227"/>
        <v/>
      </c>
      <c r="DA116" s="1468">
        <f t="shared" si="228"/>
        <v>0</v>
      </c>
      <c r="DB116" s="1468">
        <f t="shared" si="229"/>
        <v>0</v>
      </c>
      <c r="DC116" s="1468">
        <f t="shared" si="230"/>
        <v>0</v>
      </c>
      <c r="DD116" s="1468">
        <f t="shared" si="231"/>
        <v>0</v>
      </c>
      <c r="DE116" s="1468">
        <f t="shared" si="232"/>
        <v>0</v>
      </c>
      <c r="DF116" s="1468">
        <f t="shared" si="233"/>
        <v>0</v>
      </c>
      <c r="DG116" s="1468">
        <f t="shared" si="234"/>
        <v>0</v>
      </c>
      <c r="DH116" s="1468">
        <f t="shared" si="235"/>
        <v>0</v>
      </c>
      <c r="DI116" s="1468">
        <f t="shared" si="236"/>
        <v>0</v>
      </c>
      <c r="DJ116" s="1468">
        <f t="shared" si="237"/>
        <v>0</v>
      </c>
      <c r="DK116" s="1468">
        <f t="shared" si="238"/>
        <v>0</v>
      </c>
      <c r="DL116" s="1468">
        <f t="shared" si="239"/>
        <v>0</v>
      </c>
      <c r="DM116" s="1468">
        <f t="shared" si="240"/>
        <v>0</v>
      </c>
      <c r="DN116" s="1468">
        <f t="shared" si="241"/>
        <v>0</v>
      </c>
      <c r="DO116" s="1468">
        <f t="shared" si="242"/>
        <v>0</v>
      </c>
      <c r="DP116" s="1468">
        <f t="shared" si="243"/>
        <v>0</v>
      </c>
      <c r="DQ116" s="1468">
        <f t="shared" si="244"/>
        <v>0</v>
      </c>
      <c r="DR116" s="1468">
        <f t="shared" si="245"/>
        <v>0</v>
      </c>
      <c r="DS116" s="1468">
        <f t="shared" si="246"/>
        <v>0</v>
      </c>
      <c r="DT116" s="1468">
        <f t="shared" si="247"/>
        <v>0</v>
      </c>
      <c r="DU116" s="1468">
        <f t="shared" si="248"/>
        <v>0</v>
      </c>
      <c r="DV116" s="1468">
        <f t="shared" si="249"/>
        <v>0</v>
      </c>
      <c r="DW116" s="1468">
        <f t="shared" si="250"/>
        <v>0</v>
      </c>
      <c r="DX116" s="1468">
        <f t="shared" si="251"/>
        <v>0</v>
      </c>
      <c r="DY116" s="1468">
        <f t="shared" si="252"/>
        <v>0</v>
      </c>
      <c r="DZ116" s="1468">
        <f t="shared" si="253"/>
        <v>0</v>
      </c>
    </row>
    <row r="117" spans="1:130" ht="16.149999999999999" customHeight="1" x14ac:dyDescent="0.25">
      <c r="A117" s="1936" t="s">
        <v>1798</v>
      </c>
      <c r="B117" s="1999">
        <f t="shared" si="274"/>
        <v>0</v>
      </c>
      <c r="C117" s="1936">
        <f t="shared" si="274"/>
        <v>0</v>
      </c>
      <c r="D117" s="102"/>
      <c r="E117" s="83"/>
      <c r="F117" s="125"/>
      <c r="G117" s="83"/>
      <c r="H117" s="125"/>
      <c r="I117" s="101"/>
      <c r="J117" s="102"/>
      <c r="K117" s="102"/>
      <c r="L117" s="125"/>
      <c r="M117" s="101"/>
      <c r="N117" s="102"/>
      <c r="O117" s="83"/>
      <c r="P117" s="125"/>
      <c r="Q117" s="83"/>
      <c r="R117" s="125"/>
      <c r="S117" s="83"/>
      <c r="T117" s="125"/>
      <c r="U117" s="83"/>
      <c r="V117" s="125"/>
      <c r="W117" s="83"/>
      <c r="X117" s="125"/>
      <c r="Y117" s="83"/>
      <c r="Z117" s="125"/>
      <c r="AA117" s="83"/>
      <c r="AB117" s="125"/>
      <c r="AC117" s="83"/>
      <c r="AD117" s="125"/>
      <c r="AE117" s="83"/>
      <c r="AF117" s="125"/>
      <c r="AG117" s="83"/>
      <c r="AH117" s="125"/>
      <c r="AI117" s="83"/>
      <c r="AJ117" s="125"/>
      <c r="AK117" s="83"/>
      <c r="AL117" s="125"/>
      <c r="AM117" s="83"/>
      <c r="AN117" s="125"/>
      <c r="AO117" s="83"/>
      <c r="AP117" s="125"/>
      <c r="AQ117" s="198"/>
      <c r="AR117" s="102"/>
      <c r="AS117" s="198"/>
      <c r="AT117" s="102"/>
      <c r="AU117" s="83"/>
      <c r="AV117" s="125"/>
      <c r="AW117" s="101"/>
      <c r="AX117" s="1193" t="str">
        <f t="shared" si="221"/>
        <v/>
      </c>
      <c r="AY117" s="1193"/>
      <c r="AZ117" s="1193"/>
      <c r="BA117" s="1193"/>
      <c r="BB117" s="1193"/>
      <c r="BC117" s="1193"/>
      <c r="BD117" s="1193"/>
      <c r="BE117" s="1193"/>
      <c r="BF117" s="1193"/>
      <c r="BG117" s="1193"/>
      <c r="BH117" s="1193"/>
      <c r="BI117" s="1187"/>
      <c r="BJ117" s="1187"/>
      <c r="BK117" s="1187"/>
      <c r="BL117" s="1187"/>
      <c r="BU117" s="1187"/>
      <c r="BW117" s="1580"/>
      <c r="CA117" s="2235" t="str">
        <f t="shared" si="222"/>
        <v/>
      </c>
      <c r="CB117" s="2235" t="str">
        <f t="shared" si="223"/>
        <v/>
      </c>
      <c r="CC117" s="2235" t="str">
        <f t="shared" si="224"/>
        <v/>
      </c>
      <c r="CD117" s="2235" t="str">
        <f t="shared" si="225"/>
        <v/>
      </c>
      <c r="CE117" s="2235" t="str">
        <f t="shared" si="226"/>
        <v/>
      </c>
      <c r="CF117" s="2235" t="str">
        <f t="shared" si="254"/>
        <v/>
      </c>
      <c r="CG117" s="2235" t="str">
        <f t="shared" si="255"/>
        <v/>
      </c>
      <c r="CH117" s="2235" t="str">
        <f t="shared" si="256"/>
        <v/>
      </c>
      <c r="CI117" s="2235" t="str">
        <f t="shared" si="257"/>
        <v/>
      </c>
      <c r="CJ117" s="2235" t="str">
        <f t="shared" si="258"/>
        <v/>
      </c>
      <c r="CK117" s="2235" t="str">
        <f t="shared" si="259"/>
        <v/>
      </c>
      <c r="CL117" s="2235" t="str">
        <f t="shared" si="260"/>
        <v/>
      </c>
      <c r="CM117" s="2235" t="str">
        <f t="shared" si="261"/>
        <v/>
      </c>
      <c r="CN117" s="2235" t="str">
        <f t="shared" si="262"/>
        <v/>
      </c>
      <c r="CO117" s="2235" t="str">
        <f t="shared" si="263"/>
        <v/>
      </c>
      <c r="CP117" s="2235" t="str">
        <f t="shared" si="264"/>
        <v/>
      </c>
      <c r="CQ117" s="2235" t="str">
        <f t="shared" si="265"/>
        <v/>
      </c>
      <c r="CR117" s="2235" t="str">
        <f t="shared" si="266"/>
        <v/>
      </c>
      <c r="CS117" s="2235" t="str">
        <f t="shared" si="267"/>
        <v/>
      </c>
      <c r="CT117" s="2235" t="str">
        <f t="shared" si="268"/>
        <v/>
      </c>
      <c r="CU117" s="2235" t="str">
        <f t="shared" si="269"/>
        <v/>
      </c>
      <c r="CV117" s="2235" t="str">
        <f t="shared" si="270"/>
        <v/>
      </c>
      <c r="CW117" s="2235" t="str">
        <f t="shared" si="271"/>
        <v/>
      </c>
      <c r="CX117" s="2235" t="str">
        <f t="shared" si="272"/>
        <v/>
      </c>
      <c r="CY117" s="2235" t="str">
        <f t="shared" si="273"/>
        <v/>
      </c>
      <c r="CZ117" s="2235" t="str">
        <f t="shared" si="227"/>
        <v/>
      </c>
      <c r="DA117" s="1468">
        <f t="shared" si="228"/>
        <v>0</v>
      </c>
      <c r="DB117" s="1468">
        <f t="shared" si="229"/>
        <v>0</v>
      </c>
      <c r="DC117" s="1468">
        <f t="shared" si="230"/>
        <v>0</v>
      </c>
      <c r="DD117" s="1468">
        <f t="shared" si="231"/>
        <v>0</v>
      </c>
      <c r="DE117" s="1468">
        <f t="shared" si="232"/>
        <v>0</v>
      </c>
      <c r="DF117" s="1468">
        <f t="shared" si="233"/>
        <v>0</v>
      </c>
      <c r="DG117" s="1468">
        <f t="shared" si="234"/>
        <v>0</v>
      </c>
      <c r="DH117" s="1468">
        <f t="shared" si="235"/>
        <v>0</v>
      </c>
      <c r="DI117" s="1468">
        <f t="shared" si="236"/>
        <v>0</v>
      </c>
      <c r="DJ117" s="1468">
        <f t="shared" si="237"/>
        <v>0</v>
      </c>
      <c r="DK117" s="1468">
        <f t="shared" si="238"/>
        <v>0</v>
      </c>
      <c r="DL117" s="1468">
        <f t="shared" si="239"/>
        <v>0</v>
      </c>
      <c r="DM117" s="1468">
        <f t="shared" si="240"/>
        <v>0</v>
      </c>
      <c r="DN117" s="1468">
        <f t="shared" si="241"/>
        <v>0</v>
      </c>
      <c r="DO117" s="1468">
        <f t="shared" si="242"/>
        <v>0</v>
      </c>
      <c r="DP117" s="1468">
        <f t="shared" si="243"/>
        <v>0</v>
      </c>
      <c r="DQ117" s="1468">
        <f t="shared" si="244"/>
        <v>0</v>
      </c>
      <c r="DR117" s="1468">
        <f t="shared" si="245"/>
        <v>0</v>
      </c>
      <c r="DS117" s="1468">
        <f t="shared" si="246"/>
        <v>0</v>
      </c>
      <c r="DT117" s="1468">
        <f t="shared" si="247"/>
        <v>0</v>
      </c>
      <c r="DU117" s="1468">
        <f t="shared" si="248"/>
        <v>0</v>
      </c>
      <c r="DV117" s="1468">
        <f t="shared" si="249"/>
        <v>0</v>
      </c>
      <c r="DW117" s="1468">
        <f t="shared" si="250"/>
        <v>0</v>
      </c>
      <c r="DX117" s="1468">
        <f t="shared" si="251"/>
        <v>0</v>
      </c>
      <c r="DY117" s="1468">
        <f t="shared" si="252"/>
        <v>0</v>
      </c>
      <c r="DZ117" s="1468">
        <f t="shared" si="253"/>
        <v>0</v>
      </c>
    </row>
    <row r="118" spans="1:130" ht="31.9" customHeight="1" x14ac:dyDescent="0.25">
      <c r="A118" s="937" t="s">
        <v>1802</v>
      </c>
      <c r="B118" s="937"/>
      <c r="C118" s="937"/>
      <c r="D118" s="937"/>
      <c r="E118" s="937"/>
      <c r="F118" s="937"/>
      <c r="G118" s="937"/>
      <c r="H118" s="133"/>
      <c r="I118" s="133"/>
      <c r="J118" s="108"/>
      <c r="K118" s="108"/>
      <c r="L118" s="108"/>
      <c r="M118" s="108"/>
      <c r="N118" s="108"/>
      <c r="O118" s="108"/>
      <c r="P118" s="108"/>
      <c r="Q118" s="140"/>
      <c r="AX118" s="1187"/>
      <c r="AY118" s="1187"/>
      <c r="AZ118" s="1187"/>
      <c r="BA118" s="1187"/>
      <c r="BB118" s="1187"/>
      <c r="BC118" s="1187"/>
      <c r="BD118" s="1187"/>
      <c r="BE118" s="1187"/>
      <c r="BF118" s="1187"/>
      <c r="BG118" s="1187"/>
      <c r="BH118" s="1187"/>
      <c r="BI118" s="1187"/>
      <c r="BJ118" s="1187"/>
      <c r="BK118" s="1187"/>
      <c r="BL118" s="1187"/>
      <c r="BM118" s="1187"/>
      <c r="BT118" s="1118"/>
      <c r="BU118" s="1118"/>
      <c r="BV118" s="1580"/>
      <c r="BW118" s="1580"/>
    </row>
    <row r="119" spans="1:130" ht="31.9" customHeight="1" x14ac:dyDescent="0.25">
      <c r="A119" s="8208" t="s">
        <v>1778</v>
      </c>
      <c r="B119" s="9194" t="s">
        <v>24</v>
      </c>
      <c r="C119" s="9524"/>
      <c r="D119" s="8215" t="s">
        <v>723</v>
      </c>
      <c r="E119" s="8216"/>
      <c r="F119" s="8216"/>
      <c r="G119" s="8216"/>
      <c r="H119" s="8216"/>
      <c r="I119" s="8216"/>
      <c r="J119" s="8216"/>
      <c r="K119" s="8216"/>
      <c r="L119" s="8216"/>
      <c r="M119" s="8216"/>
      <c r="N119" s="8216"/>
      <c r="O119" s="8216"/>
      <c r="P119" s="8216"/>
      <c r="Q119" s="8216"/>
      <c r="R119" s="8216"/>
      <c r="S119" s="8216"/>
      <c r="T119" s="8216"/>
      <c r="U119" s="8216"/>
      <c r="V119" s="8216"/>
      <c r="W119" s="8216"/>
      <c r="X119" s="8216"/>
      <c r="Y119" s="8216"/>
      <c r="Z119" s="8216"/>
      <c r="AA119" s="8216"/>
      <c r="AB119" s="8216"/>
      <c r="AC119" s="8216"/>
      <c r="AD119" s="8216"/>
      <c r="AE119" s="8216"/>
      <c r="AF119" s="8216"/>
      <c r="AG119" s="8216"/>
      <c r="AH119" s="8216"/>
      <c r="AI119" s="8216"/>
      <c r="AJ119" s="8216"/>
      <c r="AK119" s="8216"/>
      <c r="AL119" s="8216"/>
      <c r="AM119" s="8216"/>
      <c r="AN119" s="8216"/>
      <c r="AO119" s="8216"/>
      <c r="AP119" s="8216"/>
      <c r="AQ119" s="9527"/>
      <c r="AR119" s="9528" t="s">
        <v>1779</v>
      </c>
      <c r="AS119" s="9529"/>
      <c r="AT119" s="9530" t="s">
        <v>711</v>
      </c>
      <c r="AU119" s="9531"/>
      <c r="AV119" s="9534" t="s">
        <v>360</v>
      </c>
      <c r="AW119" s="9536" t="s">
        <v>359</v>
      </c>
      <c r="AX119" s="1187"/>
      <c r="AY119" s="1187"/>
      <c r="AZ119" s="1187"/>
      <c r="BA119" s="1187"/>
      <c r="BB119" s="1187"/>
      <c r="BC119" s="1187"/>
      <c r="BD119" s="1187"/>
      <c r="BE119" s="1187"/>
      <c r="BF119" s="1187"/>
      <c r="BG119" s="1187"/>
      <c r="BH119" s="1187"/>
      <c r="BI119" s="1187"/>
      <c r="BJ119" s="1187"/>
      <c r="BK119" s="1187"/>
      <c r="BL119" s="1187"/>
      <c r="BU119" s="1187"/>
      <c r="BV119" s="1580"/>
      <c r="BW119" s="1580"/>
    </row>
    <row r="120" spans="1:130" ht="16.149999999999999" customHeight="1" x14ac:dyDescent="0.25">
      <c r="A120" s="8274"/>
      <c r="B120" s="9525"/>
      <c r="C120" s="9526"/>
      <c r="D120" s="8218" t="s">
        <v>722</v>
      </c>
      <c r="E120" s="9528"/>
      <c r="F120" s="8218" t="s">
        <v>721</v>
      </c>
      <c r="G120" s="9528"/>
      <c r="H120" s="8218" t="s">
        <v>720</v>
      </c>
      <c r="I120" s="8220"/>
      <c r="J120" s="9528" t="s">
        <v>1820</v>
      </c>
      <c r="K120" s="9528"/>
      <c r="L120" s="8218" t="s">
        <v>1413</v>
      </c>
      <c r="M120" s="9528"/>
      <c r="N120" s="8218" t="s">
        <v>79</v>
      </c>
      <c r="O120" s="9528"/>
      <c r="P120" s="8218" t="s">
        <v>80</v>
      </c>
      <c r="Q120" s="9528"/>
      <c r="R120" s="8218" t="s">
        <v>81</v>
      </c>
      <c r="S120" s="9528"/>
      <c r="T120" s="8218" t="s">
        <v>115</v>
      </c>
      <c r="U120" s="8220"/>
      <c r="V120" s="8218" t="s">
        <v>116</v>
      </c>
      <c r="W120" s="8220"/>
      <c r="X120" s="8218" t="s">
        <v>117</v>
      </c>
      <c r="Y120" s="8220"/>
      <c r="Z120" s="8218" t="s">
        <v>118</v>
      </c>
      <c r="AA120" s="8220"/>
      <c r="AB120" s="8218" t="s">
        <v>119</v>
      </c>
      <c r="AC120" s="8220"/>
      <c r="AD120" s="8218" t="s">
        <v>120</v>
      </c>
      <c r="AE120" s="8220"/>
      <c r="AF120" s="8218" t="s">
        <v>1412</v>
      </c>
      <c r="AG120" s="8220"/>
      <c r="AH120" s="8218" t="s">
        <v>1404</v>
      </c>
      <c r="AI120" s="8220"/>
      <c r="AJ120" s="8218" t="s">
        <v>1395</v>
      </c>
      <c r="AK120" s="8220"/>
      <c r="AL120" s="8218" t="s">
        <v>1394</v>
      </c>
      <c r="AM120" s="8220"/>
      <c r="AN120" s="8218" t="s">
        <v>1393</v>
      </c>
      <c r="AO120" s="8220"/>
      <c r="AP120" s="8218" t="s">
        <v>1403</v>
      </c>
      <c r="AQ120" s="9529"/>
      <c r="AR120" s="9537" t="s">
        <v>17</v>
      </c>
      <c r="AS120" s="9539" t="s">
        <v>18</v>
      </c>
      <c r="AT120" s="9532"/>
      <c r="AU120" s="9533"/>
      <c r="AV120" s="8166"/>
      <c r="AW120" s="8151"/>
      <c r="AX120" s="1187"/>
      <c r="AY120" s="1187"/>
      <c r="AZ120" s="1187"/>
      <c r="BA120" s="1187"/>
      <c r="BB120" s="1187"/>
      <c r="BC120" s="1187"/>
      <c r="BD120" s="1187"/>
      <c r="BE120" s="1187"/>
      <c r="BF120" s="1187"/>
      <c r="BG120" s="1187"/>
      <c r="BH120" s="1187"/>
      <c r="BI120" s="1187"/>
      <c r="BJ120" s="1187"/>
      <c r="BK120" s="1187"/>
      <c r="BL120" s="1187"/>
      <c r="BU120" s="1187"/>
      <c r="BV120" s="1580"/>
      <c r="BW120" s="1580"/>
    </row>
    <row r="121" spans="1:130" ht="16.149999999999999" customHeight="1" x14ac:dyDescent="0.25">
      <c r="A121" s="8209"/>
      <c r="B121" s="1122" t="s">
        <v>1780</v>
      </c>
      <c r="C121" s="935" t="s">
        <v>1781</v>
      </c>
      <c r="D121" s="1119" t="s">
        <v>1780</v>
      </c>
      <c r="E121" s="910" t="s">
        <v>1781</v>
      </c>
      <c r="F121" s="1119" t="s">
        <v>1780</v>
      </c>
      <c r="G121" s="910" t="s">
        <v>1781</v>
      </c>
      <c r="H121" s="1119" t="s">
        <v>1780</v>
      </c>
      <c r="I121" s="935" t="s">
        <v>1781</v>
      </c>
      <c r="J121" s="1122" t="s">
        <v>1780</v>
      </c>
      <c r="K121" s="910" t="s">
        <v>1781</v>
      </c>
      <c r="L121" s="1119" t="s">
        <v>1780</v>
      </c>
      <c r="M121" s="910" t="s">
        <v>1781</v>
      </c>
      <c r="N121" s="1119" t="s">
        <v>1780</v>
      </c>
      <c r="O121" s="910" t="s">
        <v>1781</v>
      </c>
      <c r="P121" s="1119" t="s">
        <v>1780</v>
      </c>
      <c r="Q121" s="910" t="s">
        <v>1781</v>
      </c>
      <c r="R121" s="1119" t="s">
        <v>1780</v>
      </c>
      <c r="S121" s="910" t="s">
        <v>1781</v>
      </c>
      <c r="T121" s="1119" t="s">
        <v>1780</v>
      </c>
      <c r="U121" s="910" t="s">
        <v>1781</v>
      </c>
      <c r="V121" s="1119" t="s">
        <v>1780</v>
      </c>
      <c r="W121" s="910" t="s">
        <v>1781</v>
      </c>
      <c r="X121" s="1119" t="s">
        <v>1780</v>
      </c>
      <c r="Y121" s="910" t="s">
        <v>1781</v>
      </c>
      <c r="Z121" s="1119" t="s">
        <v>1780</v>
      </c>
      <c r="AA121" s="910" t="s">
        <v>1781</v>
      </c>
      <c r="AB121" s="1119" t="s">
        <v>1780</v>
      </c>
      <c r="AC121" s="910" t="s">
        <v>1781</v>
      </c>
      <c r="AD121" s="1119" t="s">
        <v>1780</v>
      </c>
      <c r="AE121" s="910" t="s">
        <v>1781</v>
      </c>
      <c r="AF121" s="1119" t="s">
        <v>1780</v>
      </c>
      <c r="AG121" s="910" t="s">
        <v>1781</v>
      </c>
      <c r="AH121" s="1119" t="s">
        <v>1780</v>
      </c>
      <c r="AI121" s="910" t="s">
        <v>1781</v>
      </c>
      <c r="AJ121" s="1119" t="s">
        <v>1780</v>
      </c>
      <c r="AK121" s="910" t="s">
        <v>1781</v>
      </c>
      <c r="AL121" s="1119" t="s">
        <v>1780</v>
      </c>
      <c r="AM121" s="910" t="s">
        <v>1781</v>
      </c>
      <c r="AN121" s="1119" t="s">
        <v>1780</v>
      </c>
      <c r="AO121" s="910" t="s">
        <v>1781</v>
      </c>
      <c r="AP121" s="1119" t="s">
        <v>1780</v>
      </c>
      <c r="AQ121" s="1123" t="s">
        <v>1781</v>
      </c>
      <c r="AR121" s="9538"/>
      <c r="AS121" s="9540"/>
      <c r="AT121" s="2187" t="s">
        <v>356</v>
      </c>
      <c r="AU121" s="2113" t="s">
        <v>357</v>
      </c>
      <c r="AV121" s="9535"/>
      <c r="AW121" s="8152"/>
      <c r="AX121" s="1187"/>
      <c r="AY121" s="1187"/>
      <c r="AZ121" s="1187"/>
      <c r="BA121" s="1187"/>
      <c r="BB121" s="1187"/>
      <c r="BC121" s="1187"/>
      <c r="BD121" s="1187"/>
      <c r="BE121" s="1187"/>
      <c r="BF121" s="1187"/>
      <c r="BG121" s="1187"/>
      <c r="BH121" s="1187"/>
      <c r="BI121" s="1187"/>
      <c r="BJ121" s="1187"/>
      <c r="BK121" s="1187"/>
      <c r="BL121" s="1187"/>
      <c r="BU121" s="1187"/>
      <c r="BV121" s="1580"/>
      <c r="BW121" s="1580"/>
    </row>
    <row r="122" spans="1:130" ht="16.149999999999999" customHeight="1" x14ac:dyDescent="0.25">
      <c r="A122" s="2071" t="s">
        <v>1782</v>
      </c>
      <c r="B122" s="2036">
        <f t="shared" ref="B122:C129" si="275">+N122+P122+R122+T122+V122+X122+Z122+AB122+AD122+AF122+AH122+AJ122+AL122+AN122+AP122</f>
        <v>0</v>
      </c>
      <c r="C122" s="2083">
        <f t="shared" si="275"/>
        <v>0</v>
      </c>
      <c r="D122" s="1125"/>
      <c r="E122" s="1126"/>
      <c r="F122" s="1127"/>
      <c r="G122" s="1126"/>
      <c r="H122" s="1127"/>
      <c r="I122" s="1126"/>
      <c r="J122" s="1127"/>
      <c r="K122" s="1126"/>
      <c r="L122" s="1127"/>
      <c r="M122" s="1128"/>
      <c r="N122" s="1129"/>
      <c r="O122" s="1130"/>
      <c r="P122" s="1109"/>
      <c r="Q122" s="1130"/>
      <c r="R122" s="1109"/>
      <c r="S122" s="1130"/>
      <c r="T122" s="1109"/>
      <c r="U122" s="1130"/>
      <c r="V122" s="1109"/>
      <c r="W122" s="1130"/>
      <c r="X122" s="1109"/>
      <c r="Y122" s="1130"/>
      <c r="Z122" s="1109"/>
      <c r="AA122" s="1130"/>
      <c r="AB122" s="1109"/>
      <c r="AC122" s="1130"/>
      <c r="AD122" s="1109"/>
      <c r="AE122" s="1130"/>
      <c r="AF122" s="1109"/>
      <c r="AG122" s="1130"/>
      <c r="AH122" s="1109"/>
      <c r="AI122" s="1130"/>
      <c r="AJ122" s="1109"/>
      <c r="AK122" s="1130"/>
      <c r="AL122" s="1109"/>
      <c r="AM122" s="1130"/>
      <c r="AN122" s="1109"/>
      <c r="AO122" s="1130"/>
      <c r="AP122" s="1109"/>
      <c r="AQ122" s="1131"/>
      <c r="AR122" s="1132"/>
      <c r="AS122" s="1131"/>
      <c r="AT122" s="1129"/>
      <c r="AU122" s="1130"/>
      <c r="AV122" s="1109"/>
      <c r="AW122" s="1113"/>
      <c r="AX122" s="1193" t="str">
        <f t="shared" ref="AX122:AX139" si="276">$CA122&amp;$CB122&amp;$CC122&amp;$CD122&amp;$CE122&amp;$CF122&amp;$CG122&amp;$CH122&amp;$CI122&amp;$CJ122&amp;$CK122&amp;$CL122&amp;$CM122&amp;$CN122&amp;$CO122&amp;$CP122&amp;$CQ122&amp;$CR122&amp;$CS122&amp;$CT122&amp;$CU122&amp;$CV122&amp;$CW122&amp;$CX122&amp;$CY122&amp;$CZ122</f>
        <v/>
      </c>
      <c r="AY122" s="1193"/>
      <c r="AZ122" s="1193"/>
      <c r="BA122" s="1193"/>
      <c r="BB122" s="1193"/>
      <c r="BC122" s="1193"/>
      <c r="BD122" s="1193"/>
      <c r="BE122" s="1193"/>
      <c r="BF122" s="1193"/>
      <c r="BG122" s="1193"/>
      <c r="BH122" s="1193"/>
      <c r="BI122" s="1187"/>
      <c r="BJ122" s="1187"/>
      <c r="BK122" s="1187"/>
      <c r="BL122" s="1187"/>
      <c r="BU122" s="1580"/>
      <c r="BV122" s="1580"/>
      <c r="BW122" s="1580"/>
      <c r="CA122" s="2235" t="str">
        <f t="shared" ref="CA122:CA139" si="277">IF(B122&lt;C122,"* El total de Reactivos NO DEBE ser superior al total de Procesados. ","")</f>
        <v/>
      </c>
      <c r="CB122" s="2235" t="str">
        <f t="shared" ref="CB122:CB138" si="278">IF(B122&lt;&gt;(AR122+ AS122),"* La suma de las columnas Sexo DEBE SER IGUAL a los Procesados. ","")</f>
        <v/>
      </c>
      <c r="CC122" s="2235" t="str">
        <f t="shared" ref="CC122:CC139" si="279">IF(B122&lt;(AT122+ AU122),"* La suma de las columna Trans NO DEBE ser superior al total de Procesados. ","")</f>
        <v/>
      </c>
      <c r="CD122" s="2235" t="str">
        <f t="shared" ref="CD122:CD139" si="280">IF(B122&lt;AV122,"* La columna Pueblos Originarios NO DEBE ser superior al total de Procesados. ","")</f>
        <v/>
      </c>
      <c r="CE122" s="2235" t="str">
        <f t="shared" ref="CE122:CE139" si="281">IF(B122&lt;AW122,"* La columna Migrantes NO DEBE ser superior al total de Procesados. ","")</f>
        <v/>
      </c>
      <c r="CF122" s="2235" t="str">
        <f>IF(D122&lt;E122,CONCATENATE("* El total de procesados debe ser mayor o igual al total de Reactivos en el grupo de edad ",$D$120),"")</f>
        <v/>
      </c>
      <c r="CG122" s="2235" t="str">
        <f>IF(F122&lt;G122,CONCATENATE("* El total de procesados debe ser mayor o igual al total de Reactivos en el grupo de edad ",$F$120),"")</f>
        <v/>
      </c>
      <c r="CH122" s="2235" t="str">
        <f>IF(H122&lt;I122,CONCATENATE("* El total de procesados debe ser mayor o igual al total de Reactivos en el grupo de edad ",$H$120),"")</f>
        <v/>
      </c>
      <c r="CI122" s="2235" t="str">
        <f>IF(J122&lt;K122,CONCATENATE("* El total de procesados debe ser mayor o igual al total de Reactivos en el grupo de edad ",$J$120),"")</f>
        <v/>
      </c>
      <c r="CJ122" s="2235" t="str">
        <f>IF(L122&lt;M122,CONCATENATE("* El total de procesados debe ser mayor o igual al total de Reactivos en el grupo de edad ",$L$120),"")</f>
        <v/>
      </c>
      <c r="CK122" s="2235" t="str">
        <f>IF(N122&lt;O122,CONCATENATE("* El total de procesados debe ser mayor o igual al total de Reactivos en el grupo de edad ",$N$120),"")</f>
        <v/>
      </c>
      <c r="CL122" s="2235" t="str">
        <f>IF(P122&lt;Q122,CONCATENATE("* El total de procesados debe ser mayor o igual al total de Reactivos en el grupo de edad ",$P$120),"")</f>
        <v/>
      </c>
      <c r="CM122" s="2235" t="str">
        <f>IF(R122&lt;S122,CONCATENATE("* El total de procesados debe ser mayor o igual al total de Reactivos en el grupo de edad ",$R$120),"")</f>
        <v/>
      </c>
      <c r="CN122" s="2235" t="str">
        <f>IF(T122&lt;U122,CONCATENATE("* El total de procesados debe ser mayor o igual al total de Reactivos en el grupo de edad ",$T$120),"")</f>
        <v/>
      </c>
      <c r="CO122" s="2235" t="str">
        <f>IF(V122&lt;W122,CONCATENATE("* El total de procesados debe ser mayor o igual al total de Reactivos en el grupo de edad ",$V$120),"")</f>
        <v/>
      </c>
      <c r="CP122" s="2235" t="str">
        <f>IF(X122&lt;Y122,CONCATENATE("* El total de procesados debe ser mayor o igual al total de Reactivos en el grupo de edad ",$X$120),"")</f>
        <v/>
      </c>
      <c r="CQ122" s="2235" t="str">
        <f>IF(Z122&lt;AA122,CONCATENATE("* El total de procesados debe ser mayor o igual al total de Reactivos en el grupo de edad ",$Z$120),"")</f>
        <v/>
      </c>
      <c r="CR122" s="2235" t="str">
        <f>IF(AB122&lt;AC122,CONCATENATE("* El total de procesados debe ser mayor o igual al total de Reactivos en el grupo de edad ",$AB$120),"")</f>
        <v/>
      </c>
      <c r="CS122" s="2235" t="str">
        <f>IF(AD122&lt;AE122,CONCATENATE("* El total de procesados debe ser mayor o igual al total de Reactivos en el grupo de edad ",$AD$120),"")</f>
        <v/>
      </c>
      <c r="CT122" s="2235" t="str">
        <f>IF(AF122&lt;AG122,CONCATENATE("* El total de procesados debe ser mayor o igual al total de Reactivos en el grupo de edad ",$AF$120),"")</f>
        <v/>
      </c>
      <c r="CU122" s="2235" t="str">
        <f>IF(AH122&lt;AI122,CONCATENATE("* El total de procesados debe ser mayor o igual al total de Reactivos en el grupo de edad ",$AH$120),"")</f>
        <v/>
      </c>
      <c r="CV122" s="2235" t="str">
        <f>IF(AJ122&lt;AK122,CONCATENATE("* El total de procesados debe ser mayor o igual al total de Reactivos en el grupo de edad ",$AJ$120),"")</f>
        <v/>
      </c>
      <c r="CW122" s="2235" t="str">
        <f>IF(AL122&lt;AM122,CONCATENATE("* El total de procesados debe ser mayor o igual al total de Reactivos en el grupo de edad ",$AL$120),"")</f>
        <v/>
      </c>
      <c r="CX122" s="2235" t="str">
        <f>IF(AN122&lt;AO122,CONCATENATE("* El total de procesados debe ser mayor o igual al total de Reactivos en el grupo de edad ",$AN$120),"")</f>
        <v/>
      </c>
      <c r="CY122" s="2235" t="str">
        <f>IF(AP122&lt;AQ122,CONCATENATE("* El total de procesados debe ser mayor o igual al total de Reactivos en el grupo de edad ",$AP$120),"")</f>
        <v/>
      </c>
      <c r="CZ122" s="2235" t="str">
        <f t="shared" ref="CZ122:CZ139" si="282">IF(AND(B122&lt;&gt;0,OR(AT122="",AU122="",AV122="",AW122="")),"* No olvide digitar la columna Trans y/o Pueblos Originarios y/o Migrantes (Digite Cero si no tiene). ","")</f>
        <v/>
      </c>
      <c r="DA122" s="1468">
        <f t="shared" ref="DA122:DA139" si="283">IF(B122&lt;   C122,1,0)</f>
        <v>0</v>
      </c>
      <c r="DB122" s="1468">
        <f t="shared" ref="DB122:DB139" si="284">IF(B122&lt;&gt; AR122+AS122,1,0)</f>
        <v>0</v>
      </c>
      <c r="DC122" s="1468">
        <f t="shared" ref="DC122:DC139" si="285">IF(B122&lt;  AT122+AU122,1,0)</f>
        <v>0</v>
      </c>
      <c r="DD122" s="1468">
        <f t="shared" ref="DD122:DD139" si="286">IF(B122&lt;  AV122,1,0)</f>
        <v>0</v>
      </c>
      <c r="DE122" s="1468">
        <f t="shared" ref="DE122:DE139" si="287">IF(B122&lt;  AW122,1,0)</f>
        <v>0</v>
      </c>
      <c r="DF122" s="1468">
        <f t="shared" ref="DF122:DF139" si="288">IF(D122&lt;E122,1,0)</f>
        <v>0</v>
      </c>
      <c r="DG122" s="1468">
        <f t="shared" ref="DG122:DG139" si="289">IF(F122&lt;G122,1,0)</f>
        <v>0</v>
      </c>
      <c r="DH122" s="1468">
        <f t="shared" ref="DH122:DH139" si="290">IF(H122&lt;I122,1,0)</f>
        <v>0</v>
      </c>
      <c r="DI122" s="1468">
        <f t="shared" ref="DI122:DI139" si="291">IF(J122&lt;K122,1,0)</f>
        <v>0</v>
      </c>
      <c r="DJ122" s="1468">
        <f t="shared" ref="DJ122:DJ139" si="292">IF(L122&lt;M122,1,0)</f>
        <v>0</v>
      </c>
      <c r="DK122" s="1468">
        <f t="shared" ref="DK122:DK139" si="293">IF(N122&lt;O122,1,0)</f>
        <v>0</v>
      </c>
      <c r="DL122" s="1468">
        <f t="shared" ref="DL122:DL139" si="294">IF(P122&lt;Q122,1,0)</f>
        <v>0</v>
      </c>
      <c r="DM122" s="1468">
        <f t="shared" ref="DM122:DM139" si="295">IF(R122&lt;S122,1,0)</f>
        <v>0</v>
      </c>
      <c r="DN122" s="1468">
        <f t="shared" ref="DN122:DN139" si="296">IF(T122&lt;U122,1,0)</f>
        <v>0</v>
      </c>
      <c r="DO122" s="1468">
        <f t="shared" ref="DO122:DO139" si="297">IF(V122&lt;W122,1,0)</f>
        <v>0</v>
      </c>
      <c r="DP122" s="1468">
        <f t="shared" ref="DP122:DP139" si="298">IF(X122&lt;Y122,1,0)</f>
        <v>0</v>
      </c>
      <c r="DQ122" s="1468">
        <f t="shared" ref="DQ122:DQ139" si="299">IF(Z122&lt;AA122,1,0)</f>
        <v>0</v>
      </c>
      <c r="DR122" s="1468">
        <f t="shared" ref="DR122:DR139" si="300">IF(AB122&lt;AC122,1,0)</f>
        <v>0</v>
      </c>
      <c r="DS122" s="1468">
        <f t="shared" ref="DS122:DS139" si="301">IF(AD122&lt;AE122,1,0)</f>
        <v>0</v>
      </c>
      <c r="DT122" s="1468">
        <f t="shared" ref="DT122:DT139" si="302">IF(AF122&lt;AG122,1,0)</f>
        <v>0</v>
      </c>
      <c r="DU122" s="1468">
        <f t="shared" ref="DU122:DU139" si="303">IF(AH122&lt;AI122,1,0)</f>
        <v>0</v>
      </c>
      <c r="DV122" s="1468">
        <f t="shared" ref="DV122:DV139" si="304">IF(AJ122&lt;AK122,1,0)</f>
        <v>0</v>
      </c>
      <c r="DW122" s="1468">
        <f t="shared" ref="DW122:DW139" si="305">IF(AL122&lt;AM122,1,0)</f>
        <v>0</v>
      </c>
      <c r="DX122" s="1468">
        <f t="shared" ref="DX122:DX139" si="306">IF(AN122&lt;AO122,1,0)</f>
        <v>0</v>
      </c>
      <c r="DY122" s="1468">
        <f t="shared" ref="DY122:DY139" si="307">IF(AP122&lt;AQ122,1,0)</f>
        <v>0</v>
      </c>
      <c r="DZ122" s="1468">
        <f t="shared" ref="DZ122:DZ139" si="308">IF(AND(B122&lt;&gt;0,OR(AT122="",AU122="",AV122="",AW122="")),1,0)</f>
        <v>0</v>
      </c>
    </row>
    <row r="123" spans="1:130" ht="16.149999999999999" customHeight="1" x14ac:dyDescent="0.25">
      <c r="A123" s="2040" t="s">
        <v>1783</v>
      </c>
      <c r="B123" s="2038">
        <f t="shared" si="275"/>
        <v>0</v>
      </c>
      <c r="C123" s="2084">
        <f t="shared" si="275"/>
        <v>0</v>
      </c>
      <c r="D123" s="1125"/>
      <c r="E123" s="1126"/>
      <c r="F123" s="1127"/>
      <c r="G123" s="1126"/>
      <c r="H123" s="1127"/>
      <c r="I123" s="1126"/>
      <c r="J123" s="1127"/>
      <c r="K123" s="1126"/>
      <c r="L123" s="1127"/>
      <c r="M123" s="1128"/>
      <c r="N123" s="1129"/>
      <c r="O123" s="1130"/>
      <c r="P123" s="1109"/>
      <c r="Q123" s="1130"/>
      <c r="R123" s="1109"/>
      <c r="S123" s="1130"/>
      <c r="T123" s="1109"/>
      <c r="U123" s="1130"/>
      <c r="V123" s="1109"/>
      <c r="W123" s="1130"/>
      <c r="X123" s="1109"/>
      <c r="Y123" s="1130"/>
      <c r="Z123" s="1109"/>
      <c r="AA123" s="1130"/>
      <c r="AB123" s="1109"/>
      <c r="AC123" s="1130"/>
      <c r="AD123" s="1109"/>
      <c r="AE123" s="1130"/>
      <c r="AF123" s="1109"/>
      <c r="AG123" s="1130"/>
      <c r="AH123" s="1109"/>
      <c r="AI123" s="1130"/>
      <c r="AJ123" s="1109"/>
      <c r="AK123" s="1130"/>
      <c r="AL123" s="1109"/>
      <c r="AM123" s="1130"/>
      <c r="AN123" s="1109"/>
      <c r="AO123" s="1130"/>
      <c r="AP123" s="1109"/>
      <c r="AQ123" s="1131"/>
      <c r="AR123" s="1132"/>
      <c r="AS123" s="1131"/>
      <c r="AT123" s="1129"/>
      <c r="AU123" s="1130"/>
      <c r="AV123" s="1109"/>
      <c r="AW123" s="1113"/>
      <c r="AX123" s="1193" t="str">
        <f t="shared" si="276"/>
        <v/>
      </c>
      <c r="AY123" s="1193"/>
      <c r="AZ123" s="1193"/>
      <c r="BA123" s="1193"/>
      <c r="BB123" s="1193"/>
      <c r="BC123" s="1193"/>
      <c r="BD123" s="1193"/>
      <c r="BE123" s="1193"/>
      <c r="BF123" s="1193"/>
      <c r="BG123" s="1193"/>
      <c r="BH123" s="1193"/>
      <c r="BI123" s="1187"/>
      <c r="BJ123" s="1187"/>
      <c r="BK123" s="1187"/>
      <c r="BL123" s="1187"/>
      <c r="BU123" s="1580"/>
      <c r="BV123" s="1580"/>
      <c r="BW123" s="1580"/>
      <c r="CA123" s="2235" t="str">
        <f t="shared" si="277"/>
        <v/>
      </c>
      <c r="CB123" s="2235" t="str">
        <f t="shared" si="278"/>
        <v/>
      </c>
      <c r="CC123" s="2235" t="str">
        <f t="shared" si="279"/>
        <v/>
      </c>
      <c r="CD123" s="2235" t="str">
        <f t="shared" si="280"/>
        <v/>
      </c>
      <c r="CE123" s="2235" t="str">
        <f t="shared" si="281"/>
        <v/>
      </c>
      <c r="CF123" s="2235" t="str">
        <f t="shared" ref="CF123:CF139" si="309">IF(D123&lt;E123,CONCATENATE("* El total de procesados debe ser mayor o igual al total de Reactivos en el grupo de edad ",$D$120),"")</f>
        <v/>
      </c>
      <c r="CG123" s="2235" t="str">
        <f t="shared" ref="CG123:CG139" si="310">IF(F123&lt;G123,CONCATENATE("* El total de procesados debe ser mayor o igual al total de Reactivos en el grupo de edad ",$F$120),"")</f>
        <v/>
      </c>
      <c r="CH123" s="2235" t="str">
        <f t="shared" ref="CH123:CH139" si="311">IF(H123&lt;I123,CONCATENATE("* El total de procesados debe ser mayor o igual al total de Reactivos en el grupo de edad ",$H$120),"")</f>
        <v/>
      </c>
      <c r="CI123" s="2235" t="str">
        <f t="shared" ref="CI123:CI139" si="312">IF(J123&lt;K123,CONCATENATE("* El total de procesados debe ser mayor o igual al total de Reactivos en el grupo de edad ",$J$120),"")</f>
        <v/>
      </c>
      <c r="CJ123" s="2235" t="str">
        <f t="shared" ref="CJ123:CJ139" si="313">IF(L123&lt;M123,CONCATENATE("* El total de procesados debe ser mayor o igual al total de Reactivos en el grupo de edad ",$L$120),"")</f>
        <v/>
      </c>
      <c r="CK123" s="2235" t="str">
        <f t="shared" ref="CK123:CK139" si="314">IF(N123&lt;O123,CONCATENATE("* El total de procesados debe ser mayor o igual al total de Reactivos en el grupo de edad ",$N$120),"")</f>
        <v/>
      </c>
      <c r="CL123" s="2235" t="str">
        <f t="shared" ref="CL123:CL139" si="315">IF(P123&lt;Q123,CONCATENATE("* El total de procesados debe ser mayor o igual al total de Reactivos en el grupo de edad ",$P$120),"")</f>
        <v/>
      </c>
      <c r="CM123" s="2235" t="str">
        <f t="shared" ref="CM123:CM139" si="316">IF(R123&lt;S123,CONCATENATE("* El total de procesados debe ser mayor o igual al total de Reactivos en el grupo de edad ",$R$120),"")</f>
        <v/>
      </c>
      <c r="CN123" s="2235" t="str">
        <f t="shared" ref="CN123:CN139" si="317">IF(T123&lt;U123,CONCATENATE("* El total de procesados debe ser mayor o igual al total de Reactivos en el grupo de edad ",$T$120),"")</f>
        <v/>
      </c>
      <c r="CO123" s="2235" t="str">
        <f t="shared" ref="CO123:CO139" si="318">IF(V123&lt;W123,CONCATENATE("* El total de procesados debe ser mayor o igual al total de Reactivos en el grupo de edad ",$V$120),"")</f>
        <v/>
      </c>
      <c r="CP123" s="2235" t="str">
        <f t="shared" ref="CP123:CP139" si="319">IF(X123&lt;Y123,CONCATENATE("* El total de procesados debe ser mayor o igual al total de Reactivos en el grupo de edad ",$X$120),"")</f>
        <v/>
      </c>
      <c r="CQ123" s="2235" t="str">
        <f t="shared" ref="CQ123:CQ139" si="320">IF(Z123&lt;AA123,CONCATENATE("* El total de procesados debe ser mayor o igual al total de Reactivos en el grupo de edad ",$Z$120),"")</f>
        <v/>
      </c>
      <c r="CR123" s="2235" t="str">
        <f t="shared" ref="CR123:CR139" si="321">IF(AB123&lt;AC123,CONCATENATE("* El total de procesados debe ser mayor o igual al total de Reactivos en el grupo de edad ",$AB$120),"")</f>
        <v/>
      </c>
      <c r="CS123" s="2235" t="str">
        <f t="shared" ref="CS123:CS139" si="322">IF(AD123&lt;AE123,CONCATENATE("* El total de procesados debe ser mayor o igual al total de Reactivos en el grupo de edad ",$AD$120),"")</f>
        <v/>
      </c>
      <c r="CT123" s="2235" t="str">
        <f t="shared" ref="CT123:CT139" si="323">IF(AF123&lt;AG123,CONCATENATE("* El total de procesados debe ser mayor o igual al total de Reactivos en el grupo de edad ",$AF$120),"")</f>
        <v/>
      </c>
      <c r="CU123" s="2235" t="str">
        <f t="shared" ref="CU123:CU139" si="324">IF(AH123&lt;AI123,CONCATENATE("* El total de procesados debe ser mayor o igual al total de Reactivos en el grupo de edad ",$AH$120),"")</f>
        <v/>
      </c>
      <c r="CV123" s="2235" t="str">
        <f t="shared" ref="CV123:CV139" si="325">IF(AJ123&lt;AK123,CONCATENATE("* El total de procesados debe ser mayor o igual al total de Reactivos en el grupo de edad ",$AJ$120),"")</f>
        <v/>
      </c>
      <c r="CW123" s="2235" t="str">
        <f t="shared" ref="CW123:CW139" si="326">IF(AL123&lt;AM123,CONCATENATE("* El total de procesados debe ser mayor o igual al total de Reactivos en el grupo de edad ",$AL$120),"")</f>
        <v/>
      </c>
      <c r="CX123" s="2235" t="str">
        <f t="shared" ref="CX123:CX139" si="327">IF(AN123&lt;AO123,CONCATENATE("* El total de procesados debe ser mayor o igual al total de Reactivos en el grupo de edad ",$AN$120),"")</f>
        <v/>
      </c>
      <c r="CY123" s="2235" t="str">
        <f t="shared" ref="CY123:CY139" si="328">IF(AP123&lt;AQ123,CONCATENATE("* El total de procesados debe ser mayor o igual al total de Reactivos en el grupo de edad ",$AP$120),"")</f>
        <v/>
      </c>
      <c r="CZ123" s="2235" t="str">
        <f t="shared" si="282"/>
        <v/>
      </c>
      <c r="DA123" s="1468">
        <f t="shared" si="283"/>
        <v>0</v>
      </c>
      <c r="DB123" s="1468">
        <f t="shared" si="284"/>
        <v>0</v>
      </c>
      <c r="DC123" s="1468">
        <f t="shared" si="285"/>
        <v>0</v>
      </c>
      <c r="DD123" s="1468">
        <f t="shared" si="286"/>
        <v>0</v>
      </c>
      <c r="DE123" s="1468">
        <f t="shared" si="287"/>
        <v>0</v>
      </c>
      <c r="DF123" s="1468">
        <f t="shared" si="288"/>
        <v>0</v>
      </c>
      <c r="DG123" s="1468">
        <f t="shared" si="289"/>
        <v>0</v>
      </c>
      <c r="DH123" s="1468">
        <f t="shared" si="290"/>
        <v>0</v>
      </c>
      <c r="DI123" s="1468">
        <f t="shared" si="291"/>
        <v>0</v>
      </c>
      <c r="DJ123" s="1468">
        <f t="shared" si="292"/>
        <v>0</v>
      </c>
      <c r="DK123" s="1468">
        <f t="shared" si="293"/>
        <v>0</v>
      </c>
      <c r="DL123" s="1468">
        <f t="shared" si="294"/>
        <v>0</v>
      </c>
      <c r="DM123" s="1468">
        <f t="shared" si="295"/>
        <v>0</v>
      </c>
      <c r="DN123" s="1468">
        <f t="shared" si="296"/>
        <v>0</v>
      </c>
      <c r="DO123" s="1468">
        <f t="shared" si="297"/>
        <v>0</v>
      </c>
      <c r="DP123" s="1468">
        <f t="shared" si="298"/>
        <v>0</v>
      </c>
      <c r="DQ123" s="1468">
        <f t="shared" si="299"/>
        <v>0</v>
      </c>
      <c r="DR123" s="1468">
        <f t="shared" si="300"/>
        <v>0</v>
      </c>
      <c r="DS123" s="1468">
        <f t="shared" si="301"/>
        <v>0</v>
      </c>
      <c r="DT123" s="1468">
        <f t="shared" si="302"/>
        <v>0</v>
      </c>
      <c r="DU123" s="1468">
        <f t="shared" si="303"/>
        <v>0</v>
      </c>
      <c r="DV123" s="1468">
        <f t="shared" si="304"/>
        <v>0</v>
      </c>
      <c r="DW123" s="1468">
        <f t="shared" si="305"/>
        <v>0</v>
      </c>
      <c r="DX123" s="1468">
        <f t="shared" si="306"/>
        <v>0</v>
      </c>
      <c r="DY123" s="1468">
        <f t="shared" si="307"/>
        <v>0</v>
      </c>
      <c r="DZ123" s="1468">
        <f t="shared" si="308"/>
        <v>0</v>
      </c>
    </row>
    <row r="124" spans="1:130" ht="16.149999999999999" customHeight="1" x14ac:dyDescent="0.25">
      <c r="A124" s="2040" t="s">
        <v>1784</v>
      </c>
      <c r="B124" s="2038">
        <f t="shared" si="275"/>
        <v>0</v>
      </c>
      <c r="C124" s="2084">
        <f t="shared" si="275"/>
        <v>0</v>
      </c>
      <c r="D124" s="1125"/>
      <c r="E124" s="1126"/>
      <c r="F124" s="1127"/>
      <c r="G124" s="1126"/>
      <c r="H124" s="1127"/>
      <c r="I124" s="1126"/>
      <c r="J124" s="1127"/>
      <c r="K124" s="1126"/>
      <c r="L124" s="1127"/>
      <c r="M124" s="1128"/>
      <c r="N124" s="1129"/>
      <c r="O124" s="1130"/>
      <c r="P124" s="1109"/>
      <c r="Q124" s="1130"/>
      <c r="R124" s="1109"/>
      <c r="S124" s="1130"/>
      <c r="T124" s="1109"/>
      <c r="U124" s="1130"/>
      <c r="V124" s="1109"/>
      <c r="W124" s="1130"/>
      <c r="X124" s="1109"/>
      <c r="Y124" s="1130"/>
      <c r="Z124" s="1109"/>
      <c r="AA124" s="1130"/>
      <c r="AB124" s="1109"/>
      <c r="AC124" s="1130"/>
      <c r="AD124" s="1109"/>
      <c r="AE124" s="1130"/>
      <c r="AF124" s="1109"/>
      <c r="AG124" s="1130"/>
      <c r="AH124" s="1109"/>
      <c r="AI124" s="1130"/>
      <c r="AJ124" s="1109"/>
      <c r="AK124" s="1130"/>
      <c r="AL124" s="1109"/>
      <c r="AM124" s="1130"/>
      <c r="AN124" s="1109"/>
      <c r="AO124" s="1130"/>
      <c r="AP124" s="1109"/>
      <c r="AQ124" s="1131"/>
      <c r="AR124" s="1132"/>
      <c r="AS124" s="1131"/>
      <c r="AT124" s="1129"/>
      <c r="AU124" s="1130"/>
      <c r="AV124" s="1109"/>
      <c r="AW124" s="1113"/>
      <c r="AX124" s="1193" t="str">
        <f t="shared" si="276"/>
        <v/>
      </c>
      <c r="AY124" s="1193"/>
      <c r="AZ124" s="1193"/>
      <c r="BA124" s="1193"/>
      <c r="BB124" s="1193"/>
      <c r="BC124" s="1193"/>
      <c r="BD124" s="1193"/>
      <c r="BE124" s="1193"/>
      <c r="BF124" s="1193"/>
      <c r="BG124" s="1193"/>
      <c r="BH124" s="1193"/>
      <c r="BI124" s="1187"/>
      <c r="BJ124" s="1187"/>
      <c r="BK124" s="1187"/>
      <c r="BL124" s="1187"/>
      <c r="BU124" s="1580"/>
      <c r="BV124" s="1580"/>
      <c r="BW124" s="1580"/>
      <c r="CA124" s="2235" t="str">
        <f t="shared" si="277"/>
        <v/>
      </c>
      <c r="CB124" s="2235" t="str">
        <f t="shared" si="278"/>
        <v/>
      </c>
      <c r="CC124" s="2235" t="str">
        <f t="shared" si="279"/>
        <v/>
      </c>
      <c r="CD124" s="2235" t="str">
        <f t="shared" si="280"/>
        <v/>
      </c>
      <c r="CE124" s="2235" t="str">
        <f t="shared" si="281"/>
        <v/>
      </c>
      <c r="CF124" s="2235" t="str">
        <f t="shared" si="309"/>
        <v/>
      </c>
      <c r="CG124" s="2235" t="str">
        <f t="shared" si="310"/>
        <v/>
      </c>
      <c r="CH124" s="2235" t="str">
        <f t="shared" si="311"/>
        <v/>
      </c>
      <c r="CI124" s="2235" t="str">
        <f t="shared" si="312"/>
        <v/>
      </c>
      <c r="CJ124" s="2235" t="str">
        <f t="shared" si="313"/>
        <v/>
      </c>
      <c r="CK124" s="2235" t="str">
        <f t="shared" si="314"/>
        <v/>
      </c>
      <c r="CL124" s="2235" t="str">
        <f t="shared" si="315"/>
        <v/>
      </c>
      <c r="CM124" s="2235" t="str">
        <f t="shared" si="316"/>
        <v/>
      </c>
      <c r="CN124" s="2235" t="str">
        <f t="shared" si="317"/>
        <v/>
      </c>
      <c r="CO124" s="2235" t="str">
        <f t="shared" si="318"/>
        <v/>
      </c>
      <c r="CP124" s="2235" t="str">
        <f t="shared" si="319"/>
        <v/>
      </c>
      <c r="CQ124" s="2235" t="str">
        <f t="shared" si="320"/>
        <v/>
      </c>
      <c r="CR124" s="2235" t="str">
        <f t="shared" si="321"/>
        <v/>
      </c>
      <c r="CS124" s="2235" t="str">
        <f t="shared" si="322"/>
        <v/>
      </c>
      <c r="CT124" s="2235" t="str">
        <f t="shared" si="323"/>
        <v/>
      </c>
      <c r="CU124" s="2235" t="str">
        <f t="shared" si="324"/>
        <v/>
      </c>
      <c r="CV124" s="2235" t="str">
        <f t="shared" si="325"/>
        <v/>
      </c>
      <c r="CW124" s="2235" t="str">
        <f t="shared" si="326"/>
        <v/>
      </c>
      <c r="CX124" s="2235" t="str">
        <f t="shared" si="327"/>
        <v/>
      </c>
      <c r="CY124" s="2235" t="str">
        <f t="shared" si="328"/>
        <v/>
      </c>
      <c r="CZ124" s="2235" t="str">
        <f t="shared" si="282"/>
        <v/>
      </c>
      <c r="DA124" s="1468">
        <f t="shared" si="283"/>
        <v>0</v>
      </c>
      <c r="DB124" s="1468">
        <f t="shared" si="284"/>
        <v>0</v>
      </c>
      <c r="DC124" s="1468">
        <f t="shared" si="285"/>
        <v>0</v>
      </c>
      <c r="DD124" s="1468">
        <f t="shared" si="286"/>
        <v>0</v>
      </c>
      <c r="DE124" s="1468">
        <f t="shared" si="287"/>
        <v>0</v>
      </c>
      <c r="DF124" s="1468">
        <f t="shared" si="288"/>
        <v>0</v>
      </c>
      <c r="DG124" s="1468">
        <f t="shared" si="289"/>
        <v>0</v>
      </c>
      <c r="DH124" s="1468">
        <f t="shared" si="290"/>
        <v>0</v>
      </c>
      <c r="DI124" s="1468">
        <f t="shared" si="291"/>
        <v>0</v>
      </c>
      <c r="DJ124" s="1468">
        <f t="shared" si="292"/>
        <v>0</v>
      </c>
      <c r="DK124" s="1468">
        <f t="shared" si="293"/>
        <v>0</v>
      </c>
      <c r="DL124" s="1468">
        <f t="shared" si="294"/>
        <v>0</v>
      </c>
      <c r="DM124" s="1468">
        <f t="shared" si="295"/>
        <v>0</v>
      </c>
      <c r="DN124" s="1468">
        <f t="shared" si="296"/>
        <v>0</v>
      </c>
      <c r="DO124" s="1468">
        <f t="shared" si="297"/>
        <v>0</v>
      </c>
      <c r="DP124" s="1468">
        <f t="shared" si="298"/>
        <v>0</v>
      </c>
      <c r="DQ124" s="1468">
        <f t="shared" si="299"/>
        <v>0</v>
      </c>
      <c r="DR124" s="1468">
        <f t="shared" si="300"/>
        <v>0</v>
      </c>
      <c r="DS124" s="1468">
        <f t="shared" si="301"/>
        <v>0</v>
      </c>
      <c r="DT124" s="1468">
        <f t="shared" si="302"/>
        <v>0</v>
      </c>
      <c r="DU124" s="1468">
        <f t="shared" si="303"/>
        <v>0</v>
      </c>
      <c r="DV124" s="1468">
        <f t="shared" si="304"/>
        <v>0</v>
      </c>
      <c r="DW124" s="1468">
        <f t="shared" si="305"/>
        <v>0</v>
      </c>
      <c r="DX124" s="1468">
        <f t="shared" si="306"/>
        <v>0</v>
      </c>
      <c r="DY124" s="1468">
        <f t="shared" si="307"/>
        <v>0</v>
      </c>
      <c r="DZ124" s="1468">
        <f t="shared" si="308"/>
        <v>0</v>
      </c>
    </row>
    <row r="125" spans="1:130" ht="16.149999999999999" customHeight="1" x14ac:dyDescent="0.25">
      <c r="A125" s="2040" t="s">
        <v>1785</v>
      </c>
      <c r="B125" s="2038">
        <f t="shared" si="275"/>
        <v>0</v>
      </c>
      <c r="C125" s="2084">
        <f t="shared" si="275"/>
        <v>0</v>
      </c>
      <c r="D125" s="1125"/>
      <c r="E125" s="1126"/>
      <c r="F125" s="1127"/>
      <c r="G125" s="1126"/>
      <c r="H125" s="1127"/>
      <c r="I125" s="1126"/>
      <c r="J125" s="1127"/>
      <c r="K125" s="1126"/>
      <c r="L125" s="1127"/>
      <c r="M125" s="1128"/>
      <c r="N125" s="1129"/>
      <c r="O125" s="1130"/>
      <c r="P125" s="1109"/>
      <c r="Q125" s="1130"/>
      <c r="R125" s="1109"/>
      <c r="S125" s="1130"/>
      <c r="T125" s="1109"/>
      <c r="U125" s="1130"/>
      <c r="V125" s="1109"/>
      <c r="W125" s="1130"/>
      <c r="X125" s="1109"/>
      <c r="Y125" s="1130"/>
      <c r="Z125" s="1109"/>
      <c r="AA125" s="1130"/>
      <c r="AB125" s="1109"/>
      <c r="AC125" s="1130"/>
      <c r="AD125" s="1109"/>
      <c r="AE125" s="1130"/>
      <c r="AF125" s="1109"/>
      <c r="AG125" s="1130"/>
      <c r="AH125" s="1109"/>
      <c r="AI125" s="1130"/>
      <c r="AJ125" s="1109"/>
      <c r="AK125" s="1130"/>
      <c r="AL125" s="1109"/>
      <c r="AM125" s="1130"/>
      <c r="AN125" s="1109"/>
      <c r="AO125" s="1130"/>
      <c r="AP125" s="1109"/>
      <c r="AQ125" s="1131"/>
      <c r="AR125" s="1132"/>
      <c r="AS125" s="1131"/>
      <c r="AT125" s="1129"/>
      <c r="AU125" s="1130"/>
      <c r="AV125" s="1109"/>
      <c r="AW125" s="1113"/>
      <c r="AX125" s="1193" t="str">
        <f t="shared" si="276"/>
        <v/>
      </c>
      <c r="AY125" s="1193"/>
      <c r="AZ125" s="1193"/>
      <c r="BA125" s="1193"/>
      <c r="BB125" s="1193"/>
      <c r="BC125" s="1193"/>
      <c r="BD125" s="1193"/>
      <c r="BE125" s="1193"/>
      <c r="BF125" s="1193"/>
      <c r="BG125" s="1193"/>
      <c r="BH125" s="1193"/>
      <c r="BI125" s="1187"/>
      <c r="BJ125" s="1187"/>
      <c r="BK125" s="1187"/>
      <c r="BL125" s="1187"/>
      <c r="BU125" s="1580"/>
      <c r="BV125" s="1580"/>
      <c r="BW125" s="1580"/>
      <c r="CA125" s="2235" t="str">
        <f t="shared" si="277"/>
        <v/>
      </c>
      <c r="CB125" s="2235" t="str">
        <f t="shared" si="278"/>
        <v/>
      </c>
      <c r="CC125" s="2235" t="str">
        <f t="shared" si="279"/>
        <v/>
      </c>
      <c r="CD125" s="2235" t="str">
        <f t="shared" si="280"/>
        <v/>
      </c>
      <c r="CE125" s="2235" t="str">
        <f t="shared" si="281"/>
        <v/>
      </c>
      <c r="CF125" s="2235" t="str">
        <f t="shared" si="309"/>
        <v/>
      </c>
      <c r="CG125" s="2235" t="str">
        <f t="shared" si="310"/>
        <v/>
      </c>
      <c r="CH125" s="2235" t="str">
        <f t="shared" si="311"/>
        <v/>
      </c>
      <c r="CI125" s="2235" t="str">
        <f t="shared" si="312"/>
        <v/>
      </c>
      <c r="CJ125" s="2235" t="str">
        <f t="shared" si="313"/>
        <v/>
      </c>
      <c r="CK125" s="2235" t="str">
        <f t="shared" si="314"/>
        <v/>
      </c>
      <c r="CL125" s="2235" t="str">
        <f t="shared" si="315"/>
        <v/>
      </c>
      <c r="CM125" s="2235" t="str">
        <f t="shared" si="316"/>
        <v/>
      </c>
      <c r="CN125" s="2235" t="str">
        <f t="shared" si="317"/>
        <v/>
      </c>
      <c r="CO125" s="2235" t="str">
        <f t="shared" si="318"/>
        <v/>
      </c>
      <c r="CP125" s="2235" t="str">
        <f t="shared" si="319"/>
        <v/>
      </c>
      <c r="CQ125" s="2235" t="str">
        <f t="shared" si="320"/>
        <v/>
      </c>
      <c r="CR125" s="2235" t="str">
        <f t="shared" si="321"/>
        <v/>
      </c>
      <c r="CS125" s="2235" t="str">
        <f t="shared" si="322"/>
        <v/>
      </c>
      <c r="CT125" s="2235" t="str">
        <f t="shared" si="323"/>
        <v/>
      </c>
      <c r="CU125" s="2235" t="str">
        <f t="shared" si="324"/>
        <v/>
      </c>
      <c r="CV125" s="2235" t="str">
        <f t="shared" si="325"/>
        <v/>
      </c>
      <c r="CW125" s="2235" t="str">
        <f t="shared" si="326"/>
        <v/>
      </c>
      <c r="CX125" s="2235" t="str">
        <f t="shared" si="327"/>
        <v/>
      </c>
      <c r="CY125" s="2235" t="str">
        <f t="shared" si="328"/>
        <v/>
      </c>
      <c r="CZ125" s="2235" t="str">
        <f t="shared" si="282"/>
        <v/>
      </c>
      <c r="DA125" s="1468">
        <f t="shared" si="283"/>
        <v>0</v>
      </c>
      <c r="DB125" s="1468">
        <f t="shared" si="284"/>
        <v>0</v>
      </c>
      <c r="DC125" s="1468">
        <f t="shared" si="285"/>
        <v>0</v>
      </c>
      <c r="DD125" s="1468">
        <f t="shared" si="286"/>
        <v>0</v>
      </c>
      <c r="DE125" s="1468">
        <f t="shared" si="287"/>
        <v>0</v>
      </c>
      <c r="DF125" s="1468">
        <f t="shared" si="288"/>
        <v>0</v>
      </c>
      <c r="DG125" s="1468">
        <f t="shared" si="289"/>
        <v>0</v>
      </c>
      <c r="DH125" s="1468">
        <f t="shared" si="290"/>
        <v>0</v>
      </c>
      <c r="DI125" s="1468">
        <f t="shared" si="291"/>
        <v>0</v>
      </c>
      <c r="DJ125" s="1468">
        <f t="shared" si="292"/>
        <v>0</v>
      </c>
      <c r="DK125" s="1468">
        <f t="shared" si="293"/>
        <v>0</v>
      </c>
      <c r="DL125" s="1468">
        <f t="shared" si="294"/>
        <v>0</v>
      </c>
      <c r="DM125" s="1468">
        <f t="shared" si="295"/>
        <v>0</v>
      </c>
      <c r="DN125" s="1468">
        <f t="shared" si="296"/>
        <v>0</v>
      </c>
      <c r="DO125" s="1468">
        <f t="shared" si="297"/>
        <v>0</v>
      </c>
      <c r="DP125" s="1468">
        <f t="shared" si="298"/>
        <v>0</v>
      </c>
      <c r="DQ125" s="1468">
        <f t="shared" si="299"/>
        <v>0</v>
      </c>
      <c r="DR125" s="1468">
        <f t="shared" si="300"/>
        <v>0</v>
      </c>
      <c r="DS125" s="1468">
        <f t="shared" si="301"/>
        <v>0</v>
      </c>
      <c r="DT125" s="1468">
        <f t="shared" si="302"/>
        <v>0</v>
      </c>
      <c r="DU125" s="1468">
        <f t="shared" si="303"/>
        <v>0</v>
      </c>
      <c r="DV125" s="1468">
        <f t="shared" si="304"/>
        <v>0</v>
      </c>
      <c r="DW125" s="1468">
        <f t="shared" si="305"/>
        <v>0</v>
      </c>
      <c r="DX125" s="1468">
        <f t="shared" si="306"/>
        <v>0</v>
      </c>
      <c r="DY125" s="1468">
        <f t="shared" si="307"/>
        <v>0</v>
      </c>
      <c r="DZ125" s="1468">
        <f t="shared" si="308"/>
        <v>0</v>
      </c>
    </row>
    <row r="126" spans="1:130" ht="16.149999999999999" customHeight="1" x14ac:dyDescent="0.25">
      <c r="A126" s="2085" t="s">
        <v>1786</v>
      </c>
      <c r="B126" s="2038">
        <f t="shared" si="275"/>
        <v>0</v>
      </c>
      <c r="C126" s="2084">
        <f t="shared" si="275"/>
        <v>0</v>
      </c>
      <c r="D126" s="1125"/>
      <c r="E126" s="1126"/>
      <c r="F126" s="1127"/>
      <c r="G126" s="1126"/>
      <c r="H126" s="1127"/>
      <c r="I126" s="1126"/>
      <c r="J126" s="1127"/>
      <c r="K126" s="1126"/>
      <c r="L126" s="1127"/>
      <c r="M126" s="1128"/>
      <c r="N126" s="1129"/>
      <c r="O126" s="1130"/>
      <c r="P126" s="1109"/>
      <c r="Q126" s="1130"/>
      <c r="R126" s="1109"/>
      <c r="S126" s="1130"/>
      <c r="T126" s="1109"/>
      <c r="U126" s="1130"/>
      <c r="V126" s="1109"/>
      <c r="W126" s="1130"/>
      <c r="X126" s="1109"/>
      <c r="Y126" s="1130"/>
      <c r="Z126" s="1109"/>
      <c r="AA126" s="1130"/>
      <c r="AB126" s="1109"/>
      <c r="AC126" s="1130"/>
      <c r="AD126" s="1109"/>
      <c r="AE126" s="1130"/>
      <c r="AF126" s="1109"/>
      <c r="AG126" s="1130"/>
      <c r="AH126" s="1109"/>
      <c r="AI126" s="1130"/>
      <c r="AJ126" s="1109"/>
      <c r="AK126" s="1130"/>
      <c r="AL126" s="1109"/>
      <c r="AM126" s="1130"/>
      <c r="AN126" s="1109"/>
      <c r="AO126" s="1130"/>
      <c r="AP126" s="1109"/>
      <c r="AQ126" s="1131"/>
      <c r="AR126" s="1132"/>
      <c r="AS126" s="1131"/>
      <c r="AT126" s="1129"/>
      <c r="AU126" s="1130"/>
      <c r="AV126" s="1109"/>
      <c r="AW126" s="1113"/>
      <c r="AX126" s="1193" t="str">
        <f t="shared" si="276"/>
        <v/>
      </c>
      <c r="AY126" s="1193"/>
      <c r="AZ126" s="1193"/>
      <c r="BA126" s="1193"/>
      <c r="BB126" s="1193"/>
      <c r="BC126" s="1193"/>
      <c r="BD126" s="1193"/>
      <c r="BE126" s="1193"/>
      <c r="BF126" s="1193"/>
      <c r="BG126" s="1193"/>
      <c r="BH126" s="1193"/>
      <c r="BI126" s="1187"/>
      <c r="BJ126" s="1187"/>
      <c r="BK126" s="1187"/>
      <c r="BL126" s="1187"/>
      <c r="BU126" s="1580"/>
      <c r="BV126" s="1580"/>
      <c r="BW126" s="1580"/>
      <c r="CA126" s="2235" t="str">
        <f t="shared" si="277"/>
        <v/>
      </c>
      <c r="CB126" s="2235" t="str">
        <f t="shared" si="278"/>
        <v/>
      </c>
      <c r="CC126" s="2235" t="str">
        <f t="shared" si="279"/>
        <v/>
      </c>
      <c r="CD126" s="2235" t="str">
        <f t="shared" si="280"/>
        <v/>
      </c>
      <c r="CE126" s="2235" t="str">
        <f t="shared" si="281"/>
        <v/>
      </c>
      <c r="CF126" s="2235" t="str">
        <f t="shared" si="309"/>
        <v/>
      </c>
      <c r="CG126" s="2235" t="str">
        <f t="shared" si="310"/>
        <v/>
      </c>
      <c r="CH126" s="2235" t="str">
        <f t="shared" si="311"/>
        <v/>
      </c>
      <c r="CI126" s="2235" t="str">
        <f t="shared" si="312"/>
        <v/>
      </c>
      <c r="CJ126" s="2235" t="str">
        <f t="shared" si="313"/>
        <v/>
      </c>
      <c r="CK126" s="2235" t="str">
        <f t="shared" si="314"/>
        <v/>
      </c>
      <c r="CL126" s="2235" t="str">
        <f t="shared" si="315"/>
        <v/>
      </c>
      <c r="CM126" s="2235" t="str">
        <f t="shared" si="316"/>
        <v/>
      </c>
      <c r="CN126" s="2235" t="str">
        <f t="shared" si="317"/>
        <v/>
      </c>
      <c r="CO126" s="2235" t="str">
        <f t="shared" si="318"/>
        <v/>
      </c>
      <c r="CP126" s="2235" t="str">
        <f t="shared" si="319"/>
        <v/>
      </c>
      <c r="CQ126" s="2235" t="str">
        <f t="shared" si="320"/>
        <v/>
      </c>
      <c r="CR126" s="2235" t="str">
        <f t="shared" si="321"/>
        <v/>
      </c>
      <c r="CS126" s="2235" t="str">
        <f t="shared" si="322"/>
        <v/>
      </c>
      <c r="CT126" s="2235" t="str">
        <f t="shared" si="323"/>
        <v/>
      </c>
      <c r="CU126" s="2235" t="str">
        <f t="shared" si="324"/>
        <v/>
      </c>
      <c r="CV126" s="2235" t="str">
        <f t="shared" si="325"/>
        <v/>
      </c>
      <c r="CW126" s="2235" t="str">
        <f t="shared" si="326"/>
        <v/>
      </c>
      <c r="CX126" s="2235" t="str">
        <f t="shared" si="327"/>
        <v/>
      </c>
      <c r="CY126" s="2235" t="str">
        <f t="shared" si="328"/>
        <v/>
      </c>
      <c r="CZ126" s="2235" t="str">
        <f t="shared" si="282"/>
        <v/>
      </c>
      <c r="DA126" s="1468">
        <f t="shared" si="283"/>
        <v>0</v>
      </c>
      <c r="DB126" s="1468">
        <f t="shared" si="284"/>
        <v>0</v>
      </c>
      <c r="DC126" s="1468">
        <f t="shared" si="285"/>
        <v>0</v>
      </c>
      <c r="DD126" s="1468">
        <f t="shared" si="286"/>
        <v>0</v>
      </c>
      <c r="DE126" s="1468">
        <f t="shared" si="287"/>
        <v>0</v>
      </c>
      <c r="DF126" s="1468">
        <f t="shared" si="288"/>
        <v>0</v>
      </c>
      <c r="DG126" s="1468">
        <f t="shared" si="289"/>
        <v>0</v>
      </c>
      <c r="DH126" s="1468">
        <f t="shared" si="290"/>
        <v>0</v>
      </c>
      <c r="DI126" s="1468">
        <f t="shared" si="291"/>
        <v>0</v>
      </c>
      <c r="DJ126" s="1468">
        <f t="shared" si="292"/>
        <v>0</v>
      </c>
      <c r="DK126" s="1468">
        <f t="shared" si="293"/>
        <v>0</v>
      </c>
      <c r="DL126" s="1468">
        <f t="shared" si="294"/>
        <v>0</v>
      </c>
      <c r="DM126" s="1468">
        <f t="shared" si="295"/>
        <v>0</v>
      </c>
      <c r="DN126" s="1468">
        <f t="shared" si="296"/>
        <v>0</v>
      </c>
      <c r="DO126" s="1468">
        <f t="shared" si="297"/>
        <v>0</v>
      </c>
      <c r="DP126" s="1468">
        <f t="shared" si="298"/>
        <v>0</v>
      </c>
      <c r="DQ126" s="1468">
        <f t="shared" si="299"/>
        <v>0</v>
      </c>
      <c r="DR126" s="1468">
        <f t="shared" si="300"/>
        <v>0</v>
      </c>
      <c r="DS126" s="1468">
        <f t="shared" si="301"/>
        <v>0</v>
      </c>
      <c r="DT126" s="1468">
        <f t="shared" si="302"/>
        <v>0</v>
      </c>
      <c r="DU126" s="1468">
        <f t="shared" si="303"/>
        <v>0</v>
      </c>
      <c r="DV126" s="1468">
        <f t="shared" si="304"/>
        <v>0</v>
      </c>
      <c r="DW126" s="1468">
        <f t="shared" si="305"/>
        <v>0</v>
      </c>
      <c r="DX126" s="1468">
        <f t="shared" si="306"/>
        <v>0</v>
      </c>
      <c r="DY126" s="1468">
        <f t="shared" si="307"/>
        <v>0</v>
      </c>
      <c r="DZ126" s="1468">
        <f t="shared" si="308"/>
        <v>0</v>
      </c>
    </row>
    <row r="127" spans="1:130" ht="21" customHeight="1" x14ac:dyDescent="0.25">
      <c r="A127" s="2085" t="s">
        <v>1787</v>
      </c>
      <c r="B127" s="2038">
        <f t="shared" si="275"/>
        <v>0</v>
      </c>
      <c r="C127" s="2084">
        <f t="shared" si="275"/>
        <v>0</v>
      </c>
      <c r="D127" s="1125"/>
      <c r="E127" s="1126"/>
      <c r="F127" s="1127"/>
      <c r="G127" s="1126"/>
      <c r="H127" s="1127"/>
      <c r="I127" s="1126"/>
      <c r="J127" s="1127"/>
      <c r="K127" s="1126"/>
      <c r="L127" s="1127"/>
      <c r="M127" s="1128"/>
      <c r="N127" s="1129"/>
      <c r="O127" s="1130"/>
      <c r="P127" s="1109"/>
      <c r="Q127" s="1130"/>
      <c r="R127" s="1109"/>
      <c r="S127" s="1130"/>
      <c r="T127" s="1109"/>
      <c r="U127" s="1130"/>
      <c r="V127" s="1109"/>
      <c r="W127" s="1130"/>
      <c r="X127" s="1109"/>
      <c r="Y127" s="1130"/>
      <c r="Z127" s="1109"/>
      <c r="AA127" s="1130"/>
      <c r="AB127" s="1109"/>
      <c r="AC127" s="1130"/>
      <c r="AD127" s="1109"/>
      <c r="AE127" s="1130"/>
      <c r="AF127" s="1109"/>
      <c r="AG127" s="1130"/>
      <c r="AH127" s="1109"/>
      <c r="AI127" s="1130"/>
      <c r="AJ127" s="1109"/>
      <c r="AK127" s="1130"/>
      <c r="AL127" s="1109"/>
      <c r="AM127" s="1130"/>
      <c r="AN127" s="1109"/>
      <c r="AO127" s="1130"/>
      <c r="AP127" s="1109"/>
      <c r="AQ127" s="1131"/>
      <c r="AR127" s="1129"/>
      <c r="AS127" s="1131"/>
      <c r="AT127" s="1129"/>
      <c r="AU127" s="1130"/>
      <c r="AV127" s="1109"/>
      <c r="AW127" s="1113"/>
      <c r="AX127" s="1193" t="str">
        <f t="shared" si="276"/>
        <v/>
      </c>
      <c r="AY127" s="1193"/>
      <c r="AZ127" s="1193"/>
      <c r="BA127" s="1193"/>
      <c r="BB127" s="1193"/>
      <c r="BC127" s="1193"/>
      <c r="BD127" s="1193"/>
      <c r="BE127" s="1193"/>
      <c r="BF127" s="1193"/>
      <c r="BG127" s="1193"/>
      <c r="BH127" s="1193"/>
      <c r="BI127" s="1187"/>
      <c r="BJ127" s="1187"/>
      <c r="BK127" s="1187"/>
      <c r="BL127" s="1187"/>
      <c r="BU127" s="1580"/>
      <c r="BV127" s="1580"/>
      <c r="BW127" s="1580"/>
      <c r="CA127" s="2235" t="str">
        <f t="shared" si="277"/>
        <v/>
      </c>
      <c r="CB127" s="2235" t="str">
        <f t="shared" si="278"/>
        <v/>
      </c>
      <c r="CC127" s="2235" t="str">
        <f t="shared" si="279"/>
        <v/>
      </c>
      <c r="CD127" s="2235" t="str">
        <f t="shared" si="280"/>
        <v/>
      </c>
      <c r="CE127" s="2235" t="str">
        <f t="shared" si="281"/>
        <v/>
      </c>
      <c r="CF127" s="2235" t="str">
        <f t="shared" si="309"/>
        <v/>
      </c>
      <c r="CG127" s="2235" t="str">
        <f t="shared" si="310"/>
        <v/>
      </c>
      <c r="CH127" s="2235" t="str">
        <f t="shared" si="311"/>
        <v/>
      </c>
      <c r="CI127" s="2235" t="str">
        <f t="shared" si="312"/>
        <v/>
      </c>
      <c r="CJ127" s="2235" t="str">
        <f t="shared" si="313"/>
        <v/>
      </c>
      <c r="CK127" s="2235" t="str">
        <f t="shared" si="314"/>
        <v/>
      </c>
      <c r="CL127" s="2235" t="str">
        <f t="shared" si="315"/>
        <v/>
      </c>
      <c r="CM127" s="2235" t="str">
        <f t="shared" si="316"/>
        <v/>
      </c>
      <c r="CN127" s="2235" t="str">
        <f t="shared" si="317"/>
        <v/>
      </c>
      <c r="CO127" s="2235" t="str">
        <f t="shared" si="318"/>
        <v/>
      </c>
      <c r="CP127" s="2235" t="str">
        <f t="shared" si="319"/>
        <v/>
      </c>
      <c r="CQ127" s="2235" t="str">
        <f t="shared" si="320"/>
        <v/>
      </c>
      <c r="CR127" s="2235" t="str">
        <f t="shared" si="321"/>
        <v/>
      </c>
      <c r="CS127" s="2235" t="str">
        <f t="shared" si="322"/>
        <v/>
      </c>
      <c r="CT127" s="2235" t="str">
        <f t="shared" si="323"/>
        <v/>
      </c>
      <c r="CU127" s="2235" t="str">
        <f t="shared" si="324"/>
        <v/>
      </c>
      <c r="CV127" s="2235" t="str">
        <f t="shared" si="325"/>
        <v/>
      </c>
      <c r="CW127" s="2235" t="str">
        <f t="shared" si="326"/>
        <v/>
      </c>
      <c r="CX127" s="2235" t="str">
        <f t="shared" si="327"/>
        <v/>
      </c>
      <c r="CY127" s="2235" t="str">
        <f t="shared" si="328"/>
        <v/>
      </c>
      <c r="CZ127" s="2235" t="str">
        <f t="shared" si="282"/>
        <v/>
      </c>
      <c r="DA127" s="1468">
        <f t="shared" si="283"/>
        <v>0</v>
      </c>
      <c r="DB127" s="1468">
        <f t="shared" si="284"/>
        <v>0</v>
      </c>
      <c r="DC127" s="1468">
        <f t="shared" si="285"/>
        <v>0</v>
      </c>
      <c r="DD127" s="1468">
        <f t="shared" si="286"/>
        <v>0</v>
      </c>
      <c r="DE127" s="1468">
        <f t="shared" si="287"/>
        <v>0</v>
      </c>
      <c r="DF127" s="1468">
        <f t="shared" si="288"/>
        <v>0</v>
      </c>
      <c r="DG127" s="1468">
        <f t="shared" si="289"/>
        <v>0</v>
      </c>
      <c r="DH127" s="1468">
        <f t="shared" si="290"/>
        <v>0</v>
      </c>
      <c r="DI127" s="1468">
        <f t="shared" si="291"/>
        <v>0</v>
      </c>
      <c r="DJ127" s="1468">
        <f t="shared" si="292"/>
        <v>0</v>
      </c>
      <c r="DK127" s="1468">
        <f t="shared" si="293"/>
        <v>0</v>
      </c>
      <c r="DL127" s="1468">
        <f t="shared" si="294"/>
        <v>0</v>
      </c>
      <c r="DM127" s="1468">
        <f t="shared" si="295"/>
        <v>0</v>
      </c>
      <c r="DN127" s="1468">
        <f t="shared" si="296"/>
        <v>0</v>
      </c>
      <c r="DO127" s="1468">
        <f t="shared" si="297"/>
        <v>0</v>
      </c>
      <c r="DP127" s="1468">
        <f t="shared" si="298"/>
        <v>0</v>
      </c>
      <c r="DQ127" s="1468">
        <f t="shared" si="299"/>
        <v>0</v>
      </c>
      <c r="DR127" s="1468">
        <f t="shared" si="300"/>
        <v>0</v>
      </c>
      <c r="DS127" s="1468">
        <f t="shared" si="301"/>
        <v>0</v>
      </c>
      <c r="DT127" s="1468">
        <f t="shared" si="302"/>
        <v>0</v>
      </c>
      <c r="DU127" s="1468">
        <f t="shared" si="303"/>
        <v>0</v>
      </c>
      <c r="DV127" s="1468">
        <f t="shared" si="304"/>
        <v>0</v>
      </c>
      <c r="DW127" s="1468">
        <f t="shared" si="305"/>
        <v>0</v>
      </c>
      <c r="DX127" s="1468">
        <f t="shared" si="306"/>
        <v>0</v>
      </c>
      <c r="DY127" s="1468">
        <f t="shared" si="307"/>
        <v>0</v>
      </c>
      <c r="DZ127" s="1468">
        <f t="shared" si="308"/>
        <v>0</v>
      </c>
    </row>
    <row r="128" spans="1:130" ht="18.600000000000001" customHeight="1" x14ac:dyDescent="0.25">
      <c r="A128" s="2085" t="s">
        <v>1788</v>
      </c>
      <c r="B128" s="2038">
        <f t="shared" si="275"/>
        <v>0</v>
      </c>
      <c r="C128" s="2084">
        <f t="shared" si="275"/>
        <v>0</v>
      </c>
      <c r="D128" s="1125"/>
      <c r="E128" s="1126"/>
      <c r="F128" s="1127"/>
      <c r="G128" s="1126"/>
      <c r="H128" s="1127"/>
      <c r="I128" s="1126"/>
      <c r="J128" s="1127"/>
      <c r="K128" s="1126"/>
      <c r="L128" s="1127"/>
      <c r="M128" s="1128"/>
      <c r="N128" s="1129"/>
      <c r="O128" s="1130"/>
      <c r="P128" s="1109"/>
      <c r="Q128" s="1130"/>
      <c r="R128" s="1109"/>
      <c r="S128" s="1130"/>
      <c r="T128" s="1109"/>
      <c r="U128" s="1130"/>
      <c r="V128" s="1109"/>
      <c r="W128" s="1130"/>
      <c r="X128" s="1109"/>
      <c r="Y128" s="1130"/>
      <c r="Z128" s="1109"/>
      <c r="AA128" s="1130"/>
      <c r="AB128" s="1109"/>
      <c r="AC128" s="1130"/>
      <c r="AD128" s="1109"/>
      <c r="AE128" s="1130"/>
      <c r="AF128" s="1109"/>
      <c r="AG128" s="1130"/>
      <c r="AH128" s="1109"/>
      <c r="AI128" s="1130"/>
      <c r="AJ128" s="1109"/>
      <c r="AK128" s="1130"/>
      <c r="AL128" s="1109"/>
      <c r="AM128" s="1130"/>
      <c r="AN128" s="1109"/>
      <c r="AO128" s="1130"/>
      <c r="AP128" s="1109"/>
      <c r="AQ128" s="1131"/>
      <c r="AR128" s="1132"/>
      <c r="AS128" s="1131"/>
      <c r="AT128" s="1129"/>
      <c r="AU128" s="1130"/>
      <c r="AV128" s="1109"/>
      <c r="AW128" s="1113"/>
      <c r="AX128" s="1193" t="str">
        <f t="shared" si="276"/>
        <v/>
      </c>
      <c r="AY128" s="1193"/>
      <c r="AZ128" s="1193"/>
      <c r="BA128" s="1193"/>
      <c r="BB128" s="1193"/>
      <c r="BC128" s="1193"/>
      <c r="BD128" s="1193"/>
      <c r="BE128" s="1193"/>
      <c r="BF128" s="1193"/>
      <c r="BG128" s="1193"/>
      <c r="BH128" s="1193"/>
      <c r="BI128" s="1187"/>
      <c r="BJ128" s="1187"/>
      <c r="BK128" s="1187"/>
      <c r="BL128" s="1187"/>
      <c r="BU128" s="1580"/>
      <c r="BV128" s="1580"/>
      <c r="BW128" s="1580"/>
      <c r="CA128" s="2235" t="str">
        <f t="shared" si="277"/>
        <v/>
      </c>
      <c r="CB128" s="2235" t="str">
        <f t="shared" si="278"/>
        <v/>
      </c>
      <c r="CC128" s="2235" t="str">
        <f t="shared" si="279"/>
        <v/>
      </c>
      <c r="CD128" s="2235" t="str">
        <f t="shared" si="280"/>
        <v/>
      </c>
      <c r="CE128" s="2235" t="str">
        <f t="shared" si="281"/>
        <v/>
      </c>
      <c r="CF128" s="2235" t="str">
        <f t="shared" si="309"/>
        <v/>
      </c>
      <c r="CG128" s="2235" t="str">
        <f t="shared" si="310"/>
        <v/>
      </c>
      <c r="CH128" s="2235" t="str">
        <f t="shared" si="311"/>
        <v/>
      </c>
      <c r="CI128" s="2235" t="str">
        <f t="shared" si="312"/>
        <v/>
      </c>
      <c r="CJ128" s="2235" t="str">
        <f t="shared" si="313"/>
        <v/>
      </c>
      <c r="CK128" s="2235" t="str">
        <f t="shared" si="314"/>
        <v/>
      </c>
      <c r="CL128" s="2235" t="str">
        <f t="shared" si="315"/>
        <v/>
      </c>
      <c r="CM128" s="2235" t="str">
        <f t="shared" si="316"/>
        <v/>
      </c>
      <c r="CN128" s="2235" t="str">
        <f t="shared" si="317"/>
        <v/>
      </c>
      <c r="CO128" s="2235" t="str">
        <f t="shared" si="318"/>
        <v/>
      </c>
      <c r="CP128" s="2235" t="str">
        <f t="shared" si="319"/>
        <v/>
      </c>
      <c r="CQ128" s="2235" t="str">
        <f t="shared" si="320"/>
        <v/>
      </c>
      <c r="CR128" s="2235" t="str">
        <f t="shared" si="321"/>
        <v/>
      </c>
      <c r="CS128" s="2235" t="str">
        <f t="shared" si="322"/>
        <v/>
      </c>
      <c r="CT128" s="2235" t="str">
        <f t="shared" si="323"/>
        <v/>
      </c>
      <c r="CU128" s="2235" t="str">
        <f t="shared" si="324"/>
        <v/>
      </c>
      <c r="CV128" s="2235" t="str">
        <f t="shared" si="325"/>
        <v/>
      </c>
      <c r="CW128" s="2235" t="str">
        <f t="shared" si="326"/>
        <v/>
      </c>
      <c r="CX128" s="2235" t="str">
        <f t="shared" si="327"/>
        <v/>
      </c>
      <c r="CY128" s="2235" t="str">
        <f t="shared" si="328"/>
        <v/>
      </c>
      <c r="CZ128" s="2235" t="str">
        <f t="shared" si="282"/>
        <v/>
      </c>
      <c r="DA128" s="1468">
        <f t="shared" si="283"/>
        <v>0</v>
      </c>
      <c r="DB128" s="1468">
        <f t="shared" si="284"/>
        <v>0</v>
      </c>
      <c r="DC128" s="1468">
        <f t="shared" si="285"/>
        <v>0</v>
      </c>
      <c r="DD128" s="1468">
        <f t="shared" si="286"/>
        <v>0</v>
      </c>
      <c r="DE128" s="1468">
        <f t="shared" si="287"/>
        <v>0</v>
      </c>
      <c r="DF128" s="1468">
        <f t="shared" si="288"/>
        <v>0</v>
      </c>
      <c r="DG128" s="1468">
        <f t="shared" si="289"/>
        <v>0</v>
      </c>
      <c r="DH128" s="1468">
        <f t="shared" si="290"/>
        <v>0</v>
      </c>
      <c r="DI128" s="1468">
        <f t="shared" si="291"/>
        <v>0</v>
      </c>
      <c r="DJ128" s="1468">
        <f t="shared" si="292"/>
        <v>0</v>
      </c>
      <c r="DK128" s="1468">
        <f t="shared" si="293"/>
        <v>0</v>
      </c>
      <c r="DL128" s="1468">
        <f t="shared" si="294"/>
        <v>0</v>
      </c>
      <c r="DM128" s="1468">
        <f t="shared" si="295"/>
        <v>0</v>
      </c>
      <c r="DN128" s="1468">
        <f t="shared" si="296"/>
        <v>0</v>
      </c>
      <c r="DO128" s="1468">
        <f t="shared" si="297"/>
        <v>0</v>
      </c>
      <c r="DP128" s="1468">
        <f t="shared" si="298"/>
        <v>0</v>
      </c>
      <c r="DQ128" s="1468">
        <f t="shared" si="299"/>
        <v>0</v>
      </c>
      <c r="DR128" s="1468">
        <f t="shared" si="300"/>
        <v>0</v>
      </c>
      <c r="DS128" s="1468">
        <f t="shared" si="301"/>
        <v>0</v>
      </c>
      <c r="DT128" s="1468">
        <f t="shared" si="302"/>
        <v>0</v>
      </c>
      <c r="DU128" s="1468">
        <f t="shared" si="303"/>
        <v>0</v>
      </c>
      <c r="DV128" s="1468">
        <f t="shared" si="304"/>
        <v>0</v>
      </c>
      <c r="DW128" s="1468">
        <f t="shared" si="305"/>
        <v>0</v>
      </c>
      <c r="DX128" s="1468">
        <f t="shared" si="306"/>
        <v>0</v>
      </c>
      <c r="DY128" s="1468">
        <f t="shared" si="307"/>
        <v>0</v>
      </c>
      <c r="DZ128" s="1468">
        <f t="shared" si="308"/>
        <v>0</v>
      </c>
    </row>
    <row r="129" spans="1:130" ht="16.149999999999999" customHeight="1" x14ac:dyDescent="0.25">
      <c r="A129" s="2040" t="s">
        <v>1789</v>
      </c>
      <c r="B129" s="2038">
        <f t="shared" si="275"/>
        <v>0</v>
      </c>
      <c r="C129" s="2084">
        <f t="shared" si="275"/>
        <v>0</v>
      </c>
      <c r="D129" s="1125"/>
      <c r="E129" s="1126"/>
      <c r="F129" s="1127"/>
      <c r="G129" s="1126"/>
      <c r="H129" s="1127"/>
      <c r="I129" s="1126"/>
      <c r="J129" s="1127"/>
      <c r="K129" s="1126"/>
      <c r="L129" s="1127"/>
      <c r="M129" s="1128"/>
      <c r="N129" s="1129"/>
      <c r="O129" s="1130"/>
      <c r="P129" s="1109"/>
      <c r="Q129" s="1130"/>
      <c r="R129" s="1109"/>
      <c r="S129" s="1130"/>
      <c r="T129" s="1109"/>
      <c r="U129" s="1130"/>
      <c r="V129" s="1109"/>
      <c r="W129" s="1130"/>
      <c r="X129" s="1109"/>
      <c r="Y129" s="1130"/>
      <c r="Z129" s="1109"/>
      <c r="AA129" s="1130"/>
      <c r="AB129" s="1109"/>
      <c r="AC129" s="1130"/>
      <c r="AD129" s="1109"/>
      <c r="AE129" s="1130"/>
      <c r="AF129" s="1109"/>
      <c r="AG129" s="1130"/>
      <c r="AH129" s="1109"/>
      <c r="AI129" s="1130"/>
      <c r="AJ129" s="1109"/>
      <c r="AK129" s="1130"/>
      <c r="AL129" s="1109"/>
      <c r="AM129" s="1130"/>
      <c r="AN129" s="1109"/>
      <c r="AO129" s="1130"/>
      <c r="AP129" s="1109"/>
      <c r="AQ129" s="1131"/>
      <c r="AR129" s="1132"/>
      <c r="AS129" s="1131"/>
      <c r="AT129" s="1129"/>
      <c r="AU129" s="1130"/>
      <c r="AV129" s="1109"/>
      <c r="AW129" s="1113"/>
      <c r="AX129" s="1193" t="str">
        <f t="shared" si="276"/>
        <v/>
      </c>
      <c r="AY129" s="1193"/>
      <c r="AZ129" s="1193"/>
      <c r="BA129" s="1193"/>
      <c r="BB129" s="1193"/>
      <c r="BC129" s="1193"/>
      <c r="BD129" s="1193"/>
      <c r="BE129" s="1193"/>
      <c r="BF129" s="1193"/>
      <c r="BG129" s="1193"/>
      <c r="BH129" s="1193"/>
      <c r="BI129" s="1187"/>
      <c r="BJ129" s="1187"/>
      <c r="BK129" s="1187"/>
      <c r="BL129" s="1187"/>
      <c r="BU129" s="1580"/>
      <c r="BV129" s="1580"/>
      <c r="BW129" s="1580"/>
      <c r="CA129" s="2235" t="str">
        <f t="shared" si="277"/>
        <v/>
      </c>
      <c r="CB129" s="2235" t="str">
        <f t="shared" si="278"/>
        <v/>
      </c>
      <c r="CC129" s="2235" t="str">
        <f t="shared" si="279"/>
        <v/>
      </c>
      <c r="CD129" s="2235" t="str">
        <f t="shared" si="280"/>
        <v/>
      </c>
      <c r="CE129" s="2235" t="str">
        <f t="shared" si="281"/>
        <v/>
      </c>
      <c r="CF129" s="2235" t="str">
        <f t="shared" si="309"/>
        <v/>
      </c>
      <c r="CG129" s="2235" t="str">
        <f t="shared" si="310"/>
        <v/>
      </c>
      <c r="CH129" s="2235" t="str">
        <f t="shared" si="311"/>
        <v/>
      </c>
      <c r="CI129" s="2235" t="str">
        <f t="shared" si="312"/>
        <v/>
      </c>
      <c r="CJ129" s="2235" t="str">
        <f t="shared" si="313"/>
        <v/>
      </c>
      <c r="CK129" s="2235" t="str">
        <f t="shared" si="314"/>
        <v/>
      </c>
      <c r="CL129" s="2235" t="str">
        <f t="shared" si="315"/>
        <v/>
      </c>
      <c r="CM129" s="2235" t="str">
        <f t="shared" si="316"/>
        <v/>
      </c>
      <c r="CN129" s="2235" t="str">
        <f t="shared" si="317"/>
        <v/>
      </c>
      <c r="CO129" s="2235" t="str">
        <f t="shared" si="318"/>
        <v/>
      </c>
      <c r="CP129" s="2235" t="str">
        <f t="shared" si="319"/>
        <v/>
      </c>
      <c r="CQ129" s="2235" t="str">
        <f t="shared" si="320"/>
        <v/>
      </c>
      <c r="CR129" s="2235" t="str">
        <f t="shared" si="321"/>
        <v/>
      </c>
      <c r="CS129" s="2235" t="str">
        <f t="shared" si="322"/>
        <v/>
      </c>
      <c r="CT129" s="2235" t="str">
        <f t="shared" si="323"/>
        <v/>
      </c>
      <c r="CU129" s="2235" t="str">
        <f t="shared" si="324"/>
        <v/>
      </c>
      <c r="CV129" s="2235" t="str">
        <f t="shared" si="325"/>
        <v/>
      </c>
      <c r="CW129" s="2235" t="str">
        <f t="shared" si="326"/>
        <v/>
      </c>
      <c r="CX129" s="2235" t="str">
        <f t="shared" si="327"/>
        <v/>
      </c>
      <c r="CY129" s="2235" t="str">
        <f t="shared" si="328"/>
        <v/>
      </c>
      <c r="CZ129" s="2235" t="str">
        <f t="shared" si="282"/>
        <v/>
      </c>
      <c r="DA129" s="1468">
        <f t="shared" si="283"/>
        <v>0</v>
      </c>
      <c r="DB129" s="1468">
        <f t="shared" si="284"/>
        <v>0</v>
      </c>
      <c r="DC129" s="1468">
        <f t="shared" si="285"/>
        <v>0</v>
      </c>
      <c r="DD129" s="1468">
        <f t="shared" si="286"/>
        <v>0</v>
      </c>
      <c r="DE129" s="1468">
        <f t="shared" si="287"/>
        <v>0</v>
      </c>
      <c r="DF129" s="1468">
        <f t="shared" si="288"/>
        <v>0</v>
      </c>
      <c r="DG129" s="1468">
        <f t="shared" si="289"/>
        <v>0</v>
      </c>
      <c r="DH129" s="1468">
        <f t="shared" si="290"/>
        <v>0</v>
      </c>
      <c r="DI129" s="1468">
        <f t="shared" si="291"/>
        <v>0</v>
      </c>
      <c r="DJ129" s="1468">
        <f t="shared" si="292"/>
        <v>0</v>
      </c>
      <c r="DK129" s="1468">
        <f t="shared" si="293"/>
        <v>0</v>
      </c>
      <c r="DL129" s="1468">
        <f t="shared" si="294"/>
        <v>0</v>
      </c>
      <c r="DM129" s="1468">
        <f t="shared" si="295"/>
        <v>0</v>
      </c>
      <c r="DN129" s="1468">
        <f t="shared" si="296"/>
        <v>0</v>
      </c>
      <c r="DO129" s="1468">
        <f t="shared" si="297"/>
        <v>0</v>
      </c>
      <c r="DP129" s="1468">
        <f t="shared" si="298"/>
        <v>0</v>
      </c>
      <c r="DQ129" s="1468">
        <f t="shared" si="299"/>
        <v>0</v>
      </c>
      <c r="DR129" s="1468">
        <f t="shared" si="300"/>
        <v>0</v>
      </c>
      <c r="DS129" s="1468">
        <f t="shared" si="301"/>
        <v>0</v>
      </c>
      <c r="DT129" s="1468">
        <f t="shared" si="302"/>
        <v>0</v>
      </c>
      <c r="DU129" s="1468">
        <f t="shared" si="303"/>
        <v>0</v>
      </c>
      <c r="DV129" s="1468">
        <f t="shared" si="304"/>
        <v>0</v>
      </c>
      <c r="DW129" s="1468">
        <f t="shared" si="305"/>
        <v>0</v>
      </c>
      <c r="DX129" s="1468">
        <f t="shared" si="306"/>
        <v>0</v>
      </c>
      <c r="DY129" s="1468">
        <f t="shared" si="307"/>
        <v>0</v>
      </c>
      <c r="DZ129" s="1468">
        <f t="shared" si="308"/>
        <v>0</v>
      </c>
    </row>
    <row r="130" spans="1:130" ht="16.149999999999999" customHeight="1" x14ac:dyDescent="0.25">
      <c r="A130" s="2040" t="s">
        <v>1790</v>
      </c>
      <c r="B130" s="2038">
        <f>+D130+F130+H130+J130+L130+N130+P130+R130+T130+V130+X130+Z130+AB130+AD130+AF130+AH130+AJ130+AL130+AN130+AP130</f>
        <v>0</v>
      </c>
      <c r="C130" s="2084">
        <f>+E130+G130+I130+K130+M130+O130+Q130+S130+U130+W130+Y130+AA130+AC130+AE130+AG130+AI130+AK130+AM130+AO130+AQ130</f>
        <v>0</v>
      </c>
      <c r="D130" s="1129"/>
      <c r="E130" s="1130"/>
      <c r="F130" s="1109"/>
      <c r="G130" s="1130"/>
      <c r="H130" s="1109"/>
      <c r="I130" s="1113"/>
      <c r="J130" s="1129"/>
      <c r="K130" s="1129"/>
      <c r="L130" s="1109"/>
      <c r="M130" s="1113"/>
      <c r="N130" s="1129"/>
      <c r="O130" s="1130"/>
      <c r="P130" s="1109"/>
      <c r="Q130" s="1130"/>
      <c r="R130" s="1109"/>
      <c r="S130" s="1130"/>
      <c r="T130" s="1109"/>
      <c r="U130" s="1130"/>
      <c r="V130" s="1109"/>
      <c r="W130" s="1130"/>
      <c r="X130" s="1109"/>
      <c r="Y130" s="1130"/>
      <c r="Z130" s="1109"/>
      <c r="AA130" s="1130"/>
      <c r="AB130" s="1109"/>
      <c r="AC130" s="1130"/>
      <c r="AD130" s="1109"/>
      <c r="AE130" s="1130"/>
      <c r="AF130" s="1109"/>
      <c r="AG130" s="1130"/>
      <c r="AH130" s="1109"/>
      <c r="AI130" s="1130"/>
      <c r="AJ130" s="1109"/>
      <c r="AK130" s="1130"/>
      <c r="AL130" s="1109"/>
      <c r="AM130" s="1130"/>
      <c r="AN130" s="1109"/>
      <c r="AO130" s="1130"/>
      <c r="AP130" s="1109"/>
      <c r="AQ130" s="1131"/>
      <c r="AR130" s="1132"/>
      <c r="AS130" s="1131"/>
      <c r="AT130" s="1129"/>
      <c r="AU130" s="1130"/>
      <c r="AV130" s="1109"/>
      <c r="AW130" s="1113"/>
      <c r="AX130" s="1193" t="str">
        <f t="shared" si="276"/>
        <v/>
      </c>
      <c r="AY130" s="1193"/>
      <c r="AZ130" s="1193"/>
      <c r="BA130" s="1193"/>
      <c r="BB130" s="1193"/>
      <c r="BC130" s="1193"/>
      <c r="BD130" s="1193"/>
      <c r="BE130" s="1193"/>
      <c r="BF130" s="1193"/>
      <c r="BG130" s="1193"/>
      <c r="BH130" s="1193"/>
      <c r="BI130" s="1187"/>
      <c r="BJ130" s="1187"/>
      <c r="BK130" s="1187"/>
      <c r="BL130" s="1187"/>
      <c r="BU130" s="1580"/>
      <c r="BV130" s="1580"/>
      <c r="BW130" s="1580"/>
      <c r="CA130" s="2235" t="str">
        <f t="shared" si="277"/>
        <v/>
      </c>
      <c r="CB130" s="2235" t="str">
        <f t="shared" si="278"/>
        <v/>
      </c>
      <c r="CC130" s="2235" t="str">
        <f t="shared" si="279"/>
        <v/>
      </c>
      <c r="CD130" s="2235" t="str">
        <f t="shared" si="280"/>
        <v/>
      </c>
      <c r="CE130" s="2235" t="str">
        <f t="shared" si="281"/>
        <v/>
      </c>
      <c r="CF130" s="2235" t="str">
        <f t="shared" si="309"/>
        <v/>
      </c>
      <c r="CG130" s="2235" t="str">
        <f t="shared" si="310"/>
        <v/>
      </c>
      <c r="CH130" s="2235" t="str">
        <f t="shared" si="311"/>
        <v/>
      </c>
      <c r="CI130" s="2235" t="str">
        <f t="shared" si="312"/>
        <v/>
      </c>
      <c r="CJ130" s="2235" t="str">
        <f t="shared" si="313"/>
        <v/>
      </c>
      <c r="CK130" s="2235" t="str">
        <f t="shared" si="314"/>
        <v/>
      </c>
      <c r="CL130" s="2235" t="str">
        <f t="shared" si="315"/>
        <v/>
      </c>
      <c r="CM130" s="2235" t="str">
        <f t="shared" si="316"/>
        <v/>
      </c>
      <c r="CN130" s="2235" t="str">
        <f t="shared" si="317"/>
        <v/>
      </c>
      <c r="CO130" s="2235" t="str">
        <f t="shared" si="318"/>
        <v/>
      </c>
      <c r="CP130" s="2235" t="str">
        <f t="shared" si="319"/>
        <v/>
      </c>
      <c r="CQ130" s="2235" t="str">
        <f t="shared" si="320"/>
        <v/>
      </c>
      <c r="CR130" s="2235" t="str">
        <f t="shared" si="321"/>
        <v/>
      </c>
      <c r="CS130" s="2235" t="str">
        <f t="shared" si="322"/>
        <v/>
      </c>
      <c r="CT130" s="2235" t="str">
        <f t="shared" si="323"/>
        <v/>
      </c>
      <c r="CU130" s="2235" t="str">
        <f t="shared" si="324"/>
        <v/>
      </c>
      <c r="CV130" s="2235" t="str">
        <f t="shared" si="325"/>
        <v/>
      </c>
      <c r="CW130" s="2235" t="str">
        <f t="shared" si="326"/>
        <v/>
      </c>
      <c r="CX130" s="2235" t="str">
        <f t="shared" si="327"/>
        <v/>
      </c>
      <c r="CY130" s="2235" t="str">
        <f t="shared" si="328"/>
        <v/>
      </c>
      <c r="CZ130" s="2235" t="str">
        <f t="shared" si="282"/>
        <v/>
      </c>
      <c r="DA130" s="1468">
        <f t="shared" si="283"/>
        <v>0</v>
      </c>
      <c r="DB130" s="1468">
        <f t="shared" si="284"/>
        <v>0</v>
      </c>
      <c r="DC130" s="1468">
        <f t="shared" si="285"/>
        <v>0</v>
      </c>
      <c r="DD130" s="1468">
        <f t="shared" si="286"/>
        <v>0</v>
      </c>
      <c r="DE130" s="1468">
        <f t="shared" si="287"/>
        <v>0</v>
      </c>
      <c r="DF130" s="1468">
        <f t="shared" si="288"/>
        <v>0</v>
      </c>
      <c r="DG130" s="1468">
        <f t="shared" si="289"/>
        <v>0</v>
      </c>
      <c r="DH130" s="1468">
        <f t="shared" si="290"/>
        <v>0</v>
      </c>
      <c r="DI130" s="1468">
        <f t="shared" si="291"/>
        <v>0</v>
      </c>
      <c r="DJ130" s="1468">
        <f t="shared" si="292"/>
        <v>0</v>
      </c>
      <c r="DK130" s="1468">
        <f t="shared" si="293"/>
        <v>0</v>
      </c>
      <c r="DL130" s="1468">
        <f t="shared" si="294"/>
        <v>0</v>
      </c>
      <c r="DM130" s="1468">
        <f t="shared" si="295"/>
        <v>0</v>
      </c>
      <c r="DN130" s="1468">
        <f t="shared" si="296"/>
        <v>0</v>
      </c>
      <c r="DO130" s="1468">
        <f t="shared" si="297"/>
        <v>0</v>
      </c>
      <c r="DP130" s="1468">
        <f t="shared" si="298"/>
        <v>0</v>
      </c>
      <c r="DQ130" s="1468">
        <f t="shared" si="299"/>
        <v>0</v>
      </c>
      <c r="DR130" s="1468">
        <f t="shared" si="300"/>
        <v>0</v>
      </c>
      <c r="DS130" s="1468">
        <f t="shared" si="301"/>
        <v>0</v>
      </c>
      <c r="DT130" s="1468">
        <f t="shared" si="302"/>
        <v>0</v>
      </c>
      <c r="DU130" s="1468">
        <f t="shared" si="303"/>
        <v>0</v>
      </c>
      <c r="DV130" s="1468">
        <f t="shared" si="304"/>
        <v>0</v>
      </c>
      <c r="DW130" s="1468">
        <f t="shared" si="305"/>
        <v>0</v>
      </c>
      <c r="DX130" s="1468">
        <f t="shared" si="306"/>
        <v>0</v>
      </c>
      <c r="DY130" s="1468">
        <f t="shared" si="307"/>
        <v>0</v>
      </c>
      <c r="DZ130" s="1468">
        <f t="shared" si="308"/>
        <v>0</v>
      </c>
    </row>
    <row r="131" spans="1:130" ht="24" customHeight="1" x14ac:dyDescent="0.25">
      <c r="A131" s="2085" t="s">
        <v>1791</v>
      </c>
      <c r="B131" s="2038">
        <f>+D131+F131+H131</f>
        <v>0</v>
      </c>
      <c r="C131" s="2084">
        <f>+E131+G131+I131</f>
        <v>0</v>
      </c>
      <c r="D131" s="1129"/>
      <c r="E131" s="1130"/>
      <c r="F131" s="1109"/>
      <c r="G131" s="1130"/>
      <c r="H131" s="1109"/>
      <c r="I131" s="1113"/>
      <c r="J131" s="1135"/>
      <c r="K131" s="1136"/>
      <c r="L131" s="1135"/>
      <c r="M131" s="1136"/>
      <c r="N131" s="1135"/>
      <c r="O131" s="1136"/>
      <c r="P131" s="1135"/>
      <c r="Q131" s="1136"/>
      <c r="R131" s="1135"/>
      <c r="S131" s="1136"/>
      <c r="T131" s="1135"/>
      <c r="U131" s="1136"/>
      <c r="V131" s="1135"/>
      <c r="W131" s="1136"/>
      <c r="X131" s="1135"/>
      <c r="Y131" s="1136"/>
      <c r="Z131" s="1135"/>
      <c r="AA131" s="1136"/>
      <c r="AB131" s="1135"/>
      <c r="AC131" s="1136"/>
      <c r="AD131" s="1135"/>
      <c r="AE131" s="1136"/>
      <c r="AF131" s="1135"/>
      <c r="AG131" s="1136"/>
      <c r="AH131" s="1135"/>
      <c r="AI131" s="1136"/>
      <c r="AJ131" s="1135"/>
      <c r="AK131" s="1136"/>
      <c r="AL131" s="1135"/>
      <c r="AM131" s="1136"/>
      <c r="AN131" s="1135"/>
      <c r="AO131" s="1136"/>
      <c r="AP131" s="1135"/>
      <c r="AQ131" s="1137"/>
      <c r="AR131" s="1129"/>
      <c r="AS131" s="1131"/>
      <c r="AT131" s="1129"/>
      <c r="AU131" s="1130"/>
      <c r="AV131" s="1109"/>
      <c r="AW131" s="1113"/>
      <c r="AX131" s="1193" t="str">
        <f t="shared" si="276"/>
        <v/>
      </c>
      <c r="AY131" s="1193"/>
      <c r="AZ131" s="1193"/>
      <c r="BA131" s="1193"/>
      <c r="BB131" s="1193"/>
      <c r="BC131" s="1193"/>
      <c r="BD131" s="1193"/>
      <c r="BE131" s="1193"/>
      <c r="BF131" s="1193"/>
      <c r="BG131" s="1193"/>
      <c r="BH131" s="1193"/>
      <c r="BI131" s="1187"/>
      <c r="BJ131" s="1187"/>
      <c r="BK131" s="1187"/>
      <c r="BL131" s="1187"/>
      <c r="BU131" s="1580"/>
      <c r="BV131" s="1580"/>
      <c r="BW131" s="1580"/>
      <c r="CA131" s="2235" t="str">
        <f t="shared" si="277"/>
        <v/>
      </c>
      <c r="CB131" s="2235" t="str">
        <f t="shared" si="278"/>
        <v/>
      </c>
      <c r="CC131" s="2235" t="str">
        <f t="shared" si="279"/>
        <v/>
      </c>
      <c r="CD131" s="2235" t="str">
        <f t="shared" si="280"/>
        <v/>
      </c>
      <c r="CE131" s="2235" t="str">
        <f t="shared" si="281"/>
        <v/>
      </c>
      <c r="CF131" s="2235" t="str">
        <f t="shared" si="309"/>
        <v/>
      </c>
      <c r="CG131" s="2235" t="str">
        <f t="shared" si="310"/>
        <v/>
      </c>
      <c r="CH131" s="2235" t="str">
        <f t="shared" si="311"/>
        <v/>
      </c>
      <c r="CI131" s="2235" t="str">
        <f t="shared" si="312"/>
        <v/>
      </c>
      <c r="CJ131" s="2235" t="str">
        <f t="shared" si="313"/>
        <v/>
      </c>
      <c r="CK131" s="2235" t="str">
        <f t="shared" si="314"/>
        <v/>
      </c>
      <c r="CL131" s="2235" t="str">
        <f t="shared" si="315"/>
        <v/>
      </c>
      <c r="CM131" s="2235" t="str">
        <f t="shared" si="316"/>
        <v/>
      </c>
      <c r="CN131" s="2235" t="str">
        <f t="shared" si="317"/>
        <v/>
      </c>
      <c r="CO131" s="2235" t="str">
        <f t="shared" si="318"/>
        <v/>
      </c>
      <c r="CP131" s="2235" t="str">
        <f t="shared" si="319"/>
        <v/>
      </c>
      <c r="CQ131" s="2235" t="str">
        <f t="shared" si="320"/>
        <v/>
      </c>
      <c r="CR131" s="2235" t="str">
        <f t="shared" si="321"/>
        <v/>
      </c>
      <c r="CS131" s="2235" t="str">
        <f t="shared" si="322"/>
        <v/>
      </c>
      <c r="CT131" s="2235" t="str">
        <f t="shared" si="323"/>
        <v/>
      </c>
      <c r="CU131" s="2235" t="str">
        <f t="shared" si="324"/>
        <v/>
      </c>
      <c r="CV131" s="2235" t="str">
        <f t="shared" si="325"/>
        <v/>
      </c>
      <c r="CW131" s="2235" t="str">
        <f t="shared" si="326"/>
        <v/>
      </c>
      <c r="CX131" s="2235" t="str">
        <f t="shared" si="327"/>
        <v/>
      </c>
      <c r="CY131" s="2235" t="str">
        <f t="shared" si="328"/>
        <v/>
      </c>
      <c r="CZ131" s="2235" t="str">
        <f t="shared" si="282"/>
        <v/>
      </c>
      <c r="DA131" s="1468">
        <f t="shared" si="283"/>
        <v>0</v>
      </c>
      <c r="DB131" s="1468">
        <f t="shared" si="284"/>
        <v>0</v>
      </c>
      <c r="DC131" s="1468">
        <f t="shared" si="285"/>
        <v>0</v>
      </c>
      <c r="DD131" s="1468">
        <f t="shared" si="286"/>
        <v>0</v>
      </c>
      <c r="DE131" s="1468">
        <f t="shared" si="287"/>
        <v>0</v>
      </c>
      <c r="DF131" s="1468">
        <f t="shared" si="288"/>
        <v>0</v>
      </c>
      <c r="DG131" s="1468">
        <f t="shared" si="289"/>
        <v>0</v>
      </c>
      <c r="DH131" s="1468">
        <f t="shared" si="290"/>
        <v>0</v>
      </c>
      <c r="DI131" s="1468">
        <f t="shared" si="291"/>
        <v>0</v>
      </c>
      <c r="DJ131" s="1468">
        <f t="shared" si="292"/>
        <v>0</v>
      </c>
      <c r="DK131" s="1468">
        <f t="shared" si="293"/>
        <v>0</v>
      </c>
      <c r="DL131" s="1468">
        <f t="shared" si="294"/>
        <v>0</v>
      </c>
      <c r="DM131" s="1468">
        <f t="shared" si="295"/>
        <v>0</v>
      </c>
      <c r="DN131" s="1468">
        <f t="shared" si="296"/>
        <v>0</v>
      </c>
      <c r="DO131" s="1468">
        <f t="shared" si="297"/>
        <v>0</v>
      </c>
      <c r="DP131" s="1468">
        <f t="shared" si="298"/>
        <v>0</v>
      </c>
      <c r="DQ131" s="1468">
        <f t="shared" si="299"/>
        <v>0</v>
      </c>
      <c r="DR131" s="1468">
        <f t="shared" si="300"/>
        <v>0</v>
      </c>
      <c r="DS131" s="1468">
        <f t="shared" si="301"/>
        <v>0</v>
      </c>
      <c r="DT131" s="1468">
        <f t="shared" si="302"/>
        <v>0</v>
      </c>
      <c r="DU131" s="1468">
        <f t="shared" si="303"/>
        <v>0</v>
      </c>
      <c r="DV131" s="1468">
        <f t="shared" si="304"/>
        <v>0</v>
      </c>
      <c r="DW131" s="1468">
        <f t="shared" si="305"/>
        <v>0</v>
      </c>
      <c r="DX131" s="1468">
        <f t="shared" si="306"/>
        <v>0</v>
      </c>
      <c r="DY131" s="1468">
        <f t="shared" si="307"/>
        <v>0</v>
      </c>
      <c r="DZ131" s="1468">
        <f t="shared" si="308"/>
        <v>0</v>
      </c>
    </row>
    <row r="132" spans="1:130" ht="20.25" customHeight="1" x14ac:dyDescent="0.25">
      <c r="A132" s="2085" t="s">
        <v>1792</v>
      </c>
      <c r="B132" s="2038">
        <f>+P132+R132+T132+V132+X132+Z132+AB132+AD132+AF132+AH132+AJ132+AL132+AN132+AP132</f>
        <v>0</v>
      </c>
      <c r="C132" s="2084">
        <f>+Q132+S132+U132+W132+Y132+AA132+AC132+AE132+AG132+AI132+AK132+AM132+AO132+AQ132</f>
        <v>0</v>
      </c>
      <c r="D132" s="1125"/>
      <c r="E132" s="1126"/>
      <c r="F132" s="1127"/>
      <c r="G132" s="1126"/>
      <c r="H132" s="1127"/>
      <c r="I132" s="1126"/>
      <c r="J132" s="1127"/>
      <c r="K132" s="1126"/>
      <c r="L132" s="1127"/>
      <c r="M132" s="1128"/>
      <c r="N132" s="1125"/>
      <c r="O132" s="1126"/>
      <c r="P132" s="1109"/>
      <c r="Q132" s="1130"/>
      <c r="R132" s="1109"/>
      <c r="S132" s="1130"/>
      <c r="T132" s="1109"/>
      <c r="U132" s="1130"/>
      <c r="V132" s="1109"/>
      <c r="W132" s="1130"/>
      <c r="X132" s="1109"/>
      <c r="Y132" s="1130"/>
      <c r="Z132" s="1109"/>
      <c r="AA132" s="1130"/>
      <c r="AB132" s="1109"/>
      <c r="AC132" s="1130"/>
      <c r="AD132" s="1109"/>
      <c r="AE132" s="1130"/>
      <c r="AF132" s="1109"/>
      <c r="AG132" s="1130"/>
      <c r="AH132" s="1109"/>
      <c r="AI132" s="1130"/>
      <c r="AJ132" s="1109"/>
      <c r="AK132" s="1130"/>
      <c r="AL132" s="1109"/>
      <c r="AM132" s="1130"/>
      <c r="AN132" s="1109"/>
      <c r="AO132" s="1130"/>
      <c r="AP132" s="1109"/>
      <c r="AQ132" s="1131"/>
      <c r="AR132" s="1129"/>
      <c r="AS132" s="1131"/>
      <c r="AT132" s="1129"/>
      <c r="AU132" s="1130"/>
      <c r="AV132" s="1109"/>
      <c r="AW132" s="1113"/>
      <c r="AX132" s="1193" t="str">
        <f t="shared" si="276"/>
        <v/>
      </c>
      <c r="AY132" s="1193"/>
      <c r="AZ132" s="1193"/>
      <c r="BA132" s="1193"/>
      <c r="BB132" s="1193"/>
      <c r="BC132" s="1193"/>
      <c r="BD132" s="1193"/>
      <c r="BE132" s="1193"/>
      <c r="BF132" s="1193"/>
      <c r="BG132" s="1193"/>
      <c r="BH132" s="1193"/>
      <c r="BI132" s="1187"/>
      <c r="BJ132" s="1187"/>
      <c r="BK132" s="1187"/>
      <c r="BL132" s="1187"/>
      <c r="BU132" s="1580"/>
      <c r="BV132" s="1580"/>
      <c r="BW132" s="1580"/>
      <c r="CA132" s="2235" t="str">
        <f t="shared" si="277"/>
        <v/>
      </c>
      <c r="CB132" s="2235" t="str">
        <f t="shared" si="278"/>
        <v/>
      </c>
      <c r="CC132" s="2235" t="str">
        <f t="shared" si="279"/>
        <v/>
      </c>
      <c r="CD132" s="2235" t="str">
        <f t="shared" si="280"/>
        <v/>
      </c>
      <c r="CE132" s="2235" t="str">
        <f t="shared" si="281"/>
        <v/>
      </c>
      <c r="CF132" s="2235" t="str">
        <f t="shared" si="309"/>
        <v/>
      </c>
      <c r="CG132" s="2235" t="str">
        <f t="shared" si="310"/>
        <v/>
      </c>
      <c r="CH132" s="2235" t="str">
        <f t="shared" si="311"/>
        <v/>
      </c>
      <c r="CI132" s="2235" t="str">
        <f t="shared" si="312"/>
        <v/>
      </c>
      <c r="CJ132" s="2235" t="str">
        <f t="shared" si="313"/>
        <v/>
      </c>
      <c r="CK132" s="2235" t="str">
        <f t="shared" si="314"/>
        <v/>
      </c>
      <c r="CL132" s="2235" t="str">
        <f t="shared" si="315"/>
        <v/>
      </c>
      <c r="CM132" s="2235" t="str">
        <f t="shared" si="316"/>
        <v/>
      </c>
      <c r="CN132" s="2235" t="str">
        <f t="shared" si="317"/>
        <v/>
      </c>
      <c r="CO132" s="2235" t="str">
        <f t="shared" si="318"/>
        <v/>
      </c>
      <c r="CP132" s="2235" t="str">
        <f t="shared" si="319"/>
        <v/>
      </c>
      <c r="CQ132" s="2235" t="str">
        <f t="shared" si="320"/>
        <v/>
      </c>
      <c r="CR132" s="2235" t="str">
        <f t="shared" si="321"/>
        <v/>
      </c>
      <c r="CS132" s="2235" t="str">
        <f t="shared" si="322"/>
        <v/>
      </c>
      <c r="CT132" s="2235" t="str">
        <f t="shared" si="323"/>
        <v/>
      </c>
      <c r="CU132" s="2235" t="str">
        <f t="shared" si="324"/>
        <v/>
      </c>
      <c r="CV132" s="2235" t="str">
        <f t="shared" si="325"/>
        <v/>
      </c>
      <c r="CW132" s="2235" t="str">
        <f t="shared" si="326"/>
        <v/>
      </c>
      <c r="CX132" s="2235" t="str">
        <f t="shared" si="327"/>
        <v/>
      </c>
      <c r="CY132" s="2235" t="str">
        <f t="shared" si="328"/>
        <v/>
      </c>
      <c r="CZ132" s="2235" t="str">
        <f t="shared" si="282"/>
        <v/>
      </c>
      <c r="DA132" s="1468">
        <f t="shared" si="283"/>
        <v>0</v>
      </c>
      <c r="DB132" s="1468">
        <f t="shared" si="284"/>
        <v>0</v>
      </c>
      <c r="DC132" s="1468">
        <f t="shared" si="285"/>
        <v>0</v>
      </c>
      <c r="DD132" s="1468">
        <f t="shared" si="286"/>
        <v>0</v>
      </c>
      <c r="DE132" s="1468">
        <f t="shared" si="287"/>
        <v>0</v>
      </c>
      <c r="DF132" s="1468">
        <f t="shared" si="288"/>
        <v>0</v>
      </c>
      <c r="DG132" s="1468">
        <f t="shared" si="289"/>
        <v>0</v>
      </c>
      <c r="DH132" s="1468">
        <f t="shared" si="290"/>
        <v>0</v>
      </c>
      <c r="DI132" s="1468">
        <f t="shared" si="291"/>
        <v>0</v>
      </c>
      <c r="DJ132" s="1468">
        <f t="shared" si="292"/>
        <v>0</v>
      </c>
      <c r="DK132" s="1468">
        <f t="shared" si="293"/>
        <v>0</v>
      </c>
      <c r="DL132" s="1468">
        <f t="shared" si="294"/>
        <v>0</v>
      </c>
      <c r="DM132" s="1468">
        <f t="shared" si="295"/>
        <v>0</v>
      </c>
      <c r="DN132" s="1468">
        <f t="shared" si="296"/>
        <v>0</v>
      </c>
      <c r="DO132" s="1468">
        <f t="shared" si="297"/>
        <v>0</v>
      </c>
      <c r="DP132" s="1468">
        <f t="shared" si="298"/>
        <v>0</v>
      </c>
      <c r="DQ132" s="1468">
        <f t="shared" si="299"/>
        <v>0</v>
      </c>
      <c r="DR132" s="1468">
        <f t="shared" si="300"/>
        <v>0</v>
      </c>
      <c r="DS132" s="1468">
        <f t="shared" si="301"/>
        <v>0</v>
      </c>
      <c r="DT132" s="1468">
        <f t="shared" si="302"/>
        <v>0</v>
      </c>
      <c r="DU132" s="1468">
        <f t="shared" si="303"/>
        <v>0</v>
      </c>
      <c r="DV132" s="1468">
        <f t="shared" si="304"/>
        <v>0</v>
      </c>
      <c r="DW132" s="1468">
        <f t="shared" si="305"/>
        <v>0</v>
      </c>
      <c r="DX132" s="1468">
        <f t="shared" si="306"/>
        <v>0</v>
      </c>
      <c r="DY132" s="1468">
        <f t="shared" si="307"/>
        <v>0</v>
      </c>
      <c r="DZ132" s="1468">
        <f t="shared" si="308"/>
        <v>0</v>
      </c>
    </row>
    <row r="133" spans="1:130" ht="16.149999999999999" customHeight="1" x14ac:dyDescent="0.25">
      <c r="A133" s="2040" t="s">
        <v>1793</v>
      </c>
      <c r="B133" s="2038">
        <f>+N133+P133+R133+T133+V133+X133+Z133+AB133+AD133+AF133+AH133+AJ133+AL133+AN133+AP133</f>
        <v>0</v>
      </c>
      <c r="C133" s="2084">
        <f>+O133+Q133+S133+U133+W133+Y133+AA133+AC133+AE133+AG133+AI133+AK133+AM133+AO133+AQ133</f>
        <v>0</v>
      </c>
      <c r="D133" s="1132"/>
      <c r="E133" s="1136"/>
      <c r="F133" s="1135"/>
      <c r="G133" s="1136"/>
      <c r="H133" s="1135"/>
      <c r="I133" s="1138"/>
      <c r="J133" s="1132"/>
      <c r="K133" s="1132"/>
      <c r="L133" s="1135"/>
      <c r="M133" s="1138"/>
      <c r="N133" s="1129"/>
      <c r="O133" s="1130"/>
      <c r="P133" s="1109"/>
      <c r="Q133" s="1130"/>
      <c r="R133" s="1109"/>
      <c r="S133" s="1130"/>
      <c r="T133" s="1109"/>
      <c r="U133" s="1130"/>
      <c r="V133" s="1109"/>
      <c r="W133" s="1130"/>
      <c r="X133" s="1109"/>
      <c r="Y133" s="1130"/>
      <c r="Z133" s="1109"/>
      <c r="AA133" s="1130"/>
      <c r="AB133" s="1109"/>
      <c r="AC133" s="1130"/>
      <c r="AD133" s="1109"/>
      <c r="AE133" s="1130"/>
      <c r="AF133" s="1109"/>
      <c r="AG133" s="1130"/>
      <c r="AH133" s="1109"/>
      <c r="AI133" s="1130"/>
      <c r="AJ133" s="1109"/>
      <c r="AK133" s="1130"/>
      <c r="AL133" s="1109"/>
      <c r="AM133" s="1130"/>
      <c r="AN133" s="1109"/>
      <c r="AO133" s="1130"/>
      <c r="AP133" s="1109"/>
      <c r="AQ133" s="1131"/>
      <c r="AR133" s="1129"/>
      <c r="AS133" s="1131"/>
      <c r="AT133" s="1129"/>
      <c r="AU133" s="1130"/>
      <c r="AV133" s="1109"/>
      <c r="AW133" s="1113"/>
      <c r="AX133" s="1193" t="str">
        <f t="shared" si="276"/>
        <v/>
      </c>
      <c r="AY133" s="1193"/>
      <c r="AZ133" s="1193"/>
      <c r="BA133" s="1193"/>
      <c r="BB133" s="1193"/>
      <c r="BC133" s="1193"/>
      <c r="BD133" s="1193"/>
      <c r="BE133" s="1193"/>
      <c r="BF133" s="1193"/>
      <c r="BG133" s="1193"/>
      <c r="BH133" s="1193"/>
      <c r="BI133" s="1187"/>
      <c r="BJ133" s="1187"/>
      <c r="BK133" s="1187"/>
      <c r="BL133" s="1187"/>
      <c r="BU133" s="1580"/>
      <c r="BV133" s="1580"/>
      <c r="BW133" s="1580"/>
      <c r="CA133" s="2235" t="str">
        <f t="shared" si="277"/>
        <v/>
      </c>
      <c r="CB133" s="2235" t="str">
        <f t="shared" si="278"/>
        <v/>
      </c>
      <c r="CC133" s="2235" t="str">
        <f t="shared" si="279"/>
        <v/>
      </c>
      <c r="CD133" s="2235" t="str">
        <f t="shared" si="280"/>
        <v/>
      </c>
      <c r="CE133" s="2235" t="str">
        <f t="shared" si="281"/>
        <v/>
      </c>
      <c r="CF133" s="2235" t="str">
        <f t="shared" si="309"/>
        <v/>
      </c>
      <c r="CG133" s="2235" t="str">
        <f t="shared" si="310"/>
        <v/>
      </c>
      <c r="CH133" s="2235" t="str">
        <f t="shared" si="311"/>
        <v/>
      </c>
      <c r="CI133" s="2235" t="str">
        <f t="shared" si="312"/>
        <v/>
      </c>
      <c r="CJ133" s="2235" t="str">
        <f t="shared" si="313"/>
        <v/>
      </c>
      <c r="CK133" s="2235" t="str">
        <f t="shared" si="314"/>
        <v/>
      </c>
      <c r="CL133" s="2235" t="str">
        <f t="shared" si="315"/>
        <v/>
      </c>
      <c r="CM133" s="2235" t="str">
        <f t="shared" si="316"/>
        <v/>
      </c>
      <c r="CN133" s="2235" t="str">
        <f t="shared" si="317"/>
        <v/>
      </c>
      <c r="CO133" s="2235" t="str">
        <f t="shared" si="318"/>
        <v/>
      </c>
      <c r="CP133" s="2235" t="str">
        <f t="shared" si="319"/>
        <v/>
      </c>
      <c r="CQ133" s="2235" t="str">
        <f t="shared" si="320"/>
        <v/>
      </c>
      <c r="CR133" s="2235" t="str">
        <f t="shared" si="321"/>
        <v/>
      </c>
      <c r="CS133" s="2235" t="str">
        <f t="shared" si="322"/>
        <v/>
      </c>
      <c r="CT133" s="2235" t="str">
        <f t="shared" si="323"/>
        <v/>
      </c>
      <c r="CU133" s="2235" t="str">
        <f t="shared" si="324"/>
        <v/>
      </c>
      <c r="CV133" s="2235" t="str">
        <f t="shared" si="325"/>
        <v/>
      </c>
      <c r="CW133" s="2235" t="str">
        <f t="shared" si="326"/>
        <v/>
      </c>
      <c r="CX133" s="2235" t="str">
        <f t="shared" si="327"/>
        <v/>
      </c>
      <c r="CY133" s="2235" t="str">
        <f t="shared" si="328"/>
        <v/>
      </c>
      <c r="CZ133" s="2235" t="str">
        <f t="shared" si="282"/>
        <v/>
      </c>
      <c r="DA133" s="1468">
        <f t="shared" si="283"/>
        <v>0</v>
      </c>
      <c r="DB133" s="1468">
        <f t="shared" si="284"/>
        <v>0</v>
      </c>
      <c r="DC133" s="1468">
        <f t="shared" si="285"/>
        <v>0</v>
      </c>
      <c r="DD133" s="1468">
        <f t="shared" si="286"/>
        <v>0</v>
      </c>
      <c r="DE133" s="1468">
        <f t="shared" si="287"/>
        <v>0</v>
      </c>
      <c r="DF133" s="1468">
        <f t="shared" si="288"/>
        <v>0</v>
      </c>
      <c r="DG133" s="1468">
        <f t="shared" si="289"/>
        <v>0</v>
      </c>
      <c r="DH133" s="1468">
        <f t="shared" si="290"/>
        <v>0</v>
      </c>
      <c r="DI133" s="1468">
        <f t="shared" si="291"/>
        <v>0</v>
      </c>
      <c r="DJ133" s="1468">
        <f t="shared" si="292"/>
        <v>0</v>
      </c>
      <c r="DK133" s="1468">
        <f t="shared" si="293"/>
        <v>0</v>
      </c>
      <c r="DL133" s="1468">
        <f t="shared" si="294"/>
        <v>0</v>
      </c>
      <c r="DM133" s="1468">
        <f t="shared" si="295"/>
        <v>0</v>
      </c>
      <c r="DN133" s="1468">
        <f t="shared" si="296"/>
        <v>0</v>
      </c>
      <c r="DO133" s="1468">
        <f t="shared" si="297"/>
        <v>0</v>
      </c>
      <c r="DP133" s="1468">
        <f t="shared" si="298"/>
        <v>0</v>
      </c>
      <c r="DQ133" s="1468">
        <f t="shared" si="299"/>
        <v>0</v>
      </c>
      <c r="DR133" s="1468">
        <f t="shared" si="300"/>
        <v>0</v>
      </c>
      <c r="DS133" s="1468">
        <f t="shared" si="301"/>
        <v>0</v>
      </c>
      <c r="DT133" s="1468">
        <f t="shared" si="302"/>
        <v>0</v>
      </c>
      <c r="DU133" s="1468">
        <f t="shared" si="303"/>
        <v>0</v>
      </c>
      <c r="DV133" s="1468">
        <f t="shared" si="304"/>
        <v>0</v>
      </c>
      <c r="DW133" s="1468">
        <f t="shared" si="305"/>
        <v>0</v>
      </c>
      <c r="DX133" s="1468">
        <f t="shared" si="306"/>
        <v>0</v>
      </c>
      <c r="DY133" s="1468">
        <f t="shared" si="307"/>
        <v>0</v>
      </c>
      <c r="DZ133" s="1468">
        <f t="shared" si="308"/>
        <v>0</v>
      </c>
    </row>
    <row r="134" spans="1:130" ht="16.149999999999999" customHeight="1" x14ac:dyDescent="0.25">
      <c r="A134" s="2040" t="s">
        <v>1794</v>
      </c>
      <c r="B134" s="2038">
        <f>+D134+F134+H134+J134+L134+N134+P134+R134+T134+V134+X134+Z134+AB134+AD134+AF134+AH134+AJ134+AL134+AN134+AP134</f>
        <v>0</v>
      </c>
      <c r="C134" s="2084">
        <f>+E134+G134+I134+K134+M134+O134+Q134+S134+U134+W134+Y134+AA134+AC134+AE134+AG134+AI134+AK134+AM134+AO134+AQ134</f>
        <v>0</v>
      </c>
      <c r="D134" s="1129"/>
      <c r="E134" s="1130"/>
      <c r="F134" s="1109"/>
      <c r="G134" s="1130"/>
      <c r="H134" s="1109"/>
      <c r="I134" s="1113"/>
      <c r="J134" s="1129"/>
      <c r="K134" s="1129"/>
      <c r="L134" s="1109"/>
      <c r="M134" s="1113"/>
      <c r="N134" s="1129"/>
      <c r="O134" s="1130"/>
      <c r="P134" s="1109"/>
      <c r="Q134" s="1130"/>
      <c r="R134" s="1109"/>
      <c r="S134" s="1130"/>
      <c r="T134" s="1109"/>
      <c r="U134" s="1130"/>
      <c r="V134" s="1109"/>
      <c r="W134" s="1130"/>
      <c r="X134" s="1109"/>
      <c r="Y134" s="1130"/>
      <c r="Z134" s="1109"/>
      <c r="AA134" s="1130"/>
      <c r="AB134" s="1109"/>
      <c r="AC134" s="1130"/>
      <c r="AD134" s="1109"/>
      <c r="AE134" s="1130"/>
      <c r="AF134" s="1109"/>
      <c r="AG134" s="1130"/>
      <c r="AH134" s="1109"/>
      <c r="AI134" s="1130"/>
      <c r="AJ134" s="1109"/>
      <c r="AK134" s="1130"/>
      <c r="AL134" s="1109"/>
      <c r="AM134" s="1130"/>
      <c r="AN134" s="1109"/>
      <c r="AO134" s="1130"/>
      <c r="AP134" s="1109"/>
      <c r="AQ134" s="1131"/>
      <c r="AR134" s="1129"/>
      <c r="AS134" s="1131"/>
      <c r="AT134" s="1129"/>
      <c r="AU134" s="1130"/>
      <c r="AV134" s="1109"/>
      <c r="AW134" s="1113"/>
      <c r="AX134" s="1193" t="str">
        <f t="shared" si="276"/>
        <v/>
      </c>
      <c r="AY134" s="1193"/>
      <c r="AZ134" s="1193"/>
      <c r="BA134" s="1193"/>
      <c r="BB134" s="1193"/>
      <c r="BC134" s="1193"/>
      <c r="BD134" s="1193"/>
      <c r="BE134" s="1193"/>
      <c r="BF134" s="1193"/>
      <c r="BG134" s="1193"/>
      <c r="BH134" s="1193"/>
      <c r="BI134" s="1187"/>
      <c r="BJ134" s="1187"/>
      <c r="BK134" s="1187"/>
      <c r="BL134" s="1187"/>
      <c r="BU134" s="1580"/>
      <c r="BV134" s="1580"/>
      <c r="BW134" s="1580"/>
      <c r="CA134" s="2235" t="str">
        <f t="shared" si="277"/>
        <v/>
      </c>
      <c r="CB134" s="2235" t="str">
        <f t="shared" si="278"/>
        <v/>
      </c>
      <c r="CC134" s="2235" t="str">
        <f t="shared" si="279"/>
        <v/>
      </c>
      <c r="CD134" s="2235" t="str">
        <f t="shared" si="280"/>
        <v/>
      </c>
      <c r="CE134" s="2235" t="str">
        <f t="shared" si="281"/>
        <v/>
      </c>
      <c r="CF134" s="2235" t="str">
        <f t="shared" si="309"/>
        <v/>
      </c>
      <c r="CG134" s="2235" t="str">
        <f t="shared" si="310"/>
        <v/>
      </c>
      <c r="CH134" s="2235" t="str">
        <f t="shared" si="311"/>
        <v/>
      </c>
      <c r="CI134" s="2235" t="str">
        <f t="shared" si="312"/>
        <v/>
      </c>
      <c r="CJ134" s="2235" t="str">
        <f t="shared" si="313"/>
        <v/>
      </c>
      <c r="CK134" s="2235" t="str">
        <f t="shared" si="314"/>
        <v/>
      </c>
      <c r="CL134" s="2235" t="str">
        <f t="shared" si="315"/>
        <v/>
      </c>
      <c r="CM134" s="2235" t="str">
        <f t="shared" si="316"/>
        <v/>
      </c>
      <c r="CN134" s="2235" t="str">
        <f t="shared" si="317"/>
        <v/>
      </c>
      <c r="CO134" s="2235" t="str">
        <f t="shared" si="318"/>
        <v/>
      </c>
      <c r="CP134" s="2235" t="str">
        <f t="shared" si="319"/>
        <v/>
      </c>
      <c r="CQ134" s="2235" t="str">
        <f t="shared" si="320"/>
        <v/>
      </c>
      <c r="CR134" s="2235" t="str">
        <f t="shared" si="321"/>
        <v/>
      </c>
      <c r="CS134" s="2235" t="str">
        <f t="shared" si="322"/>
        <v/>
      </c>
      <c r="CT134" s="2235" t="str">
        <f t="shared" si="323"/>
        <v/>
      </c>
      <c r="CU134" s="2235" t="str">
        <f t="shared" si="324"/>
        <v/>
      </c>
      <c r="CV134" s="2235" t="str">
        <f t="shared" si="325"/>
        <v/>
      </c>
      <c r="CW134" s="2235" t="str">
        <f t="shared" si="326"/>
        <v/>
      </c>
      <c r="CX134" s="2235" t="str">
        <f t="shared" si="327"/>
        <v/>
      </c>
      <c r="CY134" s="2235" t="str">
        <f t="shared" si="328"/>
        <v/>
      </c>
      <c r="CZ134" s="2235" t="str">
        <f t="shared" si="282"/>
        <v/>
      </c>
      <c r="DA134" s="1468">
        <f t="shared" si="283"/>
        <v>0</v>
      </c>
      <c r="DB134" s="1468">
        <f t="shared" si="284"/>
        <v>0</v>
      </c>
      <c r="DC134" s="1468">
        <f t="shared" si="285"/>
        <v>0</v>
      </c>
      <c r="DD134" s="1468">
        <f t="shared" si="286"/>
        <v>0</v>
      </c>
      <c r="DE134" s="1468">
        <f t="shared" si="287"/>
        <v>0</v>
      </c>
      <c r="DF134" s="1468">
        <f t="shared" si="288"/>
        <v>0</v>
      </c>
      <c r="DG134" s="1468">
        <f t="shared" si="289"/>
        <v>0</v>
      </c>
      <c r="DH134" s="1468">
        <f t="shared" si="290"/>
        <v>0</v>
      </c>
      <c r="DI134" s="1468">
        <f t="shared" si="291"/>
        <v>0</v>
      </c>
      <c r="DJ134" s="1468">
        <f t="shared" si="292"/>
        <v>0</v>
      </c>
      <c r="DK134" s="1468">
        <f t="shared" si="293"/>
        <v>0</v>
      </c>
      <c r="DL134" s="1468">
        <f t="shared" si="294"/>
        <v>0</v>
      </c>
      <c r="DM134" s="1468">
        <f t="shared" si="295"/>
        <v>0</v>
      </c>
      <c r="DN134" s="1468">
        <f t="shared" si="296"/>
        <v>0</v>
      </c>
      <c r="DO134" s="1468">
        <f t="shared" si="297"/>
        <v>0</v>
      </c>
      <c r="DP134" s="1468">
        <f t="shared" si="298"/>
        <v>0</v>
      </c>
      <c r="DQ134" s="1468">
        <f t="shared" si="299"/>
        <v>0</v>
      </c>
      <c r="DR134" s="1468">
        <f t="shared" si="300"/>
        <v>0</v>
      </c>
      <c r="DS134" s="1468">
        <f t="shared" si="301"/>
        <v>0</v>
      </c>
      <c r="DT134" s="1468">
        <f t="shared" si="302"/>
        <v>0</v>
      </c>
      <c r="DU134" s="1468">
        <f t="shared" si="303"/>
        <v>0</v>
      </c>
      <c r="DV134" s="1468">
        <f t="shared" si="304"/>
        <v>0</v>
      </c>
      <c r="DW134" s="1468">
        <f t="shared" si="305"/>
        <v>0</v>
      </c>
      <c r="DX134" s="1468">
        <f t="shared" si="306"/>
        <v>0</v>
      </c>
      <c r="DY134" s="1468">
        <f t="shared" si="307"/>
        <v>0</v>
      </c>
      <c r="DZ134" s="1468">
        <f t="shared" si="308"/>
        <v>0</v>
      </c>
    </row>
    <row r="135" spans="1:130" ht="16.149999999999999" customHeight="1" x14ac:dyDescent="0.25">
      <c r="A135" s="2072" t="s">
        <v>2179</v>
      </c>
      <c r="B135" s="2038">
        <f>+P135+R135+T135+V135+X135+Z135+AB135+AD135+AF135+AH135+AJ135+AL135+AN135+AP135</f>
        <v>0</v>
      </c>
      <c r="C135" s="2084">
        <f>+Q135+S135+U135+W135+Y135+AA135+AC135+AE135+AG135+AI135+AK135+AM135+AO135+AQ135</f>
        <v>0</v>
      </c>
      <c r="D135" s="1125"/>
      <c r="E135" s="1126"/>
      <c r="F135" s="1127"/>
      <c r="G135" s="1126"/>
      <c r="H135" s="1127"/>
      <c r="I135" s="1126"/>
      <c r="J135" s="1127"/>
      <c r="K135" s="1126"/>
      <c r="L135" s="1127"/>
      <c r="M135" s="1128"/>
      <c r="N135" s="1125"/>
      <c r="O135" s="1126"/>
      <c r="P135" s="1109"/>
      <c r="Q135" s="1130"/>
      <c r="R135" s="1109"/>
      <c r="S135" s="1130"/>
      <c r="T135" s="1109"/>
      <c r="U135" s="1130"/>
      <c r="V135" s="1109"/>
      <c r="W135" s="1130"/>
      <c r="X135" s="1109"/>
      <c r="Y135" s="1130"/>
      <c r="Z135" s="1109"/>
      <c r="AA135" s="1130"/>
      <c r="AB135" s="1109"/>
      <c r="AC135" s="1130"/>
      <c r="AD135" s="1109"/>
      <c r="AE135" s="1130"/>
      <c r="AF135" s="1109"/>
      <c r="AG135" s="1130"/>
      <c r="AH135" s="1109"/>
      <c r="AI135" s="1130"/>
      <c r="AJ135" s="1109"/>
      <c r="AK135" s="1130"/>
      <c r="AL135" s="1109"/>
      <c r="AM135" s="1130"/>
      <c r="AN135" s="1109"/>
      <c r="AO135" s="1130"/>
      <c r="AP135" s="1109"/>
      <c r="AQ135" s="1131"/>
      <c r="AR135" s="1129"/>
      <c r="AS135" s="1131"/>
      <c r="AT135" s="1129"/>
      <c r="AU135" s="1130"/>
      <c r="AV135" s="1109"/>
      <c r="AW135" s="1113"/>
      <c r="AX135" s="1193" t="str">
        <f t="shared" si="276"/>
        <v/>
      </c>
      <c r="AY135" s="1193"/>
      <c r="AZ135" s="1193"/>
      <c r="BA135" s="1193"/>
      <c r="BB135" s="1193"/>
      <c r="BC135" s="1193"/>
      <c r="BD135" s="1193"/>
      <c r="BE135" s="1193"/>
      <c r="BF135" s="1193"/>
      <c r="BG135" s="1193"/>
      <c r="BH135" s="1193"/>
      <c r="BI135" s="1187"/>
      <c r="BJ135" s="1187"/>
      <c r="BK135" s="1187"/>
      <c r="BL135" s="1187"/>
      <c r="BU135" s="1580"/>
      <c r="BV135" s="1580"/>
      <c r="BW135" s="1580"/>
      <c r="CA135" s="2235" t="str">
        <f t="shared" si="277"/>
        <v/>
      </c>
      <c r="CB135" s="2235" t="str">
        <f t="shared" si="278"/>
        <v/>
      </c>
      <c r="CC135" s="2235" t="str">
        <f t="shared" si="279"/>
        <v/>
      </c>
      <c r="CD135" s="2235" t="str">
        <f t="shared" si="280"/>
        <v/>
      </c>
      <c r="CE135" s="2235" t="str">
        <f t="shared" si="281"/>
        <v/>
      </c>
      <c r="CF135" s="2235" t="str">
        <f t="shared" si="309"/>
        <v/>
      </c>
      <c r="CG135" s="2235" t="str">
        <f t="shared" si="310"/>
        <v/>
      </c>
      <c r="CH135" s="2235" t="str">
        <f t="shared" si="311"/>
        <v/>
      </c>
      <c r="CI135" s="2235" t="str">
        <f t="shared" si="312"/>
        <v/>
      </c>
      <c r="CJ135" s="2235" t="str">
        <f t="shared" si="313"/>
        <v/>
      </c>
      <c r="CK135" s="2235" t="str">
        <f t="shared" si="314"/>
        <v/>
      </c>
      <c r="CL135" s="2235" t="str">
        <f t="shared" si="315"/>
        <v/>
      </c>
      <c r="CM135" s="2235" t="str">
        <f t="shared" si="316"/>
        <v/>
      </c>
      <c r="CN135" s="2235" t="str">
        <f t="shared" si="317"/>
        <v/>
      </c>
      <c r="CO135" s="2235" t="str">
        <f t="shared" si="318"/>
        <v/>
      </c>
      <c r="CP135" s="2235" t="str">
        <f t="shared" si="319"/>
        <v/>
      </c>
      <c r="CQ135" s="2235" t="str">
        <f t="shared" si="320"/>
        <v/>
      </c>
      <c r="CR135" s="2235" t="str">
        <f t="shared" si="321"/>
        <v/>
      </c>
      <c r="CS135" s="2235" t="str">
        <f t="shared" si="322"/>
        <v/>
      </c>
      <c r="CT135" s="2235" t="str">
        <f t="shared" si="323"/>
        <v/>
      </c>
      <c r="CU135" s="2235" t="str">
        <f t="shared" si="324"/>
        <v/>
      </c>
      <c r="CV135" s="2235" t="str">
        <f t="shared" si="325"/>
        <v/>
      </c>
      <c r="CW135" s="2235" t="str">
        <f t="shared" si="326"/>
        <v/>
      </c>
      <c r="CX135" s="2235" t="str">
        <f t="shared" si="327"/>
        <v/>
      </c>
      <c r="CY135" s="2235" t="str">
        <f t="shared" si="328"/>
        <v/>
      </c>
      <c r="CZ135" s="2235" t="str">
        <f t="shared" si="282"/>
        <v/>
      </c>
      <c r="DA135" s="1468">
        <f t="shared" si="283"/>
        <v>0</v>
      </c>
      <c r="DB135" s="1468">
        <f t="shared" si="284"/>
        <v>0</v>
      </c>
      <c r="DC135" s="1468">
        <f t="shared" si="285"/>
        <v>0</v>
      </c>
      <c r="DD135" s="1468">
        <f t="shared" si="286"/>
        <v>0</v>
      </c>
      <c r="DE135" s="1468">
        <f t="shared" si="287"/>
        <v>0</v>
      </c>
      <c r="DF135" s="1468">
        <f t="shared" si="288"/>
        <v>0</v>
      </c>
      <c r="DG135" s="1468">
        <f t="shared" si="289"/>
        <v>0</v>
      </c>
      <c r="DH135" s="1468">
        <f t="shared" si="290"/>
        <v>0</v>
      </c>
      <c r="DI135" s="1468">
        <f t="shared" si="291"/>
        <v>0</v>
      </c>
      <c r="DJ135" s="1468">
        <f t="shared" si="292"/>
        <v>0</v>
      </c>
      <c r="DK135" s="1468">
        <f t="shared" si="293"/>
        <v>0</v>
      </c>
      <c r="DL135" s="1468">
        <f t="shared" si="294"/>
        <v>0</v>
      </c>
      <c r="DM135" s="1468">
        <f t="shared" si="295"/>
        <v>0</v>
      </c>
      <c r="DN135" s="1468">
        <f t="shared" si="296"/>
        <v>0</v>
      </c>
      <c r="DO135" s="1468">
        <f t="shared" si="297"/>
        <v>0</v>
      </c>
      <c r="DP135" s="1468">
        <f t="shared" si="298"/>
        <v>0</v>
      </c>
      <c r="DQ135" s="1468">
        <f t="shared" si="299"/>
        <v>0</v>
      </c>
      <c r="DR135" s="1468">
        <f t="shared" si="300"/>
        <v>0</v>
      </c>
      <c r="DS135" s="1468">
        <f t="shared" si="301"/>
        <v>0</v>
      </c>
      <c r="DT135" s="1468">
        <f t="shared" si="302"/>
        <v>0</v>
      </c>
      <c r="DU135" s="1468">
        <f t="shared" si="303"/>
        <v>0</v>
      </c>
      <c r="DV135" s="1468">
        <f t="shared" si="304"/>
        <v>0</v>
      </c>
      <c r="DW135" s="1468">
        <f t="shared" si="305"/>
        <v>0</v>
      </c>
      <c r="DX135" s="1468">
        <f t="shared" si="306"/>
        <v>0</v>
      </c>
      <c r="DY135" s="1468">
        <f t="shared" si="307"/>
        <v>0</v>
      </c>
      <c r="DZ135" s="1468">
        <f t="shared" si="308"/>
        <v>0</v>
      </c>
    </row>
    <row r="136" spans="1:130" ht="16.149999999999999" customHeight="1" x14ac:dyDescent="0.25">
      <c r="A136" s="2040" t="s">
        <v>1795</v>
      </c>
      <c r="B136" s="2038">
        <f>+P136+R136+T136+V136+X136+Z136+AB136+AD136+AF136+AH136</f>
        <v>0</v>
      </c>
      <c r="C136" s="2084">
        <f>+Q136+S136+U136+W136+Y136+AA136+AC136+AE136+AG136+AI136</f>
        <v>0</v>
      </c>
      <c r="D136" s="1125"/>
      <c r="E136" s="1126"/>
      <c r="F136" s="1127"/>
      <c r="G136" s="1126"/>
      <c r="H136" s="1127"/>
      <c r="I136" s="1126"/>
      <c r="J136" s="1127"/>
      <c r="K136" s="1126"/>
      <c r="L136" s="1127"/>
      <c r="M136" s="1128"/>
      <c r="N136" s="1125"/>
      <c r="O136" s="1126"/>
      <c r="P136" s="1109"/>
      <c r="Q136" s="1130"/>
      <c r="R136" s="1109"/>
      <c r="S136" s="1130"/>
      <c r="T136" s="1109"/>
      <c r="U136" s="1130"/>
      <c r="V136" s="1109"/>
      <c r="W136" s="1130"/>
      <c r="X136" s="1109"/>
      <c r="Y136" s="1130"/>
      <c r="Z136" s="1109"/>
      <c r="AA136" s="1130"/>
      <c r="AB136" s="1109"/>
      <c r="AC136" s="1130"/>
      <c r="AD136" s="1109"/>
      <c r="AE136" s="1130"/>
      <c r="AF136" s="1109"/>
      <c r="AG136" s="1130"/>
      <c r="AH136" s="1109"/>
      <c r="AI136" s="1130"/>
      <c r="AJ136" s="1127"/>
      <c r="AK136" s="1126"/>
      <c r="AL136" s="1127"/>
      <c r="AM136" s="1126"/>
      <c r="AN136" s="1127"/>
      <c r="AO136" s="1126"/>
      <c r="AP136" s="1127"/>
      <c r="AQ136" s="1139"/>
      <c r="AR136" s="1129"/>
      <c r="AS136" s="1131"/>
      <c r="AT136" s="1129"/>
      <c r="AU136" s="1130"/>
      <c r="AV136" s="1109"/>
      <c r="AW136" s="1113"/>
      <c r="AX136" s="1193" t="str">
        <f t="shared" si="276"/>
        <v/>
      </c>
      <c r="AY136" s="1193"/>
      <c r="AZ136" s="1193"/>
      <c r="BA136" s="1193"/>
      <c r="BB136" s="1193"/>
      <c r="BC136" s="1193"/>
      <c r="BD136" s="1193"/>
      <c r="BE136" s="1193"/>
      <c r="BF136" s="1193"/>
      <c r="BG136" s="1193"/>
      <c r="BH136" s="1193"/>
      <c r="BI136" s="1187"/>
      <c r="BJ136" s="1187"/>
      <c r="BK136" s="1187"/>
      <c r="BL136" s="1187"/>
      <c r="BU136" s="1580"/>
      <c r="BV136" s="1580"/>
      <c r="BW136" s="1580"/>
      <c r="CA136" s="2235" t="str">
        <f t="shared" si="277"/>
        <v/>
      </c>
      <c r="CB136" s="2235" t="str">
        <f t="shared" si="278"/>
        <v/>
      </c>
      <c r="CC136" s="2235" t="str">
        <f t="shared" si="279"/>
        <v/>
      </c>
      <c r="CD136" s="2235" t="str">
        <f t="shared" si="280"/>
        <v/>
      </c>
      <c r="CE136" s="2235" t="str">
        <f t="shared" si="281"/>
        <v/>
      </c>
      <c r="CF136" s="2235" t="str">
        <f t="shared" si="309"/>
        <v/>
      </c>
      <c r="CG136" s="2235" t="str">
        <f t="shared" si="310"/>
        <v/>
      </c>
      <c r="CH136" s="2235" t="str">
        <f t="shared" si="311"/>
        <v/>
      </c>
      <c r="CI136" s="2235" t="str">
        <f t="shared" si="312"/>
        <v/>
      </c>
      <c r="CJ136" s="2235" t="str">
        <f t="shared" si="313"/>
        <v/>
      </c>
      <c r="CK136" s="2235" t="str">
        <f t="shared" si="314"/>
        <v/>
      </c>
      <c r="CL136" s="2235" t="str">
        <f t="shared" si="315"/>
        <v/>
      </c>
      <c r="CM136" s="2235" t="str">
        <f t="shared" si="316"/>
        <v/>
      </c>
      <c r="CN136" s="2235" t="str">
        <f t="shared" si="317"/>
        <v/>
      </c>
      <c r="CO136" s="2235" t="str">
        <f t="shared" si="318"/>
        <v/>
      </c>
      <c r="CP136" s="2235" t="str">
        <f t="shared" si="319"/>
        <v/>
      </c>
      <c r="CQ136" s="2235" t="str">
        <f t="shared" si="320"/>
        <v/>
      </c>
      <c r="CR136" s="2235" t="str">
        <f t="shared" si="321"/>
        <v/>
      </c>
      <c r="CS136" s="2235" t="str">
        <f t="shared" si="322"/>
        <v/>
      </c>
      <c r="CT136" s="2235" t="str">
        <f t="shared" si="323"/>
        <v/>
      </c>
      <c r="CU136" s="2235" t="str">
        <f t="shared" si="324"/>
        <v/>
      </c>
      <c r="CV136" s="2235" t="str">
        <f t="shared" si="325"/>
        <v/>
      </c>
      <c r="CW136" s="2235" t="str">
        <f t="shared" si="326"/>
        <v/>
      </c>
      <c r="CX136" s="2235" t="str">
        <f t="shared" si="327"/>
        <v/>
      </c>
      <c r="CY136" s="2235" t="str">
        <f t="shared" si="328"/>
        <v/>
      </c>
      <c r="CZ136" s="2235" t="str">
        <f t="shared" si="282"/>
        <v/>
      </c>
      <c r="DA136" s="1468">
        <f t="shared" si="283"/>
        <v>0</v>
      </c>
      <c r="DB136" s="1468">
        <f t="shared" si="284"/>
        <v>0</v>
      </c>
      <c r="DC136" s="1468">
        <f t="shared" si="285"/>
        <v>0</v>
      </c>
      <c r="DD136" s="1468">
        <f t="shared" si="286"/>
        <v>0</v>
      </c>
      <c r="DE136" s="1468">
        <f t="shared" si="287"/>
        <v>0</v>
      </c>
      <c r="DF136" s="1468">
        <f t="shared" si="288"/>
        <v>0</v>
      </c>
      <c r="DG136" s="1468">
        <f t="shared" si="289"/>
        <v>0</v>
      </c>
      <c r="DH136" s="1468">
        <f t="shared" si="290"/>
        <v>0</v>
      </c>
      <c r="DI136" s="1468">
        <f t="shared" si="291"/>
        <v>0</v>
      </c>
      <c r="DJ136" s="1468">
        <f t="shared" si="292"/>
        <v>0</v>
      </c>
      <c r="DK136" s="1468">
        <f t="shared" si="293"/>
        <v>0</v>
      </c>
      <c r="DL136" s="1468">
        <f t="shared" si="294"/>
        <v>0</v>
      </c>
      <c r="DM136" s="1468">
        <f t="shared" si="295"/>
        <v>0</v>
      </c>
      <c r="DN136" s="1468">
        <f t="shared" si="296"/>
        <v>0</v>
      </c>
      <c r="DO136" s="1468">
        <f t="shared" si="297"/>
        <v>0</v>
      </c>
      <c r="DP136" s="1468">
        <f t="shared" si="298"/>
        <v>0</v>
      </c>
      <c r="DQ136" s="1468">
        <f t="shared" si="299"/>
        <v>0</v>
      </c>
      <c r="DR136" s="1468">
        <f t="shared" si="300"/>
        <v>0</v>
      </c>
      <c r="DS136" s="1468">
        <f t="shared" si="301"/>
        <v>0</v>
      </c>
      <c r="DT136" s="1468">
        <f t="shared" si="302"/>
        <v>0</v>
      </c>
      <c r="DU136" s="1468">
        <f t="shared" si="303"/>
        <v>0</v>
      </c>
      <c r="DV136" s="1468">
        <f t="shared" si="304"/>
        <v>0</v>
      </c>
      <c r="DW136" s="1468">
        <f t="shared" si="305"/>
        <v>0</v>
      </c>
      <c r="DX136" s="1468">
        <f t="shared" si="306"/>
        <v>0</v>
      </c>
      <c r="DY136" s="1468">
        <f t="shared" si="307"/>
        <v>0</v>
      </c>
      <c r="DZ136" s="1468">
        <f t="shared" si="308"/>
        <v>0</v>
      </c>
    </row>
    <row r="137" spans="1:130" ht="16.149999999999999" customHeight="1" x14ac:dyDescent="0.25">
      <c r="A137" s="2040" t="s">
        <v>1796</v>
      </c>
      <c r="B137" s="2038">
        <f t="shared" ref="B137:C139" si="329">+D137+F137+H137+J137+L137+N137+P137+R137+T137+V137+X137+Z137+AB137+AD137+AF137+AH137+AJ137+AL137+AN137+AP137</f>
        <v>0</v>
      </c>
      <c r="C137" s="2084">
        <f t="shared" si="329"/>
        <v>0</v>
      </c>
      <c r="D137" s="1129"/>
      <c r="E137" s="1130"/>
      <c r="F137" s="1109"/>
      <c r="G137" s="1130"/>
      <c r="H137" s="1109"/>
      <c r="I137" s="1113"/>
      <c r="J137" s="1129"/>
      <c r="K137" s="1129"/>
      <c r="L137" s="1109"/>
      <c r="M137" s="1113"/>
      <c r="N137" s="1129"/>
      <c r="O137" s="1130"/>
      <c r="P137" s="1109"/>
      <c r="Q137" s="1130"/>
      <c r="R137" s="1109"/>
      <c r="S137" s="1130"/>
      <c r="T137" s="1109"/>
      <c r="U137" s="1130"/>
      <c r="V137" s="1109"/>
      <c r="W137" s="1130"/>
      <c r="X137" s="1109"/>
      <c r="Y137" s="1130"/>
      <c r="Z137" s="1109"/>
      <c r="AA137" s="1130"/>
      <c r="AB137" s="1109"/>
      <c r="AC137" s="1130"/>
      <c r="AD137" s="1109"/>
      <c r="AE137" s="1130"/>
      <c r="AF137" s="1109"/>
      <c r="AG137" s="1130"/>
      <c r="AH137" s="1109"/>
      <c r="AI137" s="1130"/>
      <c r="AJ137" s="1109"/>
      <c r="AK137" s="1130"/>
      <c r="AL137" s="1109"/>
      <c r="AM137" s="1130"/>
      <c r="AN137" s="1109"/>
      <c r="AO137" s="1130"/>
      <c r="AP137" s="1109"/>
      <c r="AQ137" s="1131"/>
      <c r="AR137" s="1129"/>
      <c r="AS137" s="1131"/>
      <c r="AT137" s="1129"/>
      <c r="AU137" s="1130"/>
      <c r="AV137" s="1109"/>
      <c r="AW137" s="1113"/>
      <c r="AX137" s="1193" t="str">
        <f t="shared" si="276"/>
        <v/>
      </c>
      <c r="AY137" s="1193"/>
      <c r="AZ137" s="1193"/>
      <c r="BA137" s="1193"/>
      <c r="BB137" s="1193"/>
      <c r="BC137" s="1193"/>
      <c r="BD137" s="1193"/>
      <c r="BE137" s="1193"/>
      <c r="BF137" s="1193"/>
      <c r="BG137" s="1193"/>
      <c r="BH137" s="1193"/>
      <c r="BI137" s="1187"/>
      <c r="BJ137" s="1187"/>
      <c r="BK137" s="1187"/>
      <c r="BL137" s="1187"/>
      <c r="BU137" s="1580"/>
      <c r="BV137" s="1580"/>
      <c r="BW137" s="1580"/>
      <c r="CA137" s="2235" t="str">
        <f t="shared" si="277"/>
        <v/>
      </c>
      <c r="CB137" s="2235" t="str">
        <f t="shared" si="278"/>
        <v/>
      </c>
      <c r="CC137" s="2235" t="str">
        <f t="shared" si="279"/>
        <v/>
      </c>
      <c r="CD137" s="2235" t="str">
        <f t="shared" si="280"/>
        <v/>
      </c>
      <c r="CE137" s="2235" t="str">
        <f t="shared" si="281"/>
        <v/>
      </c>
      <c r="CF137" s="2235" t="str">
        <f t="shared" si="309"/>
        <v/>
      </c>
      <c r="CG137" s="2235" t="str">
        <f t="shared" si="310"/>
        <v/>
      </c>
      <c r="CH137" s="2235" t="str">
        <f t="shared" si="311"/>
        <v/>
      </c>
      <c r="CI137" s="2235" t="str">
        <f t="shared" si="312"/>
        <v/>
      </c>
      <c r="CJ137" s="2235" t="str">
        <f t="shared" si="313"/>
        <v/>
      </c>
      <c r="CK137" s="2235" t="str">
        <f t="shared" si="314"/>
        <v/>
      </c>
      <c r="CL137" s="2235" t="str">
        <f t="shared" si="315"/>
        <v/>
      </c>
      <c r="CM137" s="2235" t="str">
        <f t="shared" si="316"/>
        <v/>
      </c>
      <c r="CN137" s="2235" t="str">
        <f t="shared" si="317"/>
        <v/>
      </c>
      <c r="CO137" s="2235" t="str">
        <f t="shared" si="318"/>
        <v/>
      </c>
      <c r="CP137" s="2235" t="str">
        <f t="shared" si="319"/>
        <v/>
      </c>
      <c r="CQ137" s="2235" t="str">
        <f t="shared" si="320"/>
        <v/>
      </c>
      <c r="CR137" s="2235" t="str">
        <f t="shared" si="321"/>
        <v/>
      </c>
      <c r="CS137" s="2235" t="str">
        <f t="shared" si="322"/>
        <v/>
      </c>
      <c r="CT137" s="2235" t="str">
        <f t="shared" si="323"/>
        <v/>
      </c>
      <c r="CU137" s="2235" t="str">
        <f t="shared" si="324"/>
        <v/>
      </c>
      <c r="CV137" s="2235" t="str">
        <f t="shared" si="325"/>
        <v/>
      </c>
      <c r="CW137" s="2235" t="str">
        <f t="shared" si="326"/>
        <v/>
      </c>
      <c r="CX137" s="2235" t="str">
        <f t="shared" si="327"/>
        <v/>
      </c>
      <c r="CY137" s="2235" t="str">
        <f t="shared" si="328"/>
        <v/>
      </c>
      <c r="CZ137" s="2235" t="str">
        <f t="shared" si="282"/>
        <v/>
      </c>
      <c r="DA137" s="1468">
        <f t="shared" si="283"/>
        <v>0</v>
      </c>
      <c r="DB137" s="1468">
        <f t="shared" si="284"/>
        <v>0</v>
      </c>
      <c r="DC137" s="1468">
        <f t="shared" si="285"/>
        <v>0</v>
      </c>
      <c r="DD137" s="1468">
        <f t="shared" si="286"/>
        <v>0</v>
      </c>
      <c r="DE137" s="1468">
        <f t="shared" si="287"/>
        <v>0</v>
      </c>
      <c r="DF137" s="1468">
        <f t="shared" si="288"/>
        <v>0</v>
      </c>
      <c r="DG137" s="1468">
        <f t="shared" si="289"/>
        <v>0</v>
      </c>
      <c r="DH137" s="1468">
        <f t="shared" si="290"/>
        <v>0</v>
      </c>
      <c r="DI137" s="1468">
        <f t="shared" si="291"/>
        <v>0</v>
      </c>
      <c r="DJ137" s="1468">
        <f t="shared" si="292"/>
        <v>0</v>
      </c>
      <c r="DK137" s="1468">
        <f t="shared" si="293"/>
        <v>0</v>
      </c>
      <c r="DL137" s="1468">
        <f t="shared" si="294"/>
        <v>0</v>
      </c>
      <c r="DM137" s="1468">
        <f t="shared" si="295"/>
        <v>0</v>
      </c>
      <c r="DN137" s="1468">
        <f t="shared" si="296"/>
        <v>0</v>
      </c>
      <c r="DO137" s="1468">
        <f t="shared" si="297"/>
        <v>0</v>
      </c>
      <c r="DP137" s="1468">
        <f t="shared" si="298"/>
        <v>0</v>
      </c>
      <c r="DQ137" s="1468">
        <f t="shared" si="299"/>
        <v>0</v>
      </c>
      <c r="DR137" s="1468">
        <f t="shared" si="300"/>
        <v>0</v>
      </c>
      <c r="DS137" s="1468">
        <f t="shared" si="301"/>
        <v>0</v>
      </c>
      <c r="DT137" s="1468">
        <f t="shared" si="302"/>
        <v>0</v>
      </c>
      <c r="DU137" s="1468">
        <f t="shared" si="303"/>
        <v>0</v>
      </c>
      <c r="DV137" s="1468">
        <f t="shared" si="304"/>
        <v>0</v>
      </c>
      <c r="DW137" s="1468">
        <f t="shared" si="305"/>
        <v>0</v>
      </c>
      <c r="DX137" s="1468">
        <f t="shared" si="306"/>
        <v>0</v>
      </c>
      <c r="DY137" s="1468">
        <f t="shared" si="307"/>
        <v>0</v>
      </c>
      <c r="DZ137" s="1468">
        <f t="shared" si="308"/>
        <v>0</v>
      </c>
    </row>
    <row r="138" spans="1:130" ht="16.149999999999999" customHeight="1" x14ac:dyDescent="0.25">
      <c r="A138" s="2040" t="s">
        <v>1797</v>
      </c>
      <c r="B138" s="2038">
        <f t="shared" si="329"/>
        <v>0</v>
      </c>
      <c r="C138" s="2084">
        <f t="shared" si="329"/>
        <v>0</v>
      </c>
      <c r="D138" s="1129"/>
      <c r="E138" s="1130"/>
      <c r="F138" s="1109"/>
      <c r="G138" s="1130"/>
      <c r="H138" s="1109"/>
      <c r="I138" s="1113"/>
      <c r="J138" s="1129"/>
      <c r="K138" s="1129"/>
      <c r="L138" s="1109"/>
      <c r="M138" s="1113"/>
      <c r="N138" s="1129"/>
      <c r="O138" s="1130"/>
      <c r="P138" s="1109"/>
      <c r="Q138" s="1130"/>
      <c r="R138" s="1109"/>
      <c r="S138" s="1130"/>
      <c r="T138" s="1109"/>
      <c r="U138" s="1130"/>
      <c r="V138" s="1109"/>
      <c r="W138" s="1130"/>
      <c r="X138" s="1109"/>
      <c r="Y138" s="1130"/>
      <c r="Z138" s="1109"/>
      <c r="AA138" s="1130"/>
      <c r="AB138" s="1109"/>
      <c r="AC138" s="1130"/>
      <c r="AD138" s="1109"/>
      <c r="AE138" s="1130"/>
      <c r="AF138" s="1109"/>
      <c r="AG138" s="1130"/>
      <c r="AH138" s="1109"/>
      <c r="AI138" s="1130"/>
      <c r="AJ138" s="1109"/>
      <c r="AK138" s="1130"/>
      <c r="AL138" s="1109"/>
      <c r="AM138" s="1130"/>
      <c r="AN138" s="1109"/>
      <c r="AO138" s="1130"/>
      <c r="AP138" s="1109"/>
      <c r="AQ138" s="1131"/>
      <c r="AR138" s="1129"/>
      <c r="AS138" s="1131"/>
      <c r="AT138" s="1129"/>
      <c r="AU138" s="1130"/>
      <c r="AV138" s="1109"/>
      <c r="AW138" s="1113"/>
      <c r="AX138" s="1193" t="str">
        <f t="shared" si="276"/>
        <v/>
      </c>
      <c r="AY138" s="1193"/>
      <c r="AZ138" s="1193"/>
      <c r="BA138" s="1193"/>
      <c r="BB138" s="1193"/>
      <c r="BC138" s="1193"/>
      <c r="BD138" s="1193"/>
      <c r="BE138" s="1193"/>
      <c r="BF138" s="1193"/>
      <c r="BG138" s="1193"/>
      <c r="BH138" s="1193"/>
      <c r="BI138" s="1187"/>
      <c r="BJ138" s="1187"/>
      <c r="BK138" s="1187"/>
      <c r="BL138" s="1187"/>
      <c r="BU138" s="1580"/>
      <c r="BV138" s="1580"/>
      <c r="BW138" s="1580"/>
      <c r="CA138" s="2235" t="str">
        <f t="shared" si="277"/>
        <v/>
      </c>
      <c r="CB138" s="2235" t="str">
        <f t="shared" si="278"/>
        <v/>
      </c>
      <c r="CC138" s="2235" t="str">
        <f t="shared" si="279"/>
        <v/>
      </c>
      <c r="CD138" s="2235" t="str">
        <f t="shared" si="280"/>
        <v/>
      </c>
      <c r="CE138" s="2235" t="str">
        <f t="shared" si="281"/>
        <v/>
      </c>
      <c r="CF138" s="2235" t="str">
        <f t="shared" si="309"/>
        <v/>
      </c>
      <c r="CG138" s="2235" t="str">
        <f t="shared" si="310"/>
        <v/>
      </c>
      <c r="CH138" s="2235" t="str">
        <f t="shared" si="311"/>
        <v/>
      </c>
      <c r="CI138" s="2235" t="str">
        <f t="shared" si="312"/>
        <v/>
      </c>
      <c r="CJ138" s="2235" t="str">
        <f t="shared" si="313"/>
        <v/>
      </c>
      <c r="CK138" s="2235" t="str">
        <f t="shared" si="314"/>
        <v/>
      </c>
      <c r="CL138" s="2235" t="str">
        <f t="shared" si="315"/>
        <v/>
      </c>
      <c r="CM138" s="2235" t="str">
        <f t="shared" si="316"/>
        <v/>
      </c>
      <c r="CN138" s="2235" t="str">
        <f t="shared" si="317"/>
        <v/>
      </c>
      <c r="CO138" s="2235" t="str">
        <f t="shared" si="318"/>
        <v/>
      </c>
      <c r="CP138" s="2235" t="str">
        <f t="shared" si="319"/>
        <v/>
      </c>
      <c r="CQ138" s="2235" t="str">
        <f t="shared" si="320"/>
        <v/>
      </c>
      <c r="CR138" s="2235" t="str">
        <f t="shared" si="321"/>
        <v/>
      </c>
      <c r="CS138" s="2235" t="str">
        <f t="shared" si="322"/>
        <v/>
      </c>
      <c r="CT138" s="2235" t="str">
        <f t="shared" si="323"/>
        <v/>
      </c>
      <c r="CU138" s="2235" t="str">
        <f t="shared" si="324"/>
        <v/>
      </c>
      <c r="CV138" s="2235" t="str">
        <f t="shared" si="325"/>
        <v/>
      </c>
      <c r="CW138" s="2235" t="str">
        <f t="shared" si="326"/>
        <v/>
      </c>
      <c r="CX138" s="2235" t="str">
        <f t="shared" si="327"/>
        <v/>
      </c>
      <c r="CY138" s="2235" t="str">
        <f t="shared" si="328"/>
        <v/>
      </c>
      <c r="CZ138" s="2235" t="str">
        <f t="shared" si="282"/>
        <v/>
      </c>
      <c r="DA138" s="1468">
        <f t="shared" si="283"/>
        <v>0</v>
      </c>
      <c r="DB138" s="1468">
        <f t="shared" si="284"/>
        <v>0</v>
      </c>
      <c r="DC138" s="1468">
        <f t="shared" si="285"/>
        <v>0</v>
      </c>
      <c r="DD138" s="1468">
        <f t="shared" si="286"/>
        <v>0</v>
      </c>
      <c r="DE138" s="1468">
        <f t="shared" si="287"/>
        <v>0</v>
      </c>
      <c r="DF138" s="1468">
        <f t="shared" si="288"/>
        <v>0</v>
      </c>
      <c r="DG138" s="1468">
        <f t="shared" si="289"/>
        <v>0</v>
      </c>
      <c r="DH138" s="1468">
        <f t="shared" si="290"/>
        <v>0</v>
      </c>
      <c r="DI138" s="1468">
        <f t="shared" si="291"/>
        <v>0</v>
      </c>
      <c r="DJ138" s="1468">
        <f t="shared" si="292"/>
        <v>0</v>
      </c>
      <c r="DK138" s="1468">
        <f t="shared" si="293"/>
        <v>0</v>
      </c>
      <c r="DL138" s="1468">
        <f t="shared" si="294"/>
        <v>0</v>
      </c>
      <c r="DM138" s="1468">
        <f t="shared" si="295"/>
        <v>0</v>
      </c>
      <c r="DN138" s="1468">
        <f t="shared" si="296"/>
        <v>0</v>
      </c>
      <c r="DO138" s="1468">
        <f t="shared" si="297"/>
        <v>0</v>
      </c>
      <c r="DP138" s="1468">
        <f t="shared" si="298"/>
        <v>0</v>
      </c>
      <c r="DQ138" s="1468">
        <f t="shared" si="299"/>
        <v>0</v>
      </c>
      <c r="DR138" s="1468">
        <f t="shared" si="300"/>
        <v>0</v>
      </c>
      <c r="DS138" s="1468">
        <f t="shared" si="301"/>
        <v>0</v>
      </c>
      <c r="DT138" s="1468">
        <f t="shared" si="302"/>
        <v>0</v>
      </c>
      <c r="DU138" s="1468">
        <f t="shared" si="303"/>
        <v>0</v>
      </c>
      <c r="DV138" s="1468">
        <f t="shared" si="304"/>
        <v>0</v>
      </c>
      <c r="DW138" s="1468">
        <f t="shared" si="305"/>
        <v>0</v>
      </c>
      <c r="DX138" s="1468">
        <f t="shared" si="306"/>
        <v>0</v>
      </c>
      <c r="DY138" s="1468">
        <f t="shared" si="307"/>
        <v>0</v>
      </c>
      <c r="DZ138" s="1468">
        <f t="shared" si="308"/>
        <v>0</v>
      </c>
    </row>
    <row r="139" spans="1:130" ht="16.149999999999999" customHeight="1" x14ac:dyDescent="0.25">
      <c r="A139" s="1936" t="s">
        <v>1798</v>
      </c>
      <c r="B139" s="1999">
        <f t="shared" si="329"/>
        <v>0</v>
      </c>
      <c r="C139" s="1936">
        <f t="shared" si="329"/>
        <v>0</v>
      </c>
      <c r="D139" s="102"/>
      <c r="E139" s="83"/>
      <c r="F139" s="125"/>
      <c r="G139" s="83"/>
      <c r="H139" s="125"/>
      <c r="I139" s="101"/>
      <c r="J139" s="102"/>
      <c r="K139" s="102"/>
      <c r="L139" s="125"/>
      <c r="M139" s="101"/>
      <c r="N139" s="102"/>
      <c r="O139" s="83"/>
      <c r="P139" s="125"/>
      <c r="Q139" s="83"/>
      <c r="R139" s="125"/>
      <c r="S139" s="83"/>
      <c r="T139" s="125"/>
      <c r="U139" s="83"/>
      <c r="V139" s="125"/>
      <c r="W139" s="83"/>
      <c r="X139" s="125"/>
      <c r="Y139" s="83"/>
      <c r="Z139" s="125"/>
      <c r="AA139" s="83"/>
      <c r="AB139" s="125"/>
      <c r="AC139" s="83"/>
      <c r="AD139" s="125"/>
      <c r="AE139" s="83"/>
      <c r="AF139" s="125"/>
      <c r="AG139" s="83"/>
      <c r="AH139" s="125"/>
      <c r="AI139" s="83"/>
      <c r="AJ139" s="125"/>
      <c r="AK139" s="83"/>
      <c r="AL139" s="125"/>
      <c r="AM139" s="83"/>
      <c r="AN139" s="125"/>
      <c r="AO139" s="83"/>
      <c r="AP139" s="125"/>
      <c r="AQ139" s="198"/>
      <c r="AR139" s="102"/>
      <c r="AS139" s="198"/>
      <c r="AT139" s="102"/>
      <c r="AU139" s="83"/>
      <c r="AV139" s="125"/>
      <c r="AW139" s="101"/>
      <c r="AX139" s="1193" t="str">
        <f t="shared" si="276"/>
        <v/>
      </c>
      <c r="AY139" s="1193"/>
      <c r="AZ139" s="1193"/>
      <c r="BA139" s="1193"/>
      <c r="BB139" s="1193"/>
      <c r="BC139" s="1193"/>
      <c r="BD139" s="1193"/>
      <c r="BE139" s="1193"/>
      <c r="BF139" s="1193"/>
      <c r="BG139" s="1193"/>
      <c r="BH139" s="1193"/>
      <c r="BI139" s="1187"/>
      <c r="BJ139" s="1187"/>
      <c r="BK139" s="1187"/>
      <c r="BL139" s="1187"/>
      <c r="BU139" s="1580"/>
      <c r="BV139" s="1580"/>
      <c r="BW139" s="1580"/>
      <c r="CA139" s="2235" t="str">
        <f t="shared" si="277"/>
        <v/>
      </c>
      <c r="CB139" s="2235" t="str">
        <f>IF(B139&lt;&gt;(AR139+ AS139),"* La suma de las columnas Sexo DEBE SER IGUAL a los Procesados. ","")</f>
        <v/>
      </c>
      <c r="CC139" s="2235" t="str">
        <f t="shared" si="279"/>
        <v/>
      </c>
      <c r="CD139" s="2235" t="str">
        <f t="shared" si="280"/>
        <v/>
      </c>
      <c r="CE139" s="2235" t="str">
        <f t="shared" si="281"/>
        <v/>
      </c>
      <c r="CF139" s="2235" t="str">
        <f t="shared" si="309"/>
        <v/>
      </c>
      <c r="CG139" s="2235" t="str">
        <f t="shared" si="310"/>
        <v/>
      </c>
      <c r="CH139" s="2235" t="str">
        <f t="shared" si="311"/>
        <v/>
      </c>
      <c r="CI139" s="2235" t="str">
        <f t="shared" si="312"/>
        <v/>
      </c>
      <c r="CJ139" s="2235" t="str">
        <f t="shared" si="313"/>
        <v/>
      </c>
      <c r="CK139" s="2235" t="str">
        <f t="shared" si="314"/>
        <v/>
      </c>
      <c r="CL139" s="2235" t="str">
        <f t="shared" si="315"/>
        <v/>
      </c>
      <c r="CM139" s="2235" t="str">
        <f t="shared" si="316"/>
        <v/>
      </c>
      <c r="CN139" s="2235" t="str">
        <f t="shared" si="317"/>
        <v/>
      </c>
      <c r="CO139" s="2235" t="str">
        <f t="shared" si="318"/>
        <v/>
      </c>
      <c r="CP139" s="2235" t="str">
        <f t="shared" si="319"/>
        <v/>
      </c>
      <c r="CQ139" s="2235" t="str">
        <f t="shared" si="320"/>
        <v/>
      </c>
      <c r="CR139" s="2235" t="str">
        <f t="shared" si="321"/>
        <v/>
      </c>
      <c r="CS139" s="2235" t="str">
        <f t="shared" si="322"/>
        <v/>
      </c>
      <c r="CT139" s="2235" t="str">
        <f t="shared" si="323"/>
        <v/>
      </c>
      <c r="CU139" s="2235" t="str">
        <f t="shared" si="324"/>
        <v/>
      </c>
      <c r="CV139" s="2235" t="str">
        <f t="shared" si="325"/>
        <v/>
      </c>
      <c r="CW139" s="2235" t="str">
        <f t="shared" si="326"/>
        <v/>
      </c>
      <c r="CX139" s="2235" t="str">
        <f t="shared" si="327"/>
        <v/>
      </c>
      <c r="CY139" s="2235" t="str">
        <f t="shared" si="328"/>
        <v/>
      </c>
      <c r="CZ139" s="2235" t="str">
        <f t="shared" si="282"/>
        <v/>
      </c>
      <c r="DA139" s="1468">
        <f t="shared" si="283"/>
        <v>0</v>
      </c>
      <c r="DB139" s="1468">
        <f t="shared" si="284"/>
        <v>0</v>
      </c>
      <c r="DC139" s="1468">
        <f t="shared" si="285"/>
        <v>0</v>
      </c>
      <c r="DD139" s="1468">
        <f t="shared" si="286"/>
        <v>0</v>
      </c>
      <c r="DE139" s="1468">
        <f t="shared" si="287"/>
        <v>0</v>
      </c>
      <c r="DF139" s="1468">
        <f t="shared" si="288"/>
        <v>0</v>
      </c>
      <c r="DG139" s="1468">
        <f t="shared" si="289"/>
        <v>0</v>
      </c>
      <c r="DH139" s="1468">
        <f t="shared" si="290"/>
        <v>0</v>
      </c>
      <c r="DI139" s="1468">
        <f t="shared" si="291"/>
        <v>0</v>
      </c>
      <c r="DJ139" s="1468">
        <f t="shared" si="292"/>
        <v>0</v>
      </c>
      <c r="DK139" s="1468">
        <f t="shared" si="293"/>
        <v>0</v>
      </c>
      <c r="DL139" s="1468">
        <f t="shared" si="294"/>
        <v>0</v>
      </c>
      <c r="DM139" s="1468">
        <f t="shared" si="295"/>
        <v>0</v>
      </c>
      <c r="DN139" s="1468">
        <f t="shared" si="296"/>
        <v>0</v>
      </c>
      <c r="DO139" s="1468">
        <f t="shared" si="297"/>
        <v>0</v>
      </c>
      <c r="DP139" s="1468">
        <f t="shared" si="298"/>
        <v>0</v>
      </c>
      <c r="DQ139" s="1468">
        <f t="shared" si="299"/>
        <v>0</v>
      </c>
      <c r="DR139" s="1468">
        <f t="shared" si="300"/>
        <v>0</v>
      </c>
      <c r="DS139" s="1468">
        <f t="shared" si="301"/>
        <v>0</v>
      </c>
      <c r="DT139" s="1468">
        <f t="shared" si="302"/>
        <v>0</v>
      </c>
      <c r="DU139" s="1468">
        <f t="shared" si="303"/>
        <v>0</v>
      </c>
      <c r="DV139" s="1468">
        <f t="shared" si="304"/>
        <v>0</v>
      </c>
      <c r="DW139" s="1468">
        <f t="shared" si="305"/>
        <v>0</v>
      </c>
      <c r="DX139" s="1468">
        <f t="shared" si="306"/>
        <v>0</v>
      </c>
      <c r="DY139" s="1468">
        <f t="shared" si="307"/>
        <v>0</v>
      </c>
      <c r="DZ139" s="1468">
        <f t="shared" si="308"/>
        <v>0</v>
      </c>
    </row>
    <row r="140" spans="1:130" ht="31.9" customHeight="1" x14ac:dyDescent="0.25">
      <c r="A140" s="9541" t="s">
        <v>1803</v>
      </c>
      <c r="B140" s="9541"/>
      <c r="C140" s="9541"/>
      <c r="D140" s="9541"/>
      <c r="E140" s="9541"/>
      <c r="F140" s="9541"/>
      <c r="G140" s="9541"/>
      <c r="H140" s="9541"/>
      <c r="I140" s="9541"/>
      <c r="J140" s="9541"/>
      <c r="K140" s="9541"/>
      <c r="L140" s="9541"/>
      <c r="M140" s="9541"/>
      <c r="N140" s="9541"/>
      <c r="O140" s="9541"/>
      <c r="P140" s="9541"/>
      <c r="Q140" s="8456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  <c r="AB140" s="140"/>
      <c r="AC140" s="153"/>
      <c r="AD140" s="2181"/>
      <c r="AE140" s="153"/>
      <c r="AF140" s="153"/>
      <c r="AG140" s="140"/>
      <c r="AH140" s="140"/>
      <c r="AX140" s="1187"/>
      <c r="AY140" s="1187"/>
      <c r="AZ140" s="1187"/>
      <c r="BA140" s="1187"/>
      <c r="BB140" s="1187"/>
      <c r="BC140" s="1187"/>
      <c r="BD140" s="1187"/>
      <c r="BE140" s="1187"/>
      <c r="BF140" s="1187"/>
      <c r="BG140" s="1187"/>
      <c r="BH140" s="1187"/>
      <c r="BI140" s="1187"/>
      <c r="BJ140" s="1187"/>
      <c r="BK140" s="1187"/>
      <c r="BL140" s="1187"/>
      <c r="BM140" s="1187"/>
    </row>
    <row r="141" spans="1:130" ht="16.149999999999999" customHeight="1" x14ac:dyDescent="0.25">
      <c r="A141" s="9534" t="s">
        <v>1804</v>
      </c>
      <c r="B141" s="9536"/>
      <c r="C141" s="8215" t="s">
        <v>1805</v>
      </c>
      <c r="D141" s="8216"/>
      <c r="E141" s="8217"/>
      <c r="F141" s="9542" t="s">
        <v>1806</v>
      </c>
      <c r="G141" s="9542"/>
      <c r="H141" s="9542"/>
      <c r="I141" s="9542" t="s">
        <v>1807</v>
      </c>
      <c r="J141" s="9542"/>
      <c r="K141" s="9542"/>
      <c r="L141" s="9542" t="s">
        <v>1808</v>
      </c>
      <c r="M141" s="9542"/>
      <c r="N141" s="9542"/>
      <c r="O141" s="8215" t="s">
        <v>732</v>
      </c>
      <c r="P141" s="8217"/>
      <c r="Q141" s="896"/>
      <c r="AX141" s="1187"/>
      <c r="AY141" s="1187"/>
      <c r="AZ141" s="1187"/>
      <c r="BA141" s="1187"/>
      <c r="BB141" s="1187"/>
      <c r="BC141" s="1187"/>
      <c r="BD141" s="1187"/>
      <c r="BE141" s="1187"/>
      <c r="BF141" s="1187"/>
      <c r="BG141" s="1187"/>
      <c r="BH141" s="1187"/>
      <c r="BI141" s="1187"/>
      <c r="BJ141" s="1187"/>
      <c r="BK141" s="1187"/>
      <c r="BL141" s="1187"/>
      <c r="BM141" s="1187"/>
    </row>
    <row r="142" spans="1:130" ht="16.149999999999999" customHeight="1" x14ac:dyDescent="0.25">
      <c r="A142" s="9535"/>
      <c r="B142" s="8152"/>
      <c r="C142" s="1119" t="s">
        <v>1780</v>
      </c>
      <c r="D142" s="910" t="s">
        <v>1781</v>
      </c>
      <c r="E142" s="1143" t="s">
        <v>1809</v>
      </c>
      <c r="F142" s="1119" t="s">
        <v>1780</v>
      </c>
      <c r="G142" s="910" t="s">
        <v>1781</v>
      </c>
      <c r="H142" s="1143" t="s">
        <v>1809</v>
      </c>
      <c r="I142" s="1119" t="s">
        <v>1780</v>
      </c>
      <c r="J142" s="910" t="s">
        <v>1781</v>
      </c>
      <c r="K142" s="1143" t="s">
        <v>1809</v>
      </c>
      <c r="L142" s="1119" t="s">
        <v>1780</v>
      </c>
      <c r="M142" s="910" t="s">
        <v>1781</v>
      </c>
      <c r="N142" s="1143" t="s">
        <v>1809</v>
      </c>
      <c r="O142" s="1119" t="s">
        <v>1780</v>
      </c>
      <c r="P142" s="935" t="s">
        <v>1781</v>
      </c>
      <c r="Q142" s="288"/>
      <c r="R142" s="1187"/>
      <c r="S142" s="1187"/>
      <c r="T142" s="1187"/>
      <c r="U142" s="1187"/>
      <c r="V142" s="1187"/>
      <c r="W142" s="1187"/>
      <c r="X142" s="1187"/>
      <c r="Y142" s="1187"/>
      <c r="Z142" s="1187"/>
      <c r="AA142" s="1187"/>
      <c r="AB142" s="1187"/>
      <c r="AC142" s="1187"/>
      <c r="AD142" s="1187"/>
      <c r="AX142" s="1187"/>
      <c r="AY142" s="1187"/>
      <c r="AZ142" s="1187"/>
      <c r="BA142" s="1187"/>
      <c r="BB142" s="1187"/>
      <c r="BC142" s="1187"/>
      <c r="BD142" s="1187"/>
      <c r="BE142" s="1187"/>
      <c r="BF142" s="1187"/>
      <c r="BG142" s="1187"/>
      <c r="BH142" s="1187"/>
      <c r="BI142" s="1187"/>
      <c r="BJ142" s="1187"/>
      <c r="BK142" s="1187"/>
      <c r="BL142" s="1187"/>
      <c r="BM142" s="1187"/>
      <c r="DA142" s="1468"/>
      <c r="DB142" s="1468"/>
      <c r="DC142" s="1468"/>
      <c r="DD142" s="1468"/>
      <c r="DE142" s="1468"/>
      <c r="DF142" s="1468"/>
    </row>
    <row r="143" spans="1:130" ht="18" customHeight="1" x14ac:dyDescent="0.25">
      <c r="A143" s="9543" t="s">
        <v>1810</v>
      </c>
      <c r="B143" s="9544"/>
      <c r="C143" s="1144"/>
      <c r="D143" s="951"/>
      <c r="E143" s="1145"/>
      <c r="F143" s="1144"/>
      <c r="G143" s="951"/>
      <c r="H143" s="1145"/>
      <c r="I143" s="1144"/>
      <c r="J143" s="951"/>
      <c r="K143" s="1145"/>
      <c r="L143" s="1144"/>
      <c r="M143" s="951"/>
      <c r="N143" s="1145"/>
      <c r="O143" s="1144"/>
      <c r="P143" s="947"/>
      <c r="Q143" s="1529" t="str">
        <f>CA143&amp;CB143&amp;CC143&amp;CD143&amp;CE143</f>
        <v/>
      </c>
      <c r="R143" s="1193"/>
      <c r="S143" s="1193"/>
      <c r="T143" s="1193"/>
      <c r="U143" s="1193"/>
      <c r="V143" s="1193"/>
      <c r="W143" s="1193"/>
      <c r="X143" s="1193"/>
      <c r="Y143" s="1193"/>
      <c r="Z143" s="1193"/>
      <c r="AA143" s="1193"/>
      <c r="AB143" s="1193"/>
      <c r="AC143" s="1187"/>
      <c r="AD143" s="1187"/>
      <c r="AX143" s="1187"/>
      <c r="AY143" s="1187"/>
      <c r="AZ143" s="1187"/>
      <c r="BA143" s="1187"/>
      <c r="BB143" s="1187"/>
      <c r="BC143" s="1187"/>
      <c r="BD143" s="1187"/>
      <c r="BE143" s="1187"/>
      <c r="BF143" s="1187"/>
      <c r="BG143" s="1187"/>
      <c r="BH143" s="1187"/>
      <c r="BI143" s="1187"/>
      <c r="BJ143" s="1187"/>
      <c r="BK143" s="1187"/>
      <c r="BL143" s="1187"/>
      <c r="BM143" s="1187"/>
      <c r="CA143" s="2235" t="str">
        <f>IF(C143&gt;=D143,"","* Los exámenes Reactivos de Hepatitis B NO DEBEN ser mayor a los exámenes Procesados. ")</f>
        <v/>
      </c>
      <c r="CB143" s="2235" t="str">
        <f>IF(F143&gt;=G143,"","* Los exámenes Reactivos de Hepatitis C NO DEBEN ser mayor a los exámenes Procesados. ")</f>
        <v/>
      </c>
      <c r="CC143" s="2235" t="str">
        <f>IF(I143&gt;=J143,"","* Los exámenes Reactivos de CHAGAS NO DEBEN ser mayor a los exámenes Procesados. ")</f>
        <v/>
      </c>
      <c r="CD143" s="2235" t="str">
        <f>IF(L143&gt;=M143,"","* Los exámenes Reactivos de HTLV1 NO DEBEN ser mayor a los exámenes Procesados. ")</f>
        <v/>
      </c>
      <c r="CE143" s="2235" t="str">
        <f>IF(O143&gt;=P143,"","* Los exámenes Reactivos de SIFILIS NO DEBEN ser mayor a los exámenes Procesados. ")</f>
        <v/>
      </c>
      <c r="DA143" s="1468">
        <f>IF(C143&gt;=D143,0,1)</f>
        <v>0</v>
      </c>
      <c r="DB143" s="1468">
        <f>IF(F143&gt;=G143,0,1)</f>
        <v>0</v>
      </c>
      <c r="DC143" s="1468">
        <f>IF(I143&gt;=J143,0,1)</f>
        <v>0</v>
      </c>
      <c r="DD143" s="1468">
        <f>IF(L143&gt;=M143,0,1)</f>
        <v>0</v>
      </c>
      <c r="DE143" s="1468">
        <f>IF(O143&gt;=P143,0,1)</f>
        <v>0</v>
      </c>
      <c r="DF143" s="1468"/>
    </row>
    <row r="144" spans="1:130" ht="19.5" customHeight="1" x14ac:dyDescent="0.25">
      <c r="A144" s="9545" t="s">
        <v>1811</v>
      </c>
      <c r="B144" s="699" t="s">
        <v>1812</v>
      </c>
      <c r="C144" s="691"/>
      <c r="D144" s="709"/>
      <c r="E144" s="1146"/>
      <c r="F144" s="691"/>
      <c r="G144" s="709"/>
      <c r="H144" s="1146"/>
      <c r="I144" s="691"/>
      <c r="J144" s="709"/>
      <c r="K144" s="1146"/>
      <c r="L144" s="691"/>
      <c r="M144" s="709"/>
      <c r="N144" s="1146"/>
      <c r="O144" s="691"/>
      <c r="P144" s="698"/>
      <c r="Q144" s="1529" t="str">
        <f>CA144&amp;CB144&amp;CC144&amp;CD144&amp;CE144</f>
        <v/>
      </c>
      <c r="R144" s="1193"/>
      <c r="S144" s="1193"/>
      <c r="T144" s="1193"/>
      <c r="U144" s="1193"/>
      <c r="V144" s="1193"/>
      <c r="W144" s="1193"/>
      <c r="X144" s="1193"/>
      <c r="Y144" s="1193"/>
      <c r="Z144" s="1193"/>
      <c r="AA144" s="1193"/>
      <c r="AB144" s="1193"/>
      <c r="AC144" s="1187"/>
      <c r="AD144" s="1187"/>
      <c r="AX144" s="1187"/>
      <c r="AY144" s="1187"/>
      <c r="AZ144" s="1187"/>
      <c r="BA144" s="1187"/>
      <c r="BB144" s="1187"/>
      <c r="BC144" s="1187"/>
      <c r="BD144" s="1187"/>
      <c r="BE144" s="1187"/>
      <c r="BF144" s="1187"/>
      <c r="BG144" s="1187"/>
      <c r="BH144" s="1187"/>
      <c r="BI144" s="1187"/>
      <c r="BJ144" s="1187"/>
      <c r="BK144" s="1187"/>
      <c r="BL144" s="1187"/>
      <c r="BM144" s="1187"/>
      <c r="CA144" s="2235" t="str">
        <f>IF(C144&gt;=D144,"","* Los exámenes Reactivos de Hepatitis B NO DEBEN ser mayor a los exámenes Procesados. ")</f>
        <v/>
      </c>
      <c r="CB144" s="2235" t="str">
        <f>IF(F144&gt;=G144,"","* Los exámenes Reactivos de Hepatitis C NO DEBEN ser mayor a los exámenes Procesados. ")</f>
        <v/>
      </c>
      <c r="CC144" s="2235" t="str">
        <f>IF(I144&gt;=J144,"","* Los exámenes Reactivos de CHAGAS NO DEBEN ser mayor a los exámenes Procesados. ")</f>
        <v/>
      </c>
      <c r="CD144" s="2235" t="str">
        <f>IF(L144&gt;=M144,"","* Los exámenes Reactivos de HTLV1 NO DEBEN ser mayor a los exámenes Procesados. ")</f>
        <v/>
      </c>
      <c r="CE144" s="2235" t="str">
        <f>IF(O144&gt;=P144,"","* Los exámenes Reactivos de SIFILIS NO DEBEN ser mayor a los exámenes Procesados. ")</f>
        <v/>
      </c>
      <c r="DA144" s="1468">
        <f>IF(C144&gt;=D144,0,1)</f>
        <v>0</v>
      </c>
      <c r="DB144" s="1468">
        <f>IF(F144&gt;=G144,0,1)</f>
        <v>0</v>
      </c>
      <c r="DC144" s="1468">
        <f>IF(I144&gt;=J144,0,1)</f>
        <v>0</v>
      </c>
      <c r="DD144" s="1468">
        <f>IF(L144&gt;=M144,0,1)</f>
        <v>0</v>
      </c>
      <c r="DE144" s="1468">
        <f>IF(O144&gt;=P144,0,1)</f>
        <v>0</v>
      </c>
      <c r="DF144" s="1468"/>
    </row>
    <row r="145" spans="1:130" ht="19.5" customHeight="1" x14ac:dyDescent="0.25">
      <c r="A145" s="9546"/>
      <c r="B145" s="1147" t="s">
        <v>1813</v>
      </c>
      <c r="C145" s="906"/>
      <c r="D145" s="78"/>
      <c r="E145" s="143"/>
      <c r="F145" s="906"/>
      <c r="G145" s="78"/>
      <c r="H145" s="143"/>
      <c r="I145" s="906"/>
      <c r="J145" s="78"/>
      <c r="K145" s="143"/>
      <c r="L145" s="906"/>
      <c r="M145" s="78"/>
      <c r="N145" s="143"/>
      <c r="O145" s="906"/>
      <c r="P145" s="130"/>
      <c r="Q145" s="1529" t="str">
        <f>CA145&amp;CB145&amp;CC145&amp;CD145&amp;CE145</f>
        <v/>
      </c>
      <c r="R145" s="1193"/>
      <c r="S145" s="1193"/>
      <c r="T145" s="1193"/>
      <c r="U145" s="1193"/>
      <c r="V145" s="1193"/>
      <c r="W145" s="1193"/>
      <c r="X145" s="1193"/>
      <c r="Y145" s="1193"/>
      <c r="Z145" s="1193"/>
      <c r="AA145" s="1193"/>
      <c r="AB145" s="1193"/>
      <c r="AC145" s="1187"/>
      <c r="AD145" s="1187"/>
      <c r="AX145" s="1187"/>
      <c r="AY145" s="1187"/>
      <c r="AZ145" s="1187"/>
      <c r="BA145" s="1187"/>
      <c r="BB145" s="1187"/>
      <c r="BC145" s="1187"/>
      <c r="BD145" s="1187"/>
      <c r="BE145" s="1187"/>
      <c r="BF145" s="1187"/>
      <c r="BG145" s="1187"/>
      <c r="BH145" s="1187"/>
      <c r="BI145" s="1187"/>
      <c r="BJ145" s="1187"/>
      <c r="BK145" s="1187"/>
      <c r="BL145" s="1187"/>
      <c r="BM145" s="1187"/>
      <c r="CA145" s="2235" t="str">
        <f>IF(C145&gt;=D145,"","* Los exámenes Reactivos de Hepatitis B NO DEBEN ser mayor a los exámenes Procesados. ")</f>
        <v/>
      </c>
      <c r="CB145" s="2235" t="str">
        <f>IF(F145&gt;=G145,"","* Los exámenes Reactivos de Hepatitis C NO DEBEN ser mayor a los exámenes Procesados. ")</f>
        <v/>
      </c>
      <c r="CC145" s="2235" t="str">
        <f>IF(I145&gt;=J145,"","* Los exámenes Reactivos de CHAGAS NO DEBEN ser mayor a los exámenes Procesados. ")</f>
        <v/>
      </c>
      <c r="CD145" s="2235" t="str">
        <f>IF(L145&gt;=M145,"","* Los exámenes Reactivos de HTLV1 NO DEBEN ser mayor a los exámenes Procesados. ")</f>
        <v/>
      </c>
      <c r="CE145" s="2235" t="str">
        <f>IF(O145&gt;=P145,"","* Los exámenes Reactivos de SIFILIS NO DEBEN ser mayor a los exámenes Procesados. ")</f>
        <v/>
      </c>
      <c r="DA145" s="1468">
        <f>IF(C145&gt;=D145,0,1)</f>
        <v>0</v>
      </c>
      <c r="DB145" s="1468">
        <f>IF(F145&gt;=G145,0,1)</f>
        <v>0</v>
      </c>
      <c r="DC145" s="1468">
        <f>IF(I145&gt;=J145,0,1)</f>
        <v>0</v>
      </c>
      <c r="DD145" s="1468">
        <f>IF(L145&gt;=M145,0,1)</f>
        <v>0</v>
      </c>
      <c r="DE145" s="1468">
        <f>IF(O145&gt;=P145,0,1)</f>
        <v>0</v>
      </c>
      <c r="DF145" s="1468"/>
    </row>
    <row r="146" spans="1:130" ht="15.75" customHeight="1" x14ac:dyDescent="0.25">
      <c r="A146" s="8389"/>
      <c r="B146" s="1148" t="s">
        <v>1814</v>
      </c>
      <c r="C146" s="1114"/>
      <c r="D146" s="753"/>
      <c r="E146" s="1149"/>
      <c r="F146" s="1114"/>
      <c r="G146" s="753"/>
      <c r="H146" s="1149"/>
      <c r="I146" s="1114"/>
      <c r="J146" s="753"/>
      <c r="K146" s="1149"/>
      <c r="L146" s="1114"/>
      <c r="M146" s="753"/>
      <c r="N146" s="1149"/>
      <c r="O146" s="1114"/>
      <c r="P146" s="1115"/>
      <c r="Q146" s="1529" t="str">
        <f>CA146&amp;CB146&amp;CC146&amp;CD146&amp;CE146</f>
        <v/>
      </c>
      <c r="R146" s="1193"/>
      <c r="S146" s="1193"/>
      <c r="T146" s="1193"/>
      <c r="U146" s="1193"/>
      <c r="V146" s="1193"/>
      <c r="W146" s="1193"/>
      <c r="X146" s="1193"/>
      <c r="Y146" s="1193"/>
      <c r="Z146" s="1193"/>
      <c r="AA146" s="1193"/>
      <c r="AB146" s="1193"/>
      <c r="AC146" s="1187"/>
      <c r="AD146" s="1187"/>
      <c r="AX146" s="1187"/>
      <c r="AY146" s="1187"/>
      <c r="AZ146" s="1187"/>
      <c r="BA146" s="1187"/>
      <c r="BB146" s="1187"/>
      <c r="BC146" s="1187"/>
      <c r="BD146" s="1187"/>
      <c r="BE146" s="1187"/>
      <c r="BF146" s="1187"/>
      <c r="BG146" s="1187"/>
      <c r="BH146" s="1187"/>
      <c r="BI146" s="1187"/>
      <c r="BJ146" s="1187"/>
      <c r="BK146" s="1187"/>
      <c r="BL146" s="1187"/>
      <c r="BM146" s="1187"/>
      <c r="CA146" s="2235" t="str">
        <f>IF(C146&gt;=D146,"","* Los exámenes Reactivos de Hepatitis B NO DEBEN ser mayor a los exámenes Procesados. ")</f>
        <v/>
      </c>
      <c r="CB146" s="2235" t="str">
        <f>IF(F146&gt;=G146,"","* Los exámenes Reactivos de Hepatitis C NO DEBEN ser mayor a los exámenes Procesados. ")</f>
        <v/>
      </c>
      <c r="CC146" s="2235" t="str">
        <f>IF(I146&gt;=J146,"","* Los exámenes Reactivos de CHAGAS NO DEBEN ser mayor a los exámenes Procesados. ")</f>
        <v/>
      </c>
      <c r="CD146" s="2235" t="str">
        <f>IF(L146&gt;=M146,"","* Los exámenes Reactivos de HTLV1 NO DEBEN ser mayor a los exámenes Procesados. ")</f>
        <v/>
      </c>
      <c r="CE146" s="2235" t="str">
        <f>IF(O146&gt;=P146,"","* Los exámenes Reactivos de SIFILIS NO DEBEN ser mayor a los exámenes Procesados. ")</f>
        <v/>
      </c>
      <c r="DA146" s="1468">
        <f>IF(C146&gt;=D146,0,1)</f>
        <v>0</v>
      </c>
      <c r="DB146" s="1468">
        <f>IF(F146&gt;=G146,0,1)</f>
        <v>0</v>
      </c>
      <c r="DC146" s="1468">
        <f>IF(I146&gt;=J146,0,1)</f>
        <v>0</v>
      </c>
      <c r="DD146" s="1468">
        <f>IF(L146&gt;=M146,0,1)</f>
        <v>0</v>
      </c>
      <c r="DE146" s="1468">
        <f>IF(O146&gt;=P146,0,1)</f>
        <v>0</v>
      </c>
      <c r="DF146" s="1468"/>
    </row>
    <row r="147" spans="1:130" ht="15" customHeight="1" x14ac:dyDescent="0.25">
      <c r="A147" s="9547" t="s">
        <v>1796</v>
      </c>
      <c r="B147" s="9548"/>
      <c r="C147" s="1114"/>
      <c r="D147" s="753"/>
      <c r="E147" s="1149"/>
      <c r="F147" s="1114"/>
      <c r="G147" s="753"/>
      <c r="H147" s="1149"/>
      <c r="I147" s="1114"/>
      <c r="J147" s="753"/>
      <c r="K147" s="1149"/>
      <c r="L147" s="1114"/>
      <c r="M147" s="753"/>
      <c r="N147" s="1149"/>
      <c r="O147" s="1114"/>
      <c r="P147" s="1115"/>
      <c r="Q147" s="1529" t="str">
        <f>CA147&amp;CB147&amp;CC147&amp;CD147&amp;CE147</f>
        <v/>
      </c>
      <c r="R147" s="1193"/>
      <c r="S147" s="1193"/>
      <c r="T147" s="1193"/>
      <c r="U147" s="1193"/>
      <c r="V147" s="1193"/>
      <c r="W147" s="1193"/>
      <c r="X147" s="1193"/>
      <c r="Y147" s="1193"/>
      <c r="Z147" s="1193"/>
      <c r="AA147" s="1193"/>
      <c r="AB147" s="1193"/>
      <c r="AC147" s="1187"/>
      <c r="AD147" s="1187"/>
      <c r="AX147" s="1187"/>
      <c r="AY147" s="1187"/>
      <c r="AZ147" s="1187"/>
      <c r="BA147" s="1187"/>
      <c r="BB147" s="1187"/>
      <c r="BC147" s="1187"/>
      <c r="BD147" s="1187"/>
      <c r="BE147" s="1187"/>
      <c r="BF147" s="1187"/>
      <c r="BG147" s="1187"/>
      <c r="BH147" s="1187"/>
      <c r="BI147" s="1187"/>
      <c r="BJ147" s="1187"/>
      <c r="BK147" s="1187"/>
      <c r="BL147" s="1187"/>
      <c r="BM147" s="1187"/>
      <c r="CA147" s="2235" t="str">
        <f>IF(C147&gt;=D147,"","* Los exámenes Reactivos de Hepatitis B NO DEBEN ser mayor a los exámenes Procesados. ")</f>
        <v/>
      </c>
      <c r="CB147" s="2235" t="str">
        <f>IF(F147&gt;=G147,"","* Los exámenes Reactivos de Hepatitis C NO DEBEN ser mayor a los exámenes Procesados. ")</f>
        <v/>
      </c>
      <c r="CC147" s="2235" t="str">
        <f>IF(I147&gt;=J147,"","* Los exámenes Reactivos de CHAGAS NO DEBEN ser mayor a los exámenes Procesados. ")</f>
        <v/>
      </c>
      <c r="CD147" s="2235" t="str">
        <f>IF(L147&gt;=M147,"","* Los exámenes Reactivos de HTLV1 NO DEBEN ser mayor a los exámenes Procesados. ")</f>
        <v/>
      </c>
      <c r="CE147" s="2235" t="str">
        <f>IF(O147&gt;=P147,"","* Los exámenes Reactivos de SIFILIS NO DEBEN ser mayor a los exámenes Procesados. ")</f>
        <v/>
      </c>
      <c r="DA147" s="1468">
        <f>IF(C147&gt;=D147,0,1)</f>
        <v>0</v>
      </c>
      <c r="DB147" s="1468">
        <f>IF(F147&gt;=G147,0,1)</f>
        <v>0</v>
      </c>
      <c r="DC147" s="1468">
        <f>IF(I147&gt;=J147,0,1)</f>
        <v>0</v>
      </c>
      <c r="DD147" s="1468">
        <f>IF(L147&gt;=M147,0,1)</f>
        <v>0</v>
      </c>
      <c r="DE147" s="1468">
        <f>IF(O147&gt;=P147,0,1)</f>
        <v>0</v>
      </c>
      <c r="DF147" s="1468"/>
    </row>
    <row r="148" spans="1:130" ht="31.9" customHeight="1" x14ac:dyDescent="0.25">
      <c r="A148" s="8456" t="s">
        <v>1815</v>
      </c>
      <c r="B148" s="8456"/>
      <c r="C148" s="8456"/>
      <c r="D148" s="8456"/>
      <c r="E148" s="8456"/>
      <c r="F148" s="8456"/>
      <c r="G148" s="8456"/>
      <c r="H148" s="8456"/>
      <c r="I148" s="8456"/>
      <c r="J148" s="8456"/>
      <c r="K148" s="8456"/>
      <c r="L148" s="8456"/>
      <c r="M148" s="8456"/>
      <c r="N148" s="8456"/>
      <c r="O148" s="8456"/>
      <c r="P148" s="8456"/>
      <c r="Q148" s="8456"/>
      <c r="R148" s="8456"/>
      <c r="AX148" s="1187"/>
      <c r="AY148" s="1187"/>
      <c r="AZ148" s="1187"/>
      <c r="BA148" s="1187"/>
      <c r="BB148" s="1187"/>
      <c r="BC148" s="1187"/>
      <c r="BD148" s="1187"/>
      <c r="BE148" s="1187"/>
      <c r="BF148" s="1187"/>
      <c r="BG148" s="1187"/>
      <c r="BH148" s="1187"/>
      <c r="BI148" s="1187"/>
      <c r="BJ148" s="1187"/>
      <c r="BK148" s="1187"/>
      <c r="BL148" s="1187"/>
      <c r="BM148" s="1187"/>
      <c r="CA148" s="2235"/>
      <c r="CB148" s="2235"/>
      <c r="CC148" s="2235"/>
      <c r="CD148" s="2235"/>
      <c r="CE148" s="2235"/>
      <c r="DA148" s="1468"/>
      <c r="DB148" s="1468"/>
      <c r="DC148" s="1468"/>
      <c r="DD148" s="1468"/>
      <c r="DE148" s="1468"/>
      <c r="DF148" s="1468"/>
    </row>
    <row r="149" spans="1:130" ht="16.149999999999999" customHeight="1" x14ac:dyDescent="0.25">
      <c r="A149" s="9534" t="s">
        <v>1804</v>
      </c>
      <c r="B149" s="9536"/>
      <c r="C149" s="8215" t="s">
        <v>1805</v>
      </c>
      <c r="D149" s="8216"/>
      <c r="E149" s="8217"/>
      <c r="F149" s="9542" t="s">
        <v>1806</v>
      </c>
      <c r="G149" s="9542"/>
      <c r="H149" s="9542"/>
      <c r="I149" s="9542" t="s">
        <v>1807</v>
      </c>
      <c r="J149" s="9542"/>
      <c r="K149" s="9542"/>
      <c r="L149" s="9542" t="s">
        <v>1808</v>
      </c>
      <c r="M149" s="9542"/>
      <c r="N149" s="9542"/>
      <c r="O149" s="8215" t="s">
        <v>732</v>
      </c>
      <c r="P149" s="8217"/>
      <c r="Q149" s="140"/>
      <c r="CA149" s="2235"/>
      <c r="CB149" s="2235"/>
      <c r="CC149" s="2235"/>
      <c r="CD149" s="2235"/>
      <c r="CE149" s="2235"/>
      <c r="DA149" s="1468"/>
      <c r="DB149" s="1468"/>
      <c r="DC149" s="1468"/>
      <c r="DD149" s="1468"/>
      <c r="DE149" s="1468"/>
      <c r="DF149" s="1468"/>
    </row>
    <row r="150" spans="1:130" ht="16.149999999999999" customHeight="1" x14ac:dyDescent="0.25">
      <c r="A150" s="9535"/>
      <c r="B150" s="8152"/>
      <c r="C150" s="1119" t="s">
        <v>1780</v>
      </c>
      <c r="D150" s="910" t="s">
        <v>1781</v>
      </c>
      <c r="E150" s="1143" t="s">
        <v>1809</v>
      </c>
      <c r="F150" s="1119" t="s">
        <v>1780</v>
      </c>
      <c r="G150" s="910" t="s">
        <v>1781</v>
      </c>
      <c r="H150" s="1143" t="s">
        <v>1809</v>
      </c>
      <c r="I150" s="1119" t="s">
        <v>1780</v>
      </c>
      <c r="J150" s="910" t="s">
        <v>1781</v>
      </c>
      <c r="K150" s="1143" t="s">
        <v>1809</v>
      </c>
      <c r="L150" s="1119" t="s">
        <v>1780</v>
      </c>
      <c r="M150" s="910" t="s">
        <v>1781</v>
      </c>
      <c r="N150" s="1143" t="s">
        <v>1809</v>
      </c>
      <c r="O150" s="1119" t="s">
        <v>1780</v>
      </c>
      <c r="P150" s="935" t="s">
        <v>1781</v>
      </c>
      <c r="Q150" s="140"/>
      <c r="CA150" s="2235"/>
      <c r="CB150" s="2235"/>
      <c r="CC150" s="2235"/>
      <c r="CD150" s="2235"/>
      <c r="CE150" s="2235"/>
      <c r="DA150" s="1468"/>
      <c r="DB150" s="1468"/>
      <c r="DC150" s="1468"/>
      <c r="DD150" s="1468"/>
      <c r="DE150" s="1468"/>
      <c r="DF150" s="1468"/>
    </row>
    <row r="151" spans="1:130" ht="18.75" customHeight="1" x14ac:dyDescent="0.25">
      <c r="A151" s="9543" t="s">
        <v>1810</v>
      </c>
      <c r="B151" s="9544"/>
      <c r="C151" s="1144"/>
      <c r="D151" s="951"/>
      <c r="E151" s="1145"/>
      <c r="F151" s="1144"/>
      <c r="G151" s="951"/>
      <c r="H151" s="1145"/>
      <c r="I151" s="1144"/>
      <c r="J151" s="951"/>
      <c r="K151" s="1145"/>
      <c r="L151" s="1144"/>
      <c r="M151" s="951"/>
      <c r="N151" s="1145"/>
      <c r="O151" s="1144"/>
      <c r="P151" s="947"/>
      <c r="Q151" s="1529" t="str">
        <f>CA151&amp;CB151&amp;CC151&amp;CD151&amp;CE151</f>
        <v/>
      </c>
      <c r="R151" s="1193"/>
      <c r="S151" s="1193"/>
      <c r="T151" s="1193"/>
      <c r="U151" s="1193"/>
      <c r="V151" s="1193"/>
      <c r="W151" s="1193"/>
      <c r="X151" s="1193"/>
      <c r="Y151" s="1193"/>
      <c r="Z151" s="1193"/>
      <c r="AA151" s="1193"/>
      <c r="AB151" s="1193"/>
      <c r="AC151" s="1187"/>
      <c r="AD151" s="1187"/>
      <c r="CA151" s="2235" t="str">
        <f>IF(C151&gt;=D151,"","* Los exámenes Reactivos de Hepatitis B NO DEBEN ser mayor a los exámenes Procesados. ")</f>
        <v/>
      </c>
      <c r="CB151" s="2235" t="str">
        <f>IF(F151&gt;=G151,"","* Los exámenes Reactivos de Hepatitis C NO DEBEN ser mayor a los exámenes Procesados. ")</f>
        <v/>
      </c>
      <c r="CC151" s="2235" t="str">
        <f>IF(I151&gt;=J151,"","* Los exámenes Reactivos de CHAGAS NO DEBEN ser mayor a los exámenes Procesados. ")</f>
        <v/>
      </c>
      <c r="CD151" s="2235" t="str">
        <f>IF(L151&gt;=M151,"","* Los exámenes Reactivos de HTLV1 NO DEBEN ser mayor a los exámenes Procesados. ")</f>
        <v/>
      </c>
      <c r="CE151" s="2235" t="str">
        <f>IF(O151&gt;=P151,"","* Los exámenes Reactivos de SIFILIS NO DEBEN ser mayor a los exámenes Procesados. ")</f>
        <v/>
      </c>
      <c r="DA151" s="1468">
        <f>IF(C151&gt;=D151,0,1)</f>
        <v>0</v>
      </c>
      <c r="DB151" s="1468">
        <f>IF(F151&gt;=G151,0,1)</f>
        <v>0</v>
      </c>
      <c r="DC151" s="1468">
        <f>IF(I151&gt;=J151,0,1)</f>
        <v>0</v>
      </c>
      <c r="DD151" s="1468">
        <f>IF(L151&gt;=M151,0,1)</f>
        <v>0</v>
      </c>
      <c r="DE151" s="1468">
        <f>IF(O151&gt;=P151,0,1)</f>
        <v>0</v>
      </c>
      <c r="DF151" s="1468"/>
    </row>
    <row r="152" spans="1:130" ht="17.25" customHeight="1" x14ac:dyDescent="0.25">
      <c r="A152" s="9545" t="s">
        <v>1811</v>
      </c>
      <c r="B152" s="1150" t="s">
        <v>1812</v>
      </c>
      <c r="C152" s="691"/>
      <c r="D152" s="709"/>
      <c r="E152" s="1146"/>
      <c r="F152" s="691"/>
      <c r="G152" s="709"/>
      <c r="H152" s="1146"/>
      <c r="I152" s="691"/>
      <c r="J152" s="709"/>
      <c r="K152" s="1146"/>
      <c r="L152" s="691"/>
      <c r="M152" s="709"/>
      <c r="N152" s="1146"/>
      <c r="O152" s="691"/>
      <c r="P152" s="698"/>
      <c r="Q152" s="1529" t="str">
        <f>CA152&amp;CB152&amp;CC152&amp;CD152&amp;CE152</f>
        <v/>
      </c>
      <c r="R152" s="1193"/>
      <c r="S152" s="1193"/>
      <c r="T152" s="1193"/>
      <c r="U152" s="1193"/>
      <c r="V152" s="1193"/>
      <c r="W152" s="1193"/>
      <c r="X152" s="1193"/>
      <c r="Y152" s="1193"/>
      <c r="Z152" s="1193"/>
      <c r="AA152" s="1193"/>
      <c r="AB152" s="1193"/>
      <c r="AC152" s="1187"/>
      <c r="AD152" s="1187"/>
      <c r="CA152" s="2235" t="str">
        <f>IF(C152&gt;=D152,"","* Los exámenes Reactivos de Hepatitis B NO DEBEN ser mayor a los exámenes Procesados. ")</f>
        <v/>
      </c>
      <c r="CB152" s="2235" t="str">
        <f>IF(F152&gt;=G152,"","* Los exámenes Reactivos de Hepatitis C NO DEBEN ser mayor a los exámenes Procesados. ")</f>
        <v/>
      </c>
      <c r="CC152" s="2235" t="str">
        <f>IF(I152&gt;=J152,"","* Los exámenes Reactivos de CHAGAS NO DEBEN ser mayor a los exámenes Procesados. ")</f>
        <v/>
      </c>
      <c r="CD152" s="2235" t="str">
        <f>IF(L152&gt;=M152,"","* Los exámenes Reactivos de HTLV1 NO DEBEN ser mayor a los exámenes Procesados. ")</f>
        <v/>
      </c>
      <c r="CE152" s="2235" t="str">
        <f>IF(O152&gt;=P152,"","* Los exámenes Reactivos de SIFILIS NO DEBEN ser mayor a los exámenes Procesados. ")</f>
        <v/>
      </c>
      <c r="DA152" s="1468">
        <f>IF(C152&gt;=D152,0,1)</f>
        <v>0</v>
      </c>
      <c r="DB152" s="1468">
        <f>IF(F152&gt;=G152,0,1)</f>
        <v>0</v>
      </c>
      <c r="DC152" s="1468">
        <f>IF(I152&gt;=J152,0,1)</f>
        <v>0</v>
      </c>
      <c r="DD152" s="1468">
        <f>IF(L152&gt;=M152,0,1)</f>
        <v>0</v>
      </c>
      <c r="DE152" s="1468">
        <f>IF(O152&gt;=P152,0,1)</f>
        <v>0</v>
      </c>
      <c r="DF152" s="1468"/>
    </row>
    <row r="153" spans="1:130" ht="17.25" customHeight="1" x14ac:dyDescent="0.25">
      <c r="A153" s="9546"/>
      <c r="B153" s="1151" t="s">
        <v>1813</v>
      </c>
      <c r="C153" s="906"/>
      <c r="D153" s="78"/>
      <c r="E153" s="143"/>
      <c r="F153" s="906"/>
      <c r="G153" s="78"/>
      <c r="H153" s="143"/>
      <c r="I153" s="906"/>
      <c r="J153" s="78"/>
      <c r="K153" s="143"/>
      <c r="L153" s="906"/>
      <c r="M153" s="78"/>
      <c r="N153" s="143"/>
      <c r="O153" s="906"/>
      <c r="P153" s="130"/>
      <c r="Q153" s="1529" t="str">
        <f>CA153&amp;CB153&amp;CC153&amp;CD153&amp;CE153</f>
        <v/>
      </c>
      <c r="R153" s="1193"/>
      <c r="S153" s="1193"/>
      <c r="T153" s="1193"/>
      <c r="U153" s="1193"/>
      <c r="V153" s="1193"/>
      <c r="W153" s="1193"/>
      <c r="X153" s="1193"/>
      <c r="Y153" s="1193"/>
      <c r="Z153" s="1193"/>
      <c r="AA153" s="1193"/>
      <c r="AB153" s="1193"/>
      <c r="AC153" s="1187"/>
      <c r="AD153" s="1187"/>
      <c r="CA153" s="2235" t="str">
        <f>IF(C153&gt;=D153,"","* Los exámenes Reactivos de Hepatitis B NO DEBEN ser mayor a los exámenes Procesados. ")</f>
        <v/>
      </c>
      <c r="CB153" s="2235" t="str">
        <f>IF(F153&gt;=G153,"","* Los exámenes Reactivos de Hepatitis C NO DEBEN ser mayor a los exámenes Procesados. ")</f>
        <v/>
      </c>
      <c r="CC153" s="2235" t="str">
        <f>IF(I153&gt;=J153,"","* Los exámenes Reactivos de CHAGAS NO DEBEN ser mayor a los exámenes Procesados. ")</f>
        <v/>
      </c>
      <c r="CD153" s="2235" t="str">
        <f>IF(L153&gt;=M153,"","* Los exámenes Reactivos de HTLV1 NO DEBEN ser mayor a los exámenes Procesados. ")</f>
        <v/>
      </c>
      <c r="CE153" s="2235" t="str">
        <f>IF(O153&gt;=P153,"","* Los exámenes Reactivos de SIFILIS NO DEBEN ser mayor a los exámenes Procesados. ")</f>
        <v/>
      </c>
      <c r="DA153" s="1468">
        <f>IF(C153&gt;=D153,0,1)</f>
        <v>0</v>
      </c>
      <c r="DB153" s="1468">
        <f>IF(F153&gt;=G153,0,1)</f>
        <v>0</v>
      </c>
      <c r="DC153" s="1468">
        <f>IF(I153&gt;=J153,0,1)</f>
        <v>0</v>
      </c>
      <c r="DD153" s="1468">
        <f>IF(L153&gt;=M153,0,1)</f>
        <v>0</v>
      </c>
      <c r="DE153" s="1468">
        <f>IF(O153&gt;=P153,0,1)</f>
        <v>0</v>
      </c>
      <c r="DF153" s="1468"/>
    </row>
    <row r="154" spans="1:130" ht="17.25" customHeight="1" x14ac:dyDescent="0.25">
      <c r="A154" s="8389"/>
      <c r="B154" s="318" t="s">
        <v>1814</v>
      </c>
      <c r="C154" s="1114"/>
      <c r="D154" s="753"/>
      <c r="E154" s="1149"/>
      <c r="F154" s="1114"/>
      <c r="G154" s="753"/>
      <c r="H154" s="1149"/>
      <c r="I154" s="1114"/>
      <c r="J154" s="753"/>
      <c r="K154" s="1149"/>
      <c r="L154" s="1114"/>
      <c r="M154" s="753"/>
      <c r="N154" s="1149"/>
      <c r="O154" s="1114"/>
      <c r="P154" s="1115"/>
      <c r="Q154" s="1529" t="str">
        <f>CA154&amp;CB154&amp;CC154&amp;CD154&amp;CE154</f>
        <v/>
      </c>
      <c r="R154" s="1193"/>
      <c r="S154" s="1193"/>
      <c r="T154" s="1193"/>
      <c r="U154" s="1193"/>
      <c r="V154" s="1193"/>
      <c r="W154" s="1193"/>
      <c r="X154" s="1193"/>
      <c r="Y154" s="1193"/>
      <c r="Z154" s="1193"/>
      <c r="AA154" s="1193"/>
      <c r="AB154" s="1193"/>
      <c r="AC154" s="1187"/>
      <c r="AD154" s="1187"/>
      <c r="CA154" s="2235" t="str">
        <f>IF(C154&gt;=D154,"","* Los exámenes Reactivos de Hepatitis B NO DEBEN ser mayor a los exámenes Procesados. ")</f>
        <v/>
      </c>
      <c r="CB154" s="2235" t="str">
        <f>IF(F154&gt;=G154,"","* Los exámenes Reactivos de Hepatitis C NO DEBEN ser mayor a los exámenes Procesados. ")</f>
        <v/>
      </c>
      <c r="CC154" s="2235" t="str">
        <f>IF(I154&gt;=J154,"","* Los exámenes Reactivos de CHAGAS NO DEBEN ser mayor a los exámenes Procesados. ")</f>
        <v/>
      </c>
      <c r="CD154" s="2235" t="str">
        <f>IF(L154&gt;=M154,"","* Los exámenes Reactivos de HTLV1 NO DEBEN ser mayor a los exámenes Procesados. ")</f>
        <v/>
      </c>
      <c r="CE154" s="2235" t="str">
        <f>IF(O154&gt;=P154,"","* Los exámenes Reactivos de SIFILIS NO DEBEN ser mayor a los exámenes Procesados. ")</f>
        <v/>
      </c>
      <c r="DA154" s="1468">
        <f>IF(C154&gt;=D154,0,1)</f>
        <v>0</v>
      </c>
      <c r="DB154" s="1468">
        <f>IF(F154&gt;=G154,0,1)</f>
        <v>0</v>
      </c>
      <c r="DC154" s="1468">
        <f>IF(I154&gt;=J154,0,1)</f>
        <v>0</v>
      </c>
      <c r="DD154" s="1468">
        <f>IF(L154&gt;=M154,0,1)</f>
        <v>0</v>
      </c>
      <c r="DE154" s="1468">
        <f>IF(O154&gt;=P154,0,1)</f>
        <v>0</v>
      </c>
      <c r="DF154" s="1468"/>
    </row>
    <row r="155" spans="1:130" ht="21" customHeight="1" x14ac:dyDescent="0.25">
      <c r="A155" s="9547" t="s">
        <v>1816</v>
      </c>
      <c r="B155" s="9548"/>
      <c r="C155" s="1114"/>
      <c r="D155" s="753"/>
      <c r="E155" s="1149"/>
      <c r="F155" s="1114"/>
      <c r="G155" s="753"/>
      <c r="H155" s="1149"/>
      <c r="I155" s="1114"/>
      <c r="J155" s="753"/>
      <c r="K155" s="1149"/>
      <c r="L155" s="1114"/>
      <c r="M155" s="753"/>
      <c r="N155" s="1149"/>
      <c r="O155" s="1114"/>
      <c r="P155" s="1115"/>
      <c r="Q155" s="1529" t="str">
        <f>CA155&amp;CB155&amp;CC155&amp;CD155&amp;CE155</f>
        <v/>
      </c>
      <c r="R155" s="1193"/>
      <c r="S155" s="1193"/>
      <c r="T155" s="1193"/>
      <c r="U155" s="1193"/>
      <c r="V155" s="1193"/>
      <c r="W155" s="1193"/>
      <c r="X155" s="1193"/>
      <c r="Y155" s="1193"/>
      <c r="Z155" s="1193"/>
      <c r="AA155" s="1193"/>
      <c r="AB155" s="1193"/>
      <c r="AC155" s="1187"/>
      <c r="AD155" s="1187"/>
      <c r="CA155" s="2235" t="str">
        <f>IF(C155&gt;=D155,"","* Los exámenes Reactivos de Hepatitis B NO DEBEN ser mayor a los exámenes Procesados. ")</f>
        <v/>
      </c>
      <c r="CB155" s="2235" t="str">
        <f>IF(F155&gt;=G155,"","* Los exámenes Reactivos de Hepatitis C NO DEBEN ser mayor a los exámenes Procesados. ")</f>
        <v/>
      </c>
      <c r="CC155" s="2235" t="str">
        <f>IF(I155&gt;=J155,"","* Los exámenes Reactivos de CHAGAS NO DEBEN ser mayor a los exámenes Procesados. ")</f>
        <v/>
      </c>
      <c r="CD155" s="2235" t="str">
        <f>IF(L155&gt;=M155,"","* Los exámenes Reactivos de HTLV1 NO DEBEN ser mayor a los exámenes Procesados. ")</f>
        <v/>
      </c>
      <c r="CE155" s="2235" t="str">
        <f>IF(O155&gt;=P155,"","* Los exámenes Reactivos de SIFILIS NO DEBEN ser mayor a los exámenes Procesados. ")</f>
        <v/>
      </c>
      <c r="DA155" s="1468">
        <f>IF(C155&gt;=D155,0,1)</f>
        <v>0</v>
      </c>
      <c r="DB155" s="1468">
        <f>IF(F155&gt;=G155,0,1)</f>
        <v>0</v>
      </c>
      <c r="DC155" s="1468">
        <f>IF(I155&gt;=J155,0,1)</f>
        <v>0</v>
      </c>
      <c r="DD155" s="1468">
        <f>IF(L155&gt;=M155,0,1)</f>
        <v>0</v>
      </c>
      <c r="DE155" s="1468">
        <f>IF(O155&gt;=P155,0,1)</f>
        <v>0</v>
      </c>
      <c r="DF155" s="1468"/>
    </row>
    <row r="156" spans="1:130" ht="31.9" customHeight="1" x14ac:dyDescent="0.25">
      <c r="A156" s="9541" t="s">
        <v>1817</v>
      </c>
      <c r="B156" s="9541"/>
      <c r="C156" s="9541"/>
      <c r="D156" s="9541"/>
      <c r="E156" s="9541"/>
      <c r="F156" s="9541"/>
      <c r="G156" s="9541"/>
      <c r="H156" s="9541"/>
      <c r="I156" s="9541"/>
      <c r="J156" s="9541"/>
      <c r="K156" s="9541"/>
      <c r="L156" s="9541"/>
      <c r="M156" s="9541"/>
      <c r="N156" s="9541"/>
      <c r="O156" s="9541"/>
      <c r="P156" s="9541"/>
      <c r="Q156" s="8456"/>
      <c r="R156" s="140"/>
      <c r="S156" s="140"/>
      <c r="T156" s="140"/>
      <c r="U156" s="140"/>
      <c r="V156" s="140"/>
      <c r="W156" s="140"/>
      <c r="X156" s="140"/>
      <c r="Y156" s="140"/>
      <c r="Z156" s="140"/>
      <c r="AA156" s="140"/>
      <c r="AB156" s="140"/>
      <c r="AC156" s="140"/>
      <c r="AD156" s="140"/>
      <c r="AE156" s="140"/>
      <c r="AF156" s="140"/>
      <c r="AG156" s="140"/>
      <c r="AH156" s="140"/>
      <c r="AI156" s="140"/>
      <c r="AJ156" s="140"/>
      <c r="AS156" s="1187"/>
      <c r="AT156" s="1152"/>
      <c r="AU156" s="1152"/>
      <c r="AV156" s="1152"/>
      <c r="AW156" s="1152"/>
      <c r="AX156" s="1152"/>
      <c r="AY156" s="1152"/>
      <c r="AZ156" s="1187"/>
      <c r="BA156" s="1187"/>
      <c r="BB156" s="1187"/>
      <c r="BC156" s="1187"/>
      <c r="BD156" s="1187"/>
      <c r="BE156" s="1187"/>
      <c r="BF156" s="1187"/>
      <c r="BG156" s="1187"/>
      <c r="BH156" s="1187"/>
      <c r="BI156" s="1187"/>
      <c r="BJ156" s="1187"/>
      <c r="BK156" s="1187"/>
      <c r="BL156" s="1187"/>
      <c r="BM156" s="1187"/>
      <c r="BN156" s="1187"/>
      <c r="BO156" s="1187"/>
    </row>
    <row r="157" spans="1:130" ht="31.9" customHeight="1" x14ac:dyDescent="0.25">
      <c r="A157" s="8167" t="s">
        <v>1804</v>
      </c>
      <c r="B157" s="9536"/>
      <c r="C157" s="9194" t="s">
        <v>24</v>
      </c>
      <c r="D157" s="9524"/>
      <c r="E157" s="8215" t="s">
        <v>538</v>
      </c>
      <c r="F157" s="8216"/>
      <c r="G157" s="8216"/>
      <c r="H157" s="8216"/>
      <c r="I157" s="8216"/>
      <c r="J157" s="8216"/>
      <c r="K157" s="8216"/>
      <c r="L157" s="8216"/>
      <c r="M157" s="8216"/>
      <c r="N157" s="8216"/>
      <c r="O157" s="8216"/>
      <c r="P157" s="8216"/>
      <c r="Q157" s="8216"/>
      <c r="R157" s="8216"/>
      <c r="S157" s="8216"/>
      <c r="T157" s="8216"/>
      <c r="U157" s="8216"/>
      <c r="V157" s="8216"/>
      <c r="W157" s="8216"/>
      <c r="X157" s="8216"/>
      <c r="Y157" s="8216"/>
      <c r="Z157" s="8216"/>
      <c r="AA157" s="8216"/>
      <c r="AB157" s="8216"/>
      <c r="AC157" s="8216"/>
      <c r="AD157" s="8216"/>
      <c r="AE157" s="8216"/>
      <c r="AF157" s="8216"/>
      <c r="AG157" s="8216"/>
      <c r="AH157" s="8216"/>
      <c r="AI157" s="8216"/>
      <c r="AJ157" s="9527"/>
      <c r="AK157" s="9551" t="s">
        <v>43</v>
      </c>
      <c r="AL157" s="9551"/>
      <c r="AM157" s="9551"/>
      <c r="AN157" s="9552"/>
      <c r="AO157" s="9553" t="s">
        <v>711</v>
      </c>
      <c r="AP157" s="9551"/>
      <c r="AQ157" s="9551"/>
      <c r="AR157" s="9552"/>
      <c r="AS157" s="9554" t="s">
        <v>1818</v>
      </c>
      <c r="AT157" s="9555"/>
      <c r="AU157" s="9554" t="s">
        <v>359</v>
      </c>
      <c r="AV157" s="9531"/>
      <c r="AW157" s="9534" t="s">
        <v>1269</v>
      </c>
      <c r="AX157" s="9536"/>
      <c r="AY157" s="1187"/>
      <c r="AZ157" s="1187"/>
      <c r="BA157" s="1187"/>
      <c r="BB157" s="1187"/>
      <c r="BC157" s="1187"/>
      <c r="BD157" s="1187"/>
      <c r="BE157" s="1187"/>
      <c r="BF157" s="1187"/>
      <c r="BG157" s="1187"/>
      <c r="BH157" s="1187"/>
      <c r="BI157" s="1187"/>
      <c r="BJ157" s="1187"/>
      <c r="BK157" s="1187"/>
      <c r="BR157" s="1187"/>
      <c r="BS157" s="1187"/>
      <c r="BT157" s="1187"/>
      <c r="BU157" s="1580"/>
    </row>
    <row r="158" spans="1:130" ht="16.149999999999999" customHeight="1" x14ac:dyDescent="0.25">
      <c r="A158" s="8130"/>
      <c r="B158" s="8151"/>
      <c r="C158" s="9525"/>
      <c r="D158" s="9526"/>
      <c r="E158" s="8218" t="s">
        <v>1819</v>
      </c>
      <c r="F158" s="9528"/>
      <c r="G158" s="8218" t="s">
        <v>720</v>
      </c>
      <c r="H158" s="9528"/>
      <c r="I158" s="8218" t="s">
        <v>1820</v>
      </c>
      <c r="J158" s="9528"/>
      <c r="K158" s="8215" t="s">
        <v>1413</v>
      </c>
      <c r="L158" s="8217"/>
      <c r="M158" s="8215" t="s">
        <v>32</v>
      </c>
      <c r="N158" s="8217"/>
      <c r="O158" s="9549" t="s">
        <v>33</v>
      </c>
      <c r="P158" s="9550"/>
      <c r="Q158" s="9549" t="s">
        <v>40</v>
      </c>
      <c r="R158" s="9550"/>
      <c r="S158" s="9549" t="s">
        <v>115</v>
      </c>
      <c r="T158" s="9550"/>
      <c r="U158" s="9549" t="s">
        <v>116</v>
      </c>
      <c r="V158" s="9550"/>
      <c r="W158" s="9549" t="s">
        <v>117</v>
      </c>
      <c r="X158" s="9550"/>
      <c r="Y158" s="9549" t="s">
        <v>118</v>
      </c>
      <c r="Z158" s="9550"/>
      <c r="AA158" s="9549" t="s">
        <v>119</v>
      </c>
      <c r="AB158" s="9550"/>
      <c r="AC158" s="9549" t="s">
        <v>120</v>
      </c>
      <c r="AD158" s="9550"/>
      <c r="AE158" s="9549" t="s">
        <v>1412</v>
      </c>
      <c r="AF158" s="9550"/>
      <c r="AG158" s="9549" t="s">
        <v>1404</v>
      </c>
      <c r="AH158" s="9550"/>
      <c r="AI158" s="9549" t="s">
        <v>1821</v>
      </c>
      <c r="AJ158" s="9570"/>
      <c r="AK158" s="9562" t="s">
        <v>17</v>
      </c>
      <c r="AL158" s="9563"/>
      <c r="AM158" s="9560" t="s">
        <v>18</v>
      </c>
      <c r="AN158" s="9561"/>
      <c r="AO158" s="9562" t="s">
        <v>357</v>
      </c>
      <c r="AP158" s="9563"/>
      <c r="AQ158" s="9564" t="s">
        <v>356</v>
      </c>
      <c r="AR158" s="9565"/>
      <c r="AS158" s="9556"/>
      <c r="AT158" s="9557"/>
      <c r="AU158" s="9558"/>
      <c r="AV158" s="9081"/>
      <c r="AW158" s="9559"/>
      <c r="AX158" s="8152"/>
      <c r="AY158" s="1187"/>
      <c r="AZ158" s="1187"/>
      <c r="BA158" s="1187"/>
      <c r="BB158" s="1187"/>
      <c r="BC158" s="1187"/>
      <c r="BD158" s="1187"/>
      <c r="BE158" s="1187"/>
      <c r="BF158" s="1187"/>
      <c r="BG158" s="1187"/>
      <c r="BH158" s="1187"/>
      <c r="BI158" s="1187"/>
      <c r="BJ158" s="1187"/>
      <c r="BQ158" s="1187"/>
      <c r="BR158" s="1187"/>
      <c r="BS158" s="1187"/>
      <c r="BT158" s="1580"/>
      <c r="BU158" s="1580"/>
    </row>
    <row r="159" spans="1:130" ht="32.25" customHeight="1" x14ac:dyDescent="0.25">
      <c r="A159" s="8467"/>
      <c r="B159" s="8152"/>
      <c r="C159" s="1119" t="s">
        <v>1780</v>
      </c>
      <c r="D159" s="910" t="s">
        <v>1822</v>
      </c>
      <c r="E159" s="1119" t="s">
        <v>1780</v>
      </c>
      <c r="F159" s="910" t="s">
        <v>1822</v>
      </c>
      <c r="G159" s="1119" t="s">
        <v>1780</v>
      </c>
      <c r="H159" s="910" t="s">
        <v>1822</v>
      </c>
      <c r="I159" s="1119" t="s">
        <v>1780</v>
      </c>
      <c r="J159" s="910" t="s">
        <v>1822</v>
      </c>
      <c r="K159" s="1119" t="s">
        <v>1780</v>
      </c>
      <c r="L159" s="910" t="s">
        <v>1822</v>
      </c>
      <c r="M159" s="1119" t="s">
        <v>1780</v>
      </c>
      <c r="N159" s="910" t="s">
        <v>1822</v>
      </c>
      <c r="O159" s="1119" t="s">
        <v>1780</v>
      </c>
      <c r="P159" s="910" t="s">
        <v>1822</v>
      </c>
      <c r="Q159" s="1119" t="s">
        <v>1780</v>
      </c>
      <c r="R159" s="910" t="s">
        <v>1822</v>
      </c>
      <c r="S159" s="1119" t="s">
        <v>1780</v>
      </c>
      <c r="T159" s="910" t="s">
        <v>1822</v>
      </c>
      <c r="U159" s="1119" t="s">
        <v>1780</v>
      </c>
      <c r="V159" s="910" t="s">
        <v>1822</v>
      </c>
      <c r="W159" s="1119" t="s">
        <v>1780</v>
      </c>
      <c r="X159" s="910" t="s">
        <v>1822</v>
      </c>
      <c r="Y159" s="1119" t="s">
        <v>1780</v>
      </c>
      <c r="Z159" s="910" t="s">
        <v>1822</v>
      </c>
      <c r="AA159" s="1119" t="s">
        <v>1780</v>
      </c>
      <c r="AB159" s="910" t="s">
        <v>1822</v>
      </c>
      <c r="AC159" s="1119" t="s">
        <v>1780</v>
      </c>
      <c r="AD159" s="910" t="s">
        <v>1822</v>
      </c>
      <c r="AE159" s="1119" t="s">
        <v>1780</v>
      </c>
      <c r="AF159" s="910" t="s">
        <v>1822</v>
      </c>
      <c r="AG159" s="1119" t="s">
        <v>1780</v>
      </c>
      <c r="AH159" s="910" t="s">
        <v>1822</v>
      </c>
      <c r="AI159" s="1119" t="s">
        <v>1780</v>
      </c>
      <c r="AJ159" s="1123" t="s">
        <v>1822</v>
      </c>
      <c r="AK159" s="1122" t="s">
        <v>1780</v>
      </c>
      <c r="AL159" s="910" t="s">
        <v>1822</v>
      </c>
      <c r="AM159" s="1119" t="s">
        <v>1780</v>
      </c>
      <c r="AN159" s="910" t="s">
        <v>1822</v>
      </c>
      <c r="AO159" s="2237" t="s">
        <v>1780</v>
      </c>
      <c r="AP159" s="910" t="s">
        <v>1822</v>
      </c>
      <c r="AQ159" s="1119" t="s">
        <v>1780</v>
      </c>
      <c r="AR159" s="910" t="s">
        <v>1822</v>
      </c>
      <c r="AS159" s="2237" t="s">
        <v>1780</v>
      </c>
      <c r="AT159" s="910" t="s">
        <v>1822</v>
      </c>
      <c r="AU159" s="2237" t="s">
        <v>1780</v>
      </c>
      <c r="AV159" s="935" t="s">
        <v>1822</v>
      </c>
      <c r="AW159" s="2237" t="s">
        <v>1780</v>
      </c>
      <c r="AX159" s="935" t="s">
        <v>1822</v>
      </c>
      <c r="AY159" s="1187"/>
      <c r="AZ159" s="1187"/>
      <c r="BA159" s="1187"/>
      <c r="BB159" s="1187"/>
      <c r="BC159" s="1187"/>
      <c r="BD159" s="1187"/>
      <c r="BE159" s="1187"/>
      <c r="BF159" s="1187"/>
      <c r="BG159" s="1187"/>
      <c r="BH159" s="1187"/>
      <c r="BI159" s="1187"/>
      <c r="BJ159" s="1187"/>
      <c r="BQ159" s="1187"/>
      <c r="BR159" s="1187"/>
      <c r="BS159" s="1187"/>
      <c r="BT159" s="1580"/>
      <c r="BU159" s="1580"/>
    </row>
    <row r="160" spans="1:130" ht="16.149999999999999" customHeight="1" x14ac:dyDescent="0.25">
      <c r="A160" s="9566" t="s">
        <v>1823</v>
      </c>
      <c r="B160" s="9567"/>
      <c r="C160" s="1353">
        <f t="shared" ref="C160:D162" si="330">+M160+O160+Q160+S160+U160+W160+Y160+AA160+AC160+AE160</f>
        <v>0</v>
      </c>
      <c r="D160" s="1355">
        <f t="shared" si="330"/>
        <v>0</v>
      </c>
      <c r="E160" s="694"/>
      <c r="F160" s="1154"/>
      <c r="G160" s="694"/>
      <c r="H160" s="1154"/>
      <c r="I160" s="694"/>
      <c r="J160" s="1154"/>
      <c r="K160" s="694"/>
      <c r="L160" s="1154"/>
      <c r="M160" s="691"/>
      <c r="N160" s="709"/>
      <c r="O160" s="691"/>
      <c r="P160" s="709"/>
      <c r="Q160" s="691"/>
      <c r="R160" s="709"/>
      <c r="S160" s="691"/>
      <c r="T160" s="709"/>
      <c r="U160" s="691"/>
      <c r="V160" s="709"/>
      <c r="W160" s="691"/>
      <c r="X160" s="709"/>
      <c r="Y160" s="691"/>
      <c r="Z160" s="709"/>
      <c r="AA160" s="691"/>
      <c r="AB160" s="709"/>
      <c r="AC160" s="691"/>
      <c r="AD160" s="709"/>
      <c r="AE160" s="691"/>
      <c r="AF160" s="709"/>
      <c r="AG160" s="694"/>
      <c r="AH160" s="710"/>
      <c r="AI160" s="694"/>
      <c r="AJ160" s="693"/>
      <c r="AK160" s="1611"/>
      <c r="AL160" s="1612"/>
      <c r="AM160" s="906"/>
      <c r="AN160" s="1155"/>
      <c r="AO160" s="1156"/>
      <c r="AP160" s="1110"/>
      <c r="AQ160" s="1129"/>
      <c r="AR160" s="1157"/>
      <c r="AS160" s="1156"/>
      <c r="AT160" s="1157"/>
      <c r="AU160" s="1156"/>
      <c r="AV160" s="1110"/>
      <c r="AW160" s="1156"/>
      <c r="AX160" s="1110"/>
      <c r="AY160" s="1193" t="str">
        <f t="shared" ref="AY160:AY182" si="331">$CA160&amp;$CB160&amp;$CC160&amp;$CD160&amp;$CE160&amp;$CF160&amp;$CG160&amp;$CH160&amp;$CI160&amp;$CJ160&amp;$CK160&amp;$CL160&amp;$CM160&amp;$CN160&amp;$CO160&amp;$CP160&amp;$CQ160&amp;$CR160&amp;$CS160&amp;$CT160&amp;$CU160&amp;$CV160&amp;$CW160&amp;$CX160&amp;$CY160&amp;$CZ160</f>
        <v/>
      </c>
      <c r="AZ160" s="1193"/>
      <c r="BA160" s="1193"/>
      <c r="BB160" s="1193"/>
      <c r="BC160" s="1193"/>
      <c r="BD160" s="1193"/>
      <c r="BE160" s="1193"/>
      <c r="BF160" s="1193"/>
      <c r="BG160" s="1187"/>
      <c r="BH160" s="1187"/>
      <c r="BI160" s="1187"/>
      <c r="BJ160" s="1187"/>
      <c r="BQ160" s="1187"/>
      <c r="BR160" s="1187"/>
      <c r="BS160" s="1187"/>
      <c r="BT160" s="1580"/>
      <c r="BU160" s="1580"/>
      <c r="CA160" s="2235" t="str">
        <f>IF(DA160=1," * El total de exámenes confirmados positivos por ISP NO DEBE SUPERAR el total de exámenes procesados. ","")</f>
        <v/>
      </c>
      <c r="CB160" s="2235" t="str">
        <f>IF(DB160=1," * La suma de exámenes procesados por sexo DEBE SER IGUAL al total de Procesados. ","")</f>
        <v/>
      </c>
      <c r="CC160" s="2235" t="str">
        <f>IF(DC160=1," * La suma de exámenes Confirmados positivos por ISP por sexo DEBE SER IGUAL al total de Procesados. ","")</f>
        <v/>
      </c>
      <c r="CD160" s="2235" t="str">
        <f>IF(DD160=1," * La suma de exámenes procesados Trans NO PUEDE Superar al total de Procesados. ","")</f>
        <v/>
      </c>
      <c r="CE160" s="2235" t="str">
        <f>IF(DE160=1," * La suma de exámenes confirmados positivos por ISP Trans NO PUEDE Superar al total de Procesados. ","")</f>
        <v/>
      </c>
      <c r="CF160" s="2235" t="str">
        <f>IF(DF160=1," * Los exámenes procesados de personas pertenecientes a Pueblos originarios NO PUEDE Superar al total de Procesados. ","")</f>
        <v/>
      </c>
      <c r="CG160" s="2235" t="str">
        <f>IF(DG160=1," * Los exámenes confirmados positivos por ISP de personas pertenecientes a Pueblos originarios NO PUEDE Superar al total de Procesados. ","")</f>
        <v/>
      </c>
      <c r="CH160" s="2235" t="str">
        <f>IF(DH160=1," * Los exámenes procesados de personas pertenecientes a Pueblos migrantes NO PUEDE Superar al total de Procesados. ","")</f>
        <v/>
      </c>
      <c r="CI160" s="2235" t="str">
        <f>IF(DI160=1," * Los exámenes confirmados positivos por ISP de personas pertenecientes a Pueblos Migrantes NO PUEDE Superar al total de Procesados. ","")</f>
        <v/>
      </c>
      <c r="CJ160" s="2235"/>
      <c r="CK160" s="2235"/>
      <c r="CL160" s="2235"/>
      <c r="CM160" s="2235"/>
      <c r="CN160" s="2235"/>
      <c r="CO160" s="2235"/>
      <c r="CP160" s="2235"/>
      <c r="CQ160" s="2235"/>
      <c r="CR160" s="2235"/>
      <c r="CS160" s="2235"/>
      <c r="CT160" s="2235"/>
      <c r="CU160" s="2235"/>
      <c r="CV160" s="2235"/>
      <c r="CW160" s="2235" t="str">
        <f>IF(DW160=1,"* No olvide digitar la columna Procesados Trans y/o Pueblos Originarios y/o Migrantes (Digite Cero si no tiene). ","")</f>
        <v/>
      </c>
      <c r="CX160" s="2235" t="str">
        <f>IF(DX160=1,"* No olvide digitar la columna Confirmados Trans y/o Pueblos Originarios y/o Migrantes (Digite Cero si no tiene). ","")</f>
        <v/>
      </c>
      <c r="CY160" s="2235"/>
      <c r="CZ160" s="2235"/>
      <c r="DA160" s="1468">
        <f>IF(C160&lt;D160,1,0)</f>
        <v>0</v>
      </c>
      <c r="DB160" s="1468">
        <f>IF(C160&lt;&gt;(AK160+AM160),1,0)</f>
        <v>0</v>
      </c>
      <c r="DC160" s="1468">
        <f>IF(D160&lt;&gt;(AL160+AN160),1,0)</f>
        <v>0</v>
      </c>
      <c r="DD160" s="1468">
        <f>IF(C160&lt;(AO160+AQ160),1,0)</f>
        <v>0</v>
      </c>
      <c r="DE160" s="1468">
        <f>IF(D160&lt;(AP160+AR160),1,0)</f>
        <v>0</v>
      </c>
      <c r="DF160" s="1468">
        <f>IF($C160&lt;AS160,1,0)</f>
        <v>0</v>
      </c>
      <c r="DG160" s="1468">
        <f>IF($D160&lt;AT160,1,0)</f>
        <v>0</v>
      </c>
      <c r="DH160" s="1468">
        <f>IF($C160&lt;AU160,1,0)</f>
        <v>0</v>
      </c>
      <c r="DI160" s="1468">
        <f>IF($D160&lt;AV160,1,0)</f>
        <v>0</v>
      </c>
      <c r="DJ160" s="1468"/>
      <c r="DK160" s="1468"/>
      <c r="DL160" s="1468"/>
      <c r="DM160" s="1468"/>
      <c r="DN160" s="1468"/>
      <c r="DO160" s="1468"/>
      <c r="DP160" s="1468"/>
      <c r="DQ160" s="1468"/>
      <c r="DR160" s="1468"/>
      <c r="DS160" s="1468"/>
      <c r="DT160" s="1468"/>
      <c r="DU160" s="1468"/>
      <c r="DV160" s="1468"/>
      <c r="DW160" s="1468">
        <f>IF(AND(C160&lt;&gt;0,OR(AO160="",AQ160="",AS160="",AU160="")),1,0)</f>
        <v>0</v>
      </c>
      <c r="DX160" s="1468">
        <f>IF(AND(D160&lt;&gt;0,OR(AP160="",AR160="",AT160="",AV160="")),1,0)</f>
        <v>0</v>
      </c>
      <c r="DY160" s="1468"/>
      <c r="DZ160" s="1468"/>
    </row>
    <row r="161" spans="1:130" ht="16.149999999999999" customHeight="1" x14ac:dyDescent="0.25">
      <c r="A161" s="9568" t="s">
        <v>1824</v>
      </c>
      <c r="B161" s="9569"/>
      <c r="C161" s="1356">
        <f t="shared" si="330"/>
        <v>0</v>
      </c>
      <c r="D161" s="839">
        <f t="shared" si="330"/>
        <v>0</v>
      </c>
      <c r="E161" s="1127"/>
      <c r="F161" s="1126"/>
      <c r="G161" s="1127"/>
      <c r="H161" s="1126"/>
      <c r="I161" s="1127"/>
      <c r="J161" s="1126"/>
      <c r="K161" s="1127"/>
      <c r="L161" s="1126"/>
      <c r="M161" s="906"/>
      <c r="N161" s="78"/>
      <c r="O161" s="906"/>
      <c r="P161" s="78"/>
      <c r="Q161" s="906"/>
      <c r="R161" s="78"/>
      <c r="S161" s="906"/>
      <c r="T161" s="78"/>
      <c r="U161" s="906"/>
      <c r="V161" s="78"/>
      <c r="W161" s="906"/>
      <c r="X161" s="78"/>
      <c r="Y161" s="906"/>
      <c r="Z161" s="78"/>
      <c r="AA161" s="906"/>
      <c r="AB161" s="78"/>
      <c r="AC161" s="906"/>
      <c r="AD161" s="78"/>
      <c r="AE161" s="906"/>
      <c r="AF161" s="78"/>
      <c r="AG161" s="1127"/>
      <c r="AH161" s="1128"/>
      <c r="AI161" s="1127"/>
      <c r="AJ161" s="1139"/>
      <c r="AK161" s="1132"/>
      <c r="AL161" s="1175"/>
      <c r="AM161" s="1109"/>
      <c r="AN161" s="1157"/>
      <c r="AO161" s="1156"/>
      <c r="AP161" s="1110"/>
      <c r="AQ161" s="1129"/>
      <c r="AR161" s="1157"/>
      <c r="AS161" s="1156"/>
      <c r="AT161" s="1157"/>
      <c r="AU161" s="1156"/>
      <c r="AV161" s="1110"/>
      <c r="AW161" s="1156"/>
      <c r="AX161" s="1110"/>
      <c r="AY161" s="1193" t="str">
        <f t="shared" si="331"/>
        <v/>
      </c>
      <c r="AZ161" s="1193"/>
      <c r="BA161" s="1193"/>
      <c r="BB161" s="1193"/>
      <c r="BC161" s="1193"/>
      <c r="BD161" s="1193"/>
      <c r="BE161" s="1193"/>
      <c r="BF161" s="1193"/>
      <c r="BG161" s="1187"/>
      <c r="BH161" s="1187"/>
      <c r="BI161" s="1187"/>
      <c r="BJ161" s="1187"/>
      <c r="BQ161" s="1187"/>
      <c r="BR161" s="1187"/>
      <c r="BS161" s="1187"/>
      <c r="BT161" s="1580"/>
      <c r="BU161" s="1580"/>
      <c r="CA161" s="2235" t="str">
        <f t="shared" ref="CA161:CA182" si="332">IF(DA161=1," * El total de exámenes confirmados positivos por ISP NO DEBE SUPERAR el total de exámenes procesados. ","")</f>
        <v/>
      </c>
      <c r="CB161" s="2235" t="str">
        <f t="shared" ref="CB161:CB182" si="333">IF(DB161=1," * La suma de exámenes procesados por sexo DEBE SER IGUAL al total de Procesados. ","")</f>
        <v/>
      </c>
      <c r="CC161" s="2235" t="str">
        <f t="shared" ref="CC161:CC182" si="334">IF(DC161=1," * La suma de exámenes Confirmados positivos por ISP por sexo DEBE SER IGUAL al total de Procesados. ","")</f>
        <v/>
      </c>
      <c r="CD161" s="2235" t="str">
        <f t="shared" ref="CD161:CD182" si="335">IF(DD161=1," * La suma de exámenes procesados Trans NO PUEDE Superar al total de Procesados. ","")</f>
        <v/>
      </c>
      <c r="CE161" s="2235" t="str">
        <f t="shared" ref="CE161:CE182" si="336">IF(DE161=1," * La suma de exámenes confirmados positivos por ISP Trans NO PUEDE Superar al total de Procesados. ","")</f>
        <v/>
      </c>
      <c r="CF161" s="2235" t="str">
        <f t="shared" ref="CF161:CF182" si="337">IF(DF161=1," * Los exámenes procesados de personas pertenecientes a Pueblos originarios NO PUEDE Superar al total de Procesados. ","")</f>
        <v/>
      </c>
      <c r="CG161" s="2235" t="str">
        <f t="shared" ref="CG161:CG182" si="338">IF(DG161=1," * Los exámenes confirmados positivos por ISP de personas pertenecientes a Pueblos originarios NO PUEDE Superar al total de Procesados. ","")</f>
        <v/>
      </c>
      <c r="CH161" s="2235" t="str">
        <f t="shared" ref="CH161:CH182" si="339">IF(DH161=1," * Los exámenes procesados de personas pertenecientes a Pueblos migrantes NO PUEDE Superar al total de Procesados. ","")</f>
        <v/>
      </c>
      <c r="CI161" s="2235" t="str">
        <f t="shared" ref="CI161:CI182" si="340">IF(DI161=1," * Los exámenes confirmados positivos por ISP de personas pertenecientes a Pueblos Migrantes NO PUEDE Superar al total de Procesados. ","")</f>
        <v/>
      </c>
      <c r="CJ161" s="2235"/>
      <c r="CK161" s="2235"/>
      <c r="CL161" s="2235"/>
      <c r="CM161" s="2235"/>
      <c r="CN161" s="2235"/>
      <c r="CO161" s="2235"/>
      <c r="CP161" s="2235"/>
      <c r="CQ161" s="2235"/>
      <c r="CR161" s="2235"/>
      <c r="CS161" s="2235"/>
      <c r="CT161" s="2235"/>
      <c r="CU161" s="2235"/>
      <c r="CV161" s="2235"/>
      <c r="CW161" s="2235" t="str">
        <f t="shared" ref="CW161:CW182" si="341">IF(DW161=1,"* No olvide digitar la columna Procesados Trans y/o Pueblos Originarios y/o Migrantes (Digite Cero si no tiene). ","")</f>
        <v/>
      </c>
      <c r="CX161" s="2235" t="str">
        <f t="shared" ref="CX161:CX182" si="342">IF(DX161=1,"* No olvide digitar la columna Confirmados Trans y/o Pueblos Originarios y/o Migrantes (Digite Cero si no tiene). ","")</f>
        <v/>
      </c>
      <c r="CY161" s="2235"/>
      <c r="CZ161" s="2235"/>
      <c r="DA161" s="1468">
        <f t="shared" ref="DA161:DA182" si="343">IF(C161&lt;D161,1,0)</f>
        <v>0</v>
      </c>
      <c r="DB161" s="1468">
        <f t="shared" ref="DB161:DB182" si="344">IF(C161&lt;&gt;(AK161+AM161),1,0)</f>
        <v>0</v>
      </c>
      <c r="DC161" s="1468">
        <f t="shared" ref="DC161:DC182" si="345">IF(D161&lt;&gt;(AL161+AN161),1,0)</f>
        <v>0</v>
      </c>
      <c r="DD161" s="1468">
        <f t="shared" ref="DD161:DD182" si="346">IF(C161&lt;(AO161+AQ161),1,0)</f>
        <v>0</v>
      </c>
      <c r="DE161" s="1468">
        <f t="shared" ref="DE161:DE182" si="347">IF(D161&lt;(AP161+AR161),1,0)</f>
        <v>0</v>
      </c>
      <c r="DF161" s="1468">
        <f t="shared" ref="DF161:DF182" si="348">IF($C161&lt;AS161,1,0)</f>
        <v>0</v>
      </c>
      <c r="DG161" s="1468">
        <f t="shared" ref="DG161:DG182" si="349">IF($D161&lt;AT161,1,0)</f>
        <v>0</v>
      </c>
      <c r="DH161" s="1468">
        <f t="shared" ref="DH161:DH182" si="350">IF($C161&lt;AU161,1,0)</f>
        <v>0</v>
      </c>
      <c r="DI161" s="1468">
        <f t="shared" ref="DI161:DI182" si="351">IF($D161&lt;AV161,1,0)</f>
        <v>0</v>
      </c>
      <c r="DJ161" s="1468"/>
      <c r="DK161" s="1468"/>
      <c r="DL161" s="1468"/>
      <c r="DM161" s="1468"/>
      <c r="DN161" s="1468"/>
      <c r="DO161" s="1468"/>
      <c r="DP161" s="1468"/>
      <c r="DQ161" s="1468"/>
      <c r="DR161" s="1468"/>
      <c r="DS161" s="1468"/>
      <c r="DT161" s="1468"/>
      <c r="DU161" s="1468"/>
      <c r="DV161" s="1468"/>
      <c r="DW161" s="1468">
        <f t="shared" ref="DW161:DX176" si="352">IF(AND(C161&lt;&gt;0,OR(AO161="",AQ161="",AS161="",AU161="")),1,0)</f>
        <v>0</v>
      </c>
      <c r="DX161" s="1468">
        <f t="shared" si="352"/>
        <v>0</v>
      </c>
      <c r="DY161" s="1468"/>
      <c r="DZ161" s="1468"/>
    </row>
    <row r="162" spans="1:130" ht="16.149999999999999" customHeight="1" x14ac:dyDescent="0.25">
      <c r="A162" s="9568" t="s">
        <v>1825</v>
      </c>
      <c r="B162" s="9569"/>
      <c r="C162" s="1356">
        <f t="shared" si="330"/>
        <v>0</v>
      </c>
      <c r="D162" s="839">
        <f t="shared" si="330"/>
        <v>0</v>
      </c>
      <c r="E162" s="1127"/>
      <c r="F162" s="1126"/>
      <c r="G162" s="1127"/>
      <c r="H162" s="1126"/>
      <c r="I162" s="1127"/>
      <c r="J162" s="1126"/>
      <c r="K162" s="1127"/>
      <c r="L162" s="1126"/>
      <c r="M162" s="1109"/>
      <c r="N162" s="1130"/>
      <c r="O162" s="1109"/>
      <c r="P162" s="1130"/>
      <c r="Q162" s="1109"/>
      <c r="R162" s="1130"/>
      <c r="S162" s="1109"/>
      <c r="T162" s="1130"/>
      <c r="U162" s="1109"/>
      <c r="V162" s="1130"/>
      <c r="W162" s="1109"/>
      <c r="X162" s="1130"/>
      <c r="Y162" s="1109"/>
      <c r="Z162" s="1130"/>
      <c r="AA162" s="1109"/>
      <c r="AB162" s="1130"/>
      <c r="AC162" s="1109"/>
      <c r="AD162" s="1130"/>
      <c r="AE162" s="1109"/>
      <c r="AF162" s="1130"/>
      <c r="AG162" s="1127"/>
      <c r="AH162" s="1128"/>
      <c r="AI162" s="1127"/>
      <c r="AJ162" s="1139"/>
      <c r="AK162" s="1132"/>
      <c r="AL162" s="1175"/>
      <c r="AM162" s="1109"/>
      <c r="AN162" s="1157"/>
      <c r="AO162" s="1156"/>
      <c r="AP162" s="1110"/>
      <c r="AQ162" s="1129"/>
      <c r="AR162" s="1157"/>
      <c r="AS162" s="1156"/>
      <c r="AT162" s="1157"/>
      <c r="AU162" s="1156"/>
      <c r="AV162" s="1110"/>
      <c r="AW162" s="1156"/>
      <c r="AX162" s="1110"/>
      <c r="AY162" s="1193" t="str">
        <f t="shared" si="331"/>
        <v/>
      </c>
      <c r="AZ162" s="1193"/>
      <c r="BA162" s="1193"/>
      <c r="BB162" s="1193"/>
      <c r="BC162" s="1193"/>
      <c r="BD162" s="1193"/>
      <c r="BE162" s="1193"/>
      <c r="BF162" s="1193"/>
      <c r="BG162" s="1187"/>
      <c r="BH162" s="1187"/>
      <c r="BI162" s="1187"/>
      <c r="BJ162" s="1187"/>
      <c r="BQ162" s="1187"/>
      <c r="BR162" s="1187"/>
      <c r="BS162" s="1187"/>
      <c r="BT162" s="1580"/>
      <c r="BU162" s="1580"/>
      <c r="CA162" s="2235" t="str">
        <f t="shared" si="332"/>
        <v/>
      </c>
      <c r="CB162" s="2235" t="str">
        <f t="shared" si="333"/>
        <v/>
      </c>
      <c r="CC162" s="2235" t="str">
        <f t="shared" si="334"/>
        <v/>
      </c>
      <c r="CD162" s="2235" t="str">
        <f t="shared" si="335"/>
        <v/>
      </c>
      <c r="CE162" s="2235" t="str">
        <f t="shared" si="336"/>
        <v/>
      </c>
      <c r="CF162" s="2235" t="str">
        <f t="shared" si="337"/>
        <v/>
      </c>
      <c r="CG162" s="2235" t="str">
        <f t="shared" si="338"/>
        <v/>
      </c>
      <c r="CH162" s="2235" t="str">
        <f t="shared" si="339"/>
        <v/>
      </c>
      <c r="CI162" s="2235" t="str">
        <f t="shared" si="340"/>
        <v/>
      </c>
      <c r="CJ162" s="2235"/>
      <c r="CK162" s="2235"/>
      <c r="CL162" s="2235"/>
      <c r="CM162" s="2235"/>
      <c r="CN162" s="2235"/>
      <c r="CO162" s="2235"/>
      <c r="CP162" s="2235"/>
      <c r="CQ162" s="2235"/>
      <c r="CR162" s="2235"/>
      <c r="CS162" s="2235"/>
      <c r="CT162" s="2235"/>
      <c r="CU162" s="2235"/>
      <c r="CV162" s="2235"/>
      <c r="CW162" s="2235" t="str">
        <f t="shared" si="341"/>
        <v/>
      </c>
      <c r="CX162" s="2235" t="str">
        <f t="shared" si="342"/>
        <v/>
      </c>
      <c r="CY162" s="2235"/>
      <c r="CZ162" s="2235"/>
      <c r="DA162" s="1468">
        <f t="shared" si="343"/>
        <v>0</v>
      </c>
      <c r="DB162" s="1468">
        <f t="shared" si="344"/>
        <v>0</v>
      </c>
      <c r="DC162" s="1468">
        <f t="shared" si="345"/>
        <v>0</v>
      </c>
      <c r="DD162" s="1468">
        <f t="shared" si="346"/>
        <v>0</v>
      </c>
      <c r="DE162" s="1468">
        <f t="shared" si="347"/>
        <v>0</v>
      </c>
      <c r="DF162" s="1468">
        <f t="shared" si="348"/>
        <v>0</v>
      </c>
      <c r="DG162" s="1468">
        <f t="shared" si="349"/>
        <v>0</v>
      </c>
      <c r="DH162" s="1468">
        <f t="shared" si="350"/>
        <v>0</v>
      </c>
      <c r="DI162" s="1468">
        <f t="shared" si="351"/>
        <v>0</v>
      </c>
      <c r="DJ162" s="1468"/>
      <c r="DK162" s="1468"/>
      <c r="DL162" s="1468"/>
      <c r="DM162" s="1468"/>
      <c r="DN162" s="1468"/>
      <c r="DO162" s="1468"/>
      <c r="DP162" s="1468"/>
      <c r="DQ162" s="1468"/>
      <c r="DR162" s="1468"/>
      <c r="DS162" s="1468"/>
      <c r="DT162" s="1468"/>
      <c r="DU162" s="1468"/>
      <c r="DV162" s="1468"/>
      <c r="DW162" s="1468">
        <f t="shared" si="352"/>
        <v>0</v>
      </c>
      <c r="DX162" s="1468">
        <f t="shared" si="352"/>
        <v>0</v>
      </c>
      <c r="DY162" s="1468"/>
      <c r="DZ162" s="1468"/>
    </row>
    <row r="163" spans="1:130" ht="16.149999999999999" customHeight="1" x14ac:dyDescent="0.25">
      <c r="A163" s="9568" t="s">
        <v>1792</v>
      </c>
      <c r="B163" s="9569"/>
      <c r="C163" s="1356">
        <f>+O163+Q163+S163+U163+W163+Y163+AA163+AC163+AE163+AG163+AI163</f>
        <v>0</v>
      </c>
      <c r="D163" s="1158">
        <f>+P163+R163+T163+V163+X163+Z163+AB163+AD163+AF163+AH163+AJ163</f>
        <v>0</v>
      </c>
      <c r="E163" s="1127"/>
      <c r="F163" s="1126"/>
      <c r="G163" s="1127"/>
      <c r="H163" s="1126"/>
      <c r="I163" s="1127"/>
      <c r="J163" s="1126"/>
      <c r="K163" s="1127"/>
      <c r="L163" s="1126"/>
      <c r="M163" s="1127"/>
      <c r="N163" s="1126"/>
      <c r="O163" s="1109"/>
      <c r="P163" s="1130"/>
      <c r="Q163" s="1109"/>
      <c r="R163" s="1130"/>
      <c r="S163" s="1109"/>
      <c r="T163" s="1130"/>
      <c r="U163" s="1109"/>
      <c r="V163" s="1130"/>
      <c r="W163" s="1109"/>
      <c r="X163" s="1130"/>
      <c r="Y163" s="1109"/>
      <c r="Z163" s="1130"/>
      <c r="AA163" s="1109"/>
      <c r="AB163" s="1130"/>
      <c r="AC163" s="1109"/>
      <c r="AD163" s="1130"/>
      <c r="AE163" s="1109"/>
      <c r="AF163" s="1130"/>
      <c r="AG163" s="1109"/>
      <c r="AH163" s="1130"/>
      <c r="AI163" s="1109"/>
      <c r="AJ163" s="1130"/>
      <c r="AK163" s="1156"/>
      <c r="AL163" s="1110"/>
      <c r="AM163" s="1109"/>
      <c r="AN163" s="1157"/>
      <c r="AO163" s="1156"/>
      <c r="AP163" s="1110"/>
      <c r="AQ163" s="1129"/>
      <c r="AR163" s="1157"/>
      <c r="AS163" s="1156"/>
      <c r="AT163" s="1157"/>
      <c r="AU163" s="1156"/>
      <c r="AV163" s="1110"/>
      <c r="AW163" s="1156"/>
      <c r="AX163" s="1110"/>
      <c r="AY163" s="1193" t="str">
        <f t="shared" si="331"/>
        <v/>
      </c>
      <c r="AZ163" s="1193"/>
      <c r="BA163" s="1193"/>
      <c r="BB163" s="1193"/>
      <c r="BC163" s="1193"/>
      <c r="BD163" s="1193"/>
      <c r="BE163" s="1193"/>
      <c r="BF163" s="1193"/>
      <c r="BG163" s="1187"/>
      <c r="BH163" s="1187"/>
      <c r="BI163" s="1187"/>
      <c r="BJ163" s="1187"/>
      <c r="BQ163" s="1187"/>
      <c r="BR163" s="1187"/>
      <c r="BS163" s="1187"/>
      <c r="BT163" s="1580"/>
      <c r="BU163" s="1580"/>
      <c r="CA163" s="2235" t="str">
        <f t="shared" si="332"/>
        <v/>
      </c>
      <c r="CB163" s="2235" t="str">
        <f t="shared" si="333"/>
        <v/>
      </c>
      <c r="CC163" s="2235" t="str">
        <f t="shared" si="334"/>
        <v/>
      </c>
      <c r="CD163" s="2235" t="str">
        <f t="shared" si="335"/>
        <v/>
      </c>
      <c r="CE163" s="2235" t="str">
        <f t="shared" si="336"/>
        <v/>
      </c>
      <c r="CF163" s="2235" t="str">
        <f t="shared" si="337"/>
        <v/>
      </c>
      <c r="CG163" s="2235" t="str">
        <f t="shared" si="338"/>
        <v/>
      </c>
      <c r="CH163" s="2235" t="str">
        <f t="shared" si="339"/>
        <v/>
      </c>
      <c r="CI163" s="2235" t="str">
        <f t="shared" si="340"/>
        <v/>
      </c>
      <c r="CJ163" s="2235"/>
      <c r="CK163" s="2235"/>
      <c r="CL163" s="2235"/>
      <c r="CM163" s="2235"/>
      <c r="CN163" s="2235"/>
      <c r="CO163" s="2235"/>
      <c r="CP163" s="2235"/>
      <c r="CQ163" s="2235"/>
      <c r="CR163" s="2235"/>
      <c r="CS163" s="2235"/>
      <c r="CT163" s="2235"/>
      <c r="CU163" s="2235"/>
      <c r="CV163" s="2235"/>
      <c r="CW163" s="2235" t="str">
        <f t="shared" si="341"/>
        <v/>
      </c>
      <c r="CX163" s="2235" t="str">
        <f t="shared" si="342"/>
        <v/>
      </c>
      <c r="CY163" s="2235"/>
      <c r="CZ163" s="2235"/>
      <c r="DA163" s="1468">
        <f t="shared" si="343"/>
        <v>0</v>
      </c>
      <c r="DB163" s="1468">
        <f t="shared" si="344"/>
        <v>0</v>
      </c>
      <c r="DC163" s="1468">
        <f t="shared" si="345"/>
        <v>0</v>
      </c>
      <c r="DD163" s="1468">
        <f t="shared" si="346"/>
        <v>0</v>
      </c>
      <c r="DE163" s="1468">
        <f t="shared" si="347"/>
        <v>0</v>
      </c>
      <c r="DF163" s="1468">
        <f t="shared" si="348"/>
        <v>0</v>
      </c>
      <c r="DG163" s="1468">
        <f t="shared" si="349"/>
        <v>0</v>
      </c>
      <c r="DH163" s="1468">
        <f t="shared" si="350"/>
        <v>0</v>
      </c>
      <c r="DI163" s="1468">
        <f t="shared" si="351"/>
        <v>0</v>
      </c>
      <c r="DJ163" s="1468"/>
      <c r="DK163" s="1468"/>
      <c r="DL163" s="1468"/>
      <c r="DM163" s="1468"/>
      <c r="DN163" s="1468"/>
      <c r="DO163" s="1468"/>
      <c r="DP163" s="1468"/>
      <c r="DQ163" s="1468"/>
      <c r="DR163" s="1468"/>
      <c r="DS163" s="1468"/>
      <c r="DT163" s="1468"/>
      <c r="DU163" s="1468"/>
      <c r="DV163" s="1468"/>
      <c r="DW163" s="1468">
        <f t="shared" si="352"/>
        <v>0</v>
      </c>
      <c r="DX163" s="1468">
        <f t="shared" si="352"/>
        <v>0</v>
      </c>
    </row>
    <row r="164" spans="1:130" ht="16.149999999999999" customHeight="1" x14ac:dyDescent="0.25">
      <c r="A164" s="9568" t="s">
        <v>1797</v>
      </c>
      <c r="B164" s="9569"/>
      <c r="C164" s="1356">
        <f>+E164+G164+I164+K164+M164+O164+Q164+S164+U164+W164+Y164+AA164+AC164+AE164+AG164+AI164</f>
        <v>0</v>
      </c>
      <c r="D164" s="1158">
        <f>+F164+H164+J164+L164+N164+P164+R164+T164+V164+X164+Z164+AB164+AD164+AF164+AH164+AJ164</f>
        <v>0</v>
      </c>
      <c r="E164" s="1109"/>
      <c r="F164" s="1130"/>
      <c r="G164" s="1109"/>
      <c r="H164" s="1130"/>
      <c r="I164" s="1109"/>
      <c r="J164" s="1130"/>
      <c r="K164" s="1109"/>
      <c r="L164" s="1130"/>
      <c r="M164" s="1109"/>
      <c r="N164" s="1130"/>
      <c r="O164" s="1109"/>
      <c r="P164" s="1130"/>
      <c r="Q164" s="1109"/>
      <c r="R164" s="1130"/>
      <c r="S164" s="1109"/>
      <c r="T164" s="1130"/>
      <c r="U164" s="1109"/>
      <c r="V164" s="1130"/>
      <c r="W164" s="1109"/>
      <c r="X164" s="1130"/>
      <c r="Y164" s="1109"/>
      <c r="Z164" s="1130"/>
      <c r="AA164" s="1109"/>
      <c r="AB164" s="1130"/>
      <c r="AC164" s="1109"/>
      <c r="AD164" s="1130"/>
      <c r="AE164" s="1109"/>
      <c r="AF164" s="1130"/>
      <c r="AG164" s="1109"/>
      <c r="AH164" s="1130"/>
      <c r="AI164" s="1109"/>
      <c r="AJ164" s="1130"/>
      <c r="AK164" s="1159"/>
      <c r="AL164" s="1160"/>
      <c r="AM164" s="1161"/>
      <c r="AN164" s="1157"/>
      <c r="AO164" s="1156"/>
      <c r="AP164" s="1110"/>
      <c r="AQ164" s="1129"/>
      <c r="AR164" s="1157"/>
      <c r="AS164" s="1156"/>
      <c r="AT164" s="1157"/>
      <c r="AU164" s="1156"/>
      <c r="AV164" s="1110"/>
      <c r="AW164" s="1156"/>
      <c r="AX164" s="1110"/>
      <c r="AY164" s="1193" t="str">
        <f t="shared" si="331"/>
        <v/>
      </c>
      <c r="AZ164" s="1193"/>
      <c r="BA164" s="1193"/>
      <c r="BB164" s="1193"/>
      <c r="BC164" s="1193"/>
      <c r="BD164" s="1193"/>
      <c r="BE164" s="1193"/>
      <c r="BF164" s="1193"/>
      <c r="BG164" s="1187"/>
      <c r="BH164" s="1187"/>
      <c r="BI164" s="1187"/>
      <c r="BJ164" s="1187"/>
      <c r="BQ164" s="1187"/>
      <c r="BR164" s="1187"/>
      <c r="BS164" s="1187"/>
      <c r="BT164" s="1580"/>
      <c r="BU164" s="1580"/>
      <c r="CA164" s="2235" t="str">
        <f t="shared" si="332"/>
        <v/>
      </c>
      <c r="CB164" s="2235" t="str">
        <f t="shared" si="333"/>
        <v/>
      </c>
      <c r="CC164" s="2235" t="str">
        <f t="shared" si="334"/>
        <v/>
      </c>
      <c r="CD164" s="2235" t="str">
        <f t="shared" si="335"/>
        <v/>
      </c>
      <c r="CE164" s="2235" t="str">
        <f t="shared" si="336"/>
        <v/>
      </c>
      <c r="CF164" s="2235" t="str">
        <f t="shared" si="337"/>
        <v/>
      </c>
      <c r="CG164" s="2235" t="str">
        <f t="shared" si="338"/>
        <v/>
      </c>
      <c r="CH164" s="2235" t="str">
        <f t="shared" si="339"/>
        <v/>
      </c>
      <c r="CI164" s="2235" t="str">
        <f t="shared" si="340"/>
        <v/>
      </c>
      <c r="CJ164" s="2235"/>
      <c r="CK164" s="2235"/>
      <c r="CL164" s="2235"/>
      <c r="CM164" s="2235"/>
      <c r="CN164" s="2235"/>
      <c r="CO164" s="2235"/>
      <c r="CP164" s="2235"/>
      <c r="CQ164" s="2235"/>
      <c r="CR164" s="2235"/>
      <c r="CS164" s="2235"/>
      <c r="CT164" s="2235"/>
      <c r="CU164" s="2235"/>
      <c r="CV164" s="2235"/>
      <c r="CW164" s="2235" t="str">
        <f t="shared" si="341"/>
        <v/>
      </c>
      <c r="CX164" s="2235" t="str">
        <f t="shared" si="342"/>
        <v/>
      </c>
      <c r="CY164" s="2235"/>
      <c r="CZ164" s="2235"/>
      <c r="DA164" s="1468">
        <f t="shared" si="343"/>
        <v>0</v>
      </c>
      <c r="DB164" s="1468">
        <f t="shared" si="344"/>
        <v>0</v>
      </c>
      <c r="DC164" s="1468">
        <f t="shared" si="345"/>
        <v>0</v>
      </c>
      <c r="DD164" s="1468">
        <f t="shared" si="346"/>
        <v>0</v>
      </c>
      <c r="DE164" s="1468">
        <f t="shared" si="347"/>
        <v>0</v>
      </c>
      <c r="DF164" s="1468">
        <f t="shared" si="348"/>
        <v>0</v>
      </c>
      <c r="DG164" s="1468">
        <f t="shared" si="349"/>
        <v>0</v>
      </c>
      <c r="DH164" s="1468">
        <f t="shared" si="350"/>
        <v>0</v>
      </c>
      <c r="DI164" s="1468">
        <f t="shared" si="351"/>
        <v>0</v>
      </c>
      <c r="DJ164" s="1468"/>
      <c r="DK164" s="1468"/>
      <c r="DL164" s="1468"/>
      <c r="DM164" s="1468"/>
      <c r="DN164" s="1468"/>
      <c r="DO164" s="1468"/>
      <c r="DP164" s="1468"/>
      <c r="DQ164" s="1468"/>
      <c r="DR164" s="1468"/>
      <c r="DS164" s="1468"/>
      <c r="DT164" s="1468"/>
      <c r="DU164" s="1468"/>
      <c r="DV164" s="1468"/>
      <c r="DW164" s="1468">
        <f t="shared" si="352"/>
        <v>0</v>
      </c>
      <c r="DX164" s="1468">
        <f t="shared" si="352"/>
        <v>0</v>
      </c>
    </row>
    <row r="165" spans="1:130" ht="16.149999999999999" customHeight="1" x14ac:dyDescent="0.25">
      <c r="A165" s="9568" t="s">
        <v>1826</v>
      </c>
      <c r="B165" s="9569"/>
      <c r="C165" s="1356">
        <f>+E165+G165+I165+K165+M165+O165+Q165+S165+U165+W165+Y165+AA165+AC165+AE165+AG165+AI165</f>
        <v>0</v>
      </c>
      <c r="D165" s="839">
        <f>+F165+H165+J165+L165+N165+P165+R165+T165+V165+X165+Z165+AB165+AD165+AF165+AH165+AJ165</f>
        <v>0</v>
      </c>
      <c r="E165" s="1109"/>
      <c r="F165" s="1130"/>
      <c r="G165" s="1109"/>
      <c r="H165" s="1130"/>
      <c r="I165" s="1109"/>
      <c r="J165" s="1130"/>
      <c r="K165" s="1109"/>
      <c r="L165" s="1130"/>
      <c r="M165" s="1109"/>
      <c r="N165" s="1130"/>
      <c r="O165" s="1109"/>
      <c r="P165" s="1130"/>
      <c r="Q165" s="1109"/>
      <c r="R165" s="1130"/>
      <c r="S165" s="1109"/>
      <c r="T165" s="1130"/>
      <c r="U165" s="1109"/>
      <c r="V165" s="1130"/>
      <c r="W165" s="1109"/>
      <c r="X165" s="1130"/>
      <c r="Y165" s="1109"/>
      <c r="Z165" s="1130"/>
      <c r="AA165" s="1109"/>
      <c r="AB165" s="1130"/>
      <c r="AC165" s="1109"/>
      <c r="AD165" s="1130"/>
      <c r="AE165" s="1109"/>
      <c r="AF165" s="1130"/>
      <c r="AG165" s="1109"/>
      <c r="AH165" s="1130"/>
      <c r="AI165" s="1109"/>
      <c r="AJ165" s="1130"/>
      <c r="AK165" s="1156"/>
      <c r="AL165" s="1110"/>
      <c r="AM165" s="1109"/>
      <c r="AN165" s="1157"/>
      <c r="AO165" s="1156"/>
      <c r="AP165" s="1110"/>
      <c r="AQ165" s="1129"/>
      <c r="AR165" s="1157"/>
      <c r="AS165" s="1156"/>
      <c r="AT165" s="1157"/>
      <c r="AU165" s="1156"/>
      <c r="AV165" s="1110"/>
      <c r="AW165" s="1156"/>
      <c r="AX165" s="1110"/>
      <c r="AY165" s="1193" t="str">
        <f t="shared" si="331"/>
        <v/>
      </c>
      <c r="AZ165" s="1193"/>
      <c r="BA165" s="1193"/>
      <c r="BB165" s="1193"/>
      <c r="BC165" s="1193"/>
      <c r="BD165" s="1193"/>
      <c r="BE165" s="1193"/>
      <c r="BF165" s="1193"/>
      <c r="BG165" s="1187"/>
      <c r="BH165" s="1187"/>
      <c r="BI165" s="1187"/>
      <c r="BJ165" s="1187"/>
      <c r="BQ165" s="1187"/>
      <c r="BR165" s="1187"/>
      <c r="BS165" s="1187"/>
      <c r="BT165" s="1580"/>
      <c r="BU165" s="1580"/>
      <c r="CA165" s="2235" t="str">
        <f t="shared" si="332"/>
        <v/>
      </c>
      <c r="CB165" s="2235" t="str">
        <f t="shared" si="333"/>
        <v/>
      </c>
      <c r="CC165" s="2235" t="str">
        <f t="shared" si="334"/>
        <v/>
      </c>
      <c r="CD165" s="2235" t="str">
        <f t="shared" si="335"/>
        <v/>
      </c>
      <c r="CE165" s="2235" t="str">
        <f t="shared" si="336"/>
        <v/>
      </c>
      <c r="CF165" s="2235" t="str">
        <f t="shared" si="337"/>
        <v/>
      </c>
      <c r="CG165" s="2235" t="str">
        <f t="shared" si="338"/>
        <v/>
      </c>
      <c r="CH165" s="2235" t="str">
        <f t="shared" si="339"/>
        <v/>
      </c>
      <c r="CI165" s="2235" t="str">
        <f t="shared" si="340"/>
        <v/>
      </c>
      <c r="CJ165" s="2235"/>
      <c r="CK165" s="2235"/>
      <c r="CL165" s="2235"/>
      <c r="CM165" s="2235"/>
      <c r="CN165" s="2235"/>
      <c r="CO165" s="2235"/>
      <c r="CP165" s="2235"/>
      <c r="CQ165" s="2235"/>
      <c r="CR165" s="2235"/>
      <c r="CS165" s="2235"/>
      <c r="CT165" s="2235"/>
      <c r="CU165" s="2235"/>
      <c r="CV165" s="2235"/>
      <c r="CW165" s="2235" t="str">
        <f t="shared" si="341"/>
        <v/>
      </c>
      <c r="CX165" s="2235" t="str">
        <f t="shared" si="342"/>
        <v/>
      </c>
      <c r="CY165" s="2235"/>
      <c r="CZ165" s="2235"/>
      <c r="DA165" s="1468">
        <f t="shared" si="343"/>
        <v>0</v>
      </c>
      <c r="DB165" s="1468">
        <f t="shared" si="344"/>
        <v>0</v>
      </c>
      <c r="DC165" s="1468">
        <f t="shared" si="345"/>
        <v>0</v>
      </c>
      <c r="DD165" s="1468">
        <f t="shared" si="346"/>
        <v>0</v>
      </c>
      <c r="DE165" s="1468">
        <f t="shared" si="347"/>
        <v>0</v>
      </c>
      <c r="DF165" s="1468">
        <f t="shared" si="348"/>
        <v>0</v>
      </c>
      <c r="DG165" s="1468">
        <f t="shared" si="349"/>
        <v>0</v>
      </c>
      <c r="DH165" s="1468">
        <f t="shared" si="350"/>
        <v>0</v>
      </c>
      <c r="DI165" s="1468">
        <f t="shared" si="351"/>
        <v>0</v>
      </c>
      <c r="DJ165" s="1468"/>
      <c r="DK165" s="1468"/>
      <c r="DL165" s="1468"/>
      <c r="DM165" s="1468"/>
      <c r="DN165" s="1468"/>
      <c r="DO165" s="1468"/>
      <c r="DP165" s="1468"/>
      <c r="DQ165" s="1468"/>
      <c r="DR165" s="1468"/>
      <c r="DS165" s="1468"/>
      <c r="DT165" s="1468"/>
      <c r="DU165" s="1468"/>
      <c r="DV165" s="1468"/>
      <c r="DW165" s="1468">
        <f t="shared" si="352"/>
        <v>0</v>
      </c>
      <c r="DX165" s="1468">
        <f t="shared" si="352"/>
        <v>0</v>
      </c>
    </row>
    <row r="166" spans="1:130" ht="17.25" customHeight="1" x14ac:dyDescent="0.25">
      <c r="A166" s="9571" t="s">
        <v>1827</v>
      </c>
      <c r="B166" s="9572"/>
      <c r="C166" s="1356">
        <f>+O166+Q166+S166+U166+W166+Y166+AA166+AC166+AE166+AG166+AI166</f>
        <v>0</v>
      </c>
      <c r="D166" s="839">
        <f>+P166+R166+T166+V166+X166+Z166+AB166+AD166+AF166+AH166+AJ166</f>
        <v>0</v>
      </c>
      <c r="E166" s="1127"/>
      <c r="F166" s="1126"/>
      <c r="G166" s="1127"/>
      <c r="H166" s="1126"/>
      <c r="I166" s="1127"/>
      <c r="J166" s="1126"/>
      <c r="K166" s="1127"/>
      <c r="L166" s="1126"/>
      <c r="M166" s="1127"/>
      <c r="N166" s="1126"/>
      <c r="O166" s="1109"/>
      <c r="P166" s="1130"/>
      <c r="Q166" s="1109"/>
      <c r="R166" s="1130"/>
      <c r="S166" s="1109"/>
      <c r="T166" s="1130"/>
      <c r="U166" s="1109"/>
      <c r="V166" s="1130"/>
      <c r="W166" s="1109"/>
      <c r="X166" s="1130"/>
      <c r="Y166" s="1109"/>
      <c r="Z166" s="1130"/>
      <c r="AA166" s="1109"/>
      <c r="AB166" s="1130"/>
      <c r="AC166" s="1109"/>
      <c r="AD166" s="1130"/>
      <c r="AE166" s="1109"/>
      <c r="AF166" s="1130"/>
      <c r="AG166" s="1109"/>
      <c r="AH166" s="1130"/>
      <c r="AI166" s="1109"/>
      <c r="AJ166" s="1130"/>
      <c r="AK166" s="1156"/>
      <c r="AL166" s="1110"/>
      <c r="AM166" s="1109"/>
      <c r="AN166" s="1157"/>
      <c r="AO166" s="1156"/>
      <c r="AP166" s="1110"/>
      <c r="AQ166" s="1129"/>
      <c r="AR166" s="1157"/>
      <c r="AS166" s="1156"/>
      <c r="AT166" s="1157"/>
      <c r="AU166" s="1156"/>
      <c r="AV166" s="1110"/>
      <c r="AW166" s="1156"/>
      <c r="AX166" s="1110"/>
      <c r="AY166" s="1193" t="str">
        <f t="shared" si="331"/>
        <v/>
      </c>
      <c r="AZ166" s="1193"/>
      <c r="BA166" s="1193"/>
      <c r="BB166" s="1193"/>
      <c r="BC166" s="1193"/>
      <c r="BD166" s="1193"/>
      <c r="BE166" s="1193"/>
      <c r="BF166" s="1193"/>
      <c r="BG166" s="1187"/>
      <c r="BH166" s="1187"/>
      <c r="BI166" s="1187"/>
      <c r="BJ166" s="1187"/>
      <c r="BQ166" s="1187"/>
      <c r="BR166" s="1187"/>
      <c r="BS166" s="1187"/>
      <c r="BT166" s="1580"/>
      <c r="BU166" s="1580"/>
      <c r="CA166" s="2235" t="str">
        <f t="shared" si="332"/>
        <v/>
      </c>
      <c r="CB166" s="2235" t="str">
        <f t="shared" si="333"/>
        <v/>
      </c>
      <c r="CC166" s="2235" t="str">
        <f t="shared" si="334"/>
        <v/>
      </c>
      <c r="CD166" s="2235" t="str">
        <f t="shared" si="335"/>
        <v/>
      </c>
      <c r="CE166" s="2235" t="str">
        <f t="shared" si="336"/>
        <v/>
      </c>
      <c r="CF166" s="2235" t="str">
        <f t="shared" si="337"/>
        <v/>
      </c>
      <c r="CG166" s="2235" t="str">
        <f t="shared" si="338"/>
        <v/>
      </c>
      <c r="CH166" s="2235" t="str">
        <f t="shared" si="339"/>
        <v/>
      </c>
      <c r="CI166" s="2235" t="str">
        <f t="shared" si="340"/>
        <v/>
      </c>
      <c r="CJ166" s="2235"/>
      <c r="CK166" s="2235"/>
      <c r="CL166" s="2235"/>
      <c r="CM166" s="2235"/>
      <c r="CN166" s="2235"/>
      <c r="CO166" s="2235"/>
      <c r="CP166" s="2235"/>
      <c r="CQ166" s="2235"/>
      <c r="CR166" s="2235"/>
      <c r="CS166" s="2235"/>
      <c r="CT166" s="2235"/>
      <c r="CU166" s="2235"/>
      <c r="CV166" s="2235"/>
      <c r="CW166" s="2235" t="str">
        <f t="shared" si="341"/>
        <v/>
      </c>
      <c r="CX166" s="2235" t="str">
        <f t="shared" si="342"/>
        <v/>
      </c>
      <c r="CY166" s="2235"/>
      <c r="CZ166" s="2235"/>
      <c r="DA166" s="1468">
        <f t="shared" si="343"/>
        <v>0</v>
      </c>
      <c r="DB166" s="1468">
        <f t="shared" si="344"/>
        <v>0</v>
      </c>
      <c r="DC166" s="1468">
        <f t="shared" si="345"/>
        <v>0</v>
      </c>
      <c r="DD166" s="1468">
        <f t="shared" si="346"/>
        <v>0</v>
      </c>
      <c r="DE166" s="1468">
        <f t="shared" si="347"/>
        <v>0</v>
      </c>
      <c r="DF166" s="1468">
        <f t="shared" si="348"/>
        <v>0</v>
      </c>
      <c r="DG166" s="1468">
        <f t="shared" si="349"/>
        <v>0</v>
      </c>
      <c r="DH166" s="1468">
        <f t="shared" si="350"/>
        <v>0</v>
      </c>
      <c r="DI166" s="1468">
        <f t="shared" si="351"/>
        <v>0</v>
      </c>
      <c r="DJ166" s="1468"/>
      <c r="DK166" s="1468"/>
      <c r="DL166" s="1468"/>
      <c r="DM166" s="1468"/>
      <c r="DN166" s="1468"/>
      <c r="DO166" s="1468"/>
      <c r="DP166" s="1468"/>
      <c r="DQ166" s="1468"/>
      <c r="DR166" s="1468"/>
      <c r="DS166" s="1468"/>
      <c r="DT166" s="1468"/>
      <c r="DU166" s="1468"/>
      <c r="DV166" s="1468"/>
      <c r="DW166" s="1468">
        <f t="shared" si="352"/>
        <v>0</v>
      </c>
      <c r="DX166" s="1468">
        <f t="shared" si="352"/>
        <v>0</v>
      </c>
    </row>
    <row r="167" spans="1:130" ht="16.149999999999999" customHeight="1" x14ac:dyDescent="0.25">
      <c r="A167" s="9568" t="s">
        <v>2179</v>
      </c>
      <c r="B167" s="9569"/>
      <c r="C167" s="1356">
        <f>+O167+Q167+S167+U167+W167+Y167+AA167+AC167+AE167+AG167+AI167</f>
        <v>0</v>
      </c>
      <c r="D167" s="839">
        <f>+P167+R167+T167+V167+X167+Z167+AB167+AD167+AF167+AH167+AJ167</f>
        <v>0</v>
      </c>
      <c r="E167" s="1127"/>
      <c r="F167" s="1126"/>
      <c r="G167" s="1127"/>
      <c r="H167" s="1126"/>
      <c r="I167" s="1127"/>
      <c r="J167" s="1126"/>
      <c r="K167" s="1127"/>
      <c r="L167" s="1126"/>
      <c r="M167" s="1127"/>
      <c r="N167" s="1126"/>
      <c r="O167" s="1109"/>
      <c r="P167" s="1130"/>
      <c r="Q167" s="1109"/>
      <c r="R167" s="1130"/>
      <c r="S167" s="1109"/>
      <c r="T167" s="1130"/>
      <c r="U167" s="1109"/>
      <c r="V167" s="1130"/>
      <c r="W167" s="1109"/>
      <c r="X167" s="1130"/>
      <c r="Y167" s="1109"/>
      <c r="Z167" s="1130"/>
      <c r="AA167" s="1109"/>
      <c r="AB167" s="1130"/>
      <c r="AC167" s="1109"/>
      <c r="AD167" s="1130"/>
      <c r="AE167" s="1109"/>
      <c r="AF167" s="1130"/>
      <c r="AG167" s="1109"/>
      <c r="AH167" s="1130"/>
      <c r="AI167" s="1109"/>
      <c r="AJ167" s="1130"/>
      <c r="AK167" s="1156"/>
      <c r="AL167" s="1110"/>
      <c r="AM167" s="1109"/>
      <c r="AN167" s="1157"/>
      <c r="AO167" s="1156"/>
      <c r="AP167" s="1110"/>
      <c r="AQ167" s="1129"/>
      <c r="AR167" s="1157"/>
      <c r="AS167" s="1156"/>
      <c r="AT167" s="1157"/>
      <c r="AU167" s="1156"/>
      <c r="AV167" s="1110"/>
      <c r="AW167" s="1156"/>
      <c r="AX167" s="1110"/>
      <c r="AY167" s="1193" t="str">
        <f t="shared" si="331"/>
        <v/>
      </c>
      <c r="AZ167" s="1193"/>
      <c r="BA167" s="1193"/>
      <c r="BB167" s="1193"/>
      <c r="BC167" s="1193"/>
      <c r="BD167" s="1193"/>
      <c r="BE167" s="1193"/>
      <c r="BF167" s="1193"/>
      <c r="BG167" s="1187"/>
      <c r="BH167" s="1187"/>
      <c r="BI167" s="1187"/>
      <c r="BJ167" s="1187"/>
      <c r="BQ167" s="1187"/>
      <c r="BR167" s="1187"/>
      <c r="BS167" s="1187"/>
      <c r="BT167" s="1580"/>
      <c r="BU167" s="1580"/>
      <c r="CA167" s="2235" t="str">
        <f t="shared" si="332"/>
        <v/>
      </c>
      <c r="CB167" s="2235" t="str">
        <f t="shared" si="333"/>
        <v/>
      </c>
      <c r="CC167" s="2235" t="str">
        <f t="shared" si="334"/>
        <v/>
      </c>
      <c r="CD167" s="2235" t="str">
        <f t="shared" si="335"/>
        <v/>
      </c>
      <c r="CE167" s="2235" t="str">
        <f t="shared" si="336"/>
        <v/>
      </c>
      <c r="CF167" s="2235" t="str">
        <f t="shared" si="337"/>
        <v/>
      </c>
      <c r="CG167" s="2235" t="str">
        <f t="shared" si="338"/>
        <v/>
      </c>
      <c r="CH167" s="2235" t="str">
        <f t="shared" si="339"/>
        <v/>
      </c>
      <c r="CI167" s="2235" t="str">
        <f t="shared" si="340"/>
        <v/>
      </c>
      <c r="CJ167" s="2235"/>
      <c r="CK167" s="2235"/>
      <c r="CL167" s="2235"/>
      <c r="CM167" s="2235"/>
      <c r="CN167" s="2235"/>
      <c r="CO167" s="2235"/>
      <c r="CP167" s="2235"/>
      <c r="CQ167" s="2235"/>
      <c r="CR167" s="2235"/>
      <c r="CS167" s="2235"/>
      <c r="CT167" s="2235"/>
      <c r="CU167" s="2235"/>
      <c r="CV167" s="2235"/>
      <c r="CW167" s="2235" t="str">
        <f t="shared" si="341"/>
        <v/>
      </c>
      <c r="CX167" s="2235" t="str">
        <f t="shared" si="342"/>
        <v/>
      </c>
      <c r="CY167" s="2235"/>
      <c r="CZ167" s="2235"/>
      <c r="DA167" s="1468">
        <f t="shared" si="343"/>
        <v>0</v>
      </c>
      <c r="DB167" s="1468">
        <f t="shared" si="344"/>
        <v>0</v>
      </c>
      <c r="DC167" s="1468">
        <f t="shared" si="345"/>
        <v>0</v>
      </c>
      <c r="DD167" s="1468">
        <f t="shared" si="346"/>
        <v>0</v>
      </c>
      <c r="DE167" s="1468">
        <f t="shared" si="347"/>
        <v>0</v>
      </c>
      <c r="DF167" s="1468">
        <f t="shared" si="348"/>
        <v>0</v>
      </c>
      <c r="DG167" s="1468">
        <f t="shared" si="349"/>
        <v>0</v>
      </c>
      <c r="DH167" s="1468">
        <f t="shared" si="350"/>
        <v>0</v>
      </c>
      <c r="DI167" s="1468">
        <f t="shared" si="351"/>
        <v>0</v>
      </c>
      <c r="DJ167" s="1468"/>
      <c r="DK167" s="1468"/>
      <c r="DL167" s="1468"/>
      <c r="DM167" s="1468"/>
      <c r="DN167" s="1468"/>
      <c r="DO167" s="1468"/>
      <c r="DP167" s="1468"/>
      <c r="DQ167" s="1468"/>
      <c r="DR167" s="1468"/>
      <c r="DS167" s="1468"/>
      <c r="DT167" s="1468"/>
      <c r="DU167" s="1468"/>
      <c r="DV167" s="1468"/>
      <c r="DW167" s="1468">
        <f t="shared" si="352"/>
        <v>0</v>
      </c>
      <c r="DX167" s="1468">
        <f t="shared" si="352"/>
        <v>0</v>
      </c>
    </row>
    <row r="168" spans="1:130" ht="16.149999999999999" customHeight="1" x14ac:dyDescent="0.25">
      <c r="A168" s="9573" t="s">
        <v>1828</v>
      </c>
      <c r="B168" s="9574"/>
      <c r="C168" s="1357">
        <f>+E168+G168+I168+K168+M168+O168+Q168+S168+U168+W168+Y168+AA168+AC168+AE168+AG168+AI168</f>
        <v>0</v>
      </c>
      <c r="D168" s="840">
        <f>+F168+H168+J168+L168+N168+P168+R168+T168+V168+X168+Z168+AB168+AD168+AF168+AH168+AJ168</f>
        <v>0</v>
      </c>
      <c r="E168" s="1162"/>
      <c r="F168" s="115"/>
      <c r="G168" s="1162"/>
      <c r="H168" s="115"/>
      <c r="I168" s="1162"/>
      <c r="J168" s="115"/>
      <c r="K168" s="1162"/>
      <c r="L168" s="115"/>
      <c r="M168" s="1162"/>
      <c r="N168" s="115"/>
      <c r="O168" s="1162"/>
      <c r="P168" s="115"/>
      <c r="Q168" s="1162"/>
      <c r="R168" s="115"/>
      <c r="S168" s="1162"/>
      <c r="T168" s="115"/>
      <c r="U168" s="1162"/>
      <c r="V168" s="115"/>
      <c r="W168" s="1162"/>
      <c r="X168" s="115"/>
      <c r="Y168" s="1162"/>
      <c r="Z168" s="115"/>
      <c r="AA168" s="1162"/>
      <c r="AB168" s="115"/>
      <c r="AC168" s="1162"/>
      <c r="AD168" s="115"/>
      <c r="AE168" s="1162"/>
      <c r="AF168" s="115"/>
      <c r="AG168" s="1162"/>
      <c r="AH168" s="115"/>
      <c r="AI168" s="1162"/>
      <c r="AJ168" s="115"/>
      <c r="AK168" s="262"/>
      <c r="AL168" s="164"/>
      <c r="AM168" s="1162"/>
      <c r="AN168" s="578"/>
      <c r="AO168" s="262"/>
      <c r="AP168" s="164"/>
      <c r="AQ168" s="113"/>
      <c r="AR168" s="578"/>
      <c r="AS168" s="264"/>
      <c r="AT168" s="254"/>
      <c r="AU168" s="262"/>
      <c r="AV168" s="164"/>
      <c r="AW168" s="262"/>
      <c r="AX168" s="164"/>
      <c r="AY168" s="1193" t="str">
        <f t="shared" si="331"/>
        <v/>
      </c>
      <c r="AZ168" s="1193"/>
      <c r="BA168" s="1193"/>
      <c r="BB168" s="1193"/>
      <c r="BC168" s="1193"/>
      <c r="BD168" s="1193"/>
      <c r="BE168" s="1193"/>
      <c r="BF168" s="1193"/>
      <c r="BG168" s="1187"/>
      <c r="BH168" s="1187"/>
      <c r="BI168" s="1187"/>
      <c r="BJ168" s="1187"/>
      <c r="BQ168" s="1187"/>
      <c r="BR168" s="1187"/>
      <c r="BS168" s="1187"/>
      <c r="BT168" s="1580"/>
      <c r="BU168" s="1580"/>
      <c r="CA168" s="2235" t="str">
        <f t="shared" si="332"/>
        <v/>
      </c>
      <c r="CB168" s="2235" t="str">
        <f t="shared" si="333"/>
        <v/>
      </c>
      <c r="CC168" s="2235" t="str">
        <f t="shared" si="334"/>
        <v/>
      </c>
      <c r="CD168" s="2235" t="str">
        <f t="shared" si="335"/>
        <v/>
      </c>
      <c r="CE168" s="2235" t="str">
        <f t="shared" si="336"/>
        <v/>
      </c>
      <c r="CF168" s="2235" t="str">
        <f t="shared" si="337"/>
        <v/>
      </c>
      <c r="CG168" s="2235" t="str">
        <f t="shared" si="338"/>
        <v/>
      </c>
      <c r="CH168" s="2235" t="str">
        <f t="shared" si="339"/>
        <v/>
      </c>
      <c r="CI168" s="2235" t="str">
        <f t="shared" si="340"/>
        <v/>
      </c>
      <c r="CJ168" s="2235"/>
      <c r="CK168" s="2235"/>
      <c r="CL168" s="2235"/>
      <c r="CM168" s="2235"/>
      <c r="CN168" s="2235"/>
      <c r="CO168" s="2235"/>
      <c r="CP168" s="2235"/>
      <c r="CQ168" s="2235"/>
      <c r="CR168" s="2235"/>
      <c r="CS168" s="2235"/>
      <c r="CT168" s="2235"/>
      <c r="CU168" s="2235"/>
      <c r="CV168" s="2235"/>
      <c r="CW168" s="2235" t="str">
        <f t="shared" si="341"/>
        <v/>
      </c>
      <c r="CX168" s="2235" t="str">
        <f t="shared" si="342"/>
        <v/>
      </c>
      <c r="CY168" s="2235"/>
      <c r="CZ168" s="2235"/>
      <c r="DA168" s="1468">
        <f t="shared" si="343"/>
        <v>0</v>
      </c>
      <c r="DB168" s="1468">
        <f t="shared" si="344"/>
        <v>0</v>
      </c>
      <c r="DC168" s="1468">
        <f t="shared" si="345"/>
        <v>0</v>
      </c>
      <c r="DD168" s="1468">
        <f t="shared" si="346"/>
        <v>0</v>
      </c>
      <c r="DE168" s="1468">
        <f t="shared" si="347"/>
        <v>0</v>
      </c>
      <c r="DF168" s="1468">
        <f t="shared" si="348"/>
        <v>0</v>
      </c>
      <c r="DG168" s="1468">
        <f t="shared" si="349"/>
        <v>0</v>
      </c>
      <c r="DH168" s="1468">
        <f t="shared" si="350"/>
        <v>0</v>
      </c>
      <c r="DI168" s="1468">
        <f t="shared" si="351"/>
        <v>0</v>
      </c>
      <c r="DJ168" s="1468"/>
      <c r="DK168" s="1468"/>
      <c r="DL168" s="1468"/>
      <c r="DM168" s="1468"/>
      <c r="DN168" s="1468"/>
      <c r="DO168" s="1468"/>
      <c r="DP168" s="1468"/>
      <c r="DQ168" s="1468"/>
      <c r="DR168" s="1468"/>
      <c r="DS168" s="1468"/>
      <c r="DT168" s="1468"/>
      <c r="DU168" s="1468"/>
      <c r="DV168" s="1468"/>
      <c r="DW168" s="1468">
        <f t="shared" si="352"/>
        <v>0</v>
      </c>
      <c r="DX168" s="1468">
        <f t="shared" si="352"/>
        <v>0</v>
      </c>
    </row>
    <row r="169" spans="1:130" ht="18.75" customHeight="1" x14ac:dyDescent="0.25">
      <c r="A169" s="9575" t="s">
        <v>1795</v>
      </c>
      <c r="B169" s="1163" t="s">
        <v>1812</v>
      </c>
      <c r="C169" s="1164">
        <f t="shared" ref="C169:D171" si="353">+O169+Q169+S169+U169+W169+Y169+AA169+AC169+AE169+AG169</f>
        <v>0</v>
      </c>
      <c r="D169" s="1355">
        <f t="shared" si="353"/>
        <v>0</v>
      </c>
      <c r="E169" s="694"/>
      <c r="F169" s="1154"/>
      <c r="G169" s="694"/>
      <c r="H169" s="1154"/>
      <c r="I169" s="694"/>
      <c r="J169" s="1154"/>
      <c r="K169" s="694"/>
      <c r="L169" s="1154"/>
      <c r="M169" s="694"/>
      <c r="N169" s="1154"/>
      <c r="O169" s="691"/>
      <c r="P169" s="709"/>
      <c r="Q169" s="691"/>
      <c r="R169" s="709"/>
      <c r="S169" s="691"/>
      <c r="T169" s="709"/>
      <c r="U169" s="691"/>
      <c r="V169" s="709"/>
      <c r="W169" s="691"/>
      <c r="X169" s="709"/>
      <c r="Y169" s="691"/>
      <c r="Z169" s="709"/>
      <c r="AA169" s="691"/>
      <c r="AB169" s="709"/>
      <c r="AC169" s="691"/>
      <c r="AD169" s="709"/>
      <c r="AE169" s="691"/>
      <c r="AF169" s="709"/>
      <c r="AG169" s="691"/>
      <c r="AH169" s="709"/>
      <c r="AI169" s="1165"/>
      <c r="AJ169" s="1166"/>
      <c r="AK169" s="1167"/>
      <c r="AL169" s="1168"/>
      <c r="AM169" s="1169"/>
      <c r="AN169" s="1170"/>
      <c r="AO169" s="1167"/>
      <c r="AP169" s="1168"/>
      <c r="AQ169" s="1171"/>
      <c r="AR169" s="1170"/>
      <c r="AS169" s="261"/>
      <c r="AT169" s="1155"/>
      <c r="AU169" s="1171"/>
      <c r="AV169" s="1170"/>
      <c r="AW169" s="1172"/>
      <c r="AX169" s="1173"/>
      <c r="AY169" s="1193" t="str">
        <f t="shared" si="331"/>
        <v/>
      </c>
      <c r="AZ169" s="1193"/>
      <c r="BA169" s="1193"/>
      <c r="BB169" s="1193"/>
      <c r="BC169" s="1193"/>
      <c r="BD169" s="1193"/>
      <c r="BE169" s="1193"/>
      <c r="BF169" s="1193"/>
      <c r="BG169" s="1187"/>
      <c r="BH169" s="1187"/>
      <c r="BI169" s="1187"/>
      <c r="BJ169" s="1187"/>
      <c r="BQ169" s="1187"/>
      <c r="BR169" s="1187"/>
      <c r="BS169" s="1187"/>
      <c r="BT169" s="1580"/>
      <c r="BU169" s="1580"/>
      <c r="CA169" s="2235" t="str">
        <f t="shared" si="332"/>
        <v/>
      </c>
      <c r="CB169" s="2235" t="str">
        <f t="shared" si="333"/>
        <v/>
      </c>
      <c r="CC169" s="2235" t="str">
        <f t="shared" si="334"/>
        <v/>
      </c>
      <c r="CD169" s="2235" t="str">
        <f t="shared" si="335"/>
        <v/>
      </c>
      <c r="CE169" s="2235" t="str">
        <f t="shared" si="336"/>
        <v/>
      </c>
      <c r="CF169" s="2235" t="str">
        <f t="shared" si="337"/>
        <v/>
      </c>
      <c r="CG169" s="2235" t="str">
        <f t="shared" si="338"/>
        <v/>
      </c>
      <c r="CH169" s="2235" t="str">
        <f t="shared" si="339"/>
        <v/>
      </c>
      <c r="CI169" s="2235" t="str">
        <f t="shared" si="340"/>
        <v/>
      </c>
      <c r="CJ169" s="2235"/>
      <c r="CK169" s="2235"/>
      <c r="CL169" s="2235"/>
      <c r="CM169" s="2235"/>
      <c r="CN169" s="2235"/>
      <c r="CO169" s="2235"/>
      <c r="CP169" s="2235"/>
      <c r="CQ169" s="2235"/>
      <c r="CR169" s="2235"/>
      <c r="CS169" s="2235"/>
      <c r="CT169" s="2235"/>
      <c r="CU169" s="2235"/>
      <c r="CV169" s="2235"/>
      <c r="CW169" s="2235" t="str">
        <f t="shared" si="341"/>
        <v/>
      </c>
      <c r="CX169" s="2235" t="str">
        <f t="shared" si="342"/>
        <v/>
      </c>
      <c r="CY169" s="2235"/>
      <c r="CZ169" s="2235"/>
      <c r="DA169" s="1468">
        <f t="shared" si="343"/>
        <v>0</v>
      </c>
      <c r="DB169" s="1468">
        <f t="shared" si="344"/>
        <v>0</v>
      </c>
      <c r="DC169" s="1468">
        <f t="shared" si="345"/>
        <v>0</v>
      </c>
      <c r="DD169" s="1468">
        <f t="shared" si="346"/>
        <v>0</v>
      </c>
      <c r="DE169" s="1468">
        <f t="shared" si="347"/>
        <v>0</v>
      </c>
      <c r="DF169" s="1468">
        <f t="shared" si="348"/>
        <v>0</v>
      </c>
      <c r="DG169" s="1468">
        <f t="shared" si="349"/>
        <v>0</v>
      </c>
      <c r="DH169" s="1468">
        <f t="shared" si="350"/>
        <v>0</v>
      </c>
      <c r="DI169" s="1468">
        <f t="shared" si="351"/>
        <v>0</v>
      </c>
      <c r="DJ169" s="1468"/>
      <c r="DK169" s="1468"/>
      <c r="DL169" s="1468"/>
      <c r="DM169" s="1468"/>
      <c r="DN169" s="1468"/>
      <c r="DO169" s="1468"/>
      <c r="DP169" s="1468"/>
      <c r="DQ169" s="1468"/>
      <c r="DR169" s="1468"/>
      <c r="DS169" s="1468"/>
      <c r="DT169" s="1468"/>
      <c r="DU169" s="1468"/>
      <c r="DV169" s="1468"/>
      <c r="DW169" s="1468">
        <f t="shared" si="352"/>
        <v>0</v>
      </c>
      <c r="DX169" s="1468">
        <f t="shared" si="352"/>
        <v>0</v>
      </c>
    </row>
    <row r="170" spans="1:130" ht="18.75" customHeight="1" x14ac:dyDescent="0.25">
      <c r="A170" s="9576"/>
      <c r="B170" s="1147" t="s">
        <v>1813</v>
      </c>
      <c r="C170" s="1356">
        <f t="shared" si="353"/>
        <v>0</v>
      </c>
      <c r="D170" s="839">
        <f t="shared" si="353"/>
        <v>0</v>
      </c>
      <c r="E170" s="1127"/>
      <c r="F170" s="1126"/>
      <c r="G170" s="1127"/>
      <c r="H170" s="1126"/>
      <c r="I170" s="1127"/>
      <c r="J170" s="1126"/>
      <c r="K170" s="1127"/>
      <c r="L170" s="1126"/>
      <c r="M170" s="1127"/>
      <c r="N170" s="1126"/>
      <c r="O170" s="1109"/>
      <c r="P170" s="1130"/>
      <c r="Q170" s="1109"/>
      <c r="R170" s="1130"/>
      <c r="S170" s="1109"/>
      <c r="T170" s="1130"/>
      <c r="U170" s="1109"/>
      <c r="V170" s="1130"/>
      <c r="W170" s="1109"/>
      <c r="X170" s="1130"/>
      <c r="Y170" s="1109"/>
      <c r="Z170" s="1130"/>
      <c r="AA170" s="1109"/>
      <c r="AB170" s="1130"/>
      <c r="AC170" s="1109"/>
      <c r="AD170" s="1130"/>
      <c r="AE170" s="1109"/>
      <c r="AF170" s="1130"/>
      <c r="AG170" s="1109"/>
      <c r="AH170" s="1130"/>
      <c r="AI170" s="1127"/>
      <c r="AJ170" s="1128"/>
      <c r="AK170" s="1156"/>
      <c r="AL170" s="1110"/>
      <c r="AM170" s="1109"/>
      <c r="AN170" s="1157"/>
      <c r="AO170" s="1156"/>
      <c r="AP170" s="1110"/>
      <c r="AQ170" s="1129"/>
      <c r="AR170" s="1157"/>
      <c r="AS170" s="1156"/>
      <c r="AT170" s="1157"/>
      <c r="AU170" s="1129"/>
      <c r="AV170" s="1157"/>
      <c r="AW170" s="1174"/>
      <c r="AX170" s="1175"/>
      <c r="AY170" s="1193" t="str">
        <f t="shared" si="331"/>
        <v/>
      </c>
      <c r="AZ170" s="1193"/>
      <c r="BA170" s="1193"/>
      <c r="BB170" s="1193"/>
      <c r="BC170" s="1193"/>
      <c r="BD170" s="1193"/>
      <c r="BE170" s="1193"/>
      <c r="BF170" s="1193"/>
      <c r="BG170" s="1187"/>
      <c r="BH170" s="1187"/>
      <c r="BI170" s="1187"/>
      <c r="BJ170" s="1187"/>
      <c r="BQ170" s="1187"/>
      <c r="BR170" s="1187"/>
      <c r="BS170" s="1187"/>
      <c r="BT170" s="1580"/>
      <c r="BU170" s="1580"/>
      <c r="CA170" s="2235" t="str">
        <f t="shared" si="332"/>
        <v/>
      </c>
      <c r="CB170" s="2235" t="str">
        <f t="shared" si="333"/>
        <v/>
      </c>
      <c r="CC170" s="2235" t="str">
        <f t="shared" si="334"/>
        <v/>
      </c>
      <c r="CD170" s="2235" t="str">
        <f t="shared" si="335"/>
        <v/>
      </c>
      <c r="CE170" s="2235" t="str">
        <f t="shared" si="336"/>
        <v/>
      </c>
      <c r="CF170" s="2235" t="str">
        <f t="shared" si="337"/>
        <v/>
      </c>
      <c r="CG170" s="2235" t="str">
        <f t="shared" si="338"/>
        <v/>
      </c>
      <c r="CH170" s="2235" t="str">
        <f t="shared" si="339"/>
        <v/>
      </c>
      <c r="CI170" s="2235" t="str">
        <f t="shared" si="340"/>
        <v/>
      </c>
      <c r="CJ170" s="2235"/>
      <c r="CK170" s="2235"/>
      <c r="CL170" s="2235"/>
      <c r="CM170" s="2235"/>
      <c r="CN170" s="2235"/>
      <c r="CO170" s="2235"/>
      <c r="CP170" s="2235"/>
      <c r="CQ170" s="2235"/>
      <c r="CR170" s="2235"/>
      <c r="CS170" s="2235"/>
      <c r="CT170" s="2235"/>
      <c r="CU170" s="2235"/>
      <c r="CV170" s="2235"/>
      <c r="CW170" s="2235" t="str">
        <f t="shared" si="341"/>
        <v/>
      </c>
      <c r="CX170" s="2235" t="str">
        <f t="shared" si="342"/>
        <v/>
      </c>
      <c r="CY170" s="2235"/>
      <c r="CZ170" s="2235"/>
      <c r="DA170" s="1468">
        <f t="shared" si="343"/>
        <v>0</v>
      </c>
      <c r="DB170" s="1468">
        <f t="shared" si="344"/>
        <v>0</v>
      </c>
      <c r="DC170" s="1468">
        <f t="shared" si="345"/>
        <v>0</v>
      </c>
      <c r="DD170" s="1468">
        <f t="shared" si="346"/>
        <v>0</v>
      </c>
      <c r="DE170" s="1468">
        <f t="shared" si="347"/>
        <v>0</v>
      </c>
      <c r="DF170" s="1468">
        <f t="shared" si="348"/>
        <v>0</v>
      </c>
      <c r="DG170" s="1468">
        <f t="shared" si="349"/>
        <v>0</v>
      </c>
      <c r="DH170" s="1468">
        <f t="shared" si="350"/>
        <v>0</v>
      </c>
      <c r="DI170" s="1468">
        <f t="shared" si="351"/>
        <v>0</v>
      </c>
      <c r="DJ170" s="1468"/>
      <c r="DK170" s="1468"/>
      <c r="DL170" s="1468"/>
      <c r="DM170" s="1468"/>
      <c r="DN170" s="1468"/>
      <c r="DO170" s="1468"/>
      <c r="DP170" s="1468"/>
      <c r="DQ170" s="1468"/>
      <c r="DR170" s="1468"/>
      <c r="DS170" s="1468"/>
      <c r="DT170" s="1468"/>
      <c r="DU170" s="1468"/>
      <c r="DV170" s="1468"/>
      <c r="DW170" s="1468">
        <f t="shared" si="352"/>
        <v>0</v>
      </c>
      <c r="DX170" s="1468">
        <f t="shared" si="352"/>
        <v>0</v>
      </c>
    </row>
    <row r="171" spans="1:130" ht="18.75" customHeight="1" x14ac:dyDescent="0.25">
      <c r="A171" s="9134"/>
      <c r="B171" s="318" t="s">
        <v>1814</v>
      </c>
      <c r="C171" s="1357">
        <f t="shared" si="353"/>
        <v>0</v>
      </c>
      <c r="D171" s="1359">
        <f t="shared" si="353"/>
        <v>0</v>
      </c>
      <c r="E171" s="82"/>
      <c r="F171" s="84"/>
      <c r="G171" s="82"/>
      <c r="H171" s="84"/>
      <c r="I171" s="82"/>
      <c r="J171" s="84"/>
      <c r="K171" s="82"/>
      <c r="L171" s="84"/>
      <c r="M171" s="82"/>
      <c r="N171" s="84"/>
      <c r="O171" s="125"/>
      <c r="P171" s="83"/>
      <c r="Q171" s="125"/>
      <c r="R171" s="83"/>
      <c r="S171" s="125"/>
      <c r="T171" s="83"/>
      <c r="U171" s="125"/>
      <c r="V171" s="83"/>
      <c r="W171" s="125"/>
      <c r="X171" s="83"/>
      <c r="Y171" s="125"/>
      <c r="Z171" s="83"/>
      <c r="AA171" s="125"/>
      <c r="AB171" s="83"/>
      <c r="AC171" s="125"/>
      <c r="AD171" s="83"/>
      <c r="AE171" s="125"/>
      <c r="AF171" s="83"/>
      <c r="AG171" s="125"/>
      <c r="AH171" s="83"/>
      <c r="AI171" s="1487"/>
      <c r="AJ171" s="1613"/>
      <c r="AK171" s="264"/>
      <c r="AL171" s="127"/>
      <c r="AM171" s="125"/>
      <c r="AN171" s="254"/>
      <c r="AO171" s="264"/>
      <c r="AP171" s="127"/>
      <c r="AQ171" s="102"/>
      <c r="AR171" s="254"/>
      <c r="AS171" s="264"/>
      <c r="AT171" s="254"/>
      <c r="AU171" s="102"/>
      <c r="AV171" s="254"/>
      <c r="AW171" s="1176"/>
      <c r="AX171" s="803"/>
      <c r="AY171" s="1193" t="str">
        <f t="shared" si="331"/>
        <v/>
      </c>
      <c r="AZ171" s="1193"/>
      <c r="BA171" s="1193"/>
      <c r="BB171" s="1193"/>
      <c r="BC171" s="1193"/>
      <c r="BD171" s="1193"/>
      <c r="BE171" s="1193"/>
      <c r="BF171" s="1193"/>
      <c r="BG171" s="1187"/>
      <c r="BH171" s="1187"/>
      <c r="BI171" s="1187"/>
      <c r="BJ171" s="1187"/>
      <c r="BQ171" s="1187"/>
      <c r="BR171" s="1187"/>
      <c r="BS171" s="1187"/>
      <c r="BT171" s="1580"/>
      <c r="BU171" s="1580"/>
      <c r="CA171" s="2235" t="str">
        <f t="shared" si="332"/>
        <v/>
      </c>
      <c r="CB171" s="2235" t="str">
        <f t="shared" si="333"/>
        <v/>
      </c>
      <c r="CC171" s="2235" t="str">
        <f t="shared" si="334"/>
        <v/>
      </c>
      <c r="CD171" s="2235" t="str">
        <f t="shared" si="335"/>
        <v/>
      </c>
      <c r="CE171" s="2235" t="str">
        <f t="shared" si="336"/>
        <v/>
      </c>
      <c r="CF171" s="2235" t="str">
        <f t="shared" si="337"/>
        <v/>
      </c>
      <c r="CG171" s="2235" t="str">
        <f t="shared" si="338"/>
        <v/>
      </c>
      <c r="CH171" s="2235" t="str">
        <f t="shared" si="339"/>
        <v/>
      </c>
      <c r="CI171" s="2235" t="str">
        <f t="shared" si="340"/>
        <v/>
      </c>
      <c r="CJ171" s="2235"/>
      <c r="CK171" s="2235"/>
      <c r="CL171" s="2235"/>
      <c r="CM171" s="2235"/>
      <c r="CN171" s="2235"/>
      <c r="CO171" s="2235"/>
      <c r="CP171" s="2235"/>
      <c r="CQ171" s="2235"/>
      <c r="CR171" s="2235"/>
      <c r="CS171" s="2235"/>
      <c r="CT171" s="2235"/>
      <c r="CU171" s="2235"/>
      <c r="CV171" s="2235"/>
      <c r="CW171" s="2235" t="str">
        <f t="shared" si="341"/>
        <v/>
      </c>
      <c r="CX171" s="2235" t="str">
        <f t="shared" si="342"/>
        <v/>
      </c>
      <c r="CY171" s="2235"/>
      <c r="CZ171" s="2235"/>
      <c r="DA171" s="1468">
        <f t="shared" si="343"/>
        <v>0</v>
      </c>
      <c r="DB171" s="1468">
        <f t="shared" si="344"/>
        <v>0</v>
      </c>
      <c r="DC171" s="1468">
        <f t="shared" si="345"/>
        <v>0</v>
      </c>
      <c r="DD171" s="1468">
        <f t="shared" si="346"/>
        <v>0</v>
      </c>
      <c r="DE171" s="1468">
        <f t="shared" si="347"/>
        <v>0</v>
      </c>
      <c r="DF171" s="1468">
        <f t="shared" si="348"/>
        <v>0</v>
      </c>
      <c r="DG171" s="1468">
        <f t="shared" si="349"/>
        <v>0</v>
      </c>
      <c r="DH171" s="1468">
        <f t="shared" si="350"/>
        <v>0</v>
      </c>
      <c r="DI171" s="1468">
        <f t="shared" si="351"/>
        <v>0</v>
      </c>
      <c r="DJ171" s="1468"/>
      <c r="DK171" s="1468"/>
      <c r="DL171" s="1468"/>
      <c r="DM171" s="1468"/>
      <c r="DN171" s="1468"/>
      <c r="DO171" s="1468"/>
      <c r="DP171" s="1468"/>
      <c r="DQ171" s="1468"/>
      <c r="DR171" s="1468"/>
      <c r="DS171" s="1468"/>
      <c r="DT171" s="1468"/>
      <c r="DU171" s="1468"/>
      <c r="DV171" s="1468"/>
      <c r="DW171" s="1468">
        <f t="shared" si="352"/>
        <v>0</v>
      </c>
      <c r="DX171" s="1468">
        <f t="shared" si="352"/>
        <v>0</v>
      </c>
    </row>
    <row r="172" spans="1:130" ht="16.149999999999999" customHeight="1" x14ac:dyDescent="0.25">
      <c r="A172" s="9566" t="s">
        <v>1796</v>
      </c>
      <c r="B172" s="9567"/>
      <c r="C172" s="1164">
        <f t="shared" ref="C172:D174" si="354">+E172+G172+I172+K172+M172+O172+Q172+S172+U172+W172+Y172+AA172+AC172+AE172+AG172+AI172</f>
        <v>0</v>
      </c>
      <c r="D172" s="839">
        <f t="shared" si="354"/>
        <v>0</v>
      </c>
      <c r="E172" s="906"/>
      <c r="F172" s="78"/>
      <c r="G172" s="906"/>
      <c r="H172" s="78"/>
      <c r="I172" s="906"/>
      <c r="J172" s="78"/>
      <c r="K172" s="906"/>
      <c r="L172" s="78"/>
      <c r="M172" s="824"/>
      <c r="N172" s="747"/>
      <c r="O172" s="824"/>
      <c r="P172" s="747"/>
      <c r="Q172" s="824"/>
      <c r="R172" s="747"/>
      <c r="S172" s="824"/>
      <c r="T172" s="747"/>
      <c r="U172" s="824"/>
      <c r="V172" s="747"/>
      <c r="W172" s="824"/>
      <c r="X172" s="747"/>
      <c r="Y172" s="824"/>
      <c r="Z172" s="747"/>
      <c r="AA172" s="824"/>
      <c r="AB172" s="747"/>
      <c r="AC172" s="824"/>
      <c r="AD172" s="1177"/>
      <c r="AE172" s="824"/>
      <c r="AF172" s="1177"/>
      <c r="AG172" s="1144"/>
      <c r="AH172" s="947"/>
      <c r="AI172" s="824"/>
      <c r="AJ172" s="747"/>
      <c r="AK172" s="261"/>
      <c r="AL172" s="143"/>
      <c r="AM172" s="906"/>
      <c r="AN172" s="1155"/>
      <c r="AO172" s="261"/>
      <c r="AP172" s="143"/>
      <c r="AQ172" s="1178"/>
      <c r="AR172" s="1155"/>
      <c r="AS172" s="261"/>
      <c r="AT172" s="1155"/>
      <c r="AU172" s="261"/>
      <c r="AV172" s="143"/>
      <c r="AW172" s="261"/>
      <c r="AX172" s="143"/>
      <c r="AY172" s="1193" t="str">
        <f t="shared" si="331"/>
        <v/>
      </c>
      <c r="AZ172" s="1193"/>
      <c r="BA172" s="1193"/>
      <c r="BB172" s="1193"/>
      <c r="BC172" s="1193"/>
      <c r="BD172" s="1193"/>
      <c r="BE172" s="1193"/>
      <c r="BF172" s="1193"/>
      <c r="BG172" s="1187"/>
      <c r="BH172" s="1187"/>
      <c r="BI172" s="1187"/>
      <c r="BJ172" s="1187"/>
      <c r="BQ172" s="1187"/>
      <c r="BR172" s="1187"/>
      <c r="BS172" s="1187"/>
      <c r="BT172" s="1580"/>
      <c r="BU172" s="1580"/>
      <c r="CA172" s="2235" t="str">
        <f t="shared" si="332"/>
        <v/>
      </c>
      <c r="CB172" s="2235" t="str">
        <f t="shared" si="333"/>
        <v/>
      </c>
      <c r="CC172" s="2235" t="str">
        <f t="shared" si="334"/>
        <v/>
      </c>
      <c r="CD172" s="2235" t="str">
        <f t="shared" si="335"/>
        <v/>
      </c>
      <c r="CE172" s="2235" t="str">
        <f t="shared" si="336"/>
        <v/>
      </c>
      <c r="CF172" s="2235" t="str">
        <f t="shared" si="337"/>
        <v/>
      </c>
      <c r="CG172" s="2235" t="str">
        <f t="shared" si="338"/>
        <v/>
      </c>
      <c r="CH172" s="2235" t="str">
        <f t="shared" si="339"/>
        <v/>
      </c>
      <c r="CI172" s="2235" t="str">
        <f t="shared" si="340"/>
        <v/>
      </c>
      <c r="CJ172" s="2235"/>
      <c r="CK172" s="2235"/>
      <c r="CL172" s="2235"/>
      <c r="CM172" s="2235"/>
      <c r="CN172" s="2235"/>
      <c r="CO172" s="2235"/>
      <c r="CP172" s="2235"/>
      <c r="CQ172" s="2235"/>
      <c r="CR172" s="2235"/>
      <c r="CS172" s="2235"/>
      <c r="CT172" s="2235"/>
      <c r="CU172" s="2235"/>
      <c r="CV172" s="2235"/>
      <c r="CW172" s="2235" t="str">
        <f t="shared" si="341"/>
        <v/>
      </c>
      <c r="CX172" s="2235" t="str">
        <f t="shared" si="342"/>
        <v/>
      </c>
      <c r="CY172" s="2235"/>
      <c r="CZ172" s="2235"/>
      <c r="DA172" s="1468">
        <f t="shared" si="343"/>
        <v>0</v>
      </c>
      <c r="DB172" s="1468">
        <f t="shared" si="344"/>
        <v>0</v>
      </c>
      <c r="DC172" s="1468">
        <f t="shared" si="345"/>
        <v>0</v>
      </c>
      <c r="DD172" s="1468">
        <f t="shared" si="346"/>
        <v>0</v>
      </c>
      <c r="DE172" s="1468">
        <f t="shared" si="347"/>
        <v>0</v>
      </c>
      <c r="DF172" s="1468">
        <f t="shared" si="348"/>
        <v>0</v>
      </c>
      <c r="DG172" s="1468">
        <f t="shared" si="349"/>
        <v>0</v>
      </c>
      <c r="DH172" s="1468">
        <f t="shared" si="350"/>
        <v>0</v>
      </c>
      <c r="DI172" s="1468">
        <f t="shared" si="351"/>
        <v>0</v>
      </c>
      <c r="DJ172" s="1468"/>
      <c r="DK172" s="1468"/>
      <c r="DL172" s="1468"/>
      <c r="DM172" s="1468"/>
      <c r="DN172" s="1468"/>
      <c r="DO172" s="1468"/>
      <c r="DP172" s="1468"/>
      <c r="DQ172" s="1468"/>
      <c r="DR172" s="1468"/>
      <c r="DS172" s="1468"/>
      <c r="DT172" s="1468"/>
      <c r="DU172" s="1468"/>
      <c r="DV172" s="1468"/>
      <c r="DW172" s="1468">
        <f t="shared" si="352"/>
        <v>0</v>
      </c>
      <c r="DX172" s="1468">
        <f t="shared" si="352"/>
        <v>0</v>
      </c>
    </row>
    <row r="173" spans="1:130" ht="16.149999999999999" customHeight="1" x14ac:dyDescent="0.25">
      <c r="A173" s="9568" t="s">
        <v>1829</v>
      </c>
      <c r="B173" s="9569"/>
      <c r="C173" s="1356">
        <f t="shared" si="354"/>
        <v>0</v>
      </c>
      <c r="D173" s="1158">
        <f t="shared" si="354"/>
        <v>0</v>
      </c>
      <c r="E173" s="1109"/>
      <c r="F173" s="1130"/>
      <c r="G173" s="1109"/>
      <c r="H173" s="1130"/>
      <c r="I173" s="1109"/>
      <c r="J173" s="1130"/>
      <c r="K173" s="1109"/>
      <c r="L173" s="1130"/>
      <c r="M173" s="1109"/>
      <c r="N173" s="1130"/>
      <c r="O173" s="1162"/>
      <c r="P173" s="115"/>
      <c r="Q173" s="1162"/>
      <c r="R173" s="115"/>
      <c r="S173" s="1162"/>
      <c r="T173" s="115"/>
      <c r="U173" s="1162"/>
      <c r="V173" s="115"/>
      <c r="W173" s="1162"/>
      <c r="X173" s="115"/>
      <c r="Y173" s="1162"/>
      <c r="Z173" s="115"/>
      <c r="AA173" s="1162"/>
      <c r="AB173" s="115"/>
      <c r="AC173" s="1162"/>
      <c r="AD173" s="116"/>
      <c r="AE173" s="1162"/>
      <c r="AF173" s="116"/>
      <c r="AG173" s="1162"/>
      <c r="AH173" s="138"/>
      <c r="AI173" s="1162"/>
      <c r="AJ173" s="115"/>
      <c r="AK173" s="262"/>
      <c r="AL173" s="164"/>
      <c r="AM173" s="1162"/>
      <c r="AN173" s="578"/>
      <c r="AO173" s="262"/>
      <c r="AP173" s="164"/>
      <c r="AQ173" s="113"/>
      <c r="AR173" s="578"/>
      <c r="AS173" s="262"/>
      <c r="AT173" s="578"/>
      <c r="AU173" s="262"/>
      <c r="AV173" s="164"/>
      <c r="AW173" s="262"/>
      <c r="AX173" s="164"/>
      <c r="AY173" s="1193" t="str">
        <f t="shared" si="331"/>
        <v/>
      </c>
      <c r="AZ173" s="1193"/>
      <c r="BA173" s="1193"/>
      <c r="BB173" s="1193"/>
      <c r="BC173" s="1193"/>
      <c r="BD173" s="1193"/>
      <c r="BE173" s="1193"/>
      <c r="BF173" s="1193"/>
      <c r="BG173" s="1187"/>
      <c r="BH173" s="1187"/>
      <c r="BI173" s="1187"/>
      <c r="BJ173" s="1187"/>
      <c r="BQ173" s="1187"/>
      <c r="BR173" s="1187"/>
      <c r="BS173" s="1187"/>
      <c r="BT173" s="1580"/>
      <c r="BU173" s="1580"/>
      <c r="CA173" s="2235" t="str">
        <f t="shared" si="332"/>
        <v/>
      </c>
      <c r="CB173" s="2235" t="str">
        <f t="shared" si="333"/>
        <v/>
      </c>
      <c r="CC173" s="2235" t="str">
        <f t="shared" si="334"/>
        <v/>
      </c>
      <c r="CD173" s="2235" t="str">
        <f t="shared" si="335"/>
        <v/>
      </c>
      <c r="CE173" s="2235" t="str">
        <f t="shared" si="336"/>
        <v/>
      </c>
      <c r="CF173" s="2235" t="str">
        <f t="shared" si="337"/>
        <v/>
      </c>
      <c r="CG173" s="2235" t="str">
        <f t="shared" si="338"/>
        <v/>
      </c>
      <c r="CH173" s="2235" t="str">
        <f t="shared" si="339"/>
        <v/>
      </c>
      <c r="CI173" s="2235" t="str">
        <f t="shared" si="340"/>
        <v/>
      </c>
      <c r="CJ173" s="2235"/>
      <c r="CK173" s="2235"/>
      <c r="CL173" s="2235"/>
      <c r="CM173" s="2235"/>
      <c r="CN173" s="2235"/>
      <c r="CO173" s="2235"/>
      <c r="CP173" s="2235"/>
      <c r="CQ173" s="2235"/>
      <c r="CR173" s="2235"/>
      <c r="CS173" s="2235"/>
      <c r="CT173" s="2235"/>
      <c r="CU173" s="2235"/>
      <c r="CV173" s="2235"/>
      <c r="CW173" s="2235" t="str">
        <f t="shared" si="341"/>
        <v/>
      </c>
      <c r="CX173" s="2235" t="str">
        <f t="shared" si="342"/>
        <v/>
      </c>
      <c r="CY173" s="2235"/>
      <c r="CZ173" s="2235"/>
      <c r="DA173" s="1468">
        <f t="shared" si="343"/>
        <v>0</v>
      </c>
      <c r="DB173" s="1468">
        <f t="shared" si="344"/>
        <v>0</v>
      </c>
      <c r="DC173" s="1468">
        <f t="shared" si="345"/>
        <v>0</v>
      </c>
      <c r="DD173" s="1468">
        <f t="shared" si="346"/>
        <v>0</v>
      </c>
      <c r="DE173" s="1468">
        <f t="shared" si="347"/>
        <v>0</v>
      </c>
      <c r="DF173" s="1468">
        <f t="shared" si="348"/>
        <v>0</v>
      </c>
      <c r="DG173" s="1468">
        <f t="shared" si="349"/>
        <v>0</v>
      </c>
      <c r="DH173" s="1468">
        <f t="shared" si="350"/>
        <v>0</v>
      </c>
      <c r="DI173" s="1468">
        <f t="shared" si="351"/>
        <v>0</v>
      </c>
      <c r="DJ173" s="1468"/>
      <c r="DK173" s="1468"/>
      <c r="DL173" s="1468"/>
      <c r="DM173" s="1468"/>
      <c r="DN173" s="1468"/>
      <c r="DO173" s="1468"/>
      <c r="DP173" s="1468"/>
      <c r="DQ173" s="1468"/>
      <c r="DR173" s="1468"/>
      <c r="DS173" s="1468"/>
      <c r="DT173" s="1468"/>
      <c r="DU173" s="1468"/>
      <c r="DV173" s="1468"/>
      <c r="DW173" s="1468">
        <f t="shared" si="352"/>
        <v>0</v>
      </c>
      <c r="DX173" s="1468">
        <f t="shared" si="352"/>
        <v>0</v>
      </c>
    </row>
    <row r="174" spans="1:130" ht="16.149999999999999" customHeight="1" x14ac:dyDescent="0.25">
      <c r="A174" s="9568" t="s">
        <v>1798</v>
      </c>
      <c r="B174" s="9569"/>
      <c r="C174" s="1356">
        <f t="shared" si="354"/>
        <v>0</v>
      </c>
      <c r="D174" s="1158">
        <f>+F174+H174+J174+L174+N174+P174+R174+T174+V174+X174+Z174+AB174+AD174+AF174+AH174+AJ174</f>
        <v>0</v>
      </c>
      <c r="E174" s="1109"/>
      <c r="F174" s="1130"/>
      <c r="G174" s="1109"/>
      <c r="H174" s="1130"/>
      <c r="I174" s="1109"/>
      <c r="J174" s="1130"/>
      <c r="K174" s="1109"/>
      <c r="L174" s="1130"/>
      <c r="M174" s="1109"/>
      <c r="N174" s="1130"/>
      <c r="O174" s="1162"/>
      <c r="P174" s="115"/>
      <c r="Q174" s="1162"/>
      <c r="R174" s="115"/>
      <c r="S174" s="1162"/>
      <c r="T174" s="115"/>
      <c r="U174" s="1162"/>
      <c r="V174" s="115"/>
      <c r="W174" s="1162"/>
      <c r="X174" s="115"/>
      <c r="Y174" s="1162"/>
      <c r="Z174" s="115"/>
      <c r="AA174" s="1162"/>
      <c r="AB174" s="115"/>
      <c r="AC174" s="1162"/>
      <c r="AD174" s="116"/>
      <c r="AE174" s="1162"/>
      <c r="AF174" s="116"/>
      <c r="AG174" s="1162"/>
      <c r="AH174" s="138"/>
      <c r="AI174" s="1162"/>
      <c r="AJ174" s="115"/>
      <c r="AK174" s="262"/>
      <c r="AL174" s="164"/>
      <c r="AM174" s="1162"/>
      <c r="AN174" s="578"/>
      <c r="AO174" s="262"/>
      <c r="AP174" s="164"/>
      <c r="AQ174" s="113"/>
      <c r="AR174" s="578"/>
      <c r="AS174" s="262"/>
      <c r="AT174" s="578"/>
      <c r="AU174" s="262"/>
      <c r="AV174" s="164"/>
      <c r="AW174" s="262"/>
      <c r="AX174" s="164"/>
      <c r="AY174" s="1193" t="str">
        <f t="shared" si="331"/>
        <v/>
      </c>
      <c r="AZ174" s="1193"/>
      <c r="BA174" s="1193"/>
      <c r="BB174" s="1193"/>
      <c r="BC174" s="1193"/>
      <c r="BD174" s="1193"/>
      <c r="BE174" s="1193"/>
      <c r="BF174" s="1193"/>
      <c r="BG174" s="1187"/>
      <c r="BH174" s="1187"/>
      <c r="BI174" s="1187"/>
      <c r="BJ174" s="1187"/>
      <c r="BQ174" s="1187"/>
      <c r="BR174" s="1187"/>
      <c r="BS174" s="1187"/>
      <c r="BT174" s="1580"/>
      <c r="BU174" s="1580"/>
      <c r="CA174" s="2235" t="str">
        <f t="shared" si="332"/>
        <v/>
      </c>
      <c r="CB174" s="2235" t="str">
        <f t="shared" si="333"/>
        <v/>
      </c>
      <c r="CC174" s="2235" t="str">
        <f t="shared" si="334"/>
        <v/>
      </c>
      <c r="CD174" s="2235" t="str">
        <f t="shared" si="335"/>
        <v/>
      </c>
      <c r="CE174" s="2235" t="str">
        <f t="shared" si="336"/>
        <v/>
      </c>
      <c r="CF174" s="2235" t="str">
        <f t="shared" si="337"/>
        <v/>
      </c>
      <c r="CG174" s="2235" t="str">
        <f t="shared" si="338"/>
        <v/>
      </c>
      <c r="CH174" s="2235" t="str">
        <f t="shared" si="339"/>
        <v/>
      </c>
      <c r="CI174" s="2235" t="str">
        <f t="shared" si="340"/>
        <v/>
      </c>
      <c r="CJ174" s="2235"/>
      <c r="CK174" s="2235"/>
      <c r="CL174" s="2235"/>
      <c r="CM174" s="2235"/>
      <c r="CN174" s="2235"/>
      <c r="CO174" s="2235"/>
      <c r="CP174" s="2235"/>
      <c r="CQ174" s="2235"/>
      <c r="CR174" s="2235"/>
      <c r="CS174" s="2235"/>
      <c r="CT174" s="2235"/>
      <c r="CU174" s="2235"/>
      <c r="CV174" s="2235"/>
      <c r="CW174" s="2235" t="str">
        <f t="shared" si="341"/>
        <v/>
      </c>
      <c r="CX174" s="2235" t="str">
        <f t="shared" si="342"/>
        <v/>
      </c>
      <c r="CY174" s="2235"/>
      <c r="CZ174" s="2235"/>
      <c r="DA174" s="1468">
        <f t="shared" si="343"/>
        <v>0</v>
      </c>
      <c r="DB174" s="1468">
        <f t="shared" si="344"/>
        <v>0</v>
      </c>
      <c r="DC174" s="1468">
        <f t="shared" si="345"/>
        <v>0</v>
      </c>
      <c r="DD174" s="1468">
        <f t="shared" si="346"/>
        <v>0</v>
      </c>
      <c r="DE174" s="1468">
        <f t="shared" si="347"/>
        <v>0</v>
      </c>
      <c r="DF174" s="1468">
        <f t="shared" si="348"/>
        <v>0</v>
      </c>
      <c r="DG174" s="1468">
        <f t="shared" si="349"/>
        <v>0</v>
      </c>
      <c r="DH174" s="1468">
        <f t="shared" si="350"/>
        <v>0</v>
      </c>
      <c r="DI174" s="1468">
        <f t="shared" si="351"/>
        <v>0</v>
      </c>
      <c r="DJ174" s="1468"/>
      <c r="DK174" s="1468"/>
      <c r="DL174" s="1468"/>
      <c r="DM174" s="1468"/>
      <c r="DN174" s="1468"/>
      <c r="DO174" s="1468"/>
      <c r="DP174" s="1468"/>
      <c r="DQ174" s="1468"/>
      <c r="DR174" s="1468"/>
      <c r="DS174" s="1468"/>
      <c r="DT174" s="1468"/>
      <c r="DU174" s="1468"/>
      <c r="DV174" s="1468"/>
      <c r="DW174" s="1468">
        <f t="shared" si="352"/>
        <v>0</v>
      </c>
      <c r="DX174" s="1468">
        <f t="shared" si="352"/>
        <v>0</v>
      </c>
    </row>
    <row r="175" spans="1:130" ht="16.149999999999999" customHeight="1" x14ac:dyDescent="0.25">
      <c r="A175" s="9568" t="s">
        <v>1830</v>
      </c>
      <c r="B175" s="9569"/>
      <c r="C175" s="1356">
        <f t="shared" ref="C175:D177" si="355">+O175+Q175+S175+U175+W175+Y175+AA175+AC175+AE175+AG175+AI175</f>
        <v>0</v>
      </c>
      <c r="D175" s="846">
        <f t="shared" si="355"/>
        <v>0</v>
      </c>
      <c r="E175" s="1127"/>
      <c r="F175" s="1126"/>
      <c r="G175" s="1127"/>
      <c r="H175" s="1126"/>
      <c r="I175" s="1127"/>
      <c r="J175" s="1126"/>
      <c r="K175" s="1127"/>
      <c r="L175" s="1126"/>
      <c r="M175" s="1127"/>
      <c r="N175" s="1126"/>
      <c r="O175" s="1162"/>
      <c r="P175" s="115"/>
      <c r="Q175" s="1162"/>
      <c r="R175" s="115"/>
      <c r="S175" s="1162"/>
      <c r="T175" s="115"/>
      <c r="U175" s="1162"/>
      <c r="V175" s="115"/>
      <c r="W175" s="1162"/>
      <c r="X175" s="115"/>
      <c r="Y175" s="1162"/>
      <c r="Z175" s="115"/>
      <c r="AA175" s="1162"/>
      <c r="AB175" s="115"/>
      <c r="AC175" s="1162"/>
      <c r="AD175" s="116"/>
      <c r="AE175" s="1162"/>
      <c r="AF175" s="116"/>
      <c r="AG175" s="1162"/>
      <c r="AH175" s="138"/>
      <c r="AI175" s="1162"/>
      <c r="AJ175" s="115"/>
      <c r="AK175" s="262"/>
      <c r="AL175" s="164"/>
      <c r="AM175" s="1162"/>
      <c r="AN175" s="578"/>
      <c r="AO175" s="262"/>
      <c r="AP175" s="164"/>
      <c r="AQ175" s="113"/>
      <c r="AR175" s="578"/>
      <c r="AS175" s="262"/>
      <c r="AT175" s="578"/>
      <c r="AU175" s="262"/>
      <c r="AV175" s="164"/>
      <c r="AW175" s="262"/>
      <c r="AX175" s="164"/>
      <c r="AY175" s="1193" t="str">
        <f t="shared" si="331"/>
        <v/>
      </c>
      <c r="AZ175" s="1193"/>
      <c r="BA175" s="1193"/>
      <c r="BB175" s="1193"/>
      <c r="BC175" s="1193"/>
      <c r="BD175" s="1193"/>
      <c r="BE175" s="1193"/>
      <c r="BF175" s="1193"/>
      <c r="BG175" s="1187"/>
      <c r="BH175" s="1187"/>
      <c r="BI175" s="1187"/>
      <c r="BJ175" s="1187"/>
      <c r="BQ175" s="1187"/>
      <c r="BR175" s="1187"/>
      <c r="BS175" s="1187"/>
      <c r="BT175" s="1580"/>
      <c r="BU175" s="1580"/>
      <c r="CA175" s="2235" t="str">
        <f t="shared" si="332"/>
        <v/>
      </c>
      <c r="CB175" s="2235" t="str">
        <f t="shared" si="333"/>
        <v/>
      </c>
      <c r="CC175" s="2235" t="str">
        <f t="shared" si="334"/>
        <v/>
      </c>
      <c r="CD175" s="2235" t="str">
        <f t="shared" si="335"/>
        <v/>
      </c>
      <c r="CE175" s="2235" t="str">
        <f t="shared" si="336"/>
        <v/>
      </c>
      <c r="CF175" s="2235" t="str">
        <f t="shared" si="337"/>
        <v/>
      </c>
      <c r="CG175" s="2235" t="str">
        <f t="shared" si="338"/>
        <v/>
      </c>
      <c r="CH175" s="2235" t="str">
        <f t="shared" si="339"/>
        <v/>
      </c>
      <c r="CI175" s="2235" t="str">
        <f t="shared" si="340"/>
        <v/>
      </c>
      <c r="CJ175" s="2235"/>
      <c r="CK175" s="2235"/>
      <c r="CL175" s="2235"/>
      <c r="CM175" s="2235"/>
      <c r="CN175" s="2235"/>
      <c r="CO175" s="2235"/>
      <c r="CP175" s="2235"/>
      <c r="CQ175" s="2235"/>
      <c r="CR175" s="2235"/>
      <c r="CS175" s="2235"/>
      <c r="CT175" s="2235"/>
      <c r="CU175" s="2235"/>
      <c r="CV175" s="2235"/>
      <c r="CW175" s="2235" t="str">
        <f t="shared" si="341"/>
        <v/>
      </c>
      <c r="CX175" s="2235" t="str">
        <f t="shared" si="342"/>
        <v/>
      </c>
      <c r="CY175" s="2235"/>
      <c r="CZ175" s="2235"/>
      <c r="DA175" s="1468">
        <f t="shared" si="343"/>
        <v>0</v>
      </c>
      <c r="DB175" s="1468">
        <f t="shared" si="344"/>
        <v>0</v>
      </c>
      <c r="DC175" s="1468">
        <f t="shared" si="345"/>
        <v>0</v>
      </c>
      <c r="DD175" s="1468">
        <f t="shared" si="346"/>
        <v>0</v>
      </c>
      <c r="DE175" s="1468">
        <f t="shared" si="347"/>
        <v>0</v>
      </c>
      <c r="DF175" s="1468">
        <f t="shared" si="348"/>
        <v>0</v>
      </c>
      <c r="DG175" s="1468">
        <f t="shared" si="349"/>
        <v>0</v>
      </c>
      <c r="DH175" s="1468">
        <f t="shared" si="350"/>
        <v>0</v>
      </c>
      <c r="DI175" s="1468">
        <f t="shared" si="351"/>
        <v>0</v>
      </c>
      <c r="DJ175" s="1468"/>
      <c r="DK175" s="1468"/>
      <c r="DL175" s="1468"/>
      <c r="DM175" s="1468"/>
      <c r="DN175" s="1468"/>
      <c r="DO175" s="1468"/>
      <c r="DP175" s="1468"/>
      <c r="DQ175" s="1468"/>
      <c r="DR175" s="1468"/>
      <c r="DS175" s="1468"/>
      <c r="DT175" s="1468"/>
      <c r="DU175" s="1468"/>
      <c r="DV175" s="1468"/>
      <c r="DW175" s="1468">
        <f t="shared" si="352"/>
        <v>0</v>
      </c>
      <c r="DX175" s="1468">
        <f t="shared" si="352"/>
        <v>0</v>
      </c>
    </row>
    <row r="176" spans="1:130" ht="16.149999999999999" customHeight="1" x14ac:dyDescent="0.25">
      <c r="A176" s="9568" t="s">
        <v>1831</v>
      </c>
      <c r="B176" s="9569"/>
      <c r="C176" s="1356">
        <f t="shared" si="355"/>
        <v>0</v>
      </c>
      <c r="D176" s="846">
        <f t="shared" si="355"/>
        <v>0</v>
      </c>
      <c r="E176" s="1127"/>
      <c r="F176" s="1126"/>
      <c r="G176" s="1127"/>
      <c r="H176" s="1126"/>
      <c r="I176" s="1127"/>
      <c r="J176" s="1126"/>
      <c r="K176" s="1127"/>
      <c r="L176" s="1126"/>
      <c r="M176" s="1127"/>
      <c r="N176" s="1126"/>
      <c r="O176" s="1162"/>
      <c r="P176" s="115"/>
      <c r="Q176" s="1162"/>
      <c r="R176" s="115"/>
      <c r="S176" s="1162"/>
      <c r="T176" s="115"/>
      <c r="U176" s="1162"/>
      <c r="V176" s="115"/>
      <c r="W176" s="1162"/>
      <c r="X176" s="115"/>
      <c r="Y176" s="1162"/>
      <c r="Z176" s="115"/>
      <c r="AA176" s="1162"/>
      <c r="AB176" s="115"/>
      <c r="AC176" s="1162"/>
      <c r="AD176" s="116"/>
      <c r="AE176" s="1162"/>
      <c r="AF176" s="116"/>
      <c r="AG176" s="1109"/>
      <c r="AH176" s="164"/>
      <c r="AI176" s="1109"/>
      <c r="AJ176" s="113"/>
      <c r="AK176" s="262"/>
      <c r="AL176" s="164"/>
      <c r="AM176" s="1162"/>
      <c r="AN176" s="578"/>
      <c r="AO176" s="262"/>
      <c r="AP176" s="164"/>
      <c r="AQ176" s="113"/>
      <c r="AR176" s="578"/>
      <c r="AS176" s="262"/>
      <c r="AT176" s="578"/>
      <c r="AU176" s="262"/>
      <c r="AV176" s="164"/>
      <c r="AW176" s="262"/>
      <c r="AX176" s="164"/>
      <c r="AY176" s="1193" t="str">
        <f t="shared" si="331"/>
        <v/>
      </c>
      <c r="AZ176" s="1193"/>
      <c r="BA176" s="1193"/>
      <c r="BB176" s="1193"/>
      <c r="BC176" s="1193"/>
      <c r="BD176" s="1193"/>
      <c r="BE176" s="1193"/>
      <c r="BF176" s="1193"/>
      <c r="BG176" s="1187"/>
      <c r="BH176" s="1187"/>
      <c r="BI176" s="1187"/>
      <c r="BJ176" s="1187"/>
      <c r="BQ176" s="1187"/>
      <c r="BR176" s="1187"/>
      <c r="BS176" s="1187"/>
      <c r="BT176" s="1580"/>
      <c r="BU176" s="1580"/>
      <c r="CA176" s="2235" t="str">
        <f t="shared" si="332"/>
        <v/>
      </c>
      <c r="CB176" s="2235" t="str">
        <f t="shared" si="333"/>
        <v/>
      </c>
      <c r="CC176" s="2235" t="str">
        <f t="shared" si="334"/>
        <v/>
      </c>
      <c r="CD176" s="2235" t="str">
        <f t="shared" si="335"/>
        <v/>
      </c>
      <c r="CE176" s="2235" t="str">
        <f t="shared" si="336"/>
        <v/>
      </c>
      <c r="CF176" s="2235" t="str">
        <f t="shared" si="337"/>
        <v/>
      </c>
      <c r="CG176" s="2235" t="str">
        <f t="shared" si="338"/>
        <v/>
      </c>
      <c r="CH176" s="2235" t="str">
        <f t="shared" si="339"/>
        <v/>
      </c>
      <c r="CI176" s="2235" t="str">
        <f t="shared" si="340"/>
        <v/>
      </c>
      <c r="CJ176" s="2235"/>
      <c r="CK176" s="2235"/>
      <c r="CL176" s="2235"/>
      <c r="CM176" s="2235"/>
      <c r="CN176" s="2235"/>
      <c r="CO176" s="2235"/>
      <c r="CP176" s="2235"/>
      <c r="CQ176" s="2235"/>
      <c r="CR176" s="2235"/>
      <c r="CS176" s="2235"/>
      <c r="CT176" s="2235"/>
      <c r="CU176" s="2235"/>
      <c r="CV176" s="2235"/>
      <c r="CW176" s="2235" t="str">
        <f t="shared" si="341"/>
        <v/>
      </c>
      <c r="CX176" s="2235" t="str">
        <f t="shared" si="342"/>
        <v/>
      </c>
      <c r="CY176" s="2235"/>
      <c r="CZ176" s="2235"/>
      <c r="DA176" s="1468">
        <f t="shared" si="343"/>
        <v>0</v>
      </c>
      <c r="DB176" s="1468">
        <f t="shared" si="344"/>
        <v>0</v>
      </c>
      <c r="DC176" s="1468">
        <f t="shared" si="345"/>
        <v>0</v>
      </c>
      <c r="DD176" s="1468">
        <f t="shared" si="346"/>
        <v>0</v>
      </c>
      <c r="DE176" s="1468">
        <f t="shared" si="347"/>
        <v>0</v>
      </c>
      <c r="DF176" s="1468">
        <f t="shared" si="348"/>
        <v>0</v>
      </c>
      <c r="DG176" s="1468">
        <f t="shared" si="349"/>
        <v>0</v>
      </c>
      <c r="DH176" s="1468">
        <f t="shared" si="350"/>
        <v>0</v>
      </c>
      <c r="DI176" s="1468">
        <f t="shared" si="351"/>
        <v>0</v>
      </c>
      <c r="DJ176" s="1468"/>
      <c r="DK176" s="1468"/>
      <c r="DL176" s="1468"/>
      <c r="DM176" s="1468"/>
      <c r="DN176" s="1468"/>
      <c r="DO176" s="1468"/>
      <c r="DP176" s="1468"/>
      <c r="DQ176" s="1468"/>
      <c r="DR176" s="1468"/>
      <c r="DS176" s="1468"/>
      <c r="DT176" s="1468"/>
      <c r="DU176" s="1468"/>
      <c r="DV176" s="1468"/>
      <c r="DW176" s="1468">
        <f t="shared" si="352"/>
        <v>0</v>
      </c>
      <c r="DX176" s="1468">
        <f t="shared" si="352"/>
        <v>0</v>
      </c>
    </row>
    <row r="177" spans="1:128" ht="16.149999999999999" customHeight="1" x14ac:dyDescent="0.25">
      <c r="A177" s="1179" t="s">
        <v>1832</v>
      </c>
      <c r="B177" s="1180"/>
      <c r="C177" s="1356">
        <f t="shared" si="355"/>
        <v>0</v>
      </c>
      <c r="D177" s="846">
        <f t="shared" si="355"/>
        <v>0</v>
      </c>
      <c r="E177" s="1127"/>
      <c r="F177" s="1126"/>
      <c r="G177" s="1127"/>
      <c r="H177" s="1126"/>
      <c r="I177" s="1127"/>
      <c r="J177" s="1126"/>
      <c r="K177" s="1127"/>
      <c r="L177" s="1126"/>
      <c r="M177" s="1127"/>
      <c r="N177" s="1126"/>
      <c r="O177" s="1162"/>
      <c r="P177" s="115"/>
      <c r="Q177" s="1162"/>
      <c r="R177" s="115"/>
      <c r="S177" s="1162"/>
      <c r="T177" s="115"/>
      <c r="U177" s="1162"/>
      <c r="V177" s="115"/>
      <c r="W177" s="1162"/>
      <c r="X177" s="115"/>
      <c r="Y177" s="1162"/>
      <c r="Z177" s="115"/>
      <c r="AA177" s="1162"/>
      <c r="AB177" s="115"/>
      <c r="AC177" s="1162"/>
      <c r="AD177" s="116"/>
      <c r="AE177" s="1162"/>
      <c r="AF177" s="116"/>
      <c r="AG177" s="1162"/>
      <c r="AH177" s="138"/>
      <c r="AI177" s="1162"/>
      <c r="AJ177" s="115"/>
      <c r="AK177" s="262"/>
      <c r="AL177" s="164"/>
      <c r="AM177" s="1162"/>
      <c r="AN177" s="578"/>
      <c r="AO177" s="262"/>
      <c r="AP177" s="164"/>
      <c r="AQ177" s="113"/>
      <c r="AR177" s="578"/>
      <c r="AS177" s="262"/>
      <c r="AT177" s="578"/>
      <c r="AU177" s="262"/>
      <c r="AV177" s="164"/>
      <c r="AW177" s="262"/>
      <c r="AX177" s="164"/>
      <c r="AY177" s="1193" t="str">
        <f t="shared" si="331"/>
        <v/>
      </c>
      <c r="AZ177" s="1193"/>
      <c r="BA177" s="1193"/>
      <c r="BB177" s="1193"/>
      <c r="BC177" s="1193"/>
      <c r="BD177" s="1193"/>
      <c r="BE177" s="1193"/>
      <c r="BF177" s="1193"/>
      <c r="BG177" s="1187"/>
      <c r="BH177" s="1187"/>
      <c r="BI177" s="1187"/>
      <c r="BJ177" s="1187"/>
      <c r="BQ177" s="1187"/>
      <c r="BR177" s="1187"/>
      <c r="BS177" s="1187"/>
      <c r="BT177" s="1580"/>
      <c r="BU177" s="1580"/>
      <c r="CA177" s="2235" t="str">
        <f t="shared" si="332"/>
        <v/>
      </c>
      <c r="CB177" s="2235" t="str">
        <f t="shared" si="333"/>
        <v/>
      </c>
      <c r="CC177" s="2235" t="str">
        <f t="shared" si="334"/>
        <v/>
      </c>
      <c r="CD177" s="2235" t="str">
        <f t="shared" si="335"/>
        <v/>
      </c>
      <c r="CE177" s="2235" t="str">
        <f t="shared" si="336"/>
        <v/>
      </c>
      <c r="CF177" s="2235" t="str">
        <f t="shared" si="337"/>
        <v/>
      </c>
      <c r="CG177" s="2235" t="str">
        <f t="shared" si="338"/>
        <v/>
      </c>
      <c r="CH177" s="2235" t="str">
        <f t="shared" si="339"/>
        <v/>
      </c>
      <c r="CI177" s="2235" t="str">
        <f t="shared" si="340"/>
        <v/>
      </c>
      <c r="CJ177" s="2235"/>
      <c r="CK177" s="2235"/>
      <c r="CL177" s="2235"/>
      <c r="CM177" s="2235"/>
      <c r="CN177" s="2235"/>
      <c r="CO177" s="2235"/>
      <c r="CP177" s="2235"/>
      <c r="CQ177" s="2235"/>
      <c r="CR177" s="2235"/>
      <c r="CS177" s="2235"/>
      <c r="CT177" s="2235"/>
      <c r="CU177" s="2235"/>
      <c r="CV177" s="2235"/>
      <c r="CW177" s="2235" t="str">
        <f t="shared" si="341"/>
        <v/>
      </c>
      <c r="CX177" s="2235" t="str">
        <f t="shared" si="342"/>
        <v/>
      </c>
      <c r="CY177" s="2235"/>
      <c r="CZ177" s="2235"/>
      <c r="DA177" s="1468">
        <f t="shared" si="343"/>
        <v>0</v>
      </c>
      <c r="DB177" s="1468">
        <f t="shared" si="344"/>
        <v>0</v>
      </c>
      <c r="DC177" s="1468">
        <f t="shared" si="345"/>
        <v>0</v>
      </c>
      <c r="DD177" s="1468">
        <f t="shared" si="346"/>
        <v>0</v>
      </c>
      <c r="DE177" s="1468">
        <f t="shared" si="347"/>
        <v>0</v>
      </c>
      <c r="DF177" s="1468">
        <f t="shared" si="348"/>
        <v>0</v>
      </c>
      <c r="DG177" s="1468">
        <f t="shared" si="349"/>
        <v>0</v>
      </c>
      <c r="DH177" s="1468">
        <f t="shared" si="350"/>
        <v>0</v>
      </c>
      <c r="DI177" s="1468">
        <f t="shared" si="351"/>
        <v>0</v>
      </c>
      <c r="DJ177" s="1468"/>
      <c r="DK177" s="1468"/>
      <c r="DL177" s="1468"/>
      <c r="DM177" s="1468"/>
      <c r="DN177" s="1468"/>
      <c r="DO177" s="1468"/>
      <c r="DP177" s="1468"/>
      <c r="DQ177" s="1468"/>
      <c r="DR177" s="1468"/>
      <c r="DS177" s="1468"/>
      <c r="DT177" s="1468"/>
      <c r="DU177" s="1468"/>
      <c r="DV177" s="1468"/>
      <c r="DW177" s="1468">
        <f t="shared" ref="DW177:DX182" si="356">IF(AND(C177&lt;&gt;0,OR(AO177="",AQ177="",AS177="",AU177="")),1,0)</f>
        <v>0</v>
      </c>
      <c r="DX177" s="1468">
        <f t="shared" si="356"/>
        <v>0</v>
      </c>
    </row>
    <row r="178" spans="1:128" ht="16.149999999999999" customHeight="1" x14ac:dyDescent="0.25">
      <c r="A178" s="9568" t="s">
        <v>1833</v>
      </c>
      <c r="B178" s="9569"/>
      <c r="C178" s="1356">
        <f t="shared" ref="C178:D182" si="357">+E178+G178+I178+K178+M178+O178+Q178+S178+U178+W178+Y178+AA178+AC178+AE178+AG178+AI178</f>
        <v>0</v>
      </c>
      <c r="D178" s="846">
        <f t="shared" si="357"/>
        <v>0</v>
      </c>
      <c r="E178" s="1162"/>
      <c r="F178" s="115"/>
      <c r="G178" s="1162"/>
      <c r="H178" s="115"/>
      <c r="I178" s="1162"/>
      <c r="J178" s="115"/>
      <c r="K178" s="1162"/>
      <c r="L178" s="115"/>
      <c r="M178" s="1162"/>
      <c r="N178" s="115"/>
      <c r="O178" s="1162"/>
      <c r="P178" s="115"/>
      <c r="Q178" s="1162"/>
      <c r="R178" s="115"/>
      <c r="S178" s="1162"/>
      <c r="T178" s="115"/>
      <c r="U178" s="1162"/>
      <c r="V178" s="115"/>
      <c r="W178" s="1162"/>
      <c r="X178" s="115"/>
      <c r="Y178" s="1162"/>
      <c r="Z178" s="115"/>
      <c r="AA178" s="1162"/>
      <c r="AB178" s="115"/>
      <c r="AC178" s="1162"/>
      <c r="AD178" s="116"/>
      <c r="AE178" s="1162"/>
      <c r="AF178" s="116"/>
      <c r="AG178" s="1162"/>
      <c r="AH178" s="138"/>
      <c r="AI178" s="1162"/>
      <c r="AJ178" s="115"/>
      <c r="AK178" s="262"/>
      <c r="AL178" s="164"/>
      <c r="AM178" s="1162"/>
      <c r="AN178" s="578"/>
      <c r="AO178" s="262"/>
      <c r="AP178" s="164"/>
      <c r="AQ178" s="113"/>
      <c r="AR178" s="578"/>
      <c r="AS178" s="262"/>
      <c r="AT178" s="578"/>
      <c r="AU178" s="262"/>
      <c r="AV178" s="164"/>
      <c r="AW178" s="262"/>
      <c r="AX178" s="164"/>
      <c r="AY178" s="1193" t="str">
        <f t="shared" si="331"/>
        <v/>
      </c>
      <c r="AZ178" s="1193"/>
      <c r="BA178" s="1193"/>
      <c r="BB178" s="1193"/>
      <c r="BC178" s="1193"/>
      <c r="BD178" s="1193"/>
      <c r="BE178" s="1193"/>
      <c r="BF178" s="1193"/>
      <c r="BG178" s="1187"/>
      <c r="BH178" s="1187"/>
      <c r="BI178" s="1187"/>
      <c r="BJ178" s="1187"/>
      <c r="BQ178" s="1187"/>
      <c r="BR178" s="1187"/>
      <c r="BS178" s="1187"/>
      <c r="BT178" s="1580"/>
      <c r="BU178" s="1580"/>
      <c r="CA178" s="2235" t="str">
        <f t="shared" si="332"/>
        <v/>
      </c>
      <c r="CB178" s="2235" t="str">
        <f t="shared" si="333"/>
        <v/>
      </c>
      <c r="CC178" s="2235" t="str">
        <f t="shared" si="334"/>
        <v/>
      </c>
      <c r="CD178" s="2235" t="str">
        <f t="shared" si="335"/>
        <v/>
      </c>
      <c r="CE178" s="2235" t="str">
        <f t="shared" si="336"/>
        <v/>
      </c>
      <c r="CF178" s="2235" t="str">
        <f t="shared" si="337"/>
        <v/>
      </c>
      <c r="CG178" s="2235" t="str">
        <f t="shared" si="338"/>
        <v/>
      </c>
      <c r="CH178" s="2235" t="str">
        <f t="shared" si="339"/>
        <v/>
      </c>
      <c r="CI178" s="2235" t="str">
        <f t="shared" si="340"/>
        <v/>
      </c>
      <c r="CJ178" s="2235"/>
      <c r="CK178" s="2235"/>
      <c r="CL178" s="2235"/>
      <c r="CM178" s="2235"/>
      <c r="CN178" s="2235"/>
      <c r="CO178" s="2235"/>
      <c r="CP178" s="2235"/>
      <c r="CQ178" s="2235"/>
      <c r="CR178" s="2235"/>
      <c r="CS178" s="2235"/>
      <c r="CT178" s="2235"/>
      <c r="CU178" s="2235"/>
      <c r="CV178" s="2235"/>
      <c r="CW178" s="2235" t="str">
        <f t="shared" si="341"/>
        <v/>
      </c>
      <c r="CX178" s="2235" t="str">
        <f t="shared" si="342"/>
        <v/>
      </c>
      <c r="CY178" s="2235"/>
      <c r="CZ178" s="2235"/>
      <c r="DA178" s="1468">
        <f t="shared" si="343"/>
        <v>0</v>
      </c>
      <c r="DB178" s="1468">
        <f t="shared" si="344"/>
        <v>0</v>
      </c>
      <c r="DC178" s="1468">
        <f t="shared" si="345"/>
        <v>0</v>
      </c>
      <c r="DD178" s="1468">
        <f t="shared" si="346"/>
        <v>0</v>
      </c>
      <c r="DE178" s="1468">
        <f t="shared" si="347"/>
        <v>0</v>
      </c>
      <c r="DF178" s="1468">
        <f t="shared" si="348"/>
        <v>0</v>
      </c>
      <c r="DG178" s="1468">
        <f t="shared" si="349"/>
        <v>0</v>
      </c>
      <c r="DH178" s="1468">
        <f t="shared" si="350"/>
        <v>0</v>
      </c>
      <c r="DI178" s="1468">
        <f t="shared" si="351"/>
        <v>0</v>
      </c>
      <c r="DJ178" s="1468"/>
      <c r="DK178" s="1468"/>
      <c r="DL178" s="1468"/>
      <c r="DM178" s="1468"/>
      <c r="DN178" s="1468"/>
      <c r="DO178" s="1468"/>
      <c r="DP178" s="1468"/>
      <c r="DQ178" s="1468"/>
      <c r="DR178" s="1468"/>
      <c r="DS178" s="1468"/>
      <c r="DT178" s="1468"/>
      <c r="DU178" s="1468"/>
      <c r="DV178" s="1468"/>
      <c r="DW178" s="1468">
        <f t="shared" si="356"/>
        <v>0</v>
      </c>
      <c r="DX178" s="1468">
        <f t="shared" si="356"/>
        <v>0</v>
      </c>
    </row>
    <row r="179" spans="1:128" ht="16.149999999999999" customHeight="1" x14ac:dyDescent="0.25">
      <c r="A179" s="9568" t="s">
        <v>1834</v>
      </c>
      <c r="B179" s="9569"/>
      <c r="C179" s="1356">
        <f t="shared" si="357"/>
        <v>0</v>
      </c>
      <c r="D179" s="846">
        <f t="shared" si="357"/>
        <v>0</v>
      </c>
      <c r="E179" s="1162"/>
      <c r="F179" s="115"/>
      <c r="G179" s="1162"/>
      <c r="H179" s="115"/>
      <c r="I179" s="1162"/>
      <c r="J179" s="115"/>
      <c r="K179" s="1162"/>
      <c r="L179" s="115"/>
      <c r="M179" s="1162"/>
      <c r="N179" s="115"/>
      <c r="O179" s="1162"/>
      <c r="P179" s="115"/>
      <c r="Q179" s="1162"/>
      <c r="R179" s="115"/>
      <c r="S179" s="1162"/>
      <c r="T179" s="115"/>
      <c r="U179" s="1162"/>
      <c r="V179" s="115"/>
      <c r="W179" s="1162"/>
      <c r="X179" s="115"/>
      <c r="Y179" s="1162"/>
      <c r="Z179" s="115"/>
      <c r="AA179" s="1162"/>
      <c r="AB179" s="115"/>
      <c r="AC179" s="1162"/>
      <c r="AD179" s="116"/>
      <c r="AE179" s="1162"/>
      <c r="AF179" s="116"/>
      <c r="AG179" s="1162"/>
      <c r="AH179" s="138"/>
      <c r="AI179" s="1162"/>
      <c r="AJ179" s="115"/>
      <c r="AK179" s="262"/>
      <c r="AL179" s="164"/>
      <c r="AM179" s="1162"/>
      <c r="AN179" s="578"/>
      <c r="AO179" s="262"/>
      <c r="AP179" s="164"/>
      <c r="AQ179" s="113"/>
      <c r="AR179" s="578"/>
      <c r="AS179" s="262"/>
      <c r="AT179" s="578"/>
      <c r="AU179" s="262"/>
      <c r="AV179" s="164"/>
      <c r="AW179" s="262"/>
      <c r="AX179" s="164"/>
      <c r="AY179" s="1193" t="str">
        <f t="shared" si="331"/>
        <v/>
      </c>
      <c r="AZ179" s="1193"/>
      <c r="BA179" s="1193"/>
      <c r="BB179" s="1193"/>
      <c r="BC179" s="1193"/>
      <c r="BD179" s="1193"/>
      <c r="BE179" s="1193"/>
      <c r="BF179" s="1193"/>
      <c r="BG179" s="1187"/>
      <c r="BH179" s="1187"/>
      <c r="BI179" s="1187"/>
      <c r="BJ179" s="1187"/>
      <c r="BQ179" s="1187"/>
      <c r="BR179" s="1187"/>
      <c r="BS179" s="1187"/>
      <c r="BT179" s="1580"/>
      <c r="BU179" s="1580"/>
      <c r="CA179" s="2235" t="str">
        <f t="shared" si="332"/>
        <v/>
      </c>
      <c r="CB179" s="2235" t="str">
        <f t="shared" si="333"/>
        <v/>
      </c>
      <c r="CC179" s="2235" t="str">
        <f t="shared" si="334"/>
        <v/>
      </c>
      <c r="CD179" s="2235" t="str">
        <f t="shared" si="335"/>
        <v/>
      </c>
      <c r="CE179" s="2235" t="str">
        <f t="shared" si="336"/>
        <v/>
      </c>
      <c r="CF179" s="2235" t="str">
        <f t="shared" si="337"/>
        <v/>
      </c>
      <c r="CG179" s="2235" t="str">
        <f t="shared" si="338"/>
        <v/>
      </c>
      <c r="CH179" s="2235" t="str">
        <f t="shared" si="339"/>
        <v/>
      </c>
      <c r="CI179" s="2235" t="str">
        <f t="shared" si="340"/>
        <v/>
      </c>
      <c r="CJ179" s="2235"/>
      <c r="CK179" s="2235"/>
      <c r="CL179" s="2235"/>
      <c r="CM179" s="2235"/>
      <c r="CN179" s="2235"/>
      <c r="CO179" s="2235"/>
      <c r="CP179" s="2235"/>
      <c r="CQ179" s="2235"/>
      <c r="CR179" s="2235"/>
      <c r="CS179" s="2235"/>
      <c r="CT179" s="2235"/>
      <c r="CU179" s="2235"/>
      <c r="CV179" s="2235"/>
      <c r="CW179" s="2235" t="str">
        <f t="shared" si="341"/>
        <v/>
      </c>
      <c r="CX179" s="2235" t="str">
        <f t="shared" si="342"/>
        <v/>
      </c>
      <c r="CY179" s="2235"/>
      <c r="CZ179" s="2235"/>
      <c r="DA179" s="1468">
        <f t="shared" si="343"/>
        <v>0</v>
      </c>
      <c r="DB179" s="1468">
        <f t="shared" si="344"/>
        <v>0</v>
      </c>
      <c r="DC179" s="1468">
        <f t="shared" si="345"/>
        <v>0</v>
      </c>
      <c r="DD179" s="1468">
        <f t="shared" si="346"/>
        <v>0</v>
      </c>
      <c r="DE179" s="1468">
        <f t="shared" si="347"/>
        <v>0</v>
      </c>
      <c r="DF179" s="1468">
        <f t="shared" si="348"/>
        <v>0</v>
      </c>
      <c r="DG179" s="1468">
        <f t="shared" si="349"/>
        <v>0</v>
      </c>
      <c r="DH179" s="1468">
        <f t="shared" si="350"/>
        <v>0</v>
      </c>
      <c r="DI179" s="1468">
        <f t="shared" si="351"/>
        <v>0</v>
      </c>
      <c r="DJ179" s="1468"/>
      <c r="DK179" s="1468"/>
      <c r="DL179" s="1468"/>
      <c r="DM179" s="1468"/>
      <c r="DN179" s="1468"/>
      <c r="DO179" s="1468"/>
      <c r="DP179" s="1468"/>
      <c r="DQ179" s="1468"/>
      <c r="DR179" s="1468"/>
      <c r="DS179" s="1468"/>
      <c r="DT179" s="1468"/>
      <c r="DU179" s="1468"/>
      <c r="DV179" s="1468"/>
      <c r="DW179" s="1468">
        <f t="shared" si="356"/>
        <v>0</v>
      </c>
      <c r="DX179" s="1468">
        <f t="shared" si="356"/>
        <v>0</v>
      </c>
    </row>
    <row r="180" spans="1:128" ht="16.149999999999999" customHeight="1" x14ac:dyDescent="0.25">
      <c r="A180" s="9568" t="s">
        <v>1835</v>
      </c>
      <c r="B180" s="9569"/>
      <c r="C180" s="1356">
        <f t="shared" si="357"/>
        <v>0</v>
      </c>
      <c r="D180" s="846">
        <f t="shared" si="357"/>
        <v>0</v>
      </c>
      <c r="E180" s="1162"/>
      <c r="F180" s="115"/>
      <c r="G180" s="1162"/>
      <c r="H180" s="115"/>
      <c r="I180" s="1162"/>
      <c r="J180" s="115"/>
      <c r="K180" s="1162"/>
      <c r="L180" s="115"/>
      <c r="M180" s="1162"/>
      <c r="N180" s="115"/>
      <c r="O180" s="1162"/>
      <c r="P180" s="115"/>
      <c r="Q180" s="1162"/>
      <c r="R180" s="115"/>
      <c r="S180" s="1162"/>
      <c r="T180" s="115"/>
      <c r="U180" s="1162"/>
      <c r="V180" s="115"/>
      <c r="W180" s="1162"/>
      <c r="X180" s="115"/>
      <c r="Y180" s="1162"/>
      <c r="Z180" s="115"/>
      <c r="AA180" s="1162"/>
      <c r="AB180" s="115"/>
      <c r="AC180" s="1162"/>
      <c r="AD180" s="116"/>
      <c r="AE180" s="1162"/>
      <c r="AF180" s="116"/>
      <c r="AG180" s="1162"/>
      <c r="AH180" s="138"/>
      <c r="AI180" s="1162"/>
      <c r="AJ180" s="115"/>
      <c r="AK180" s="262"/>
      <c r="AL180" s="164"/>
      <c r="AM180" s="1162"/>
      <c r="AN180" s="578"/>
      <c r="AO180" s="262"/>
      <c r="AP180" s="164"/>
      <c r="AQ180" s="113"/>
      <c r="AR180" s="578"/>
      <c r="AS180" s="262"/>
      <c r="AT180" s="578"/>
      <c r="AU180" s="262"/>
      <c r="AV180" s="164"/>
      <c r="AW180" s="262"/>
      <c r="AX180" s="164"/>
      <c r="AY180" s="1193" t="str">
        <f t="shared" si="331"/>
        <v/>
      </c>
      <c r="AZ180" s="1193"/>
      <c r="BA180" s="1193"/>
      <c r="BB180" s="1193"/>
      <c r="BC180" s="1193"/>
      <c r="BD180" s="1193"/>
      <c r="BE180" s="1193"/>
      <c r="BF180" s="1193"/>
      <c r="BG180" s="1187"/>
      <c r="BH180" s="1187"/>
      <c r="BI180" s="1187"/>
      <c r="BJ180" s="1187"/>
      <c r="BQ180" s="1187"/>
      <c r="BR180" s="1187"/>
      <c r="BS180" s="1187"/>
      <c r="BT180" s="1580"/>
      <c r="BU180" s="1580"/>
      <c r="CA180" s="2235" t="str">
        <f t="shared" si="332"/>
        <v/>
      </c>
      <c r="CB180" s="2235" t="str">
        <f t="shared" si="333"/>
        <v/>
      </c>
      <c r="CC180" s="2235" t="str">
        <f t="shared" si="334"/>
        <v/>
      </c>
      <c r="CD180" s="2235" t="str">
        <f t="shared" si="335"/>
        <v/>
      </c>
      <c r="CE180" s="2235" t="str">
        <f t="shared" si="336"/>
        <v/>
      </c>
      <c r="CF180" s="2235" t="str">
        <f t="shared" si="337"/>
        <v/>
      </c>
      <c r="CG180" s="2235" t="str">
        <f t="shared" si="338"/>
        <v/>
      </c>
      <c r="CH180" s="2235" t="str">
        <f t="shared" si="339"/>
        <v/>
      </c>
      <c r="CI180" s="2235" t="str">
        <f t="shared" si="340"/>
        <v/>
      </c>
      <c r="CJ180" s="2235"/>
      <c r="CK180" s="2235"/>
      <c r="CL180" s="2235"/>
      <c r="CM180" s="2235"/>
      <c r="CN180" s="2235"/>
      <c r="CO180" s="2235"/>
      <c r="CP180" s="2235"/>
      <c r="CQ180" s="2235"/>
      <c r="CR180" s="2235"/>
      <c r="CS180" s="2235"/>
      <c r="CT180" s="2235"/>
      <c r="CU180" s="2235"/>
      <c r="CV180" s="2235"/>
      <c r="CW180" s="2235" t="str">
        <f t="shared" si="341"/>
        <v/>
      </c>
      <c r="CX180" s="2235" t="str">
        <f t="shared" si="342"/>
        <v/>
      </c>
      <c r="CY180" s="2235"/>
      <c r="CZ180" s="2235"/>
      <c r="DA180" s="1468">
        <f t="shared" si="343"/>
        <v>0</v>
      </c>
      <c r="DB180" s="1468">
        <f t="shared" si="344"/>
        <v>0</v>
      </c>
      <c r="DC180" s="1468">
        <f t="shared" si="345"/>
        <v>0</v>
      </c>
      <c r="DD180" s="1468">
        <f t="shared" si="346"/>
        <v>0</v>
      </c>
      <c r="DE180" s="1468">
        <f t="shared" si="347"/>
        <v>0</v>
      </c>
      <c r="DF180" s="1468">
        <f t="shared" si="348"/>
        <v>0</v>
      </c>
      <c r="DG180" s="1468">
        <f t="shared" si="349"/>
        <v>0</v>
      </c>
      <c r="DH180" s="1468">
        <f t="shared" si="350"/>
        <v>0</v>
      </c>
      <c r="DI180" s="1468">
        <f t="shared" si="351"/>
        <v>0</v>
      </c>
      <c r="DJ180" s="1468"/>
      <c r="DK180" s="1468"/>
      <c r="DL180" s="1468"/>
      <c r="DM180" s="1468"/>
      <c r="DN180" s="1468"/>
      <c r="DO180" s="1468"/>
      <c r="DP180" s="1468"/>
      <c r="DQ180" s="1468"/>
      <c r="DR180" s="1468"/>
      <c r="DS180" s="1468"/>
      <c r="DT180" s="1468"/>
      <c r="DU180" s="1468"/>
      <c r="DV180" s="1468"/>
      <c r="DW180" s="1468">
        <f t="shared" si="356"/>
        <v>0</v>
      </c>
      <c r="DX180" s="1468">
        <f t="shared" si="356"/>
        <v>0</v>
      </c>
    </row>
    <row r="181" spans="1:128" ht="16.149999999999999" customHeight="1" x14ac:dyDescent="0.25">
      <c r="A181" s="9568" t="s">
        <v>1836</v>
      </c>
      <c r="B181" s="9569"/>
      <c r="C181" s="1356">
        <f t="shared" si="357"/>
        <v>0</v>
      </c>
      <c r="D181" s="846">
        <f t="shared" si="357"/>
        <v>0</v>
      </c>
      <c r="E181" s="1162"/>
      <c r="F181" s="115"/>
      <c r="G181" s="1162"/>
      <c r="H181" s="115"/>
      <c r="I181" s="1162"/>
      <c r="J181" s="115"/>
      <c r="K181" s="1162"/>
      <c r="L181" s="115"/>
      <c r="M181" s="1162"/>
      <c r="N181" s="115"/>
      <c r="O181" s="1162"/>
      <c r="P181" s="115"/>
      <c r="Q181" s="1162"/>
      <c r="R181" s="115"/>
      <c r="S181" s="1162"/>
      <c r="T181" s="115"/>
      <c r="U181" s="1162"/>
      <c r="V181" s="115"/>
      <c r="W181" s="1162"/>
      <c r="X181" s="115"/>
      <c r="Y181" s="1162"/>
      <c r="Z181" s="115"/>
      <c r="AA181" s="1162"/>
      <c r="AB181" s="115"/>
      <c r="AC181" s="1162"/>
      <c r="AD181" s="116"/>
      <c r="AE181" s="1162"/>
      <c r="AF181" s="116"/>
      <c r="AG181" s="1162"/>
      <c r="AH181" s="138"/>
      <c r="AI181" s="1162"/>
      <c r="AJ181" s="115"/>
      <c r="AK181" s="262"/>
      <c r="AL181" s="164"/>
      <c r="AM181" s="1162"/>
      <c r="AN181" s="578"/>
      <c r="AO181" s="262"/>
      <c r="AP181" s="164"/>
      <c r="AQ181" s="113"/>
      <c r="AR181" s="578"/>
      <c r="AS181" s="262"/>
      <c r="AT181" s="578"/>
      <c r="AU181" s="262"/>
      <c r="AV181" s="164"/>
      <c r="AW181" s="262"/>
      <c r="AX181" s="164"/>
      <c r="AY181" s="1193" t="str">
        <f t="shared" si="331"/>
        <v/>
      </c>
      <c r="AZ181" s="1193"/>
      <c r="BA181" s="1193"/>
      <c r="BB181" s="1193"/>
      <c r="BC181" s="1193"/>
      <c r="BD181" s="1193"/>
      <c r="BE181" s="1193"/>
      <c r="BF181" s="1193"/>
      <c r="BG181" s="1187"/>
      <c r="BH181" s="1187"/>
      <c r="BI181" s="1187"/>
      <c r="BJ181" s="1187"/>
      <c r="BQ181" s="1187"/>
      <c r="BR181" s="1187"/>
      <c r="BS181" s="1187"/>
      <c r="BT181" s="1580"/>
      <c r="BU181" s="1580"/>
      <c r="CA181" s="2235" t="str">
        <f t="shared" si="332"/>
        <v/>
      </c>
      <c r="CB181" s="2235" t="str">
        <f t="shared" si="333"/>
        <v/>
      </c>
      <c r="CC181" s="2235" t="str">
        <f t="shared" si="334"/>
        <v/>
      </c>
      <c r="CD181" s="2235" t="str">
        <f t="shared" si="335"/>
        <v/>
      </c>
      <c r="CE181" s="2235" t="str">
        <f t="shared" si="336"/>
        <v/>
      </c>
      <c r="CF181" s="2235" t="str">
        <f t="shared" si="337"/>
        <v/>
      </c>
      <c r="CG181" s="2235" t="str">
        <f t="shared" si="338"/>
        <v/>
      </c>
      <c r="CH181" s="2235" t="str">
        <f t="shared" si="339"/>
        <v/>
      </c>
      <c r="CI181" s="2235" t="str">
        <f t="shared" si="340"/>
        <v/>
      </c>
      <c r="CJ181" s="2235"/>
      <c r="CK181" s="2235"/>
      <c r="CL181" s="2235"/>
      <c r="CM181" s="2235"/>
      <c r="CN181" s="2235"/>
      <c r="CO181" s="2235"/>
      <c r="CP181" s="2235"/>
      <c r="CQ181" s="2235"/>
      <c r="CR181" s="2235"/>
      <c r="CS181" s="2235"/>
      <c r="CT181" s="2235"/>
      <c r="CU181" s="2235"/>
      <c r="CV181" s="2235"/>
      <c r="CW181" s="2235" t="str">
        <f t="shared" si="341"/>
        <v/>
      </c>
      <c r="CX181" s="2235" t="str">
        <f t="shared" si="342"/>
        <v/>
      </c>
      <c r="CY181" s="2235"/>
      <c r="CZ181" s="2235"/>
      <c r="DA181" s="1468">
        <f t="shared" si="343"/>
        <v>0</v>
      </c>
      <c r="DB181" s="1468">
        <f t="shared" si="344"/>
        <v>0</v>
      </c>
      <c r="DC181" s="1468">
        <f t="shared" si="345"/>
        <v>0</v>
      </c>
      <c r="DD181" s="1468">
        <f t="shared" si="346"/>
        <v>0</v>
      </c>
      <c r="DE181" s="1468">
        <f t="shared" si="347"/>
        <v>0</v>
      </c>
      <c r="DF181" s="1468">
        <f t="shared" si="348"/>
        <v>0</v>
      </c>
      <c r="DG181" s="1468">
        <f t="shared" si="349"/>
        <v>0</v>
      </c>
      <c r="DH181" s="1468">
        <f t="shared" si="350"/>
        <v>0</v>
      </c>
      <c r="DI181" s="1468">
        <f t="shared" si="351"/>
        <v>0</v>
      </c>
      <c r="DJ181" s="1468"/>
      <c r="DK181" s="1468"/>
      <c r="DL181" s="1468"/>
      <c r="DM181" s="1468"/>
      <c r="DN181" s="1468"/>
      <c r="DO181" s="1468"/>
      <c r="DP181" s="1468"/>
      <c r="DQ181" s="1468"/>
      <c r="DR181" s="1468"/>
      <c r="DS181" s="1468"/>
      <c r="DT181" s="1468"/>
      <c r="DU181" s="1468"/>
      <c r="DV181" s="1468"/>
      <c r="DW181" s="1468">
        <f t="shared" si="356"/>
        <v>0</v>
      </c>
      <c r="DX181" s="1468">
        <f t="shared" si="356"/>
        <v>0</v>
      </c>
    </row>
    <row r="182" spans="1:128" ht="16.149999999999999" customHeight="1" x14ac:dyDescent="0.25">
      <c r="A182" s="9577" t="s">
        <v>1837</v>
      </c>
      <c r="B182" s="8406"/>
      <c r="C182" s="1357">
        <f t="shared" si="357"/>
        <v>0</v>
      </c>
      <c r="D182" s="1359">
        <f t="shared" si="357"/>
        <v>0</v>
      </c>
      <c r="E182" s="125"/>
      <c r="F182" s="83"/>
      <c r="G182" s="125"/>
      <c r="H182" s="83"/>
      <c r="I182" s="125"/>
      <c r="J182" s="83"/>
      <c r="K182" s="125"/>
      <c r="L182" s="83"/>
      <c r="M182" s="125"/>
      <c r="N182" s="101"/>
      <c r="O182" s="125"/>
      <c r="P182" s="83"/>
      <c r="Q182" s="125"/>
      <c r="R182" s="83"/>
      <c r="S182" s="125"/>
      <c r="T182" s="83"/>
      <c r="U182" s="125"/>
      <c r="V182" s="83"/>
      <c r="W182" s="125"/>
      <c r="X182" s="83"/>
      <c r="Y182" s="125"/>
      <c r="Z182" s="83"/>
      <c r="AA182" s="125"/>
      <c r="AB182" s="83"/>
      <c r="AC182" s="125"/>
      <c r="AD182" s="175"/>
      <c r="AE182" s="125"/>
      <c r="AF182" s="175"/>
      <c r="AG182" s="125"/>
      <c r="AH182" s="101"/>
      <c r="AI182" s="125"/>
      <c r="AJ182" s="83"/>
      <c r="AK182" s="264"/>
      <c r="AL182" s="127"/>
      <c r="AM182" s="125"/>
      <c r="AN182" s="254"/>
      <c r="AO182" s="264"/>
      <c r="AP182" s="127"/>
      <c r="AQ182" s="102"/>
      <c r="AR182" s="254"/>
      <c r="AS182" s="264"/>
      <c r="AT182" s="254"/>
      <c r="AU182" s="264"/>
      <c r="AV182" s="127"/>
      <c r="AW182" s="264"/>
      <c r="AX182" s="127"/>
      <c r="AY182" s="1193" t="str">
        <f t="shared" si="331"/>
        <v/>
      </c>
      <c r="AZ182" s="1193"/>
      <c r="BA182" s="1193"/>
      <c r="BB182" s="1193"/>
      <c r="BC182" s="1193"/>
      <c r="BD182" s="1193"/>
      <c r="BE182" s="1193"/>
      <c r="BF182" s="1193"/>
      <c r="BG182" s="1187"/>
      <c r="BH182" s="1187"/>
      <c r="BI182" s="1187"/>
      <c r="BJ182" s="1187"/>
      <c r="BQ182" s="1187"/>
      <c r="BR182" s="1187"/>
      <c r="BS182" s="1187"/>
      <c r="BT182" s="1580"/>
      <c r="BU182" s="1580"/>
      <c r="CA182" s="2235" t="str">
        <f t="shared" si="332"/>
        <v/>
      </c>
      <c r="CB182" s="2235" t="str">
        <f t="shared" si="333"/>
        <v/>
      </c>
      <c r="CC182" s="2235" t="str">
        <f t="shared" si="334"/>
        <v/>
      </c>
      <c r="CD182" s="2235" t="str">
        <f t="shared" si="335"/>
        <v/>
      </c>
      <c r="CE182" s="2235" t="str">
        <f t="shared" si="336"/>
        <v/>
      </c>
      <c r="CF182" s="2235" t="str">
        <f t="shared" si="337"/>
        <v/>
      </c>
      <c r="CG182" s="2235" t="str">
        <f t="shared" si="338"/>
        <v/>
      </c>
      <c r="CH182" s="2235" t="str">
        <f t="shared" si="339"/>
        <v/>
      </c>
      <c r="CI182" s="2235" t="str">
        <f t="shared" si="340"/>
        <v/>
      </c>
      <c r="CJ182" s="2235"/>
      <c r="CK182" s="2235"/>
      <c r="CL182" s="2235"/>
      <c r="CM182" s="2235"/>
      <c r="CN182" s="2235"/>
      <c r="CO182" s="2235"/>
      <c r="CP182" s="2235"/>
      <c r="CQ182" s="2235"/>
      <c r="CR182" s="2235"/>
      <c r="CS182" s="2235"/>
      <c r="CT182" s="2235"/>
      <c r="CU182" s="2235"/>
      <c r="CV182" s="2235"/>
      <c r="CW182" s="2235" t="str">
        <f t="shared" si="341"/>
        <v/>
      </c>
      <c r="CX182" s="2235" t="str">
        <f t="shared" si="342"/>
        <v/>
      </c>
      <c r="CY182" s="2235"/>
      <c r="CZ182" s="2235"/>
      <c r="DA182" s="1468">
        <f t="shared" si="343"/>
        <v>0</v>
      </c>
      <c r="DB182" s="1468">
        <f t="shared" si="344"/>
        <v>0</v>
      </c>
      <c r="DC182" s="1468">
        <f t="shared" si="345"/>
        <v>0</v>
      </c>
      <c r="DD182" s="1468">
        <f t="shared" si="346"/>
        <v>0</v>
      </c>
      <c r="DE182" s="1468">
        <f t="shared" si="347"/>
        <v>0</v>
      </c>
      <c r="DF182" s="1468">
        <f t="shared" si="348"/>
        <v>0</v>
      </c>
      <c r="DG182" s="1468">
        <f t="shared" si="349"/>
        <v>0</v>
      </c>
      <c r="DH182" s="1468">
        <f t="shared" si="350"/>
        <v>0</v>
      </c>
      <c r="DI182" s="1468">
        <f t="shared" si="351"/>
        <v>0</v>
      </c>
      <c r="DJ182" s="1468"/>
      <c r="DK182" s="1468"/>
      <c r="DL182" s="1468"/>
      <c r="DM182" s="1468"/>
      <c r="DN182" s="1468"/>
      <c r="DO182" s="1468"/>
      <c r="DP182" s="1468"/>
      <c r="DQ182" s="1468"/>
      <c r="DR182" s="1468"/>
      <c r="DS182" s="1468"/>
      <c r="DT182" s="1468"/>
      <c r="DU182" s="1468"/>
      <c r="DV182" s="1468"/>
      <c r="DW182" s="1468">
        <f t="shared" si="356"/>
        <v>0</v>
      </c>
      <c r="DX182" s="1468">
        <f t="shared" si="356"/>
        <v>0</v>
      </c>
    </row>
    <row r="183" spans="1:128" ht="31.9" customHeight="1" x14ac:dyDescent="0.25">
      <c r="A183" s="9541" t="s">
        <v>1838</v>
      </c>
      <c r="B183" s="9541"/>
      <c r="C183" s="9541"/>
      <c r="D183" s="9541"/>
      <c r="E183" s="9541"/>
      <c r="F183" s="9541"/>
      <c r="G183" s="9541"/>
      <c r="H183" s="9541"/>
      <c r="I183" s="9541"/>
      <c r="J183" s="9541"/>
      <c r="K183" s="9541"/>
      <c r="L183" s="9541"/>
      <c r="M183" s="9541"/>
      <c r="N183" s="9541"/>
      <c r="O183" s="9541"/>
      <c r="P183" s="9541"/>
      <c r="Q183" s="8456"/>
      <c r="R183" s="140"/>
      <c r="S183" s="140"/>
      <c r="T183" s="140"/>
      <c r="U183" s="140"/>
      <c r="V183" s="140"/>
      <c r="W183" s="140"/>
      <c r="X183" s="140"/>
      <c r="Y183" s="140"/>
      <c r="Z183" s="140"/>
      <c r="AA183" s="140"/>
      <c r="AB183" s="140"/>
      <c r="AC183" s="140"/>
      <c r="AD183" s="140"/>
      <c r="AE183" s="140"/>
      <c r="AF183" s="140"/>
      <c r="AG183" s="140"/>
      <c r="AH183" s="140"/>
      <c r="AI183" s="140"/>
      <c r="AJ183" s="140"/>
      <c r="AK183" s="140"/>
      <c r="AS183" s="1187"/>
      <c r="AT183" s="1187"/>
      <c r="AU183" s="1187"/>
      <c r="AV183" s="1187"/>
      <c r="AW183" s="1187"/>
      <c r="AX183" s="1187"/>
      <c r="AY183" s="1188"/>
      <c r="AZ183" s="1187"/>
      <c r="BA183" s="1187"/>
      <c r="BB183" s="1187"/>
      <c r="BC183" s="1187"/>
      <c r="BD183" s="1187"/>
      <c r="BE183" s="1187"/>
      <c r="BF183" s="1187"/>
      <c r="BG183" s="1187"/>
      <c r="BH183" s="1187"/>
      <c r="BI183" s="1187"/>
      <c r="BJ183" s="1187"/>
      <c r="BK183" s="1187"/>
      <c r="BL183" s="1187"/>
      <c r="BM183" s="1187"/>
      <c r="BN183" s="1187"/>
      <c r="BO183" s="1187"/>
    </row>
    <row r="184" spans="1:128" ht="31.9" customHeight="1" x14ac:dyDescent="0.25">
      <c r="A184" s="8167" t="s">
        <v>1804</v>
      </c>
      <c r="B184" s="9536"/>
      <c r="C184" s="9194" t="s">
        <v>24</v>
      </c>
      <c r="D184" s="9524"/>
      <c r="E184" s="8215" t="s">
        <v>538</v>
      </c>
      <c r="F184" s="8216"/>
      <c r="G184" s="8216"/>
      <c r="H184" s="8216"/>
      <c r="I184" s="8216"/>
      <c r="J184" s="8216"/>
      <c r="K184" s="8216"/>
      <c r="L184" s="8216"/>
      <c r="M184" s="8216"/>
      <c r="N184" s="8216"/>
      <c r="O184" s="8216"/>
      <c r="P184" s="8216"/>
      <c r="Q184" s="8216"/>
      <c r="R184" s="8216"/>
      <c r="S184" s="8216"/>
      <c r="T184" s="8216"/>
      <c r="U184" s="8216"/>
      <c r="V184" s="8216"/>
      <c r="W184" s="8216"/>
      <c r="X184" s="8216"/>
      <c r="Y184" s="8216"/>
      <c r="Z184" s="8216"/>
      <c r="AA184" s="8216"/>
      <c r="AB184" s="8216"/>
      <c r="AC184" s="8216"/>
      <c r="AD184" s="8216"/>
      <c r="AE184" s="8216"/>
      <c r="AF184" s="8216"/>
      <c r="AG184" s="8216"/>
      <c r="AH184" s="8216"/>
      <c r="AI184" s="8216"/>
      <c r="AJ184" s="9527"/>
      <c r="AK184" s="9551" t="s">
        <v>43</v>
      </c>
      <c r="AL184" s="9551"/>
      <c r="AM184" s="9551"/>
      <c r="AN184" s="9552"/>
      <c r="AO184" s="9553" t="s">
        <v>711</v>
      </c>
      <c r="AP184" s="9551"/>
      <c r="AQ184" s="9551"/>
      <c r="AR184" s="9552"/>
      <c r="AS184" s="9554" t="s">
        <v>1818</v>
      </c>
      <c r="AT184" s="9555"/>
      <c r="AU184" s="9554" t="s">
        <v>359</v>
      </c>
      <c r="AV184" s="9555"/>
      <c r="AW184" s="8167" t="s">
        <v>1269</v>
      </c>
      <c r="AX184" s="9536"/>
      <c r="AY184" s="1187"/>
      <c r="AZ184" s="1187"/>
      <c r="BA184" s="1187"/>
      <c r="BB184" s="1187"/>
      <c r="BC184" s="1187"/>
      <c r="BD184" s="1187"/>
      <c r="BE184" s="1187"/>
      <c r="BF184" s="1187"/>
      <c r="BG184" s="1187"/>
      <c r="BH184" s="1187"/>
      <c r="BI184" s="1187"/>
      <c r="BJ184" s="1187"/>
      <c r="BK184" s="1187"/>
      <c r="BR184" s="1187"/>
      <c r="BS184" s="1187"/>
      <c r="BT184" s="1187"/>
      <c r="BU184" s="1580"/>
    </row>
    <row r="185" spans="1:128" ht="16.149999999999999" customHeight="1" x14ac:dyDescent="0.25">
      <c r="A185" s="8130"/>
      <c r="B185" s="8151"/>
      <c r="C185" s="9578"/>
      <c r="D185" s="9526"/>
      <c r="E185" s="8218" t="s">
        <v>1819</v>
      </c>
      <c r="F185" s="9528"/>
      <c r="G185" s="8218" t="s">
        <v>720</v>
      </c>
      <c r="H185" s="9528"/>
      <c r="I185" s="8218" t="s">
        <v>1820</v>
      </c>
      <c r="J185" s="9528"/>
      <c r="K185" s="8215" t="s">
        <v>1413</v>
      </c>
      <c r="L185" s="8217"/>
      <c r="M185" s="8215" t="s">
        <v>32</v>
      </c>
      <c r="N185" s="8217"/>
      <c r="O185" s="8215" t="s">
        <v>33</v>
      </c>
      <c r="P185" s="8217"/>
      <c r="Q185" s="8215" t="s">
        <v>40</v>
      </c>
      <c r="R185" s="8217"/>
      <c r="S185" s="8215" t="s">
        <v>115</v>
      </c>
      <c r="T185" s="8217"/>
      <c r="U185" s="8215" t="s">
        <v>116</v>
      </c>
      <c r="V185" s="8217"/>
      <c r="W185" s="8215" t="s">
        <v>117</v>
      </c>
      <c r="X185" s="8217"/>
      <c r="Y185" s="8215" t="s">
        <v>118</v>
      </c>
      <c r="Z185" s="8217"/>
      <c r="AA185" s="8215" t="s">
        <v>119</v>
      </c>
      <c r="AB185" s="8217"/>
      <c r="AC185" s="8215" t="s">
        <v>120</v>
      </c>
      <c r="AD185" s="8217"/>
      <c r="AE185" s="8215" t="s">
        <v>1412</v>
      </c>
      <c r="AF185" s="8217"/>
      <c r="AG185" s="8215" t="s">
        <v>1404</v>
      </c>
      <c r="AH185" s="8217"/>
      <c r="AI185" s="8215" t="s">
        <v>1821</v>
      </c>
      <c r="AJ185" s="9527"/>
      <c r="AK185" s="9564" t="s">
        <v>17</v>
      </c>
      <c r="AL185" s="9580"/>
      <c r="AM185" s="9564" t="s">
        <v>18</v>
      </c>
      <c r="AN185" s="9565"/>
      <c r="AO185" s="9579" t="s">
        <v>357</v>
      </c>
      <c r="AP185" s="9580"/>
      <c r="AQ185" s="9564" t="s">
        <v>356</v>
      </c>
      <c r="AR185" s="9565"/>
      <c r="AS185" s="9556"/>
      <c r="AT185" s="9557"/>
      <c r="AU185" s="9556"/>
      <c r="AV185" s="9557"/>
      <c r="AW185" s="8467"/>
      <c r="AX185" s="8152"/>
      <c r="AY185" s="1187"/>
      <c r="AZ185" s="1187"/>
      <c r="BA185" s="1187"/>
      <c r="BB185" s="1187"/>
      <c r="BC185" s="1187"/>
      <c r="BD185" s="1187"/>
      <c r="BE185" s="1187"/>
      <c r="BF185" s="1187"/>
      <c r="BG185" s="1187"/>
      <c r="BH185" s="1187"/>
      <c r="BI185" s="1187"/>
      <c r="BJ185" s="1187"/>
      <c r="BK185" s="1187"/>
      <c r="BR185" s="1187"/>
      <c r="BS185" s="1187"/>
      <c r="BT185" s="1187"/>
      <c r="BU185" s="1580"/>
    </row>
    <row r="186" spans="1:128" ht="40.5" customHeight="1" x14ac:dyDescent="0.25">
      <c r="A186" s="8467"/>
      <c r="B186" s="8152"/>
      <c r="C186" s="1119" t="s">
        <v>1780</v>
      </c>
      <c r="D186" s="935" t="s">
        <v>1822</v>
      </c>
      <c r="E186" s="1119" t="s">
        <v>1780</v>
      </c>
      <c r="F186" s="935" t="s">
        <v>1822</v>
      </c>
      <c r="G186" s="1119" t="s">
        <v>1780</v>
      </c>
      <c r="H186" s="935" t="s">
        <v>1822</v>
      </c>
      <c r="I186" s="1119" t="s">
        <v>1780</v>
      </c>
      <c r="J186" s="935" t="s">
        <v>1822</v>
      </c>
      <c r="K186" s="1119" t="s">
        <v>1780</v>
      </c>
      <c r="L186" s="935" t="s">
        <v>1822</v>
      </c>
      <c r="M186" s="1119" t="s">
        <v>1780</v>
      </c>
      <c r="N186" s="935" t="s">
        <v>1822</v>
      </c>
      <c r="O186" s="1119" t="s">
        <v>1780</v>
      </c>
      <c r="P186" s="935" t="s">
        <v>1822</v>
      </c>
      <c r="Q186" s="1119" t="s">
        <v>1780</v>
      </c>
      <c r="R186" s="935" t="s">
        <v>1822</v>
      </c>
      <c r="S186" s="1119" t="s">
        <v>1780</v>
      </c>
      <c r="T186" s="935" t="s">
        <v>1822</v>
      </c>
      <c r="U186" s="1119" t="s">
        <v>1780</v>
      </c>
      <c r="V186" s="935" t="s">
        <v>1822</v>
      </c>
      <c r="W186" s="1119" t="s">
        <v>1780</v>
      </c>
      <c r="X186" s="935" t="s">
        <v>1822</v>
      </c>
      <c r="Y186" s="1119" t="s">
        <v>1780</v>
      </c>
      <c r="Z186" s="935" t="s">
        <v>1822</v>
      </c>
      <c r="AA186" s="1119" t="s">
        <v>1780</v>
      </c>
      <c r="AB186" s="935" t="s">
        <v>1822</v>
      </c>
      <c r="AC186" s="1119" t="s">
        <v>1780</v>
      </c>
      <c r="AD186" s="935" t="s">
        <v>1822</v>
      </c>
      <c r="AE186" s="1119" t="s">
        <v>1780</v>
      </c>
      <c r="AF186" s="935" t="s">
        <v>1822</v>
      </c>
      <c r="AG186" s="1119" t="s">
        <v>1780</v>
      </c>
      <c r="AH186" s="935" t="s">
        <v>1822</v>
      </c>
      <c r="AI186" s="1119" t="s">
        <v>1780</v>
      </c>
      <c r="AJ186" s="1123" t="s">
        <v>1822</v>
      </c>
      <c r="AK186" s="1122" t="s">
        <v>1780</v>
      </c>
      <c r="AL186" s="935" t="s">
        <v>1822</v>
      </c>
      <c r="AM186" s="1119" t="s">
        <v>1780</v>
      </c>
      <c r="AN186" s="935" t="s">
        <v>1822</v>
      </c>
      <c r="AO186" s="2237" t="s">
        <v>1780</v>
      </c>
      <c r="AP186" s="935" t="s">
        <v>1822</v>
      </c>
      <c r="AQ186" s="1119" t="s">
        <v>1780</v>
      </c>
      <c r="AR186" s="935" t="s">
        <v>1822</v>
      </c>
      <c r="AS186" s="2237" t="s">
        <v>1780</v>
      </c>
      <c r="AT186" s="935" t="s">
        <v>1822</v>
      </c>
      <c r="AU186" s="2237" t="s">
        <v>1780</v>
      </c>
      <c r="AV186" s="935" t="s">
        <v>1822</v>
      </c>
      <c r="AW186" s="2237" t="s">
        <v>1780</v>
      </c>
      <c r="AX186" s="935" t="s">
        <v>1822</v>
      </c>
      <c r="AY186" s="1187"/>
      <c r="AZ186" s="1187"/>
      <c r="BA186" s="1187"/>
      <c r="BB186" s="1187"/>
      <c r="BC186" s="1187"/>
      <c r="BD186" s="1187"/>
      <c r="BE186" s="1187"/>
      <c r="BF186" s="1187"/>
      <c r="BG186" s="1187"/>
      <c r="BH186" s="1187"/>
      <c r="BI186" s="1187"/>
      <c r="BJ186" s="1187"/>
      <c r="BK186" s="1187"/>
      <c r="BR186" s="1187"/>
      <c r="BS186" s="1187"/>
      <c r="BT186" s="1187"/>
      <c r="BU186" s="1580"/>
    </row>
    <row r="187" spans="1:128" ht="16.149999999999999" customHeight="1" x14ac:dyDescent="0.25">
      <c r="A187" s="9566" t="s">
        <v>1823</v>
      </c>
      <c r="B187" s="9567"/>
      <c r="C187" s="1353">
        <f t="shared" ref="C187:D189" si="358">+M187+O187+Q187+S187+U187+W187+Y187+AA187+AC187+AE187</f>
        <v>0</v>
      </c>
      <c r="D187" s="1355">
        <f t="shared" si="358"/>
        <v>0</v>
      </c>
      <c r="E187" s="694"/>
      <c r="F187" s="1154"/>
      <c r="G187" s="694"/>
      <c r="H187" s="1154"/>
      <c r="I187" s="694"/>
      <c r="J187" s="1154"/>
      <c r="K187" s="694"/>
      <c r="L187" s="1154"/>
      <c r="M187" s="691"/>
      <c r="N187" s="709"/>
      <c r="O187" s="691"/>
      <c r="P187" s="709"/>
      <c r="Q187" s="691"/>
      <c r="R187" s="709"/>
      <c r="S187" s="691"/>
      <c r="T187" s="709"/>
      <c r="U187" s="691"/>
      <c r="V187" s="709"/>
      <c r="W187" s="691"/>
      <c r="X187" s="709"/>
      <c r="Y187" s="691"/>
      <c r="Z187" s="709"/>
      <c r="AA187" s="691"/>
      <c r="AB187" s="709"/>
      <c r="AC187" s="691"/>
      <c r="AD187" s="709"/>
      <c r="AE187" s="691"/>
      <c r="AF187" s="709"/>
      <c r="AG187" s="694"/>
      <c r="AH187" s="710"/>
      <c r="AI187" s="694"/>
      <c r="AJ187" s="693"/>
      <c r="AK187" s="1611"/>
      <c r="AL187" s="1612"/>
      <c r="AM187" s="906"/>
      <c r="AN187" s="1155"/>
      <c r="AO187" s="1156"/>
      <c r="AP187" s="1110"/>
      <c r="AQ187" s="1129"/>
      <c r="AR187" s="1157"/>
      <c r="AS187" s="1156"/>
      <c r="AT187" s="1157"/>
      <c r="AU187" s="1156"/>
      <c r="AV187" s="1110"/>
      <c r="AW187" s="1156"/>
      <c r="AX187" s="1110"/>
      <c r="AY187" s="1193" t="str">
        <f t="shared" ref="AY187:AY209" si="359">$CA187&amp;$CB187&amp;$CC187&amp;$CD187&amp;$CE187&amp;$CF187&amp;$CG187&amp;$CH187&amp;$CI187&amp;$CJ187&amp;$CK187&amp;$CL187&amp;$CM187&amp;$CN187&amp;$CO187&amp;$CP187&amp;$CQ187&amp;$CR187&amp;$CS187&amp;$CT187&amp;$CU187&amp;$CV187&amp;$CW187&amp;$CX187&amp;$CY187&amp;$CZ187</f>
        <v/>
      </c>
      <c r="AZ187" s="1193"/>
      <c r="BA187" s="1193"/>
      <c r="BB187" s="1193"/>
      <c r="BC187" s="1193"/>
      <c r="BD187" s="1193"/>
      <c r="BE187" s="1193"/>
      <c r="BF187" s="1193"/>
      <c r="BG187" s="1193"/>
      <c r="BH187" s="1187"/>
      <c r="BI187" s="1187"/>
      <c r="BJ187" s="1187"/>
      <c r="BK187" s="1187"/>
      <c r="BR187" s="1187"/>
      <c r="BS187" s="1187"/>
      <c r="BT187" s="1187"/>
      <c r="BU187" s="1580"/>
      <c r="CA187" s="2235" t="str">
        <f>IF(DA187=1," * El total de exámenes confirmados positivos por ISP NO DEBE SUPERAR el total de exámenes procesados. ","")</f>
        <v/>
      </c>
      <c r="CB187" s="2235" t="str">
        <f>IF(DB187=1," * La suma de exámenes procesados por sexo DEBE SER IGUAL al total de Procesados. ","")</f>
        <v/>
      </c>
      <c r="CC187" s="2235" t="str">
        <f>IF(DC187=1," * La suma de exámenes Confirmados positivos por ISP por sexo DEBE SER IGUAL al total de Procesados. ","")</f>
        <v/>
      </c>
      <c r="CD187" s="2235" t="str">
        <f>IF(DD187=1," * La suma de exámenes procesados Trans NO PUEDE Superar al total de Procesados. ","")</f>
        <v/>
      </c>
      <c r="CE187" s="2235" t="str">
        <f>IF(DE187=1," * La suma de exámenes confirmados positivos por ISP Trans NO PUEDE Superar al total de Procesados. ","")</f>
        <v/>
      </c>
      <c r="CF187" s="2235" t="str">
        <f>IF(DF187=1," * Los exámenes procesados de personas pertenecientes a Pueblos originarios NO PUEDE Superar al total de Procesados. ","")</f>
        <v/>
      </c>
      <c r="CG187" s="2235" t="str">
        <f>IF(DG187=1," * Los exámenes confirmados positivos por ISP de personas pertenecientes a Pueblos originarios NO PUEDE Superar al total de Procesados. ","")</f>
        <v/>
      </c>
      <c r="CH187" s="2235" t="str">
        <f>IF(DH187=1," * Los exámenes procesados de personas pertenecientes a Pueblos migrantes NO PUEDE Superar al total de Procesados. ","")</f>
        <v/>
      </c>
      <c r="CI187" s="2235" t="str">
        <f>IF(DI187=1," * Los exámenes confirmados positivos por ISP de personas pertenecientes a Pueblos Migrantes NO PUEDE Superar al total de Procesados. ","")</f>
        <v/>
      </c>
      <c r="CJ187" s="2235"/>
      <c r="CK187" s="2235"/>
      <c r="CL187" s="2235"/>
      <c r="CM187" s="2235"/>
      <c r="CN187" s="2235"/>
      <c r="CO187" s="2235"/>
      <c r="CP187" s="2235"/>
      <c r="CQ187" s="2235"/>
      <c r="CR187" s="2235"/>
      <c r="CS187" s="2235"/>
      <c r="CT187" s="2235"/>
      <c r="CU187" s="2235"/>
      <c r="CV187" s="2235"/>
      <c r="CW187" s="2235" t="str">
        <f t="shared" ref="CW187:CW209" si="360">IF(DW187=1,"* No olvide digitar la columna Procesados Trans y/o Pueblos Originarios y/o Migrantes (Digite Cero si no tiene). ","")</f>
        <v/>
      </c>
      <c r="CX187" s="2235" t="str">
        <f t="shared" ref="CX187:CX209" si="361">IF(DX187=1,"* No olvide digitar la columna Confirmados Trans y/o Pueblos Originarios y/o Migrantes (Digite Cero si no tiene). ","")</f>
        <v/>
      </c>
      <c r="CY187" s="2235"/>
      <c r="CZ187" s="2235"/>
      <c r="DA187" s="1468">
        <f>IF(C187&lt;D187,1,0)</f>
        <v>0</v>
      </c>
      <c r="DB187" s="1468">
        <f>IF(C187&lt;&gt;(AK187+AM187),1,0)</f>
        <v>0</v>
      </c>
      <c r="DC187" s="1468">
        <f>IF(D187&lt;&gt;(AL187+AN187),1,0)</f>
        <v>0</v>
      </c>
      <c r="DD187" s="1468">
        <f>IF(C187&lt;(AO187+AQ187),1,0)</f>
        <v>0</v>
      </c>
      <c r="DE187" s="1468">
        <f>IF(D187&lt;(AP187+AR187),1,0)</f>
        <v>0</v>
      </c>
      <c r="DF187" s="1468">
        <f>IF($C187&lt;AS187,1,0)</f>
        <v>0</v>
      </c>
      <c r="DG187" s="1468">
        <f>IF($D187&lt;AT187,1,0)</f>
        <v>0</v>
      </c>
      <c r="DH187" s="1468">
        <f>IF($C187&lt;AU187,1,0)</f>
        <v>0</v>
      </c>
      <c r="DI187" s="1468">
        <f>IF($D187&lt;AV187,1,0)</f>
        <v>0</v>
      </c>
      <c r="DJ187" s="1468"/>
      <c r="DK187" s="1468"/>
      <c r="DL187" s="1468"/>
      <c r="DM187" s="1468"/>
      <c r="DN187" s="1468"/>
      <c r="DO187" s="1468"/>
      <c r="DP187" s="1468"/>
      <c r="DQ187" s="1468"/>
      <c r="DR187" s="1468"/>
      <c r="DS187" s="1468"/>
      <c r="DT187" s="1468"/>
      <c r="DU187" s="1468"/>
      <c r="DV187" s="1468"/>
      <c r="DW187" s="1468">
        <f t="shared" ref="DW187:DX202" si="362">IF(AND(C187&lt;&gt;0,OR(AO187="",AQ187="",AS187="",AU187="")),1,0)</f>
        <v>0</v>
      </c>
      <c r="DX187" s="1468">
        <f t="shared" si="362"/>
        <v>0</v>
      </c>
    </row>
    <row r="188" spans="1:128" ht="16.149999999999999" customHeight="1" x14ac:dyDescent="0.25">
      <c r="A188" s="9568" t="s">
        <v>1824</v>
      </c>
      <c r="B188" s="9569"/>
      <c r="C188" s="1356">
        <f t="shared" si="358"/>
        <v>0</v>
      </c>
      <c r="D188" s="839">
        <f t="shared" si="358"/>
        <v>0</v>
      </c>
      <c r="E188" s="1127"/>
      <c r="F188" s="1126"/>
      <c r="G188" s="1127"/>
      <c r="H188" s="1126"/>
      <c r="I188" s="1127"/>
      <c r="J188" s="1126"/>
      <c r="K188" s="1127"/>
      <c r="L188" s="1126"/>
      <c r="M188" s="906"/>
      <c r="N188" s="78"/>
      <c r="O188" s="906"/>
      <c r="P188" s="78"/>
      <c r="Q188" s="906"/>
      <c r="R188" s="78"/>
      <c r="S188" s="906"/>
      <c r="T188" s="78"/>
      <c r="U188" s="906"/>
      <c r="V188" s="78"/>
      <c r="W188" s="906"/>
      <c r="X188" s="78"/>
      <c r="Y188" s="906"/>
      <c r="Z188" s="78"/>
      <c r="AA188" s="906"/>
      <c r="AB188" s="78"/>
      <c r="AC188" s="906"/>
      <c r="AD188" s="78"/>
      <c r="AE188" s="906"/>
      <c r="AF188" s="78"/>
      <c r="AG188" s="1127"/>
      <c r="AH188" s="1128"/>
      <c r="AI188" s="1127"/>
      <c r="AJ188" s="1139"/>
      <c r="AK188" s="1132"/>
      <c r="AL188" s="1175"/>
      <c r="AM188" s="1109"/>
      <c r="AN188" s="1157"/>
      <c r="AO188" s="1156"/>
      <c r="AP188" s="1110"/>
      <c r="AQ188" s="1129"/>
      <c r="AR188" s="1157"/>
      <c r="AS188" s="1156"/>
      <c r="AT188" s="1157"/>
      <c r="AU188" s="1156"/>
      <c r="AV188" s="1110"/>
      <c r="AW188" s="1156"/>
      <c r="AX188" s="1110"/>
      <c r="AY188" s="1193" t="str">
        <f t="shared" si="359"/>
        <v/>
      </c>
      <c r="AZ188" s="1193"/>
      <c r="BA188" s="1193"/>
      <c r="BB188" s="1193"/>
      <c r="BC188" s="1193"/>
      <c r="BD188" s="1193"/>
      <c r="BE188" s="1193"/>
      <c r="BF188" s="1193"/>
      <c r="BG188" s="1193"/>
      <c r="BH188" s="1187"/>
      <c r="BI188" s="1187"/>
      <c r="BJ188" s="1187"/>
      <c r="BK188" s="1187"/>
      <c r="BR188" s="1187"/>
      <c r="BS188" s="1187"/>
      <c r="BT188" s="1187"/>
      <c r="BU188" s="1580"/>
      <c r="CA188" s="2235" t="str">
        <f t="shared" ref="CA188:CA208" si="363">IF(DA188=1," * El total de exámenes confirmados positivos por ISP NO DEBE SUPERAR el total de exámenes procesados. ","")</f>
        <v/>
      </c>
      <c r="CB188" s="2235" t="str">
        <f t="shared" ref="CB188:CB208" si="364">IF(DB188=1," * La suma de exámenes procesados por sexo DEBE SER IGUAL al total de Procesados. ","")</f>
        <v/>
      </c>
      <c r="CC188" s="2235" t="str">
        <f t="shared" ref="CC188:CC208" si="365">IF(DC188=1," * La suma de exámenes Confirmados positivos por ISP por sexo DEBE SER IGUAL al total de Procesados. ","")</f>
        <v/>
      </c>
      <c r="CD188" s="2235" t="str">
        <f t="shared" ref="CD188:CD208" si="366">IF(DD188=1," * La suma de exámenes procesados Trans NO PUEDE Superar al total de Procesados. ","")</f>
        <v/>
      </c>
      <c r="CE188" s="2235" t="str">
        <f t="shared" ref="CE188:CE208" si="367">IF(DE188=1," * La suma de exámenes confirmados positivos por ISP Trans NO PUEDE Superar al total de Procesados. ","")</f>
        <v/>
      </c>
      <c r="CF188" s="2235" t="str">
        <f t="shared" ref="CF188:CF208" si="368">IF(DF188=1," * Los exámenes procesados de personas pertenecientes a Pueblos originarios NO PUEDE Superar al total de Procesados. ","")</f>
        <v/>
      </c>
      <c r="CG188" s="2235" t="str">
        <f t="shared" ref="CG188:CG208" si="369">IF(DG188=1," * Los exámenes confirmados positivos por ISP de personas pertenecientes a Pueblos originarios NO PUEDE Superar al total de Procesados. ","")</f>
        <v/>
      </c>
      <c r="CH188" s="2235" t="str">
        <f t="shared" ref="CH188:CH208" si="370">IF(DH188=1," * Los exámenes procesados de personas pertenecientes a Pueblos migrantes NO PUEDE Superar al total de Procesados. ","")</f>
        <v/>
      </c>
      <c r="CI188" s="2235" t="str">
        <f t="shared" ref="CI188:CI208" si="371">IF(DI188=1," * Los exámenes confirmados positivos por ISP de personas pertenecientes a Pueblos Migrantes NO PUEDE Superar al total de Procesados. ","")</f>
        <v/>
      </c>
      <c r="CJ188" s="2235"/>
      <c r="CK188" s="2235"/>
      <c r="CL188" s="2235"/>
      <c r="CM188" s="2235"/>
      <c r="CN188" s="2235"/>
      <c r="CO188" s="2235"/>
      <c r="CP188" s="2235"/>
      <c r="CQ188" s="2235"/>
      <c r="CR188" s="2235"/>
      <c r="CS188" s="2235"/>
      <c r="CT188" s="2235"/>
      <c r="CU188" s="2235"/>
      <c r="CV188" s="2235"/>
      <c r="CW188" s="2235" t="str">
        <f t="shared" si="360"/>
        <v/>
      </c>
      <c r="CX188" s="2235" t="str">
        <f t="shared" si="361"/>
        <v/>
      </c>
      <c r="CY188" s="2235"/>
      <c r="CZ188" s="2235"/>
      <c r="DA188" s="1468">
        <f t="shared" ref="DA188:DA209" si="372">IF(C188&lt;D188,1,0)</f>
        <v>0</v>
      </c>
      <c r="DB188" s="1468">
        <f t="shared" ref="DB188:DB209" si="373">IF(C188&lt;&gt;(AK188+AM188),1,0)</f>
        <v>0</v>
      </c>
      <c r="DC188" s="1468">
        <f t="shared" ref="DC188:DC209" si="374">IF(D188&lt;&gt;(AL188+AN188),1,0)</f>
        <v>0</v>
      </c>
      <c r="DD188" s="1468">
        <f t="shared" ref="DD188:DD209" si="375">IF(C188&lt;(AO188+AQ188),1,0)</f>
        <v>0</v>
      </c>
      <c r="DE188" s="1468">
        <f t="shared" ref="DE188:DE209" si="376">IF(D188&lt;(AP188+AR188),1,0)</f>
        <v>0</v>
      </c>
      <c r="DF188" s="1468">
        <f t="shared" ref="DF188:DF209" si="377">IF($C188&lt;AS188,1,0)</f>
        <v>0</v>
      </c>
      <c r="DG188" s="1468">
        <f t="shared" ref="DG188:DG209" si="378">IF($D188&lt;AT188,1,0)</f>
        <v>0</v>
      </c>
      <c r="DH188" s="1468">
        <f t="shared" ref="DH188:DH209" si="379">IF($C188&lt;AU188,1,0)</f>
        <v>0</v>
      </c>
      <c r="DI188" s="1468">
        <f t="shared" ref="DI188:DI209" si="380">IF($D188&lt;AV188,1,0)</f>
        <v>0</v>
      </c>
      <c r="DJ188" s="1468"/>
      <c r="DK188" s="1468"/>
      <c r="DL188" s="1468"/>
      <c r="DM188" s="1468"/>
      <c r="DN188" s="1468"/>
      <c r="DO188" s="1468"/>
      <c r="DP188" s="1468"/>
      <c r="DQ188" s="1468"/>
      <c r="DR188" s="1468"/>
      <c r="DS188" s="1468"/>
      <c r="DT188" s="1468"/>
      <c r="DU188" s="1468"/>
      <c r="DV188" s="1468"/>
      <c r="DW188" s="1468">
        <f t="shared" si="362"/>
        <v>0</v>
      </c>
      <c r="DX188" s="1468">
        <f t="shared" si="362"/>
        <v>0</v>
      </c>
    </row>
    <row r="189" spans="1:128" ht="16.149999999999999" customHeight="1" x14ac:dyDescent="0.25">
      <c r="A189" s="9568" t="s">
        <v>1825</v>
      </c>
      <c r="B189" s="9569"/>
      <c r="C189" s="1356">
        <f t="shared" si="358"/>
        <v>0</v>
      </c>
      <c r="D189" s="839">
        <f t="shared" si="358"/>
        <v>0</v>
      </c>
      <c r="E189" s="1127"/>
      <c r="F189" s="1126"/>
      <c r="G189" s="1127"/>
      <c r="H189" s="1126"/>
      <c r="I189" s="1127"/>
      <c r="J189" s="1126"/>
      <c r="K189" s="1127"/>
      <c r="L189" s="1126"/>
      <c r="M189" s="1109"/>
      <c r="N189" s="1130"/>
      <c r="O189" s="1109"/>
      <c r="P189" s="1130"/>
      <c r="Q189" s="1109"/>
      <c r="R189" s="1130"/>
      <c r="S189" s="1109"/>
      <c r="T189" s="1130"/>
      <c r="U189" s="1109"/>
      <c r="V189" s="1130"/>
      <c r="W189" s="1109"/>
      <c r="X189" s="1130"/>
      <c r="Y189" s="1109"/>
      <c r="Z189" s="1130"/>
      <c r="AA189" s="1109"/>
      <c r="AB189" s="1130"/>
      <c r="AC189" s="1109"/>
      <c r="AD189" s="1130"/>
      <c r="AE189" s="1109"/>
      <c r="AF189" s="1130"/>
      <c r="AG189" s="1127"/>
      <c r="AH189" s="1128"/>
      <c r="AI189" s="1127"/>
      <c r="AJ189" s="1139"/>
      <c r="AK189" s="1132"/>
      <c r="AL189" s="1175"/>
      <c r="AM189" s="1109"/>
      <c r="AN189" s="1157"/>
      <c r="AO189" s="1156"/>
      <c r="AP189" s="1110"/>
      <c r="AQ189" s="1129"/>
      <c r="AR189" s="1157"/>
      <c r="AS189" s="1156"/>
      <c r="AT189" s="1157"/>
      <c r="AU189" s="1156"/>
      <c r="AV189" s="1110"/>
      <c r="AW189" s="1156"/>
      <c r="AX189" s="1110"/>
      <c r="AY189" s="1193" t="str">
        <f t="shared" si="359"/>
        <v/>
      </c>
      <c r="AZ189" s="1193"/>
      <c r="BA189" s="1193"/>
      <c r="BB189" s="1193"/>
      <c r="BC189" s="1193"/>
      <c r="BD189" s="1193"/>
      <c r="BE189" s="1193"/>
      <c r="BF189" s="1193"/>
      <c r="BG189" s="1193"/>
      <c r="BH189" s="1187"/>
      <c r="BI189" s="1187"/>
      <c r="BJ189" s="1187"/>
      <c r="BK189" s="1187"/>
      <c r="BR189" s="1187"/>
      <c r="BS189" s="1187"/>
      <c r="BT189" s="1187"/>
      <c r="BU189" s="1580"/>
      <c r="CA189" s="2235" t="str">
        <f t="shared" si="363"/>
        <v/>
      </c>
      <c r="CB189" s="2235" t="str">
        <f t="shared" si="364"/>
        <v/>
      </c>
      <c r="CC189" s="2235" t="str">
        <f t="shared" si="365"/>
        <v/>
      </c>
      <c r="CD189" s="2235" t="str">
        <f t="shared" si="366"/>
        <v/>
      </c>
      <c r="CE189" s="2235" t="str">
        <f t="shared" si="367"/>
        <v/>
      </c>
      <c r="CF189" s="2235" t="str">
        <f t="shared" si="368"/>
        <v/>
      </c>
      <c r="CG189" s="2235" t="str">
        <f t="shared" si="369"/>
        <v/>
      </c>
      <c r="CH189" s="2235" t="str">
        <f t="shared" si="370"/>
        <v/>
      </c>
      <c r="CI189" s="2235" t="str">
        <f t="shared" si="371"/>
        <v/>
      </c>
      <c r="CJ189" s="2235"/>
      <c r="CK189" s="2235"/>
      <c r="CL189" s="2235"/>
      <c r="CM189" s="2235"/>
      <c r="CN189" s="2235"/>
      <c r="CO189" s="2235"/>
      <c r="CP189" s="2235"/>
      <c r="CQ189" s="2235"/>
      <c r="CR189" s="2235"/>
      <c r="CS189" s="2235"/>
      <c r="CT189" s="2235"/>
      <c r="CU189" s="2235"/>
      <c r="CV189" s="2235"/>
      <c r="CW189" s="2235" t="str">
        <f t="shared" si="360"/>
        <v/>
      </c>
      <c r="CX189" s="2235" t="str">
        <f t="shared" si="361"/>
        <v/>
      </c>
      <c r="CY189" s="2235"/>
      <c r="CZ189" s="2235"/>
      <c r="DA189" s="1468">
        <f t="shared" si="372"/>
        <v>0</v>
      </c>
      <c r="DB189" s="1468">
        <f t="shared" si="373"/>
        <v>0</v>
      </c>
      <c r="DC189" s="1468">
        <f t="shared" si="374"/>
        <v>0</v>
      </c>
      <c r="DD189" s="1468">
        <f t="shared" si="375"/>
        <v>0</v>
      </c>
      <c r="DE189" s="1468">
        <f t="shared" si="376"/>
        <v>0</v>
      </c>
      <c r="DF189" s="1468">
        <f t="shared" si="377"/>
        <v>0</v>
      </c>
      <c r="DG189" s="1468">
        <f t="shared" si="378"/>
        <v>0</v>
      </c>
      <c r="DH189" s="1468">
        <f t="shared" si="379"/>
        <v>0</v>
      </c>
      <c r="DI189" s="1468">
        <f t="shared" si="380"/>
        <v>0</v>
      </c>
      <c r="DJ189" s="1468"/>
      <c r="DK189" s="1468"/>
      <c r="DL189" s="1468"/>
      <c r="DM189" s="1468"/>
      <c r="DN189" s="1468"/>
      <c r="DO189" s="1468"/>
      <c r="DP189" s="1468"/>
      <c r="DQ189" s="1468"/>
      <c r="DR189" s="1468"/>
      <c r="DS189" s="1468"/>
      <c r="DT189" s="1468"/>
      <c r="DU189" s="1468"/>
      <c r="DV189" s="1468"/>
      <c r="DW189" s="1468">
        <f t="shared" si="362"/>
        <v>0</v>
      </c>
      <c r="DX189" s="1468">
        <f t="shared" si="362"/>
        <v>0</v>
      </c>
    </row>
    <row r="190" spans="1:128" ht="16.149999999999999" customHeight="1" x14ac:dyDescent="0.25">
      <c r="A190" s="9568" t="s">
        <v>1792</v>
      </c>
      <c r="B190" s="9569"/>
      <c r="C190" s="1356">
        <f>+O190+Q190+S190+U190+W190+Y190+AA190+AC190+AE190+AG190+AI190</f>
        <v>0</v>
      </c>
      <c r="D190" s="1158">
        <f>+P190+R190+T190+V190+X190+Z190+AB190+AD190+AF190+AH190+AJ190</f>
        <v>0</v>
      </c>
      <c r="E190" s="1127"/>
      <c r="F190" s="1126"/>
      <c r="G190" s="1127"/>
      <c r="H190" s="1126"/>
      <c r="I190" s="1127"/>
      <c r="J190" s="1126"/>
      <c r="K190" s="1127"/>
      <c r="L190" s="1126"/>
      <c r="M190" s="1127"/>
      <c r="N190" s="1126"/>
      <c r="O190" s="1109"/>
      <c r="P190" s="1130"/>
      <c r="Q190" s="1109"/>
      <c r="R190" s="1130"/>
      <c r="S190" s="1109"/>
      <c r="T190" s="1130"/>
      <c r="U190" s="1109"/>
      <c r="V190" s="1130"/>
      <c r="W190" s="1109"/>
      <c r="X190" s="1130"/>
      <c r="Y190" s="1109"/>
      <c r="Z190" s="1130"/>
      <c r="AA190" s="1109"/>
      <c r="AB190" s="1130"/>
      <c r="AC190" s="1109"/>
      <c r="AD190" s="1130"/>
      <c r="AE190" s="1109"/>
      <c r="AF190" s="1130"/>
      <c r="AG190" s="1109"/>
      <c r="AH190" s="1130"/>
      <c r="AI190" s="1109"/>
      <c r="AJ190" s="1131"/>
      <c r="AK190" s="1129"/>
      <c r="AL190" s="1110"/>
      <c r="AM190" s="1109"/>
      <c r="AN190" s="1157"/>
      <c r="AO190" s="1156"/>
      <c r="AP190" s="1110"/>
      <c r="AQ190" s="1129"/>
      <c r="AR190" s="1157"/>
      <c r="AS190" s="1156"/>
      <c r="AT190" s="1157"/>
      <c r="AU190" s="1156"/>
      <c r="AV190" s="1110"/>
      <c r="AW190" s="1156"/>
      <c r="AX190" s="1110"/>
      <c r="AY190" s="1193" t="str">
        <f t="shared" si="359"/>
        <v/>
      </c>
      <c r="AZ190" s="1193"/>
      <c r="BA190" s="1193"/>
      <c r="BB190" s="1193"/>
      <c r="BC190" s="1193"/>
      <c r="BD190" s="1193"/>
      <c r="BE190" s="1193"/>
      <c r="BF190" s="1193"/>
      <c r="BG190" s="1193"/>
      <c r="BH190" s="1187"/>
      <c r="BI190" s="1187"/>
      <c r="BJ190" s="1187"/>
      <c r="BK190" s="1187"/>
      <c r="BR190" s="1187"/>
      <c r="BS190" s="1187"/>
      <c r="BT190" s="1187"/>
      <c r="BU190" s="1580"/>
      <c r="CA190" s="2235" t="str">
        <f t="shared" si="363"/>
        <v/>
      </c>
      <c r="CB190" s="2235" t="str">
        <f t="shared" si="364"/>
        <v/>
      </c>
      <c r="CC190" s="2235" t="str">
        <f t="shared" si="365"/>
        <v/>
      </c>
      <c r="CD190" s="2235" t="str">
        <f t="shared" si="366"/>
        <v/>
      </c>
      <c r="CE190" s="2235" t="str">
        <f t="shared" si="367"/>
        <v/>
      </c>
      <c r="CF190" s="2235" t="str">
        <f t="shared" si="368"/>
        <v/>
      </c>
      <c r="CG190" s="2235" t="str">
        <f t="shared" si="369"/>
        <v/>
      </c>
      <c r="CH190" s="2235" t="str">
        <f t="shared" si="370"/>
        <v/>
      </c>
      <c r="CI190" s="2235" t="str">
        <f t="shared" si="371"/>
        <v/>
      </c>
      <c r="CJ190" s="2235"/>
      <c r="CK190" s="2235"/>
      <c r="CL190" s="2235"/>
      <c r="CM190" s="2235"/>
      <c r="CN190" s="2235"/>
      <c r="CO190" s="2235"/>
      <c r="CP190" s="2235"/>
      <c r="CQ190" s="2235"/>
      <c r="CR190" s="2235"/>
      <c r="CS190" s="2235"/>
      <c r="CT190" s="2235"/>
      <c r="CU190" s="2235"/>
      <c r="CV190" s="2235"/>
      <c r="CW190" s="2235" t="str">
        <f t="shared" si="360"/>
        <v/>
      </c>
      <c r="CX190" s="2235" t="str">
        <f t="shared" si="361"/>
        <v/>
      </c>
      <c r="CY190" s="2235"/>
      <c r="CZ190" s="2235"/>
      <c r="DA190" s="1468">
        <f t="shared" si="372"/>
        <v>0</v>
      </c>
      <c r="DB190" s="1468">
        <f t="shared" si="373"/>
        <v>0</v>
      </c>
      <c r="DC190" s="1468">
        <f t="shared" si="374"/>
        <v>0</v>
      </c>
      <c r="DD190" s="1468">
        <f t="shared" si="375"/>
        <v>0</v>
      </c>
      <c r="DE190" s="1468">
        <f t="shared" si="376"/>
        <v>0</v>
      </c>
      <c r="DF190" s="1468">
        <f t="shared" si="377"/>
        <v>0</v>
      </c>
      <c r="DG190" s="1468">
        <f t="shared" si="378"/>
        <v>0</v>
      </c>
      <c r="DH190" s="1468">
        <f t="shared" si="379"/>
        <v>0</v>
      </c>
      <c r="DI190" s="1468">
        <f t="shared" si="380"/>
        <v>0</v>
      </c>
      <c r="DJ190" s="1468"/>
      <c r="DK190" s="1468"/>
      <c r="DL190" s="1468"/>
      <c r="DM190" s="1468"/>
      <c r="DN190" s="1468"/>
      <c r="DO190" s="1468"/>
      <c r="DP190" s="1468"/>
      <c r="DQ190" s="1468"/>
      <c r="DR190" s="1468"/>
      <c r="DS190" s="1468"/>
      <c r="DT190" s="1468"/>
      <c r="DU190" s="1468"/>
      <c r="DV190" s="1468"/>
      <c r="DW190" s="1468">
        <f t="shared" si="362"/>
        <v>0</v>
      </c>
      <c r="DX190" s="1468">
        <f t="shared" si="362"/>
        <v>0</v>
      </c>
    </row>
    <row r="191" spans="1:128" ht="16.149999999999999" customHeight="1" x14ac:dyDescent="0.25">
      <c r="A191" s="9568" t="s">
        <v>1797</v>
      </c>
      <c r="B191" s="9569"/>
      <c r="C191" s="1356">
        <f>+E191+G191+I191+K191+M191+O191+Q191+S191+U191+W191+Y191+AA191+AC191+AE191+AG191+AI191</f>
        <v>0</v>
      </c>
      <c r="D191" s="1158">
        <f>+F191+H191+J191+L191+N191+P191+R191+T191+V191+X191+Z191+AB191+AD191+AF191+AH191+AJ191</f>
        <v>0</v>
      </c>
      <c r="E191" s="1109"/>
      <c r="F191" s="1130"/>
      <c r="G191" s="1109"/>
      <c r="H191" s="1130"/>
      <c r="I191" s="1109"/>
      <c r="J191" s="1130"/>
      <c r="K191" s="1109"/>
      <c r="L191" s="1130"/>
      <c r="M191" s="1109"/>
      <c r="N191" s="1130"/>
      <c r="O191" s="1109"/>
      <c r="P191" s="1130"/>
      <c r="Q191" s="1109"/>
      <c r="R191" s="1130"/>
      <c r="S191" s="1109"/>
      <c r="T191" s="1130"/>
      <c r="U191" s="1109"/>
      <c r="V191" s="1130"/>
      <c r="W191" s="1109"/>
      <c r="X191" s="1130"/>
      <c r="Y191" s="1109"/>
      <c r="Z191" s="1130"/>
      <c r="AA191" s="1109"/>
      <c r="AB191" s="1130"/>
      <c r="AC191" s="1109"/>
      <c r="AD191" s="1130"/>
      <c r="AE191" s="1109"/>
      <c r="AF191" s="1130"/>
      <c r="AG191" s="1109"/>
      <c r="AH191" s="1130"/>
      <c r="AI191" s="1109"/>
      <c r="AJ191" s="1131"/>
      <c r="AK191" s="1181"/>
      <c r="AL191" s="1160"/>
      <c r="AM191" s="1161"/>
      <c r="AN191" s="1157"/>
      <c r="AO191" s="1156"/>
      <c r="AP191" s="1110"/>
      <c r="AQ191" s="1129"/>
      <c r="AR191" s="1157"/>
      <c r="AS191" s="1156"/>
      <c r="AT191" s="1157"/>
      <c r="AU191" s="1156"/>
      <c r="AV191" s="1110"/>
      <c r="AW191" s="1156"/>
      <c r="AX191" s="1110"/>
      <c r="AY191" s="1193" t="str">
        <f t="shared" si="359"/>
        <v/>
      </c>
      <c r="AZ191" s="1193"/>
      <c r="BA191" s="1193"/>
      <c r="BB191" s="1193"/>
      <c r="BC191" s="1193"/>
      <c r="BD191" s="1193"/>
      <c r="BE191" s="1193"/>
      <c r="BF191" s="1193"/>
      <c r="BG191" s="1193"/>
      <c r="BH191" s="1187"/>
      <c r="BI191" s="1187"/>
      <c r="BJ191" s="1187"/>
      <c r="BK191" s="1187"/>
      <c r="BR191" s="1187"/>
      <c r="BS191" s="1187"/>
      <c r="BT191" s="1187"/>
      <c r="BU191" s="1580"/>
      <c r="CA191" s="2235" t="str">
        <f t="shared" si="363"/>
        <v/>
      </c>
      <c r="CB191" s="2235" t="str">
        <f t="shared" si="364"/>
        <v/>
      </c>
      <c r="CC191" s="2235" t="str">
        <f t="shared" si="365"/>
        <v/>
      </c>
      <c r="CD191" s="2235" t="str">
        <f t="shared" si="366"/>
        <v/>
      </c>
      <c r="CE191" s="2235" t="str">
        <f t="shared" si="367"/>
        <v/>
      </c>
      <c r="CF191" s="2235" t="str">
        <f t="shared" si="368"/>
        <v/>
      </c>
      <c r="CG191" s="2235" t="str">
        <f t="shared" si="369"/>
        <v/>
      </c>
      <c r="CH191" s="2235" t="str">
        <f t="shared" si="370"/>
        <v/>
      </c>
      <c r="CI191" s="2235" t="str">
        <f t="shared" si="371"/>
        <v/>
      </c>
      <c r="CJ191" s="2235"/>
      <c r="CK191" s="2235"/>
      <c r="CL191" s="2235"/>
      <c r="CM191" s="2235"/>
      <c r="CN191" s="2235"/>
      <c r="CO191" s="2235"/>
      <c r="CP191" s="2235"/>
      <c r="CQ191" s="2235"/>
      <c r="CR191" s="2235"/>
      <c r="CS191" s="2235"/>
      <c r="CT191" s="2235"/>
      <c r="CU191" s="2235"/>
      <c r="CV191" s="2235"/>
      <c r="CW191" s="2235" t="str">
        <f t="shared" si="360"/>
        <v/>
      </c>
      <c r="CX191" s="2235" t="str">
        <f t="shared" si="361"/>
        <v/>
      </c>
      <c r="CY191" s="2235"/>
      <c r="CZ191" s="2235"/>
      <c r="DA191" s="1468">
        <f t="shared" si="372"/>
        <v>0</v>
      </c>
      <c r="DB191" s="1468">
        <f t="shared" si="373"/>
        <v>0</v>
      </c>
      <c r="DC191" s="1468">
        <f t="shared" si="374"/>
        <v>0</v>
      </c>
      <c r="DD191" s="1468">
        <f t="shared" si="375"/>
        <v>0</v>
      </c>
      <c r="DE191" s="1468">
        <f t="shared" si="376"/>
        <v>0</v>
      </c>
      <c r="DF191" s="1468">
        <f t="shared" si="377"/>
        <v>0</v>
      </c>
      <c r="DG191" s="1468">
        <f t="shared" si="378"/>
        <v>0</v>
      </c>
      <c r="DH191" s="1468">
        <f t="shared" si="379"/>
        <v>0</v>
      </c>
      <c r="DI191" s="1468">
        <f t="shared" si="380"/>
        <v>0</v>
      </c>
      <c r="DJ191" s="1468"/>
      <c r="DK191" s="1468"/>
      <c r="DL191" s="1468"/>
      <c r="DM191" s="1468"/>
      <c r="DN191" s="1468"/>
      <c r="DO191" s="1468"/>
      <c r="DP191" s="1468"/>
      <c r="DQ191" s="1468"/>
      <c r="DR191" s="1468"/>
      <c r="DS191" s="1468"/>
      <c r="DT191" s="1468"/>
      <c r="DU191" s="1468"/>
      <c r="DV191" s="1468"/>
      <c r="DW191" s="1468">
        <f t="shared" si="362"/>
        <v>0</v>
      </c>
      <c r="DX191" s="1468">
        <f t="shared" si="362"/>
        <v>0</v>
      </c>
    </row>
    <row r="192" spans="1:128" ht="16.5" customHeight="1" x14ac:dyDescent="0.25">
      <c r="A192" s="9568" t="s">
        <v>1826</v>
      </c>
      <c r="B192" s="9569"/>
      <c r="C192" s="1356">
        <f>+E192+G192+I192+K192+M192+O192+Q192+S192+U192+W192+Y192+AA192+AC192+AE192+AG192+AI192</f>
        <v>0</v>
      </c>
      <c r="D192" s="839">
        <f>+F192+H192+J192+L192+N192+P192+R192+T192+V192+X192+Z192+AB192+AD192+AF192+AH192+AJ192</f>
        <v>0</v>
      </c>
      <c r="E192" s="1109"/>
      <c r="F192" s="1130"/>
      <c r="G192" s="1109"/>
      <c r="H192" s="1130"/>
      <c r="I192" s="1109"/>
      <c r="J192" s="1130"/>
      <c r="K192" s="1109"/>
      <c r="L192" s="1130"/>
      <c r="M192" s="1109"/>
      <c r="N192" s="1130"/>
      <c r="O192" s="1109"/>
      <c r="P192" s="1130"/>
      <c r="Q192" s="1109"/>
      <c r="R192" s="1130"/>
      <c r="S192" s="1109"/>
      <c r="T192" s="1130"/>
      <c r="U192" s="1109"/>
      <c r="V192" s="1130"/>
      <c r="W192" s="1109"/>
      <c r="X192" s="1130"/>
      <c r="Y192" s="1109"/>
      <c r="Z192" s="1130"/>
      <c r="AA192" s="1109"/>
      <c r="AB192" s="1130"/>
      <c r="AC192" s="1109"/>
      <c r="AD192" s="1130"/>
      <c r="AE192" s="1109"/>
      <c r="AF192" s="1130"/>
      <c r="AG192" s="1109"/>
      <c r="AH192" s="1130"/>
      <c r="AI192" s="1109"/>
      <c r="AJ192" s="1130"/>
      <c r="AK192" s="1156"/>
      <c r="AL192" s="1110"/>
      <c r="AM192" s="1109"/>
      <c r="AN192" s="1157"/>
      <c r="AO192" s="1156"/>
      <c r="AP192" s="1110"/>
      <c r="AQ192" s="1129"/>
      <c r="AR192" s="1157"/>
      <c r="AS192" s="1156"/>
      <c r="AT192" s="1157"/>
      <c r="AU192" s="1156"/>
      <c r="AV192" s="1110"/>
      <c r="AW192" s="1156"/>
      <c r="AX192" s="1110"/>
      <c r="AY192" s="1193" t="str">
        <f t="shared" si="359"/>
        <v/>
      </c>
      <c r="AZ192" s="1193"/>
      <c r="BA192" s="1193"/>
      <c r="BB192" s="1193"/>
      <c r="BC192" s="1193"/>
      <c r="BD192" s="1193"/>
      <c r="BE192" s="1193"/>
      <c r="BF192" s="1193"/>
      <c r="BG192" s="1193"/>
      <c r="BH192" s="1187"/>
      <c r="BI192" s="1187"/>
      <c r="BJ192" s="1187"/>
      <c r="BK192" s="1187"/>
      <c r="BR192" s="1187"/>
      <c r="BS192" s="1187"/>
      <c r="BT192" s="1187"/>
      <c r="BU192" s="1580"/>
      <c r="CA192" s="2235" t="str">
        <f t="shared" si="363"/>
        <v/>
      </c>
      <c r="CB192" s="2235" t="str">
        <f t="shared" si="364"/>
        <v/>
      </c>
      <c r="CC192" s="2235" t="str">
        <f t="shared" si="365"/>
        <v/>
      </c>
      <c r="CD192" s="2235" t="str">
        <f t="shared" si="366"/>
        <v/>
      </c>
      <c r="CE192" s="2235" t="str">
        <f t="shared" si="367"/>
        <v/>
      </c>
      <c r="CF192" s="2235" t="str">
        <f t="shared" si="368"/>
        <v/>
      </c>
      <c r="CG192" s="2235" t="str">
        <f t="shared" si="369"/>
        <v/>
      </c>
      <c r="CH192" s="2235" t="str">
        <f t="shared" si="370"/>
        <v/>
      </c>
      <c r="CI192" s="2235" t="str">
        <f t="shared" si="371"/>
        <v/>
      </c>
      <c r="CJ192" s="2235"/>
      <c r="CK192" s="2235"/>
      <c r="CL192" s="2235"/>
      <c r="CM192" s="2235"/>
      <c r="CN192" s="2235"/>
      <c r="CO192" s="2235"/>
      <c r="CP192" s="2235"/>
      <c r="CQ192" s="2235"/>
      <c r="CR192" s="2235"/>
      <c r="CS192" s="2235"/>
      <c r="CT192" s="2235"/>
      <c r="CU192" s="2235"/>
      <c r="CV192" s="2235"/>
      <c r="CW192" s="2235" t="str">
        <f t="shared" si="360"/>
        <v/>
      </c>
      <c r="CX192" s="2235" t="str">
        <f t="shared" si="361"/>
        <v/>
      </c>
      <c r="CY192" s="2235"/>
      <c r="CZ192" s="2235"/>
      <c r="DA192" s="1468">
        <f t="shared" si="372"/>
        <v>0</v>
      </c>
      <c r="DB192" s="1468">
        <f t="shared" si="373"/>
        <v>0</v>
      </c>
      <c r="DC192" s="1468">
        <f t="shared" si="374"/>
        <v>0</v>
      </c>
      <c r="DD192" s="1468">
        <f t="shared" si="375"/>
        <v>0</v>
      </c>
      <c r="DE192" s="1468">
        <f t="shared" si="376"/>
        <v>0</v>
      </c>
      <c r="DF192" s="1468">
        <f t="shared" si="377"/>
        <v>0</v>
      </c>
      <c r="DG192" s="1468">
        <f t="shared" si="378"/>
        <v>0</v>
      </c>
      <c r="DH192" s="1468">
        <f t="shared" si="379"/>
        <v>0</v>
      </c>
      <c r="DI192" s="1468">
        <f t="shared" si="380"/>
        <v>0</v>
      </c>
      <c r="DJ192" s="1468"/>
      <c r="DK192" s="1468"/>
      <c r="DL192" s="1468"/>
      <c r="DM192" s="1468"/>
      <c r="DN192" s="1468"/>
      <c r="DO192" s="1468"/>
      <c r="DP192" s="1468"/>
      <c r="DQ192" s="1468"/>
      <c r="DR192" s="1468"/>
      <c r="DS192" s="1468"/>
      <c r="DT192" s="1468"/>
      <c r="DU192" s="1468"/>
      <c r="DV192" s="1468"/>
      <c r="DW192" s="1468">
        <f t="shared" si="362"/>
        <v>0</v>
      </c>
      <c r="DX192" s="1468">
        <f t="shared" si="362"/>
        <v>0</v>
      </c>
    </row>
    <row r="193" spans="1:128" ht="16.5" customHeight="1" x14ac:dyDescent="0.25">
      <c r="A193" s="9571" t="s">
        <v>1827</v>
      </c>
      <c r="B193" s="9572"/>
      <c r="C193" s="1356">
        <f>+O193+Q193+S193+U193+W193+Y193+AA193+AC193+AE193+AG193+AI193</f>
        <v>0</v>
      </c>
      <c r="D193" s="839">
        <f>+P193+R193+T193+V193+X193+Z193+AB193+AD193+AF193+AH193+AJ193</f>
        <v>0</v>
      </c>
      <c r="E193" s="1127"/>
      <c r="F193" s="1126"/>
      <c r="G193" s="1127"/>
      <c r="H193" s="1126"/>
      <c r="I193" s="1127"/>
      <c r="J193" s="1126"/>
      <c r="K193" s="1127"/>
      <c r="L193" s="1126"/>
      <c r="M193" s="1127"/>
      <c r="N193" s="1126"/>
      <c r="O193" s="1109"/>
      <c r="P193" s="1130"/>
      <c r="Q193" s="1109"/>
      <c r="R193" s="1130"/>
      <c r="S193" s="1109"/>
      <c r="T193" s="1130"/>
      <c r="U193" s="1109"/>
      <c r="V193" s="1130"/>
      <c r="W193" s="1109"/>
      <c r="X193" s="1130"/>
      <c r="Y193" s="1109"/>
      <c r="Z193" s="1130"/>
      <c r="AA193" s="1109"/>
      <c r="AB193" s="1130"/>
      <c r="AC193" s="1109"/>
      <c r="AD193" s="1130"/>
      <c r="AE193" s="1109"/>
      <c r="AF193" s="1130"/>
      <c r="AG193" s="1109"/>
      <c r="AH193" s="1130"/>
      <c r="AI193" s="1109"/>
      <c r="AJ193" s="1130"/>
      <c r="AK193" s="1156"/>
      <c r="AL193" s="1110"/>
      <c r="AM193" s="1109"/>
      <c r="AN193" s="1157"/>
      <c r="AO193" s="1156"/>
      <c r="AP193" s="1110"/>
      <c r="AQ193" s="1129"/>
      <c r="AR193" s="1157"/>
      <c r="AS193" s="1156"/>
      <c r="AT193" s="1157"/>
      <c r="AU193" s="1156"/>
      <c r="AV193" s="1110"/>
      <c r="AW193" s="1156"/>
      <c r="AX193" s="1110"/>
      <c r="AY193" s="1193" t="str">
        <f t="shared" si="359"/>
        <v/>
      </c>
      <c r="AZ193" s="1193"/>
      <c r="BA193" s="1193"/>
      <c r="BB193" s="1193"/>
      <c r="BC193" s="1193"/>
      <c r="BD193" s="1193"/>
      <c r="BE193" s="1193"/>
      <c r="BF193" s="1193"/>
      <c r="BG193" s="1193"/>
      <c r="BH193" s="1187"/>
      <c r="BI193" s="1187"/>
      <c r="BJ193" s="1187"/>
      <c r="BK193" s="1187"/>
      <c r="BR193" s="1187"/>
      <c r="BS193" s="1187"/>
      <c r="BT193" s="1187"/>
      <c r="BU193" s="1580"/>
      <c r="CA193" s="2235" t="str">
        <f t="shared" si="363"/>
        <v/>
      </c>
      <c r="CB193" s="2235" t="str">
        <f t="shared" si="364"/>
        <v/>
      </c>
      <c r="CC193" s="2235" t="str">
        <f t="shared" si="365"/>
        <v/>
      </c>
      <c r="CD193" s="2235" t="str">
        <f t="shared" si="366"/>
        <v/>
      </c>
      <c r="CE193" s="2235" t="str">
        <f t="shared" si="367"/>
        <v/>
      </c>
      <c r="CF193" s="2235" t="str">
        <f t="shared" si="368"/>
        <v/>
      </c>
      <c r="CG193" s="2235" t="str">
        <f t="shared" si="369"/>
        <v/>
      </c>
      <c r="CH193" s="2235" t="str">
        <f t="shared" si="370"/>
        <v/>
      </c>
      <c r="CI193" s="2235" t="str">
        <f t="shared" si="371"/>
        <v/>
      </c>
      <c r="CJ193" s="2235"/>
      <c r="CK193" s="2235"/>
      <c r="CL193" s="2235"/>
      <c r="CM193" s="2235"/>
      <c r="CN193" s="2235"/>
      <c r="CO193" s="2235"/>
      <c r="CP193" s="2235"/>
      <c r="CQ193" s="2235"/>
      <c r="CR193" s="2235"/>
      <c r="CS193" s="2235"/>
      <c r="CT193" s="2235"/>
      <c r="CU193" s="2235"/>
      <c r="CV193" s="2235"/>
      <c r="CW193" s="2235" t="str">
        <f t="shared" si="360"/>
        <v/>
      </c>
      <c r="CX193" s="2235" t="str">
        <f t="shared" si="361"/>
        <v/>
      </c>
      <c r="CY193" s="2235"/>
      <c r="CZ193" s="2235"/>
      <c r="DA193" s="1468">
        <f t="shared" si="372"/>
        <v>0</v>
      </c>
      <c r="DB193" s="1468">
        <f t="shared" si="373"/>
        <v>0</v>
      </c>
      <c r="DC193" s="1468">
        <f t="shared" si="374"/>
        <v>0</v>
      </c>
      <c r="DD193" s="1468">
        <f t="shared" si="375"/>
        <v>0</v>
      </c>
      <c r="DE193" s="1468">
        <f t="shared" si="376"/>
        <v>0</v>
      </c>
      <c r="DF193" s="1468">
        <f t="shared" si="377"/>
        <v>0</v>
      </c>
      <c r="DG193" s="1468">
        <f t="shared" si="378"/>
        <v>0</v>
      </c>
      <c r="DH193" s="1468">
        <f t="shared" si="379"/>
        <v>0</v>
      </c>
      <c r="DI193" s="1468">
        <f t="shared" si="380"/>
        <v>0</v>
      </c>
      <c r="DJ193" s="1468"/>
      <c r="DK193" s="1468"/>
      <c r="DL193" s="1468"/>
      <c r="DM193" s="1468"/>
      <c r="DN193" s="1468"/>
      <c r="DO193" s="1468"/>
      <c r="DP193" s="1468"/>
      <c r="DQ193" s="1468"/>
      <c r="DR193" s="1468"/>
      <c r="DS193" s="1468"/>
      <c r="DT193" s="1468"/>
      <c r="DU193" s="1468"/>
      <c r="DV193" s="1468"/>
      <c r="DW193" s="1468">
        <f t="shared" si="362"/>
        <v>0</v>
      </c>
      <c r="DX193" s="1468">
        <f t="shared" si="362"/>
        <v>0</v>
      </c>
    </row>
    <row r="194" spans="1:128" ht="16.149999999999999" customHeight="1" x14ac:dyDescent="0.25">
      <c r="A194" s="9568" t="s">
        <v>2179</v>
      </c>
      <c r="B194" s="9569"/>
      <c r="C194" s="1356">
        <f>+O194+Q194+S194+U194+W194+Y194+AA194+AC194+AE194+AG194+AI194</f>
        <v>0</v>
      </c>
      <c r="D194" s="839">
        <f>+P194+R194+T194+V194+X194+Z194+AB194+AD194+AF194+AH194+AJ194</f>
        <v>0</v>
      </c>
      <c r="E194" s="1127"/>
      <c r="F194" s="1126"/>
      <c r="G194" s="1127"/>
      <c r="H194" s="1126"/>
      <c r="I194" s="1127"/>
      <c r="J194" s="1126"/>
      <c r="K194" s="1127"/>
      <c r="L194" s="1126"/>
      <c r="M194" s="1127"/>
      <c r="N194" s="1126"/>
      <c r="O194" s="1109"/>
      <c r="P194" s="1130"/>
      <c r="Q194" s="1109"/>
      <c r="R194" s="1130"/>
      <c r="S194" s="1109"/>
      <c r="T194" s="1130"/>
      <c r="U194" s="1109"/>
      <c r="V194" s="1130"/>
      <c r="W194" s="1109"/>
      <c r="X194" s="1130"/>
      <c r="Y194" s="1109"/>
      <c r="Z194" s="1130"/>
      <c r="AA194" s="1109"/>
      <c r="AB194" s="1130"/>
      <c r="AC194" s="1109"/>
      <c r="AD194" s="1130"/>
      <c r="AE194" s="1109"/>
      <c r="AF194" s="1130"/>
      <c r="AG194" s="1109"/>
      <c r="AH194" s="1130"/>
      <c r="AI194" s="1109"/>
      <c r="AJ194" s="1130"/>
      <c r="AK194" s="1156"/>
      <c r="AL194" s="1110"/>
      <c r="AM194" s="1109"/>
      <c r="AN194" s="1157"/>
      <c r="AO194" s="1156"/>
      <c r="AP194" s="1110"/>
      <c r="AQ194" s="1129"/>
      <c r="AR194" s="1157"/>
      <c r="AS194" s="1156"/>
      <c r="AT194" s="1157"/>
      <c r="AU194" s="1156"/>
      <c r="AV194" s="1110"/>
      <c r="AW194" s="1156"/>
      <c r="AX194" s="1110"/>
      <c r="AY194" s="1193" t="str">
        <f t="shared" si="359"/>
        <v/>
      </c>
      <c r="AZ194" s="1193"/>
      <c r="BA194" s="1193"/>
      <c r="BB194" s="1193"/>
      <c r="BC194" s="1193"/>
      <c r="BD194" s="1193"/>
      <c r="BE194" s="1193"/>
      <c r="BF194" s="1193"/>
      <c r="BG194" s="1193"/>
      <c r="BH194" s="1187"/>
      <c r="BI194" s="1187"/>
      <c r="BJ194" s="1187"/>
      <c r="BK194" s="1187"/>
      <c r="BR194" s="1187"/>
      <c r="BS194" s="1187"/>
      <c r="BT194" s="1187"/>
      <c r="BU194" s="1580"/>
      <c r="CA194" s="2235" t="str">
        <f t="shared" si="363"/>
        <v/>
      </c>
      <c r="CB194" s="2235" t="str">
        <f t="shared" si="364"/>
        <v/>
      </c>
      <c r="CC194" s="2235" t="str">
        <f t="shared" si="365"/>
        <v/>
      </c>
      <c r="CD194" s="2235" t="str">
        <f t="shared" si="366"/>
        <v/>
      </c>
      <c r="CE194" s="2235" t="str">
        <f t="shared" si="367"/>
        <v/>
      </c>
      <c r="CF194" s="2235" t="str">
        <f t="shared" si="368"/>
        <v/>
      </c>
      <c r="CG194" s="2235" t="str">
        <f t="shared" si="369"/>
        <v/>
      </c>
      <c r="CH194" s="2235" t="str">
        <f t="shared" si="370"/>
        <v/>
      </c>
      <c r="CI194" s="2235" t="str">
        <f t="shared" si="371"/>
        <v/>
      </c>
      <c r="CJ194" s="2235"/>
      <c r="CK194" s="2235"/>
      <c r="CL194" s="2235"/>
      <c r="CM194" s="2235"/>
      <c r="CN194" s="2235"/>
      <c r="CO194" s="2235"/>
      <c r="CP194" s="2235"/>
      <c r="CQ194" s="2235"/>
      <c r="CR194" s="2235"/>
      <c r="CS194" s="2235"/>
      <c r="CT194" s="2235"/>
      <c r="CU194" s="2235"/>
      <c r="CV194" s="2235"/>
      <c r="CW194" s="2235" t="str">
        <f t="shared" si="360"/>
        <v/>
      </c>
      <c r="CX194" s="2235" t="str">
        <f t="shared" si="361"/>
        <v/>
      </c>
      <c r="CY194" s="2235"/>
      <c r="CZ194" s="2235"/>
      <c r="DA194" s="1468">
        <f t="shared" si="372"/>
        <v>0</v>
      </c>
      <c r="DB194" s="1468">
        <f t="shared" si="373"/>
        <v>0</v>
      </c>
      <c r="DC194" s="1468">
        <f t="shared" si="374"/>
        <v>0</v>
      </c>
      <c r="DD194" s="1468">
        <f t="shared" si="375"/>
        <v>0</v>
      </c>
      <c r="DE194" s="1468">
        <f t="shared" si="376"/>
        <v>0</v>
      </c>
      <c r="DF194" s="1468">
        <f t="shared" si="377"/>
        <v>0</v>
      </c>
      <c r="DG194" s="1468">
        <f t="shared" si="378"/>
        <v>0</v>
      </c>
      <c r="DH194" s="1468">
        <f t="shared" si="379"/>
        <v>0</v>
      </c>
      <c r="DI194" s="1468">
        <f t="shared" si="380"/>
        <v>0</v>
      </c>
      <c r="DJ194" s="1468"/>
      <c r="DK194" s="1468"/>
      <c r="DL194" s="1468"/>
      <c r="DM194" s="1468"/>
      <c r="DN194" s="1468"/>
      <c r="DO194" s="1468"/>
      <c r="DP194" s="1468"/>
      <c r="DQ194" s="1468"/>
      <c r="DR194" s="1468"/>
      <c r="DS194" s="1468"/>
      <c r="DT194" s="1468"/>
      <c r="DU194" s="1468"/>
      <c r="DV194" s="1468"/>
      <c r="DW194" s="1468">
        <f t="shared" si="362"/>
        <v>0</v>
      </c>
      <c r="DX194" s="1468">
        <f t="shared" si="362"/>
        <v>0</v>
      </c>
    </row>
    <row r="195" spans="1:128" ht="16.149999999999999" customHeight="1" x14ac:dyDescent="0.25">
      <c r="A195" s="9581" t="s">
        <v>1828</v>
      </c>
      <c r="B195" s="9574"/>
      <c r="C195" s="1357">
        <f>+E195+G195+I195+K195+M195+O195+Q195+S195+U195+W195+Y195+AA195+AC195+AE195+AG195+AI195</f>
        <v>0</v>
      </c>
      <c r="D195" s="840">
        <f>+F195+H195+J195+L195+N195+P195+R195+T195+V195+X195+Z195+AB195+AD195+AF195+AH195+AJ195</f>
        <v>0</v>
      </c>
      <c r="E195" s="1162"/>
      <c r="F195" s="115"/>
      <c r="G195" s="1162"/>
      <c r="H195" s="115"/>
      <c r="I195" s="1162"/>
      <c r="J195" s="115"/>
      <c r="K195" s="1162"/>
      <c r="L195" s="115"/>
      <c r="M195" s="1162"/>
      <c r="N195" s="115"/>
      <c r="O195" s="1162"/>
      <c r="P195" s="115"/>
      <c r="Q195" s="1162"/>
      <c r="R195" s="115"/>
      <c r="S195" s="1162"/>
      <c r="T195" s="115"/>
      <c r="U195" s="1162"/>
      <c r="V195" s="115"/>
      <c r="W195" s="1162"/>
      <c r="X195" s="115"/>
      <c r="Y195" s="1162"/>
      <c r="Z195" s="115"/>
      <c r="AA195" s="1162"/>
      <c r="AB195" s="115"/>
      <c r="AC195" s="1162"/>
      <c r="AD195" s="115"/>
      <c r="AE195" s="1162"/>
      <c r="AF195" s="115"/>
      <c r="AG195" s="1162"/>
      <c r="AH195" s="115"/>
      <c r="AI195" s="1162"/>
      <c r="AJ195" s="115"/>
      <c r="AK195" s="262"/>
      <c r="AL195" s="164"/>
      <c r="AM195" s="1162"/>
      <c r="AN195" s="578"/>
      <c r="AO195" s="262"/>
      <c r="AP195" s="164"/>
      <c r="AQ195" s="113"/>
      <c r="AR195" s="578"/>
      <c r="AS195" s="262"/>
      <c r="AT195" s="578"/>
      <c r="AU195" s="262"/>
      <c r="AV195" s="164"/>
      <c r="AW195" s="262"/>
      <c r="AX195" s="164"/>
      <c r="AY195" s="1193" t="str">
        <f t="shared" si="359"/>
        <v/>
      </c>
      <c r="AZ195" s="1193"/>
      <c r="BA195" s="1193"/>
      <c r="BB195" s="1193"/>
      <c r="BC195" s="1193"/>
      <c r="BD195" s="1193"/>
      <c r="BE195" s="1193"/>
      <c r="BF195" s="1193"/>
      <c r="BG195" s="1193"/>
      <c r="BH195" s="1187"/>
      <c r="BI195" s="1187"/>
      <c r="BJ195" s="1187"/>
      <c r="BK195" s="1187"/>
      <c r="BR195" s="1187"/>
      <c r="BS195" s="1187"/>
      <c r="BT195" s="1187"/>
      <c r="BU195" s="1580"/>
      <c r="CA195" s="2235" t="str">
        <f t="shared" si="363"/>
        <v/>
      </c>
      <c r="CB195" s="2235" t="str">
        <f t="shared" si="364"/>
        <v/>
      </c>
      <c r="CC195" s="2235" t="str">
        <f t="shared" si="365"/>
        <v/>
      </c>
      <c r="CD195" s="2235" t="str">
        <f t="shared" si="366"/>
        <v/>
      </c>
      <c r="CE195" s="2235" t="str">
        <f t="shared" si="367"/>
        <v/>
      </c>
      <c r="CF195" s="2235" t="str">
        <f t="shared" si="368"/>
        <v/>
      </c>
      <c r="CG195" s="2235" t="str">
        <f t="shared" si="369"/>
        <v/>
      </c>
      <c r="CH195" s="2235" t="str">
        <f t="shared" si="370"/>
        <v/>
      </c>
      <c r="CI195" s="2235" t="str">
        <f t="shared" si="371"/>
        <v/>
      </c>
      <c r="CJ195" s="2235"/>
      <c r="CK195" s="2235"/>
      <c r="CL195" s="2235"/>
      <c r="CM195" s="2235"/>
      <c r="CN195" s="2235"/>
      <c r="CO195" s="2235"/>
      <c r="CP195" s="2235"/>
      <c r="CQ195" s="2235"/>
      <c r="CR195" s="2235"/>
      <c r="CS195" s="2235"/>
      <c r="CT195" s="2235"/>
      <c r="CU195" s="2235"/>
      <c r="CV195" s="2235"/>
      <c r="CW195" s="2235" t="str">
        <f t="shared" si="360"/>
        <v/>
      </c>
      <c r="CX195" s="2235" t="str">
        <f t="shared" si="361"/>
        <v/>
      </c>
      <c r="CY195" s="2235"/>
      <c r="CZ195" s="2235"/>
      <c r="DA195" s="1468">
        <f t="shared" si="372"/>
        <v>0</v>
      </c>
      <c r="DB195" s="1468">
        <f t="shared" si="373"/>
        <v>0</v>
      </c>
      <c r="DC195" s="1468">
        <f t="shared" si="374"/>
        <v>0</v>
      </c>
      <c r="DD195" s="1468">
        <f t="shared" si="375"/>
        <v>0</v>
      </c>
      <c r="DE195" s="1468">
        <f t="shared" si="376"/>
        <v>0</v>
      </c>
      <c r="DF195" s="1468">
        <f t="shared" si="377"/>
        <v>0</v>
      </c>
      <c r="DG195" s="1468">
        <f t="shared" si="378"/>
        <v>0</v>
      </c>
      <c r="DH195" s="1468">
        <f t="shared" si="379"/>
        <v>0</v>
      </c>
      <c r="DI195" s="1468">
        <f t="shared" si="380"/>
        <v>0</v>
      </c>
      <c r="DJ195" s="1468"/>
      <c r="DK195" s="1468"/>
      <c r="DL195" s="1468"/>
      <c r="DM195" s="1468"/>
      <c r="DN195" s="1468"/>
      <c r="DO195" s="1468"/>
      <c r="DP195" s="1468"/>
      <c r="DQ195" s="1468"/>
      <c r="DR195" s="1468"/>
      <c r="DS195" s="1468"/>
      <c r="DT195" s="1468"/>
      <c r="DU195" s="1468"/>
      <c r="DV195" s="1468"/>
      <c r="DW195" s="1468">
        <f t="shared" si="362"/>
        <v>0</v>
      </c>
      <c r="DX195" s="1468">
        <f t="shared" si="362"/>
        <v>0</v>
      </c>
    </row>
    <row r="196" spans="1:128" ht="21" customHeight="1" x14ac:dyDescent="0.25">
      <c r="A196" s="9575" t="s">
        <v>1795</v>
      </c>
      <c r="B196" s="1163" t="s">
        <v>1812</v>
      </c>
      <c r="C196" s="1164">
        <f t="shared" ref="C196:D198" si="381">+O196+Q196+S196+U196+W196+Y196+AA196+AC196+AE196+AG196</f>
        <v>0</v>
      </c>
      <c r="D196" s="1355">
        <f t="shared" si="381"/>
        <v>0</v>
      </c>
      <c r="E196" s="694"/>
      <c r="F196" s="1154"/>
      <c r="G196" s="694"/>
      <c r="H196" s="1154"/>
      <c r="I196" s="694"/>
      <c r="J196" s="1154"/>
      <c r="K196" s="694"/>
      <c r="L196" s="1154"/>
      <c r="M196" s="694"/>
      <c r="N196" s="1154"/>
      <c r="O196" s="691"/>
      <c r="P196" s="709"/>
      <c r="Q196" s="691"/>
      <c r="R196" s="709"/>
      <c r="S196" s="691"/>
      <c r="T196" s="709"/>
      <c r="U196" s="691"/>
      <c r="V196" s="709"/>
      <c r="W196" s="691"/>
      <c r="X196" s="709"/>
      <c r="Y196" s="691"/>
      <c r="Z196" s="709"/>
      <c r="AA196" s="691"/>
      <c r="AB196" s="709"/>
      <c r="AC196" s="691"/>
      <c r="AD196" s="709"/>
      <c r="AE196" s="691"/>
      <c r="AF196" s="709"/>
      <c r="AG196" s="691"/>
      <c r="AH196" s="709"/>
      <c r="AI196" s="777"/>
      <c r="AJ196" s="1614"/>
      <c r="AK196" s="1167"/>
      <c r="AL196" s="1146"/>
      <c r="AM196" s="691"/>
      <c r="AN196" s="714"/>
      <c r="AO196" s="1167"/>
      <c r="AP196" s="1146"/>
      <c r="AQ196" s="1182"/>
      <c r="AR196" s="714"/>
      <c r="AS196" s="1182"/>
      <c r="AT196" s="714"/>
      <c r="AU196" s="1182"/>
      <c r="AV196" s="714"/>
      <c r="AW196" s="1172"/>
      <c r="AX196" s="1183"/>
      <c r="AY196" s="1193" t="str">
        <f t="shared" si="359"/>
        <v/>
      </c>
      <c r="AZ196" s="1193"/>
      <c r="BA196" s="1193"/>
      <c r="BB196" s="1193"/>
      <c r="BC196" s="1193"/>
      <c r="BD196" s="1193"/>
      <c r="BE196" s="1193"/>
      <c r="BF196" s="1193"/>
      <c r="BG196" s="1193"/>
      <c r="BH196" s="1187"/>
      <c r="BI196" s="1187"/>
      <c r="BJ196" s="1187"/>
      <c r="BK196" s="1187"/>
      <c r="BR196" s="1187"/>
      <c r="BS196" s="1187"/>
      <c r="BT196" s="1187"/>
      <c r="BU196" s="1580"/>
      <c r="CA196" s="2235" t="str">
        <f t="shared" si="363"/>
        <v/>
      </c>
      <c r="CB196" s="2235" t="str">
        <f t="shared" si="364"/>
        <v/>
      </c>
      <c r="CC196" s="2235" t="str">
        <f t="shared" si="365"/>
        <v/>
      </c>
      <c r="CD196" s="2235" t="str">
        <f t="shared" si="366"/>
        <v/>
      </c>
      <c r="CE196" s="2235" t="str">
        <f t="shared" si="367"/>
        <v/>
      </c>
      <c r="CF196" s="2235" t="str">
        <f t="shared" si="368"/>
        <v/>
      </c>
      <c r="CG196" s="2235" t="str">
        <f t="shared" si="369"/>
        <v/>
      </c>
      <c r="CH196" s="2235" t="str">
        <f t="shared" si="370"/>
        <v/>
      </c>
      <c r="CI196" s="2235" t="str">
        <f t="shared" si="371"/>
        <v/>
      </c>
      <c r="CJ196" s="2235"/>
      <c r="CK196" s="2235"/>
      <c r="CL196" s="2235"/>
      <c r="CM196" s="2235"/>
      <c r="CN196" s="2235"/>
      <c r="CO196" s="2235"/>
      <c r="CP196" s="2235"/>
      <c r="CQ196" s="2235"/>
      <c r="CR196" s="2235"/>
      <c r="CS196" s="2235"/>
      <c r="CT196" s="2235"/>
      <c r="CU196" s="2235"/>
      <c r="CV196" s="2235"/>
      <c r="CW196" s="2235" t="str">
        <f t="shared" si="360"/>
        <v/>
      </c>
      <c r="CX196" s="2235" t="str">
        <f t="shared" si="361"/>
        <v/>
      </c>
      <c r="CY196" s="2235"/>
      <c r="CZ196" s="2235"/>
      <c r="DA196" s="1468">
        <f t="shared" si="372"/>
        <v>0</v>
      </c>
      <c r="DB196" s="1468">
        <f t="shared" si="373"/>
        <v>0</v>
      </c>
      <c r="DC196" s="1468">
        <f t="shared" si="374"/>
        <v>0</v>
      </c>
      <c r="DD196" s="1468">
        <f t="shared" si="375"/>
        <v>0</v>
      </c>
      <c r="DE196" s="1468">
        <f t="shared" si="376"/>
        <v>0</v>
      </c>
      <c r="DF196" s="1468">
        <f t="shared" si="377"/>
        <v>0</v>
      </c>
      <c r="DG196" s="1468">
        <f t="shared" si="378"/>
        <v>0</v>
      </c>
      <c r="DH196" s="1468">
        <f t="shared" si="379"/>
        <v>0</v>
      </c>
      <c r="DI196" s="1468">
        <f t="shared" si="380"/>
        <v>0</v>
      </c>
      <c r="DJ196" s="1468"/>
      <c r="DK196" s="1468"/>
      <c r="DL196" s="1468"/>
      <c r="DM196" s="1468"/>
      <c r="DN196" s="1468"/>
      <c r="DO196" s="1468"/>
      <c r="DP196" s="1468"/>
      <c r="DQ196" s="1468"/>
      <c r="DR196" s="1468"/>
      <c r="DS196" s="1468"/>
      <c r="DT196" s="1468"/>
      <c r="DU196" s="1468"/>
      <c r="DV196" s="1468"/>
      <c r="DW196" s="1468">
        <f t="shared" si="362"/>
        <v>0</v>
      </c>
      <c r="DX196" s="1468">
        <f t="shared" si="362"/>
        <v>0</v>
      </c>
    </row>
    <row r="197" spans="1:128" ht="19.5" customHeight="1" x14ac:dyDescent="0.25">
      <c r="A197" s="9576"/>
      <c r="B197" s="1147" t="s">
        <v>1813</v>
      </c>
      <c r="C197" s="1356">
        <f t="shared" si="381"/>
        <v>0</v>
      </c>
      <c r="D197" s="839">
        <f t="shared" si="381"/>
        <v>0</v>
      </c>
      <c r="E197" s="1127"/>
      <c r="F197" s="1126"/>
      <c r="G197" s="1127"/>
      <c r="H197" s="1126"/>
      <c r="I197" s="1127"/>
      <c r="J197" s="1126"/>
      <c r="K197" s="1127"/>
      <c r="L197" s="1126"/>
      <c r="M197" s="1127"/>
      <c r="N197" s="1126"/>
      <c r="O197" s="1109"/>
      <c r="P197" s="1130"/>
      <c r="Q197" s="1109"/>
      <c r="R197" s="1130"/>
      <c r="S197" s="1109"/>
      <c r="T197" s="1130"/>
      <c r="U197" s="1109"/>
      <c r="V197" s="1130"/>
      <c r="W197" s="1109"/>
      <c r="X197" s="1130"/>
      <c r="Y197" s="1109"/>
      <c r="Z197" s="1130"/>
      <c r="AA197" s="1109"/>
      <c r="AB197" s="1130"/>
      <c r="AC197" s="1109"/>
      <c r="AD197" s="1130"/>
      <c r="AE197" s="1109"/>
      <c r="AF197" s="1130"/>
      <c r="AG197" s="1109"/>
      <c r="AH197" s="1130"/>
      <c r="AI197" s="1135"/>
      <c r="AJ197" s="1136"/>
      <c r="AK197" s="1156"/>
      <c r="AL197" s="1110"/>
      <c r="AM197" s="1109"/>
      <c r="AN197" s="1157"/>
      <c r="AO197" s="1156"/>
      <c r="AP197" s="1110"/>
      <c r="AQ197" s="1129"/>
      <c r="AR197" s="1157"/>
      <c r="AS197" s="1129"/>
      <c r="AT197" s="1157"/>
      <c r="AU197" s="1129"/>
      <c r="AV197" s="1157"/>
      <c r="AW197" s="1174"/>
      <c r="AX197" s="1175"/>
      <c r="AY197" s="1193" t="str">
        <f t="shared" si="359"/>
        <v/>
      </c>
      <c r="AZ197" s="1193"/>
      <c r="BA197" s="1193"/>
      <c r="BB197" s="1193"/>
      <c r="BC197" s="1193"/>
      <c r="BD197" s="1193"/>
      <c r="BE197" s="1193"/>
      <c r="BF197" s="1193"/>
      <c r="BG197" s="1193"/>
      <c r="BH197" s="1187"/>
      <c r="BI197" s="1187"/>
      <c r="BJ197" s="1187"/>
      <c r="BK197" s="1187"/>
      <c r="BR197" s="1187"/>
      <c r="BS197" s="1187"/>
      <c r="BT197" s="1187"/>
      <c r="BU197" s="1580"/>
      <c r="CA197" s="2235" t="str">
        <f t="shared" si="363"/>
        <v/>
      </c>
      <c r="CB197" s="2235" t="str">
        <f t="shared" si="364"/>
        <v/>
      </c>
      <c r="CC197" s="2235" t="str">
        <f t="shared" si="365"/>
        <v/>
      </c>
      <c r="CD197" s="2235" t="str">
        <f t="shared" si="366"/>
        <v/>
      </c>
      <c r="CE197" s="2235" t="str">
        <f t="shared" si="367"/>
        <v/>
      </c>
      <c r="CF197" s="2235" t="str">
        <f t="shared" si="368"/>
        <v/>
      </c>
      <c r="CG197" s="2235" t="str">
        <f t="shared" si="369"/>
        <v/>
      </c>
      <c r="CH197" s="2235" t="str">
        <f t="shared" si="370"/>
        <v/>
      </c>
      <c r="CI197" s="2235" t="str">
        <f t="shared" si="371"/>
        <v/>
      </c>
      <c r="CJ197" s="2235"/>
      <c r="CK197" s="2235"/>
      <c r="CL197" s="2235"/>
      <c r="CM197" s="2235"/>
      <c r="CN197" s="2235"/>
      <c r="CO197" s="2235"/>
      <c r="CP197" s="2235"/>
      <c r="CQ197" s="2235"/>
      <c r="CR197" s="2235"/>
      <c r="CS197" s="2235"/>
      <c r="CT197" s="2235"/>
      <c r="CU197" s="2235"/>
      <c r="CV197" s="2235"/>
      <c r="CW197" s="2235" t="str">
        <f t="shared" si="360"/>
        <v/>
      </c>
      <c r="CX197" s="2235" t="str">
        <f t="shared" si="361"/>
        <v/>
      </c>
      <c r="CY197" s="2235"/>
      <c r="CZ197" s="2235"/>
      <c r="DA197" s="1468">
        <f t="shared" si="372"/>
        <v>0</v>
      </c>
      <c r="DB197" s="1468">
        <f t="shared" si="373"/>
        <v>0</v>
      </c>
      <c r="DC197" s="1468">
        <f t="shared" si="374"/>
        <v>0</v>
      </c>
      <c r="DD197" s="1468">
        <f t="shared" si="375"/>
        <v>0</v>
      </c>
      <c r="DE197" s="1468">
        <f t="shared" si="376"/>
        <v>0</v>
      </c>
      <c r="DF197" s="1468">
        <f t="shared" si="377"/>
        <v>0</v>
      </c>
      <c r="DG197" s="1468">
        <f t="shared" si="378"/>
        <v>0</v>
      </c>
      <c r="DH197" s="1468">
        <f t="shared" si="379"/>
        <v>0</v>
      </c>
      <c r="DI197" s="1468">
        <f t="shared" si="380"/>
        <v>0</v>
      </c>
      <c r="DJ197" s="1468"/>
      <c r="DK197" s="1468"/>
      <c r="DL197" s="1468"/>
      <c r="DM197" s="1468"/>
      <c r="DN197" s="1468"/>
      <c r="DO197" s="1468"/>
      <c r="DP197" s="1468"/>
      <c r="DQ197" s="1468"/>
      <c r="DR197" s="1468"/>
      <c r="DS197" s="1468"/>
      <c r="DT197" s="1468"/>
      <c r="DU197" s="1468"/>
      <c r="DV197" s="1468"/>
      <c r="DW197" s="1468">
        <f t="shared" si="362"/>
        <v>0</v>
      </c>
      <c r="DX197" s="1468">
        <f t="shared" si="362"/>
        <v>0</v>
      </c>
    </row>
    <row r="198" spans="1:128" ht="19.5" customHeight="1" x14ac:dyDescent="0.25">
      <c r="A198" s="9134"/>
      <c r="B198" s="318" t="s">
        <v>1814</v>
      </c>
      <c r="C198" s="1357">
        <f t="shared" si="381"/>
        <v>0</v>
      </c>
      <c r="D198" s="1359">
        <f t="shared" si="381"/>
        <v>0</v>
      </c>
      <c r="E198" s="82"/>
      <c r="F198" s="84"/>
      <c r="G198" s="82"/>
      <c r="H198" s="84"/>
      <c r="I198" s="82"/>
      <c r="J198" s="84"/>
      <c r="K198" s="82"/>
      <c r="L198" s="84"/>
      <c r="M198" s="82"/>
      <c r="N198" s="84"/>
      <c r="O198" s="125"/>
      <c r="P198" s="83"/>
      <c r="Q198" s="125"/>
      <c r="R198" s="83"/>
      <c r="S198" s="125"/>
      <c r="T198" s="83"/>
      <c r="U198" s="125"/>
      <c r="V198" s="83"/>
      <c r="W198" s="125"/>
      <c r="X198" s="83"/>
      <c r="Y198" s="125"/>
      <c r="Z198" s="83"/>
      <c r="AA198" s="125"/>
      <c r="AB198" s="83"/>
      <c r="AC198" s="125"/>
      <c r="AD198" s="83"/>
      <c r="AE198" s="125"/>
      <c r="AF198" s="83"/>
      <c r="AG198" s="125"/>
      <c r="AH198" s="83"/>
      <c r="AI198" s="784"/>
      <c r="AJ198" s="1615"/>
      <c r="AK198" s="264"/>
      <c r="AL198" s="127"/>
      <c r="AM198" s="125"/>
      <c r="AN198" s="254"/>
      <c r="AO198" s="264"/>
      <c r="AP198" s="127"/>
      <c r="AQ198" s="102"/>
      <c r="AR198" s="254"/>
      <c r="AS198" s="102"/>
      <c r="AT198" s="254"/>
      <c r="AU198" s="102"/>
      <c r="AV198" s="254"/>
      <c r="AW198" s="1176"/>
      <c r="AX198" s="803"/>
      <c r="AY198" s="1193" t="str">
        <f t="shared" si="359"/>
        <v/>
      </c>
      <c r="AZ198" s="1193"/>
      <c r="BA198" s="1193"/>
      <c r="BB198" s="1193"/>
      <c r="BC198" s="1193"/>
      <c r="BD198" s="1193"/>
      <c r="BE198" s="1193"/>
      <c r="BF198" s="1193"/>
      <c r="BG198" s="1193"/>
      <c r="BH198" s="1187"/>
      <c r="BI198" s="1187"/>
      <c r="BJ198" s="1187"/>
      <c r="BK198" s="1187"/>
      <c r="BR198" s="1187"/>
      <c r="BS198" s="1187"/>
      <c r="BT198" s="1187"/>
      <c r="BU198" s="1580"/>
      <c r="CA198" s="2235" t="str">
        <f t="shared" si="363"/>
        <v/>
      </c>
      <c r="CB198" s="2235" t="str">
        <f t="shared" si="364"/>
        <v/>
      </c>
      <c r="CC198" s="2235" t="str">
        <f t="shared" si="365"/>
        <v/>
      </c>
      <c r="CD198" s="2235" t="str">
        <f t="shared" si="366"/>
        <v/>
      </c>
      <c r="CE198" s="2235" t="str">
        <f t="shared" si="367"/>
        <v/>
      </c>
      <c r="CF198" s="2235" t="str">
        <f t="shared" si="368"/>
        <v/>
      </c>
      <c r="CG198" s="2235" t="str">
        <f t="shared" si="369"/>
        <v/>
      </c>
      <c r="CH198" s="2235" t="str">
        <f t="shared" si="370"/>
        <v/>
      </c>
      <c r="CI198" s="2235" t="str">
        <f t="shared" si="371"/>
        <v/>
      </c>
      <c r="CJ198" s="2235"/>
      <c r="CK198" s="2235"/>
      <c r="CL198" s="2235"/>
      <c r="CM198" s="2235"/>
      <c r="CN198" s="2235"/>
      <c r="CO198" s="2235"/>
      <c r="CP198" s="2235"/>
      <c r="CQ198" s="2235"/>
      <c r="CR198" s="2235"/>
      <c r="CS198" s="2235"/>
      <c r="CT198" s="2235"/>
      <c r="CU198" s="2235"/>
      <c r="CV198" s="2235"/>
      <c r="CW198" s="2235" t="str">
        <f t="shared" si="360"/>
        <v/>
      </c>
      <c r="CX198" s="2235" t="str">
        <f t="shared" si="361"/>
        <v/>
      </c>
      <c r="CY198" s="2235"/>
      <c r="CZ198" s="2235"/>
      <c r="DA198" s="1468">
        <f t="shared" si="372"/>
        <v>0</v>
      </c>
      <c r="DB198" s="1468">
        <f t="shared" si="373"/>
        <v>0</v>
      </c>
      <c r="DC198" s="1468">
        <f t="shared" si="374"/>
        <v>0</v>
      </c>
      <c r="DD198" s="1468">
        <f t="shared" si="375"/>
        <v>0</v>
      </c>
      <c r="DE198" s="1468">
        <f t="shared" si="376"/>
        <v>0</v>
      </c>
      <c r="DF198" s="1468">
        <f t="shared" si="377"/>
        <v>0</v>
      </c>
      <c r="DG198" s="1468">
        <f t="shared" si="378"/>
        <v>0</v>
      </c>
      <c r="DH198" s="1468">
        <f t="shared" si="379"/>
        <v>0</v>
      </c>
      <c r="DI198" s="1468">
        <f t="shared" si="380"/>
        <v>0</v>
      </c>
      <c r="DJ198" s="1468"/>
      <c r="DK198" s="1468"/>
      <c r="DL198" s="1468"/>
      <c r="DM198" s="1468"/>
      <c r="DN198" s="1468"/>
      <c r="DO198" s="1468"/>
      <c r="DP198" s="1468"/>
      <c r="DQ198" s="1468"/>
      <c r="DR198" s="1468"/>
      <c r="DS198" s="1468"/>
      <c r="DT198" s="1468"/>
      <c r="DU198" s="1468"/>
      <c r="DV198" s="1468"/>
      <c r="DW198" s="1468">
        <f t="shared" si="362"/>
        <v>0</v>
      </c>
      <c r="DX198" s="1468">
        <f t="shared" si="362"/>
        <v>0</v>
      </c>
    </row>
    <row r="199" spans="1:128" ht="16.149999999999999" customHeight="1" x14ac:dyDescent="0.25">
      <c r="A199" s="9566" t="s">
        <v>1796</v>
      </c>
      <c r="B199" s="9567"/>
      <c r="C199" s="1164">
        <f t="shared" ref="C199:D201" si="382">+E199+G199+I199+K199+M199+O199+Q199+S199+U199+W199+Y199+AA199+AC199+AE199+AG199+AI199</f>
        <v>0</v>
      </c>
      <c r="D199" s="839">
        <f t="shared" si="382"/>
        <v>0</v>
      </c>
      <c r="E199" s="906"/>
      <c r="F199" s="78"/>
      <c r="G199" s="906"/>
      <c r="H199" s="78"/>
      <c r="I199" s="906"/>
      <c r="J199" s="78"/>
      <c r="K199" s="906"/>
      <c r="L199" s="78"/>
      <c r="M199" s="824"/>
      <c r="N199" s="747"/>
      <c r="O199" s="824"/>
      <c r="P199" s="747"/>
      <c r="Q199" s="824"/>
      <c r="R199" s="747"/>
      <c r="S199" s="824"/>
      <c r="T199" s="747"/>
      <c r="U199" s="824"/>
      <c r="V199" s="747"/>
      <c r="W199" s="824"/>
      <c r="X199" s="747"/>
      <c r="Y199" s="824"/>
      <c r="Z199" s="747"/>
      <c r="AA199" s="824"/>
      <c r="AB199" s="747"/>
      <c r="AC199" s="824"/>
      <c r="AD199" s="1177"/>
      <c r="AE199" s="824"/>
      <c r="AF199" s="1177"/>
      <c r="AG199" s="1144"/>
      <c r="AH199" s="947"/>
      <c r="AI199" s="824"/>
      <c r="AJ199" s="747"/>
      <c r="AK199" s="261"/>
      <c r="AL199" s="143"/>
      <c r="AM199" s="906"/>
      <c r="AN199" s="1155"/>
      <c r="AO199" s="261"/>
      <c r="AP199" s="143"/>
      <c r="AQ199" s="1178"/>
      <c r="AR199" s="1155"/>
      <c r="AS199" s="261"/>
      <c r="AT199" s="1155"/>
      <c r="AU199" s="261"/>
      <c r="AV199" s="143"/>
      <c r="AW199" s="261"/>
      <c r="AX199" s="143"/>
      <c r="AY199" s="1193" t="str">
        <f t="shared" si="359"/>
        <v/>
      </c>
      <c r="AZ199" s="1193"/>
      <c r="BA199" s="1193"/>
      <c r="BB199" s="1193"/>
      <c r="BC199" s="1193"/>
      <c r="BD199" s="1193"/>
      <c r="BE199" s="1193"/>
      <c r="BF199" s="1193"/>
      <c r="BG199" s="1193"/>
      <c r="BH199" s="1187"/>
      <c r="BI199" s="1187"/>
      <c r="BJ199" s="1187"/>
      <c r="BK199" s="1187"/>
      <c r="BR199" s="1187"/>
      <c r="BS199" s="1187"/>
      <c r="BT199" s="1187"/>
      <c r="BU199" s="1580"/>
      <c r="CA199" s="2235" t="str">
        <f t="shared" si="363"/>
        <v/>
      </c>
      <c r="CB199" s="2235" t="str">
        <f t="shared" si="364"/>
        <v/>
      </c>
      <c r="CC199" s="2235" t="str">
        <f t="shared" si="365"/>
        <v/>
      </c>
      <c r="CD199" s="2235" t="str">
        <f t="shared" si="366"/>
        <v/>
      </c>
      <c r="CE199" s="2235" t="str">
        <f t="shared" si="367"/>
        <v/>
      </c>
      <c r="CF199" s="2235" t="str">
        <f t="shared" si="368"/>
        <v/>
      </c>
      <c r="CG199" s="2235" t="str">
        <f t="shared" si="369"/>
        <v/>
      </c>
      <c r="CH199" s="2235" t="str">
        <f t="shared" si="370"/>
        <v/>
      </c>
      <c r="CI199" s="2235" t="str">
        <f t="shared" si="371"/>
        <v/>
      </c>
      <c r="CJ199" s="2235"/>
      <c r="CK199" s="2235"/>
      <c r="CL199" s="2235"/>
      <c r="CM199" s="2235"/>
      <c r="CN199" s="2235"/>
      <c r="CO199" s="2235"/>
      <c r="CP199" s="2235"/>
      <c r="CQ199" s="2235"/>
      <c r="CR199" s="2235"/>
      <c r="CS199" s="2235"/>
      <c r="CT199" s="2235"/>
      <c r="CU199" s="2235"/>
      <c r="CV199" s="2235"/>
      <c r="CW199" s="2235" t="str">
        <f t="shared" si="360"/>
        <v/>
      </c>
      <c r="CX199" s="2235" t="str">
        <f t="shared" si="361"/>
        <v/>
      </c>
      <c r="CY199" s="2235"/>
      <c r="CZ199" s="2235"/>
      <c r="DA199" s="1468">
        <f t="shared" si="372"/>
        <v>0</v>
      </c>
      <c r="DB199" s="1468">
        <f t="shared" si="373"/>
        <v>0</v>
      </c>
      <c r="DC199" s="1468">
        <f t="shared" si="374"/>
        <v>0</v>
      </c>
      <c r="DD199" s="1468">
        <f t="shared" si="375"/>
        <v>0</v>
      </c>
      <c r="DE199" s="1468">
        <f t="shared" si="376"/>
        <v>0</v>
      </c>
      <c r="DF199" s="1468">
        <f t="shared" si="377"/>
        <v>0</v>
      </c>
      <c r="DG199" s="1468">
        <f t="shared" si="378"/>
        <v>0</v>
      </c>
      <c r="DH199" s="1468">
        <f t="shared" si="379"/>
        <v>0</v>
      </c>
      <c r="DI199" s="1468">
        <f t="shared" si="380"/>
        <v>0</v>
      </c>
      <c r="DJ199" s="1468"/>
      <c r="DK199" s="1468"/>
      <c r="DL199" s="1468"/>
      <c r="DM199" s="1468"/>
      <c r="DN199" s="1468"/>
      <c r="DO199" s="1468"/>
      <c r="DP199" s="1468"/>
      <c r="DQ199" s="1468"/>
      <c r="DR199" s="1468"/>
      <c r="DS199" s="1468"/>
      <c r="DT199" s="1468"/>
      <c r="DU199" s="1468"/>
      <c r="DV199" s="1468"/>
      <c r="DW199" s="1468">
        <f t="shared" si="362"/>
        <v>0</v>
      </c>
      <c r="DX199" s="1468">
        <f t="shared" si="362"/>
        <v>0</v>
      </c>
    </row>
    <row r="200" spans="1:128" ht="16.149999999999999" customHeight="1" x14ac:dyDescent="0.25">
      <c r="A200" s="9568" t="s">
        <v>1829</v>
      </c>
      <c r="B200" s="9569"/>
      <c r="C200" s="1356">
        <f t="shared" si="382"/>
        <v>0</v>
      </c>
      <c r="D200" s="1158">
        <f t="shared" si="382"/>
        <v>0</v>
      </c>
      <c r="E200" s="1109"/>
      <c r="F200" s="1130"/>
      <c r="G200" s="1109"/>
      <c r="H200" s="1130"/>
      <c r="I200" s="1109"/>
      <c r="J200" s="1130"/>
      <c r="K200" s="1109"/>
      <c r="L200" s="1130"/>
      <c r="M200" s="1109"/>
      <c r="N200" s="1130"/>
      <c r="O200" s="1162"/>
      <c r="P200" s="115"/>
      <c r="Q200" s="1162"/>
      <c r="R200" s="115"/>
      <c r="S200" s="1162"/>
      <c r="T200" s="115"/>
      <c r="U200" s="1162"/>
      <c r="V200" s="115"/>
      <c r="W200" s="1162"/>
      <c r="X200" s="115"/>
      <c r="Y200" s="1162"/>
      <c r="Z200" s="115"/>
      <c r="AA200" s="1162"/>
      <c r="AB200" s="115"/>
      <c r="AC200" s="1162"/>
      <c r="AD200" s="116"/>
      <c r="AE200" s="1162"/>
      <c r="AF200" s="116"/>
      <c r="AG200" s="1162"/>
      <c r="AH200" s="138"/>
      <c r="AI200" s="1162"/>
      <c r="AJ200" s="115"/>
      <c r="AK200" s="262"/>
      <c r="AL200" s="164"/>
      <c r="AM200" s="1162"/>
      <c r="AN200" s="578"/>
      <c r="AO200" s="262"/>
      <c r="AP200" s="164"/>
      <c r="AQ200" s="113"/>
      <c r="AR200" s="578"/>
      <c r="AS200" s="262"/>
      <c r="AT200" s="578"/>
      <c r="AU200" s="262"/>
      <c r="AV200" s="164"/>
      <c r="AW200" s="262"/>
      <c r="AX200" s="164"/>
      <c r="AY200" s="1193" t="str">
        <f t="shared" si="359"/>
        <v/>
      </c>
      <c r="AZ200" s="1193"/>
      <c r="BA200" s="1193"/>
      <c r="BB200" s="1193"/>
      <c r="BC200" s="1193"/>
      <c r="BD200" s="1193"/>
      <c r="BE200" s="1193"/>
      <c r="BF200" s="1193"/>
      <c r="BG200" s="1193"/>
      <c r="BH200" s="1187"/>
      <c r="BI200" s="1187"/>
      <c r="BJ200" s="1187"/>
      <c r="BK200" s="1187"/>
      <c r="BR200" s="1187"/>
      <c r="BS200" s="1187"/>
      <c r="BT200" s="1187"/>
      <c r="BU200" s="1580"/>
      <c r="CA200" s="2235" t="str">
        <f t="shared" si="363"/>
        <v/>
      </c>
      <c r="CB200" s="2235" t="str">
        <f t="shared" si="364"/>
        <v/>
      </c>
      <c r="CC200" s="2235" t="str">
        <f t="shared" si="365"/>
        <v/>
      </c>
      <c r="CD200" s="2235" t="str">
        <f t="shared" si="366"/>
        <v/>
      </c>
      <c r="CE200" s="2235" t="str">
        <f t="shared" si="367"/>
        <v/>
      </c>
      <c r="CF200" s="2235" t="str">
        <f t="shared" si="368"/>
        <v/>
      </c>
      <c r="CG200" s="2235" t="str">
        <f t="shared" si="369"/>
        <v/>
      </c>
      <c r="CH200" s="2235" t="str">
        <f t="shared" si="370"/>
        <v/>
      </c>
      <c r="CI200" s="2235" t="str">
        <f t="shared" si="371"/>
        <v/>
      </c>
      <c r="CJ200" s="2235"/>
      <c r="CK200" s="2235"/>
      <c r="CL200" s="2235"/>
      <c r="CM200" s="2235"/>
      <c r="CN200" s="2235"/>
      <c r="CO200" s="2235"/>
      <c r="CP200" s="2235"/>
      <c r="CQ200" s="2235"/>
      <c r="CR200" s="2235"/>
      <c r="CS200" s="2235"/>
      <c r="CT200" s="2235"/>
      <c r="CU200" s="2235"/>
      <c r="CV200" s="2235"/>
      <c r="CW200" s="2235" t="str">
        <f t="shared" si="360"/>
        <v/>
      </c>
      <c r="CX200" s="2235" t="str">
        <f t="shared" si="361"/>
        <v/>
      </c>
      <c r="CY200" s="2235"/>
      <c r="CZ200" s="2235"/>
      <c r="DA200" s="1468">
        <f t="shared" si="372"/>
        <v>0</v>
      </c>
      <c r="DB200" s="1468">
        <f t="shared" si="373"/>
        <v>0</v>
      </c>
      <c r="DC200" s="1468">
        <f t="shared" si="374"/>
        <v>0</v>
      </c>
      <c r="DD200" s="1468">
        <f t="shared" si="375"/>
        <v>0</v>
      </c>
      <c r="DE200" s="1468">
        <f t="shared" si="376"/>
        <v>0</v>
      </c>
      <c r="DF200" s="1468">
        <f t="shared" si="377"/>
        <v>0</v>
      </c>
      <c r="DG200" s="1468">
        <f t="shared" si="378"/>
        <v>0</v>
      </c>
      <c r="DH200" s="1468">
        <f t="shared" si="379"/>
        <v>0</v>
      </c>
      <c r="DI200" s="1468">
        <f t="shared" si="380"/>
        <v>0</v>
      </c>
      <c r="DJ200" s="1468"/>
      <c r="DK200" s="1468"/>
      <c r="DL200" s="1468"/>
      <c r="DM200" s="1468"/>
      <c r="DN200" s="1468"/>
      <c r="DO200" s="1468"/>
      <c r="DP200" s="1468"/>
      <c r="DQ200" s="1468"/>
      <c r="DR200" s="1468"/>
      <c r="DS200" s="1468"/>
      <c r="DT200" s="1468"/>
      <c r="DU200" s="1468"/>
      <c r="DV200" s="1468"/>
      <c r="DW200" s="1468">
        <f t="shared" si="362"/>
        <v>0</v>
      </c>
      <c r="DX200" s="1468">
        <f t="shared" si="362"/>
        <v>0</v>
      </c>
    </row>
    <row r="201" spans="1:128" ht="16.149999999999999" customHeight="1" x14ac:dyDescent="0.25">
      <c r="A201" s="9568" t="s">
        <v>1798</v>
      </c>
      <c r="B201" s="9569"/>
      <c r="C201" s="1356">
        <f t="shared" si="382"/>
        <v>0</v>
      </c>
      <c r="D201" s="1158">
        <f t="shared" si="382"/>
        <v>0</v>
      </c>
      <c r="E201" s="1109"/>
      <c r="F201" s="1130"/>
      <c r="G201" s="1109"/>
      <c r="H201" s="1130"/>
      <c r="I201" s="1109"/>
      <c r="J201" s="1130"/>
      <c r="K201" s="1109"/>
      <c r="L201" s="1130"/>
      <c r="M201" s="1109"/>
      <c r="N201" s="1130"/>
      <c r="O201" s="1162"/>
      <c r="P201" s="115"/>
      <c r="Q201" s="1162"/>
      <c r="R201" s="115"/>
      <c r="S201" s="1162"/>
      <c r="T201" s="115"/>
      <c r="U201" s="1162"/>
      <c r="V201" s="115"/>
      <c r="W201" s="1162"/>
      <c r="X201" s="115"/>
      <c r="Y201" s="1162"/>
      <c r="Z201" s="115"/>
      <c r="AA201" s="1162"/>
      <c r="AB201" s="115"/>
      <c r="AC201" s="1162"/>
      <c r="AD201" s="116"/>
      <c r="AE201" s="1162"/>
      <c r="AF201" s="116"/>
      <c r="AG201" s="1162"/>
      <c r="AH201" s="138"/>
      <c r="AI201" s="1162"/>
      <c r="AJ201" s="115"/>
      <c r="AK201" s="262"/>
      <c r="AL201" s="164"/>
      <c r="AM201" s="1162"/>
      <c r="AN201" s="578"/>
      <c r="AO201" s="262"/>
      <c r="AP201" s="164"/>
      <c r="AQ201" s="113"/>
      <c r="AR201" s="578"/>
      <c r="AS201" s="262"/>
      <c r="AT201" s="578"/>
      <c r="AU201" s="262"/>
      <c r="AV201" s="164"/>
      <c r="AW201" s="262"/>
      <c r="AX201" s="164"/>
      <c r="AY201" s="1193" t="str">
        <f t="shared" si="359"/>
        <v/>
      </c>
      <c r="AZ201" s="1193"/>
      <c r="BA201" s="1193"/>
      <c r="BB201" s="1193"/>
      <c r="BC201" s="1193"/>
      <c r="BD201" s="1193"/>
      <c r="BE201" s="1193"/>
      <c r="BF201" s="1193"/>
      <c r="BG201" s="1193"/>
      <c r="BH201" s="1187"/>
      <c r="BI201" s="1187"/>
      <c r="BJ201" s="1187"/>
      <c r="BK201" s="1187"/>
      <c r="BR201" s="1187"/>
      <c r="BS201" s="1187"/>
      <c r="BT201" s="1187"/>
      <c r="BU201" s="1580"/>
      <c r="CA201" s="2235" t="str">
        <f t="shared" si="363"/>
        <v/>
      </c>
      <c r="CB201" s="2235" t="str">
        <f t="shared" si="364"/>
        <v/>
      </c>
      <c r="CC201" s="2235" t="str">
        <f t="shared" si="365"/>
        <v/>
      </c>
      <c r="CD201" s="2235" t="str">
        <f t="shared" si="366"/>
        <v/>
      </c>
      <c r="CE201" s="2235" t="str">
        <f t="shared" si="367"/>
        <v/>
      </c>
      <c r="CF201" s="2235" t="str">
        <f t="shared" si="368"/>
        <v/>
      </c>
      <c r="CG201" s="2235" t="str">
        <f t="shared" si="369"/>
        <v/>
      </c>
      <c r="CH201" s="2235" t="str">
        <f t="shared" si="370"/>
        <v/>
      </c>
      <c r="CI201" s="2235" t="str">
        <f t="shared" si="371"/>
        <v/>
      </c>
      <c r="CJ201" s="2235"/>
      <c r="CK201" s="2235"/>
      <c r="CL201" s="2235"/>
      <c r="CM201" s="2235"/>
      <c r="CN201" s="2235"/>
      <c r="CO201" s="2235"/>
      <c r="CP201" s="2235"/>
      <c r="CQ201" s="2235"/>
      <c r="CR201" s="2235"/>
      <c r="CS201" s="2235"/>
      <c r="CT201" s="2235"/>
      <c r="CU201" s="2235"/>
      <c r="CV201" s="2235"/>
      <c r="CW201" s="2235" t="str">
        <f t="shared" si="360"/>
        <v/>
      </c>
      <c r="CX201" s="2235" t="str">
        <f t="shared" si="361"/>
        <v/>
      </c>
      <c r="CY201" s="2235"/>
      <c r="CZ201" s="2235"/>
      <c r="DA201" s="1468">
        <f t="shared" si="372"/>
        <v>0</v>
      </c>
      <c r="DB201" s="1468">
        <f t="shared" si="373"/>
        <v>0</v>
      </c>
      <c r="DC201" s="1468">
        <f t="shared" si="374"/>
        <v>0</v>
      </c>
      <c r="DD201" s="1468">
        <f t="shared" si="375"/>
        <v>0</v>
      </c>
      <c r="DE201" s="1468">
        <f t="shared" si="376"/>
        <v>0</v>
      </c>
      <c r="DF201" s="1468">
        <f t="shared" si="377"/>
        <v>0</v>
      </c>
      <c r="DG201" s="1468">
        <f t="shared" si="378"/>
        <v>0</v>
      </c>
      <c r="DH201" s="1468">
        <f t="shared" si="379"/>
        <v>0</v>
      </c>
      <c r="DI201" s="1468">
        <f t="shared" si="380"/>
        <v>0</v>
      </c>
      <c r="DJ201" s="1468"/>
      <c r="DK201" s="1468"/>
      <c r="DL201" s="1468"/>
      <c r="DM201" s="1468"/>
      <c r="DN201" s="1468"/>
      <c r="DO201" s="1468"/>
      <c r="DP201" s="1468"/>
      <c r="DQ201" s="1468"/>
      <c r="DR201" s="1468"/>
      <c r="DS201" s="1468"/>
      <c r="DT201" s="1468"/>
      <c r="DU201" s="1468"/>
      <c r="DV201" s="1468"/>
      <c r="DW201" s="1468">
        <f t="shared" si="362"/>
        <v>0</v>
      </c>
      <c r="DX201" s="1468">
        <f t="shared" si="362"/>
        <v>0</v>
      </c>
    </row>
    <row r="202" spans="1:128" ht="16.149999999999999" customHeight="1" x14ac:dyDescent="0.25">
      <c r="A202" s="9568" t="s">
        <v>1830</v>
      </c>
      <c r="B202" s="9569"/>
      <c r="C202" s="1356">
        <f t="shared" ref="C202:D204" si="383">+O202+Q202+S202+U202+W202+Y202+AA202+AC202+AE202+AG202+AI202</f>
        <v>0</v>
      </c>
      <c r="D202" s="846">
        <f>+P202+R202+T202+V202+X202+Z202+AB202+AD202+AF202+AH202+AJ202</f>
        <v>0</v>
      </c>
      <c r="E202" s="1127"/>
      <c r="F202" s="1126"/>
      <c r="G202" s="1127"/>
      <c r="H202" s="1126"/>
      <c r="I202" s="1127"/>
      <c r="J202" s="1126"/>
      <c r="K202" s="1127"/>
      <c r="L202" s="1126"/>
      <c r="M202" s="1127"/>
      <c r="N202" s="1126"/>
      <c r="O202" s="1162"/>
      <c r="P202" s="115"/>
      <c r="Q202" s="1162"/>
      <c r="R202" s="115"/>
      <c r="S202" s="1162"/>
      <c r="T202" s="115"/>
      <c r="U202" s="1162"/>
      <c r="V202" s="115"/>
      <c r="W202" s="1162"/>
      <c r="X202" s="115"/>
      <c r="Y202" s="1162"/>
      <c r="Z202" s="115"/>
      <c r="AA202" s="1162"/>
      <c r="AB202" s="115"/>
      <c r="AC202" s="1162"/>
      <c r="AD202" s="116"/>
      <c r="AE202" s="1162"/>
      <c r="AF202" s="116"/>
      <c r="AG202" s="1162"/>
      <c r="AH202" s="138"/>
      <c r="AI202" s="1162"/>
      <c r="AJ202" s="115"/>
      <c r="AK202" s="262"/>
      <c r="AL202" s="164"/>
      <c r="AM202" s="1162"/>
      <c r="AN202" s="578"/>
      <c r="AO202" s="262"/>
      <c r="AP202" s="164"/>
      <c r="AQ202" s="113"/>
      <c r="AR202" s="578"/>
      <c r="AS202" s="262"/>
      <c r="AT202" s="578"/>
      <c r="AU202" s="262"/>
      <c r="AV202" s="164"/>
      <c r="AW202" s="262"/>
      <c r="AX202" s="164"/>
      <c r="AY202" s="1193" t="str">
        <f t="shared" si="359"/>
        <v/>
      </c>
      <c r="AZ202" s="1193"/>
      <c r="BA202" s="1193"/>
      <c r="BB202" s="1193"/>
      <c r="BC202" s="1193"/>
      <c r="BD202" s="1193"/>
      <c r="BE202" s="1193"/>
      <c r="BF202" s="1193"/>
      <c r="BG202" s="1193"/>
      <c r="BH202" s="1187"/>
      <c r="BI202" s="1187"/>
      <c r="BJ202" s="1187"/>
      <c r="BK202" s="1187"/>
      <c r="BR202" s="1187"/>
      <c r="BS202" s="1187"/>
      <c r="BT202" s="1187"/>
      <c r="BU202" s="1580"/>
      <c r="CA202" s="2235" t="str">
        <f t="shared" si="363"/>
        <v/>
      </c>
      <c r="CB202" s="2235" t="str">
        <f t="shared" si="364"/>
        <v/>
      </c>
      <c r="CC202" s="2235" t="str">
        <f t="shared" si="365"/>
        <v/>
      </c>
      <c r="CD202" s="2235" t="str">
        <f t="shared" si="366"/>
        <v/>
      </c>
      <c r="CE202" s="2235" t="str">
        <f t="shared" si="367"/>
        <v/>
      </c>
      <c r="CF202" s="2235" t="str">
        <f t="shared" si="368"/>
        <v/>
      </c>
      <c r="CG202" s="2235" t="str">
        <f t="shared" si="369"/>
        <v/>
      </c>
      <c r="CH202" s="2235" t="str">
        <f t="shared" si="370"/>
        <v/>
      </c>
      <c r="CI202" s="2235" t="str">
        <f t="shared" si="371"/>
        <v/>
      </c>
      <c r="CJ202" s="2235"/>
      <c r="CK202" s="2235"/>
      <c r="CL202" s="2235"/>
      <c r="CM202" s="2235"/>
      <c r="CN202" s="2235"/>
      <c r="CO202" s="2235"/>
      <c r="CP202" s="2235"/>
      <c r="CQ202" s="2235"/>
      <c r="CR202" s="2235"/>
      <c r="CS202" s="2235"/>
      <c r="CT202" s="2235"/>
      <c r="CU202" s="2235"/>
      <c r="CV202" s="2235"/>
      <c r="CW202" s="2235" t="str">
        <f t="shared" si="360"/>
        <v/>
      </c>
      <c r="CX202" s="2235" t="str">
        <f t="shared" si="361"/>
        <v/>
      </c>
      <c r="CY202" s="2235"/>
      <c r="CZ202" s="2235"/>
      <c r="DA202" s="1468">
        <f t="shared" si="372"/>
        <v>0</v>
      </c>
      <c r="DB202" s="1468">
        <f t="shared" si="373"/>
        <v>0</v>
      </c>
      <c r="DC202" s="1468">
        <f t="shared" si="374"/>
        <v>0</v>
      </c>
      <c r="DD202" s="1468">
        <f t="shared" si="375"/>
        <v>0</v>
      </c>
      <c r="DE202" s="1468">
        <f t="shared" si="376"/>
        <v>0</v>
      </c>
      <c r="DF202" s="1468">
        <f t="shared" si="377"/>
        <v>0</v>
      </c>
      <c r="DG202" s="1468">
        <f t="shared" si="378"/>
        <v>0</v>
      </c>
      <c r="DH202" s="1468">
        <f t="shared" si="379"/>
        <v>0</v>
      </c>
      <c r="DI202" s="1468">
        <f t="shared" si="380"/>
        <v>0</v>
      </c>
      <c r="DJ202" s="1468"/>
      <c r="DK202" s="1468"/>
      <c r="DL202" s="1468"/>
      <c r="DM202" s="1468"/>
      <c r="DN202" s="1468"/>
      <c r="DO202" s="1468"/>
      <c r="DP202" s="1468"/>
      <c r="DQ202" s="1468"/>
      <c r="DR202" s="1468"/>
      <c r="DS202" s="1468"/>
      <c r="DT202" s="1468"/>
      <c r="DU202" s="1468"/>
      <c r="DV202" s="1468"/>
      <c r="DW202" s="1468">
        <f t="shared" si="362"/>
        <v>0</v>
      </c>
      <c r="DX202" s="1468">
        <f t="shared" si="362"/>
        <v>0</v>
      </c>
    </row>
    <row r="203" spans="1:128" ht="16.149999999999999" customHeight="1" x14ac:dyDescent="0.25">
      <c r="A203" s="9568" t="s">
        <v>1831</v>
      </c>
      <c r="B203" s="9569"/>
      <c r="C203" s="1356">
        <f>+O203+Q203+S203+U203+W203+Y203+AA203+AC203+AE203+AG203+AI203</f>
        <v>0</v>
      </c>
      <c r="D203" s="846">
        <f>+P203+R203+T203+V203+X203+Z203+AB203+AD203+AF203+AH203+AJ203</f>
        <v>0</v>
      </c>
      <c r="E203" s="1127"/>
      <c r="F203" s="1126"/>
      <c r="G203" s="1127"/>
      <c r="H203" s="1126"/>
      <c r="I203" s="1127"/>
      <c r="J203" s="1126"/>
      <c r="K203" s="1127"/>
      <c r="L203" s="1126"/>
      <c r="M203" s="1127"/>
      <c r="N203" s="1126"/>
      <c r="O203" s="1162"/>
      <c r="P203" s="115"/>
      <c r="Q203" s="1162"/>
      <c r="R203" s="115"/>
      <c r="S203" s="1162"/>
      <c r="T203" s="115"/>
      <c r="U203" s="1162"/>
      <c r="V203" s="115"/>
      <c r="W203" s="1162"/>
      <c r="X203" s="115"/>
      <c r="Y203" s="1162"/>
      <c r="Z203" s="115"/>
      <c r="AA203" s="1162"/>
      <c r="AB203" s="115"/>
      <c r="AC203" s="1162"/>
      <c r="AD203" s="116"/>
      <c r="AE203" s="1162"/>
      <c r="AF203" s="116"/>
      <c r="AG203" s="1109"/>
      <c r="AH203" s="164"/>
      <c r="AI203" s="1109"/>
      <c r="AJ203" s="113"/>
      <c r="AK203" s="262"/>
      <c r="AL203" s="164"/>
      <c r="AM203" s="1162"/>
      <c r="AN203" s="578"/>
      <c r="AO203" s="262"/>
      <c r="AP203" s="164"/>
      <c r="AQ203" s="113"/>
      <c r="AR203" s="578"/>
      <c r="AS203" s="262"/>
      <c r="AT203" s="578"/>
      <c r="AU203" s="262"/>
      <c r="AV203" s="164"/>
      <c r="AW203" s="262"/>
      <c r="AX203" s="164"/>
      <c r="AY203" s="1193" t="str">
        <f t="shared" si="359"/>
        <v/>
      </c>
      <c r="AZ203" s="1193"/>
      <c r="BA203" s="1193"/>
      <c r="BB203" s="1193"/>
      <c r="BC203" s="1193"/>
      <c r="BD203" s="1193"/>
      <c r="BE203" s="1193"/>
      <c r="BF203" s="1193"/>
      <c r="BG203" s="1193"/>
      <c r="BH203" s="1187"/>
      <c r="BI203" s="1187"/>
      <c r="BJ203" s="1187"/>
      <c r="BK203" s="1187"/>
      <c r="BR203" s="1187"/>
      <c r="BS203" s="1187"/>
      <c r="BT203" s="1187"/>
      <c r="BU203" s="1580"/>
      <c r="CA203" s="2235" t="str">
        <f t="shared" si="363"/>
        <v/>
      </c>
      <c r="CB203" s="2235" t="str">
        <f t="shared" si="364"/>
        <v/>
      </c>
      <c r="CC203" s="2235" t="str">
        <f t="shared" si="365"/>
        <v/>
      </c>
      <c r="CD203" s="2235" t="str">
        <f t="shared" si="366"/>
        <v/>
      </c>
      <c r="CE203" s="2235" t="str">
        <f t="shared" si="367"/>
        <v/>
      </c>
      <c r="CF203" s="2235" t="str">
        <f t="shared" si="368"/>
        <v/>
      </c>
      <c r="CG203" s="2235" t="str">
        <f t="shared" si="369"/>
        <v/>
      </c>
      <c r="CH203" s="2235" t="str">
        <f t="shared" si="370"/>
        <v/>
      </c>
      <c r="CI203" s="2235" t="str">
        <f t="shared" si="371"/>
        <v/>
      </c>
      <c r="CJ203" s="2235"/>
      <c r="CK203" s="2235"/>
      <c r="CL203" s="2235"/>
      <c r="CM203" s="2235"/>
      <c r="CN203" s="2235"/>
      <c r="CO203" s="2235"/>
      <c r="CP203" s="2235"/>
      <c r="CQ203" s="2235"/>
      <c r="CR203" s="2235"/>
      <c r="CS203" s="2235"/>
      <c r="CT203" s="2235"/>
      <c r="CU203" s="2235"/>
      <c r="CV203" s="2235"/>
      <c r="CW203" s="2235" t="str">
        <f t="shared" si="360"/>
        <v/>
      </c>
      <c r="CX203" s="2235" t="str">
        <f t="shared" si="361"/>
        <v/>
      </c>
      <c r="CY203" s="2235"/>
      <c r="CZ203" s="2235"/>
      <c r="DA203" s="1468">
        <f t="shared" si="372"/>
        <v>0</v>
      </c>
      <c r="DB203" s="1468">
        <f t="shared" si="373"/>
        <v>0</v>
      </c>
      <c r="DC203" s="1468">
        <f t="shared" si="374"/>
        <v>0</v>
      </c>
      <c r="DD203" s="1468">
        <f t="shared" si="375"/>
        <v>0</v>
      </c>
      <c r="DE203" s="1468">
        <f t="shared" si="376"/>
        <v>0</v>
      </c>
      <c r="DF203" s="1468">
        <f t="shared" si="377"/>
        <v>0</v>
      </c>
      <c r="DG203" s="1468">
        <f t="shared" si="378"/>
        <v>0</v>
      </c>
      <c r="DH203" s="1468">
        <f t="shared" si="379"/>
        <v>0</v>
      </c>
      <c r="DI203" s="1468">
        <f t="shared" si="380"/>
        <v>0</v>
      </c>
      <c r="DJ203" s="1468"/>
      <c r="DK203" s="1468"/>
      <c r="DL203" s="1468"/>
      <c r="DM203" s="1468"/>
      <c r="DN203" s="1468"/>
      <c r="DO203" s="1468"/>
      <c r="DP203" s="1468"/>
      <c r="DQ203" s="1468"/>
      <c r="DR203" s="1468"/>
      <c r="DS203" s="1468"/>
      <c r="DT203" s="1468"/>
      <c r="DU203" s="1468"/>
      <c r="DV203" s="1468"/>
      <c r="DW203" s="1468">
        <f t="shared" ref="DW203:DX209" si="384">IF(AND(C203&lt;&gt;0,OR(AO203="",AQ203="",AS203="",AU203="")),1,0)</f>
        <v>0</v>
      </c>
      <c r="DX203" s="1468">
        <f t="shared" si="384"/>
        <v>0</v>
      </c>
    </row>
    <row r="204" spans="1:128" ht="16.5" customHeight="1" x14ac:dyDescent="0.25">
      <c r="A204" s="1179" t="s">
        <v>1832</v>
      </c>
      <c r="B204" s="1180"/>
      <c r="C204" s="1356">
        <f t="shared" si="383"/>
        <v>0</v>
      </c>
      <c r="D204" s="846">
        <f t="shared" si="383"/>
        <v>0</v>
      </c>
      <c r="E204" s="1127"/>
      <c r="F204" s="1126"/>
      <c r="G204" s="1127"/>
      <c r="H204" s="1126"/>
      <c r="I204" s="1127"/>
      <c r="J204" s="1126"/>
      <c r="K204" s="1127"/>
      <c r="L204" s="1126"/>
      <c r="M204" s="1127"/>
      <c r="N204" s="1126"/>
      <c r="O204" s="1162"/>
      <c r="P204" s="115"/>
      <c r="Q204" s="1162"/>
      <c r="R204" s="115"/>
      <c r="S204" s="1162"/>
      <c r="T204" s="115"/>
      <c r="U204" s="1162"/>
      <c r="V204" s="115"/>
      <c r="W204" s="1162"/>
      <c r="X204" s="115"/>
      <c r="Y204" s="1162"/>
      <c r="Z204" s="115"/>
      <c r="AA204" s="1162"/>
      <c r="AB204" s="115"/>
      <c r="AC204" s="1162"/>
      <c r="AD204" s="116"/>
      <c r="AE204" s="1162"/>
      <c r="AF204" s="116"/>
      <c r="AG204" s="1162"/>
      <c r="AH204" s="138"/>
      <c r="AI204" s="1162"/>
      <c r="AJ204" s="115"/>
      <c r="AK204" s="262"/>
      <c r="AL204" s="164"/>
      <c r="AM204" s="1162"/>
      <c r="AN204" s="578"/>
      <c r="AO204" s="262"/>
      <c r="AP204" s="164"/>
      <c r="AQ204" s="113"/>
      <c r="AR204" s="578"/>
      <c r="AS204" s="262"/>
      <c r="AT204" s="578"/>
      <c r="AU204" s="262"/>
      <c r="AV204" s="164"/>
      <c r="AW204" s="262"/>
      <c r="AX204" s="164"/>
      <c r="AY204" s="1193" t="str">
        <f t="shared" si="359"/>
        <v/>
      </c>
      <c r="AZ204" s="1193"/>
      <c r="BA204" s="1193"/>
      <c r="BB204" s="1193"/>
      <c r="BC204" s="1193"/>
      <c r="BD204" s="1193"/>
      <c r="BE204" s="1193"/>
      <c r="BF204" s="1193"/>
      <c r="BG204" s="1193"/>
      <c r="BH204" s="1187"/>
      <c r="BI204" s="1187"/>
      <c r="BJ204" s="1187"/>
      <c r="BK204" s="1187"/>
      <c r="BR204" s="1187"/>
      <c r="BS204" s="1187"/>
      <c r="BT204" s="1187"/>
      <c r="BU204" s="1580"/>
      <c r="CA204" s="2235" t="str">
        <f t="shared" si="363"/>
        <v/>
      </c>
      <c r="CB204" s="2235" t="str">
        <f t="shared" si="364"/>
        <v/>
      </c>
      <c r="CC204" s="2235" t="str">
        <f t="shared" si="365"/>
        <v/>
      </c>
      <c r="CD204" s="2235" t="str">
        <f t="shared" si="366"/>
        <v/>
      </c>
      <c r="CE204" s="2235" t="str">
        <f t="shared" si="367"/>
        <v/>
      </c>
      <c r="CF204" s="2235" t="str">
        <f t="shared" si="368"/>
        <v/>
      </c>
      <c r="CG204" s="2235" t="str">
        <f t="shared" si="369"/>
        <v/>
      </c>
      <c r="CH204" s="2235" t="str">
        <f t="shared" si="370"/>
        <v/>
      </c>
      <c r="CI204" s="2235" t="str">
        <f t="shared" si="371"/>
        <v/>
      </c>
      <c r="CJ204" s="2235"/>
      <c r="CK204" s="2235"/>
      <c r="CL204" s="2235"/>
      <c r="CM204" s="2235"/>
      <c r="CN204" s="2235"/>
      <c r="CO204" s="2235"/>
      <c r="CP204" s="2235"/>
      <c r="CQ204" s="2235"/>
      <c r="CR204" s="2235"/>
      <c r="CS204" s="2235"/>
      <c r="CT204" s="2235"/>
      <c r="CU204" s="2235"/>
      <c r="CV204" s="2235"/>
      <c r="CW204" s="2235" t="str">
        <f t="shared" si="360"/>
        <v/>
      </c>
      <c r="CX204" s="2235" t="str">
        <f t="shared" si="361"/>
        <v/>
      </c>
      <c r="CY204" s="2235"/>
      <c r="CZ204" s="2235"/>
      <c r="DA204" s="1468">
        <f t="shared" si="372"/>
        <v>0</v>
      </c>
      <c r="DB204" s="1468">
        <f t="shared" si="373"/>
        <v>0</v>
      </c>
      <c r="DC204" s="1468">
        <f t="shared" si="374"/>
        <v>0</v>
      </c>
      <c r="DD204" s="1468">
        <f t="shared" si="375"/>
        <v>0</v>
      </c>
      <c r="DE204" s="1468">
        <f t="shared" si="376"/>
        <v>0</v>
      </c>
      <c r="DF204" s="1468">
        <f t="shared" si="377"/>
        <v>0</v>
      </c>
      <c r="DG204" s="1468">
        <f t="shared" si="378"/>
        <v>0</v>
      </c>
      <c r="DH204" s="1468">
        <f t="shared" si="379"/>
        <v>0</v>
      </c>
      <c r="DI204" s="1468">
        <f t="shared" si="380"/>
        <v>0</v>
      </c>
      <c r="DJ204" s="1468"/>
      <c r="DK204" s="1468"/>
      <c r="DL204" s="1468"/>
      <c r="DM204" s="1468"/>
      <c r="DN204" s="1468"/>
      <c r="DO204" s="1468"/>
      <c r="DP204" s="1468"/>
      <c r="DQ204" s="1468"/>
      <c r="DR204" s="1468"/>
      <c r="DS204" s="1468"/>
      <c r="DT204" s="1468"/>
      <c r="DU204" s="1468"/>
      <c r="DV204" s="1468"/>
      <c r="DW204" s="1468">
        <f t="shared" si="384"/>
        <v>0</v>
      </c>
      <c r="DX204" s="1468">
        <f t="shared" si="384"/>
        <v>0</v>
      </c>
    </row>
    <row r="205" spans="1:128" ht="16.149999999999999" customHeight="1" x14ac:dyDescent="0.25">
      <c r="A205" s="9568" t="s">
        <v>1833</v>
      </c>
      <c r="B205" s="9569"/>
      <c r="C205" s="1356">
        <f t="shared" ref="C205:D209" si="385">+E205+G205+I205+K205+M205+O205+Q205+S205+U205+W205+Y205+AA205+AC205+AE205+AG205+AI205</f>
        <v>0</v>
      </c>
      <c r="D205" s="846">
        <f t="shared" si="385"/>
        <v>0</v>
      </c>
      <c r="E205" s="1162"/>
      <c r="F205" s="115"/>
      <c r="G205" s="1162"/>
      <c r="H205" s="115"/>
      <c r="I205" s="1162"/>
      <c r="J205" s="115"/>
      <c r="K205" s="1162"/>
      <c r="L205" s="115"/>
      <c r="M205" s="1162"/>
      <c r="N205" s="115"/>
      <c r="O205" s="1162"/>
      <c r="P205" s="115"/>
      <c r="Q205" s="1162"/>
      <c r="R205" s="115"/>
      <c r="S205" s="1162"/>
      <c r="T205" s="115"/>
      <c r="U205" s="1162"/>
      <c r="V205" s="115"/>
      <c r="W205" s="1162"/>
      <c r="X205" s="115"/>
      <c r="Y205" s="1162"/>
      <c r="Z205" s="115"/>
      <c r="AA205" s="1162"/>
      <c r="AB205" s="115"/>
      <c r="AC205" s="1162"/>
      <c r="AD205" s="116"/>
      <c r="AE205" s="1162"/>
      <c r="AF205" s="116"/>
      <c r="AG205" s="1162"/>
      <c r="AH205" s="138"/>
      <c r="AI205" s="1162"/>
      <c r="AJ205" s="115"/>
      <c r="AK205" s="262"/>
      <c r="AL205" s="164"/>
      <c r="AM205" s="1162"/>
      <c r="AN205" s="578"/>
      <c r="AO205" s="262"/>
      <c r="AP205" s="164"/>
      <c r="AQ205" s="113"/>
      <c r="AR205" s="578"/>
      <c r="AS205" s="262"/>
      <c r="AT205" s="578"/>
      <c r="AU205" s="262"/>
      <c r="AV205" s="164"/>
      <c r="AW205" s="262"/>
      <c r="AX205" s="164"/>
      <c r="AY205" s="1193" t="str">
        <f t="shared" si="359"/>
        <v/>
      </c>
      <c r="AZ205" s="1193"/>
      <c r="BA205" s="1193"/>
      <c r="BB205" s="1193"/>
      <c r="BC205" s="1193"/>
      <c r="BD205" s="1193"/>
      <c r="BE205" s="1193"/>
      <c r="BF205" s="1193"/>
      <c r="BG205" s="1193"/>
      <c r="BH205" s="1187"/>
      <c r="BI205" s="1187"/>
      <c r="BJ205" s="1187"/>
      <c r="BK205" s="1187"/>
      <c r="BR205" s="1187"/>
      <c r="BS205" s="1187"/>
      <c r="BT205" s="1187"/>
      <c r="BU205" s="1580"/>
      <c r="CA205" s="2235" t="str">
        <f t="shared" si="363"/>
        <v/>
      </c>
      <c r="CB205" s="2235" t="str">
        <f t="shared" si="364"/>
        <v/>
      </c>
      <c r="CC205" s="2235" t="str">
        <f t="shared" si="365"/>
        <v/>
      </c>
      <c r="CD205" s="2235" t="str">
        <f t="shared" si="366"/>
        <v/>
      </c>
      <c r="CE205" s="2235" t="str">
        <f t="shared" si="367"/>
        <v/>
      </c>
      <c r="CF205" s="2235" t="str">
        <f t="shared" si="368"/>
        <v/>
      </c>
      <c r="CG205" s="2235" t="str">
        <f t="shared" si="369"/>
        <v/>
      </c>
      <c r="CH205" s="2235" t="str">
        <f t="shared" si="370"/>
        <v/>
      </c>
      <c r="CI205" s="2235" t="str">
        <f t="shared" si="371"/>
        <v/>
      </c>
      <c r="CJ205" s="2235"/>
      <c r="CK205" s="2235"/>
      <c r="CL205" s="2235"/>
      <c r="CM205" s="2235"/>
      <c r="CN205" s="2235"/>
      <c r="CO205" s="2235"/>
      <c r="CP205" s="2235"/>
      <c r="CQ205" s="2235"/>
      <c r="CR205" s="2235"/>
      <c r="CS205" s="2235"/>
      <c r="CT205" s="2235"/>
      <c r="CU205" s="2235"/>
      <c r="CV205" s="2235"/>
      <c r="CW205" s="2235" t="str">
        <f t="shared" si="360"/>
        <v/>
      </c>
      <c r="CX205" s="2235" t="str">
        <f t="shared" si="361"/>
        <v/>
      </c>
      <c r="CY205" s="2235"/>
      <c r="CZ205" s="2235"/>
      <c r="DA205" s="1468">
        <f t="shared" si="372"/>
        <v>0</v>
      </c>
      <c r="DB205" s="1468">
        <f t="shared" si="373"/>
        <v>0</v>
      </c>
      <c r="DC205" s="1468">
        <f t="shared" si="374"/>
        <v>0</v>
      </c>
      <c r="DD205" s="1468">
        <f t="shared" si="375"/>
        <v>0</v>
      </c>
      <c r="DE205" s="1468">
        <f t="shared" si="376"/>
        <v>0</v>
      </c>
      <c r="DF205" s="1468">
        <f t="shared" si="377"/>
        <v>0</v>
      </c>
      <c r="DG205" s="1468">
        <f t="shared" si="378"/>
        <v>0</v>
      </c>
      <c r="DH205" s="1468">
        <f t="shared" si="379"/>
        <v>0</v>
      </c>
      <c r="DI205" s="1468">
        <f t="shared" si="380"/>
        <v>0</v>
      </c>
      <c r="DJ205" s="1468"/>
      <c r="DK205" s="1468"/>
      <c r="DL205" s="1468"/>
      <c r="DM205" s="1468"/>
      <c r="DN205" s="1468"/>
      <c r="DO205" s="1468"/>
      <c r="DP205" s="1468"/>
      <c r="DQ205" s="1468"/>
      <c r="DR205" s="1468"/>
      <c r="DS205" s="1468"/>
      <c r="DT205" s="1468"/>
      <c r="DU205" s="1468"/>
      <c r="DV205" s="1468"/>
      <c r="DW205" s="1468">
        <f t="shared" si="384"/>
        <v>0</v>
      </c>
      <c r="DX205" s="1468">
        <f t="shared" si="384"/>
        <v>0</v>
      </c>
    </row>
    <row r="206" spans="1:128" ht="16.149999999999999" customHeight="1" x14ac:dyDescent="0.25">
      <c r="A206" s="9568" t="s">
        <v>1834</v>
      </c>
      <c r="B206" s="9569"/>
      <c r="C206" s="1356">
        <f t="shared" si="385"/>
        <v>0</v>
      </c>
      <c r="D206" s="846">
        <f t="shared" si="385"/>
        <v>0</v>
      </c>
      <c r="E206" s="1162"/>
      <c r="F206" s="115"/>
      <c r="G206" s="1162"/>
      <c r="H206" s="115"/>
      <c r="I206" s="1162"/>
      <c r="J206" s="115"/>
      <c r="K206" s="1162"/>
      <c r="L206" s="115"/>
      <c r="M206" s="1162"/>
      <c r="N206" s="115"/>
      <c r="O206" s="1162"/>
      <c r="P206" s="115"/>
      <c r="Q206" s="1162"/>
      <c r="R206" s="115"/>
      <c r="S206" s="1162"/>
      <c r="T206" s="115"/>
      <c r="U206" s="1162"/>
      <c r="V206" s="115"/>
      <c r="W206" s="1162"/>
      <c r="X206" s="115"/>
      <c r="Y206" s="1162"/>
      <c r="Z206" s="115"/>
      <c r="AA206" s="1162"/>
      <c r="AB206" s="115"/>
      <c r="AC206" s="1162"/>
      <c r="AD206" s="116"/>
      <c r="AE206" s="1162"/>
      <c r="AF206" s="116"/>
      <c r="AG206" s="1162"/>
      <c r="AH206" s="138"/>
      <c r="AI206" s="1162"/>
      <c r="AJ206" s="115"/>
      <c r="AK206" s="262"/>
      <c r="AL206" s="164"/>
      <c r="AM206" s="1162"/>
      <c r="AN206" s="578"/>
      <c r="AO206" s="262"/>
      <c r="AP206" s="164"/>
      <c r="AQ206" s="113"/>
      <c r="AR206" s="578"/>
      <c r="AS206" s="262"/>
      <c r="AT206" s="578"/>
      <c r="AU206" s="262"/>
      <c r="AV206" s="164"/>
      <c r="AW206" s="262"/>
      <c r="AX206" s="164"/>
      <c r="AY206" s="1193" t="str">
        <f t="shared" si="359"/>
        <v/>
      </c>
      <c r="AZ206" s="1193"/>
      <c r="BA206" s="1193"/>
      <c r="BB206" s="1193"/>
      <c r="BC206" s="1193"/>
      <c r="BD206" s="1193"/>
      <c r="BE206" s="1193"/>
      <c r="BF206" s="1193"/>
      <c r="BG206" s="1193"/>
      <c r="BH206" s="1187"/>
      <c r="BI206" s="1187"/>
      <c r="BJ206" s="1187"/>
      <c r="BK206" s="1187"/>
      <c r="BR206" s="1187"/>
      <c r="BS206" s="1187"/>
      <c r="BT206" s="1187"/>
      <c r="BU206" s="1580"/>
      <c r="CA206" s="2235" t="str">
        <f t="shared" si="363"/>
        <v/>
      </c>
      <c r="CB206" s="2235" t="str">
        <f t="shared" si="364"/>
        <v/>
      </c>
      <c r="CC206" s="2235" t="str">
        <f t="shared" si="365"/>
        <v/>
      </c>
      <c r="CD206" s="2235" t="str">
        <f t="shared" si="366"/>
        <v/>
      </c>
      <c r="CE206" s="2235" t="str">
        <f t="shared" si="367"/>
        <v/>
      </c>
      <c r="CF206" s="2235" t="str">
        <f t="shared" si="368"/>
        <v/>
      </c>
      <c r="CG206" s="2235" t="str">
        <f t="shared" si="369"/>
        <v/>
      </c>
      <c r="CH206" s="2235" t="str">
        <f t="shared" si="370"/>
        <v/>
      </c>
      <c r="CI206" s="2235" t="str">
        <f t="shared" si="371"/>
        <v/>
      </c>
      <c r="CJ206" s="2235"/>
      <c r="CK206" s="2235"/>
      <c r="CL206" s="2235"/>
      <c r="CM206" s="2235"/>
      <c r="CN206" s="2235"/>
      <c r="CO206" s="2235"/>
      <c r="CP206" s="2235"/>
      <c r="CQ206" s="2235"/>
      <c r="CR206" s="2235"/>
      <c r="CS206" s="2235"/>
      <c r="CT206" s="2235"/>
      <c r="CU206" s="2235"/>
      <c r="CV206" s="2235"/>
      <c r="CW206" s="2235" t="str">
        <f t="shared" si="360"/>
        <v/>
      </c>
      <c r="CX206" s="2235" t="str">
        <f t="shared" si="361"/>
        <v/>
      </c>
      <c r="CY206" s="2235"/>
      <c r="CZ206" s="2235"/>
      <c r="DA206" s="1468">
        <f t="shared" si="372"/>
        <v>0</v>
      </c>
      <c r="DB206" s="1468">
        <f t="shared" si="373"/>
        <v>0</v>
      </c>
      <c r="DC206" s="1468">
        <f t="shared" si="374"/>
        <v>0</v>
      </c>
      <c r="DD206" s="1468">
        <f t="shared" si="375"/>
        <v>0</v>
      </c>
      <c r="DE206" s="1468">
        <f t="shared" si="376"/>
        <v>0</v>
      </c>
      <c r="DF206" s="1468">
        <f t="shared" si="377"/>
        <v>0</v>
      </c>
      <c r="DG206" s="1468">
        <f t="shared" si="378"/>
        <v>0</v>
      </c>
      <c r="DH206" s="1468">
        <f t="shared" si="379"/>
        <v>0</v>
      </c>
      <c r="DI206" s="1468">
        <f t="shared" si="380"/>
        <v>0</v>
      </c>
      <c r="DJ206" s="1468"/>
      <c r="DK206" s="1468"/>
      <c r="DL206" s="1468"/>
      <c r="DM206" s="1468"/>
      <c r="DN206" s="1468"/>
      <c r="DO206" s="1468"/>
      <c r="DP206" s="1468"/>
      <c r="DQ206" s="1468"/>
      <c r="DR206" s="1468"/>
      <c r="DS206" s="1468"/>
      <c r="DT206" s="1468"/>
      <c r="DU206" s="1468"/>
      <c r="DV206" s="1468"/>
      <c r="DW206" s="1468">
        <f t="shared" si="384"/>
        <v>0</v>
      </c>
      <c r="DX206" s="1468">
        <f t="shared" si="384"/>
        <v>0</v>
      </c>
    </row>
    <row r="207" spans="1:128" ht="16.149999999999999" customHeight="1" x14ac:dyDescent="0.25">
      <c r="A207" s="9568" t="s">
        <v>1835</v>
      </c>
      <c r="B207" s="9569"/>
      <c r="C207" s="1356">
        <f t="shared" si="385"/>
        <v>0</v>
      </c>
      <c r="D207" s="846">
        <f t="shared" si="385"/>
        <v>0</v>
      </c>
      <c r="E207" s="1162"/>
      <c r="F207" s="115"/>
      <c r="G207" s="1162"/>
      <c r="H207" s="115"/>
      <c r="I207" s="1162"/>
      <c r="J207" s="115"/>
      <c r="K207" s="1162"/>
      <c r="L207" s="115"/>
      <c r="M207" s="1162"/>
      <c r="N207" s="115"/>
      <c r="O207" s="1162"/>
      <c r="P207" s="115"/>
      <c r="Q207" s="1162"/>
      <c r="R207" s="115"/>
      <c r="S207" s="1162"/>
      <c r="T207" s="115"/>
      <c r="U207" s="1162"/>
      <c r="V207" s="115"/>
      <c r="W207" s="1162"/>
      <c r="X207" s="115"/>
      <c r="Y207" s="1162"/>
      <c r="Z207" s="115"/>
      <c r="AA207" s="1162"/>
      <c r="AB207" s="115"/>
      <c r="AC207" s="1162"/>
      <c r="AD207" s="116"/>
      <c r="AE207" s="1162"/>
      <c r="AF207" s="116"/>
      <c r="AG207" s="1162"/>
      <c r="AH207" s="138"/>
      <c r="AI207" s="1162"/>
      <c r="AJ207" s="115"/>
      <c r="AK207" s="262"/>
      <c r="AL207" s="164"/>
      <c r="AM207" s="1162"/>
      <c r="AN207" s="578"/>
      <c r="AO207" s="262"/>
      <c r="AP207" s="164"/>
      <c r="AQ207" s="113"/>
      <c r="AR207" s="578"/>
      <c r="AS207" s="262"/>
      <c r="AT207" s="578"/>
      <c r="AU207" s="262"/>
      <c r="AV207" s="164"/>
      <c r="AW207" s="262"/>
      <c r="AX207" s="164"/>
      <c r="AY207" s="1193" t="str">
        <f t="shared" si="359"/>
        <v/>
      </c>
      <c r="AZ207" s="1193"/>
      <c r="BA207" s="1193"/>
      <c r="BB207" s="1193"/>
      <c r="BC207" s="1193"/>
      <c r="BD207" s="1193"/>
      <c r="BE207" s="1193"/>
      <c r="BF207" s="1193"/>
      <c r="BG207" s="1193"/>
      <c r="BH207" s="1187"/>
      <c r="BI207" s="1187"/>
      <c r="BJ207" s="1187"/>
      <c r="BK207" s="1187"/>
      <c r="BR207" s="1187"/>
      <c r="BS207" s="1187"/>
      <c r="BT207" s="1187"/>
      <c r="BU207" s="1580"/>
      <c r="CA207" s="2235" t="str">
        <f t="shared" si="363"/>
        <v/>
      </c>
      <c r="CB207" s="2235" t="str">
        <f t="shared" si="364"/>
        <v/>
      </c>
      <c r="CC207" s="2235" t="str">
        <f t="shared" si="365"/>
        <v/>
      </c>
      <c r="CD207" s="2235" t="str">
        <f t="shared" si="366"/>
        <v/>
      </c>
      <c r="CE207" s="2235" t="str">
        <f t="shared" si="367"/>
        <v/>
      </c>
      <c r="CF207" s="2235" t="str">
        <f t="shared" si="368"/>
        <v/>
      </c>
      <c r="CG207" s="2235" t="str">
        <f t="shared" si="369"/>
        <v/>
      </c>
      <c r="CH207" s="2235" t="str">
        <f t="shared" si="370"/>
        <v/>
      </c>
      <c r="CI207" s="2235" t="str">
        <f t="shared" si="371"/>
        <v/>
      </c>
      <c r="CJ207" s="2235"/>
      <c r="CK207" s="2235"/>
      <c r="CL207" s="2235"/>
      <c r="CM207" s="2235"/>
      <c r="CN207" s="2235"/>
      <c r="CO207" s="2235"/>
      <c r="CP207" s="2235"/>
      <c r="CQ207" s="2235"/>
      <c r="CR207" s="2235"/>
      <c r="CS207" s="2235"/>
      <c r="CT207" s="2235"/>
      <c r="CU207" s="2235"/>
      <c r="CV207" s="2235"/>
      <c r="CW207" s="2235" t="str">
        <f t="shared" si="360"/>
        <v/>
      </c>
      <c r="CX207" s="2235" t="str">
        <f t="shared" si="361"/>
        <v/>
      </c>
      <c r="CY207" s="2235"/>
      <c r="CZ207" s="2235"/>
      <c r="DA207" s="1468">
        <f t="shared" si="372"/>
        <v>0</v>
      </c>
      <c r="DB207" s="1468">
        <f t="shared" si="373"/>
        <v>0</v>
      </c>
      <c r="DC207" s="1468">
        <f t="shared" si="374"/>
        <v>0</v>
      </c>
      <c r="DD207" s="1468">
        <f t="shared" si="375"/>
        <v>0</v>
      </c>
      <c r="DE207" s="1468">
        <f t="shared" si="376"/>
        <v>0</v>
      </c>
      <c r="DF207" s="1468">
        <f t="shared" si="377"/>
        <v>0</v>
      </c>
      <c r="DG207" s="1468">
        <f t="shared" si="378"/>
        <v>0</v>
      </c>
      <c r="DH207" s="1468">
        <f t="shared" si="379"/>
        <v>0</v>
      </c>
      <c r="DI207" s="1468">
        <f t="shared" si="380"/>
        <v>0</v>
      </c>
      <c r="DJ207" s="1468"/>
      <c r="DK207" s="1468"/>
      <c r="DL207" s="1468"/>
      <c r="DM207" s="1468"/>
      <c r="DN207" s="1468"/>
      <c r="DO207" s="1468"/>
      <c r="DP207" s="1468"/>
      <c r="DQ207" s="1468"/>
      <c r="DR207" s="1468"/>
      <c r="DS207" s="1468"/>
      <c r="DT207" s="1468"/>
      <c r="DU207" s="1468"/>
      <c r="DV207" s="1468"/>
      <c r="DW207" s="1468">
        <f t="shared" si="384"/>
        <v>0</v>
      </c>
      <c r="DX207" s="1468">
        <f t="shared" si="384"/>
        <v>0</v>
      </c>
    </row>
    <row r="208" spans="1:128" ht="16.149999999999999" customHeight="1" x14ac:dyDescent="0.25">
      <c r="A208" s="9568" t="s">
        <v>1836</v>
      </c>
      <c r="B208" s="9569"/>
      <c r="C208" s="1356">
        <f t="shared" si="385"/>
        <v>0</v>
      </c>
      <c r="D208" s="846">
        <f t="shared" si="385"/>
        <v>0</v>
      </c>
      <c r="E208" s="1162"/>
      <c r="F208" s="115"/>
      <c r="G208" s="1162"/>
      <c r="H208" s="115"/>
      <c r="I208" s="1162"/>
      <c r="J208" s="115"/>
      <c r="K208" s="1162"/>
      <c r="L208" s="115"/>
      <c r="M208" s="1162"/>
      <c r="N208" s="115"/>
      <c r="O208" s="1162"/>
      <c r="P208" s="115"/>
      <c r="Q208" s="1162"/>
      <c r="R208" s="115"/>
      <c r="S208" s="1162"/>
      <c r="T208" s="115"/>
      <c r="U208" s="1162"/>
      <c r="V208" s="115"/>
      <c r="W208" s="1162"/>
      <c r="X208" s="115"/>
      <c r="Y208" s="1162"/>
      <c r="Z208" s="115"/>
      <c r="AA208" s="1162"/>
      <c r="AB208" s="115"/>
      <c r="AC208" s="1162"/>
      <c r="AD208" s="116"/>
      <c r="AE208" s="1162"/>
      <c r="AF208" s="116"/>
      <c r="AG208" s="1162"/>
      <c r="AH208" s="138"/>
      <c r="AI208" s="1162"/>
      <c r="AJ208" s="115"/>
      <c r="AK208" s="262"/>
      <c r="AL208" s="164"/>
      <c r="AM208" s="1162"/>
      <c r="AN208" s="578"/>
      <c r="AO208" s="262"/>
      <c r="AP208" s="164"/>
      <c r="AQ208" s="113"/>
      <c r="AR208" s="578"/>
      <c r="AS208" s="262"/>
      <c r="AT208" s="578"/>
      <c r="AU208" s="262"/>
      <c r="AV208" s="164"/>
      <c r="AW208" s="262"/>
      <c r="AX208" s="164"/>
      <c r="AY208" s="1193" t="str">
        <f t="shared" si="359"/>
        <v/>
      </c>
      <c r="AZ208" s="1193"/>
      <c r="BA208" s="1193"/>
      <c r="BB208" s="1193"/>
      <c r="BC208" s="1193"/>
      <c r="BD208" s="1193"/>
      <c r="BE208" s="1193"/>
      <c r="BF208" s="1193"/>
      <c r="BG208" s="1193"/>
      <c r="BH208" s="1187"/>
      <c r="BI208" s="1187"/>
      <c r="BJ208" s="1187"/>
      <c r="BK208" s="1187"/>
      <c r="BR208" s="1187"/>
      <c r="BS208" s="1187"/>
      <c r="BT208" s="1187"/>
      <c r="BU208" s="1580"/>
      <c r="CA208" s="2235" t="str">
        <f t="shared" si="363"/>
        <v/>
      </c>
      <c r="CB208" s="2235" t="str">
        <f t="shared" si="364"/>
        <v/>
      </c>
      <c r="CC208" s="2235" t="str">
        <f t="shared" si="365"/>
        <v/>
      </c>
      <c r="CD208" s="2235" t="str">
        <f t="shared" si="366"/>
        <v/>
      </c>
      <c r="CE208" s="2235" t="str">
        <f t="shared" si="367"/>
        <v/>
      </c>
      <c r="CF208" s="2235" t="str">
        <f t="shared" si="368"/>
        <v/>
      </c>
      <c r="CG208" s="2235" t="str">
        <f t="shared" si="369"/>
        <v/>
      </c>
      <c r="CH208" s="2235" t="str">
        <f t="shared" si="370"/>
        <v/>
      </c>
      <c r="CI208" s="2235" t="str">
        <f t="shared" si="371"/>
        <v/>
      </c>
      <c r="CJ208" s="2235"/>
      <c r="CK208" s="2235"/>
      <c r="CL208" s="2235"/>
      <c r="CM208" s="2235"/>
      <c r="CN208" s="2235"/>
      <c r="CO208" s="2235"/>
      <c r="CP208" s="2235"/>
      <c r="CQ208" s="2235"/>
      <c r="CR208" s="2235"/>
      <c r="CS208" s="2235"/>
      <c r="CT208" s="2235"/>
      <c r="CU208" s="2235"/>
      <c r="CV208" s="2235"/>
      <c r="CW208" s="2235" t="str">
        <f t="shared" si="360"/>
        <v/>
      </c>
      <c r="CX208" s="2235" t="str">
        <f t="shared" si="361"/>
        <v/>
      </c>
      <c r="CY208" s="2235"/>
      <c r="CZ208" s="2235"/>
      <c r="DA208" s="1468">
        <f t="shared" si="372"/>
        <v>0</v>
      </c>
      <c r="DB208" s="1468">
        <f t="shared" si="373"/>
        <v>0</v>
      </c>
      <c r="DC208" s="1468">
        <f t="shared" si="374"/>
        <v>0</v>
      </c>
      <c r="DD208" s="1468">
        <f t="shared" si="375"/>
        <v>0</v>
      </c>
      <c r="DE208" s="1468">
        <f t="shared" si="376"/>
        <v>0</v>
      </c>
      <c r="DF208" s="1468">
        <f t="shared" si="377"/>
        <v>0</v>
      </c>
      <c r="DG208" s="1468">
        <f t="shared" si="378"/>
        <v>0</v>
      </c>
      <c r="DH208" s="1468">
        <f t="shared" si="379"/>
        <v>0</v>
      </c>
      <c r="DI208" s="1468">
        <f t="shared" si="380"/>
        <v>0</v>
      </c>
      <c r="DJ208" s="1468"/>
      <c r="DK208" s="1468"/>
      <c r="DL208" s="1468"/>
      <c r="DM208" s="1468"/>
      <c r="DN208" s="1468"/>
      <c r="DO208" s="1468"/>
      <c r="DP208" s="1468"/>
      <c r="DQ208" s="1468"/>
      <c r="DR208" s="1468"/>
      <c r="DS208" s="1468"/>
      <c r="DT208" s="1468"/>
      <c r="DU208" s="1468"/>
      <c r="DV208" s="1468"/>
      <c r="DW208" s="1468">
        <f t="shared" si="384"/>
        <v>0</v>
      </c>
      <c r="DX208" s="1468">
        <f t="shared" si="384"/>
        <v>0</v>
      </c>
    </row>
    <row r="209" spans="1:130" ht="16.149999999999999" customHeight="1" x14ac:dyDescent="0.25">
      <c r="A209" s="9577" t="s">
        <v>1837</v>
      </c>
      <c r="B209" s="8406"/>
      <c r="C209" s="1357">
        <f t="shared" si="385"/>
        <v>0</v>
      </c>
      <c r="D209" s="1359">
        <f t="shared" si="385"/>
        <v>0</v>
      </c>
      <c r="E209" s="125"/>
      <c r="F209" s="83"/>
      <c r="G209" s="125"/>
      <c r="H209" s="83"/>
      <c r="I209" s="125"/>
      <c r="J209" s="83"/>
      <c r="K209" s="125"/>
      <c r="L209" s="83"/>
      <c r="M209" s="125"/>
      <c r="N209" s="101"/>
      <c r="O209" s="125"/>
      <c r="P209" s="83"/>
      <c r="Q209" s="125"/>
      <c r="R209" s="83"/>
      <c r="S209" s="125"/>
      <c r="T209" s="83"/>
      <c r="U209" s="125"/>
      <c r="V209" s="83"/>
      <c r="W209" s="125"/>
      <c r="X209" s="83"/>
      <c r="Y209" s="125"/>
      <c r="Z209" s="83"/>
      <c r="AA209" s="125"/>
      <c r="AB209" s="83"/>
      <c r="AC209" s="125"/>
      <c r="AD209" s="175"/>
      <c r="AE209" s="125"/>
      <c r="AF209" s="175"/>
      <c r="AG209" s="125"/>
      <c r="AH209" s="101"/>
      <c r="AI209" s="125"/>
      <c r="AJ209" s="83"/>
      <c r="AK209" s="264"/>
      <c r="AL209" s="127"/>
      <c r="AM209" s="125"/>
      <c r="AN209" s="254"/>
      <c r="AO209" s="264"/>
      <c r="AP209" s="127"/>
      <c r="AQ209" s="102"/>
      <c r="AR209" s="254"/>
      <c r="AS209" s="264"/>
      <c r="AT209" s="254"/>
      <c r="AU209" s="264"/>
      <c r="AV209" s="127"/>
      <c r="AW209" s="264"/>
      <c r="AX209" s="127"/>
      <c r="AY209" s="1193" t="str">
        <f t="shared" si="359"/>
        <v/>
      </c>
      <c r="AZ209" s="1193"/>
      <c r="BA209" s="1193"/>
      <c r="BB209" s="1193"/>
      <c r="BC209" s="1193"/>
      <c r="BD209" s="1193"/>
      <c r="BE209" s="1193"/>
      <c r="BF209" s="1193"/>
      <c r="BG209" s="1193"/>
      <c r="BH209" s="1187"/>
      <c r="BI209" s="1187"/>
      <c r="BJ209" s="1187"/>
      <c r="BK209" s="1187"/>
      <c r="BR209" s="1187"/>
      <c r="BS209" s="1187"/>
      <c r="BT209" s="1187"/>
      <c r="BU209" s="1580"/>
      <c r="CA209" s="2235" t="str">
        <f>IF(DA209=1," * El total de exámenes confirmados positivos por ISP NO DEBE SUPERAR el total de exámenes procesados. ","")</f>
        <v/>
      </c>
      <c r="CB209" s="2235" t="str">
        <f>IF(DB209=1," * La suma de exámenes procesados por sexo DEBE SER IGUAL al total de Procesados. ","")</f>
        <v/>
      </c>
      <c r="CC209" s="2235" t="str">
        <f>IF(DC209=1," * La suma de exámenes Confirmados positivos por ISP por sexo DEBE SER IGUAL al total de Procesados. ","")</f>
        <v/>
      </c>
      <c r="CD209" s="2235" t="str">
        <f>IF(DD209=1," * La suma de exámenes procesados Trans NO PUEDE Superar al total de Procesados. ","")</f>
        <v/>
      </c>
      <c r="CE209" s="2235" t="str">
        <f>IF(DE209=1," * La suma de exámenes confirmados positivos por ISP Trans NO PUEDE Superar al total de Procesados. ","")</f>
        <v/>
      </c>
      <c r="CF209" s="2235" t="str">
        <f>IF(DF209=1," * Los exámenes procesados de personas pertenecientes a Pueblos originarios NO PUEDE Superar al total de Procesados. ","")</f>
        <v/>
      </c>
      <c r="CG209" s="2235" t="str">
        <f>IF(DG209=1," * Los exámenes confirmados positivos por ISP de personas pertenecientes a Pueblos originarios NO PUEDE Superar al total de Procesados. ","")</f>
        <v/>
      </c>
      <c r="CH209" s="2235" t="str">
        <f>IF(DH209=1," * Los exámenes procesados de personas pertenecientes a Pueblos migrantes NO PUEDE Superar al total de Procesados. ","")</f>
        <v/>
      </c>
      <c r="CI209" s="2235" t="str">
        <f>IF(DI209=1," * Los exámenes confirmados positivos por ISP de personas pertenecientes a Pueblos Migrantes NO PUEDE Superar al total de Procesados. ","")</f>
        <v/>
      </c>
      <c r="CJ209" s="2235"/>
      <c r="CK209" s="2235"/>
      <c r="CL209" s="2235"/>
      <c r="CM209" s="2235"/>
      <c r="CN209" s="2235"/>
      <c r="CO209" s="2235"/>
      <c r="CP209" s="2235"/>
      <c r="CQ209" s="2235"/>
      <c r="CR209" s="2235"/>
      <c r="CS209" s="2235"/>
      <c r="CT209" s="2235"/>
      <c r="CU209" s="2235"/>
      <c r="CV209" s="2235"/>
      <c r="CW209" s="2235" t="str">
        <f t="shared" si="360"/>
        <v/>
      </c>
      <c r="CX209" s="2235" t="str">
        <f t="shared" si="361"/>
        <v/>
      </c>
      <c r="CY209" s="2235"/>
      <c r="CZ209" s="2235"/>
      <c r="DA209" s="1468">
        <f t="shared" si="372"/>
        <v>0</v>
      </c>
      <c r="DB209" s="1468">
        <f t="shared" si="373"/>
        <v>0</v>
      </c>
      <c r="DC209" s="1468">
        <f t="shared" si="374"/>
        <v>0</v>
      </c>
      <c r="DD209" s="1468">
        <f t="shared" si="375"/>
        <v>0</v>
      </c>
      <c r="DE209" s="1468">
        <f t="shared" si="376"/>
        <v>0</v>
      </c>
      <c r="DF209" s="1468">
        <f t="shared" si="377"/>
        <v>0</v>
      </c>
      <c r="DG209" s="1468">
        <f t="shared" si="378"/>
        <v>0</v>
      </c>
      <c r="DH209" s="1468">
        <f t="shared" si="379"/>
        <v>0</v>
      </c>
      <c r="DI209" s="1468">
        <f t="shared" si="380"/>
        <v>0</v>
      </c>
      <c r="DJ209" s="1468"/>
      <c r="DK209" s="1468"/>
      <c r="DL209" s="1468"/>
      <c r="DM209" s="1468"/>
      <c r="DN209" s="1468"/>
      <c r="DO209" s="1468"/>
      <c r="DP209" s="1468"/>
      <c r="DQ209" s="1468"/>
      <c r="DR209" s="1468"/>
      <c r="DS209" s="1468"/>
      <c r="DT209" s="1468"/>
      <c r="DU209" s="1468"/>
      <c r="DV209" s="1468"/>
      <c r="DW209" s="1468">
        <f t="shared" si="384"/>
        <v>0</v>
      </c>
      <c r="DX209" s="1468">
        <f t="shared" si="384"/>
        <v>0</v>
      </c>
    </row>
    <row r="210" spans="1:130" ht="31.9" customHeight="1" x14ac:dyDescent="0.25">
      <c r="A210" s="673" t="s">
        <v>2346</v>
      </c>
      <c r="P210" s="1188"/>
      <c r="AL210" s="1189"/>
      <c r="AM210" s="1189"/>
      <c r="AP210" s="1188"/>
      <c r="AR210" s="1187"/>
      <c r="AS210" s="1187"/>
      <c r="AT210" s="1187"/>
      <c r="AU210" s="1187"/>
      <c r="AV210" s="1187"/>
      <c r="AW210" s="1187"/>
      <c r="AX210" s="1187"/>
      <c r="AY210" s="1187"/>
      <c r="AZ210" s="1187"/>
      <c r="BA210" s="1187"/>
      <c r="BB210" s="1187"/>
      <c r="BC210" s="1187"/>
      <c r="BD210" s="1187"/>
      <c r="BE210" s="1187"/>
      <c r="BF210" s="1187"/>
      <c r="BG210" s="1187"/>
    </row>
    <row r="211" spans="1:130" ht="25.15" customHeight="1" x14ac:dyDescent="0.25">
      <c r="A211" s="9582" t="s">
        <v>1804</v>
      </c>
      <c r="B211" s="9585" t="s">
        <v>24</v>
      </c>
      <c r="C211" s="9585"/>
      <c r="D211" s="9585" t="s">
        <v>538</v>
      </c>
      <c r="E211" s="9585"/>
      <c r="F211" s="9585"/>
      <c r="G211" s="9585"/>
      <c r="H211" s="9585"/>
      <c r="I211" s="9585"/>
      <c r="J211" s="9585"/>
      <c r="K211" s="9585"/>
      <c r="L211" s="9585"/>
      <c r="M211" s="9585"/>
      <c r="N211" s="9585"/>
      <c r="O211" s="9585"/>
      <c r="P211" s="9585"/>
      <c r="Q211" s="9585"/>
      <c r="R211" s="9585"/>
      <c r="S211" s="9585"/>
      <c r="T211" s="9585"/>
      <c r="U211" s="9585"/>
      <c r="V211" s="9585"/>
      <c r="W211" s="9585"/>
      <c r="X211" s="9585"/>
      <c r="Y211" s="9585"/>
      <c r="Z211" s="9585"/>
      <c r="AA211" s="9585"/>
      <c r="AB211" s="9585"/>
      <c r="AC211" s="9585"/>
      <c r="AD211" s="9585"/>
      <c r="AE211" s="9585"/>
      <c r="AF211" s="9585"/>
      <c r="AG211" s="9585"/>
      <c r="AH211" s="9585"/>
      <c r="AI211" s="9585"/>
      <c r="AJ211" s="9585"/>
      <c r="AK211" s="9586"/>
      <c r="AL211" s="9580" t="s">
        <v>1779</v>
      </c>
      <c r="AM211" s="9587"/>
      <c r="AN211" s="9528" t="s">
        <v>711</v>
      </c>
      <c r="AO211" s="8220"/>
      <c r="AP211" s="9588" t="s">
        <v>360</v>
      </c>
      <c r="AQ211" s="9588" t="s">
        <v>359</v>
      </c>
      <c r="AR211" s="1187"/>
      <c r="AS211" s="1187"/>
      <c r="AT211" s="1187"/>
      <c r="AU211" s="1187"/>
      <c r="AV211" s="1187"/>
      <c r="AW211" s="1187"/>
      <c r="AX211" s="1187"/>
      <c r="AY211" s="1187"/>
      <c r="AZ211" s="1187"/>
      <c r="BA211" s="1187"/>
      <c r="BB211" s="1187"/>
      <c r="BC211" s="1187"/>
      <c r="BD211" s="1187"/>
      <c r="BE211" s="1187"/>
      <c r="BF211" s="1187"/>
      <c r="BG211" s="1187"/>
    </row>
    <row r="212" spans="1:130" ht="16.149999999999999" customHeight="1" x14ac:dyDescent="0.25">
      <c r="A212" s="9583"/>
      <c r="B212" s="9585"/>
      <c r="C212" s="9585"/>
      <c r="D212" s="9585" t="s">
        <v>1414</v>
      </c>
      <c r="E212" s="9585"/>
      <c r="F212" s="9585" t="s">
        <v>1413</v>
      </c>
      <c r="G212" s="9585"/>
      <c r="H212" s="9585" t="s">
        <v>32</v>
      </c>
      <c r="I212" s="9585"/>
      <c r="J212" s="9585" t="s">
        <v>33</v>
      </c>
      <c r="K212" s="9585"/>
      <c r="L212" s="9585" t="s">
        <v>40</v>
      </c>
      <c r="M212" s="9585"/>
      <c r="N212" s="9585" t="s">
        <v>115</v>
      </c>
      <c r="O212" s="9585"/>
      <c r="P212" s="9585" t="s">
        <v>116</v>
      </c>
      <c r="Q212" s="9585"/>
      <c r="R212" s="9585" t="s">
        <v>117</v>
      </c>
      <c r="S212" s="9585"/>
      <c r="T212" s="9585" t="s">
        <v>118</v>
      </c>
      <c r="U212" s="9585"/>
      <c r="V212" s="9585" t="s">
        <v>119</v>
      </c>
      <c r="W212" s="9585"/>
      <c r="X212" s="9585" t="s">
        <v>120</v>
      </c>
      <c r="Y212" s="9585"/>
      <c r="Z212" s="9585" t="s">
        <v>1412</v>
      </c>
      <c r="AA212" s="9585"/>
      <c r="AB212" s="9585" t="s">
        <v>1404</v>
      </c>
      <c r="AC212" s="9585"/>
      <c r="AD212" s="9585" t="s">
        <v>1395</v>
      </c>
      <c r="AE212" s="9585"/>
      <c r="AF212" s="9585" t="s">
        <v>1394</v>
      </c>
      <c r="AG212" s="9585"/>
      <c r="AH212" s="9585" t="s">
        <v>1393</v>
      </c>
      <c r="AI212" s="9585"/>
      <c r="AJ212" s="9585" t="s">
        <v>1403</v>
      </c>
      <c r="AK212" s="9586"/>
      <c r="AL212" s="9591" t="s">
        <v>17</v>
      </c>
      <c r="AM212" s="9565" t="s">
        <v>18</v>
      </c>
      <c r="AN212" s="9537" t="s">
        <v>356</v>
      </c>
      <c r="AO212" s="8151" t="s">
        <v>357</v>
      </c>
      <c r="AP212" s="9588"/>
      <c r="AQ212" s="9588"/>
      <c r="AR212" s="1187"/>
      <c r="AS212" s="1187"/>
      <c r="AT212" s="1187"/>
      <c r="AU212" s="1187"/>
      <c r="AV212" s="1187"/>
      <c r="AW212" s="1187"/>
      <c r="AX212" s="1187"/>
      <c r="AY212" s="1187"/>
      <c r="AZ212" s="1187"/>
      <c r="BA212" s="1187"/>
      <c r="BB212" s="1187"/>
      <c r="BC212" s="1187"/>
      <c r="BD212" s="1187"/>
      <c r="BE212" s="1187"/>
      <c r="BF212" s="1187"/>
      <c r="BG212" s="1187"/>
    </row>
    <row r="213" spans="1:130" ht="16.149999999999999" customHeight="1" x14ac:dyDescent="0.25">
      <c r="A213" s="9584"/>
      <c r="B213" s="1190" t="s">
        <v>1780</v>
      </c>
      <c r="C213" s="2193" t="s">
        <v>1781</v>
      </c>
      <c r="D213" s="1191" t="s">
        <v>1780</v>
      </c>
      <c r="E213" s="2191" t="s">
        <v>1781</v>
      </c>
      <c r="F213" s="1191" t="s">
        <v>1780</v>
      </c>
      <c r="G213" s="2191" t="s">
        <v>1781</v>
      </c>
      <c r="H213" s="1191" t="s">
        <v>1780</v>
      </c>
      <c r="I213" s="2191" t="s">
        <v>1781</v>
      </c>
      <c r="J213" s="1191" t="s">
        <v>1780</v>
      </c>
      <c r="K213" s="2191" t="s">
        <v>1781</v>
      </c>
      <c r="L213" s="1191" t="s">
        <v>1780</v>
      </c>
      <c r="M213" s="2191" t="s">
        <v>1781</v>
      </c>
      <c r="N213" s="1191" t="s">
        <v>1780</v>
      </c>
      <c r="O213" s="2191" t="s">
        <v>1781</v>
      </c>
      <c r="P213" s="1191" t="s">
        <v>1780</v>
      </c>
      <c r="Q213" s="2191" t="s">
        <v>1781</v>
      </c>
      <c r="R213" s="1191" t="s">
        <v>1780</v>
      </c>
      <c r="S213" s="2191" t="s">
        <v>1781</v>
      </c>
      <c r="T213" s="1191" t="s">
        <v>1780</v>
      </c>
      <c r="U213" s="2191" t="s">
        <v>1781</v>
      </c>
      <c r="V213" s="1191" t="s">
        <v>1780</v>
      </c>
      <c r="W213" s="2191" t="s">
        <v>1781</v>
      </c>
      <c r="X213" s="1191" t="s">
        <v>1780</v>
      </c>
      <c r="Y213" s="2191" t="s">
        <v>1781</v>
      </c>
      <c r="Z213" s="1191" t="s">
        <v>1780</v>
      </c>
      <c r="AA213" s="2191" t="s">
        <v>1781</v>
      </c>
      <c r="AB213" s="1191" t="s">
        <v>1780</v>
      </c>
      <c r="AC213" s="2191" t="s">
        <v>1781</v>
      </c>
      <c r="AD213" s="1191" t="s">
        <v>1780</v>
      </c>
      <c r="AE213" s="2191" t="s">
        <v>1781</v>
      </c>
      <c r="AF213" s="1191" t="s">
        <v>1780</v>
      </c>
      <c r="AG213" s="2191" t="s">
        <v>1781</v>
      </c>
      <c r="AH213" s="1191" t="s">
        <v>1780</v>
      </c>
      <c r="AI213" s="2191" t="s">
        <v>1781</v>
      </c>
      <c r="AJ213" s="1191" t="s">
        <v>1780</v>
      </c>
      <c r="AK213" s="2192" t="s">
        <v>1781</v>
      </c>
      <c r="AL213" s="9591"/>
      <c r="AM213" s="9565"/>
      <c r="AN213" s="9538"/>
      <c r="AO213" s="8152"/>
      <c r="AP213" s="9588"/>
      <c r="AQ213" s="9588"/>
      <c r="AR213" s="1187"/>
      <c r="AS213" s="1187"/>
      <c r="AT213" s="1187"/>
      <c r="AU213" s="1187"/>
      <c r="AV213" s="1187"/>
      <c r="AW213" s="1187"/>
      <c r="AX213" s="1187"/>
      <c r="AY213" s="1187"/>
      <c r="AZ213" s="1187"/>
      <c r="BA213" s="1187"/>
      <c r="BB213" s="1187"/>
      <c r="BC213" s="1187"/>
      <c r="BD213" s="1187"/>
      <c r="BE213" s="1187"/>
      <c r="BF213" s="1187"/>
      <c r="BG213" s="1187"/>
    </row>
    <row r="214" spans="1:130" ht="16.149999999999999" customHeight="1" x14ac:dyDescent="0.25">
      <c r="A214" s="2188" t="s">
        <v>85</v>
      </c>
      <c r="B214" s="2036">
        <f>SUM(D214+F214+H214+J214+L214+N214+P214+R214+T214+V214+X214+Z214+AB214+AD214+AF214+AH214+AJ214)</f>
        <v>0</v>
      </c>
      <c r="C214" s="2037">
        <f t="shared" ref="B214:C220" si="386">SUM(E214+G214+I214+K214+M214+O214+Q214+S214+U214+W214+Y214+AA214+AC214+AE214+AG214+AI214+AK214)</f>
        <v>0</v>
      </c>
      <c r="D214" s="1132"/>
      <c r="E214" s="1136"/>
      <c r="F214" s="1135"/>
      <c r="G214" s="1136"/>
      <c r="H214" s="1109"/>
      <c r="I214" s="1130"/>
      <c r="J214" s="1109"/>
      <c r="K214" s="1130"/>
      <c r="L214" s="1109"/>
      <c r="M214" s="1130"/>
      <c r="N214" s="1109"/>
      <c r="O214" s="1130"/>
      <c r="P214" s="1109"/>
      <c r="Q214" s="1130"/>
      <c r="R214" s="1109"/>
      <c r="S214" s="1130"/>
      <c r="T214" s="1109"/>
      <c r="U214" s="1130"/>
      <c r="V214" s="1109"/>
      <c r="W214" s="1130"/>
      <c r="X214" s="1109"/>
      <c r="Y214" s="1130"/>
      <c r="Z214" s="1135"/>
      <c r="AA214" s="1136"/>
      <c r="AB214" s="1135"/>
      <c r="AC214" s="1136"/>
      <c r="AD214" s="1135"/>
      <c r="AE214" s="1136"/>
      <c r="AF214" s="1135"/>
      <c r="AG214" s="1136"/>
      <c r="AH214" s="1135"/>
      <c r="AI214" s="1136"/>
      <c r="AJ214" s="1135"/>
      <c r="AK214" s="1137"/>
      <c r="AL214" s="1132"/>
      <c r="AM214" s="696"/>
      <c r="AN214" s="1182"/>
      <c r="AO214" s="1110"/>
      <c r="AP214" s="1109"/>
      <c r="AQ214" s="1192"/>
      <c r="AR214" s="1469"/>
      <c r="AS214" s="1193"/>
      <c r="AT214" s="1193"/>
      <c r="AU214" s="1193"/>
      <c r="AV214" s="1193"/>
      <c r="AW214" s="1193"/>
      <c r="AX214" s="1193"/>
      <c r="AY214" s="1193"/>
      <c r="AZ214" s="1193"/>
      <c r="BA214" s="1193"/>
      <c r="BB214" s="1193"/>
      <c r="BC214" s="1193"/>
      <c r="BD214" s="1187"/>
      <c r="BE214" s="1187"/>
      <c r="BF214" s="1187"/>
      <c r="BG214" s="1187"/>
      <c r="CA214" s="2234" t="str">
        <f>IF(B214&lt;   C214,"* El total de Reactivos NO DEBE ser superior al total de Procesados. ","")</f>
        <v/>
      </c>
      <c r="CB214" s="2234" t="str">
        <f>IF(B214&lt;&gt; AL214+ AM214,"* La suma de las columnas Sexo DEBE SER IGUAL a los Procesados. ","")</f>
        <v/>
      </c>
      <c r="CC214" s="2234" t="str">
        <f>IF(B214&lt;  AN214+ AO214,"* La suma de las columna Trans NO DEBE ser superior al total de Procesados. ","")</f>
        <v/>
      </c>
      <c r="CD214" s="2234" t="str">
        <f>IF(B214&lt;  AP214,"* La columna Pueblos Originarios NO DEBE ser superior al total de Procesados. ","")</f>
        <v/>
      </c>
      <c r="CE214" s="2234" t="str">
        <f>IF(B214&lt;  AQ214,"* La columna Migrantes NO DEBE ser superior al total de Procesados. ","")</f>
        <v/>
      </c>
      <c r="CF214" s="2234" t="str">
        <f>IF(D214&lt;E214,"* Los exámenes Reactivos de 0 a 4 años años NO DEBEN ser mayor a los Exámenes Procesados de la misma edad. ","")</f>
        <v/>
      </c>
      <c r="CG214" s="2234" t="str">
        <f>IF(F214&lt;G214,"* Los exámenes Reactivos de 5 a 9 años años NO DEBEN ser mayor a los Exámenes Procesados de la misma edad. ","")</f>
        <v/>
      </c>
      <c r="CH214" s="2234" t="str">
        <f>IF(H214&lt;I214,"* Los exámenes Reactivos de 10 a 14 años años NO DEBEN ser mayor a los Exámenes Procesados de la misma edad. ","")</f>
        <v/>
      </c>
      <c r="CI214" s="2234" t="str">
        <f>IF(J214&lt;K214,"* Los exámenes Reactivos de 15 a 19 años años NO DEBEN ser mayor a los Exámenes Procesados de la misma edad. ","")</f>
        <v/>
      </c>
      <c r="CJ214" s="2234" t="str">
        <f>IF(L214&lt;M214,"* Los exámenes Reactivos de 20 a 24 años años NO DEBEN ser mayor a los Exámenes Procesados de la misma edad. ","")</f>
        <v/>
      </c>
      <c r="CK214" s="2234" t="str">
        <f>IF(N214&lt;O214,"* Los exámenes Reactivos de 25 a 29 años años NO DEBEN ser mayor a los Exámenes Procesados de la misma edad. ","")</f>
        <v/>
      </c>
      <c r="CL214" s="2234" t="str">
        <f>IF(P214&lt;Q214,"* Los exámenes Reactivos de 30 a 34 años años NO DEBEN ser mayor a los Exámenes Procesados de la misma edad. ","")</f>
        <v/>
      </c>
      <c r="CM214" s="2234" t="str">
        <f>IF(R214&lt;S214,"* Los exámenes Reactivos de 35 a 39 años años NO DEBEN ser mayor a los Exámenes Procesados de la misma edad. ","")</f>
        <v/>
      </c>
      <c r="CN214" s="2234" t="str">
        <f>IF(T214&lt;U214,"* Los exámenes Reactivos de 40 a 44 años años NO DEBEN ser mayor a los Exámenes Procesados de la misma edad. ","")</f>
        <v/>
      </c>
      <c r="CO214" s="2234" t="str">
        <f>IF(V214&lt;W214,"* Los exámenes Reactivos de 45 a 49 años años NO DEBEN ser mayor a los Exámenes Procesados de la misma edad. ","")</f>
        <v/>
      </c>
      <c r="CP214" s="2234" t="str">
        <f>IF(X214&lt;Y214,"* Los exámenes Reactivos de 50 a 54 años años NO DEBEN ser mayor a los Exámenes Procesados de la misma edad. ","")</f>
        <v/>
      </c>
      <c r="CQ214" s="2234" t="str">
        <f>IF(Z214&lt;AA214,"* Los exámenes Reactivos de 55 a 59 años años NO DEBEN ser mayor a los Exámenes Procesados de la misma edad. ","")</f>
        <v/>
      </c>
      <c r="CR214" s="2234" t="str">
        <f>IF(AB214&lt;AC214,"* Los exámenes Reactivos de 60 a 64 años años NO DEBEN ser mayor a los Exámenes Procesados de la misma edad. ","")</f>
        <v/>
      </c>
      <c r="CS214" s="2234" t="str">
        <f>IF(AD214&lt;AE214,"* Los exámenes Reactivos de 65 a 69 años años NO DEBEN ser mayor a los Exámenes Procesados de la misma edad. ","")</f>
        <v/>
      </c>
      <c r="CT214" s="2234" t="str">
        <f>IF(AF214&lt;AG214,"* Los exámenes Reactivos de 70 a 74 años años NO DEBEN ser mayor a los Exámenes Procesados de la misma edad. ","")</f>
        <v/>
      </c>
      <c r="CU214" s="2234" t="str">
        <f>IF(AH214&lt;AI214,"* Los exámenes Reactivos de 75 a 79 años años NO DEBEN ser mayor a los Exámenes Procesados de la misma edad. ","")</f>
        <v/>
      </c>
      <c r="CV214" s="2234" t="str">
        <f>IF(AJ214&lt;AK214,"* Los exámenes Reactivos de 80 y más años años NO DEBEN ser mayor a los Exámenes Procesados de la misma edad. ","")</f>
        <v/>
      </c>
      <c r="DA214" s="1465">
        <f>IF(B214&lt;   C214,1,0)</f>
        <v>0</v>
      </c>
      <c r="DB214" s="1465">
        <f>IF(B214&lt;&gt; AL214+AM214,1,0)</f>
        <v>0</v>
      </c>
      <c r="DC214" s="1465">
        <f>IF(B214&lt;  AN214+AO214,1,0)</f>
        <v>0</v>
      </c>
      <c r="DD214" s="1465">
        <f>IF(B214&lt;  AP214,1,0)</f>
        <v>0</v>
      </c>
      <c r="DE214" s="1465">
        <f>IF(B214&lt;  AQ214,1,0)</f>
        <v>0</v>
      </c>
      <c r="DF214" s="1465">
        <f>IF(D214&lt;E214,1,0)</f>
        <v>0</v>
      </c>
      <c r="DG214" s="1465">
        <f>IF(F214&lt;G214,1,0)</f>
        <v>0</v>
      </c>
      <c r="DH214" s="1465">
        <f>IF(H214&lt;I214,1,0)</f>
        <v>0</v>
      </c>
      <c r="DI214" s="1465">
        <f>IF(J214&lt;K214,1,0)</f>
        <v>0</v>
      </c>
      <c r="DJ214" s="1465">
        <f>IF(L214&lt;M214,1,0)</f>
        <v>0</v>
      </c>
      <c r="DK214" s="1465">
        <f>IF(N214&lt;O214,1,0)</f>
        <v>0</v>
      </c>
      <c r="DL214" s="1465">
        <f>IF(P214&lt;Q214,1,0)</f>
        <v>0</v>
      </c>
      <c r="DM214" s="1465">
        <f>IF(R214&lt;S214,1,0)</f>
        <v>0</v>
      </c>
      <c r="DN214" s="1465">
        <f>IF(T214&lt;U214,1,0)</f>
        <v>0</v>
      </c>
      <c r="DO214" s="1465">
        <f>IF(V214&lt;W214,1,0)</f>
        <v>0</v>
      </c>
      <c r="DP214" s="1465">
        <f>IF(X214&lt;Y214,1,0)</f>
        <v>0</v>
      </c>
      <c r="DQ214" s="1465">
        <f>IF(Z214&lt;AA214,1,0)</f>
        <v>0</v>
      </c>
      <c r="DR214" s="1465">
        <f>IF(AB214&lt;AC214,1,0)</f>
        <v>0</v>
      </c>
      <c r="DS214" s="1465">
        <f>IF(AD214&lt;AE214,1,0)</f>
        <v>0</v>
      </c>
      <c r="DT214" s="1465">
        <f>IF(AF214&lt;AG214,1,0)</f>
        <v>0</v>
      </c>
      <c r="DU214" s="1465">
        <f>IF(AH214&lt;AI214,1,0)</f>
        <v>0</v>
      </c>
      <c r="DV214" s="1465">
        <f>IF(AJ214&lt;AK214,1,0)</f>
        <v>0</v>
      </c>
      <c r="DZ214" s="1465">
        <v>0</v>
      </c>
    </row>
    <row r="215" spans="1:130" ht="16.149999999999999" customHeight="1" x14ac:dyDescent="0.25">
      <c r="A215" s="2188" t="s">
        <v>1839</v>
      </c>
      <c r="B215" s="2038">
        <f t="shared" si="386"/>
        <v>0</v>
      </c>
      <c r="C215" s="2039">
        <f t="shared" si="386"/>
        <v>0</v>
      </c>
      <c r="D215" s="1132"/>
      <c r="E215" s="1136"/>
      <c r="F215" s="1135"/>
      <c r="G215" s="1136"/>
      <c r="H215" s="1135"/>
      <c r="I215" s="1136"/>
      <c r="J215" s="1109"/>
      <c r="K215" s="1130"/>
      <c r="L215" s="1109"/>
      <c r="M215" s="1130"/>
      <c r="N215" s="1109"/>
      <c r="O215" s="1130"/>
      <c r="P215" s="1109"/>
      <c r="Q215" s="1130"/>
      <c r="R215" s="1109"/>
      <c r="S215" s="1130"/>
      <c r="T215" s="1109"/>
      <c r="U215" s="1130"/>
      <c r="V215" s="1109"/>
      <c r="W215" s="1130"/>
      <c r="X215" s="1109"/>
      <c r="Y215" s="1130"/>
      <c r="Z215" s="1109"/>
      <c r="AA215" s="1130"/>
      <c r="AB215" s="1109"/>
      <c r="AC215" s="1130"/>
      <c r="AD215" s="1109"/>
      <c r="AE215" s="1130"/>
      <c r="AF215" s="1109"/>
      <c r="AG215" s="1130"/>
      <c r="AH215" s="1109"/>
      <c r="AI215" s="1130"/>
      <c r="AJ215" s="1109"/>
      <c r="AK215" s="1131"/>
      <c r="AL215" s="1129"/>
      <c r="AM215" s="1131"/>
      <c r="AN215" s="1129"/>
      <c r="AO215" s="1110"/>
      <c r="AP215" s="1109"/>
      <c r="AQ215" s="1192"/>
      <c r="AR215" s="1492"/>
      <c r="AS215" s="1193"/>
      <c r="AT215" s="1193"/>
      <c r="AU215" s="1193"/>
      <c r="AV215" s="1193"/>
      <c r="AW215" s="1193"/>
      <c r="AX215" s="1193"/>
      <c r="AY215" s="1193"/>
      <c r="AZ215" s="1193"/>
      <c r="BA215" s="1193"/>
      <c r="BB215" s="1193"/>
      <c r="BC215" s="1193"/>
      <c r="BD215" s="1187"/>
      <c r="BE215" s="1187"/>
      <c r="BF215" s="1187"/>
      <c r="BG215" s="1187"/>
      <c r="CA215" s="2234" t="str">
        <f>IF(B215&lt;   C215,"* El total de Reactivos NO DEBE ser superior al total de Procesados. ","")</f>
        <v/>
      </c>
      <c r="CB215" s="2234" t="str">
        <f>IF(B215&lt;&gt; AL215+ AM215,"* La suma de las columnas Sexo DEBE SER IGUAL a los Procesados. ","")</f>
        <v/>
      </c>
      <c r="CC215" s="2234" t="str">
        <f>IF(B215&lt;  AN215+ AO215,"* La suma de las columna Trans NO DEBE ser superior al total de Procesados. ","")</f>
        <v/>
      </c>
      <c r="CD215" s="2234" t="str">
        <f>IF(B215&lt;  AP215,"* La columna Pueblos Originarios NO DEBE ser superior al total de Procesados. ","")</f>
        <v/>
      </c>
      <c r="CE215" s="2234" t="str">
        <f>IF(B215&lt;  AQ215,"* La columna Migrantes NO DEBE ser superior al total de Procesados. ","")</f>
        <v/>
      </c>
      <c r="CF215" s="2234" t="str">
        <f>IF(D215&lt;E215,"* Los exámenes Reactivos de 0 a 4 años años NO DEBEN ser mayor a los Exámenes Procesados de la misma edad. ","")</f>
        <v/>
      </c>
      <c r="CG215" s="2234" t="str">
        <f>IF(F215&lt;G215,"* Los exámenes Reactivos de 5 a 9 años años NO DEBEN ser mayor a los Exámenes Procesados de la misma edad. ","")</f>
        <v/>
      </c>
      <c r="CH215" s="2234" t="str">
        <f>IF(H215&lt;I215,"* Los exámenes Reactivos de 10 a 14 años años NO DEBEN ser mayor a los Exámenes Procesados de la misma edad. ","")</f>
        <v/>
      </c>
      <c r="CI215" s="2234" t="str">
        <f>IF(J215&lt;K215,"* Los exámenes Reactivos de 15 a 19 años años NO DEBEN ser mayor a los Exámenes Procesados de la misma edad. ","")</f>
        <v/>
      </c>
      <c r="CJ215" s="2234" t="str">
        <f>IF(L215&lt;M215,"* Los exámenes Reactivos de 20 a 24 años años NO DEBEN ser mayor a los Exámenes Procesados de la misma edad. ","")</f>
        <v/>
      </c>
      <c r="CK215" s="2234" t="str">
        <f>IF(N215&lt;O215,"* Los exámenes Reactivos de 25 a 29 años años NO DEBEN ser mayor a los Exámenes Procesados de la misma edad. ","")</f>
        <v/>
      </c>
      <c r="CL215" s="2234" t="str">
        <f>IF(P215&lt;Q215,"* Los exámenes Reactivos de 30 a 34 años años NO DEBEN ser mayor a los Exámenes Procesados de la misma edad. ","")</f>
        <v/>
      </c>
      <c r="CM215" s="2234" t="str">
        <f>IF(R215&lt;S215,"* Los exámenes Reactivos de 35 a 39 años años NO DEBEN ser mayor a los Exámenes Procesados de la misma edad. ","")</f>
        <v/>
      </c>
      <c r="CN215" s="2234" t="str">
        <f>IF(T215&lt;U215,"* Los exámenes Reactivos de 40 a 44 años años NO DEBEN ser mayor a los Exámenes Procesados de la misma edad. ","")</f>
        <v/>
      </c>
      <c r="CO215" s="2234" t="str">
        <f>IF(V215&lt;W215,"* Los exámenes Reactivos de 45 a 49 años años NO DEBEN ser mayor a los Exámenes Procesados de la misma edad. ","")</f>
        <v/>
      </c>
      <c r="CP215" s="2234" t="str">
        <f>IF(X215&lt;Y215,"* Los exámenes Reactivos de 50 a 54 años años NO DEBEN ser mayor a los Exámenes Procesados de la misma edad. ","")</f>
        <v/>
      </c>
      <c r="CQ215" s="2234" t="str">
        <f>IF(Z215&lt;AA215,"* Los exámenes Reactivos de 55 a 59 años años NO DEBEN ser mayor a los Exámenes Procesados de la misma edad. ","")</f>
        <v/>
      </c>
      <c r="CR215" s="2234" t="str">
        <f>IF(AB215&lt;AC215,"* Los exámenes Reactivos de 60 a 64 años años NO DEBEN ser mayor a los Exámenes Procesados de la misma edad. ","")</f>
        <v/>
      </c>
      <c r="CS215" s="2234" t="str">
        <f>IF(AD215&lt;AE215,"* Los exámenes Reactivos de 65 a 69 años años NO DEBEN ser mayor a los Exámenes Procesados de la misma edad. ","")</f>
        <v/>
      </c>
      <c r="CT215" s="2234" t="str">
        <f>IF(AF215&lt;AG215,"* Los exámenes Reactivos de 70 a 74 años años NO DEBEN ser mayor a los Exámenes Procesados de la misma edad. ","")</f>
        <v/>
      </c>
      <c r="CU215" s="2234" t="str">
        <f>IF(AH215&lt;AI215,"* Los exámenes Reactivos de 75 a 79 años años NO DEBEN ser mayor a los Exámenes Procesados de la misma edad. ","")</f>
        <v/>
      </c>
      <c r="CV215" s="2234" t="str">
        <f>IF(AJ215&lt;AK215,"* Los exámenes Reactivos de 80 y más años años NO DEBEN ser mayor a los Exámenes Procesados de la misma edad. ","")</f>
        <v/>
      </c>
      <c r="DA215" s="1465">
        <f>IF(B215&lt;   C215,1,0)</f>
        <v>0</v>
      </c>
      <c r="DB215" s="1465">
        <f>IF(B215&lt;&gt; AL215+AM215,1,0)</f>
        <v>0</v>
      </c>
      <c r="DC215" s="1465">
        <f>IF(B215&lt;  AN215+AO215,1,0)</f>
        <v>0</v>
      </c>
      <c r="DD215" s="1465">
        <f>IF(B215&lt;  AP215,1,0)</f>
        <v>0</v>
      </c>
      <c r="DE215" s="1465">
        <f>IF(B215&lt;  AQ215,1,0)</f>
        <v>0</v>
      </c>
      <c r="DF215" s="1465">
        <f>IF(D215&lt;E215,1,0)</f>
        <v>0</v>
      </c>
      <c r="DG215" s="1465">
        <f>IF(F215&lt;G215,1,0)</f>
        <v>0</v>
      </c>
      <c r="DH215" s="1465">
        <f>IF(H215&lt;I215,1,0)</f>
        <v>0</v>
      </c>
      <c r="DI215" s="1465">
        <f>IF(J215&lt;K215,1,0)</f>
        <v>0</v>
      </c>
      <c r="DJ215" s="1465">
        <f>IF(L215&lt;M215,1,0)</f>
        <v>0</v>
      </c>
      <c r="DK215" s="1465">
        <f>IF(N215&lt;O215,1,0)</f>
        <v>0</v>
      </c>
      <c r="DL215" s="1465">
        <f>IF(P215&lt;Q215,1,0)</f>
        <v>0</v>
      </c>
      <c r="DM215" s="1465">
        <f>IF(R215&lt;S215,1,0)</f>
        <v>0</v>
      </c>
      <c r="DN215" s="1465">
        <f>IF(T215&lt;U215,1,0)</f>
        <v>0</v>
      </c>
      <c r="DO215" s="1465">
        <f>IF(V215&lt;W215,1,0)</f>
        <v>0</v>
      </c>
      <c r="DP215" s="1465">
        <f>IF(X215&lt;Y215,1,0)</f>
        <v>0</v>
      </c>
      <c r="DQ215" s="1465">
        <f>IF(Z215&lt;AA215,1,0)</f>
        <v>0</v>
      </c>
      <c r="DR215" s="1465">
        <f>IF(AB215&lt;AC215,1,0)</f>
        <v>0</v>
      </c>
      <c r="DS215" s="1465">
        <f>IF(AD215&lt;AE215,1,0)</f>
        <v>0</v>
      </c>
      <c r="DT215" s="1465">
        <f>IF(AF215&lt;AG215,1,0)</f>
        <v>0</v>
      </c>
      <c r="DU215" s="1465">
        <f>IF(AH215&lt;AI215,1,0)</f>
        <v>0</v>
      </c>
      <c r="DV215" s="1465">
        <f>IF(AJ215&lt;AK215,1,0)</f>
        <v>0</v>
      </c>
      <c r="DZ215" s="1465">
        <v>0</v>
      </c>
    </row>
    <row r="216" spans="1:130" ht="16.149999999999999" customHeight="1" x14ac:dyDescent="0.25">
      <c r="A216" s="2188" t="s">
        <v>1840</v>
      </c>
      <c r="B216" s="2038">
        <f t="shared" si="386"/>
        <v>0</v>
      </c>
      <c r="C216" s="2039">
        <f t="shared" si="386"/>
        <v>0</v>
      </c>
      <c r="D216" s="1129"/>
      <c r="E216" s="1130"/>
      <c r="F216" s="1109"/>
      <c r="G216" s="1130"/>
      <c r="H216" s="1109"/>
      <c r="I216" s="1130"/>
      <c r="J216" s="1109"/>
      <c r="K216" s="1130"/>
      <c r="L216" s="1109"/>
      <c r="M216" s="1130"/>
      <c r="N216" s="1109"/>
      <c r="O216" s="1130"/>
      <c r="P216" s="1109"/>
      <c r="Q216" s="1130"/>
      <c r="R216" s="1109"/>
      <c r="S216" s="1130"/>
      <c r="T216" s="1109"/>
      <c r="U216" s="1130"/>
      <c r="V216" s="1109"/>
      <c r="W216" s="1130"/>
      <c r="X216" s="1109"/>
      <c r="Y216" s="1130"/>
      <c r="Z216" s="1109"/>
      <c r="AA216" s="1130"/>
      <c r="AB216" s="1109"/>
      <c r="AC216" s="1130"/>
      <c r="AD216" s="1109"/>
      <c r="AE216" s="1130"/>
      <c r="AF216" s="1109"/>
      <c r="AG216" s="1130"/>
      <c r="AH216" s="1109"/>
      <c r="AI216" s="1130"/>
      <c r="AJ216" s="1109"/>
      <c r="AK216" s="1131"/>
      <c r="AL216" s="1129"/>
      <c r="AM216" s="1131"/>
      <c r="AN216" s="1129"/>
      <c r="AO216" s="1110"/>
      <c r="AP216" s="1109"/>
      <c r="AQ216" s="1192"/>
      <c r="AR216" s="1492"/>
      <c r="AS216" s="1193"/>
      <c r="AT216" s="1193"/>
      <c r="AU216" s="1193"/>
      <c r="AV216" s="1193"/>
      <c r="AW216" s="1193"/>
      <c r="AX216" s="1193"/>
      <c r="AY216" s="1193"/>
      <c r="AZ216" s="1193"/>
      <c r="BA216" s="1193"/>
      <c r="BB216" s="1193"/>
      <c r="BC216" s="1193"/>
      <c r="BD216" s="1187"/>
      <c r="BE216" s="1187"/>
      <c r="BF216" s="1187"/>
      <c r="BG216" s="1187"/>
      <c r="CA216" s="2234" t="str">
        <f t="shared" ref="CA216:CA220" si="387">IF(B216&lt;   C216,"* El total de Reactivos NO DEBE ser superior al total de Procesados. ","")</f>
        <v/>
      </c>
      <c r="CB216" s="2234" t="str">
        <f t="shared" ref="CB216:CB220" si="388">IF(B216&lt;&gt; AL216+ AM216,"* La suma de las columnas Sexo DEBE SER IGUAL a los Procesados. ","")</f>
        <v/>
      </c>
      <c r="CC216" s="2234" t="str">
        <f t="shared" ref="CC216:CC220" si="389">IF(B216&lt;  AN216+ AO216,"* La suma de las columna Trans NO DEBE ser superior al total de Procesados. ","")</f>
        <v/>
      </c>
      <c r="CD216" s="2234" t="str">
        <f t="shared" ref="CD216:CD220" si="390">IF(B216&lt;  AP216,"* La columna Pueblos Originarios NO DEBE ser superior al total de Procesados. ","")</f>
        <v/>
      </c>
      <c r="CE216" s="2234" t="str">
        <f t="shared" ref="CE216:CE220" si="391">IF(B216&lt;  AQ216,"* La columna Migrantes NO DEBE ser superior al total de Procesados. ","")</f>
        <v/>
      </c>
      <c r="CF216" s="2234" t="str">
        <f t="shared" ref="CF216:CF220" si="392">IF(D216&lt;E216,"* Los exámenes Reactivos de 0 a 4 años años NO DEBEN ser mayor a los Exámenes Procesados de la misma edad. ","")</f>
        <v/>
      </c>
      <c r="CG216" s="2234" t="str">
        <f t="shared" ref="CG216:CG220" si="393">IF(F216&lt;G216,"* Los exámenes Reactivos de 5 a 9 años años NO DEBEN ser mayor a los Exámenes Procesados de la misma edad. ","")</f>
        <v/>
      </c>
      <c r="CH216" s="2234" t="str">
        <f t="shared" ref="CH216:CH220" si="394">IF(H216&lt;I216,"* Los exámenes Reactivos de 10 a 14 años años NO DEBEN ser mayor a los Exámenes Procesados de la misma edad. ","")</f>
        <v/>
      </c>
      <c r="CI216" s="2234" t="str">
        <f t="shared" ref="CI216:CI220" si="395">IF(J216&lt;K216,"* Los exámenes Reactivos de 15 a 19 años años NO DEBEN ser mayor a los Exámenes Procesados de la misma edad. ","")</f>
        <v/>
      </c>
      <c r="CJ216" s="2234" t="str">
        <f t="shared" ref="CJ216:CJ220" si="396">IF(L216&lt;M216,"* Los exámenes Reactivos de 20 a 24 años años NO DEBEN ser mayor a los Exámenes Procesados de la misma edad. ","")</f>
        <v/>
      </c>
      <c r="CK216" s="2234" t="str">
        <f t="shared" ref="CK216:CK220" si="397">IF(N216&lt;O216,"* Los exámenes Reactivos de 25 a 29 años años NO DEBEN ser mayor a los Exámenes Procesados de la misma edad. ","")</f>
        <v/>
      </c>
      <c r="CL216" s="2234" t="str">
        <f t="shared" ref="CL216:CL220" si="398">IF(P216&lt;Q216,"* Los exámenes Reactivos de 30 a 34 años años NO DEBEN ser mayor a los Exámenes Procesados de la misma edad. ","")</f>
        <v/>
      </c>
      <c r="CM216" s="2234" t="str">
        <f t="shared" ref="CM216:CM220" si="399">IF(R216&lt;S216,"* Los exámenes Reactivos de 35 a 39 años años NO DEBEN ser mayor a los Exámenes Procesados de la misma edad. ","")</f>
        <v/>
      </c>
      <c r="CN216" s="2234" t="str">
        <f t="shared" ref="CN216:CN220" si="400">IF(T216&lt;U216,"* Los exámenes Reactivos de 40 a 44 años años NO DEBEN ser mayor a los Exámenes Procesados de la misma edad. ","")</f>
        <v/>
      </c>
      <c r="CO216" s="2234" t="str">
        <f t="shared" ref="CO216:CO220" si="401">IF(V216&lt;W216,"* Los exámenes Reactivos de 45 a 49 años años NO DEBEN ser mayor a los Exámenes Procesados de la misma edad. ","")</f>
        <v/>
      </c>
      <c r="CP216" s="2234" t="str">
        <f t="shared" ref="CP216:CP220" si="402">IF(X216&lt;Y216,"* Los exámenes Reactivos de 50 a 54 años años NO DEBEN ser mayor a los Exámenes Procesados de la misma edad. ","")</f>
        <v/>
      </c>
      <c r="CQ216" s="2234" t="str">
        <f t="shared" ref="CQ216:CQ220" si="403">IF(Z216&lt;AA216,"* Los exámenes Reactivos de 55 a 59 años años NO DEBEN ser mayor a los Exámenes Procesados de la misma edad. ","")</f>
        <v/>
      </c>
      <c r="CR216" s="2234" t="str">
        <f t="shared" ref="CR216:CR220" si="404">IF(AB216&lt;AC216,"* Los exámenes Reactivos de 60 a 64 años años NO DEBEN ser mayor a los Exámenes Procesados de la misma edad. ","")</f>
        <v/>
      </c>
      <c r="CS216" s="2234" t="str">
        <f t="shared" ref="CS216:CS220" si="405">IF(AD216&lt;AE216,"* Los exámenes Reactivos de 65 a 69 años años NO DEBEN ser mayor a los Exámenes Procesados de la misma edad. ","")</f>
        <v/>
      </c>
      <c r="CT216" s="2234" t="str">
        <f t="shared" ref="CT216:CT220" si="406">IF(AF216&lt;AG216,"* Los exámenes Reactivos de 70 a 74 años años NO DEBEN ser mayor a los Exámenes Procesados de la misma edad. ","")</f>
        <v/>
      </c>
      <c r="CU216" s="2234" t="str">
        <f t="shared" ref="CU216:CU220" si="407">IF(AH216&lt;AI216,"* Los exámenes Reactivos de 75 a 79 años años NO DEBEN ser mayor a los Exámenes Procesados de la misma edad. ","")</f>
        <v/>
      </c>
      <c r="CV216" s="2234" t="str">
        <f t="shared" ref="CV216:CV220" si="408">IF(AJ216&lt;AK216,"* Los exámenes Reactivos de 80 y más años años NO DEBEN ser mayor a los Exámenes Procesados de la misma edad. ","")</f>
        <v/>
      </c>
      <c r="DA216" s="1465">
        <f t="shared" ref="DA216:DA220" si="409">IF(B216&lt;   C216,1,0)</f>
        <v>0</v>
      </c>
      <c r="DB216" s="1465">
        <f t="shared" ref="DB216:DB220" si="410">IF(B216&lt;&gt; AL216+AM216,1,0)</f>
        <v>0</v>
      </c>
      <c r="DC216" s="1465">
        <f t="shared" ref="DC216:DC220" si="411">IF(B216&lt;  AN216+AO216,1,0)</f>
        <v>0</v>
      </c>
      <c r="DD216" s="1465">
        <f t="shared" ref="DD216:DD220" si="412">IF(B216&lt;  AP216,1,0)</f>
        <v>0</v>
      </c>
      <c r="DE216" s="1465">
        <f t="shared" ref="DE216:DE220" si="413">IF(B216&lt;  AQ216,1,0)</f>
        <v>0</v>
      </c>
      <c r="DF216" s="1465">
        <f t="shared" ref="DF216:DF220" si="414">IF(D216&lt;E216,1,0)</f>
        <v>0</v>
      </c>
      <c r="DG216" s="1465">
        <f t="shared" ref="DG216:DG220" si="415">IF(F216&lt;G216,1,0)</f>
        <v>0</v>
      </c>
      <c r="DH216" s="1465">
        <f t="shared" ref="DH216:DH220" si="416">IF(H216&lt;I216,1,0)</f>
        <v>0</v>
      </c>
      <c r="DI216" s="1465">
        <f t="shared" ref="DI216:DI220" si="417">IF(J216&lt;K216,1,0)</f>
        <v>0</v>
      </c>
      <c r="DJ216" s="1465">
        <f t="shared" ref="DJ216:DJ220" si="418">IF(L216&lt;M216,1,0)</f>
        <v>0</v>
      </c>
      <c r="DK216" s="1465">
        <f t="shared" ref="DK216:DK220" si="419">IF(N216&lt;O216,1,0)</f>
        <v>0</v>
      </c>
      <c r="DL216" s="1465">
        <f t="shared" ref="DL216:DL220" si="420">IF(P216&lt;Q216,1,0)</f>
        <v>0</v>
      </c>
      <c r="DM216" s="1465">
        <f t="shared" ref="DM216:DM220" si="421">IF(R216&lt;S216,1,0)</f>
        <v>0</v>
      </c>
      <c r="DN216" s="1465">
        <f t="shared" ref="DN216:DN220" si="422">IF(T216&lt;U216,1,0)</f>
        <v>0</v>
      </c>
      <c r="DO216" s="1465">
        <f t="shared" ref="DO216:DO220" si="423">IF(V216&lt;W216,1,0)</f>
        <v>0</v>
      </c>
      <c r="DP216" s="1465">
        <f t="shared" ref="DP216:DP220" si="424">IF(X216&lt;Y216,1,0)</f>
        <v>0</v>
      </c>
      <c r="DQ216" s="1465">
        <f t="shared" ref="DQ216:DQ220" si="425">IF(Z216&lt;AA216,1,0)</f>
        <v>0</v>
      </c>
      <c r="DR216" s="1465">
        <f t="shared" ref="DR216:DR220" si="426">IF(AB216&lt;AC216,1,0)</f>
        <v>0</v>
      </c>
      <c r="DS216" s="1465">
        <f t="shared" ref="DS216:DS220" si="427">IF(AD216&lt;AE216,1,0)</f>
        <v>0</v>
      </c>
      <c r="DT216" s="1465">
        <f t="shared" ref="DT216:DT220" si="428">IF(AF216&lt;AG216,1,0)</f>
        <v>0</v>
      </c>
      <c r="DU216" s="1465">
        <f t="shared" ref="DU216:DU220" si="429">IF(AH216&lt;AI216,1,0)</f>
        <v>0</v>
      </c>
      <c r="DV216" s="1465">
        <f t="shared" ref="DV216:DV220" si="430">IF(AJ216&lt;AK216,1,0)</f>
        <v>0</v>
      </c>
      <c r="DZ216" s="1465">
        <v>0</v>
      </c>
    </row>
    <row r="217" spans="1:130" ht="16.149999999999999" customHeight="1" x14ac:dyDescent="0.25">
      <c r="A217" s="2188" t="s">
        <v>1841</v>
      </c>
      <c r="B217" s="2038">
        <f t="shared" si="386"/>
        <v>0</v>
      </c>
      <c r="C217" s="2039">
        <f>SUM(E217+G217+I217+K217+M217+O217+Q217+S217+U217+W217+Y217+AA217+AC217+AE217+AG217+AI217+AK217)</f>
        <v>0</v>
      </c>
      <c r="D217" s="1129"/>
      <c r="E217" s="1130"/>
      <c r="F217" s="1109"/>
      <c r="G217" s="1130"/>
      <c r="H217" s="1109"/>
      <c r="I217" s="1130"/>
      <c r="J217" s="1109"/>
      <c r="K217" s="1130"/>
      <c r="L217" s="1109"/>
      <c r="M217" s="1130"/>
      <c r="N217" s="1109"/>
      <c r="O217" s="1130"/>
      <c r="P217" s="1109"/>
      <c r="Q217" s="1130"/>
      <c r="R217" s="1109"/>
      <c r="S217" s="1130"/>
      <c r="T217" s="1109"/>
      <c r="U217" s="1130"/>
      <c r="V217" s="1109"/>
      <c r="W217" s="1130"/>
      <c r="X217" s="1109"/>
      <c r="Y217" s="1130"/>
      <c r="Z217" s="1109"/>
      <c r="AA217" s="1130"/>
      <c r="AB217" s="1109"/>
      <c r="AC217" s="1130"/>
      <c r="AD217" s="1109"/>
      <c r="AE217" s="1130"/>
      <c r="AF217" s="1109"/>
      <c r="AG217" s="1130"/>
      <c r="AH217" s="1109"/>
      <c r="AI217" s="1130"/>
      <c r="AJ217" s="1109"/>
      <c r="AK217" s="1131"/>
      <c r="AL217" s="1129"/>
      <c r="AM217" s="1131"/>
      <c r="AN217" s="1129"/>
      <c r="AO217" s="1110"/>
      <c r="AP217" s="1109"/>
      <c r="AQ217" s="1192"/>
      <c r="AR217" s="1492"/>
      <c r="AS217" s="1193"/>
      <c r="AT217" s="1193"/>
      <c r="AU217" s="1193"/>
      <c r="AV217" s="1193"/>
      <c r="AW217" s="1193"/>
      <c r="AX217" s="1193"/>
      <c r="AY217" s="1193"/>
      <c r="AZ217" s="1193"/>
      <c r="BA217" s="1193"/>
      <c r="BB217" s="1193"/>
      <c r="BC217" s="1193"/>
      <c r="BD217" s="1187"/>
      <c r="BE217" s="1187"/>
      <c r="BF217" s="1187"/>
      <c r="BG217" s="1187"/>
      <c r="CA217" s="2234" t="str">
        <f t="shared" si="387"/>
        <v/>
      </c>
      <c r="CB217" s="2234" t="str">
        <f t="shared" si="388"/>
        <v/>
      </c>
      <c r="CC217" s="2234" t="str">
        <f t="shared" si="389"/>
        <v/>
      </c>
      <c r="CD217" s="2234" t="str">
        <f t="shared" si="390"/>
        <v/>
      </c>
      <c r="CE217" s="2234" t="str">
        <f t="shared" si="391"/>
        <v/>
      </c>
      <c r="CF217" s="2234" t="str">
        <f t="shared" si="392"/>
        <v/>
      </c>
      <c r="CG217" s="2234" t="str">
        <f t="shared" si="393"/>
        <v/>
      </c>
      <c r="CH217" s="2234" t="str">
        <f t="shared" si="394"/>
        <v/>
      </c>
      <c r="CI217" s="2234" t="str">
        <f t="shared" si="395"/>
        <v/>
      </c>
      <c r="CJ217" s="2234" t="str">
        <f t="shared" si="396"/>
        <v/>
      </c>
      <c r="CK217" s="2234" t="str">
        <f t="shared" si="397"/>
        <v/>
      </c>
      <c r="CL217" s="2234" t="str">
        <f t="shared" si="398"/>
        <v/>
      </c>
      <c r="CM217" s="2234" t="str">
        <f t="shared" si="399"/>
        <v/>
      </c>
      <c r="CN217" s="2234" t="str">
        <f t="shared" si="400"/>
        <v/>
      </c>
      <c r="CO217" s="2234" t="str">
        <f t="shared" si="401"/>
        <v/>
      </c>
      <c r="CP217" s="2234" t="str">
        <f t="shared" si="402"/>
        <v/>
      </c>
      <c r="CQ217" s="2234" t="str">
        <f t="shared" si="403"/>
        <v/>
      </c>
      <c r="CR217" s="2234" t="str">
        <f t="shared" si="404"/>
        <v/>
      </c>
      <c r="CS217" s="2234" t="str">
        <f t="shared" si="405"/>
        <v/>
      </c>
      <c r="CT217" s="2234" t="str">
        <f t="shared" si="406"/>
        <v/>
      </c>
      <c r="CU217" s="2234" t="str">
        <f t="shared" si="407"/>
        <v/>
      </c>
      <c r="CV217" s="2234" t="str">
        <f t="shared" si="408"/>
        <v/>
      </c>
      <c r="DA217" s="1465">
        <f t="shared" si="409"/>
        <v>0</v>
      </c>
      <c r="DB217" s="1465">
        <f t="shared" si="410"/>
        <v>0</v>
      </c>
      <c r="DC217" s="1465">
        <f t="shared" si="411"/>
        <v>0</v>
      </c>
      <c r="DD217" s="1465">
        <f t="shared" si="412"/>
        <v>0</v>
      </c>
      <c r="DE217" s="1465">
        <f t="shared" si="413"/>
        <v>0</v>
      </c>
      <c r="DF217" s="1465">
        <f t="shared" si="414"/>
        <v>0</v>
      </c>
      <c r="DG217" s="1465">
        <f t="shared" si="415"/>
        <v>0</v>
      </c>
      <c r="DH217" s="1465">
        <f t="shared" si="416"/>
        <v>0</v>
      </c>
      <c r="DI217" s="1465">
        <f t="shared" si="417"/>
        <v>0</v>
      </c>
      <c r="DJ217" s="1465">
        <f t="shared" si="418"/>
        <v>0</v>
      </c>
      <c r="DK217" s="1465">
        <f t="shared" si="419"/>
        <v>0</v>
      </c>
      <c r="DL217" s="1465">
        <f t="shared" si="420"/>
        <v>0</v>
      </c>
      <c r="DM217" s="1465">
        <f t="shared" si="421"/>
        <v>0</v>
      </c>
      <c r="DN217" s="1465">
        <f t="shared" si="422"/>
        <v>0</v>
      </c>
      <c r="DO217" s="1465">
        <f t="shared" si="423"/>
        <v>0</v>
      </c>
      <c r="DP217" s="1465">
        <f t="shared" si="424"/>
        <v>0</v>
      </c>
      <c r="DQ217" s="1465">
        <f t="shared" si="425"/>
        <v>0</v>
      </c>
      <c r="DR217" s="1465">
        <f t="shared" si="426"/>
        <v>0</v>
      </c>
      <c r="DS217" s="1465">
        <f t="shared" si="427"/>
        <v>0</v>
      </c>
      <c r="DT217" s="1465">
        <f t="shared" si="428"/>
        <v>0</v>
      </c>
      <c r="DU217" s="1465">
        <f t="shared" si="429"/>
        <v>0</v>
      </c>
      <c r="DV217" s="1465">
        <f t="shared" si="430"/>
        <v>0</v>
      </c>
      <c r="DZ217" s="1465">
        <v>0</v>
      </c>
    </row>
    <row r="218" spans="1:130" ht="26.25" customHeight="1" x14ac:dyDescent="0.25">
      <c r="A218" s="2189" t="s">
        <v>1842</v>
      </c>
      <c r="B218" s="2038">
        <f t="shared" si="386"/>
        <v>0</v>
      </c>
      <c r="C218" s="2039">
        <f>SUM(E218+G218+I218+K218+M218+O218+Q218+S218+U218+W218+Y218+AA218+AC218+AE218+AG218+AI218+AK218)</f>
        <v>0</v>
      </c>
      <c r="D218" s="1129"/>
      <c r="E218" s="1130"/>
      <c r="F218" s="1109"/>
      <c r="G218" s="1130"/>
      <c r="H218" s="1109"/>
      <c r="I218" s="1130"/>
      <c r="J218" s="1109"/>
      <c r="K218" s="1130"/>
      <c r="L218" s="1109"/>
      <c r="M218" s="1130"/>
      <c r="N218" s="1109"/>
      <c r="O218" s="1130"/>
      <c r="P218" s="1109"/>
      <c r="Q218" s="1130"/>
      <c r="R218" s="1109"/>
      <c r="S218" s="1130"/>
      <c r="T218" s="1109"/>
      <c r="U218" s="1130"/>
      <c r="V218" s="1109"/>
      <c r="W218" s="1130"/>
      <c r="X218" s="1109"/>
      <c r="Y218" s="1130"/>
      <c r="Z218" s="1109"/>
      <c r="AA218" s="1130"/>
      <c r="AB218" s="1109"/>
      <c r="AC218" s="1130"/>
      <c r="AD218" s="1109"/>
      <c r="AE218" s="1130"/>
      <c r="AF218" s="1109"/>
      <c r="AG218" s="1130"/>
      <c r="AH218" s="1109"/>
      <c r="AI218" s="1130"/>
      <c r="AJ218" s="1109"/>
      <c r="AK218" s="1131"/>
      <c r="AL218" s="1129"/>
      <c r="AM218" s="1131"/>
      <c r="AN218" s="1129"/>
      <c r="AO218" s="1110"/>
      <c r="AP218" s="1109"/>
      <c r="AQ218" s="1192"/>
      <c r="AR218" s="1492"/>
      <c r="AS218" s="1193"/>
      <c r="AT218" s="1193"/>
      <c r="AU218" s="1193"/>
      <c r="AV218" s="1193"/>
      <c r="AW218" s="1193"/>
      <c r="AX218" s="1193"/>
      <c r="AY218" s="1193"/>
      <c r="AZ218" s="1193"/>
      <c r="BA218" s="1193"/>
      <c r="BB218" s="1193"/>
      <c r="BC218" s="1193"/>
      <c r="BD218" s="1187"/>
      <c r="BE218" s="1187"/>
      <c r="BF218" s="1187"/>
      <c r="BG218" s="1187"/>
      <c r="CA218" s="2234" t="str">
        <f t="shared" si="387"/>
        <v/>
      </c>
      <c r="CB218" s="2234" t="str">
        <f t="shared" si="388"/>
        <v/>
      </c>
      <c r="CC218" s="2234" t="str">
        <f t="shared" si="389"/>
        <v/>
      </c>
      <c r="CD218" s="2234" t="str">
        <f t="shared" si="390"/>
        <v/>
      </c>
      <c r="CE218" s="2234" t="str">
        <f t="shared" si="391"/>
        <v/>
      </c>
      <c r="CF218" s="2234" t="str">
        <f t="shared" si="392"/>
        <v/>
      </c>
      <c r="CG218" s="2234" t="str">
        <f t="shared" si="393"/>
        <v/>
      </c>
      <c r="CH218" s="2234" t="str">
        <f t="shared" si="394"/>
        <v/>
      </c>
      <c r="CI218" s="2234" t="str">
        <f t="shared" si="395"/>
        <v/>
      </c>
      <c r="CJ218" s="2234" t="str">
        <f t="shared" si="396"/>
        <v/>
      </c>
      <c r="CK218" s="2234" t="str">
        <f t="shared" si="397"/>
        <v/>
      </c>
      <c r="CL218" s="2234" t="str">
        <f t="shared" si="398"/>
        <v/>
      </c>
      <c r="CM218" s="2234" t="str">
        <f t="shared" si="399"/>
        <v/>
      </c>
      <c r="CN218" s="2234" t="str">
        <f t="shared" si="400"/>
        <v/>
      </c>
      <c r="CO218" s="2234" t="str">
        <f t="shared" si="401"/>
        <v/>
      </c>
      <c r="CP218" s="2234" t="str">
        <f t="shared" si="402"/>
        <v/>
      </c>
      <c r="CQ218" s="2234" t="str">
        <f t="shared" si="403"/>
        <v/>
      </c>
      <c r="CR218" s="2234" t="str">
        <f t="shared" si="404"/>
        <v/>
      </c>
      <c r="CS218" s="2234" t="str">
        <f t="shared" si="405"/>
        <v/>
      </c>
      <c r="CT218" s="2234" t="str">
        <f t="shared" si="406"/>
        <v/>
      </c>
      <c r="CU218" s="2234" t="str">
        <f t="shared" si="407"/>
        <v/>
      </c>
      <c r="CV218" s="2234" t="str">
        <f t="shared" si="408"/>
        <v/>
      </c>
      <c r="DA218" s="1465">
        <f t="shared" si="409"/>
        <v>0</v>
      </c>
      <c r="DB218" s="1465">
        <f t="shared" si="410"/>
        <v>0</v>
      </c>
      <c r="DC218" s="1465">
        <f t="shared" si="411"/>
        <v>0</v>
      </c>
      <c r="DD218" s="1465">
        <f t="shared" si="412"/>
        <v>0</v>
      </c>
      <c r="DE218" s="1465">
        <f t="shared" si="413"/>
        <v>0</v>
      </c>
      <c r="DF218" s="1465">
        <f t="shared" si="414"/>
        <v>0</v>
      </c>
      <c r="DG218" s="1465">
        <f t="shared" si="415"/>
        <v>0</v>
      </c>
      <c r="DH218" s="1465">
        <f t="shared" si="416"/>
        <v>0</v>
      </c>
      <c r="DI218" s="1465">
        <f t="shared" si="417"/>
        <v>0</v>
      </c>
      <c r="DJ218" s="1465">
        <f t="shared" si="418"/>
        <v>0</v>
      </c>
      <c r="DK218" s="1465">
        <f t="shared" si="419"/>
        <v>0</v>
      </c>
      <c r="DL218" s="1465">
        <f t="shared" si="420"/>
        <v>0</v>
      </c>
      <c r="DM218" s="1465">
        <f t="shared" si="421"/>
        <v>0</v>
      </c>
      <c r="DN218" s="1465">
        <f t="shared" si="422"/>
        <v>0</v>
      </c>
      <c r="DO218" s="1465">
        <f t="shared" si="423"/>
        <v>0</v>
      </c>
      <c r="DP218" s="1465">
        <f t="shared" si="424"/>
        <v>0</v>
      </c>
      <c r="DQ218" s="1465">
        <f t="shared" si="425"/>
        <v>0</v>
      </c>
      <c r="DR218" s="1465">
        <f t="shared" si="426"/>
        <v>0</v>
      </c>
      <c r="DS218" s="1465">
        <f t="shared" si="427"/>
        <v>0</v>
      </c>
      <c r="DT218" s="1465">
        <f t="shared" si="428"/>
        <v>0</v>
      </c>
      <c r="DU218" s="1465">
        <f t="shared" si="429"/>
        <v>0</v>
      </c>
      <c r="DV218" s="1465">
        <f t="shared" si="430"/>
        <v>0</v>
      </c>
      <c r="DZ218" s="1465">
        <v>0</v>
      </c>
    </row>
    <row r="219" spans="1:130" ht="16.149999999999999" customHeight="1" x14ac:dyDescent="0.25">
      <c r="A219" s="2188" t="s">
        <v>1843</v>
      </c>
      <c r="B219" s="2038">
        <f t="shared" si="386"/>
        <v>0</v>
      </c>
      <c r="C219" s="2039">
        <f t="shared" si="386"/>
        <v>0</v>
      </c>
      <c r="D219" s="1129"/>
      <c r="E219" s="1130"/>
      <c r="F219" s="1109"/>
      <c r="G219" s="1130"/>
      <c r="H219" s="1109"/>
      <c r="I219" s="1130"/>
      <c r="J219" s="1109"/>
      <c r="K219" s="1130"/>
      <c r="L219" s="1109"/>
      <c r="M219" s="1130"/>
      <c r="N219" s="1109"/>
      <c r="O219" s="1130"/>
      <c r="P219" s="1109"/>
      <c r="Q219" s="1130"/>
      <c r="R219" s="1109"/>
      <c r="S219" s="1130"/>
      <c r="T219" s="1109"/>
      <c r="U219" s="1130"/>
      <c r="V219" s="1109"/>
      <c r="W219" s="1130"/>
      <c r="X219" s="1109"/>
      <c r="Y219" s="1130"/>
      <c r="Z219" s="1109"/>
      <c r="AA219" s="1130"/>
      <c r="AB219" s="1109"/>
      <c r="AC219" s="1130"/>
      <c r="AD219" s="1109"/>
      <c r="AE219" s="1130"/>
      <c r="AF219" s="1109"/>
      <c r="AG219" s="1130"/>
      <c r="AH219" s="1109"/>
      <c r="AI219" s="1130"/>
      <c r="AJ219" s="1109"/>
      <c r="AK219" s="1131"/>
      <c r="AL219" s="1129"/>
      <c r="AM219" s="1131"/>
      <c r="AN219" s="1129"/>
      <c r="AO219" s="1110"/>
      <c r="AP219" s="1109"/>
      <c r="AQ219" s="1192"/>
      <c r="AR219" s="1492"/>
      <c r="AS219" s="1193"/>
      <c r="AT219" s="1193"/>
      <c r="AU219" s="1193"/>
      <c r="AV219" s="1193"/>
      <c r="AW219" s="1193"/>
      <c r="AX219" s="1193"/>
      <c r="AY219" s="1193"/>
      <c r="AZ219" s="1193"/>
      <c r="BA219" s="1193"/>
      <c r="BB219" s="1193"/>
      <c r="BC219" s="1193"/>
      <c r="BD219" s="1187"/>
      <c r="BE219" s="1187"/>
      <c r="BF219" s="1187"/>
      <c r="BG219" s="1187"/>
      <c r="CA219" s="2234" t="str">
        <f t="shared" si="387"/>
        <v/>
      </c>
      <c r="CB219" s="2234" t="str">
        <f t="shared" si="388"/>
        <v/>
      </c>
      <c r="CC219" s="2234" t="str">
        <f t="shared" si="389"/>
        <v/>
      </c>
      <c r="CD219" s="2234" t="str">
        <f t="shared" si="390"/>
        <v/>
      </c>
      <c r="CE219" s="2234" t="str">
        <f t="shared" si="391"/>
        <v/>
      </c>
      <c r="CF219" s="2234" t="str">
        <f t="shared" si="392"/>
        <v/>
      </c>
      <c r="CG219" s="2234" t="str">
        <f t="shared" si="393"/>
        <v/>
      </c>
      <c r="CH219" s="2234" t="str">
        <f t="shared" si="394"/>
        <v/>
      </c>
      <c r="CI219" s="2234" t="str">
        <f t="shared" si="395"/>
        <v/>
      </c>
      <c r="CJ219" s="2234" t="str">
        <f t="shared" si="396"/>
        <v/>
      </c>
      <c r="CK219" s="2234" t="str">
        <f t="shared" si="397"/>
        <v/>
      </c>
      <c r="CL219" s="2234" t="str">
        <f t="shared" si="398"/>
        <v/>
      </c>
      <c r="CM219" s="2234" t="str">
        <f t="shared" si="399"/>
        <v/>
      </c>
      <c r="CN219" s="2234" t="str">
        <f t="shared" si="400"/>
        <v/>
      </c>
      <c r="CO219" s="2234" t="str">
        <f t="shared" si="401"/>
        <v/>
      </c>
      <c r="CP219" s="2234" t="str">
        <f t="shared" si="402"/>
        <v/>
      </c>
      <c r="CQ219" s="2234" t="str">
        <f t="shared" si="403"/>
        <v/>
      </c>
      <c r="CR219" s="2234" t="str">
        <f t="shared" si="404"/>
        <v/>
      </c>
      <c r="CS219" s="2234" t="str">
        <f t="shared" si="405"/>
        <v/>
      </c>
      <c r="CT219" s="2234" t="str">
        <f t="shared" si="406"/>
        <v/>
      </c>
      <c r="CU219" s="2234" t="str">
        <f t="shared" si="407"/>
        <v/>
      </c>
      <c r="CV219" s="2234" t="str">
        <f t="shared" si="408"/>
        <v/>
      </c>
      <c r="DA219" s="1465">
        <f t="shared" si="409"/>
        <v>0</v>
      </c>
      <c r="DB219" s="1465">
        <f t="shared" si="410"/>
        <v>0</v>
      </c>
      <c r="DC219" s="1465">
        <f t="shared" si="411"/>
        <v>0</v>
      </c>
      <c r="DD219" s="1465">
        <f t="shared" si="412"/>
        <v>0</v>
      </c>
      <c r="DE219" s="1465">
        <f t="shared" si="413"/>
        <v>0</v>
      </c>
      <c r="DF219" s="1465">
        <f t="shared" si="414"/>
        <v>0</v>
      </c>
      <c r="DG219" s="1465">
        <f t="shared" si="415"/>
        <v>0</v>
      </c>
      <c r="DH219" s="1465">
        <f t="shared" si="416"/>
        <v>0</v>
      </c>
      <c r="DI219" s="1465">
        <f t="shared" si="417"/>
        <v>0</v>
      </c>
      <c r="DJ219" s="1465">
        <f t="shared" si="418"/>
        <v>0</v>
      </c>
      <c r="DK219" s="1465">
        <f t="shared" si="419"/>
        <v>0</v>
      </c>
      <c r="DL219" s="1465">
        <f t="shared" si="420"/>
        <v>0</v>
      </c>
      <c r="DM219" s="1465">
        <f t="shared" si="421"/>
        <v>0</v>
      </c>
      <c r="DN219" s="1465">
        <f t="shared" si="422"/>
        <v>0</v>
      </c>
      <c r="DO219" s="1465">
        <f t="shared" si="423"/>
        <v>0</v>
      </c>
      <c r="DP219" s="1465">
        <f t="shared" si="424"/>
        <v>0</v>
      </c>
      <c r="DQ219" s="1465">
        <f t="shared" si="425"/>
        <v>0</v>
      </c>
      <c r="DR219" s="1465">
        <f t="shared" si="426"/>
        <v>0</v>
      </c>
      <c r="DS219" s="1465">
        <f t="shared" si="427"/>
        <v>0</v>
      </c>
      <c r="DT219" s="1465">
        <f t="shared" si="428"/>
        <v>0</v>
      </c>
      <c r="DU219" s="1465">
        <f t="shared" si="429"/>
        <v>0</v>
      </c>
      <c r="DV219" s="1465">
        <f t="shared" si="430"/>
        <v>0</v>
      </c>
      <c r="DZ219" s="1465">
        <v>0</v>
      </c>
    </row>
    <row r="220" spans="1:130" ht="16.149999999999999" customHeight="1" x14ac:dyDescent="0.25">
      <c r="A220" s="2190" t="s">
        <v>70</v>
      </c>
      <c r="B220" s="1194">
        <f t="shared" si="386"/>
        <v>0</v>
      </c>
      <c r="C220" s="1140">
        <f t="shared" si="386"/>
        <v>0</v>
      </c>
      <c r="D220" s="102"/>
      <c r="E220" s="83"/>
      <c r="F220" s="125"/>
      <c r="G220" s="83"/>
      <c r="H220" s="125"/>
      <c r="I220" s="83"/>
      <c r="J220" s="125"/>
      <c r="K220" s="83"/>
      <c r="L220" s="125"/>
      <c r="M220" s="83"/>
      <c r="N220" s="125"/>
      <c r="O220" s="83"/>
      <c r="P220" s="125"/>
      <c r="Q220" s="83"/>
      <c r="R220" s="125"/>
      <c r="S220" s="83"/>
      <c r="T220" s="125"/>
      <c r="U220" s="83"/>
      <c r="V220" s="125"/>
      <c r="W220" s="83"/>
      <c r="X220" s="125"/>
      <c r="Y220" s="83"/>
      <c r="Z220" s="125"/>
      <c r="AA220" s="83"/>
      <c r="AB220" s="125"/>
      <c r="AC220" s="83"/>
      <c r="AD220" s="125"/>
      <c r="AE220" s="83"/>
      <c r="AF220" s="125"/>
      <c r="AG220" s="83"/>
      <c r="AH220" s="125"/>
      <c r="AI220" s="83"/>
      <c r="AJ220" s="125"/>
      <c r="AK220" s="198"/>
      <c r="AL220" s="102"/>
      <c r="AM220" s="198"/>
      <c r="AN220" s="102"/>
      <c r="AO220" s="127"/>
      <c r="AP220" s="125"/>
      <c r="AQ220" s="86"/>
      <c r="AR220" s="1492"/>
      <c r="AS220" s="1193"/>
      <c r="AT220" s="1193"/>
      <c r="AU220" s="1193"/>
      <c r="AV220" s="1193"/>
      <c r="AW220" s="1193"/>
      <c r="AX220" s="1193"/>
      <c r="AY220" s="1193"/>
      <c r="AZ220" s="1193"/>
      <c r="BA220" s="1193"/>
      <c r="BB220" s="1193"/>
      <c r="BC220" s="1193"/>
      <c r="BD220" s="1187"/>
      <c r="BE220" s="1187"/>
      <c r="BF220" s="1187"/>
      <c r="BG220" s="1187"/>
      <c r="CA220" s="2234" t="str">
        <f t="shared" si="387"/>
        <v/>
      </c>
      <c r="CB220" s="2234" t="str">
        <f t="shared" si="388"/>
        <v/>
      </c>
      <c r="CC220" s="2234" t="str">
        <f t="shared" si="389"/>
        <v/>
      </c>
      <c r="CD220" s="2234" t="str">
        <f t="shared" si="390"/>
        <v/>
      </c>
      <c r="CE220" s="2234" t="str">
        <f t="shared" si="391"/>
        <v/>
      </c>
      <c r="CF220" s="2234" t="str">
        <f t="shared" si="392"/>
        <v/>
      </c>
      <c r="CG220" s="2234" t="str">
        <f t="shared" si="393"/>
        <v/>
      </c>
      <c r="CH220" s="2234" t="str">
        <f t="shared" si="394"/>
        <v/>
      </c>
      <c r="CI220" s="2234" t="str">
        <f t="shared" si="395"/>
        <v/>
      </c>
      <c r="CJ220" s="2234" t="str">
        <f t="shared" si="396"/>
        <v/>
      </c>
      <c r="CK220" s="2234" t="str">
        <f t="shared" si="397"/>
        <v/>
      </c>
      <c r="CL220" s="2234" t="str">
        <f t="shared" si="398"/>
        <v/>
      </c>
      <c r="CM220" s="2234" t="str">
        <f t="shared" si="399"/>
        <v/>
      </c>
      <c r="CN220" s="2234" t="str">
        <f t="shared" si="400"/>
        <v/>
      </c>
      <c r="CO220" s="2234" t="str">
        <f t="shared" si="401"/>
        <v/>
      </c>
      <c r="CP220" s="2234" t="str">
        <f t="shared" si="402"/>
        <v/>
      </c>
      <c r="CQ220" s="2234" t="str">
        <f t="shared" si="403"/>
        <v/>
      </c>
      <c r="CR220" s="2234" t="str">
        <f t="shared" si="404"/>
        <v/>
      </c>
      <c r="CS220" s="2234" t="str">
        <f t="shared" si="405"/>
        <v/>
      </c>
      <c r="CT220" s="2234" t="str">
        <f t="shared" si="406"/>
        <v/>
      </c>
      <c r="CU220" s="2234" t="str">
        <f t="shared" si="407"/>
        <v/>
      </c>
      <c r="CV220" s="2234" t="str">
        <f t="shared" si="408"/>
        <v/>
      </c>
      <c r="DA220" s="1465">
        <f t="shared" si="409"/>
        <v>0</v>
      </c>
      <c r="DB220" s="1465">
        <f t="shared" si="410"/>
        <v>0</v>
      </c>
      <c r="DC220" s="1465">
        <f t="shared" si="411"/>
        <v>0</v>
      </c>
      <c r="DD220" s="1465">
        <f t="shared" si="412"/>
        <v>0</v>
      </c>
      <c r="DE220" s="1465">
        <f t="shared" si="413"/>
        <v>0</v>
      </c>
      <c r="DF220" s="1465">
        <f t="shared" si="414"/>
        <v>0</v>
      </c>
      <c r="DG220" s="1465">
        <f t="shared" si="415"/>
        <v>0</v>
      </c>
      <c r="DH220" s="1465">
        <f t="shared" si="416"/>
        <v>0</v>
      </c>
      <c r="DI220" s="1465">
        <f t="shared" si="417"/>
        <v>0</v>
      </c>
      <c r="DJ220" s="1465">
        <f t="shared" si="418"/>
        <v>0</v>
      </c>
      <c r="DK220" s="1465">
        <f t="shared" si="419"/>
        <v>0</v>
      </c>
      <c r="DL220" s="1465">
        <f t="shared" si="420"/>
        <v>0</v>
      </c>
      <c r="DM220" s="1465">
        <f t="shared" si="421"/>
        <v>0</v>
      </c>
      <c r="DN220" s="1465">
        <f t="shared" si="422"/>
        <v>0</v>
      </c>
      <c r="DO220" s="1465">
        <f t="shared" si="423"/>
        <v>0</v>
      </c>
      <c r="DP220" s="1465">
        <f t="shared" si="424"/>
        <v>0</v>
      </c>
      <c r="DQ220" s="1465">
        <f t="shared" si="425"/>
        <v>0</v>
      </c>
      <c r="DR220" s="1465">
        <f t="shared" si="426"/>
        <v>0</v>
      </c>
      <c r="DS220" s="1465">
        <f t="shared" si="427"/>
        <v>0</v>
      </c>
      <c r="DT220" s="1465">
        <f t="shared" si="428"/>
        <v>0</v>
      </c>
      <c r="DU220" s="1465">
        <f t="shared" si="429"/>
        <v>0</v>
      </c>
      <c r="DV220" s="1465">
        <f t="shared" si="430"/>
        <v>0</v>
      </c>
      <c r="DZ220" s="1465">
        <v>0</v>
      </c>
    </row>
    <row r="221" spans="1:130" ht="31.9" customHeight="1" x14ac:dyDescent="0.25">
      <c r="A221" s="673" t="s">
        <v>2347</v>
      </c>
      <c r="P221" s="1188"/>
      <c r="AP221" s="1188"/>
      <c r="AR221" s="1187"/>
      <c r="AS221" s="1187"/>
      <c r="AT221" s="1187"/>
      <c r="AU221" s="1187"/>
      <c r="AV221" s="1187"/>
      <c r="AW221" s="1187"/>
      <c r="AX221" s="1187"/>
      <c r="AY221" s="1187"/>
      <c r="AZ221" s="1187"/>
      <c r="BA221" s="1187"/>
      <c r="BB221" s="1187"/>
      <c r="BC221" s="1187"/>
      <c r="BD221" s="1187"/>
      <c r="BE221" s="1187"/>
      <c r="BF221" s="1187"/>
      <c r="BG221" s="1187"/>
    </row>
    <row r="222" spans="1:130" ht="25.15" customHeight="1" x14ac:dyDescent="0.25">
      <c r="A222" s="9582" t="s">
        <v>1804</v>
      </c>
      <c r="B222" s="9585" t="s">
        <v>24</v>
      </c>
      <c r="C222" s="9585"/>
      <c r="D222" s="9585" t="s">
        <v>538</v>
      </c>
      <c r="E222" s="9585"/>
      <c r="F222" s="9585"/>
      <c r="G222" s="9585"/>
      <c r="H222" s="9585"/>
      <c r="I222" s="9585"/>
      <c r="J222" s="9585"/>
      <c r="K222" s="9585"/>
      <c r="L222" s="9585"/>
      <c r="M222" s="9585"/>
      <c r="N222" s="9585"/>
      <c r="O222" s="9585"/>
      <c r="P222" s="9585"/>
      <c r="Q222" s="9585"/>
      <c r="R222" s="9585"/>
      <c r="S222" s="9585"/>
      <c r="T222" s="9585"/>
      <c r="U222" s="9585"/>
      <c r="V222" s="9585"/>
      <c r="W222" s="9585"/>
      <c r="X222" s="9585"/>
      <c r="Y222" s="9585"/>
      <c r="Z222" s="9585"/>
      <c r="AA222" s="9585"/>
      <c r="AB222" s="9585"/>
      <c r="AC222" s="9585"/>
      <c r="AD222" s="9585"/>
      <c r="AE222" s="9585"/>
      <c r="AF222" s="9585"/>
      <c r="AG222" s="9585"/>
      <c r="AH222" s="9585"/>
      <c r="AI222" s="9585"/>
      <c r="AJ222" s="9585"/>
      <c r="AK222" s="9586"/>
      <c r="AL222" s="9589" t="s">
        <v>1779</v>
      </c>
      <c r="AM222" s="9590"/>
      <c r="AN222" s="9528" t="s">
        <v>711</v>
      </c>
      <c r="AO222" s="8220"/>
      <c r="AP222" s="9588" t="s">
        <v>360</v>
      </c>
      <c r="AQ222" s="9588" t="s">
        <v>359</v>
      </c>
      <c r="AR222" s="1187"/>
      <c r="AS222" s="1187"/>
      <c r="AT222" s="1187"/>
      <c r="AU222" s="1187"/>
      <c r="AV222" s="1187"/>
      <c r="AW222" s="1187"/>
      <c r="AX222" s="1187"/>
      <c r="AY222" s="1187"/>
      <c r="AZ222" s="1187"/>
      <c r="BA222" s="1187"/>
      <c r="BB222" s="1187"/>
      <c r="BC222" s="1187"/>
      <c r="BD222" s="1187"/>
      <c r="BE222" s="1187"/>
      <c r="BF222" s="1187"/>
      <c r="BG222" s="1187"/>
    </row>
    <row r="223" spans="1:130" ht="16.149999999999999" customHeight="1" x14ac:dyDescent="0.25">
      <c r="A223" s="9583"/>
      <c r="B223" s="9585"/>
      <c r="C223" s="9585"/>
      <c r="D223" s="9585" t="s">
        <v>1414</v>
      </c>
      <c r="E223" s="9585"/>
      <c r="F223" s="9585" t="s">
        <v>1413</v>
      </c>
      <c r="G223" s="9585"/>
      <c r="H223" s="9585" t="s">
        <v>32</v>
      </c>
      <c r="I223" s="9585"/>
      <c r="J223" s="9585" t="s">
        <v>33</v>
      </c>
      <c r="K223" s="9585"/>
      <c r="L223" s="9585" t="s">
        <v>40</v>
      </c>
      <c r="M223" s="9585"/>
      <c r="N223" s="9585" t="s">
        <v>115</v>
      </c>
      <c r="O223" s="9585"/>
      <c r="P223" s="9585" t="s">
        <v>116</v>
      </c>
      <c r="Q223" s="9585"/>
      <c r="R223" s="9585" t="s">
        <v>117</v>
      </c>
      <c r="S223" s="9585"/>
      <c r="T223" s="9585" t="s">
        <v>118</v>
      </c>
      <c r="U223" s="9585"/>
      <c r="V223" s="9585" t="s">
        <v>119</v>
      </c>
      <c r="W223" s="9585"/>
      <c r="X223" s="9585" t="s">
        <v>120</v>
      </c>
      <c r="Y223" s="9585"/>
      <c r="Z223" s="9585" t="s">
        <v>1412</v>
      </c>
      <c r="AA223" s="9585"/>
      <c r="AB223" s="9585" t="s">
        <v>1404</v>
      </c>
      <c r="AC223" s="9585"/>
      <c r="AD223" s="9585" t="s">
        <v>1395</v>
      </c>
      <c r="AE223" s="9585"/>
      <c r="AF223" s="9585" t="s">
        <v>1394</v>
      </c>
      <c r="AG223" s="9585"/>
      <c r="AH223" s="9585" t="s">
        <v>1393</v>
      </c>
      <c r="AI223" s="9585"/>
      <c r="AJ223" s="9585" t="s">
        <v>1403</v>
      </c>
      <c r="AK223" s="9586"/>
      <c r="AL223" s="9592" t="s">
        <v>17</v>
      </c>
      <c r="AM223" s="9594" t="s">
        <v>18</v>
      </c>
      <c r="AN223" s="9537" t="s">
        <v>356</v>
      </c>
      <c r="AO223" s="8151" t="s">
        <v>357</v>
      </c>
      <c r="AP223" s="9588"/>
      <c r="AQ223" s="9588"/>
      <c r="AR223" s="1187"/>
      <c r="AS223" s="1187"/>
      <c r="AT223" s="1187"/>
      <c r="AU223" s="1187"/>
      <c r="AV223" s="1187"/>
      <c r="AW223" s="1187"/>
      <c r="AX223" s="1187"/>
      <c r="AY223" s="1187"/>
      <c r="AZ223" s="1187"/>
      <c r="BA223" s="1187"/>
      <c r="BB223" s="1187"/>
      <c r="BC223" s="1187"/>
      <c r="BD223" s="1187"/>
      <c r="BE223" s="1187"/>
      <c r="BF223" s="1187"/>
      <c r="BG223" s="1187"/>
    </row>
    <row r="224" spans="1:130" ht="16.149999999999999" customHeight="1" x14ac:dyDescent="0.25">
      <c r="A224" s="9584"/>
      <c r="B224" s="1190" t="s">
        <v>1780</v>
      </c>
      <c r="C224" s="2193" t="s">
        <v>1781</v>
      </c>
      <c r="D224" s="1191" t="s">
        <v>1780</v>
      </c>
      <c r="E224" s="2191" t="s">
        <v>1781</v>
      </c>
      <c r="F224" s="1191" t="s">
        <v>1780</v>
      </c>
      <c r="G224" s="2191" t="s">
        <v>1781</v>
      </c>
      <c r="H224" s="1191" t="s">
        <v>1780</v>
      </c>
      <c r="I224" s="2191" t="s">
        <v>1781</v>
      </c>
      <c r="J224" s="1191" t="s">
        <v>1780</v>
      </c>
      <c r="K224" s="2191" t="s">
        <v>1781</v>
      </c>
      <c r="L224" s="1191" t="s">
        <v>1780</v>
      </c>
      <c r="M224" s="2191" t="s">
        <v>1781</v>
      </c>
      <c r="N224" s="1191" t="s">
        <v>1780</v>
      </c>
      <c r="O224" s="2191" t="s">
        <v>1781</v>
      </c>
      <c r="P224" s="1191" t="s">
        <v>1780</v>
      </c>
      <c r="Q224" s="2191" t="s">
        <v>1781</v>
      </c>
      <c r="R224" s="1191" t="s">
        <v>1780</v>
      </c>
      <c r="S224" s="2191" t="s">
        <v>1781</v>
      </c>
      <c r="T224" s="1191" t="s">
        <v>1780</v>
      </c>
      <c r="U224" s="2191" t="s">
        <v>1781</v>
      </c>
      <c r="V224" s="1191" t="s">
        <v>1780</v>
      </c>
      <c r="W224" s="2191" t="s">
        <v>1781</v>
      </c>
      <c r="X224" s="1191" t="s">
        <v>1780</v>
      </c>
      <c r="Y224" s="2191" t="s">
        <v>1781</v>
      </c>
      <c r="Z224" s="1191" t="s">
        <v>1780</v>
      </c>
      <c r="AA224" s="2191" t="s">
        <v>1781</v>
      </c>
      <c r="AB224" s="1191" t="s">
        <v>1780</v>
      </c>
      <c r="AC224" s="2191" t="s">
        <v>1781</v>
      </c>
      <c r="AD224" s="1191" t="s">
        <v>1780</v>
      </c>
      <c r="AE224" s="2191" t="s">
        <v>1781</v>
      </c>
      <c r="AF224" s="1191" t="s">
        <v>1780</v>
      </c>
      <c r="AG224" s="2191" t="s">
        <v>1781</v>
      </c>
      <c r="AH224" s="1191" t="s">
        <v>1780</v>
      </c>
      <c r="AI224" s="2191" t="s">
        <v>1781</v>
      </c>
      <c r="AJ224" s="1191" t="s">
        <v>1780</v>
      </c>
      <c r="AK224" s="2192" t="s">
        <v>1781</v>
      </c>
      <c r="AL224" s="9593"/>
      <c r="AM224" s="9595"/>
      <c r="AN224" s="9538"/>
      <c r="AO224" s="8152"/>
      <c r="AP224" s="9588"/>
      <c r="AQ224" s="9588"/>
      <c r="AR224" s="1187"/>
      <c r="AS224" s="1187"/>
      <c r="AT224" s="1187"/>
      <c r="AU224" s="1187"/>
      <c r="AV224" s="1187"/>
      <c r="AW224" s="1187"/>
      <c r="AX224" s="1187"/>
      <c r="AY224" s="1187"/>
      <c r="AZ224" s="1187"/>
      <c r="BA224" s="1187"/>
      <c r="BB224" s="1187"/>
      <c r="BC224" s="1187"/>
      <c r="BD224" s="1187"/>
      <c r="BE224" s="1187"/>
      <c r="BF224" s="1187"/>
      <c r="BG224" s="1187"/>
    </row>
    <row r="225" spans="1:130" ht="16.149999999999999" customHeight="1" x14ac:dyDescent="0.25">
      <c r="A225" s="2188" t="s">
        <v>85</v>
      </c>
      <c r="B225" s="2036">
        <f t="shared" ref="B225:C231" si="431">SUM(D225+F225+H225+J225+L225+N225+P225+R225+T225+V225+X225+Z225+AB225+AD225+AF225+AH225+AJ225)</f>
        <v>0</v>
      </c>
      <c r="C225" s="2037">
        <f t="shared" si="431"/>
        <v>0</v>
      </c>
      <c r="D225" s="1132"/>
      <c r="E225" s="1136"/>
      <c r="F225" s="1135"/>
      <c r="G225" s="1136"/>
      <c r="H225" s="1109"/>
      <c r="I225" s="1130"/>
      <c r="J225" s="1109"/>
      <c r="K225" s="1130"/>
      <c r="L225" s="1109"/>
      <c r="M225" s="1130"/>
      <c r="N225" s="1109"/>
      <c r="O225" s="1130"/>
      <c r="P225" s="1109"/>
      <c r="Q225" s="1130"/>
      <c r="R225" s="1109"/>
      <c r="S225" s="1130"/>
      <c r="T225" s="1109"/>
      <c r="U225" s="1130"/>
      <c r="V225" s="1109"/>
      <c r="W225" s="1130"/>
      <c r="X225" s="1109"/>
      <c r="Y225" s="1130"/>
      <c r="Z225" s="1135"/>
      <c r="AA225" s="1136"/>
      <c r="AB225" s="1135"/>
      <c r="AC225" s="1136"/>
      <c r="AD225" s="1135"/>
      <c r="AE225" s="1136"/>
      <c r="AF225" s="1135"/>
      <c r="AG225" s="1136"/>
      <c r="AH225" s="1135"/>
      <c r="AI225" s="1136"/>
      <c r="AJ225" s="1135"/>
      <c r="AK225" s="1137"/>
      <c r="AL225" s="1132"/>
      <c r="AM225" s="696"/>
      <c r="AN225" s="1182"/>
      <c r="AO225" s="1110"/>
      <c r="AP225" s="1109"/>
      <c r="AQ225" s="1192"/>
      <c r="AR225" s="1492"/>
      <c r="AS225" s="1193"/>
      <c r="AT225" s="1193"/>
      <c r="AU225" s="1193"/>
      <c r="AV225" s="1193"/>
      <c r="AW225" s="1193"/>
      <c r="AX225" s="1193"/>
      <c r="AY225" s="1193"/>
      <c r="AZ225" s="1193"/>
      <c r="BA225" s="1193"/>
      <c r="BB225" s="1193"/>
      <c r="BC225" s="1193"/>
      <c r="BD225" s="1187"/>
      <c r="BE225" s="1187"/>
      <c r="BF225" s="1187"/>
      <c r="BG225" s="1187"/>
      <c r="CA225" s="2234" t="str">
        <f t="shared" ref="CA225:CA231" si="432">IF(B225&lt;   C225,"* El total de Reactivos NO DEBE ser superior al total de Procesados. ","")</f>
        <v/>
      </c>
      <c r="CB225" s="2234" t="str">
        <f t="shared" ref="CB225:CB231" si="433">IF(B225&lt;&gt; AL225+ AM225,"* La suma de las columnas Sexo DEBE SER IGUAL a los Procesados. ","")</f>
        <v/>
      </c>
      <c r="CC225" s="2234" t="str">
        <f t="shared" ref="CC225:CC231" si="434">IF(B225&lt;  AN225+ AO225,"* La suma de las columna Trans NO DEBE ser superior al total de Procesados. ","")</f>
        <v/>
      </c>
      <c r="CD225" s="2234" t="str">
        <f t="shared" ref="CD225:CD231" si="435">IF(B225&lt;  AP225,"* La columna Pueblos Originarios NO DEBE ser superior al total de Procesados. ","")</f>
        <v/>
      </c>
      <c r="CE225" s="2234" t="str">
        <f t="shared" ref="CE225:CE231" si="436">IF(B225&lt;  AQ225,"* La columna Migrantes NO DEBE ser superior al total de Procesados. ","")</f>
        <v/>
      </c>
      <c r="CF225" s="2234" t="str">
        <f t="shared" ref="CF225:CF231" si="437">IF(D225&lt;E225,"* Los exámenes Reactivos de 0 a 4 años años NO DEBEN ser mayor a los Exámenes Procesados de la misma edad. ","")</f>
        <v/>
      </c>
      <c r="CG225" s="2234" t="str">
        <f t="shared" ref="CG225:CG231" si="438">IF(F225&lt;G225,"* Los exámenes Reactivos de 5 a 9 años años NO DEBEN ser mayor a los Exámenes Procesados de la misma edad. ","")</f>
        <v/>
      </c>
      <c r="CH225" s="2234" t="str">
        <f t="shared" ref="CH225:CH231" si="439">IF(H225&lt;I225,"* Los exámenes Reactivos de 10 a 14 años años NO DEBEN ser mayor a los Exámenes Procesados de la misma edad. ","")</f>
        <v/>
      </c>
      <c r="CI225" s="2234" t="str">
        <f t="shared" ref="CI225:CI231" si="440">IF(J225&lt;K225,"* Los exámenes Reactivos de 15 a 19 años años NO DEBEN ser mayor a los Exámenes Procesados de la misma edad. ","")</f>
        <v/>
      </c>
      <c r="CJ225" s="2234" t="str">
        <f t="shared" ref="CJ225:CJ231" si="441">IF(L225&lt;M225,"* Los exámenes Reactivos de 20 a 24 años años NO DEBEN ser mayor a los Exámenes Procesados de la misma edad. ","")</f>
        <v/>
      </c>
      <c r="CK225" s="2234" t="str">
        <f t="shared" ref="CK225:CK231" si="442">IF(N225&lt;O225,"* Los exámenes Reactivos de 25 a 29 años años NO DEBEN ser mayor a los Exámenes Procesados de la misma edad. ","")</f>
        <v/>
      </c>
      <c r="CL225" s="2234" t="str">
        <f t="shared" ref="CL225:CL231" si="443">IF(P225&lt;Q225,"* Los exámenes Reactivos de 30 a 34 años años NO DEBEN ser mayor a los Exámenes Procesados de la misma edad. ","")</f>
        <v/>
      </c>
      <c r="CM225" s="2234" t="str">
        <f t="shared" ref="CM225:CM231" si="444">IF(R225&lt;S225,"* Los exámenes Reactivos de 35 a 39 años años NO DEBEN ser mayor a los Exámenes Procesados de la misma edad. ","")</f>
        <v/>
      </c>
      <c r="CN225" s="2234" t="str">
        <f t="shared" ref="CN225:CN231" si="445">IF(T225&lt;U225,"* Los exámenes Reactivos de 40 a 44 años años NO DEBEN ser mayor a los Exámenes Procesados de la misma edad. ","")</f>
        <v/>
      </c>
      <c r="CO225" s="2234" t="str">
        <f t="shared" ref="CO225:CO231" si="446">IF(V225&lt;W225,"* Los exámenes Reactivos de 45 a 49 años años NO DEBEN ser mayor a los Exámenes Procesados de la misma edad. ","")</f>
        <v/>
      </c>
      <c r="CP225" s="2234" t="str">
        <f t="shared" ref="CP225:CP231" si="447">IF(X225&lt;Y225,"* Los exámenes Reactivos de 50 a 54 años años NO DEBEN ser mayor a los Exámenes Procesados de la misma edad. ","")</f>
        <v/>
      </c>
      <c r="CQ225" s="2234" t="str">
        <f t="shared" ref="CQ225:CQ231" si="448">IF(Z225&lt;AA225,"* Los exámenes Reactivos de 55 a 59 años años NO DEBEN ser mayor a los Exámenes Procesados de la misma edad. ","")</f>
        <v/>
      </c>
      <c r="CR225" s="2234" t="str">
        <f t="shared" ref="CR225:CR231" si="449">IF(AB225&lt;AC225,"* Los exámenes Reactivos de 60 a 64 años años NO DEBEN ser mayor a los Exámenes Procesados de la misma edad. ","")</f>
        <v/>
      </c>
      <c r="CS225" s="2234" t="str">
        <f t="shared" ref="CS225:CS231" si="450">IF(AD225&lt;AE225,"* Los exámenes Reactivos de 65 a 69 años años NO DEBEN ser mayor a los Exámenes Procesados de la misma edad. ","")</f>
        <v/>
      </c>
      <c r="CT225" s="2234" t="str">
        <f t="shared" ref="CT225:CT231" si="451">IF(AF225&lt;AG225,"* Los exámenes Reactivos de 70 a 74 años años NO DEBEN ser mayor a los Exámenes Procesados de la misma edad. ","")</f>
        <v/>
      </c>
      <c r="CU225" s="2234" t="str">
        <f t="shared" ref="CU225:CU231" si="452">IF(AH225&lt;AI225,"* Los exámenes Reactivos de 75 a 79 años años NO DEBEN ser mayor a los Exámenes Procesados de la misma edad. ","")</f>
        <v/>
      </c>
      <c r="CV225" s="2234" t="str">
        <f t="shared" ref="CV225:CV231" si="453">IF(AJ225&lt;AK225,"* Los exámenes Reactivos de 80 y más años años NO DEBEN ser mayor a los Exámenes Procesados de la misma edad. ","")</f>
        <v/>
      </c>
      <c r="DF225" s="1465">
        <f t="shared" ref="DF225:DF231" si="454">IF(D225&lt;E225,1,0)</f>
        <v>0</v>
      </c>
      <c r="DG225" s="1465">
        <f t="shared" ref="DG225:DG231" si="455">IF(F225&lt;G225,1,0)</f>
        <v>0</v>
      </c>
      <c r="DH225" s="1465">
        <f t="shared" ref="DH225:DH231" si="456">IF(H225&lt;I225,1,0)</f>
        <v>0</v>
      </c>
      <c r="DI225" s="1465">
        <f t="shared" ref="DI225:DI231" si="457">IF(J225&lt;K225,1,0)</f>
        <v>0</v>
      </c>
      <c r="DJ225" s="1465">
        <f t="shared" ref="DJ225:DJ231" si="458">IF(L225&lt;M225,1,0)</f>
        <v>0</v>
      </c>
      <c r="DK225" s="1465">
        <f t="shared" ref="DK225:DK231" si="459">IF(N225&lt;O225,1,0)</f>
        <v>0</v>
      </c>
      <c r="DL225" s="1465">
        <f t="shared" ref="DL225:DL231" si="460">IF(P225&lt;Q225,1,0)</f>
        <v>0</v>
      </c>
      <c r="DM225" s="1465">
        <f t="shared" ref="DM225:DM231" si="461">IF(R225&lt;S225,1,0)</f>
        <v>0</v>
      </c>
      <c r="DN225" s="1465">
        <f t="shared" ref="DN225:DN231" si="462">IF(T225&lt;U225,1,0)</f>
        <v>0</v>
      </c>
      <c r="DO225" s="1465">
        <f t="shared" ref="DO225:DO231" si="463">IF(V225&lt;W225,1,0)</f>
        <v>0</v>
      </c>
      <c r="DP225" s="1465">
        <f t="shared" ref="DP225:DP231" si="464">IF(X225&lt;Y225,1,0)</f>
        <v>0</v>
      </c>
      <c r="DQ225" s="1465">
        <f t="shared" ref="DQ225:DQ231" si="465">IF(Z225&lt;AA225,1,0)</f>
        <v>0</v>
      </c>
      <c r="DR225" s="1465">
        <f t="shared" ref="DR225:DR231" si="466">IF(AB225&lt;AC225,1,0)</f>
        <v>0</v>
      </c>
      <c r="DS225" s="1465">
        <f t="shared" ref="DS225:DS231" si="467">IF(AD225&lt;AE225,1,0)</f>
        <v>0</v>
      </c>
      <c r="DT225" s="1465">
        <f t="shared" ref="DT225:DT231" si="468">IF(AF225&lt;AG225,1,0)</f>
        <v>0</v>
      </c>
      <c r="DU225" s="1465">
        <f t="shared" ref="DU225:DU231" si="469">IF(AH225&lt;AI225,1,0)</f>
        <v>0</v>
      </c>
      <c r="DV225" s="1465">
        <f t="shared" ref="DV225:DV231" si="470">IF(AJ225&lt;AK225,1,0)</f>
        <v>0</v>
      </c>
      <c r="DZ225" s="1465">
        <v>0</v>
      </c>
    </row>
    <row r="226" spans="1:130" ht="16.149999999999999" customHeight="1" x14ac:dyDescent="0.25">
      <c r="A226" s="2188" t="s">
        <v>1839</v>
      </c>
      <c r="B226" s="2038">
        <f t="shared" si="431"/>
        <v>0</v>
      </c>
      <c r="C226" s="2039">
        <f t="shared" si="431"/>
        <v>0</v>
      </c>
      <c r="D226" s="1132"/>
      <c r="E226" s="1136"/>
      <c r="F226" s="1135"/>
      <c r="G226" s="1136"/>
      <c r="H226" s="1135"/>
      <c r="I226" s="1136"/>
      <c r="J226" s="1109"/>
      <c r="K226" s="1130"/>
      <c r="L226" s="1109"/>
      <c r="M226" s="1130"/>
      <c r="N226" s="1109"/>
      <c r="O226" s="1130"/>
      <c r="P226" s="1109"/>
      <c r="Q226" s="1130"/>
      <c r="R226" s="1109"/>
      <c r="S226" s="1130"/>
      <c r="T226" s="1109"/>
      <c r="U226" s="1130"/>
      <c r="V226" s="1109"/>
      <c r="W226" s="1130"/>
      <c r="X226" s="1109"/>
      <c r="Y226" s="1130"/>
      <c r="Z226" s="1109"/>
      <c r="AA226" s="1130"/>
      <c r="AB226" s="1109"/>
      <c r="AC226" s="1130"/>
      <c r="AD226" s="1109"/>
      <c r="AE226" s="1130"/>
      <c r="AF226" s="1109"/>
      <c r="AG226" s="1130"/>
      <c r="AH226" s="1109"/>
      <c r="AI226" s="1130"/>
      <c r="AJ226" s="1109"/>
      <c r="AK226" s="1131"/>
      <c r="AL226" s="1129"/>
      <c r="AM226" s="1131"/>
      <c r="AN226" s="1129"/>
      <c r="AO226" s="1110"/>
      <c r="AP226" s="1109"/>
      <c r="AQ226" s="1192"/>
      <c r="AR226" s="1492"/>
      <c r="AS226" s="1193"/>
      <c r="AT226" s="1193"/>
      <c r="AU226" s="1193"/>
      <c r="AV226" s="1193"/>
      <c r="AW226" s="1193"/>
      <c r="AX226" s="1193"/>
      <c r="AY226" s="1193"/>
      <c r="AZ226" s="1193"/>
      <c r="BA226" s="1193"/>
      <c r="BB226" s="1193"/>
      <c r="BC226" s="1193"/>
      <c r="BD226" s="1187"/>
      <c r="BE226" s="1187"/>
      <c r="BF226" s="1187"/>
      <c r="BG226" s="1187"/>
      <c r="CA226" s="2234" t="str">
        <f t="shared" si="432"/>
        <v/>
      </c>
      <c r="CB226" s="2234" t="str">
        <f t="shared" si="433"/>
        <v/>
      </c>
      <c r="CC226" s="2234" t="str">
        <f t="shared" si="434"/>
        <v/>
      </c>
      <c r="CD226" s="2234" t="str">
        <f t="shared" si="435"/>
        <v/>
      </c>
      <c r="CE226" s="2234" t="str">
        <f t="shared" si="436"/>
        <v/>
      </c>
      <c r="CF226" s="2234" t="str">
        <f t="shared" si="437"/>
        <v/>
      </c>
      <c r="CG226" s="2234" t="str">
        <f t="shared" si="438"/>
        <v/>
      </c>
      <c r="CH226" s="2234" t="str">
        <f t="shared" si="439"/>
        <v/>
      </c>
      <c r="CI226" s="2234" t="str">
        <f t="shared" si="440"/>
        <v/>
      </c>
      <c r="CJ226" s="2234" t="str">
        <f t="shared" si="441"/>
        <v/>
      </c>
      <c r="CK226" s="2234" t="str">
        <f t="shared" si="442"/>
        <v/>
      </c>
      <c r="CL226" s="2234" t="str">
        <f t="shared" si="443"/>
        <v/>
      </c>
      <c r="CM226" s="2234" t="str">
        <f t="shared" si="444"/>
        <v/>
      </c>
      <c r="CN226" s="2234" t="str">
        <f t="shared" si="445"/>
        <v/>
      </c>
      <c r="CO226" s="2234" t="str">
        <f t="shared" si="446"/>
        <v/>
      </c>
      <c r="CP226" s="2234" t="str">
        <f t="shared" si="447"/>
        <v/>
      </c>
      <c r="CQ226" s="2234" t="str">
        <f t="shared" si="448"/>
        <v/>
      </c>
      <c r="CR226" s="2234" t="str">
        <f t="shared" si="449"/>
        <v/>
      </c>
      <c r="CS226" s="2234" t="str">
        <f t="shared" si="450"/>
        <v/>
      </c>
      <c r="CT226" s="2234" t="str">
        <f t="shared" si="451"/>
        <v/>
      </c>
      <c r="CU226" s="2234" t="str">
        <f t="shared" si="452"/>
        <v/>
      </c>
      <c r="CV226" s="2234" t="str">
        <f t="shared" si="453"/>
        <v/>
      </c>
      <c r="DF226" s="1465">
        <f t="shared" si="454"/>
        <v>0</v>
      </c>
      <c r="DG226" s="1465">
        <f t="shared" si="455"/>
        <v>0</v>
      </c>
      <c r="DH226" s="1465">
        <f t="shared" si="456"/>
        <v>0</v>
      </c>
      <c r="DI226" s="1465">
        <f t="shared" si="457"/>
        <v>0</v>
      </c>
      <c r="DJ226" s="1465">
        <f t="shared" si="458"/>
        <v>0</v>
      </c>
      <c r="DK226" s="1465">
        <f t="shared" si="459"/>
        <v>0</v>
      </c>
      <c r="DL226" s="1465">
        <f t="shared" si="460"/>
        <v>0</v>
      </c>
      <c r="DM226" s="1465">
        <f t="shared" si="461"/>
        <v>0</v>
      </c>
      <c r="DN226" s="1465">
        <f t="shared" si="462"/>
        <v>0</v>
      </c>
      <c r="DO226" s="1465">
        <f t="shared" si="463"/>
        <v>0</v>
      </c>
      <c r="DP226" s="1465">
        <f t="shared" si="464"/>
        <v>0</v>
      </c>
      <c r="DQ226" s="1465">
        <f t="shared" si="465"/>
        <v>0</v>
      </c>
      <c r="DR226" s="1465">
        <f t="shared" si="466"/>
        <v>0</v>
      </c>
      <c r="DS226" s="1465">
        <f t="shared" si="467"/>
        <v>0</v>
      </c>
      <c r="DT226" s="1465">
        <f t="shared" si="468"/>
        <v>0</v>
      </c>
      <c r="DU226" s="1465">
        <f t="shared" si="469"/>
        <v>0</v>
      </c>
      <c r="DV226" s="1465">
        <f t="shared" si="470"/>
        <v>0</v>
      </c>
      <c r="DZ226" s="1465">
        <v>0</v>
      </c>
    </row>
    <row r="227" spans="1:130" ht="16.149999999999999" customHeight="1" x14ac:dyDescent="0.25">
      <c r="A227" s="2188" t="s">
        <v>1840</v>
      </c>
      <c r="B227" s="2038">
        <f t="shared" si="431"/>
        <v>0</v>
      </c>
      <c r="C227" s="2039">
        <f t="shared" si="431"/>
        <v>0</v>
      </c>
      <c r="D227" s="1129"/>
      <c r="E227" s="1130"/>
      <c r="F227" s="1109"/>
      <c r="G227" s="1130"/>
      <c r="H227" s="1109"/>
      <c r="I227" s="1130"/>
      <c r="J227" s="1109"/>
      <c r="K227" s="1130"/>
      <c r="L227" s="1109"/>
      <c r="M227" s="1130"/>
      <c r="N227" s="1109"/>
      <c r="O227" s="1130"/>
      <c r="P227" s="1109"/>
      <c r="Q227" s="1130"/>
      <c r="R227" s="1109"/>
      <c r="S227" s="1130"/>
      <c r="T227" s="1109"/>
      <c r="U227" s="1130"/>
      <c r="V227" s="1109"/>
      <c r="W227" s="1130"/>
      <c r="X227" s="1109"/>
      <c r="Y227" s="1130"/>
      <c r="Z227" s="1109"/>
      <c r="AA227" s="1130"/>
      <c r="AB227" s="1109"/>
      <c r="AC227" s="1130"/>
      <c r="AD227" s="1109"/>
      <c r="AE227" s="1130"/>
      <c r="AF227" s="1109"/>
      <c r="AG227" s="1130"/>
      <c r="AH227" s="1109"/>
      <c r="AI227" s="1130"/>
      <c r="AJ227" s="1109"/>
      <c r="AK227" s="1131"/>
      <c r="AL227" s="1129"/>
      <c r="AM227" s="1131"/>
      <c r="AN227" s="1129"/>
      <c r="AO227" s="1110"/>
      <c r="AP227" s="1109"/>
      <c r="AQ227" s="1192"/>
      <c r="AR227" s="1492"/>
      <c r="AS227" s="1193"/>
      <c r="AT227" s="1193"/>
      <c r="AU227" s="1193"/>
      <c r="AV227" s="1193"/>
      <c r="AW227" s="1193"/>
      <c r="AX227" s="1193"/>
      <c r="AY227" s="1193"/>
      <c r="AZ227" s="1193"/>
      <c r="BA227" s="1193"/>
      <c r="BB227" s="1193"/>
      <c r="BC227" s="1193"/>
      <c r="BD227" s="1187"/>
      <c r="BE227" s="1187"/>
      <c r="BF227" s="1187"/>
      <c r="BG227" s="1187"/>
      <c r="CA227" s="2234" t="str">
        <f t="shared" si="432"/>
        <v/>
      </c>
      <c r="CB227" s="2234" t="str">
        <f t="shared" si="433"/>
        <v/>
      </c>
      <c r="CC227" s="2234" t="str">
        <f t="shared" si="434"/>
        <v/>
      </c>
      <c r="CD227" s="2234" t="str">
        <f t="shared" si="435"/>
        <v/>
      </c>
      <c r="CE227" s="2234" t="str">
        <f t="shared" si="436"/>
        <v/>
      </c>
      <c r="CF227" s="2234" t="str">
        <f t="shared" si="437"/>
        <v/>
      </c>
      <c r="CG227" s="2234" t="str">
        <f t="shared" si="438"/>
        <v/>
      </c>
      <c r="CH227" s="2234" t="str">
        <f t="shared" si="439"/>
        <v/>
      </c>
      <c r="CI227" s="2234" t="str">
        <f t="shared" si="440"/>
        <v/>
      </c>
      <c r="CJ227" s="2234" t="str">
        <f t="shared" si="441"/>
        <v/>
      </c>
      <c r="CK227" s="2234" t="str">
        <f t="shared" si="442"/>
        <v/>
      </c>
      <c r="CL227" s="2234" t="str">
        <f t="shared" si="443"/>
        <v/>
      </c>
      <c r="CM227" s="2234" t="str">
        <f t="shared" si="444"/>
        <v/>
      </c>
      <c r="CN227" s="2234" t="str">
        <f t="shared" si="445"/>
        <v/>
      </c>
      <c r="CO227" s="2234" t="str">
        <f t="shared" si="446"/>
        <v/>
      </c>
      <c r="CP227" s="2234" t="str">
        <f t="shared" si="447"/>
        <v/>
      </c>
      <c r="CQ227" s="2234" t="str">
        <f t="shared" si="448"/>
        <v/>
      </c>
      <c r="CR227" s="2234" t="str">
        <f t="shared" si="449"/>
        <v/>
      </c>
      <c r="CS227" s="2234" t="str">
        <f t="shared" si="450"/>
        <v/>
      </c>
      <c r="CT227" s="2234" t="str">
        <f t="shared" si="451"/>
        <v/>
      </c>
      <c r="CU227" s="2234" t="str">
        <f t="shared" si="452"/>
        <v/>
      </c>
      <c r="CV227" s="2234" t="str">
        <f t="shared" si="453"/>
        <v/>
      </c>
      <c r="DF227" s="1465">
        <f t="shared" si="454"/>
        <v>0</v>
      </c>
      <c r="DG227" s="1465">
        <f t="shared" si="455"/>
        <v>0</v>
      </c>
      <c r="DH227" s="1465">
        <f t="shared" si="456"/>
        <v>0</v>
      </c>
      <c r="DI227" s="1465">
        <f t="shared" si="457"/>
        <v>0</v>
      </c>
      <c r="DJ227" s="1465">
        <f t="shared" si="458"/>
        <v>0</v>
      </c>
      <c r="DK227" s="1465">
        <f t="shared" si="459"/>
        <v>0</v>
      </c>
      <c r="DL227" s="1465">
        <f t="shared" si="460"/>
        <v>0</v>
      </c>
      <c r="DM227" s="1465">
        <f t="shared" si="461"/>
        <v>0</v>
      </c>
      <c r="DN227" s="1465">
        <f t="shared" si="462"/>
        <v>0</v>
      </c>
      <c r="DO227" s="1465">
        <f t="shared" si="463"/>
        <v>0</v>
      </c>
      <c r="DP227" s="1465">
        <f t="shared" si="464"/>
        <v>0</v>
      </c>
      <c r="DQ227" s="1465">
        <f t="shared" si="465"/>
        <v>0</v>
      </c>
      <c r="DR227" s="1465">
        <f t="shared" si="466"/>
        <v>0</v>
      </c>
      <c r="DS227" s="1465">
        <f t="shared" si="467"/>
        <v>0</v>
      </c>
      <c r="DT227" s="1465">
        <f t="shared" si="468"/>
        <v>0</v>
      </c>
      <c r="DU227" s="1465">
        <f t="shared" si="469"/>
        <v>0</v>
      </c>
      <c r="DV227" s="1465">
        <f t="shared" si="470"/>
        <v>0</v>
      </c>
      <c r="DZ227" s="1465">
        <v>0</v>
      </c>
    </row>
    <row r="228" spans="1:130" ht="16.149999999999999" customHeight="1" x14ac:dyDescent="0.25">
      <c r="A228" s="2188" t="s">
        <v>1841</v>
      </c>
      <c r="B228" s="2038">
        <f t="shared" si="431"/>
        <v>0</v>
      </c>
      <c r="C228" s="2039">
        <f t="shared" si="431"/>
        <v>0</v>
      </c>
      <c r="D228" s="1129"/>
      <c r="E228" s="1130"/>
      <c r="F228" s="1109"/>
      <c r="G228" s="1130"/>
      <c r="H228" s="1109"/>
      <c r="I228" s="1130"/>
      <c r="J228" s="1109"/>
      <c r="K228" s="1130"/>
      <c r="L228" s="1109"/>
      <c r="M228" s="1130"/>
      <c r="N228" s="1109"/>
      <c r="O228" s="1130"/>
      <c r="P228" s="1109"/>
      <c r="Q228" s="1130"/>
      <c r="R228" s="1109"/>
      <c r="S228" s="1130"/>
      <c r="T228" s="1109"/>
      <c r="U228" s="1130"/>
      <c r="V228" s="1109"/>
      <c r="W228" s="1130"/>
      <c r="X228" s="1109"/>
      <c r="Y228" s="1130"/>
      <c r="Z228" s="1109"/>
      <c r="AA228" s="1130"/>
      <c r="AB228" s="1109"/>
      <c r="AC228" s="1130"/>
      <c r="AD228" s="1109"/>
      <c r="AE228" s="1130"/>
      <c r="AF228" s="1109"/>
      <c r="AG228" s="1130"/>
      <c r="AH228" s="1109"/>
      <c r="AI228" s="1130"/>
      <c r="AJ228" s="1109"/>
      <c r="AK228" s="1131"/>
      <c r="AL228" s="1129"/>
      <c r="AM228" s="1131"/>
      <c r="AN228" s="1129"/>
      <c r="AO228" s="1110"/>
      <c r="AP228" s="1109"/>
      <c r="AQ228" s="1192"/>
      <c r="AR228" s="1492"/>
      <c r="AS228" s="1193"/>
      <c r="AT228" s="1193"/>
      <c r="AU228" s="1193"/>
      <c r="AV228" s="1193"/>
      <c r="AW228" s="1193"/>
      <c r="AX228" s="1193"/>
      <c r="AY228" s="1193"/>
      <c r="AZ228" s="1193"/>
      <c r="BA228" s="1193"/>
      <c r="BB228" s="1193"/>
      <c r="BC228" s="1193"/>
      <c r="BD228" s="1187"/>
      <c r="BE228" s="1187"/>
      <c r="BF228" s="1187"/>
      <c r="BG228" s="1187"/>
      <c r="CA228" s="2234" t="str">
        <f t="shared" si="432"/>
        <v/>
      </c>
      <c r="CB228" s="2234" t="str">
        <f t="shared" si="433"/>
        <v/>
      </c>
      <c r="CC228" s="2234" t="str">
        <f t="shared" si="434"/>
        <v/>
      </c>
      <c r="CD228" s="2234" t="str">
        <f t="shared" si="435"/>
        <v/>
      </c>
      <c r="CE228" s="2234" t="str">
        <f t="shared" si="436"/>
        <v/>
      </c>
      <c r="CF228" s="2234" t="str">
        <f t="shared" si="437"/>
        <v/>
      </c>
      <c r="CG228" s="2234" t="str">
        <f t="shared" si="438"/>
        <v/>
      </c>
      <c r="CH228" s="2234" t="str">
        <f t="shared" si="439"/>
        <v/>
      </c>
      <c r="CI228" s="2234" t="str">
        <f t="shared" si="440"/>
        <v/>
      </c>
      <c r="CJ228" s="2234" t="str">
        <f t="shared" si="441"/>
        <v/>
      </c>
      <c r="CK228" s="2234" t="str">
        <f t="shared" si="442"/>
        <v/>
      </c>
      <c r="CL228" s="2234" t="str">
        <f t="shared" si="443"/>
        <v/>
      </c>
      <c r="CM228" s="2234" t="str">
        <f t="shared" si="444"/>
        <v/>
      </c>
      <c r="CN228" s="2234" t="str">
        <f t="shared" si="445"/>
        <v/>
      </c>
      <c r="CO228" s="2234" t="str">
        <f t="shared" si="446"/>
        <v/>
      </c>
      <c r="CP228" s="2234" t="str">
        <f t="shared" si="447"/>
        <v/>
      </c>
      <c r="CQ228" s="2234" t="str">
        <f t="shared" si="448"/>
        <v/>
      </c>
      <c r="CR228" s="2234" t="str">
        <f t="shared" si="449"/>
        <v/>
      </c>
      <c r="CS228" s="2234" t="str">
        <f t="shared" si="450"/>
        <v/>
      </c>
      <c r="CT228" s="2234" t="str">
        <f t="shared" si="451"/>
        <v/>
      </c>
      <c r="CU228" s="2234" t="str">
        <f t="shared" si="452"/>
        <v/>
      </c>
      <c r="CV228" s="2234" t="str">
        <f t="shared" si="453"/>
        <v/>
      </c>
      <c r="DF228" s="1465">
        <f t="shared" si="454"/>
        <v>0</v>
      </c>
      <c r="DG228" s="1465">
        <f t="shared" si="455"/>
        <v>0</v>
      </c>
      <c r="DH228" s="1465">
        <f t="shared" si="456"/>
        <v>0</v>
      </c>
      <c r="DI228" s="1465">
        <f t="shared" si="457"/>
        <v>0</v>
      </c>
      <c r="DJ228" s="1465">
        <f t="shared" si="458"/>
        <v>0</v>
      </c>
      <c r="DK228" s="1465">
        <f t="shared" si="459"/>
        <v>0</v>
      </c>
      <c r="DL228" s="1465">
        <f t="shared" si="460"/>
        <v>0</v>
      </c>
      <c r="DM228" s="1465">
        <f t="shared" si="461"/>
        <v>0</v>
      </c>
      <c r="DN228" s="1465">
        <f t="shared" si="462"/>
        <v>0</v>
      </c>
      <c r="DO228" s="1465">
        <f t="shared" si="463"/>
        <v>0</v>
      </c>
      <c r="DP228" s="1465">
        <f t="shared" si="464"/>
        <v>0</v>
      </c>
      <c r="DQ228" s="1465">
        <f t="shared" si="465"/>
        <v>0</v>
      </c>
      <c r="DR228" s="1465">
        <f t="shared" si="466"/>
        <v>0</v>
      </c>
      <c r="DS228" s="1465">
        <f t="shared" si="467"/>
        <v>0</v>
      </c>
      <c r="DT228" s="1465">
        <f t="shared" si="468"/>
        <v>0</v>
      </c>
      <c r="DU228" s="1465">
        <f t="shared" si="469"/>
        <v>0</v>
      </c>
      <c r="DV228" s="1465">
        <f t="shared" si="470"/>
        <v>0</v>
      </c>
      <c r="DZ228" s="1465">
        <v>0</v>
      </c>
    </row>
    <row r="229" spans="1:130" ht="27.75" customHeight="1" x14ac:dyDescent="0.25">
      <c r="A229" s="2189" t="s">
        <v>1842</v>
      </c>
      <c r="B229" s="2038">
        <f t="shared" si="431"/>
        <v>0</v>
      </c>
      <c r="C229" s="2039">
        <f t="shared" si="431"/>
        <v>0</v>
      </c>
      <c r="D229" s="1129"/>
      <c r="E229" s="1130"/>
      <c r="F229" s="1109"/>
      <c r="G229" s="1130"/>
      <c r="H229" s="1109"/>
      <c r="I229" s="1130"/>
      <c r="J229" s="1109"/>
      <c r="K229" s="1130"/>
      <c r="L229" s="1109"/>
      <c r="M229" s="1130"/>
      <c r="N229" s="1109"/>
      <c r="O229" s="1130"/>
      <c r="P229" s="1109"/>
      <c r="Q229" s="1130"/>
      <c r="R229" s="1109"/>
      <c r="S229" s="1130"/>
      <c r="T229" s="1109"/>
      <c r="U229" s="1130"/>
      <c r="V229" s="1109"/>
      <c r="W229" s="1130"/>
      <c r="X229" s="1109"/>
      <c r="Y229" s="1130"/>
      <c r="Z229" s="1109"/>
      <c r="AA229" s="1130"/>
      <c r="AB229" s="1109"/>
      <c r="AC229" s="1130"/>
      <c r="AD229" s="1109"/>
      <c r="AE229" s="1130"/>
      <c r="AF229" s="1109"/>
      <c r="AG229" s="1130"/>
      <c r="AH229" s="1109"/>
      <c r="AI229" s="1130"/>
      <c r="AJ229" s="1109"/>
      <c r="AK229" s="1131"/>
      <c r="AL229" s="1129"/>
      <c r="AM229" s="1131"/>
      <c r="AN229" s="1129"/>
      <c r="AO229" s="1110"/>
      <c r="AP229" s="1109"/>
      <c r="AQ229" s="1192"/>
      <c r="AR229" s="1492"/>
      <c r="AS229" s="1193"/>
      <c r="AT229" s="1193"/>
      <c r="AU229" s="1193"/>
      <c r="AV229" s="1193"/>
      <c r="AW229" s="1193"/>
      <c r="AX229" s="1193"/>
      <c r="AY229" s="1193"/>
      <c r="AZ229" s="1193"/>
      <c r="BA229" s="1193"/>
      <c r="BB229" s="1193"/>
      <c r="BC229" s="1193"/>
      <c r="BD229" s="1187"/>
      <c r="BE229" s="1187"/>
      <c r="BF229" s="1187"/>
      <c r="BG229" s="1187"/>
      <c r="CA229" s="2234" t="str">
        <f t="shared" si="432"/>
        <v/>
      </c>
      <c r="CB229" s="2234" t="str">
        <f t="shared" si="433"/>
        <v/>
      </c>
      <c r="CC229" s="2234" t="str">
        <f t="shared" si="434"/>
        <v/>
      </c>
      <c r="CD229" s="2234" t="str">
        <f t="shared" si="435"/>
        <v/>
      </c>
      <c r="CE229" s="2234" t="str">
        <f t="shared" si="436"/>
        <v/>
      </c>
      <c r="CF229" s="2234" t="str">
        <f t="shared" si="437"/>
        <v/>
      </c>
      <c r="CG229" s="2234" t="str">
        <f t="shared" si="438"/>
        <v/>
      </c>
      <c r="CH229" s="2234" t="str">
        <f t="shared" si="439"/>
        <v/>
      </c>
      <c r="CI229" s="2234" t="str">
        <f t="shared" si="440"/>
        <v/>
      </c>
      <c r="CJ229" s="2234" t="str">
        <f t="shared" si="441"/>
        <v/>
      </c>
      <c r="CK229" s="2234" t="str">
        <f t="shared" si="442"/>
        <v/>
      </c>
      <c r="CL229" s="2234" t="str">
        <f t="shared" si="443"/>
        <v/>
      </c>
      <c r="CM229" s="2234" t="str">
        <f t="shared" si="444"/>
        <v/>
      </c>
      <c r="CN229" s="2234" t="str">
        <f t="shared" si="445"/>
        <v/>
      </c>
      <c r="CO229" s="2234" t="str">
        <f t="shared" si="446"/>
        <v/>
      </c>
      <c r="CP229" s="2234" t="str">
        <f t="shared" si="447"/>
        <v/>
      </c>
      <c r="CQ229" s="2234" t="str">
        <f t="shared" si="448"/>
        <v/>
      </c>
      <c r="CR229" s="2234" t="str">
        <f t="shared" si="449"/>
        <v/>
      </c>
      <c r="CS229" s="2234" t="str">
        <f t="shared" si="450"/>
        <v/>
      </c>
      <c r="CT229" s="2234" t="str">
        <f t="shared" si="451"/>
        <v/>
      </c>
      <c r="CU229" s="2234" t="str">
        <f t="shared" si="452"/>
        <v/>
      </c>
      <c r="CV229" s="2234" t="str">
        <f t="shared" si="453"/>
        <v/>
      </c>
      <c r="DF229" s="1465">
        <f t="shared" si="454"/>
        <v>0</v>
      </c>
      <c r="DG229" s="1465">
        <f t="shared" si="455"/>
        <v>0</v>
      </c>
      <c r="DH229" s="1465">
        <f t="shared" si="456"/>
        <v>0</v>
      </c>
      <c r="DI229" s="1465">
        <f t="shared" si="457"/>
        <v>0</v>
      </c>
      <c r="DJ229" s="1465">
        <f t="shared" si="458"/>
        <v>0</v>
      </c>
      <c r="DK229" s="1465">
        <f t="shared" si="459"/>
        <v>0</v>
      </c>
      <c r="DL229" s="1465">
        <f t="shared" si="460"/>
        <v>0</v>
      </c>
      <c r="DM229" s="1465">
        <f t="shared" si="461"/>
        <v>0</v>
      </c>
      <c r="DN229" s="1465">
        <f t="shared" si="462"/>
        <v>0</v>
      </c>
      <c r="DO229" s="1465">
        <f t="shared" si="463"/>
        <v>0</v>
      </c>
      <c r="DP229" s="1465">
        <f t="shared" si="464"/>
        <v>0</v>
      </c>
      <c r="DQ229" s="1465">
        <f t="shared" si="465"/>
        <v>0</v>
      </c>
      <c r="DR229" s="1465">
        <f t="shared" si="466"/>
        <v>0</v>
      </c>
      <c r="DS229" s="1465">
        <f t="shared" si="467"/>
        <v>0</v>
      </c>
      <c r="DT229" s="1465">
        <f t="shared" si="468"/>
        <v>0</v>
      </c>
      <c r="DU229" s="1465">
        <f t="shared" si="469"/>
        <v>0</v>
      </c>
      <c r="DV229" s="1465">
        <f t="shared" si="470"/>
        <v>0</v>
      </c>
      <c r="DZ229" s="1465">
        <v>0</v>
      </c>
    </row>
    <row r="230" spans="1:130" ht="16.149999999999999" customHeight="1" x14ac:dyDescent="0.25">
      <c r="A230" s="2188" t="s">
        <v>1843</v>
      </c>
      <c r="B230" s="2038">
        <f t="shared" si="431"/>
        <v>0</v>
      </c>
      <c r="C230" s="2039">
        <f t="shared" si="431"/>
        <v>0</v>
      </c>
      <c r="D230" s="1129"/>
      <c r="E230" s="1130"/>
      <c r="F230" s="1109"/>
      <c r="G230" s="1130"/>
      <c r="H230" s="1109"/>
      <c r="I230" s="1130"/>
      <c r="J230" s="1109"/>
      <c r="K230" s="1130"/>
      <c r="L230" s="1109"/>
      <c r="M230" s="1130"/>
      <c r="N230" s="1109"/>
      <c r="O230" s="1130"/>
      <c r="P230" s="1109"/>
      <c r="Q230" s="1130"/>
      <c r="R230" s="1109"/>
      <c r="S230" s="1130"/>
      <c r="T230" s="1109"/>
      <c r="U230" s="1130"/>
      <c r="V230" s="1109"/>
      <c r="W230" s="1130"/>
      <c r="X230" s="1109"/>
      <c r="Y230" s="1130"/>
      <c r="Z230" s="1109"/>
      <c r="AA230" s="1130"/>
      <c r="AB230" s="1109"/>
      <c r="AC230" s="1130"/>
      <c r="AD230" s="1109"/>
      <c r="AE230" s="1130"/>
      <c r="AF230" s="1109"/>
      <c r="AG230" s="1130"/>
      <c r="AH230" s="1109"/>
      <c r="AI230" s="1130"/>
      <c r="AJ230" s="1109"/>
      <c r="AK230" s="1131"/>
      <c r="AL230" s="1129"/>
      <c r="AM230" s="1131"/>
      <c r="AN230" s="1129"/>
      <c r="AO230" s="1110"/>
      <c r="AP230" s="1109"/>
      <c r="AQ230" s="1192"/>
      <c r="AR230" s="1492"/>
      <c r="AS230" s="1193"/>
      <c r="AT230" s="1193"/>
      <c r="AU230" s="1193"/>
      <c r="AV230" s="1193"/>
      <c r="AW230" s="1193"/>
      <c r="AX230" s="1193"/>
      <c r="AY230" s="1193"/>
      <c r="AZ230" s="1193"/>
      <c r="BA230" s="1193"/>
      <c r="BB230" s="1193"/>
      <c r="BC230" s="1193"/>
      <c r="BD230" s="1187"/>
      <c r="BE230" s="1187"/>
      <c r="BF230" s="1187"/>
      <c r="BG230" s="1187"/>
      <c r="CA230" s="2234" t="str">
        <f t="shared" si="432"/>
        <v/>
      </c>
      <c r="CB230" s="2234" t="str">
        <f t="shared" si="433"/>
        <v/>
      </c>
      <c r="CC230" s="2234" t="str">
        <f t="shared" si="434"/>
        <v/>
      </c>
      <c r="CD230" s="2234" t="str">
        <f t="shared" si="435"/>
        <v/>
      </c>
      <c r="CE230" s="2234" t="str">
        <f t="shared" si="436"/>
        <v/>
      </c>
      <c r="CF230" s="2234" t="str">
        <f t="shared" si="437"/>
        <v/>
      </c>
      <c r="CG230" s="2234" t="str">
        <f t="shared" si="438"/>
        <v/>
      </c>
      <c r="CH230" s="2234" t="str">
        <f t="shared" si="439"/>
        <v/>
      </c>
      <c r="CI230" s="2234" t="str">
        <f t="shared" si="440"/>
        <v/>
      </c>
      <c r="CJ230" s="2234" t="str">
        <f t="shared" si="441"/>
        <v/>
      </c>
      <c r="CK230" s="2234" t="str">
        <f t="shared" si="442"/>
        <v/>
      </c>
      <c r="CL230" s="2234" t="str">
        <f t="shared" si="443"/>
        <v/>
      </c>
      <c r="CM230" s="2234" t="str">
        <f t="shared" si="444"/>
        <v/>
      </c>
      <c r="CN230" s="2234" t="str">
        <f t="shared" si="445"/>
        <v/>
      </c>
      <c r="CO230" s="2234" t="str">
        <f t="shared" si="446"/>
        <v/>
      </c>
      <c r="CP230" s="2234" t="str">
        <f t="shared" si="447"/>
        <v/>
      </c>
      <c r="CQ230" s="2234" t="str">
        <f t="shared" si="448"/>
        <v/>
      </c>
      <c r="CR230" s="2234" t="str">
        <f t="shared" si="449"/>
        <v/>
      </c>
      <c r="CS230" s="2234" t="str">
        <f t="shared" si="450"/>
        <v/>
      </c>
      <c r="CT230" s="2234" t="str">
        <f t="shared" si="451"/>
        <v/>
      </c>
      <c r="CU230" s="2234" t="str">
        <f t="shared" si="452"/>
        <v/>
      </c>
      <c r="CV230" s="2234" t="str">
        <f t="shared" si="453"/>
        <v/>
      </c>
      <c r="DF230" s="1465">
        <f t="shared" si="454"/>
        <v>0</v>
      </c>
      <c r="DG230" s="1465">
        <f t="shared" si="455"/>
        <v>0</v>
      </c>
      <c r="DH230" s="1465">
        <f t="shared" si="456"/>
        <v>0</v>
      </c>
      <c r="DI230" s="1465">
        <f t="shared" si="457"/>
        <v>0</v>
      </c>
      <c r="DJ230" s="1465">
        <f t="shared" si="458"/>
        <v>0</v>
      </c>
      <c r="DK230" s="1465">
        <f t="shared" si="459"/>
        <v>0</v>
      </c>
      <c r="DL230" s="1465">
        <f t="shared" si="460"/>
        <v>0</v>
      </c>
      <c r="DM230" s="1465">
        <f t="shared" si="461"/>
        <v>0</v>
      </c>
      <c r="DN230" s="1465">
        <f t="shared" si="462"/>
        <v>0</v>
      </c>
      <c r="DO230" s="1465">
        <f t="shared" si="463"/>
        <v>0</v>
      </c>
      <c r="DP230" s="1465">
        <f t="shared" si="464"/>
        <v>0</v>
      </c>
      <c r="DQ230" s="1465">
        <f t="shared" si="465"/>
        <v>0</v>
      </c>
      <c r="DR230" s="1465">
        <f t="shared" si="466"/>
        <v>0</v>
      </c>
      <c r="DS230" s="1465">
        <f t="shared" si="467"/>
        <v>0</v>
      </c>
      <c r="DT230" s="1465">
        <f t="shared" si="468"/>
        <v>0</v>
      </c>
      <c r="DU230" s="1465">
        <f t="shared" si="469"/>
        <v>0</v>
      </c>
      <c r="DV230" s="1465">
        <f t="shared" si="470"/>
        <v>0</v>
      </c>
      <c r="DZ230" s="1465">
        <v>0</v>
      </c>
    </row>
    <row r="231" spans="1:130" ht="16.149999999999999" customHeight="1" x14ac:dyDescent="0.25">
      <c r="A231" s="2190" t="s">
        <v>70</v>
      </c>
      <c r="B231" s="1194">
        <f t="shared" si="431"/>
        <v>0</v>
      </c>
      <c r="C231" s="1140">
        <f t="shared" si="431"/>
        <v>0</v>
      </c>
      <c r="D231" s="102"/>
      <c r="E231" s="83"/>
      <c r="F231" s="125"/>
      <c r="G231" s="83"/>
      <c r="H231" s="125"/>
      <c r="I231" s="83"/>
      <c r="J231" s="125"/>
      <c r="K231" s="83"/>
      <c r="L231" s="125"/>
      <c r="M231" s="83"/>
      <c r="N231" s="125"/>
      <c r="O231" s="83"/>
      <c r="P231" s="125"/>
      <c r="Q231" s="83"/>
      <c r="R231" s="125"/>
      <c r="S231" s="83"/>
      <c r="T231" s="125"/>
      <c r="U231" s="83"/>
      <c r="V231" s="125"/>
      <c r="W231" s="83"/>
      <c r="X231" s="125"/>
      <c r="Y231" s="83"/>
      <c r="Z231" s="125"/>
      <c r="AA231" s="83"/>
      <c r="AB231" s="125"/>
      <c r="AC231" s="83"/>
      <c r="AD231" s="125"/>
      <c r="AE231" s="83"/>
      <c r="AF231" s="125"/>
      <c r="AG231" s="83"/>
      <c r="AH231" s="125"/>
      <c r="AI231" s="83"/>
      <c r="AJ231" s="125"/>
      <c r="AK231" s="198"/>
      <c r="AL231" s="102"/>
      <c r="AM231" s="198"/>
      <c r="AN231" s="102"/>
      <c r="AO231" s="127"/>
      <c r="AP231" s="125"/>
      <c r="AQ231" s="86"/>
      <c r="AR231" s="1492"/>
      <c r="AS231" s="1193"/>
      <c r="AT231" s="1193"/>
      <c r="AU231" s="1193"/>
      <c r="AV231" s="1193"/>
      <c r="AW231" s="1193"/>
      <c r="AX231" s="1193"/>
      <c r="AY231" s="1193"/>
      <c r="AZ231" s="1193"/>
      <c r="BA231" s="1193"/>
      <c r="BB231" s="1193"/>
      <c r="BC231" s="1193"/>
      <c r="BD231" s="1187"/>
      <c r="BE231" s="1187"/>
      <c r="BF231" s="1187"/>
      <c r="BG231" s="1187"/>
      <c r="CA231" s="2234" t="str">
        <f t="shared" si="432"/>
        <v/>
      </c>
      <c r="CB231" s="2234" t="str">
        <f t="shared" si="433"/>
        <v/>
      </c>
      <c r="CC231" s="2234" t="str">
        <f t="shared" si="434"/>
        <v/>
      </c>
      <c r="CD231" s="2234" t="str">
        <f t="shared" si="435"/>
        <v/>
      </c>
      <c r="CE231" s="2234" t="str">
        <f t="shared" si="436"/>
        <v/>
      </c>
      <c r="CF231" s="2234" t="str">
        <f t="shared" si="437"/>
        <v/>
      </c>
      <c r="CG231" s="2234" t="str">
        <f t="shared" si="438"/>
        <v/>
      </c>
      <c r="CH231" s="2234" t="str">
        <f t="shared" si="439"/>
        <v/>
      </c>
      <c r="CI231" s="2234" t="str">
        <f t="shared" si="440"/>
        <v/>
      </c>
      <c r="CJ231" s="2234" t="str">
        <f t="shared" si="441"/>
        <v/>
      </c>
      <c r="CK231" s="2234" t="str">
        <f t="shared" si="442"/>
        <v/>
      </c>
      <c r="CL231" s="2234" t="str">
        <f t="shared" si="443"/>
        <v/>
      </c>
      <c r="CM231" s="2234" t="str">
        <f t="shared" si="444"/>
        <v/>
      </c>
      <c r="CN231" s="2234" t="str">
        <f t="shared" si="445"/>
        <v/>
      </c>
      <c r="CO231" s="2234" t="str">
        <f t="shared" si="446"/>
        <v/>
      </c>
      <c r="CP231" s="2234" t="str">
        <f t="shared" si="447"/>
        <v/>
      </c>
      <c r="CQ231" s="2234" t="str">
        <f t="shared" si="448"/>
        <v/>
      </c>
      <c r="CR231" s="2234" t="str">
        <f t="shared" si="449"/>
        <v/>
      </c>
      <c r="CS231" s="2234" t="str">
        <f t="shared" si="450"/>
        <v/>
      </c>
      <c r="CT231" s="2234" t="str">
        <f t="shared" si="451"/>
        <v/>
      </c>
      <c r="CU231" s="2234" t="str">
        <f t="shared" si="452"/>
        <v/>
      </c>
      <c r="CV231" s="2234" t="str">
        <f t="shared" si="453"/>
        <v/>
      </c>
      <c r="DF231" s="1465">
        <f t="shared" si="454"/>
        <v>0</v>
      </c>
      <c r="DG231" s="1465">
        <f t="shared" si="455"/>
        <v>0</v>
      </c>
      <c r="DH231" s="1465">
        <f t="shared" si="456"/>
        <v>0</v>
      </c>
      <c r="DI231" s="1465">
        <f t="shared" si="457"/>
        <v>0</v>
      </c>
      <c r="DJ231" s="1465">
        <f t="shared" si="458"/>
        <v>0</v>
      </c>
      <c r="DK231" s="1465">
        <f t="shared" si="459"/>
        <v>0</v>
      </c>
      <c r="DL231" s="1465">
        <f t="shared" si="460"/>
        <v>0</v>
      </c>
      <c r="DM231" s="1465">
        <f t="shared" si="461"/>
        <v>0</v>
      </c>
      <c r="DN231" s="1465">
        <f t="shared" si="462"/>
        <v>0</v>
      </c>
      <c r="DO231" s="1465">
        <f t="shared" si="463"/>
        <v>0</v>
      </c>
      <c r="DP231" s="1465">
        <f t="shared" si="464"/>
        <v>0</v>
      </c>
      <c r="DQ231" s="1465">
        <f t="shared" si="465"/>
        <v>0</v>
      </c>
      <c r="DR231" s="1465">
        <f t="shared" si="466"/>
        <v>0</v>
      </c>
      <c r="DS231" s="1465">
        <f t="shared" si="467"/>
        <v>0</v>
      </c>
      <c r="DT231" s="1465">
        <f t="shared" si="468"/>
        <v>0</v>
      </c>
      <c r="DU231" s="1465">
        <f t="shared" si="469"/>
        <v>0</v>
      </c>
      <c r="DV231" s="1465">
        <f t="shared" si="470"/>
        <v>0</v>
      </c>
      <c r="DZ231" s="1465">
        <v>0</v>
      </c>
    </row>
    <row r="232" spans="1:130" ht="27" customHeight="1" x14ac:dyDescent="0.25">
      <c r="A232" s="673" t="s">
        <v>2348</v>
      </c>
      <c r="B232" s="1188"/>
      <c r="C232" s="1188"/>
      <c r="D232" s="1188"/>
      <c r="E232" s="1188"/>
      <c r="F232" s="1188"/>
      <c r="G232" s="1188"/>
      <c r="H232" s="1188"/>
      <c r="I232" s="1188"/>
      <c r="J232" s="1193"/>
      <c r="K232" s="1193"/>
      <c r="L232" s="1193"/>
      <c r="M232" s="1193"/>
      <c r="N232" s="1193"/>
      <c r="O232" s="1193"/>
      <c r="P232" s="1193"/>
      <c r="Q232" s="1193"/>
      <c r="R232" s="1193"/>
      <c r="S232" s="1193"/>
      <c r="T232" s="1193"/>
      <c r="U232" s="1193"/>
      <c r="V232" s="1193"/>
      <c r="W232" s="1193"/>
      <c r="X232" s="1193"/>
      <c r="Y232" s="1193"/>
      <c r="Z232" s="1193"/>
      <c r="AA232" s="1193"/>
      <c r="AB232" s="1193"/>
      <c r="AC232" s="1193"/>
      <c r="AD232" s="1193"/>
      <c r="AE232" s="1193"/>
      <c r="AF232" s="1193"/>
      <c r="AG232" s="1193"/>
      <c r="AH232" s="1193"/>
      <c r="AI232" s="1193"/>
      <c r="AJ232" s="1193"/>
      <c r="AK232" s="1193"/>
      <c r="AL232" s="1193"/>
      <c r="AM232" s="1193"/>
      <c r="AN232" s="1193"/>
      <c r="AO232" s="1193"/>
      <c r="AP232" s="1193"/>
      <c r="AQ232" s="1193"/>
      <c r="AR232" s="1193"/>
      <c r="AS232" s="1187"/>
      <c r="AT232" s="1187"/>
      <c r="AU232" s="1187"/>
      <c r="AV232" s="1187"/>
      <c r="AW232" s="1187"/>
      <c r="AX232" s="1187"/>
      <c r="AY232" s="1187"/>
      <c r="AZ232" s="1187"/>
      <c r="BA232" s="1187"/>
      <c r="BB232" s="1187"/>
      <c r="BC232" s="1187"/>
      <c r="BD232" s="1187"/>
      <c r="BE232" s="1187"/>
      <c r="BF232" s="1187"/>
      <c r="BG232" s="1187"/>
    </row>
    <row r="233" spans="1:130" ht="15" customHeight="1" x14ac:dyDescent="0.25">
      <c r="A233" s="9609" t="s">
        <v>1844</v>
      </c>
      <c r="B233" s="9610"/>
      <c r="C233" s="9615" t="s">
        <v>24</v>
      </c>
      <c r="D233" s="9616"/>
      <c r="E233" s="9601"/>
      <c r="F233" s="9602"/>
      <c r="G233" s="9602"/>
      <c r="H233" s="9602"/>
      <c r="I233" s="9602"/>
      <c r="J233" s="9602"/>
      <c r="K233" s="9602"/>
      <c r="L233" s="9602"/>
      <c r="M233" s="9602"/>
      <c r="N233" s="9602"/>
      <c r="O233" s="9602"/>
      <c r="P233" s="9602"/>
      <c r="Q233" s="9602"/>
      <c r="R233" s="9602"/>
      <c r="S233" s="9602"/>
      <c r="T233" s="9602"/>
      <c r="U233" s="9602"/>
      <c r="V233" s="9602"/>
      <c r="W233" s="9602"/>
      <c r="X233" s="9602"/>
      <c r="Y233" s="9602"/>
      <c r="Z233" s="9602"/>
      <c r="AA233" s="9602"/>
      <c r="AB233" s="9602"/>
      <c r="AC233" s="9602"/>
      <c r="AD233" s="9602"/>
      <c r="AE233" s="9602"/>
      <c r="AF233" s="9602"/>
      <c r="AG233" s="9602"/>
      <c r="AH233" s="9602"/>
      <c r="AI233" s="9602"/>
      <c r="AJ233" s="9603"/>
      <c r="AK233" s="9604" t="s">
        <v>43</v>
      </c>
      <c r="AL233" s="9605"/>
      <c r="AM233" s="9605"/>
      <c r="AN233" s="9606"/>
      <c r="AO233" s="9605" t="s">
        <v>711</v>
      </c>
      <c r="AP233" s="9605"/>
      <c r="AQ233" s="9605"/>
      <c r="AR233" s="9606"/>
      <c r="AS233" s="9596" t="s">
        <v>1818</v>
      </c>
      <c r="AT233" s="9596"/>
      <c r="AU233" s="9596" t="s">
        <v>359</v>
      </c>
      <c r="AV233" s="9596"/>
      <c r="AW233" s="8129" t="s">
        <v>1269</v>
      </c>
      <c r="AX233" s="9536"/>
      <c r="AY233" s="1187"/>
      <c r="AZ233" s="1187"/>
      <c r="BA233" s="1187"/>
      <c r="BB233" s="1187"/>
      <c r="BC233" s="1187"/>
      <c r="BD233" s="1187"/>
      <c r="BE233" s="1187"/>
      <c r="BF233" s="1187"/>
      <c r="BG233" s="1187"/>
    </row>
    <row r="234" spans="1:130" ht="21.75" customHeight="1" x14ac:dyDescent="0.25">
      <c r="A234" s="9611"/>
      <c r="B234" s="9612"/>
      <c r="C234" s="9617"/>
      <c r="D234" s="9618"/>
      <c r="E234" s="8218" t="s">
        <v>1819</v>
      </c>
      <c r="F234" s="9528"/>
      <c r="G234" s="8218" t="s">
        <v>720</v>
      </c>
      <c r="H234" s="9528"/>
      <c r="I234" s="8218" t="s">
        <v>1820</v>
      </c>
      <c r="J234" s="9528"/>
      <c r="K234" s="8215" t="s">
        <v>1413</v>
      </c>
      <c r="L234" s="8217"/>
      <c r="M234" s="8215" t="s">
        <v>32</v>
      </c>
      <c r="N234" s="8217"/>
      <c r="O234" s="8215" t="s">
        <v>33</v>
      </c>
      <c r="P234" s="8217"/>
      <c r="Q234" s="8215" t="s">
        <v>40</v>
      </c>
      <c r="R234" s="8217"/>
      <c r="S234" s="8215" t="s">
        <v>115</v>
      </c>
      <c r="T234" s="8217"/>
      <c r="U234" s="8215" t="s">
        <v>116</v>
      </c>
      <c r="V234" s="8217"/>
      <c r="W234" s="8216" t="s">
        <v>117</v>
      </c>
      <c r="X234" s="8217"/>
      <c r="Y234" s="8216" t="s">
        <v>118</v>
      </c>
      <c r="Z234" s="8217"/>
      <c r="AA234" s="8216" t="s">
        <v>119</v>
      </c>
      <c r="AB234" s="8217"/>
      <c r="AC234" s="8215" t="s">
        <v>120</v>
      </c>
      <c r="AD234" s="8217"/>
      <c r="AE234" s="8216" t="s">
        <v>1412</v>
      </c>
      <c r="AF234" s="8217"/>
      <c r="AG234" s="8216" t="s">
        <v>1404</v>
      </c>
      <c r="AH234" s="8217"/>
      <c r="AI234" s="8216" t="s">
        <v>1845</v>
      </c>
      <c r="AJ234" s="9527"/>
      <c r="AK234" s="9608" t="s">
        <v>17</v>
      </c>
      <c r="AL234" s="9600"/>
      <c r="AM234" s="9599" t="s">
        <v>18</v>
      </c>
      <c r="AN234" s="9600"/>
      <c r="AO234" s="9599" t="s">
        <v>357</v>
      </c>
      <c r="AP234" s="9600"/>
      <c r="AQ234" s="9599" t="s">
        <v>356</v>
      </c>
      <c r="AR234" s="9600"/>
      <c r="AS234" s="9597"/>
      <c r="AT234" s="9597"/>
      <c r="AU234" s="9597"/>
      <c r="AV234" s="9597"/>
      <c r="AW234" s="9598"/>
      <c r="AX234" s="8152"/>
      <c r="AY234" s="1187"/>
      <c r="AZ234" s="1187"/>
      <c r="BA234" s="1187"/>
      <c r="BB234" s="1187"/>
      <c r="BC234" s="1187"/>
      <c r="BD234" s="1187"/>
      <c r="BE234" s="1187"/>
      <c r="BF234" s="1187"/>
      <c r="BG234" s="1187"/>
    </row>
    <row r="235" spans="1:130" ht="39" customHeight="1" x14ac:dyDescent="0.25">
      <c r="A235" s="9613"/>
      <c r="B235" s="9614"/>
      <c r="C235" s="1122" t="s">
        <v>1780</v>
      </c>
      <c r="D235" s="935" t="s">
        <v>1822</v>
      </c>
      <c r="E235" s="1119" t="s">
        <v>1780</v>
      </c>
      <c r="F235" s="935" t="s">
        <v>1822</v>
      </c>
      <c r="G235" s="1119" t="s">
        <v>1780</v>
      </c>
      <c r="H235" s="935" t="s">
        <v>1822</v>
      </c>
      <c r="I235" s="1122" t="s">
        <v>1780</v>
      </c>
      <c r="J235" s="935" t="s">
        <v>1822</v>
      </c>
      <c r="K235" s="1122" t="s">
        <v>1780</v>
      </c>
      <c r="L235" s="935" t="s">
        <v>1822</v>
      </c>
      <c r="M235" s="1119" t="s">
        <v>1780</v>
      </c>
      <c r="N235" s="935" t="s">
        <v>1822</v>
      </c>
      <c r="O235" s="1119" t="s">
        <v>1780</v>
      </c>
      <c r="P235" s="935" t="s">
        <v>1822</v>
      </c>
      <c r="Q235" s="1119" t="s">
        <v>1780</v>
      </c>
      <c r="R235" s="935" t="s">
        <v>1822</v>
      </c>
      <c r="S235" s="1119" t="s">
        <v>1780</v>
      </c>
      <c r="T235" s="935" t="s">
        <v>1822</v>
      </c>
      <c r="U235" s="1119" t="s">
        <v>1780</v>
      </c>
      <c r="V235" s="935" t="s">
        <v>1822</v>
      </c>
      <c r="W235" s="1122" t="s">
        <v>1780</v>
      </c>
      <c r="X235" s="935" t="s">
        <v>1822</v>
      </c>
      <c r="Y235" s="1122" t="s">
        <v>1780</v>
      </c>
      <c r="Z235" s="935" t="s">
        <v>1822</v>
      </c>
      <c r="AA235" s="1122" t="s">
        <v>1780</v>
      </c>
      <c r="AB235" s="935" t="s">
        <v>1822</v>
      </c>
      <c r="AC235" s="1119" t="s">
        <v>1780</v>
      </c>
      <c r="AD235" s="935" t="s">
        <v>1822</v>
      </c>
      <c r="AE235" s="1122" t="s">
        <v>1780</v>
      </c>
      <c r="AF235" s="935" t="s">
        <v>1822</v>
      </c>
      <c r="AG235" s="1122" t="s">
        <v>1780</v>
      </c>
      <c r="AH235" s="935" t="s">
        <v>1822</v>
      </c>
      <c r="AI235" s="1122" t="s">
        <v>1780</v>
      </c>
      <c r="AJ235" s="935" t="s">
        <v>1822</v>
      </c>
      <c r="AK235" s="3017" t="s">
        <v>1780</v>
      </c>
      <c r="AL235" s="3008" t="s">
        <v>1822</v>
      </c>
      <c r="AM235" s="2980" t="s">
        <v>1780</v>
      </c>
      <c r="AN235" s="3008" t="s">
        <v>1822</v>
      </c>
      <c r="AO235" s="2980" t="s">
        <v>1780</v>
      </c>
      <c r="AP235" s="3008" t="s">
        <v>1822</v>
      </c>
      <c r="AQ235" s="2980" t="s">
        <v>1780</v>
      </c>
      <c r="AR235" s="3008" t="s">
        <v>1822</v>
      </c>
      <c r="AS235" s="2981" t="s">
        <v>1780</v>
      </c>
      <c r="AT235" s="2982" t="s">
        <v>1822</v>
      </c>
      <c r="AU235" s="2981" t="s">
        <v>1780</v>
      </c>
      <c r="AV235" s="2982" t="s">
        <v>1822</v>
      </c>
      <c r="AW235" s="2980" t="s">
        <v>1780</v>
      </c>
      <c r="AX235" s="935" t="s">
        <v>1822</v>
      </c>
      <c r="AY235" s="1187"/>
      <c r="AZ235" s="1187"/>
      <c r="BA235" s="1187"/>
      <c r="BB235" s="1187"/>
      <c r="BC235" s="1187"/>
      <c r="BD235" s="1187"/>
      <c r="BE235" s="1187"/>
      <c r="BF235" s="1187"/>
      <c r="BG235" s="1187"/>
    </row>
    <row r="236" spans="1:130" ht="18" customHeight="1" x14ac:dyDescent="0.25">
      <c r="A236" s="8208" t="s">
        <v>1846</v>
      </c>
      <c r="B236" s="743" t="s">
        <v>1823</v>
      </c>
      <c r="C236" s="2238">
        <f t="shared" ref="C236:D238" si="471">+M236+O236+Q236+S236+U236+W236+Y236+AA236+AC236</f>
        <v>0</v>
      </c>
      <c r="D236" s="2239">
        <f t="shared" si="471"/>
        <v>0</v>
      </c>
      <c r="E236" s="2240"/>
      <c r="F236" s="2241"/>
      <c r="G236" s="2242"/>
      <c r="H236" s="2241"/>
      <c r="I236" s="2242"/>
      <c r="J236" s="2241"/>
      <c r="K236" s="2242"/>
      <c r="L236" s="2241"/>
      <c r="M236" s="1129"/>
      <c r="N236" s="1110"/>
      <c r="O236" s="1130"/>
      <c r="P236" s="1110"/>
      <c r="Q236" s="1109"/>
      <c r="R236" s="1110"/>
      <c r="S236" s="1109"/>
      <c r="T236" s="1110"/>
      <c r="U236" s="1109"/>
      <c r="V236" s="1110"/>
      <c r="W236" s="1129"/>
      <c r="X236" s="1110"/>
      <c r="Y236" s="1129"/>
      <c r="Z236" s="1110"/>
      <c r="AA236" s="1129"/>
      <c r="AB236" s="1110"/>
      <c r="AC236" s="1109"/>
      <c r="AD236" s="1110"/>
      <c r="AE236" s="1132"/>
      <c r="AF236" s="1175"/>
      <c r="AG236" s="1132"/>
      <c r="AH236" s="1175"/>
      <c r="AI236" s="1132"/>
      <c r="AJ236" s="2243"/>
      <c r="AK236" s="3018"/>
      <c r="AL236" s="3019"/>
      <c r="AM236" s="2915"/>
      <c r="AN236" s="2889"/>
      <c r="AO236" s="2915"/>
      <c r="AP236" s="2889"/>
      <c r="AQ236" s="2915"/>
      <c r="AR236" s="2889"/>
      <c r="AS236" s="2885"/>
      <c r="AT236" s="2889"/>
      <c r="AU236" s="2885"/>
      <c r="AV236" s="2889"/>
      <c r="AW236" s="2915"/>
      <c r="AX236" s="1110"/>
      <c r="AY236" s="1193" t="str">
        <f t="shared" ref="AY236:AY258" si="472">$CA236&amp;$CB236&amp;$CC236&amp;$CD236&amp;$CE236&amp;$CF236&amp;$CG236&amp;$CH236&amp;$CI236&amp;$CJ236&amp;$CK236&amp;$CL236&amp;$CM236&amp;$CN236&amp;$CO236&amp;$CP236&amp;$CQ236&amp;$CR236&amp;$CS236&amp;$CT236&amp;$CU236&amp;$CV236&amp;$CW236&amp;$CX236&amp;$CY236&amp;$CZ236</f>
        <v/>
      </c>
      <c r="AZ236" s="1187"/>
      <c r="BA236" s="1187"/>
      <c r="BB236" s="1187"/>
      <c r="BC236" s="1187"/>
      <c r="BD236" s="1187"/>
      <c r="BE236" s="1187"/>
      <c r="BF236" s="1187"/>
      <c r="BG236" s="1187"/>
      <c r="CA236" s="2235" t="str">
        <f>IF(DA236=1,"* El total de Confirmados Positivos por ISP NO DEBE ser mayor que el total de Procesados. ","")</f>
        <v/>
      </c>
      <c r="CB236" s="2235" t="str">
        <f>IF((AK236+AM236)&lt;&gt;C236,"* El Total de Procesados por sexo DEBE ser igual al Total de Procesados. ",IF((AL236+AN236)&lt;&gt;D236,"* El Total de Confirmados por sexo DEBE ser igual al Total de Confirmados. ",""))</f>
        <v/>
      </c>
      <c r="CC236" s="2235" t="str">
        <f>IF((AO236+AQ236)&gt;C236,"* El Total de Procesados Trans NO DEBE ser mayor al Total de Procesados. ",IF((AP236+AR236)&gt;D236,"* El Total de Confirmados Trans NO DEBE ser mayor al Total de Confirmados. ",""))</f>
        <v/>
      </c>
      <c r="CD236" s="2235" t="str">
        <f>IF(AS236&gt;C236,"* El Total de Pueblos Originarios Procesados NO DEBE ser mayor al Total de Procesados. ",IF(AT236&gt;D236,"* El Total de Pueblos Originarios Confirmados NO DEBE ser mayor al Total de Confirmados. ",""))</f>
        <v/>
      </c>
      <c r="CE236" s="2235" t="str">
        <f>IF(AU236&gt;C236,"* El Total de Migrantes Procesados NO DEBE ser mayor al Total de Procesados. ",IF(AV236&gt;D236,"* El Total deMigrantes Confirmados NO DEBE ser mayor al Total de Confirmados. ",""))</f>
        <v/>
      </c>
      <c r="CF236" s="2235" t="str">
        <f>IF((M236+O236)&lt;AW236,"* El Total de Procesados de 14-18 años NO DEBE ser mayor al Total de Procesados registrados en los grupos de edad 10 a 14 y 15 a 19 años. ",IF((N236+P236)&lt;AX236,"* El Total de Confirmados de 14-18 años NO DEBE ser mayor al Total de Confirmados registrados en los grupos de edad 10 a 14 y 15 a 19 años. ",""))</f>
        <v/>
      </c>
      <c r="CG236" s="2235" t="str">
        <f>IF(DG236=1,CONCATENATE("* Los exámenes positivos de ",$E$158," NO DEBEN ser mayor a los exámenes procesados de la misma edad. "),"")</f>
        <v/>
      </c>
      <c r="CH236" s="2235" t="str">
        <f>IF(DH236=1,CONCATENATE("* Los exámenes positivos de ",$G$158," NO DEBEN ser mayor a los exámenes procesados de la misma edad. "),"")</f>
        <v/>
      </c>
      <c r="CI236" s="2235" t="str">
        <f>IF(DI236=1,CONCATENATE("* Los exámenes positivos de ",$I$158," NO DEBEN ser mayor a los exámenes procesados de la misma edad. "),"")</f>
        <v/>
      </c>
      <c r="CJ236" s="2235" t="str">
        <f>IF(DJ236=1,CONCATENATE("* Los exámenes positivos de ",$K$158," NO DEBEN ser mayor a los exámenes procesados de la misma edad. "),"")</f>
        <v/>
      </c>
      <c r="CK236" s="2235" t="str">
        <f>IF(DK236=1,CONCATENATE("* Los exámenes positivos de ",$M$158," NO DEBEN ser mayor a los exámenes procesados de la misma edad. "),"")</f>
        <v/>
      </c>
      <c r="CL236" s="2235" t="str">
        <f>IF(DL236=1,CONCATENATE("* Los exámenes positivos de ",$O$158," NO DEBEN ser mayor a los exámenes procesados de la misma edad. "),"")</f>
        <v/>
      </c>
      <c r="CM236" s="2235" t="str">
        <f>IF(DM236=1,CONCATENATE("* Los exámenes positivos de ",$Q$158," NO DEBEN ser mayor a los exámenes procesados de la misma edad. "),"")</f>
        <v/>
      </c>
      <c r="CN236" s="2235" t="str">
        <f>IF(DN236=1,CONCATENATE("* Los exámenes positivos de ",$S$158," NO DEBEN ser mayor a los exámenes procesados de la misma edad. "),"")</f>
        <v/>
      </c>
      <c r="CO236" s="2235" t="str">
        <f>IF(DO236=1,CONCATENATE("* Los exámenes positivos de ",$U$158," NO DEBEN ser mayor a los exámenes procesados de la misma edad. "),"")</f>
        <v/>
      </c>
      <c r="CP236" s="2235" t="str">
        <f>IF(DP236=1,CONCATENATE("* Los exámenes positivos de ",$W$158," NO DEBEN ser mayor a los exámenes procesados de la misma edad. "),"")</f>
        <v/>
      </c>
      <c r="CQ236" s="2235" t="str">
        <f>IF(DQ236=1,CONCATENATE("* Los exámenes positivos de ",$Y$158," NO DEBEN ser mayor a los exámenes procesados de la misma edad. "),"")</f>
        <v/>
      </c>
      <c r="CR236" s="2235" t="str">
        <f>IF(DR236=1,CONCATENATE("* Los exámenes positivos de ",$AA$158," NO DEBEN ser mayor a los exámenes procesados de la misma edad. "),"")</f>
        <v/>
      </c>
      <c r="CS236" s="2235" t="str">
        <f>IF(DS236=1,CONCATENATE("* Los exámenes positivos de ",$AC$158," NO DEBEN ser mayor a los exámenes procesados de la misma edad. "),"")</f>
        <v/>
      </c>
      <c r="CT236" s="2235" t="str">
        <f>IF(DT236=1,CONCATENATE("* Los exámenes positivos de ",$AE$158," NO DEBEN ser mayor a los exámenes procesados de la misma edad. "),"")</f>
        <v/>
      </c>
      <c r="CU236" s="2235" t="str">
        <f>IF(DU236=1,CONCATENATE("* Los exámenes positivos de ",$AG$158," NO DEBEN ser mayor a los exámenes procesados de la misma edad. "),"")</f>
        <v/>
      </c>
      <c r="CV236" s="2235" t="str">
        <f>IF(DV236=1,CONCATENATE("* Los exámenes positivos de ",$AI$158," NO DEBEN ser mayor a los exámenes procesados de la misma edad. "),"")</f>
        <v/>
      </c>
      <c r="CW236" s="2235" t="str">
        <f>IF(DW236=1,"* No olvide digitar la columna Procesados Trans y/o Pueblos Originarios y/o Migrantes (Digite Cero si no tiene). ","")</f>
        <v/>
      </c>
      <c r="CX236" s="2235" t="str">
        <f>IF(DX236=1,"* No olvide digitar la columna Confirmados Trans y/o Pueblos Originarios y/o Migrantes (Digite Cero si no tiene). ","")</f>
        <v/>
      </c>
      <c r="CY236" s="2235"/>
      <c r="CZ236" s="2235"/>
      <c r="DA236" s="1468">
        <f>IF(C236&lt;D236,1,0)</f>
        <v>0</v>
      </c>
      <c r="DB236" s="1468">
        <f>IF(OR((AK236+AM236)&lt;&gt;C236,(AL236+AN236)&lt;&gt;D236),1,0)</f>
        <v>0</v>
      </c>
      <c r="DC236" s="1468">
        <f>IF(OR((AO236+AQ236)&gt;C236,(AP236+AR236)&gt;D236),1,0)</f>
        <v>0</v>
      </c>
      <c r="DD236" s="1468">
        <f>IF(OR(AS236&gt;C236,AT236&gt;D236),1,0)</f>
        <v>0</v>
      </c>
      <c r="DE236" s="1468">
        <f>IF(OR(AV236&gt;D236,AU236&gt;C236),1,0)</f>
        <v>0</v>
      </c>
      <c r="DF236" s="1468">
        <f>IF(OR((M236+O236)&lt;AW236,(N236+P236)&lt;AX236),1,0)</f>
        <v>0</v>
      </c>
      <c r="DG236" s="1468">
        <f>IF(E236&lt;F236,1,0)</f>
        <v>0</v>
      </c>
      <c r="DH236" s="1468">
        <f>IF(G236&lt;H236,1,0)</f>
        <v>0</v>
      </c>
      <c r="DI236" s="1468">
        <f>IF(I236&lt;J236,1,0)</f>
        <v>0</v>
      </c>
      <c r="DJ236" s="1468">
        <f>IF(K236&lt;L236,1,0)</f>
        <v>0</v>
      </c>
      <c r="DK236" s="1468">
        <f>IF(M236&lt;N236,1,0)</f>
        <v>0</v>
      </c>
      <c r="DL236" s="1468">
        <f>IF(O236&lt;P236,1,0)</f>
        <v>0</v>
      </c>
      <c r="DM236" s="1468">
        <f>IF(Q236&lt;R236,1,0)</f>
        <v>0</v>
      </c>
      <c r="DN236" s="1468">
        <f>IF(S236&lt;T236,1,0)</f>
        <v>0</v>
      </c>
      <c r="DO236" s="1468">
        <f>IF(U236&lt;V236,1,0)</f>
        <v>0</v>
      </c>
      <c r="DP236" s="1468">
        <f>IF(W236&lt;X236,1,0)</f>
        <v>0</v>
      </c>
      <c r="DQ236" s="1468">
        <f>IF(Y236&lt;Z236,1,0)</f>
        <v>0</v>
      </c>
      <c r="DR236" s="1468">
        <f>IF(AA236&lt;AB236,1,0)</f>
        <v>0</v>
      </c>
      <c r="DS236" s="1468">
        <f>IF(AC236&lt;AD236,1,0)</f>
        <v>0</v>
      </c>
      <c r="DT236" s="1468">
        <f>IF(AE236&lt;AF236,1,0)</f>
        <v>0</v>
      </c>
      <c r="DU236" s="1468">
        <f>IF(AG236&lt;AH236,1,0)</f>
        <v>0</v>
      </c>
      <c r="DV236" s="1468">
        <f>IF(AI236&lt;AJ236,1,0)</f>
        <v>0</v>
      </c>
      <c r="DW236" s="1468">
        <f>IF(AND(C236&lt;&gt;0,OR(AO236="",AQ236="",AS236="",AU236="")),1,0)</f>
        <v>0</v>
      </c>
      <c r="DX236" s="1468">
        <f>IF(AND(D236&lt;&gt;0,OR(AP236="",AR236="",AT236="",AV236="")),1,0)</f>
        <v>0</v>
      </c>
    </row>
    <row r="237" spans="1:130" ht="18" customHeight="1" x14ac:dyDescent="0.25">
      <c r="A237" s="8274"/>
      <c r="B237" s="1107" t="s">
        <v>1824</v>
      </c>
      <c r="C237" s="2244">
        <f t="shared" si="471"/>
        <v>0</v>
      </c>
      <c r="D237" s="2245">
        <f t="shared" si="471"/>
        <v>0</v>
      </c>
      <c r="E237" s="2246"/>
      <c r="F237" s="2247"/>
      <c r="G237" s="2248"/>
      <c r="H237" s="2247"/>
      <c r="I237" s="2248"/>
      <c r="J237" s="2247"/>
      <c r="K237" s="2248"/>
      <c r="L237" s="2247"/>
      <c r="M237" s="1129"/>
      <c r="N237" s="1110"/>
      <c r="O237" s="1130"/>
      <c r="P237" s="1110"/>
      <c r="Q237" s="1109"/>
      <c r="R237" s="1110"/>
      <c r="S237" s="1109"/>
      <c r="T237" s="1110"/>
      <c r="U237" s="1109"/>
      <c r="V237" s="1110"/>
      <c r="W237" s="1129"/>
      <c r="X237" s="1110"/>
      <c r="Y237" s="1129"/>
      <c r="Z237" s="1110"/>
      <c r="AA237" s="1129"/>
      <c r="AB237" s="1110"/>
      <c r="AC237" s="1109"/>
      <c r="AD237" s="1110"/>
      <c r="AE237" s="1132"/>
      <c r="AF237" s="1175"/>
      <c r="AG237" s="1132"/>
      <c r="AH237" s="1175"/>
      <c r="AI237" s="1132"/>
      <c r="AJ237" s="2243"/>
      <c r="AK237" s="3018"/>
      <c r="AL237" s="3019"/>
      <c r="AM237" s="2915"/>
      <c r="AN237" s="2889"/>
      <c r="AO237" s="2915"/>
      <c r="AP237" s="2889"/>
      <c r="AQ237" s="2915"/>
      <c r="AR237" s="2889"/>
      <c r="AS237" s="2885"/>
      <c r="AT237" s="2889"/>
      <c r="AU237" s="2885"/>
      <c r="AV237" s="2889"/>
      <c r="AW237" s="2915"/>
      <c r="AX237" s="1110"/>
      <c r="AY237" s="1193" t="str">
        <f t="shared" si="472"/>
        <v/>
      </c>
      <c r="AZ237" s="1187"/>
      <c r="BA237" s="1187"/>
      <c r="BB237" s="1187"/>
      <c r="BC237" s="1187"/>
      <c r="BD237" s="1187"/>
      <c r="BE237" s="1187"/>
      <c r="BF237" s="1187"/>
      <c r="BG237" s="1187"/>
      <c r="CA237" s="2235" t="str">
        <f t="shared" ref="CA237:CA258" si="473">IF(DA237=1,"* El total de Confirmados Positivos por ISP NO DEBE ser mayor que el total de Procesados. ","")</f>
        <v/>
      </c>
      <c r="CB237" s="2235" t="str">
        <f t="shared" ref="CB237:CB258" si="474">IF((AK237+AM237)&lt;&gt;C237,"* El Total de Procesados por sexo DEBE ser igual al Total de Procesados. ",IF((AL237+AN237)&lt;&gt;D237,"* El Total de Confirmados por sexo DEBE ser igual al Total de Confirmados. ",""))</f>
        <v/>
      </c>
      <c r="CC237" s="2235" t="str">
        <f t="shared" ref="CC237:CC258" si="475">IF((AO237+AQ237)&gt;C237,"* El Total de Procesados Trans NO DEBE ser mayor al Total de Procesados. ",IF((AP237+AR237)&gt;D237,"* El Total de Confirmados Trans NO DEBE ser mayor al Total de Confirmados. ",""))</f>
        <v/>
      </c>
      <c r="CD237" s="2235" t="str">
        <f t="shared" ref="CD237:CD258" si="476">IF(AS237&gt;C237,"* El Total de Pueblos Originarios Procesados NO DEBE ser mayor al Total de Procesados. ",IF(AT237&gt;D237,"* El Total de Pueblos Originarios Confirmados NO DEBE ser mayor al Total de Confirmados. ",""))</f>
        <v/>
      </c>
      <c r="CE237" s="2235" t="str">
        <f t="shared" ref="CE237:CE258" si="477">IF(AU237&gt;C237,"* El Total de Migrantes Procesados NO DEBE ser mayor al Total de Procesados. ",IF(AV237&gt;D237,"* El Total deMigrantes Confirmados NO DEBE ser mayor al Total de Confirmados. ",""))</f>
        <v/>
      </c>
      <c r="CF237" s="2235" t="str">
        <f t="shared" ref="CF237:CF258" si="478">IF((M237+O237)&lt;AW237,"* El Total de Procesados de 14-18 años NO DEBE ser mayor al Total de Procesados registrados en los grupos de edad 10 a 14 y 15 a 19 años. ",IF((N237+P237)&lt;AX237,"* El Total de Confirmados de 14-18 años NO DEBE ser mayor al Total de Confirmados registrados en los grupos de edad 10 a 14 y 15 a 19 años. ",""))</f>
        <v/>
      </c>
      <c r="CG237" s="2235" t="str">
        <f t="shared" ref="CG237:CG258" si="479">IF(DG237=1,CONCATENATE("* Los exámenes positivos de ",$E$158," NO DEBEN ser mayor a los exámenes procesados de la misma edad. "),"")</f>
        <v/>
      </c>
      <c r="CH237" s="2235" t="str">
        <f t="shared" ref="CH237:CH258" si="480">IF(DH237=1,CONCATENATE("* Los exámenes positivos de ",$G$158," NO DEBEN ser mayor a los exámenes procesados de la misma edad. "),"")</f>
        <v/>
      </c>
      <c r="CI237" s="2235" t="str">
        <f t="shared" ref="CI237:CI258" si="481">IF(DI237=1,CONCATENATE("* Los exámenes positivos de ",$I$158," NO DEBEN ser mayor a los exámenes procesados de la misma edad. "),"")</f>
        <v/>
      </c>
      <c r="CJ237" s="2235" t="str">
        <f t="shared" ref="CJ237:CJ258" si="482">IF(DJ237=1,CONCATENATE("* Los exámenes positivos de ",$K$158," NO DEBEN ser mayor a los exámenes procesados de la misma edad. "),"")</f>
        <v/>
      </c>
      <c r="CK237" s="2235" t="str">
        <f t="shared" ref="CK237:CK258" si="483">IF(DK237=1,CONCATENATE("* Los exámenes positivos de ",$M$158," NO DEBEN ser mayor a los exámenes procesados de la misma edad. "),"")</f>
        <v/>
      </c>
      <c r="CL237" s="2235" t="str">
        <f t="shared" ref="CL237:CL258" si="484">IF(DL237=1,CONCATENATE("* Los exámenes positivos de ",$O$158," NO DEBEN ser mayor a los exámenes procesados de la misma edad. "),"")</f>
        <v/>
      </c>
      <c r="CM237" s="2235" t="str">
        <f t="shared" ref="CM237:CM258" si="485">IF(DM237=1,CONCATENATE("* Los exámenes positivos de ",$Q$158," NO DEBEN ser mayor a los exámenes procesados de la misma edad. "),"")</f>
        <v/>
      </c>
      <c r="CN237" s="2235" t="str">
        <f t="shared" ref="CN237:CN258" si="486">IF(DN237=1,CONCATENATE("* Los exámenes positivos de ",$S$158," NO DEBEN ser mayor a los exámenes procesados de la misma edad. "),"")</f>
        <v/>
      </c>
      <c r="CO237" s="2235" t="str">
        <f t="shared" ref="CO237:CO258" si="487">IF(DO237=1,CONCATENATE("* Los exámenes positivos de ",$U$158," NO DEBEN ser mayor a los exámenes procesados de la misma edad. "),"")</f>
        <v/>
      </c>
      <c r="CP237" s="2235" t="str">
        <f t="shared" ref="CP237:CP258" si="488">IF(DP237=1,CONCATENATE("* Los exámenes positivos de ",$W$158," NO DEBEN ser mayor a los exámenes procesados de la misma edad. "),"")</f>
        <v/>
      </c>
      <c r="CQ237" s="2235" t="str">
        <f t="shared" ref="CQ237:CQ258" si="489">IF(DQ237=1,CONCATENATE("* Los exámenes positivos de ",$Y$158," NO DEBEN ser mayor a los exámenes procesados de la misma edad. "),"")</f>
        <v/>
      </c>
      <c r="CR237" s="2235" t="str">
        <f t="shared" ref="CR237:CR258" si="490">IF(DR237=1,CONCATENATE("* Los exámenes positivos de ",$AA$158," NO DEBEN ser mayor a los exámenes procesados de la misma edad. "),"")</f>
        <v/>
      </c>
      <c r="CS237" s="2235" t="str">
        <f t="shared" ref="CS237:CS258" si="491">IF(DS237=1,CONCATENATE("* Los exámenes positivos de ",$AC$158," NO DEBEN ser mayor a los exámenes procesados de la misma edad. "),"")</f>
        <v/>
      </c>
      <c r="CT237" s="2235" t="str">
        <f t="shared" ref="CT237:CT258" si="492">IF(DT237=1,CONCATENATE("* Los exámenes positivos de ",$AE$158," NO DEBEN ser mayor a los exámenes procesados de la misma edad. "),"")</f>
        <v/>
      </c>
      <c r="CU237" s="2235" t="str">
        <f t="shared" ref="CU237:CU258" si="493">IF(DU237=1,CONCATENATE("* Los exámenes positivos de ",$AG$158," NO DEBEN ser mayor a los exámenes procesados de la misma edad. "),"")</f>
        <v/>
      </c>
      <c r="CV237" s="2235" t="str">
        <f t="shared" ref="CV237:CV258" si="494">IF(DV237=1,CONCATENATE("* Los exámenes positivos de ",$AI$158," NO DEBEN ser mayor a los exámenes procesados de la misma edad. "),"")</f>
        <v/>
      </c>
      <c r="CW237" s="2235" t="str">
        <f t="shared" ref="CW237:CW258" si="495">IF(DW237=1,"* No olvide digitar la columna Procesados Trans y/o Pueblos Originarios y/o Migrantes (Digite Cero si no tiene). ","")</f>
        <v/>
      </c>
      <c r="CX237" s="2235" t="str">
        <f t="shared" ref="CX237:CX258" si="496">IF(DX237=1,"* No olvide digitar la columna Confirmados Trans y/o Pueblos Originarios y/o Migrantes (Digite Cero si no tiene). ","")</f>
        <v/>
      </c>
      <c r="CY237" s="2235"/>
      <c r="CZ237" s="2235"/>
      <c r="DA237" s="1468">
        <f t="shared" ref="DA237:DA258" si="497">IF(C237&lt;D237,1,0)</f>
        <v>0</v>
      </c>
      <c r="DB237" s="1468">
        <f t="shared" ref="DB237:DB258" si="498">IF(OR((AK237+AM237)&lt;&gt;C237,(AL237+AN237)&lt;&gt;D237),1,0)</f>
        <v>0</v>
      </c>
      <c r="DC237" s="1468">
        <f t="shared" ref="DC237:DC258" si="499">IF(OR((AO237+AQ237)&gt;C237,(AP237+AR237)&gt;D237),1,0)</f>
        <v>0</v>
      </c>
      <c r="DD237" s="1468">
        <f t="shared" ref="DD237:DD258" si="500">IF(OR(AS237&gt;C237,AT237&gt;D237),1,0)</f>
        <v>0</v>
      </c>
      <c r="DE237" s="1468">
        <f t="shared" ref="DE237:DE258" si="501">IF(OR(AV237&gt;D237,AU237&gt;C237),1,0)</f>
        <v>0</v>
      </c>
      <c r="DF237" s="1468">
        <f t="shared" ref="DF237:DF258" si="502">IF(OR((M237+O237)&lt;AW237,(N237+P237)&lt;AX237),1,0)</f>
        <v>0</v>
      </c>
      <c r="DG237" s="1468">
        <f t="shared" ref="DG237:DG258" si="503">IF(E237&lt;F237,1,0)</f>
        <v>0</v>
      </c>
      <c r="DH237" s="1468">
        <f t="shared" ref="DH237:DH258" si="504">IF(G237&lt;H237,1,0)</f>
        <v>0</v>
      </c>
      <c r="DI237" s="1468">
        <f t="shared" ref="DI237:DI258" si="505">IF(I237&lt;J237,1,0)</f>
        <v>0</v>
      </c>
      <c r="DJ237" s="1468">
        <f t="shared" ref="DJ237:DJ258" si="506">IF(K237&lt;L237,1,0)</f>
        <v>0</v>
      </c>
      <c r="DK237" s="1468">
        <f t="shared" ref="DK237:DK258" si="507">IF(M237&lt;N237,1,0)</f>
        <v>0</v>
      </c>
      <c r="DL237" s="1468">
        <f t="shared" ref="DL237:DL258" si="508">IF(O237&lt;P237,1,0)</f>
        <v>0</v>
      </c>
      <c r="DM237" s="1468">
        <f t="shared" ref="DM237:DM258" si="509">IF(Q237&lt;R237,1,0)</f>
        <v>0</v>
      </c>
      <c r="DN237" s="1468">
        <f t="shared" ref="DN237:DN258" si="510">IF(S237&lt;T237,1,0)</f>
        <v>0</v>
      </c>
      <c r="DO237" s="1468">
        <f t="shared" ref="DO237:DO258" si="511">IF(U237&lt;V237,1,0)</f>
        <v>0</v>
      </c>
      <c r="DP237" s="1468">
        <f t="shared" ref="DP237:DP258" si="512">IF(W237&lt;X237,1,0)</f>
        <v>0</v>
      </c>
      <c r="DQ237" s="1468">
        <f t="shared" ref="DQ237:DQ258" si="513">IF(Y237&lt;Z237,1,0)</f>
        <v>0</v>
      </c>
      <c r="DR237" s="1468">
        <f t="shared" ref="DR237:DR258" si="514">IF(AA237&lt;AB237,1,0)</f>
        <v>0</v>
      </c>
      <c r="DS237" s="1468">
        <f t="shared" ref="DS237:DS258" si="515">IF(AC237&lt;AD237,1,0)</f>
        <v>0</v>
      </c>
      <c r="DT237" s="1468">
        <f t="shared" ref="DT237:DT258" si="516">IF(AE237&lt;AF237,1,0)</f>
        <v>0</v>
      </c>
      <c r="DU237" s="1468">
        <f t="shared" ref="DU237:DU258" si="517">IF(AG237&lt;AH237,1,0)</f>
        <v>0</v>
      </c>
      <c r="DV237" s="1468">
        <f t="shared" ref="DV237:DV258" si="518">IF(AI237&lt;AJ237,1,0)</f>
        <v>0</v>
      </c>
      <c r="DW237" s="1468">
        <f t="shared" ref="DW237:DX251" si="519">IF(AND(C237&lt;&gt;0,OR(AO237="",AQ237="",AS237="",AU237="")),1,0)</f>
        <v>0</v>
      </c>
      <c r="DX237" s="1468">
        <f t="shared" si="519"/>
        <v>0</v>
      </c>
    </row>
    <row r="238" spans="1:130" ht="27.75" customHeight="1" x14ac:dyDescent="0.25">
      <c r="A238" s="8274"/>
      <c r="B238" s="1142" t="s">
        <v>1825</v>
      </c>
      <c r="C238" s="2244">
        <f t="shared" si="471"/>
        <v>0</v>
      </c>
      <c r="D238" s="2245">
        <f t="shared" si="471"/>
        <v>0</v>
      </c>
      <c r="E238" s="2246"/>
      <c r="F238" s="2247"/>
      <c r="G238" s="2248"/>
      <c r="H238" s="2247"/>
      <c r="I238" s="2248"/>
      <c r="J238" s="2247"/>
      <c r="K238" s="2248"/>
      <c r="L238" s="2247"/>
      <c r="M238" s="2249"/>
      <c r="N238" s="2250"/>
      <c r="O238" s="1130"/>
      <c r="P238" s="1110"/>
      <c r="Q238" s="1109"/>
      <c r="R238" s="1110"/>
      <c r="S238" s="1109"/>
      <c r="T238" s="1110"/>
      <c r="U238" s="1109"/>
      <c r="V238" s="1110"/>
      <c r="W238" s="1129"/>
      <c r="X238" s="1110"/>
      <c r="Y238" s="1129"/>
      <c r="Z238" s="1110"/>
      <c r="AA238" s="1129"/>
      <c r="AB238" s="1110"/>
      <c r="AC238" s="1109"/>
      <c r="AD238" s="1110"/>
      <c r="AE238" s="1132"/>
      <c r="AF238" s="1175"/>
      <c r="AG238" s="1132"/>
      <c r="AH238" s="1175"/>
      <c r="AI238" s="1132"/>
      <c r="AJ238" s="2243"/>
      <c r="AK238" s="3018"/>
      <c r="AL238" s="3019"/>
      <c r="AM238" s="2915"/>
      <c r="AN238" s="2889"/>
      <c r="AO238" s="2915"/>
      <c r="AP238" s="2889"/>
      <c r="AQ238" s="2915"/>
      <c r="AR238" s="2889"/>
      <c r="AS238" s="2885"/>
      <c r="AT238" s="2889"/>
      <c r="AU238" s="2885"/>
      <c r="AV238" s="2889"/>
      <c r="AW238" s="2915"/>
      <c r="AX238" s="1110"/>
      <c r="AY238" s="1193" t="str">
        <f t="shared" si="472"/>
        <v/>
      </c>
      <c r="CA238" s="2235" t="str">
        <f t="shared" si="473"/>
        <v/>
      </c>
      <c r="CB238" s="2235" t="str">
        <f t="shared" si="474"/>
        <v/>
      </c>
      <c r="CC238" s="2235" t="str">
        <f t="shared" si="475"/>
        <v/>
      </c>
      <c r="CD238" s="2235" t="str">
        <f t="shared" si="476"/>
        <v/>
      </c>
      <c r="CE238" s="2235" t="str">
        <f t="shared" si="477"/>
        <v/>
      </c>
      <c r="CF238" s="2235" t="str">
        <f t="shared" si="478"/>
        <v/>
      </c>
      <c r="CG238" s="2235" t="str">
        <f t="shared" si="479"/>
        <v/>
      </c>
      <c r="CH238" s="2235" t="str">
        <f t="shared" si="480"/>
        <v/>
      </c>
      <c r="CI238" s="2235" t="str">
        <f t="shared" si="481"/>
        <v/>
      </c>
      <c r="CJ238" s="2235" t="str">
        <f t="shared" si="482"/>
        <v/>
      </c>
      <c r="CK238" s="2235" t="str">
        <f t="shared" si="483"/>
        <v/>
      </c>
      <c r="CL238" s="2235" t="str">
        <f t="shared" si="484"/>
        <v/>
      </c>
      <c r="CM238" s="2235" t="str">
        <f t="shared" si="485"/>
        <v/>
      </c>
      <c r="CN238" s="2235" t="str">
        <f t="shared" si="486"/>
        <v/>
      </c>
      <c r="CO238" s="2235" t="str">
        <f t="shared" si="487"/>
        <v/>
      </c>
      <c r="CP238" s="2235" t="str">
        <f t="shared" si="488"/>
        <v/>
      </c>
      <c r="CQ238" s="2235" t="str">
        <f t="shared" si="489"/>
        <v/>
      </c>
      <c r="CR238" s="2235" t="str">
        <f t="shared" si="490"/>
        <v/>
      </c>
      <c r="CS238" s="2235" t="str">
        <f t="shared" si="491"/>
        <v/>
      </c>
      <c r="CT238" s="2235" t="str">
        <f t="shared" si="492"/>
        <v/>
      </c>
      <c r="CU238" s="2235" t="str">
        <f t="shared" si="493"/>
        <v/>
      </c>
      <c r="CV238" s="2235" t="str">
        <f t="shared" si="494"/>
        <v/>
      </c>
      <c r="CW238" s="2235" t="str">
        <f t="shared" si="495"/>
        <v/>
      </c>
      <c r="CX238" s="2235" t="str">
        <f t="shared" si="496"/>
        <v/>
      </c>
      <c r="CY238" s="2235"/>
      <c r="CZ238" s="2235"/>
      <c r="DA238" s="1468">
        <f t="shared" si="497"/>
        <v>0</v>
      </c>
      <c r="DB238" s="1468">
        <f t="shared" si="498"/>
        <v>0</v>
      </c>
      <c r="DC238" s="1468">
        <f t="shared" si="499"/>
        <v>0</v>
      </c>
      <c r="DD238" s="1468">
        <f t="shared" si="500"/>
        <v>0</v>
      </c>
      <c r="DE238" s="1468">
        <f t="shared" si="501"/>
        <v>0</v>
      </c>
      <c r="DF238" s="1468">
        <f t="shared" si="502"/>
        <v>0</v>
      </c>
      <c r="DG238" s="1468">
        <f t="shared" si="503"/>
        <v>0</v>
      </c>
      <c r="DH238" s="1468">
        <f t="shared" si="504"/>
        <v>0</v>
      </c>
      <c r="DI238" s="1468">
        <f t="shared" si="505"/>
        <v>0</v>
      </c>
      <c r="DJ238" s="1468">
        <f t="shared" si="506"/>
        <v>0</v>
      </c>
      <c r="DK238" s="1468">
        <f t="shared" si="507"/>
        <v>0</v>
      </c>
      <c r="DL238" s="1468">
        <f t="shared" si="508"/>
        <v>0</v>
      </c>
      <c r="DM238" s="1468">
        <f t="shared" si="509"/>
        <v>0</v>
      </c>
      <c r="DN238" s="1468">
        <f t="shared" si="510"/>
        <v>0</v>
      </c>
      <c r="DO238" s="1468">
        <f t="shared" si="511"/>
        <v>0</v>
      </c>
      <c r="DP238" s="1468">
        <f t="shared" si="512"/>
        <v>0</v>
      </c>
      <c r="DQ238" s="1468">
        <f t="shared" si="513"/>
        <v>0</v>
      </c>
      <c r="DR238" s="1468">
        <f t="shared" si="514"/>
        <v>0</v>
      </c>
      <c r="DS238" s="1468">
        <f t="shared" si="515"/>
        <v>0</v>
      </c>
      <c r="DT238" s="1468">
        <f t="shared" si="516"/>
        <v>0</v>
      </c>
      <c r="DU238" s="1468">
        <f t="shared" si="517"/>
        <v>0</v>
      </c>
      <c r="DV238" s="1468">
        <f t="shared" si="518"/>
        <v>0</v>
      </c>
      <c r="DW238" s="1468">
        <f t="shared" si="519"/>
        <v>0</v>
      </c>
      <c r="DX238" s="1468">
        <f t="shared" si="519"/>
        <v>0</v>
      </c>
    </row>
    <row r="239" spans="1:130" ht="28.5" customHeight="1" x14ac:dyDescent="0.25">
      <c r="A239" s="8274"/>
      <c r="B239" s="1142" t="s">
        <v>1792</v>
      </c>
      <c r="C239" s="2244">
        <f>+O239+Q239+S239+U239+W239+Y239+AA239+AC239+AE239+AG239+AI239</f>
        <v>0</v>
      </c>
      <c r="D239" s="2245">
        <f>+P239+R239+T239+V239+X239+Z239+AB239+AD239+AF239+AH239+AJ239</f>
        <v>0</v>
      </c>
      <c r="E239" s="2246"/>
      <c r="F239" s="2247"/>
      <c r="G239" s="2248"/>
      <c r="H239" s="2247"/>
      <c r="I239" s="2248"/>
      <c r="J239" s="2247"/>
      <c r="K239" s="2248"/>
      <c r="L239" s="2247"/>
      <c r="M239" s="2251"/>
      <c r="N239" s="2252"/>
      <c r="O239" s="1129"/>
      <c r="P239" s="1110"/>
      <c r="Q239" s="1109"/>
      <c r="R239" s="1110"/>
      <c r="S239" s="1109"/>
      <c r="T239" s="1110"/>
      <c r="U239" s="1109"/>
      <c r="V239" s="1110"/>
      <c r="W239" s="1129"/>
      <c r="X239" s="1110"/>
      <c r="Y239" s="1129"/>
      <c r="Z239" s="1110"/>
      <c r="AA239" s="1129"/>
      <c r="AB239" s="1110"/>
      <c r="AC239" s="1109"/>
      <c r="AD239" s="1110"/>
      <c r="AE239" s="1129"/>
      <c r="AF239" s="1110"/>
      <c r="AG239" s="1129"/>
      <c r="AH239" s="1110"/>
      <c r="AI239" s="1129"/>
      <c r="AJ239" s="1157"/>
      <c r="AK239" s="2911"/>
      <c r="AL239" s="2889"/>
      <c r="AM239" s="2915"/>
      <c r="AN239" s="2889"/>
      <c r="AO239" s="2915"/>
      <c r="AP239" s="2889"/>
      <c r="AQ239" s="2915"/>
      <c r="AR239" s="2889"/>
      <c r="AS239" s="2885"/>
      <c r="AT239" s="2889"/>
      <c r="AU239" s="2885"/>
      <c r="AV239" s="2889"/>
      <c r="AW239" s="2915"/>
      <c r="AX239" s="1110"/>
      <c r="AY239" s="1193" t="str">
        <f t="shared" si="472"/>
        <v/>
      </c>
      <c r="CA239" s="2235" t="str">
        <f t="shared" si="473"/>
        <v/>
      </c>
      <c r="CB239" s="2235" t="str">
        <f t="shared" si="474"/>
        <v/>
      </c>
      <c r="CC239" s="2235" t="str">
        <f t="shared" si="475"/>
        <v/>
      </c>
      <c r="CD239" s="2235" t="str">
        <f t="shared" si="476"/>
        <v/>
      </c>
      <c r="CE239" s="2235" t="str">
        <f t="shared" si="477"/>
        <v/>
      </c>
      <c r="CF239" s="2235" t="str">
        <f t="shared" si="478"/>
        <v/>
      </c>
      <c r="CG239" s="2235" t="str">
        <f t="shared" si="479"/>
        <v/>
      </c>
      <c r="CH239" s="2235" t="str">
        <f t="shared" si="480"/>
        <v/>
      </c>
      <c r="CI239" s="2235" t="str">
        <f t="shared" si="481"/>
        <v/>
      </c>
      <c r="CJ239" s="2235" t="str">
        <f t="shared" si="482"/>
        <v/>
      </c>
      <c r="CK239" s="2235" t="str">
        <f t="shared" si="483"/>
        <v/>
      </c>
      <c r="CL239" s="2235" t="str">
        <f t="shared" si="484"/>
        <v/>
      </c>
      <c r="CM239" s="2235" t="str">
        <f t="shared" si="485"/>
        <v/>
      </c>
      <c r="CN239" s="2235" t="str">
        <f t="shared" si="486"/>
        <v/>
      </c>
      <c r="CO239" s="2235" t="str">
        <f t="shared" si="487"/>
        <v/>
      </c>
      <c r="CP239" s="2235" t="str">
        <f t="shared" si="488"/>
        <v/>
      </c>
      <c r="CQ239" s="2235" t="str">
        <f t="shared" si="489"/>
        <v/>
      </c>
      <c r="CR239" s="2235" t="str">
        <f t="shared" si="490"/>
        <v/>
      </c>
      <c r="CS239" s="2235" t="str">
        <f t="shared" si="491"/>
        <v/>
      </c>
      <c r="CT239" s="2235" t="str">
        <f t="shared" si="492"/>
        <v/>
      </c>
      <c r="CU239" s="2235" t="str">
        <f t="shared" si="493"/>
        <v/>
      </c>
      <c r="CV239" s="2235" t="str">
        <f t="shared" si="494"/>
        <v/>
      </c>
      <c r="CW239" s="2235" t="str">
        <f t="shared" si="495"/>
        <v/>
      </c>
      <c r="CX239" s="2235" t="str">
        <f t="shared" si="496"/>
        <v/>
      </c>
      <c r="CY239" s="2235"/>
      <c r="CZ239" s="2235"/>
      <c r="DA239" s="1468">
        <f t="shared" si="497"/>
        <v>0</v>
      </c>
      <c r="DB239" s="1468">
        <f t="shared" si="498"/>
        <v>0</v>
      </c>
      <c r="DC239" s="1468">
        <f t="shared" si="499"/>
        <v>0</v>
      </c>
      <c r="DD239" s="1468">
        <f t="shared" si="500"/>
        <v>0</v>
      </c>
      <c r="DE239" s="1468">
        <f t="shared" si="501"/>
        <v>0</v>
      </c>
      <c r="DF239" s="1468">
        <f t="shared" si="502"/>
        <v>0</v>
      </c>
      <c r="DG239" s="1468">
        <f t="shared" si="503"/>
        <v>0</v>
      </c>
      <c r="DH239" s="1468">
        <f t="shared" si="504"/>
        <v>0</v>
      </c>
      <c r="DI239" s="1468">
        <f t="shared" si="505"/>
        <v>0</v>
      </c>
      <c r="DJ239" s="1468">
        <f t="shared" si="506"/>
        <v>0</v>
      </c>
      <c r="DK239" s="1468">
        <f t="shared" si="507"/>
        <v>0</v>
      </c>
      <c r="DL239" s="1468">
        <f t="shared" si="508"/>
        <v>0</v>
      </c>
      <c r="DM239" s="1468">
        <f t="shared" si="509"/>
        <v>0</v>
      </c>
      <c r="DN239" s="1468">
        <f t="shared" si="510"/>
        <v>0</v>
      </c>
      <c r="DO239" s="1468">
        <f t="shared" si="511"/>
        <v>0</v>
      </c>
      <c r="DP239" s="1468">
        <f t="shared" si="512"/>
        <v>0</v>
      </c>
      <c r="DQ239" s="1468">
        <f t="shared" si="513"/>
        <v>0</v>
      </c>
      <c r="DR239" s="1468">
        <f t="shared" si="514"/>
        <v>0</v>
      </c>
      <c r="DS239" s="1468">
        <f t="shared" si="515"/>
        <v>0</v>
      </c>
      <c r="DT239" s="1468">
        <f t="shared" si="516"/>
        <v>0</v>
      </c>
      <c r="DU239" s="1468">
        <f t="shared" si="517"/>
        <v>0</v>
      </c>
      <c r="DV239" s="1468">
        <f t="shared" si="518"/>
        <v>0</v>
      </c>
      <c r="DW239" s="1468">
        <f t="shared" si="519"/>
        <v>0</v>
      </c>
      <c r="DX239" s="1468">
        <f t="shared" si="519"/>
        <v>0</v>
      </c>
    </row>
    <row r="240" spans="1:130" ht="18" customHeight="1" x14ac:dyDescent="0.25">
      <c r="A240" s="8274"/>
      <c r="B240" s="1107" t="s">
        <v>1826</v>
      </c>
      <c r="C240" s="2244">
        <f>+E240+G240+I240+K240+M240+O240+Q240+S240+U240+W240+Y240+AA240+AC240+AE240+AG240+AI240</f>
        <v>0</v>
      </c>
      <c r="D240" s="2253">
        <f>+F240+H240+J240+L240+N240+P240+R240+T240+V240+X240+Z240+AB240+AD240+AF240+AH240+AJ240</f>
        <v>0</v>
      </c>
      <c r="E240" s="1178"/>
      <c r="F240" s="143"/>
      <c r="G240" s="1178"/>
      <c r="H240" s="143"/>
      <c r="I240" s="1178"/>
      <c r="J240" s="143"/>
      <c r="K240" s="1178"/>
      <c r="L240" s="143"/>
      <c r="M240" s="1178"/>
      <c r="N240" s="143"/>
      <c r="O240" s="1130"/>
      <c r="P240" s="1110"/>
      <c r="Q240" s="1109"/>
      <c r="R240" s="1110"/>
      <c r="S240" s="1109"/>
      <c r="T240" s="1110"/>
      <c r="U240" s="1109"/>
      <c r="V240" s="1110"/>
      <c r="W240" s="1129"/>
      <c r="X240" s="1110"/>
      <c r="Y240" s="1129"/>
      <c r="Z240" s="1110"/>
      <c r="AA240" s="1129"/>
      <c r="AB240" s="1110"/>
      <c r="AC240" s="1109"/>
      <c r="AD240" s="1110"/>
      <c r="AE240" s="1129"/>
      <c r="AF240" s="1110"/>
      <c r="AG240" s="1129"/>
      <c r="AH240" s="1110"/>
      <c r="AI240" s="1129"/>
      <c r="AJ240" s="1157"/>
      <c r="AK240" s="2911"/>
      <c r="AL240" s="2889"/>
      <c r="AM240" s="2915"/>
      <c r="AN240" s="2889"/>
      <c r="AO240" s="2915"/>
      <c r="AP240" s="2889"/>
      <c r="AQ240" s="2915"/>
      <c r="AR240" s="2889"/>
      <c r="AS240" s="2885"/>
      <c r="AT240" s="2889"/>
      <c r="AU240" s="2885"/>
      <c r="AV240" s="2889"/>
      <c r="AW240" s="2915"/>
      <c r="AX240" s="1110"/>
      <c r="AY240" s="1193" t="str">
        <f t="shared" si="472"/>
        <v/>
      </c>
      <c r="CA240" s="2235" t="str">
        <f t="shared" si="473"/>
        <v/>
      </c>
      <c r="CB240" s="2235" t="str">
        <f t="shared" si="474"/>
        <v/>
      </c>
      <c r="CC240" s="2235" t="str">
        <f t="shared" si="475"/>
        <v/>
      </c>
      <c r="CD240" s="2235" t="str">
        <f t="shared" si="476"/>
        <v/>
      </c>
      <c r="CE240" s="2235" t="str">
        <f t="shared" si="477"/>
        <v/>
      </c>
      <c r="CF240" s="2235" t="str">
        <f t="shared" si="478"/>
        <v/>
      </c>
      <c r="CG240" s="2235" t="str">
        <f t="shared" si="479"/>
        <v/>
      </c>
      <c r="CH240" s="2235" t="str">
        <f t="shared" si="480"/>
        <v/>
      </c>
      <c r="CI240" s="2235" t="str">
        <f t="shared" si="481"/>
        <v/>
      </c>
      <c r="CJ240" s="2235" t="str">
        <f t="shared" si="482"/>
        <v/>
      </c>
      <c r="CK240" s="2235" t="str">
        <f t="shared" si="483"/>
        <v/>
      </c>
      <c r="CL240" s="2235" t="str">
        <f t="shared" si="484"/>
        <v/>
      </c>
      <c r="CM240" s="2235" t="str">
        <f t="shared" si="485"/>
        <v/>
      </c>
      <c r="CN240" s="2235" t="str">
        <f t="shared" si="486"/>
        <v/>
      </c>
      <c r="CO240" s="2235" t="str">
        <f t="shared" si="487"/>
        <v/>
      </c>
      <c r="CP240" s="2235" t="str">
        <f t="shared" si="488"/>
        <v/>
      </c>
      <c r="CQ240" s="2235" t="str">
        <f t="shared" si="489"/>
        <v/>
      </c>
      <c r="CR240" s="2235" t="str">
        <f t="shared" si="490"/>
        <v/>
      </c>
      <c r="CS240" s="2235" t="str">
        <f t="shared" si="491"/>
        <v/>
      </c>
      <c r="CT240" s="2235" t="str">
        <f t="shared" si="492"/>
        <v/>
      </c>
      <c r="CU240" s="2235" t="str">
        <f t="shared" si="493"/>
        <v/>
      </c>
      <c r="CV240" s="2235" t="str">
        <f t="shared" si="494"/>
        <v/>
      </c>
      <c r="CW240" s="2235" t="str">
        <f t="shared" si="495"/>
        <v/>
      </c>
      <c r="CX240" s="2235" t="str">
        <f t="shared" si="496"/>
        <v/>
      </c>
      <c r="CY240" s="2235"/>
      <c r="CZ240" s="2235"/>
      <c r="DA240" s="1468">
        <f t="shared" si="497"/>
        <v>0</v>
      </c>
      <c r="DB240" s="1468">
        <f t="shared" si="498"/>
        <v>0</v>
      </c>
      <c r="DC240" s="1468">
        <f t="shared" si="499"/>
        <v>0</v>
      </c>
      <c r="DD240" s="1468">
        <f t="shared" si="500"/>
        <v>0</v>
      </c>
      <c r="DE240" s="1468">
        <f t="shared" si="501"/>
        <v>0</v>
      </c>
      <c r="DF240" s="1468">
        <f t="shared" si="502"/>
        <v>0</v>
      </c>
      <c r="DG240" s="1468">
        <f t="shared" si="503"/>
        <v>0</v>
      </c>
      <c r="DH240" s="1468">
        <f t="shared" si="504"/>
        <v>0</v>
      </c>
      <c r="DI240" s="1468">
        <f t="shared" si="505"/>
        <v>0</v>
      </c>
      <c r="DJ240" s="1468">
        <f t="shared" si="506"/>
        <v>0</v>
      </c>
      <c r="DK240" s="1468">
        <f t="shared" si="507"/>
        <v>0</v>
      </c>
      <c r="DL240" s="1468">
        <f t="shared" si="508"/>
        <v>0</v>
      </c>
      <c r="DM240" s="1468">
        <f t="shared" si="509"/>
        <v>0</v>
      </c>
      <c r="DN240" s="1468">
        <f t="shared" si="510"/>
        <v>0</v>
      </c>
      <c r="DO240" s="1468">
        <f t="shared" si="511"/>
        <v>0</v>
      </c>
      <c r="DP240" s="1468">
        <f t="shared" si="512"/>
        <v>0</v>
      </c>
      <c r="DQ240" s="1468">
        <f t="shared" si="513"/>
        <v>0</v>
      </c>
      <c r="DR240" s="1468">
        <f t="shared" si="514"/>
        <v>0</v>
      </c>
      <c r="DS240" s="1468">
        <f t="shared" si="515"/>
        <v>0</v>
      </c>
      <c r="DT240" s="1468">
        <f t="shared" si="516"/>
        <v>0</v>
      </c>
      <c r="DU240" s="1468">
        <f t="shared" si="517"/>
        <v>0</v>
      </c>
      <c r="DV240" s="1468">
        <f t="shared" si="518"/>
        <v>0</v>
      </c>
      <c r="DW240" s="1468">
        <f t="shared" si="519"/>
        <v>0</v>
      </c>
      <c r="DX240" s="1468">
        <f t="shared" si="519"/>
        <v>0</v>
      </c>
    </row>
    <row r="241" spans="1:128" ht="35.25" customHeight="1" x14ac:dyDescent="0.25">
      <c r="A241" s="8274"/>
      <c r="B241" s="1142" t="s">
        <v>1827</v>
      </c>
      <c r="C241" s="2254">
        <f>+M241+O241+Q241+S241+U241+W241+Y241+AA241+AC241+AE241+AG241+AI241</f>
        <v>0</v>
      </c>
      <c r="D241" s="2245">
        <f>+N241+P241+R241+T241+V241+X241+Z241+AB241+AD241+AF241+AH241+AJ241</f>
        <v>0</v>
      </c>
      <c r="E241" s="2246"/>
      <c r="F241" s="2247"/>
      <c r="G241" s="2248"/>
      <c r="H241" s="2247"/>
      <c r="I241" s="2248"/>
      <c r="J241" s="2247"/>
      <c r="K241" s="2248"/>
      <c r="L241" s="2247"/>
      <c r="M241" s="1109"/>
      <c r="N241" s="1110"/>
      <c r="O241" s="1129"/>
      <c r="P241" s="1110"/>
      <c r="Q241" s="1109"/>
      <c r="R241" s="1110"/>
      <c r="S241" s="1109"/>
      <c r="T241" s="1110"/>
      <c r="U241" s="1109"/>
      <c r="V241" s="1110"/>
      <c r="W241" s="1129"/>
      <c r="X241" s="1110"/>
      <c r="Y241" s="1129"/>
      <c r="Z241" s="1110"/>
      <c r="AA241" s="1129"/>
      <c r="AB241" s="1110"/>
      <c r="AC241" s="1109"/>
      <c r="AD241" s="1110"/>
      <c r="AE241" s="1129"/>
      <c r="AF241" s="1110"/>
      <c r="AG241" s="1129"/>
      <c r="AH241" s="1110"/>
      <c r="AI241" s="1129"/>
      <c r="AJ241" s="1157"/>
      <c r="AK241" s="2911"/>
      <c r="AL241" s="2889"/>
      <c r="AM241" s="2915"/>
      <c r="AN241" s="2889"/>
      <c r="AO241" s="2915"/>
      <c r="AP241" s="2889"/>
      <c r="AQ241" s="2915"/>
      <c r="AR241" s="2889"/>
      <c r="AS241" s="2885"/>
      <c r="AT241" s="2889"/>
      <c r="AU241" s="2885"/>
      <c r="AV241" s="2889"/>
      <c r="AW241" s="2915"/>
      <c r="AX241" s="1110"/>
      <c r="AY241" s="1193" t="str">
        <f t="shared" si="472"/>
        <v/>
      </c>
      <c r="CA241" s="2235" t="str">
        <f t="shared" si="473"/>
        <v/>
      </c>
      <c r="CB241" s="2235" t="str">
        <f t="shared" si="474"/>
        <v/>
      </c>
      <c r="CC241" s="2235" t="str">
        <f t="shared" si="475"/>
        <v/>
      </c>
      <c r="CD241" s="2235" t="str">
        <f t="shared" si="476"/>
        <v/>
      </c>
      <c r="CE241" s="2235" t="str">
        <f t="shared" si="477"/>
        <v/>
      </c>
      <c r="CF241" s="2235" t="str">
        <f t="shared" si="478"/>
        <v/>
      </c>
      <c r="CG241" s="2235" t="str">
        <f t="shared" si="479"/>
        <v/>
      </c>
      <c r="CH241" s="2235" t="str">
        <f t="shared" si="480"/>
        <v/>
      </c>
      <c r="CI241" s="2235" t="str">
        <f t="shared" si="481"/>
        <v/>
      </c>
      <c r="CJ241" s="2235" t="str">
        <f t="shared" si="482"/>
        <v/>
      </c>
      <c r="CK241" s="2235" t="str">
        <f t="shared" si="483"/>
        <v/>
      </c>
      <c r="CL241" s="2235" t="str">
        <f t="shared" si="484"/>
        <v/>
      </c>
      <c r="CM241" s="2235" t="str">
        <f t="shared" si="485"/>
        <v/>
      </c>
      <c r="CN241" s="2235" t="str">
        <f t="shared" si="486"/>
        <v/>
      </c>
      <c r="CO241" s="2235" t="str">
        <f t="shared" si="487"/>
        <v/>
      </c>
      <c r="CP241" s="2235" t="str">
        <f t="shared" si="488"/>
        <v/>
      </c>
      <c r="CQ241" s="2235" t="str">
        <f t="shared" si="489"/>
        <v/>
      </c>
      <c r="CR241" s="2235" t="str">
        <f t="shared" si="490"/>
        <v/>
      </c>
      <c r="CS241" s="2235" t="str">
        <f t="shared" si="491"/>
        <v/>
      </c>
      <c r="CT241" s="2235" t="str">
        <f t="shared" si="492"/>
        <v/>
      </c>
      <c r="CU241" s="2235" t="str">
        <f t="shared" si="493"/>
        <v/>
      </c>
      <c r="CV241" s="2235" t="str">
        <f t="shared" si="494"/>
        <v/>
      </c>
      <c r="CW241" s="2235" t="str">
        <f t="shared" si="495"/>
        <v/>
      </c>
      <c r="CX241" s="2235" t="str">
        <f t="shared" si="496"/>
        <v/>
      </c>
      <c r="CY241" s="2235"/>
      <c r="CZ241" s="2235"/>
      <c r="DA241" s="1468">
        <f t="shared" si="497"/>
        <v>0</v>
      </c>
      <c r="DB241" s="1468">
        <f t="shared" si="498"/>
        <v>0</v>
      </c>
      <c r="DC241" s="1468">
        <f t="shared" si="499"/>
        <v>0</v>
      </c>
      <c r="DD241" s="1468">
        <f t="shared" si="500"/>
        <v>0</v>
      </c>
      <c r="DE241" s="1468">
        <f t="shared" si="501"/>
        <v>0</v>
      </c>
      <c r="DF241" s="1468">
        <f t="shared" si="502"/>
        <v>0</v>
      </c>
      <c r="DG241" s="1468">
        <f t="shared" si="503"/>
        <v>0</v>
      </c>
      <c r="DH241" s="1468">
        <f t="shared" si="504"/>
        <v>0</v>
      </c>
      <c r="DI241" s="1468">
        <f t="shared" si="505"/>
        <v>0</v>
      </c>
      <c r="DJ241" s="1468">
        <f t="shared" si="506"/>
        <v>0</v>
      </c>
      <c r="DK241" s="1468">
        <f t="shared" si="507"/>
        <v>0</v>
      </c>
      <c r="DL241" s="1468">
        <f t="shared" si="508"/>
        <v>0</v>
      </c>
      <c r="DM241" s="1468">
        <f t="shared" si="509"/>
        <v>0</v>
      </c>
      <c r="DN241" s="1468">
        <f t="shared" si="510"/>
        <v>0</v>
      </c>
      <c r="DO241" s="1468">
        <f t="shared" si="511"/>
        <v>0</v>
      </c>
      <c r="DP241" s="1468">
        <f t="shared" si="512"/>
        <v>0</v>
      </c>
      <c r="DQ241" s="1468">
        <f t="shared" si="513"/>
        <v>0</v>
      </c>
      <c r="DR241" s="1468">
        <f t="shared" si="514"/>
        <v>0</v>
      </c>
      <c r="DS241" s="1468">
        <f t="shared" si="515"/>
        <v>0</v>
      </c>
      <c r="DT241" s="1468">
        <f t="shared" si="516"/>
        <v>0</v>
      </c>
      <c r="DU241" s="1468">
        <f t="shared" si="517"/>
        <v>0</v>
      </c>
      <c r="DV241" s="1468">
        <f t="shared" si="518"/>
        <v>0</v>
      </c>
      <c r="DW241" s="1468">
        <f t="shared" si="519"/>
        <v>0</v>
      </c>
      <c r="DX241" s="1468">
        <f t="shared" si="519"/>
        <v>0</v>
      </c>
    </row>
    <row r="242" spans="1:128" ht="18" customHeight="1" x14ac:dyDescent="0.25">
      <c r="A242" s="8274"/>
      <c r="B242" s="1107" t="s">
        <v>2179</v>
      </c>
      <c r="C242" s="2244">
        <f>+O242+Q242+S242+U242+W242+Y242+AA242+AC242+AE242+AG242+AI242</f>
        <v>0</v>
      </c>
      <c r="D242" s="2245">
        <f>+P242+R242+T242+V242+X242+Z242+AB242+AD242+AF242+AH242+AJ242</f>
        <v>0</v>
      </c>
      <c r="E242" s="2246"/>
      <c r="F242" s="2247"/>
      <c r="G242" s="2248"/>
      <c r="H242" s="2247"/>
      <c r="I242" s="2248"/>
      <c r="J242" s="2247"/>
      <c r="K242" s="2248"/>
      <c r="L242" s="2247"/>
      <c r="M242" s="2255"/>
      <c r="N242" s="2256"/>
      <c r="O242" s="1129"/>
      <c r="P242" s="1110"/>
      <c r="Q242" s="1109"/>
      <c r="R242" s="1110"/>
      <c r="S242" s="1109"/>
      <c r="T242" s="1110"/>
      <c r="U242" s="1109"/>
      <c r="V242" s="1110"/>
      <c r="W242" s="1129"/>
      <c r="X242" s="1110"/>
      <c r="Y242" s="1129"/>
      <c r="Z242" s="1110"/>
      <c r="AA242" s="1129"/>
      <c r="AB242" s="1110"/>
      <c r="AC242" s="1109"/>
      <c r="AD242" s="1110"/>
      <c r="AE242" s="1129"/>
      <c r="AF242" s="1110"/>
      <c r="AG242" s="1129"/>
      <c r="AH242" s="1110"/>
      <c r="AI242" s="1129"/>
      <c r="AJ242" s="1157"/>
      <c r="AK242" s="2911"/>
      <c r="AL242" s="2889"/>
      <c r="AM242" s="2915"/>
      <c r="AN242" s="2889"/>
      <c r="AO242" s="2915"/>
      <c r="AP242" s="2889"/>
      <c r="AQ242" s="2915"/>
      <c r="AR242" s="2889"/>
      <c r="AS242" s="2885"/>
      <c r="AT242" s="2889"/>
      <c r="AU242" s="2885"/>
      <c r="AV242" s="2889"/>
      <c r="AW242" s="2915"/>
      <c r="AX242" s="1110"/>
      <c r="AY242" s="1193" t="str">
        <f t="shared" si="472"/>
        <v/>
      </c>
      <c r="CA242" s="2235" t="str">
        <f t="shared" si="473"/>
        <v/>
      </c>
      <c r="CB242" s="2235" t="str">
        <f t="shared" si="474"/>
        <v/>
      </c>
      <c r="CC242" s="2235" t="str">
        <f t="shared" si="475"/>
        <v/>
      </c>
      <c r="CD242" s="2235" t="str">
        <f t="shared" si="476"/>
        <v/>
      </c>
      <c r="CE242" s="2235" t="str">
        <f t="shared" si="477"/>
        <v/>
      </c>
      <c r="CF242" s="2235" t="str">
        <f t="shared" si="478"/>
        <v/>
      </c>
      <c r="CG242" s="2235" t="str">
        <f t="shared" si="479"/>
        <v/>
      </c>
      <c r="CH242" s="2235" t="str">
        <f t="shared" si="480"/>
        <v/>
      </c>
      <c r="CI242" s="2235" t="str">
        <f t="shared" si="481"/>
        <v/>
      </c>
      <c r="CJ242" s="2235" t="str">
        <f t="shared" si="482"/>
        <v/>
      </c>
      <c r="CK242" s="2235" t="str">
        <f t="shared" si="483"/>
        <v/>
      </c>
      <c r="CL242" s="2235" t="str">
        <f t="shared" si="484"/>
        <v/>
      </c>
      <c r="CM242" s="2235" t="str">
        <f t="shared" si="485"/>
        <v/>
      </c>
      <c r="CN242" s="2235" t="str">
        <f t="shared" si="486"/>
        <v/>
      </c>
      <c r="CO242" s="2235" t="str">
        <f t="shared" si="487"/>
        <v/>
      </c>
      <c r="CP242" s="2235" t="str">
        <f t="shared" si="488"/>
        <v/>
      </c>
      <c r="CQ242" s="2235" t="str">
        <f t="shared" si="489"/>
        <v/>
      </c>
      <c r="CR242" s="2235" t="str">
        <f t="shared" si="490"/>
        <v/>
      </c>
      <c r="CS242" s="2235" t="str">
        <f t="shared" si="491"/>
        <v/>
      </c>
      <c r="CT242" s="2235" t="str">
        <f t="shared" si="492"/>
        <v/>
      </c>
      <c r="CU242" s="2235" t="str">
        <f t="shared" si="493"/>
        <v/>
      </c>
      <c r="CV242" s="2235" t="str">
        <f t="shared" si="494"/>
        <v/>
      </c>
      <c r="CW242" s="2235" t="str">
        <f t="shared" si="495"/>
        <v/>
      </c>
      <c r="CX242" s="2235" t="str">
        <f t="shared" si="496"/>
        <v/>
      </c>
      <c r="CY242" s="2235"/>
      <c r="CZ242" s="2235"/>
      <c r="DA242" s="1468">
        <f t="shared" si="497"/>
        <v>0</v>
      </c>
      <c r="DB242" s="1468">
        <f t="shared" si="498"/>
        <v>0</v>
      </c>
      <c r="DC242" s="1468">
        <f t="shared" si="499"/>
        <v>0</v>
      </c>
      <c r="DD242" s="1468">
        <f t="shared" si="500"/>
        <v>0</v>
      </c>
      <c r="DE242" s="1468">
        <f t="shared" si="501"/>
        <v>0</v>
      </c>
      <c r="DF242" s="1468">
        <f t="shared" si="502"/>
        <v>0</v>
      </c>
      <c r="DG242" s="1468">
        <f t="shared" si="503"/>
        <v>0</v>
      </c>
      <c r="DH242" s="1468">
        <f t="shared" si="504"/>
        <v>0</v>
      </c>
      <c r="DI242" s="1468">
        <f t="shared" si="505"/>
        <v>0</v>
      </c>
      <c r="DJ242" s="1468">
        <f t="shared" si="506"/>
        <v>0</v>
      </c>
      <c r="DK242" s="1468">
        <f t="shared" si="507"/>
        <v>0</v>
      </c>
      <c r="DL242" s="1468">
        <f t="shared" si="508"/>
        <v>0</v>
      </c>
      <c r="DM242" s="1468">
        <f t="shared" si="509"/>
        <v>0</v>
      </c>
      <c r="DN242" s="1468">
        <f t="shared" si="510"/>
        <v>0</v>
      </c>
      <c r="DO242" s="1468">
        <f t="shared" si="511"/>
        <v>0</v>
      </c>
      <c r="DP242" s="1468">
        <f t="shared" si="512"/>
        <v>0</v>
      </c>
      <c r="DQ242" s="1468">
        <f t="shared" si="513"/>
        <v>0</v>
      </c>
      <c r="DR242" s="1468">
        <f t="shared" si="514"/>
        <v>0</v>
      </c>
      <c r="DS242" s="1468">
        <f t="shared" si="515"/>
        <v>0</v>
      </c>
      <c r="DT242" s="1468">
        <f t="shared" si="516"/>
        <v>0</v>
      </c>
      <c r="DU242" s="1468">
        <f t="shared" si="517"/>
        <v>0</v>
      </c>
      <c r="DV242" s="1468">
        <f t="shared" si="518"/>
        <v>0</v>
      </c>
      <c r="DW242" s="1468">
        <f t="shared" si="519"/>
        <v>0</v>
      </c>
      <c r="DX242" s="1468">
        <f t="shared" si="519"/>
        <v>0</v>
      </c>
    </row>
    <row r="243" spans="1:128" ht="27.75" customHeight="1" x14ac:dyDescent="0.25">
      <c r="A243" s="8274"/>
      <c r="B243" s="1142" t="s">
        <v>1828</v>
      </c>
      <c r="C243" s="2257">
        <f>+E243+G243+I243+K243+M243+O243+Q243+S243+U243+W243+Y243+AA243+AC243+AE243+AG243+AI243</f>
        <v>0</v>
      </c>
      <c r="D243" s="2253">
        <f>+F243+H243+J243+L243+N243+P243+R243+T243+V243+X243+Z243+AB243+AD243+AF243+AH243+AJ243</f>
        <v>0</v>
      </c>
      <c r="E243" s="1178"/>
      <c r="F243" s="143"/>
      <c r="G243" s="1178"/>
      <c r="H243" s="143"/>
      <c r="I243" s="1178"/>
      <c r="J243" s="143"/>
      <c r="K243" s="1178"/>
      <c r="L243" s="143"/>
      <c r="M243" s="1109"/>
      <c r="N243" s="1110"/>
      <c r="O243" s="1129"/>
      <c r="P243" s="1110"/>
      <c r="Q243" s="1109"/>
      <c r="R243" s="1110"/>
      <c r="S243" s="1109"/>
      <c r="T243" s="1110"/>
      <c r="U243" s="1109"/>
      <c r="V243" s="1110"/>
      <c r="W243" s="1129"/>
      <c r="X243" s="1110"/>
      <c r="Y243" s="1129"/>
      <c r="Z243" s="1110"/>
      <c r="AA243" s="1129"/>
      <c r="AB243" s="1110"/>
      <c r="AC243" s="1109"/>
      <c r="AD243" s="1110"/>
      <c r="AE243" s="1129"/>
      <c r="AF243" s="1110"/>
      <c r="AG243" s="1129"/>
      <c r="AH243" s="1110"/>
      <c r="AI243" s="1129"/>
      <c r="AJ243" s="1157"/>
      <c r="AK243" s="2911"/>
      <c r="AL243" s="2889"/>
      <c r="AM243" s="2915"/>
      <c r="AN243" s="2889"/>
      <c r="AO243" s="2915"/>
      <c r="AP243" s="2889"/>
      <c r="AQ243" s="2915"/>
      <c r="AR243" s="2889"/>
      <c r="AS243" s="2885"/>
      <c r="AT243" s="2889"/>
      <c r="AU243" s="2885"/>
      <c r="AV243" s="2889"/>
      <c r="AW243" s="2915"/>
      <c r="AX243" s="1110"/>
      <c r="AY243" s="1193" t="str">
        <f t="shared" si="472"/>
        <v/>
      </c>
      <c r="CA243" s="2235" t="str">
        <f t="shared" si="473"/>
        <v/>
      </c>
      <c r="CB243" s="2235" t="str">
        <f t="shared" si="474"/>
        <v/>
      </c>
      <c r="CC243" s="2235" t="str">
        <f t="shared" si="475"/>
        <v/>
      </c>
      <c r="CD243" s="2235" t="str">
        <f t="shared" si="476"/>
        <v/>
      </c>
      <c r="CE243" s="2235" t="str">
        <f t="shared" si="477"/>
        <v/>
      </c>
      <c r="CF243" s="2235" t="str">
        <f t="shared" si="478"/>
        <v/>
      </c>
      <c r="CG243" s="2235" t="str">
        <f t="shared" si="479"/>
        <v/>
      </c>
      <c r="CH243" s="2235" t="str">
        <f t="shared" si="480"/>
        <v/>
      </c>
      <c r="CI243" s="2235" t="str">
        <f t="shared" si="481"/>
        <v/>
      </c>
      <c r="CJ243" s="2235" t="str">
        <f t="shared" si="482"/>
        <v/>
      </c>
      <c r="CK243" s="2235" t="str">
        <f t="shared" si="483"/>
        <v/>
      </c>
      <c r="CL243" s="2235" t="str">
        <f t="shared" si="484"/>
        <v/>
      </c>
      <c r="CM243" s="2235" t="str">
        <f t="shared" si="485"/>
        <v/>
      </c>
      <c r="CN243" s="2235" t="str">
        <f t="shared" si="486"/>
        <v/>
      </c>
      <c r="CO243" s="2235" t="str">
        <f t="shared" si="487"/>
        <v/>
      </c>
      <c r="CP243" s="2235" t="str">
        <f t="shared" si="488"/>
        <v/>
      </c>
      <c r="CQ243" s="2235" t="str">
        <f t="shared" si="489"/>
        <v/>
      </c>
      <c r="CR243" s="2235" t="str">
        <f t="shared" si="490"/>
        <v/>
      </c>
      <c r="CS243" s="2235" t="str">
        <f t="shared" si="491"/>
        <v/>
      </c>
      <c r="CT243" s="2235" t="str">
        <f t="shared" si="492"/>
        <v/>
      </c>
      <c r="CU243" s="2235" t="str">
        <f t="shared" si="493"/>
        <v/>
      </c>
      <c r="CV243" s="2235" t="str">
        <f t="shared" si="494"/>
        <v/>
      </c>
      <c r="CW243" s="2235" t="str">
        <f t="shared" si="495"/>
        <v/>
      </c>
      <c r="CX243" s="2235" t="str">
        <f t="shared" si="496"/>
        <v/>
      </c>
      <c r="CY243" s="2235"/>
      <c r="CZ243" s="2235"/>
      <c r="DA243" s="1468">
        <f t="shared" si="497"/>
        <v>0</v>
      </c>
      <c r="DB243" s="1468">
        <f t="shared" si="498"/>
        <v>0</v>
      </c>
      <c r="DC243" s="1468">
        <f t="shared" si="499"/>
        <v>0</v>
      </c>
      <c r="DD243" s="1468">
        <f t="shared" si="500"/>
        <v>0</v>
      </c>
      <c r="DE243" s="1468">
        <f t="shared" si="501"/>
        <v>0</v>
      </c>
      <c r="DF243" s="1468">
        <f t="shared" si="502"/>
        <v>0</v>
      </c>
      <c r="DG243" s="1468">
        <f t="shared" si="503"/>
        <v>0</v>
      </c>
      <c r="DH243" s="1468">
        <f t="shared" si="504"/>
        <v>0</v>
      </c>
      <c r="DI243" s="1468">
        <f t="shared" si="505"/>
        <v>0</v>
      </c>
      <c r="DJ243" s="1468">
        <f t="shared" si="506"/>
        <v>0</v>
      </c>
      <c r="DK243" s="1468">
        <f t="shared" si="507"/>
        <v>0</v>
      </c>
      <c r="DL243" s="1468">
        <f t="shared" si="508"/>
        <v>0</v>
      </c>
      <c r="DM243" s="1468">
        <f t="shared" si="509"/>
        <v>0</v>
      </c>
      <c r="DN243" s="1468">
        <f t="shared" si="510"/>
        <v>0</v>
      </c>
      <c r="DO243" s="1468">
        <f t="shared" si="511"/>
        <v>0</v>
      </c>
      <c r="DP243" s="1468">
        <f t="shared" si="512"/>
        <v>0</v>
      </c>
      <c r="DQ243" s="1468">
        <f t="shared" si="513"/>
        <v>0</v>
      </c>
      <c r="DR243" s="1468">
        <f t="shared" si="514"/>
        <v>0</v>
      </c>
      <c r="DS243" s="1468">
        <f t="shared" si="515"/>
        <v>0</v>
      </c>
      <c r="DT243" s="1468">
        <f t="shared" si="516"/>
        <v>0</v>
      </c>
      <c r="DU243" s="1468">
        <f t="shared" si="517"/>
        <v>0</v>
      </c>
      <c r="DV243" s="1468">
        <f t="shared" si="518"/>
        <v>0</v>
      </c>
      <c r="DW243" s="1468">
        <f t="shared" si="519"/>
        <v>0</v>
      </c>
      <c r="DX243" s="1468">
        <f t="shared" si="519"/>
        <v>0</v>
      </c>
    </row>
    <row r="244" spans="1:128" ht="18" customHeight="1" x14ac:dyDescent="0.25">
      <c r="A244" s="8274"/>
      <c r="B244" s="1107" t="s">
        <v>1796</v>
      </c>
      <c r="C244" s="2244">
        <f>+M244+O244+Q244+S244+U244+W244+Y244+AA244+AC244+AE244+AG244+AI244</f>
        <v>0</v>
      </c>
      <c r="D244" s="2253">
        <f>+N244+P244+R244+T244+V244+X244+Z244+AB244+AD244+AF244+AH244+AJ244</f>
        <v>0</v>
      </c>
      <c r="E244" s="2246"/>
      <c r="F244" s="2247"/>
      <c r="G244" s="2248"/>
      <c r="H244" s="2247"/>
      <c r="I244" s="2248"/>
      <c r="J244" s="2247"/>
      <c r="K244" s="2248"/>
      <c r="L244" s="2247"/>
      <c r="M244" s="1129"/>
      <c r="N244" s="1110"/>
      <c r="O244" s="1130"/>
      <c r="P244" s="1110"/>
      <c r="Q244" s="1109"/>
      <c r="R244" s="1110"/>
      <c r="S244" s="1109"/>
      <c r="T244" s="1110"/>
      <c r="U244" s="1109"/>
      <c r="V244" s="1110"/>
      <c r="W244" s="1129"/>
      <c r="X244" s="1110"/>
      <c r="Y244" s="1129"/>
      <c r="Z244" s="1110"/>
      <c r="AA244" s="1129"/>
      <c r="AB244" s="1110"/>
      <c r="AC244" s="1109"/>
      <c r="AD244" s="1110"/>
      <c r="AE244" s="1129"/>
      <c r="AF244" s="1110"/>
      <c r="AG244" s="1129"/>
      <c r="AH244" s="1110"/>
      <c r="AI244" s="1129"/>
      <c r="AJ244" s="1157"/>
      <c r="AK244" s="2911"/>
      <c r="AL244" s="2889"/>
      <c r="AM244" s="2915"/>
      <c r="AN244" s="2889"/>
      <c r="AO244" s="2915"/>
      <c r="AP244" s="2889"/>
      <c r="AQ244" s="2915"/>
      <c r="AR244" s="2889"/>
      <c r="AS244" s="2885"/>
      <c r="AT244" s="2889"/>
      <c r="AU244" s="2885"/>
      <c r="AV244" s="2889"/>
      <c r="AW244" s="2915"/>
      <c r="AX244" s="1110"/>
      <c r="AY244" s="1193" t="str">
        <f t="shared" si="472"/>
        <v/>
      </c>
      <c r="CA244" s="2235" t="str">
        <f t="shared" si="473"/>
        <v/>
      </c>
      <c r="CB244" s="2235" t="str">
        <f t="shared" si="474"/>
        <v/>
      </c>
      <c r="CC244" s="2235" t="str">
        <f t="shared" si="475"/>
        <v/>
      </c>
      <c r="CD244" s="2235" t="str">
        <f t="shared" si="476"/>
        <v/>
      </c>
      <c r="CE244" s="2235" t="str">
        <f t="shared" si="477"/>
        <v/>
      </c>
      <c r="CF244" s="2235" t="str">
        <f t="shared" si="478"/>
        <v/>
      </c>
      <c r="CG244" s="2235" t="str">
        <f t="shared" si="479"/>
        <v/>
      </c>
      <c r="CH244" s="2235" t="str">
        <f t="shared" si="480"/>
        <v/>
      </c>
      <c r="CI244" s="2235" t="str">
        <f t="shared" si="481"/>
        <v/>
      </c>
      <c r="CJ244" s="2235" t="str">
        <f t="shared" si="482"/>
        <v/>
      </c>
      <c r="CK244" s="2235" t="str">
        <f t="shared" si="483"/>
        <v/>
      </c>
      <c r="CL244" s="2235" t="str">
        <f t="shared" si="484"/>
        <v/>
      </c>
      <c r="CM244" s="2235" t="str">
        <f t="shared" si="485"/>
        <v/>
      </c>
      <c r="CN244" s="2235" t="str">
        <f t="shared" si="486"/>
        <v/>
      </c>
      <c r="CO244" s="2235" t="str">
        <f t="shared" si="487"/>
        <v/>
      </c>
      <c r="CP244" s="2235" t="str">
        <f t="shared" si="488"/>
        <v/>
      </c>
      <c r="CQ244" s="2235" t="str">
        <f t="shared" si="489"/>
        <v/>
      </c>
      <c r="CR244" s="2235" t="str">
        <f t="shared" si="490"/>
        <v/>
      </c>
      <c r="CS244" s="2235" t="str">
        <f t="shared" si="491"/>
        <v/>
      </c>
      <c r="CT244" s="2235" t="str">
        <f t="shared" si="492"/>
        <v/>
      </c>
      <c r="CU244" s="2235" t="str">
        <f t="shared" si="493"/>
        <v/>
      </c>
      <c r="CV244" s="2235" t="str">
        <f t="shared" si="494"/>
        <v/>
      </c>
      <c r="CW244" s="2235" t="str">
        <f t="shared" si="495"/>
        <v/>
      </c>
      <c r="CX244" s="2235" t="str">
        <f t="shared" si="496"/>
        <v/>
      </c>
      <c r="CY244" s="2235"/>
      <c r="CZ244" s="2235"/>
      <c r="DA244" s="1468">
        <f t="shared" si="497"/>
        <v>0</v>
      </c>
      <c r="DB244" s="1468">
        <f t="shared" si="498"/>
        <v>0</v>
      </c>
      <c r="DC244" s="1468">
        <f t="shared" si="499"/>
        <v>0</v>
      </c>
      <c r="DD244" s="1468">
        <f t="shared" si="500"/>
        <v>0</v>
      </c>
      <c r="DE244" s="1468">
        <f t="shared" si="501"/>
        <v>0</v>
      </c>
      <c r="DF244" s="1468">
        <f t="shared" si="502"/>
        <v>0</v>
      </c>
      <c r="DG244" s="1468">
        <f t="shared" si="503"/>
        <v>0</v>
      </c>
      <c r="DH244" s="1468">
        <f t="shared" si="504"/>
        <v>0</v>
      </c>
      <c r="DI244" s="1468">
        <f t="shared" si="505"/>
        <v>0</v>
      </c>
      <c r="DJ244" s="1468">
        <f t="shared" si="506"/>
        <v>0</v>
      </c>
      <c r="DK244" s="1468">
        <f t="shared" si="507"/>
        <v>0</v>
      </c>
      <c r="DL244" s="1468">
        <f t="shared" si="508"/>
        <v>0</v>
      </c>
      <c r="DM244" s="1468">
        <f t="shared" si="509"/>
        <v>0</v>
      </c>
      <c r="DN244" s="1468">
        <f t="shared" si="510"/>
        <v>0</v>
      </c>
      <c r="DO244" s="1468">
        <f t="shared" si="511"/>
        <v>0</v>
      </c>
      <c r="DP244" s="1468">
        <f t="shared" si="512"/>
        <v>0</v>
      </c>
      <c r="DQ244" s="1468">
        <f t="shared" si="513"/>
        <v>0</v>
      </c>
      <c r="DR244" s="1468">
        <f t="shared" si="514"/>
        <v>0</v>
      </c>
      <c r="DS244" s="1468">
        <f t="shared" si="515"/>
        <v>0</v>
      </c>
      <c r="DT244" s="1468">
        <f t="shared" si="516"/>
        <v>0</v>
      </c>
      <c r="DU244" s="1468">
        <f t="shared" si="517"/>
        <v>0</v>
      </c>
      <c r="DV244" s="1468">
        <f t="shared" si="518"/>
        <v>0</v>
      </c>
      <c r="DW244" s="1468">
        <f t="shared" si="519"/>
        <v>0</v>
      </c>
      <c r="DX244" s="1468">
        <f t="shared" si="519"/>
        <v>0</v>
      </c>
    </row>
    <row r="245" spans="1:128" x14ac:dyDescent="0.25">
      <c r="A245" s="8274"/>
      <c r="B245" s="1107" t="s">
        <v>1829</v>
      </c>
      <c r="C245" s="2244">
        <f>+M245+O245+Q245+S245+U245+W245+Y245+AA245+AC245+AE245+AG245+AI245</f>
        <v>0</v>
      </c>
      <c r="D245" s="2253">
        <f>+N245+P245+R245+T245+V245+X245+Z245+AB245+AD245+AF245+AH245+AJ245</f>
        <v>0</v>
      </c>
      <c r="E245" s="2246"/>
      <c r="F245" s="2247"/>
      <c r="G245" s="2248"/>
      <c r="H245" s="2247"/>
      <c r="I245" s="2248"/>
      <c r="J245" s="2247"/>
      <c r="K245" s="2248"/>
      <c r="L245" s="2247"/>
      <c r="M245" s="1129"/>
      <c r="N245" s="1110"/>
      <c r="O245" s="1129"/>
      <c r="P245" s="1110"/>
      <c r="Q245" s="1109"/>
      <c r="R245" s="1110"/>
      <c r="S245" s="1109"/>
      <c r="T245" s="1110"/>
      <c r="U245" s="1109"/>
      <c r="V245" s="1110"/>
      <c r="W245" s="1129"/>
      <c r="X245" s="1110"/>
      <c r="Y245" s="1129"/>
      <c r="Z245" s="1110"/>
      <c r="AA245" s="1129"/>
      <c r="AB245" s="1110"/>
      <c r="AC245" s="1109"/>
      <c r="AD245" s="1110"/>
      <c r="AE245" s="1129"/>
      <c r="AF245" s="1110"/>
      <c r="AG245" s="1129"/>
      <c r="AH245" s="1110"/>
      <c r="AI245" s="1129"/>
      <c r="AJ245" s="1157"/>
      <c r="AK245" s="2911"/>
      <c r="AL245" s="2889"/>
      <c r="AM245" s="2915"/>
      <c r="AN245" s="2889"/>
      <c r="AO245" s="2915"/>
      <c r="AP245" s="2889"/>
      <c r="AQ245" s="2915"/>
      <c r="AR245" s="2889"/>
      <c r="AS245" s="2885"/>
      <c r="AT245" s="2889"/>
      <c r="AU245" s="2885"/>
      <c r="AV245" s="2889"/>
      <c r="AW245" s="2915"/>
      <c r="AX245" s="1110"/>
      <c r="AY245" s="1193" t="str">
        <f t="shared" si="472"/>
        <v/>
      </c>
      <c r="CA245" s="2235" t="str">
        <f t="shared" si="473"/>
        <v/>
      </c>
      <c r="CB245" s="2235" t="str">
        <f t="shared" si="474"/>
        <v/>
      </c>
      <c r="CC245" s="2235" t="str">
        <f t="shared" si="475"/>
        <v/>
      </c>
      <c r="CD245" s="2235" t="str">
        <f t="shared" si="476"/>
        <v/>
      </c>
      <c r="CE245" s="2235" t="str">
        <f t="shared" si="477"/>
        <v/>
      </c>
      <c r="CF245" s="2235" t="str">
        <f t="shared" si="478"/>
        <v/>
      </c>
      <c r="CG245" s="2235" t="str">
        <f t="shared" si="479"/>
        <v/>
      </c>
      <c r="CH245" s="2235" t="str">
        <f t="shared" si="480"/>
        <v/>
      </c>
      <c r="CI245" s="2235" t="str">
        <f t="shared" si="481"/>
        <v/>
      </c>
      <c r="CJ245" s="2235" t="str">
        <f t="shared" si="482"/>
        <v/>
      </c>
      <c r="CK245" s="2235" t="str">
        <f t="shared" si="483"/>
        <v/>
      </c>
      <c r="CL245" s="2235" t="str">
        <f t="shared" si="484"/>
        <v/>
      </c>
      <c r="CM245" s="2235" t="str">
        <f t="shared" si="485"/>
        <v/>
      </c>
      <c r="CN245" s="2235" t="str">
        <f t="shared" si="486"/>
        <v/>
      </c>
      <c r="CO245" s="2235" t="str">
        <f t="shared" si="487"/>
        <v/>
      </c>
      <c r="CP245" s="2235" t="str">
        <f t="shared" si="488"/>
        <v/>
      </c>
      <c r="CQ245" s="2235" t="str">
        <f t="shared" si="489"/>
        <v/>
      </c>
      <c r="CR245" s="2235" t="str">
        <f t="shared" si="490"/>
        <v/>
      </c>
      <c r="CS245" s="2235" t="str">
        <f t="shared" si="491"/>
        <v/>
      </c>
      <c r="CT245" s="2235" t="str">
        <f t="shared" si="492"/>
        <v/>
      </c>
      <c r="CU245" s="2235" t="str">
        <f t="shared" si="493"/>
        <v/>
      </c>
      <c r="CV245" s="2235" t="str">
        <f t="shared" si="494"/>
        <v/>
      </c>
      <c r="CW245" s="2235" t="str">
        <f t="shared" si="495"/>
        <v/>
      </c>
      <c r="CX245" s="2235" t="str">
        <f t="shared" si="496"/>
        <v/>
      </c>
      <c r="CY245" s="2235"/>
      <c r="CZ245" s="2235"/>
      <c r="DA245" s="1468">
        <f t="shared" si="497"/>
        <v>0</v>
      </c>
      <c r="DB245" s="1468">
        <f t="shared" si="498"/>
        <v>0</v>
      </c>
      <c r="DC245" s="1468">
        <f t="shared" si="499"/>
        <v>0</v>
      </c>
      <c r="DD245" s="1468">
        <f t="shared" si="500"/>
        <v>0</v>
      </c>
      <c r="DE245" s="1468">
        <f t="shared" si="501"/>
        <v>0</v>
      </c>
      <c r="DF245" s="1468">
        <f t="shared" si="502"/>
        <v>0</v>
      </c>
      <c r="DG245" s="1468">
        <f t="shared" si="503"/>
        <v>0</v>
      </c>
      <c r="DH245" s="1468">
        <f t="shared" si="504"/>
        <v>0</v>
      </c>
      <c r="DI245" s="1468">
        <f t="shared" si="505"/>
        <v>0</v>
      </c>
      <c r="DJ245" s="1468">
        <f t="shared" si="506"/>
        <v>0</v>
      </c>
      <c r="DK245" s="1468">
        <f t="shared" si="507"/>
        <v>0</v>
      </c>
      <c r="DL245" s="1468">
        <f t="shared" si="508"/>
        <v>0</v>
      </c>
      <c r="DM245" s="1468">
        <f t="shared" si="509"/>
        <v>0</v>
      </c>
      <c r="DN245" s="1468">
        <f t="shared" si="510"/>
        <v>0</v>
      </c>
      <c r="DO245" s="1468">
        <f t="shared" si="511"/>
        <v>0</v>
      </c>
      <c r="DP245" s="1468">
        <f t="shared" si="512"/>
        <v>0</v>
      </c>
      <c r="DQ245" s="1468">
        <f t="shared" si="513"/>
        <v>0</v>
      </c>
      <c r="DR245" s="1468">
        <f t="shared" si="514"/>
        <v>0</v>
      </c>
      <c r="DS245" s="1468">
        <f t="shared" si="515"/>
        <v>0</v>
      </c>
      <c r="DT245" s="1468">
        <f t="shared" si="516"/>
        <v>0</v>
      </c>
      <c r="DU245" s="1468">
        <f t="shared" si="517"/>
        <v>0</v>
      </c>
      <c r="DV245" s="1468">
        <f t="shared" si="518"/>
        <v>0</v>
      </c>
      <c r="DW245" s="1468">
        <f t="shared" si="519"/>
        <v>0</v>
      </c>
      <c r="DX245" s="1468">
        <f t="shared" si="519"/>
        <v>0</v>
      </c>
    </row>
    <row r="246" spans="1:128" ht="15" customHeight="1" x14ac:dyDescent="0.25">
      <c r="A246" s="8274"/>
      <c r="B246" s="1107" t="s">
        <v>1798</v>
      </c>
      <c r="C246" s="2244">
        <f>+E246+G246+I246+K246+M246+O246+Q246+S246+U246+W246+Y246+AA246+AC246+AE246+AG246+AI246</f>
        <v>0</v>
      </c>
      <c r="D246" s="2253">
        <f>+F246+H246+J246+L246+N246+P246+R246+T246+V246+X246+Z246+AB246+AD246+AF246+AH246+AJ246</f>
        <v>0</v>
      </c>
      <c r="E246" s="1178"/>
      <c r="F246" s="143"/>
      <c r="G246" s="1178"/>
      <c r="H246" s="143"/>
      <c r="I246" s="1178"/>
      <c r="J246" s="143"/>
      <c r="K246" s="1178"/>
      <c r="L246" s="143"/>
      <c r="M246" s="1129"/>
      <c r="N246" s="1110"/>
      <c r="O246" s="1129"/>
      <c r="P246" s="1110"/>
      <c r="Q246" s="1109"/>
      <c r="R246" s="1110"/>
      <c r="S246" s="1109"/>
      <c r="T246" s="1110"/>
      <c r="U246" s="1109"/>
      <c r="V246" s="1110"/>
      <c r="W246" s="1129"/>
      <c r="X246" s="1110"/>
      <c r="Y246" s="1129"/>
      <c r="Z246" s="1110"/>
      <c r="AA246" s="1129"/>
      <c r="AB246" s="1110"/>
      <c r="AC246" s="1109"/>
      <c r="AD246" s="1110"/>
      <c r="AE246" s="1129"/>
      <c r="AF246" s="1110"/>
      <c r="AG246" s="1129"/>
      <c r="AH246" s="1110"/>
      <c r="AI246" s="1129"/>
      <c r="AJ246" s="1157"/>
      <c r="AK246" s="2911"/>
      <c r="AL246" s="2889"/>
      <c r="AM246" s="2915"/>
      <c r="AN246" s="2889"/>
      <c r="AO246" s="2915"/>
      <c r="AP246" s="2889"/>
      <c r="AQ246" s="2915"/>
      <c r="AR246" s="2889"/>
      <c r="AS246" s="2885"/>
      <c r="AT246" s="2889"/>
      <c r="AU246" s="2885"/>
      <c r="AV246" s="2889"/>
      <c r="AW246" s="2915"/>
      <c r="AX246" s="1110"/>
      <c r="AY246" s="1193" t="str">
        <f t="shared" si="472"/>
        <v/>
      </c>
      <c r="CA246" s="2235" t="str">
        <f t="shared" si="473"/>
        <v/>
      </c>
      <c r="CB246" s="2235" t="str">
        <f t="shared" si="474"/>
        <v/>
      </c>
      <c r="CC246" s="2235" t="str">
        <f t="shared" si="475"/>
        <v/>
      </c>
      <c r="CD246" s="2235" t="str">
        <f t="shared" si="476"/>
        <v/>
      </c>
      <c r="CE246" s="2235" t="str">
        <f t="shared" si="477"/>
        <v/>
      </c>
      <c r="CF246" s="2235" t="str">
        <f t="shared" si="478"/>
        <v/>
      </c>
      <c r="CG246" s="2235" t="str">
        <f t="shared" si="479"/>
        <v/>
      </c>
      <c r="CH246" s="2235" t="str">
        <f t="shared" si="480"/>
        <v/>
      </c>
      <c r="CI246" s="2235" t="str">
        <f t="shared" si="481"/>
        <v/>
      </c>
      <c r="CJ246" s="2235" t="str">
        <f t="shared" si="482"/>
        <v/>
      </c>
      <c r="CK246" s="2235" t="str">
        <f t="shared" si="483"/>
        <v/>
      </c>
      <c r="CL246" s="2235" t="str">
        <f t="shared" si="484"/>
        <v/>
      </c>
      <c r="CM246" s="2235" t="str">
        <f t="shared" si="485"/>
        <v/>
      </c>
      <c r="CN246" s="2235" t="str">
        <f t="shared" si="486"/>
        <v/>
      </c>
      <c r="CO246" s="2235" t="str">
        <f t="shared" si="487"/>
        <v/>
      </c>
      <c r="CP246" s="2235" t="str">
        <f t="shared" si="488"/>
        <v/>
      </c>
      <c r="CQ246" s="2235" t="str">
        <f t="shared" si="489"/>
        <v/>
      </c>
      <c r="CR246" s="2235" t="str">
        <f t="shared" si="490"/>
        <v/>
      </c>
      <c r="CS246" s="2235" t="str">
        <f t="shared" si="491"/>
        <v/>
      </c>
      <c r="CT246" s="2235" t="str">
        <f t="shared" si="492"/>
        <v/>
      </c>
      <c r="CU246" s="2235" t="str">
        <f t="shared" si="493"/>
        <v/>
      </c>
      <c r="CV246" s="2235" t="str">
        <f t="shared" si="494"/>
        <v/>
      </c>
      <c r="CW246" s="2235" t="str">
        <f t="shared" si="495"/>
        <v/>
      </c>
      <c r="CX246" s="2235" t="str">
        <f t="shared" si="496"/>
        <v/>
      </c>
      <c r="CY246" s="2235"/>
      <c r="CZ246" s="2235"/>
      <c r="DA246" s="1468">
        <f t="shared" si="497"/>
        <v>0</v>
      </c>
      <c r="DB246" s="1468">
        <f t="shared" si="498"/>
        <v>0</v>
      </c>
      <c r="DC246" s="1468">
        <f t="shared" si="499"/>
        <v>0</v>
      </c>
      <c r="DD246" s="1468">
        <f t="shared" si="500"/>
        <v>0</v>
      </c>
      <c r="DE246" s="1468">
        <f t="shared" si="501"/>
        <v>0</v>
      </c>
      <c r="DF246" s="1468">
        <f t="shared" si="502"/>
        <v>0</v>
      </c>
      <c r="DG246" s="1468">
        <f t="shared" si="503"/>
        <v>0</v>
      </c>
      <c r="DH246" s="1468">
        <f t="shared" si="504"/>
        <v>0</v>
      </c>
      <c r="DI246" s="1468">
        <f t="shared" si="505"/>
        <v>0</v>
      </c>
      <c r="DJ246" s="1468">
        <f t="shared" si="506"/>
        <v>0</v>
      </c>
      <c r="DK246" s="1468">
        <f t="shared" si="507"/>
        <v>0</v>
      </c>
      <c r="DL246" s="1468">
        <f t="shared" si="508"/>
        <v>0</v>
      </c>
      <c r="DM246" s="1468">
        <f t="shared" si="509"/>
        <v>0</v>
      </c>
      <c r="DN246" s="1468">
        <f t="shared" si="510"/>
        <v>0</v>
      </c>
      <c r="DO246" s="1468">
        <f t="shared" si="511"/>
        <v>0</v>
      </c>
      <c r="DP246" s="1468">
        <f t="shared" si="512"/>
        <v>0</v>
      </c>
      <c r="DQ246" s="1468">
        <f t="shared" si="513"/>
        <v>0</v>
      </c>
      <c r="DR246" s="1468">
        <f t="shared" si="514"/>
        <v>0</v>
      </c>
      <c r="DS246" s="1468">
        <f t="shared" si="515"/>
        <v>0</v>
      </c>
      <c r="DT246" s="1468">
        <f t="shared" si="516"/>
        <v>0</v>
      </c>
      <c r="DU246" s="1468">
        <f t="shared" si="517"/>
        <v>0</v>
      </c>
      <c r="DV246" s="1468">
        <f t="shared" si="518"/>
        <v>0</v>
      </c>
      <c r="DW246" s="1468">
        <f t="shared" si="519"/>
        <v>0</v>
      </c>
      <c r="DX246" s="1468">
        <f t="shared" si="519"/>
        <v>0</v>
      </c>
    </row>
    <row r="247" spans="1:128" x14ac:dyDescent="0.25">
      <c r="A247" s="8274"/>
      <c r="B247" s="1107" t="s">
        <v>1830</v>
      </c>
      <c r="C247" s="2244">
        <f>+O247+Q247+S247+U247+W247+Y247+AA247+AC247+AE247+AG247+AI247</f>
        <v>0</v>
      </c>
      <c r="D247" s="2245">
        <f>+P247+R247+T247+V247+X247+Z247+AB247+AD247+AF247+AH247+AJ247</f>
        <v>0</v>
      </c>
      <c r="E247" s="2246"/>
      <c r="F247" s="2247"/>
      <c r="G247" s="2248"/>
      <c r="H247" s="2247"/>
      <c r="I247" s="2248"/>
      <c r="J247" s="2247"/>
      <c r="K247" s="2248"/>
      <c r="L247" s="2247"/>
      <c r="M247" s="2248"/>
      <c r="N247" s="2247"/>
      <c r="O247" s="1129"/>
      <c r="P247" s="1110"/>
      <c r="Q247" s="1109"/>
      <c r="R247" s="1110"/>
      <c r="S247" s="1109"/>
      <c r="T247" s="1110"/>
      <c r="U247" s="1109"/>
      <c r="V247" s="1110"/>
      <c r="W247" s="1129"/>
      <c r="X247" s="1110"/>
      <c r="Y247" s="1129"/>
      <c r="Z247" s="1110"/>
      <c r="AA247" s="1129"/>
      <c r="AB247" s="1110"/>
      <c r="AC247" s="1109"/>
      <c r="AD247" s="1110"/>
      <c r="AE247" s="1129"/>
      <c r="AF247" s="1110"/>
      <c r="AG247" s="1129"/>
      <c r="AH247" s="1110"/>
      <c r="AI247" s="1129"/>
      <c r="AJ247" s="1157"/>
      <c r="AK247" s="2911"/>
      <c r="AL247" s="2889"/>
      <c r="AM247" s="2915"/>
      <c r="AN247" s="2889"/>
      <c r="AO247" s="2915"/>
      <c r="AP247" s="2889"/>
      <c r="AQ247" s="2915"/>
      <c r="AR247" s="2889"/>
      <c r="AS247" s="2885"/>
      <c r="AT247" s="2889"/>
      <c r="AU247" s="2885"/>
      <c r="AV247" s="2889"/>
      <c r="AW247" s="2915"/>
      <c r="AX247" s="1110"/>
      <c r="AY247" s="1193" t="str">
        <f t="shared" si="472"/>
        <v/>
      </c>
      <c r="CA247" s="2235" t="str">
        <f t="shared" si="473"/>
        <v/>
      </c>
      <c r="CB247" s="2235" t="str">
        <f t="shared" si="474"/>
        <v/>
      </c>
      <c r="CC247" s="2235" t="str">
        <f t="shared" si="475"/>
        <v/>
      </c>
      <c r="CD247" s="2235" t="str">
        <f t="shared" si="476"/>
        <v/>
      </c>
      <c r="CE247" s="2235" t="str">
        <f t="shared" si="477"/>
        <v/>
      </c>
      <c r="CF247" s="2235" t="str">
        <f t="shared" si="478"/>
        <v/>
      </c>
      <c r="CG247" s="2235" t="str">
        <f t="shared" si="479"/>
        <v/>
      </c>
      <c r="CH247" s="2235" t="str">
        <f t="shared" si="480"/>
        <v/>
      </c>
      <c r="CI247" s="2235" t="str">
        <f t="shared" si="481"/>
        <v/>
      </c>
      <c r="CJ247" s="2235" t="str">
        <f t="shared" si="482"/>
        <v/>
      </c>
      <c r="CK247" s="2235" t="str">
        <f t="shared" si="483"/>
        <v/>
      </c>
      <c r="CL247" s="2235" t="str">
        <f t="shared" si="484"/>
        <v/>
      </c>
      <c r="CM247" s="2235" t="str">
        <f t="shared" si="485"/>
        <v/>
      </c>
      <c r="CN247" s="2235" t="str">
        <f t="shared" si="486"/>
        <v/>
      </c>
      <c r="CO247" s="2235" t="str">
        <f t="shared" si="487"/>
        <v/>
      </c>
      <c r="CP247" s="2235" t="str">
        <f t="shared" si="488"/>
        <v/>
      </c>
      <c r="CQ247" s="2235" t="str">
        <f t="shared" si="489"/>
        <v/>
      </c>
      <c r="CR247" s="2235" t="str">
        <f t="shared" si="490"/>
        <v/>
      </c>
      <c r="CS247" s="2235" t="str">
        <f t="shared" si="491"/>
        <v/>
      </c>
      <c r="CT247" s="2235" t="str">
        <f t="shared" si="492"/>
        <v/>
      </c>
      <c r="CU247" s="2235" t="str">
        <f t="shared" si="493"/>
        <v/>
      </c>
      <c r="CV247" s="2235" t="str">
        <f t="shared" si="494"/>
        <v/>
      </c>
      <c r="CW247" s="2235" t="str">
        <f t="shared" si="495"/>
        <v/>
      </c>
      <c r="CX247" s="2235" t="str">
        <f t="shared" si="496"/>
        <v/>
      </c>
      <c r="CY247" s="2235"/>
      <c r="CZ247" s="2235"/>
      <c r="DA247" s="1468">
        <f t="shared" si="497"/>
        <v>0</v>
      </c>
      <c r="DB247" s="1468">
        <f t="shared" si="498"/>
        <v>0</v>
      </c>
      <c r="DC247" s="1468">
        <f t="shared" si="499"/>
        <v>0</v>
      </c>
      <c r="DD247" s="1468">
        <f t="shared" si="500"/>
        <v>0</v>
      </c>
      <c r="DE247" s="1468">
        <f t="shared" si="501"/>
        <v>0</v>
      </c>
      <c r="DF247" s="1468">
        <f t="shared" si="502"/>
        <v>0</v>
      </c>
      <c r="DG247" s="1468">
        <f t="shared" si="503"/>
        <v>0</v>
      </c>
      <c r="DH247" s="1468">
        <f t="shared" si="504"/>
        <v>0</v>
      </c>
      <c r="DI247" s="1468">
        <f t="shared" si="505"/>
        <v>0</v>
      </c>
      <c r="DJ247" s="1468">
        <f t="shared" si="506"/>
        <v>0</v>
      </c>
      <c r="DK247" s="1468">
        <f t="shared" si="507"/>
        <v>0</v>
      </c>
      <c r="DL247" s="1468">
        <f t="shared" si="508"/>
        <v>0</v>
      </c>
      <c r="DM247" s="1468">
        <f t="shared" si="509"/>
        <v>0</v>
      </c>
      <c r="DN247" s="1468">
        <f t="shared" si="510"/>
        <v>0</v>
      </c>
      <c r="DO247" s="1468">
        <f t="shared" si="511"/>
        <v>0</v>
      </c>
      <c r="DP247" s="1468">
        <f t="shared" si="512"/>
        <v>0</v>
      </c>
      <c r="DQ247" s="1468">
        <f t="shared" si="513"/>
        <v>0</v>
      </c>
      <c r="DR247" s="1468">
        <f t="shared" si="514"/>
        <v>0</v>
      </c>
      <c r="DS247" s="1468">
        <f t="shared" si="515"/>
        <v>0</v>
      </c>
      <c r="DT247" s="1468">
        <f t="shared" si="516"/>
        <v>0</v>
      </c>
      <c r="DU247" s="1468">
        <f t="shared" si="517"/>
        <v>0</v>
      </c>
      <c r="DV247" s="1468">
        <f t="shared" si="518"/>
        <v>0</v>
      </c>
      <c r="DW247" s="1468">
        <f t="shared" si="519"/>
        <v>0</v>
      </c>
      <c r="DX247" s="1468">
        <f t="shared" si="519"/>
        <v>0</v>
      </c>
    </row>
    <row r="248" spans="1:128" ht="15" customHeight="1" x14ac:dyDescent="0.25">
      <c r="A248" s="8274"/>
      <c r="B248" s="1107" t="s">
        <v>1831</v>
      </c>
      <c r="C248" s="2244">
        <f>+M248+O248+Q248+S248+U248+W248+Y248+AA248+AC248+AE248+AG248+AI248</f>
        <v>0</v>
      </c>
      <c r="D248" s="2253">
        <f>+N248+P248+R248+T248+V248+X248+Z248+AB248+AD248+AF248+AH248+AJ248</f>
        <v>0</v>
      </c>
      <c r="E248" s="2246"/>
      <c r="F248" s="2258"/>
      <c r="G248" s="2248"/>
      <c r="H248" s="2247"/>
      <c r="I248" s="2248"/>
      <c r="J248" s="2247"/>
      <c r="K248" s="2248"/>
      <c r="L248" s="2247"/>
      <c r="M248" s="1109"/>
      <c r="N248" s="1110"/>
      <c r="O248" s="1129"/>
      <c r="P248" s="1110"/>
      <c r="Q248" s="1109"/>
      <c r="R248" s="1110"/>
      <c r="S248" s="1109"/>
      <c r="T248" s="1110"/>
      <c r="U248" s="1109"/>
      <c r="V248" s="1110"/>
      <c r="W248" s="1129"/>
      <c r="X248" s="1110"/>
      <c r="Y248" s="1129"/>
      <c r="Z248" s="1110"/>
      <c r="AA248" s="1129"/>
      <c r="AB248" s="1110"/>
      <c r="AC248" s="1109"/>
      <c r="AD248" s="1110"/>
      <c r="AE248" s="1129"/>
      <c r="AF248" s="1110"/>
      <c r="AG248" s="1129"/>
      <c r="AH248" s="1110"/>
      <c r="AI248" s="1129"/>
      <c r="AJ248" s="1157"/>
      <c r="AK248" s="2911"/>
      <c r="AL248" s="2889"/>
      <c r="AM248" s="2915"/>
      <c r="AN248" s="2889"/>
      <c r="AO248" s="2915"/>
      <c r="AP248" s="2889"/>
      <c r="AQ248" s="2915"/>
      <c r="AR248" s="2889"/>
      <c r="AS248" s="2885"/>
      <c r="AT248" s="2889"/>
      <c r="AU248" s="2885"/>
      <c r="AV248" s="2889"/>
      <c r="AW248" s="2915"/>
      <c r="AX248" s="1110"/>
      <c r="AY248" s="1193" t="str">
        <f t="shared" si="472"/>
        <v/>
      </c>
      <c r="CA248" s="2235" t="str">
        <f t="shared" si="473"/>
        <v/>
      </c>
      <c r="CB248" s="2235" t="str">
        <f t="shared" si="474"/>
        <v/>
      </c>
      <c r="CC248" s="2235" t="str">
        <f t="shared" si="475"/>
        <v/>
      </c>
      <c r="CD248" s="2235" t="str">
        <f t="shared" si="476"/>
        <v/>
      </c>
      <c r="CE248" s="2235" t="str">
        <f t="shared" si="477"/>
        <v/>
      </c>
      <c r="CF248" s="2235" t="str">
        <f t="shared" si="478"/>
        <v/>
      </c>
      <c r="CG248" s="2235" t="str">
        <f t="shared" si="479"/>
        <v/>
      </c>
      <c r="CH248" s="2235" t="str">
        <f t="shared" si="480"/>
        <v/>
      </c>
      <c r="CI248" s="2235" t="str">
        <f t="shared" si="481"/>
        <v/>
      </c>
      <c r="CJ248" s="2235" t="str">
        <f t="shared" si="482"/>
        <v/>
      </c>
      <c r="CK248" s="2235" t="str">
        <f t="shared" si="483"/>
        <v/>
      </c>
      <c r="CL248" s="2235" t="str">
        <f t="shared" si="484"/>
        <v/>
      </c>
      <c r="CM248" s="2235" t="str">
        <f t="shared" si="485"/>
        <v/>
      </c>
      <c r="CN248" s="2235" t="str">
        <f t="shared" si="486"/>
        <v/>
      </c>
      <c r="CO248" s="2235" t="str">
        <f t="shared" si="487"/>
        <v/>
      </c>
      <c r="CP248" s="2235" t="str">
        <f t="shared" si="488"/>
        <v/>
      </c>
      <c r="CQ248" s="2235" t="str">
        <f t="shared" si="489"/>
        <v/>
      </c>
      <c r="CR248" s="2235" t="str">
        <f t="shared" si="490"/>
        <v/>
      </c>
      <c r="CS248" s="2235" t="str">
        <f t="shared" si="491"/>
        <v/>
      </c>
      <c r="CT248" s="2235" t="str">
        <f t="shared" si="492"/>
        <v/>
      </c>
      <c r="CU248" s="2235" t="str">
        <f t="shared" si="493"/>
        <v/>
      </c>
      <c r="CV248" s="2235" t="str">
        <f t="shared" si="494"/>
        <v/>
      </c>
      <c r="CW248" s="2235" t="str">
        <f t="shared" si="495"/>
        <v/>
      </c>
      <c r="CX248" s="2235" t="str">
        <f t="shared" si="496"/>
        <v/>
      </c>
      <c r="CY248" s="2235"/>
      <c r="CZ248" s="2235"/>
      <c r="DA248" s="1468">
        <f t="shared" si="497"/>
        <v>0</v>
      </c>
      <c r="DB248" s="1468">
        <f t="shared" si="498"/>
        <v>0</v>
      </c>
      <c r="DC248" s="1468">
        <f t="shared" si="499"/>
        <v>0</v>
      </c>
      <c r="DD248" s="1468">
        <f t="shared" si="500"/>
        <v>0</v>
      </c>
      <c r="DE248" s="1468">
        <f t="shared" si="501"/>
        <v>0</v>
      </c>
      <c r="DF248" s="1468">
        <f t="shared" si="502"/>
        <v>0</v>
      </c>
      <c r="DG248" s="1468">
        <f t="shared" si="503"/>
        <v>0</v>
      </c>
      <c r="DH248" s="1468">
        <f t="shared" si="504"/>
        <v>0</v>
      </c>
      <c r="DI248" s="1468">
        <f t="shared" si="505"/>
        <v>0</v>
      </c>
      <c r="DJ248" s="1468">
        <f t="shared" si="506"/>
        <v>0</v>
      </c>
      <c r="DK248" s="1468">
        <f t="shared" si="507"/>
        <v>0</v>
      </c>
      <c r="DL248" s="1468">
        <f t="shared" si="508"/>
        <v>0</v>
      </c>
      <c r="DM248" s="1468">
        <f t="shared" si="509"/>
        <v>0</v>
      </c>
      <c r="DN248" s="1468">
        <f t="shared" si="510"/>
        <v>0</v>
      </c>
      <c r="DO248" s="1468">
        <f t="shared" si="511"/>
        <v>0</v>
      </c>
      <c r="DP248" s="1468">
        <f t="shared" si="512"/>
        <v>0</v>
      </c>
      <c r="DQ248" s="1468">
        <f t="shared" si="513"/>
        <v>0</v>
      </c>
      <c r="DR248" s="1468">
        <f t="shared" si="514"/>
        <v>0</v>
      </c>
      <c r="DS248" s="1468">
        <f t="shared" si="515"/>
        <v>0</v>
      </c>
      <c r="DT248" s="1468">
        <f t="shared" si="516"/>
        <v>0</v>
      </c>
      <c r="DU248" s="1468">
        <f t="shared" si="517"/>
        <v>0</v>
      </c>
      <c r="DV248" s="1468">
        <f t="shared" si="518"/>
        <v>0</v>
      </c>
      <c r="DW248" s="1468">
        <f t="shared" si="519"/>
        <v>0</v>
      </c>
      <c r="DX248" s="1468">
        <f t="shared" si="519"/>
        <v>0</v>
      </c>
    </row>
    <row r="249" spans="1:128" ht="27" customHeight="1" x14ac:dyDescent="0.25">
      <c r="A249" s="8274"/>
      <c r="B249" s="1142" t="s">
        <v>1832</v>
      </c>
      <c r="C249" s="2259">
        <f>+Q249+S249+U249+W249+Y249+AA249+AC249+AE249+AG249+AI249+O249</f>
        <v>0</v>
      </c>
      <c r="D249" s="2245">
        <f>+R249+T249+V249+X249+Z249+AB249+AD249+AF249+AH249+AJ249+P249</f>
        <v>0</v>
      </c>
      <c r="E249" s="2246"/>
      <c r="F249" s="2247"/>
      <c r="G249" s="2248"/>
      <c r="H249" s="2258"/>
      <c r="I249" s="2248"/>
      <c r="J249" s="2247"/>
      <c r="K249" s="2248"/>
      <c r="L249" s="2247"/>
      <c r="M249" s="2255"/>
      <c r="N249" s="2256"/>
      <c r="O249" s="1129"/>
      <c r="P249" s="1110"/>
      <c r="Q249" s="1109"/>
      <c r="R249" s="1110"/>
      <c r="S249" s="1109"/>
      <c r="T249" s="1110"/>
      <c r="U249" s="1109"/>
      <c r="V249" s="1110"/>
      <c r="W249" s="1129"/>
      <c r="X249" s="1110"/>
      <c r="Y249" s="1129"/>
      <c r="Z249" s="1110"/>
      <c r="AA249" s="1129"/>
      <c r="AB249" s="1110"/>
      <c r="AC249" s="1109"/>
      <c r="AD249" s="1110"/>
      <c r="AE249" s="1129"/>
      <c r="AF249" s="1110"/>
      <c r="AG249" s="1129"/>
      <c r="AH249" s="1110"/>
      <c r="AI249" s="1129"/>
      <c r="AJ249" s="1157"/>
      <c r="AK249" s="2911"/>
      <c r="AL249" s="2889"/>
      <c r="AM249" s="2915"/>
      <c r="AN249" s="2889"/>
      <c r="AO249" s="2915"/>
      <c r="AP249" s="2889"/>
      <c r="AQ249" s="2915"/>
      <c r="AR249" s="2889"/>
      <c r="AS249" s="2885"/>
      <c r="AT249" s="2889"/>
      <c r="AU249" s="2885"/>
      <c r="AV249" s="2889"/>
      <c r="AW249" s="2915"/>
      <c r="AX249" s="1110"/>
      <c r="AY249" s="1193" t="str">
        <f t="shared" si="472"/>
        <v/>
      </c>
      <c r="CA249" s="2235" t="str">
        <f t="shared" si="473"/>
        <v/>
      </c>
      <c r="CB249" s="2235" t="str">
        <f t="shared" si="474"/>
        <v/>
      </c>
      <c r="CC249" s="2235" t="str">
        <f t="shared" si="475"/>
        <v/>
      </c>
      <c r="CD249" s="2235" t="str">
        <f t="shared" si="476"/>
        <v/>
      </c>
      <c r="CE249" s="2235" t="str">
        <f t="shared" si="477"/>
        <v/>
      </c>
      <c r="CF249" s="2235" t="str">
        <f t="shared" si="478"/>
        <v/>
      </c>
      <c r="CG249" s="2235" t="str">
        <f t="shared" si="479"/>
        <v/>
      </c>
      <c r="CH249" s="2235" t="str">
        <f t="shared" si="480"/>
        <v/>
      </c>
      <c r="CI249" s="2235" t="str">
        <f t="shared" si="481"/>
        <v/>
      </c>
      <c r="CJ249" s="2235" t="str">
        <f t="shared" si="482"/>
        <v/>
      </c>
      <c r="CK249" s="2235" t="str">
        <f t="shared" si="483"/>
        <v/>
      </c>
      <c r="CL249" s="2235" t="str">
        <f t="shared" si="484"/>
        <v/>
      </c>
      <c r="CM249" s="2235" t="str">
        <f t="shared" si="485"/>
        <v/>
      </c>
      <c r="CN249" s="2235" t="str">
        <f t="shared" si="486"/>
        <v/>
      </c>
      <c r="CO249" s="2235" t="str">
        <f t="shared" si="487"/>
        <v/>
      </c>
      <c r="CP249" s="2235" t="str">
        <f t="shared" si="488"/>
        <v/>
      </c>
      <c r="CQ249" s="2235" t="str">
        <f t="shared" si="489"/>
        <v/>
      </c>
      <c r="CR249" s="2235" t="str">
        <f t="shared" si="490"/>
        <v/>
      </c>
      <c r="CS249" s="2235" t="str">
        <f t="shared" si="491"/>
        <v/>
      </c>
      <c r="CT249" s="2235" t="str">
        <f t="shared" si="492"/>
        <v/>
      </c>
      <c r="CU249" s="2235" t="str">
        <f t="shared" si="493"/>
        <v/>
      </c>
      <c r="CV249" s="2235" t="str">
        <f t="shared" si="494"/>
        <v/>
      </c>
      <c r="CW249" s="2235" t="str">
        <f t="shared" si="495"/>
        <v/>
      </c>
      <c r="CX249" s="2235" t="str">
        <f t="shared" si="496"/>
        <v/>
      </c>
      <c r="CY249" s="2235"/>
      <c r="CZ249" s="2235"/>
      <c r="DA249" s="1468">
        <f t="shared" si="497"/>
        <v>0</v>
      </c>
      <c r="DB249" s="1468">
        <f t="shared" si="498"/>
        <v>0</v>
      </c>
      <c r="DC249" s="1468">
        <f t="shared" si="499"/>
        <v>0</v>
      </c>
      <c r="DD249" s="1468">
        <f t="shared" si="500"/>
        <v>0</v>
      </c>
      <c r="DE249" s="1468">
        <f t="shared" si="501"/>
        <v>0</v>
      </c>
      <c r="DF249" s="1468">
        <f t="shared" si="502"/>
        <v>0</v>
      </c>
      <c r="DG249" s="1468">
        <f t="shared" si="503"/>
        <v>0</v>
      </c>
      <c r="DH249" s="1468">
        <f t="shared" si="504"/>
        <v>0</v>
      </c>
      <c r="DI249" s="1468">
        <f t="shared" si="505"/>
        <v>0</v>
      </c>
      <c r="DJ249" s="1468">
        <f t="shared" si="506"/>
        <v>0</v>
      </c>
      <c r="DK249" s="1468">
        <f t="shared" si="507"/>
        <v>0</v>
      </c>
      <c r="DL249" s="1468">
        <f t="shared" si="508"/>
        <v>0</v>
      </c>
      <c r="DM249" s="1468">
        <f t="shared" si="509"/>
        <v>0</v>
      </c>
      <c r="DN249" s="1468">
        <f t="shared" si="510"/>
        <v>0</v>
      </c>
      <c r="DO249" s="1468">
        <f t="shared" si="511"/>
        <v>0</v>
      </c>
      <c r="DP249" s="1468">
        <f t="shared" si="512"/>
        <v>0</v>
      </c>
      <c r="DQ249" s="1468">
        <f t="shared" si="513"/>
        <v>0</v>
      </c>
      <c r="DR249" s="1468">
        <f t="shared" si="514"/>
        <v>0</v>
      </c>
      <c r="DS249" s="1468">
        <f t="shared" si="515"/>
        <v>0</v>
      </c>
      <c r="DT249" s="1468">
        <f t="shared" si="516"/>
        <v>0</v>
      </c>
      <c r="DU249" s="1468">
        <f t="shared" si="517"/>
        <v>0</v>
      </c>
      <c r="DV249" s="1468">
        <f t="shared" si="518"/>
        <v>0</v>
      </c>
      <c r="DW249" s="1468">
        <f t="shared" si="519"/>
        <v>0</v>
      </c>
      <c r="DX249" s="1468">
        <f t="shared" si="519"/>
        <v>0</v>
      </c>
    </row>
    <row r="250" spans="1:128" ht="31.5" customHeight="1" x14ac:dyDescent="0.25">
      <c r="A250" s="8274"/>
      <c r="B250" s="1142" t="s">
        <v>1833</v>
      </c>
      <c r="C250" s="2244">
        <f t="shared" ref="C250:D254" si="520">+M250+O250+Q250+S250+U250+W250+Y250+AA250+AC250+AE250+AG250+AI250</f>
        <v>0</v>
      </c>
      <c r="D250" s="2253">
        <f t="shared" si="520"/>
        <v>0</v>
      </c>
      <c r="E250" s="2246"/>
      <c r="F250" s="2247"/>
      <c r="G250" s="2248"/>
      <c r="H250" s="2247"/>
      <c r="I250" s="2248"/>
      <c r="J250" s="2258"/>
      <c r="K250" s="2248"/>
      <c r="L250" s="2247"/>
      <c r="M250" s="1178"/>
      <c r="N250" s="130"/>
      <c r="O250" s="1129"/>
      <c r="P250" s="1113"/>
      <c r="Q250" s="1109"/>
      <c r="R250" s="1113"/>
      <c r="S250" s="1109"/>
      <c r="T250" s="1113"/>
      <c r="U250" s="1109"/>
      <c r="V250" s="1113"/>
      <c r="W250" s="1129"/>
      <c r="X250" s="1113"/>
      <c r="Y250" s="1129"/>
      <c r="Z250" s="1113"/>
      <c r="AA250" s="1129"/>
      <c r="AB250" s="1113"/>
      <c r="AC250" s="1109"/>
      <c r="AD250" s="1113"/>
      <c r="AE250" s="1129"/>
      <c r="AF250" s="1113"/>
      <c r="AG250" s="1129"/>
      <c r="AH250" s="1113"/>
      <c r="AI250" s="1129"/>
      <c r="AJ250" s="1131"/>
      <c r="AK250" s="2911"/>
      <c r="AL250" s="2887"/>
      <c r="AM250" s="2915"/>
      <c r="AN250" s="2887"/>
      <c r="AO250" s="2915"/>
      <c r="AP250" s="2887"/>
      <c r="AQ250" s="2915"/>
      <c r="AR250" s="2887"/>
      <c r="AS250" s="2885"/>
      <c r="AT250" s="2889"/>
      <c r="AU250" s="2885"/>
      <c r="AV250" s="2889"/>
      <c r="AW250" s="2915"/>
      <c r="AX250" s="1113"/>
      <c r="AY250" s="1193" t="str">
        <f t="shared" si="472"/>
        <v/>
      </c>
      <c r="CA250" s="2235" t="str">
        <f t="shared" si="473"/>
        <v/>
      </c>
      <c r="CB250" s="2235" t="str">
        <f t="shared" si="474"/>
        <v/>
      </c>
      <c r="CC250" s="2235" t="str">
        <f t="shared" si="475"/>
        <v/>
      </c>
      <c r="CD250" s="2235" t="str">
        <f t="shared" si="476"/>
        <v/>
      </c>
      <c r="CE250" s="2235" t="str">
        <f t="shared" si="477"/>
        <v/>
      </c>
      <c r="CF250" s="2235" t="str">
        <f t="shared" si="478"/>
        <v/>
      </c>
      <c r="CG250" s="2235" t="str">
        <f t="shared" si="479"/>
        <v/>
      </c>
      <c r="CH250" s="2235" t="str">
        <f t="shared" si="480"/>
        <v/>
      </c>
      <c r="CI250" s="2235" t="str">
        <f t="shared" si="481"/>
        <v/>
      </c>
      <c r="CJ250" s="2235" t="str">
        <f t="shared" si="482"/>
        <v/>
      </c>
      <c r="CK250" s="2235" t="str">
        <f t="shared" si="483"/>
        <v/>
      </c>
      <c r="CL250" s="2235" t="str">
        <f t="shared" si="484"/>
        <v/>
      </c>
      <c r="CM250" s="2235" t="str">
        <f t="shared" si="485"/>
        <v/>
      </c>
      <c r="CN250" s="2235" t="str">
        <f t="shared" si="486"/>
        <v/>
      </c>
      <c r="CO250" s="2235" t="str">
        <f t="shared" si="487"/>
        <v/>
      </c>
      <c r="CP250" s="2235" t="str">
        <f t="shared" si="488"/>
        <v/>
      </c>
      <c r="CQ250" s="2235" t="str">
        <f t="shared" si="489"/>
        <v/>
      </c>
      <c r="CR250" s="2235" t="str">
        <f t="shared" si="490"/>
        <v/>
      </c>
      <c r="CS250" s="2235" t="str">
        <f t="shared" si="491"/>
        <v/>
      </c>
      <c r="CT250" s="2235" t="str">
        <f t="shared" si="492"/>
        <v/>
      </c>
      <c r="CU250" s="2235" t="str">
        <f t="shared" si="493"/>
        <v/>
      </c>
      <c r="CV250" s="2235" t="str">
        <f t="shared" si="494"/>
        <v/>
      </c>
      <c r="CW250" s="2235" t="str">
        <f t="shared" si="495"/>
        <v/>
      </c>
      <c r="CX250" s="2235" t="str">
        <f t="shared" si="496"/>
        <v/>
      </c>
      <c r="CY250" s="2235"/>
      <c r="CZ250" s="2235"/>
      <c r="DA250" s="1468">
        <f t="shared" si="497"/>
        <v>0</v>
      </c>
      <c r="DB250" s="1468">
        <f t="shared" si="498"/>
        <v>0</v>
      </c>
      <c r="DC250" s="1468">
        <f t="shared" si="499"/>
        <v>0</v>
      </c>
      <c r="DD250" s="1468">
        <f t="shared" si="500"/>
        <v>0</v>
      </c>
      <c r="DE250" s="1468">
        <f t="shared" si="501"/>
        <v>0</v>
      </c>
      <c r="DF250" s="1468">
        <f t="shared" si="502"/>
        <v>0</v>
      </c>
      <c r="DG250" s="1468">
        <f t="shared" si="503"/>
        <v>0</v>
      </c>
      <c r="DH250" s="1468">
        <f t="shared" si="504"/>
        <v>0</v>
      </c>
      <c r="DI250" s="1468">
        <f t="shared" si="505"/>
        <v>0</v>
      </c>
      <c r="DJ250" s="1468">
        <f t="shared" si="506"/>
        <v>0</v>
      </c>
      <c r="DK250" s="1468">
        <f t="shared" si="507"/>
        <v>0</v>
      </c>
      <c r="DL250" s="1468">
        <f t="shared" si="508"/>
        <v>0</v>
      </c>
      <c r="DM250" s="1468">
        <f t="shared" si="509"/>
        <v>0</v>
      </c>
      <c r="DN250" s="1468">
        <f t="shared" si="510"/>
        <v>0</v>
      </c>
      <c r="DO250" s="1468">
        <f t="shared" si="511"/>
        <v>0</v>
      </c>
      <c r="DP250" s="1468">
        <f t="shared" si="512"/>
        <v>0</v>
      </c>
      <c r="DQ250" s="1468">
        <f t="shared" si="513"/>
        <v>0</v>
      </c>
      <c r="DR250" s="1468">
        <f t="shared" si="514"/>
        <v>0</v>
      </c>
      <c r="DS250" s="1468">
        <f t="shared" si="515"/>
        <v>0</v>
      </c>
      <c r="DT250" s="1468">
        <f t="shared" si="516"/>
        <v>0</v>
      </c>
      <c r="DU250" s="1468">
        <f t="shared" si="517"/>
        <v>0</v>
      </c>
      <c r="DV250" s="1468">
        <f t="shared" si="518"/>
        <v>0</v>
      </c>
      <c r="DW250" s="1468">
        <f t="shared" si="519"/>
        <v>0</v>
      </c>
      <c r="DX250" s="1468">
        <f t="shared" si="519"/>
        <v>0</v>
      </c>
    </row>
    <row r="251" spans="1:128" ht="16.5" customHeight="1" x14ac:dyDescent="0.25">
      <c r="A251" s="8274"/>
      <c r="B251" s="1142" t="s">
        <v>1834</v>
      </c>
      <c r="C251" s="2244">
        <f t="shared" si="520"/>
        <v>0</v>
      </c>
      <c r="D251" s="2253">
        <f t="shared" si="520"/>
        <v>0</v>
      </c>
      <c r="E251" s="2246"/>
      <c r="F251" s="2247"/>
      <c r="G251" s="2248"/>
      <c r="H251" s="2247"/>
      <c r="I251" s="2248"/>
      <c r="J251" s="2247"/>
      <c r="K251" s="2248"/>
      <c r="L251" s="2247"/>
      <c r="M251" s="1129"/>
      <c r="N251" s="1113"/>
      <c r="O251" s="1129"/>
      <c r="P251" s="1113"/>
      <c r="Q251" s="1109"/>
      <c r="R251" s="1113"/>
      <c r="S251" s="1109"/>
      <c r="T251" s="1113"/>
      <c r="U251" s="1109"/>
      <c r="V251" s="1113"/>
      <c r="W251" s="1129"/>
      <c r="X251" s="1113"/>
      <c r="Y251" s="1129"/>
      <c r="Z251" s="1113"/>
      <c r="AA251" s="1129"/>
      <c r="AB251" s="1113"/>
      <c r="AC251" s="1109"/>
      <c r="AD251" s="1113"/>
      <c r="AE251" s="1129"/>
      <c r="AF251" s="1113"/>
      <c r="AG251" s="1129"/>
      <c r="AH251" s="1113"/>
      <c r="AI251" s="1129"/>
      <c r="AJ251" s="1131"/>
      <c r="AK251" s="2911"/>
      <c r="AL251" s="2887"/>
      <c r="AM251" s="2915"/>
      <c r="AN251" s="2887"/>
      <c r="AO251" s="2915"/>
      <c r="AP251" s="2887"/>
      <c r="AQ251" s="2915"/>
      <c r="AR251" s="2887"/>
      <c r="AS251" s="2885"/>
      <c r="AT251" s="2889"/>
      <c r="AU251" s="2885"/>
      <c r="AV251" s="2889"/>
      <c r="AW251" s="2915"/>
      <c r="AX251" s="1113"/>
      <c r="AY251" s="1193" t="str">
        <f t="shared" si="472"/>
        <v/>
      </c>
      <c r="CA251" s="2235" t="str">
        <f t="shared" si="473"/>
        <v/>
      </c>
      <c r="CB251" s="2235" t="str">
        <f t="shared" si="474"/>
        <v/>
      </c>
      <c r="CC251" s="2235" t="str">
        <f t="shared" si="475"/>
        <v/>
      </c>
      <c r="CD251" s="2235" t="str">
        <f t="shared" si="476"/>
        <v/>
      </c>
      <c r="CE251" s="2235" t="str">
        <f t="shared" si="477"/>
        <v/>
      </c>
      <c r="CF251" s="2235" t="str">
        <f t="shared" si="478"/>
        <v/>
      </c>
      <c r="CG251" s="2235" t="str">
        <f t="shared" si="479"/>
        <v/>
      </c>
      <c r="CH251" s="2235" t="str">
        <f t="shared" si="480"/>
        <v/>
      </c>
      <c r="CI251" s="2235" t="str">
        <f t="shared" si="481"/>
        <v/>
      </c>
      <c r="CJ251" s="2235" t="str">
        <f t="shared" si="482"/>
        <v/>
      </c>
      <c r="CK251" s="2235" t="str">
        <f t="shared" si="483"/>
        <v/>
      </c>
      <c r="CL251" s="2235" t="str">
        <f t="shared" si="484"/>
        <v/>
      </c>
      <c r="CM251" s="2235" t="str">
        <f t="shared" si="485"/>
        <v/>
      </c>
      <c r="CN251" s="2235" t="str">
        <f t="shared" si="486"/>
        <v/>
      </c>
      <c r="CO251" s="2235" t="str">
        <f t="shared" si="487"/>
        <v/>
      </c>
      <c r="CP251" s="2235" t="str">
        <f t="shared" si="488"/>
        <v/>
      </c>
      <c r="CQ251" s="2235" t="str">
        <f t="shared" si="489"/>
        <v/>
      </c>
      <c r="CR251" s="2235" t="str">
        <f t="shared" si="490"/>
        <v/>
      </c>
      <c r="CS251" s="2235" t="str">
        <f t="shared" si="491"/>
        <v/>
      </c>
      <c r="CT251" s="2235" t="str">
        <f t="shared" si="492"/>
        <v/>
      </c>
      <c r="CU251" s="2235" t="str">
        <f t="shared" si="493"/>
        <v/>
      </c>
      <c r="CV251" s="2235" t="str">
        <f t="shared" si="494"/>
        <v/>
      </c>
      <c r="CW251" s="2235" t="str">
        <f t="shared" si="495"/>
        <v/>
      </c>
      <c r="CX251" s="2235" t="str">
        <f t="shared" si="496"/>
        <v/>
      </c>
      <c r="CY251" s="2235"/>
      <c r="CZ251" s="2235"/>
      <c r="DA251" s="1468">
        <f t="shared" si="497"/>
        <v>0</v>
      </c>
      <c r="DB251" s="1468">
        <f t="shared" si="498"/>
        <v>0</v>
      </c>
      <c r="DC251" s="1468">
        <f t="shared" si="499"/>
        <v>0</v>
      </c>
      <c r="DD251" s="1468">
        <f t="shared" si="500"/>
        <v>0</v>
      </c>
      <c r="DE251" s="1468">
        <f t="shared" si="501"/>
        <v>0</v>
      </c>
      <c r="DF251" s="1468">
        <f t="shared" si="502"/>
        <v>0</v>
      </c>
      <c r="DG251" s="1468">
        <f t="shared" si="503"/>
        <v>0</v>
      </c>
      <c r="DH251" s="1468">
        <f t="shared" si="504"/>
        <v>0</v>
      </c>
      <c r="DI251" s="1468">
        <f t="shared" si="505"/>
        <v>0</v>
      </c>
      <c r="DJ251" s="1468">
        <f t="shared" si="506"/>
        <v>0</v>
      </c>
      <c r="DK251" s="1468">
        <f t="shared" si="507"/>
        <v>0</v>
      </c>
      <c r="DL251" s="1468">
        <f t="shared" si="508"/>
        <v>0</v>
      </c>
      <c r="DM251" s="1468">
        <f t="shared" si="509"/>
        <v>0</v>
      </c>
      <c r="DN251" s="1468">
        <f t="shared" si="510"/>
        <v>0</v>
      </c>
      <c r="DO251" s="1468">
        <f t="shared" si="511"/>
        <v>0</v>
      </c>
      <c r="DP251" s="1468">
        <f t="shared" si="512"/>
        <v>0</v>
      </c>
      <c r="DQ251" s="1468">
        <f t="shared" si="513"/>
        <v>0</v>
      </c>
      <c r="DR251" s="1468">
        <f t="shared" si="514"/>
        <v>0</v>
      </c>
      <c r="DS251" s="1468">
        <f t="shared" si="515"/>
        <v>0</v>
      </c>
      <c r="DT251" s="1468">
        <f t="shared" si="516"/>
        <v>0</v>
      </c>
      <c r="DU251" s="1468">
        <f t="shared" si="517"/>
        <v>0</v>
      </c>
      <c r="DV251" s="1468">
        <f t="shared" si="518"/>
        <v>0</v>
      </c>
      <c r="DW251" s="1468">
        <f t="shared" si="519"/>
        <v>0</v>
      </c>
      <c r="DX251" s="1468">
        <f t="shared" si="519"/>
        <v>0</v>
      </c>
    </row>
    <row r="252" spans="1:128" ht="18" customHeight="1" x14ac:dyDescent="0.25">
      <c r="A252" s="8274"/>
      <c r="B252" s="1142" t="s">
        <v>1835</v>
      </c>
      <c r="C252" s="2257">
        <f t="shared" si="520"/>
        <v>0</v>
      </c>
      <c r="D252" s="2253">
        <f t="shared" si="520"/>
        <v>0</v>
      </c>
      <c r="E252" s="2246"/>
      <c r="F252" s="2247"/>
      <c r="G252" s="2248"/>
      <c r="H252" s="2247"/>
      <c r="I252" s="2248"/>
      <c r="J252" s="2247"/>
      <c r="K252" s="2248"/>
      <c r="L252" s="2247"/>
      <c r="M252" s="1129"/>
      <c r="N252" s="1113"/>
      <c r="O252" s="1129"/>
      <c r="P252" s="1113"/>
      <c r="Q252" s="1109"/>
      <c r="R252" s="1113"/>
      <c r="S252" s="1109"/>
      <c r="T252" s="1113"/>
      <c r="U252" s="1109"/>
      <c r="V252" s="1113"/>
      <c r="W252" s="1129"/>
      <c r="X252" s="1113"/>
      <c r="Y252" s="1129"/>
      <c r="Z252" s="1113"/>
      <c r="AA252" s="1129"/>
      <c r="AB252" s="1113"/>
      <c r="AC252" s="1109"/>
      <c r="AD252" s="1113"/>
      <c r="AE252" s="1129"/>
      <c r="AF252" s="1113"/>
      <c r="AG252" s="1129"/>
      <c r="AH252" s="1113"/>
      <c r="AI252" s="1129"/>
      <c r="AJ252" s="1131"/>
      <c r="AK252" s="2911"/>
      <c r="AL252" s="2887"/>
      <c r="AM252" s="2915"/>
      <c r="AN252" s="2887"/>
      <c r="AO252" s="2915"/>
      <c r="AP252" s="2887"/>
      <c r="AQ252" s="2915"/>
      <c r="AR252" s="2887"/>
      <c r="AS252" s="2885"/>
      <c r="AT252" s="2889"/>
      <c r="AU252" s="2885"/>
      <c r="AV252" s="2889"/>
      <c r="AW252" s="2915"/>
      <c r="AX252" s="1113"/>
      <c r="AY252" s="1193" t="str">
        <f t="shared" si="472"/>
        <v/>
      </c>
      <c r="CA252" s="2235" t="str">
        <f t="shared" si="473"/>
        <v/>
      </c>
      <c r="CB252" s="2235" t="str">
        <f t="shared" si="474"/>
        <v/>
      </c>
      <c r="CC252" s="2235" t="str">
        <f t="shared" si="475"/>
        <v/>
      </c>
      <c r="CD252" s="2235" t="str">
        <f t="shared" si="476"/>
        <v/>
      </c>
      <c r="CE252" s="2235" t="str">
        <f t="shared" si="477"/>
        <v/>
      </c>
      <c r="CF252" s="2235" t="str">
        <f t="shared" si="478"/>
        <v/>
      </c>
      <c r="CG252" s="2235" t="str">
        <f t="shared" si="479"/>
        <v/>
      </c>
      <c r="CH252" s="2235" t="str">
        <f t="shared" si="480"/>
        <v/>
      </c>
      <c r="CI252" s="2235" t="str">
        <f t="shared" si="481"/>
        <v/>
      </c>
      <c r="CJ252" s="2235" t="str">
        <f t="shared" si="482"/>
        <v/>
      </c>
      <c r="CK252" s="2235" t="str">
        <f t="shared" si="483"/>
        <v/>
      </c>
      <c r="CL252" s="2235" t="str">
        <f t="shared" si="484"/>
        <v/>
      </c>
      <c r="CM252" s="2235" t="str">
        <f t="shared" si="485"/>
        <v/>
      </c>
      <c r="CN252" s="2235" t="str">
        <f t="shared" si="486"/>
        <v/>
      </c>
      <c r="CO252" s="2235" t="str">
        <f t="shared" si="487"/>
        <v/>
      </c>
      <c r="CP252" s="2235" t="str">
        <f t="shared" si="488"/>
        <v/>
      </c>
      <c r="CQ252" s="2235" t="str">
        <f t="shared" si="489"/>
        <v/>
      </c>
      <c r="CR252" s="2235" t="str">
        <f t="shared" si="490"/>
        <v/>
      </c>
      <c r="CS252" s="2235" t="str">
        <f t="shared" si="491"/>
        <v/>
      </c>
      <c r="CT252" s="2235" t="str">
        <f t="shared" si="492"/>
        <v/>
      </c>
      <c r="CU252" s="2235" t="str">
        <f t="shared" si="493"/>
        <v/>
      </c>
      <c r="CV252" s="2235" t="str">
        <f t="shared" si="494"/>
        <v/>
      </c>
      <c r="CW252" s="2235" t="str">
        <f t="shared" si="495"/>
        <v/>
      </c>
      <c r="CX252" s="2235" t="str">
        <f t="shared" si="496"/>
        <v/>
      </c>
      <c r="CY252" s="2235"/>
      <c r="CZ252" s="2235"/>
      <c r="DA252" s="1468">
        <f t="shared" si="497"/>
        <v>0</v>
      </c>
      <c r="DB252" s="1468">
        <f t="shared" si="498"/>
        <v>0</v>
      </c>
      <c r="DC252" s="1468">
        <f t="shared" si="499"/>
        <v>0</v>
      </c>
      <c r="DD252" s="1468">
        <f t="shared" si="500"/>
        <v>0</v>
      </c>
      <c r="DE252" s="1468">
        <f t="shared" si="501"/>
        <v>0</v>
      </c>
      <c r="DF252" s="1468">
        <f t="shared" si="502"/>
        <v>0</v>
      </c>
      <c r="DG252" s="1468">
        <f t="shared" si="503"/>
        <v>0</v>
      </c>
      <c r="DH252" s="1468">
        <f t="shared" si="504"/>
        <v>0</v>
      </c>
      <c r="DI252" s="1468">
        <f t="shared" si="505"/>
        <v>0</v>
      </c>
      <c r="DJ252" s="1468">
        <f t="shared" si="506"/>
        <v>0</v>
      </c>
      <c r="DK252" s="1468">
        <f t="shared" si="507"/>
        <v>0</v>
      </c>
      <c r="DL252" s="1468">
        <f t="shared" si="508"/>
        <v>0</v>
      </c>
      <c r="DM252" s="1468">
        <f t="shared" si="509"/>
        <v>0</v>
      </c>
      <c r="DN252" s="1468">
        <f t="shared" si="510"/>
        <v>0</v>
      </c>
      <c r="DO252" s="1468">
        <f t="shared" si="511"/>
        <v>0</v>
      </c>
      <c r="DP252" s="1468">
        <f t="shared" si="512"/>
        <v>0</v>
      </c>
      <c r="DQ252" s="1468">
        <f t="shared" si="513"/>
        <v>0</v>
      </c>
      <c r="DR252" s="1468">
        <f t="shared" si="514"/>
        <v>0</v>
      </c>
      <c r="DS252" s="1468">
        <f t="shared" si="515"/>
        <v>0</v>
      </c>
      <c r="DT252" s="1468">
        <f t="shared" si="516"/>
        <v>0</v>
      </c>
      <c r="DU252" s="1468">
        <f t="shared" si="517"/>
        <v>0</v>
      </c>
      <c r="DV252" s="1468">
        <f t="shared" si="518"/>
        <v>0</v>
      </c>
      <c r="DW252" s="1468">
        <f t="shared" ref="DW252:DX258" si="521">IF(AND(C252&lt;&gt;0,OR(AO252="",AQ252="",AS252="",AU252="")),1,0)</f>
        <v>0</v>
      </c>
      <c r="DX252" s="1468">
        <f t="shared" si="521"/>
        <v>0</v>
      </c>
    </row>
    <row r="253" spans="1:128" ht="15" customHeight="1" x14ac:dyDescent="0.25">
      <c r="A253" s="8274"/>
      <c r="B253" s="1107" t="s">
        <v>1836</v>
      </c>
      <c r="C253" s="2244">
        <f t="shared" si="520"/>
        <v>0</v>
      </c>
      <c r="D253" s="2253">
        <f t="shared" si="520"/>
        <v>0</v>
      </c>
      <c r="E253" s="2246"/>
      <c r="F253" s="2247"/>
      <c r="G253" s="2248"/>
      <c r="H253" s="2247"/>
      <c r="I253" s="2248"/>
      <c r="J253" s="2247"/>
      <c r="K253" s="2248"/>
      <c r="L253" s="2258"/>
      <c r="M253" s="1129"/>
      <c r="N253" s="1113"/>
      <c r="O253" s="1129"/>
      <c r="P253" s="1113"/>
      <c r="Q253" s="1109"/>
      <c r="R253" s="1113"/>
      <c r="S253" s="1109"/>
      <c r="T253" s="1113"/>
      <c r="U253" s="1109"/>
      <c r="V253" s="1113"/>
      <c r="W253" s="1129"/>
      <c r="X253" s="1113"/>
      <c r="Y253" s="1129"/>
      <c r="Z253" s="1113"/>
      <c r="AA253" s="1129"/>
      <c r="AB253" s="1113"/>
      <c r="AC253" s="1109"/>
      <c r="AD253" s="1113"/>
      <c r="AE253" s="1129"/>
      <c r="AF253" s="1113"/>
      <c r="AG253" s="1129"/>
      <c r="AH253" s="1113"/>
      <c r="AI253" s="1129"/>
      <c r="AJ253" s="1131"/>
      <c r="AK253" s="2911"/>
      <c r="AL253" s="2887"/>
      <c r="AM253" s="2915"/>
      <c r="AN253" s="2887"/>
      <c r="AO253" s="2915"/>
      <c r="AP253" s="2887"/>
      <c r="AQ253" s="2915"/>
      <c r="AR253" s="2887"/>
      <c r="AS253" s="2885"/>
      <c r="AT253" s="2889"/>
      <c r="AU253" s="2885"/>
      <c r="AV253" s="2889"/>
      <c r="AW253" s="2915"/>
      <c r="AX253" s="1113"/>
      <c r="AY253" s="1193" t="str">
        <f t="shared" si="472"/>
        <v/>
      </c>
      <c r="CA253" s="2235" t="str">
        <f t="shared" si="473"/>
        <v/>
      </c>
      <c r="CB253" s="2235" t="str">
        <f t="shared" si="474"/>
        <v/>
      </c>
      <c r="CC253" s="2235" t="str">
        <f t="shared" si="475"/>
        <v/>
      </c>
      <c r="CD253" s="2235" t="str">
        <f t="shared" si="476"/>
        <v/>
      </c>
      <c r="CE253" s="2235" t="str">
        <f t="shared" si="477"/>
        <v/>
      </c>
      <c r="CF253" s="2235" t="str">
        <f t="shared" si="478"/>
        <v/>
      </c>
      <c r="CG253" s="2235" t="str">
        <f t="shared" si="479"/>
        <v/>
      </c>
      <c r="CH253" s="2235" t="str">
        <f t="shared" si="480"/>
        <v/>
      </c>
      <c r="CI253" s="2235" t="str">
        <f t="shared" si="481"/>
        <v/>
      </c>
      <c r="CJ253" s="2235" t="str">
        <f t="shared" si="482"/>
        <v/>
      </c>
      <c r="CK253" s="2235" t="str">
        <f t="shared" si="483"/>
        <v/>
      </c>
      <c r="CL253" s="2235" t="str">
        <f t="shared" si="484"/>
        <v/>
      </c>
      <c r="CM253" s="2235" t="str">
        <f t="shared" si="485"/>
        <v/>
      </c>
      <c r="CN253" s="2235" t="str">
        <f t="shared" si="486"/>
        <v/>
      </c>
      <c r="CO253" s="2235" t="str">
        <f t="shared" si="487"/>
        <v/>
      </c>
      <c r="CP253" s="2235" t="str">
        <f t="shared" si="488"/>
        <v/>
      </c>
      <c r="CQ253" s="2235" t="str">
        <f t="shared" si="489"/>
        <v/>
      </c>
      <c r="CR253" s="2235" t="str">
        <f t="shared" si="490"/>
        <v/>
      </c>
      <c r="CS253" s="2235" t="str">
        <f t="shared" si="491"/>
        <v/>
      </c>
      <c r="CT253" s="2235" t="str">
        <f t="shared" si="492"/>
        <v/>
      </c>
      <c r="CU253" s="2235" t="str">
        <f t="shared" si="493"/>
        <v/>
      </c>
      <c r="CV253" s="2235" t="str">
        <f t="shared" si="494"/>
        <v/>
      </c>
      <c r="CW253" s="2235" t="str">
        <f t="shared" si="495"/>
        <v/>
      </c>
      <c r="CX253" s="2235" t="str">
        <f t="shared" si="496"/>
        <v/>
      </c>
      <c r="CY253" s="2235"/>
      <c r="CZ253" s="2235"/>
      <c r="DA253" s="1468">
        <f t="shared" si="497"/>
        <v>0</v>
      </c>
      <c r="DB253" s="1468">
        <f t="shared" si="498"/>
        <v>0</v>
      </c>
      <c r="DC253" s="1468">
        <f t="shared" si="499"/>
        <v>0</v>
      </c>
      <c r="DD253" s="1468">
        <f t="shared" si="500"/>
        <v>0</v>
      </c>
      <c r="DE253" s="1468">
        <f t="shared" si="501"/>
        <v>0</v>
      </c>
      <c r="DF253" s="1468">
        <f t="shared" si="502"/>
        <v>0</v>
      </c>
      <c r="DG253" s="1468">
        <f t="shared" si="503"/>
        <v>0</v>
      </c>
      <c r="DH253" s="1468">
        <f t="shared" si="504"/>
        <v>0</v>
      </c>
      <c r="DI253" s="1468">
        <f t="shared" si="505"/>
        <v>0</v>
      </c>
      <c r="DJ253" s="1468">
        <f t="shared" si="506"/>
        <v>0</v>
      </c>
      <c r="DK253" s="1468">
        <f t="shared" si="507"/>
        <v>0</v>
      </c>
      <c r="DL253" s="1468">
        <f t="shared" si="508"/>
        <v>0</v>
      </c>
      <c r="DM253" s="1468">
        <f t="shared" si="509"/>
        <v>0</v>
      </c>
      <c r="DN253" s="1468">
        <f t="shared" si="510"/>
        <v>0</v>
      </c>
      <c r="DO253" s="1468">
        <f t="shared" si="511"/>
        <v>0</v>
      </c>
      <c r="DP253" s="1468">
        <f t="shared" si="512"/>
        <v>0</v>
      </c>
      <c r="DQ253" s="1468">
        <f t="shared" si="513"/>
        <v>0</v>
      </c>
      <c r="DR253" s="1468">
        <f t="shared" si="514"/>
        <v>0</v>
      </c>
      <c r="DS253" s="1468">
        <f t="shared" si="515"/>
        <v>0</v>
      </c>
      <c r="DT253" s="1468">
        <f t="shared" si="516"/>
        <v>0</v>
      </c>
      <c r="DU253" s="1468">
        <f t="shared" si="517"/>
        <v>0</v>
      </c>
      <c r="DV253" s="1468">
        <f t="shared" si="518"/>
        <v>0</v>
      </c>
      <c r="DW253" s="1468">
        <f t="shared" si="521"/>
        <v>0</v>
      </c>
      <c r="DX253" s="1468">
        <f t="shared" si="521"/>
        <v>0</v>
      </c>
    </row>
    <row r="254" spans="1:128" x14ac:dyDescent="0.25">
      <c r="A254" s="9607"/>
      <c r="B254" s="81" t="s">
        <v>1837</v>
      </c>
      <c r="C254" s="822">
        <f t="shared" si="520"/>
        <v>0</v>
      </c>
      <c r="D254" s="2260">
        <f t="shared" si="520"/>
        <v>0</v>
      </c>
      <c r="E254" s="2261"/>
      <c r="F254" s="2262"/>
      <c r="G254" s="2263"/>
      <c r="H254" s="2262"/>
      <c r="I254" s="2263"/>
      <c r="J254" s="2262"/>
      <c r="K254" s="2263"/>
      <c r="L254" s="2262"/>
      <c r="M254" s="102"/>
      <c r="N254" s="101"/>
      <c r="O254" s="102"/>
      <c r="P254" s="101"/>
      <c r="Q254" s="125"/>
      <c r="R254" s="101"/>
      <c r="S254" s="125"/>
      <c r="T254" s="101"/>
      <c r="U254" s="125"/>
      <c r="V254" s="101"/>
      <c r="W254" s="102"/>
      <c r="X254" s="101"/>
      <c r="Y254" s="102"/>
      <c r="Z254" s="101"/>
      <c r="AA254" s="102"/>
      <c r="AB254" s="101"/>
      <c r="AC254" s="125"/>
      <c r="AD254" s="101"/>
      <c r="AE254" s="102"/>
      <c r="AF254" s="101"/>
      <c r="AG254" s="102"/>
      <c r="AH254" s="101"/>
      <c r="AI254" s="102"/>
      <c r="AJ254" s="198"/>
      <c r="AK254" s="2892"/>
      <c r="AL254" s="2884"/>
      <c r="AM254" s="2533"/>
      <c r="AN254" s="2884"/>
      <c r="AO254" s="2533"/>
      <c r="AP254" s="2884"/>
      <c r="AQ254" s="2533"/>
      <c r="AR254" s="2884"/>
      <c r="AS254" s="2888"/>
      <c r="AT254" s="2535"/>
      <c r="AU254" s="2888"/>
      <c r="AV254" s="2535"/>
      <c r="AW254" s="2533"/>
      <c r="AX254" s="101"/>
      <c r="AY254" s="1193" t="str">
        <f t="shared" si="472"/>
        <v/>
      </c>
      <c r="CA254" s="2235" t="str">
        <f t="shared" si="473"/>
        <v/>
      </c>
      <c r="CB254" s="2235" t="str">
        <f t="shared" si="474"/>
        <v/>
      </c>
      <c r="CC254" s="2235" t="str">
        <f t="shared" si="475"/>
        <v/>
      </c>
      <c r="CD254" s="2235" t="str">
        <f t="shared" si="476"/>
        <v/>
      </c>
      <c r="CE254" s="2235" t="str">
        <f t="shared" si="477"/>
        <v/>
      </c>
      <c r="CF254" s="2235" t="str">
        <f t="shared" si="478"/>
        <v/>
      </c>
      <c r="CG254" s="2235" t="str">
        <f t="shared" si="479"/>
        <v/>
      </c>
      <c r="CH254" s="2235" t="str">
        <f t="shared" si="480"/>
        <v/>
      </c>
      <c r="CI254" s="2235" t="str">
        <f t="shared" si="481"/>
        <v/>
      </c>
      <c r="CJ254" s="2235" t="str">
        <f t="shared" si="482"/>
        <v/>
      </c>
      <c r="CK254" s="2235" t="str">
        <f t="shared" si="483"/>
        <v/>
      </c>
      <c r="CL254" s="2235" t="str">
        <f t="shared" si="484"/>
        <v/>
      </c>
      <c r="CM254" s="2235" t="str">
        <f t="shared" si="485"/>
        <v/>
      </c>
      <c r="CN254" s="2235" t="str">
        <f t="shared" si="486"/>
        <v/>
      </c>
      <c r="CO254" s="2235" t="str">
        <f t="shared" si="487"/>
        <v/>
      </c>
      <c r="CP254" s="2235" t="str">
        <f t="shared" si="488"/>
        <v/>
      </c>
      <c r="CQ254" s="2235" t="str">
        <f t="shared" si="489"/>
        <v/>
      </c>
      <c r="CR254" s="2235" t="str">
        <f t="shared" si="490"/>
        <v/>
      </c>
      <c r="CS254" s="2235" t="str">
        <f t="shared" si="491"/>
        <v/>
      </c>
      <c r="CT254" s="2235" t="str">
        <f t="shared" si="492"/>
        <v/>
      </c>
      <c r="CU254" s="2235" t="str">
        <f t="shared" si="493"/>
        <v/>
      </c>
      <c r="CV254" s="2235" t="str">
        <f t="shared" si="494"/>
        <v/>
      </c>
      <c r="CW254" s="2235" t="str">
        <f t="shared" si="495"/>
        <v/>
      </c>
      <c r="CX254" s="2235" t="str">
        <f t="shared" si="496"/>
        <v/>
      </c>
      <c r="CY254" s="2235"/>
      <c r="CZ254" s="2235"/>
      <c r="DA254" s="1468">
        <f t="shared" si="497"/>
        <v>0</v>
      </c>
      <c r="DB254" s="1468">
        <f t="shared" si="498"/>
        <v>0</v>
      </c>
      <c r="DC254" s="1468">
        <f t="shared" si="499"/>
        <v>0</v>
      </c>
      <c r="DD254" s="1468">
        <f t="shared" si="500"/>
        <v>0</v>
      </c>
      <c r="DE254" s="1468">
        <f t="shared" si="501"/>
        <v>0</v>
      </c>
      <c r="DF254" s="1468">
        <f t="shared" si="502"/>
        <v>0</v>
      </c>
      <c r="DG254" s="1468">
        <f t="shared" si="503"/>
        <v>0</v>
      </c>
      <c r="DH254" s="1468">
        <f t="shared" si="504"/>
        <v>0</v>
      </c>
      <c r="DI254" s="1468">
        <f t="shared" si="505"/>
        <v>0</v>
      </c>
      <c r="DJ254" s="1468">
        <f t="shared" si="506"/>
        <v>0</v>
      </c>
      <c r="DK254" s="1468">
        <f t="shared" si="507"/>
        <v>0</v>
      </c>
      <c r="DL254" s="1468">
        <f t="shared" si="508"/>
        <v>0</v>
      </c>
      <c r="DM254" s="1468">
        <f t="shared" si="509"/>
        <v>0</v>
      </c>
      <c r="DN254" s="1468">
        <f t="shared" si="510"/>
        <v>0</v>
      </c>
      <c r="DO254" s="1468">
        <f t="shared" si="511"/>
        <v>0</v>
      </c>
      <c r="DP254" s="1468">
        <f t="shared" si="512"/>
        <v>0</v>
      </c>
      <c r="DQ254" s="1468">
        <f t="shared" si="513"/>
        <v>0</v>
      </c>
      <c r="DR254" s="1468">
        <f t="shared" si="514"/>
        <v>0</v>
      </c>
      <c r="DS254" s="1468">
        <f t="shared" si="515"/>
        <v>0</v>
      </c>
      <c r="DT254" s="1468">
        <f t="shared" si="516"/>
        <v>0</v>
      </c>
      <c r="DU254" s="1468">
        <f t="shared" si="517"/>
        <v>0</v>
      </c>
      <c r="DV254" s="1468">
        <f t="shared" si="518"/>
        <v>0</v>
      </c>
      <c r="DW254" s="1468">
        <f t="shared" si="521"/>
        <v>0</v>
      </c>
      <c r="DX254" s="1468">
        <f t="shared" si="521"/>
        <v>0</v>
      </c>
    </row>
    <row r="255" spans="1:128" ht="15" customHeight="1" x14ac:dyDescent="0.25">
      <c r="A255" s="8208" t="s">
        <v>1847</v>
      </c>
      <c r="B255" s="1141" t="s">
        <v>1848</v>
      </c>
      <c r="C255" s="2264">
        <f t="shared" ref="C255:D258" si="522">+E255+G255+I255+K255+M255+O255+Q255+S255+U255+W255+Y255+AA255+AC255+AE255+AG255+AI255</f>
        <v>0</v>
      </c>
      <c r="D255" s="2265">
        <f t="shared" si="522"/>
        <v>0</v>
      </c>
      <c r="E255" s="1178"/>
      <c r="F255" s="130"/>
      <c r="G255" s="1178"/>
      <c r="H255" s="130"/>
      <c r="I255" s="1178"/>
      <c r="J255" s="130"/>
      <c r="K255" s="1178"/>
      <c r="L255" s="130"/>
      <c r="M255" s="1178"/>
      <c r="N255" s="130"/>
      <c r="O255" s="1178"/>
      <c r="P255" s="130"/>
      <c r="Q255" s="906"/>
      <c r="R255" s="130"/>
      <c r="S255" s="906"/>
      <c r="T255" s="130"/>
      <c r="U255" s="906"/>
      <c r="V255" s="130"/>
      <c r="W255" s="1178"/>
      <c r="X255" s="130"/>
      <c r="Y255" s="1178"/>
      <c r="Z255" s="130"/>
      <c r="AA255" s="1178"/>
      <c r="AB255" s="130"/>
      <c r="AC255" s="906"/>
      <c r="AD255" s="130"/>
      <c r="AE255" s="1178"/>
      <c r="AF255" s="130"/>
      <c r="AG255" s="1178"/>
      <c r="AH255" s="130"/>
      <c r="AI255" s="1178"/>
      <c r="AJ255" s="196"/>
      <c r="AK255" s="2510"/>
      <c r="AL255" s="2506"/>
      <c r="AM255" s="2494"/>
      <c r="AN255" s="2506"/>
      <c r="AO255" s="2494"/>
      <c r="AP255" s="2506"/>
      <c r="AQ255" s="2494"/>
      <c r="AR255" s="2506"/>
      <c r="AS255" s="2518"/>
      <c r="AT255" s="2877"/>
      <c r="AU255" s="2518"/>
      <c r="AV255" s="2877"/>
      <c r="AW255" s="2494"/>
      <c r="AX255" s="130"/>
      <c r="AY255" s="1193" t="str">
        <f t="shared" si="472"/>
        <v/>
      </c>
      <c r="CA255" s="2235" t="str">
        <f t="shared" si="473"/>
        <v/>
      </c>
      <c r="CB255" s="2235" t="str">
        <f t="shared" si="474"/>
        <v/>
      </c>
      <c r="CC255" s="2235" t="str">
        <f t="shared" si="475"/>
        <v/>
      </c>
      <c r="CD255" s="2235" t="str">
        <f t="shared" si="476"/>
        <v/>
      </c>
      <c r="CE255" s="2235" t="str">
        <f t="shared" si="477"/>
        <v/>
      </c>
      <c r="CF255" s="2235" t="str">
        <f t="shared" si="478"/>
        <v/>
      </c>
      <c r="CG255" s="2235" t="str">
        <f t="shared" si="479"/>
        <v/>
      </c>
      <c r="CH255" s="2235" t="str">
        <f t="shared" si="480"/>
        <v/>
      </c>
      <c r="CI255" s="2235" t="str">
        <f t="shared" si="481"/>
        <v/>
      </c>
      <c r="CJ255" s="2235" t="str">
        <f t="shared" si="482"/>
        <v/>
      </c>
      <c r="CK255" s="2235" t="str">
        <f t="shared" si="483"/>
        <v/>
      </c>
      <c r="CL255" s="2235" t="str">
        <f t="shared" si="484"/>
        <v/>
      </c>
      <c r="CM255" s="2235" t="str">
        <f t="shared" si="485"/>
        <v/>
      </c>
      <c r="CN255" s="2235" t="str">
        <f t="shared" si="486"/>
        <v/>
      </c>
      <c r="CO255" s="2235" t="str">
        <f t="shared" si="487"/>
        <v/>
      </c>
      <c r="CP255" s="2235" t="str">
        <f t="shared" si="488"/>
        <v/>
      </c>
      <c r="CQ255" s="2235" t="str">
        <f t="shared" si="489"/>
        <v/>
      </c>
      <c r="CR255" s="2235" t="str">
        <f t="shared" si="490"/>
        <v/>
      </c>
      <c r="CS255" s="2235" t="str">
        <f t="shared" si="491"/>
        <v/>
      </c>
      <c r="CT255" s="2235" t="str">
        <f t="shared" si="492"/>
        <v/>
      </c>
      <c r="CU255" s="2235" t="str">
        <f t="shared" si="493"/>
        <v/>
      </c>
      <c r="CV255" s="2235" t="str">
        <f t="shared" si="494"/>
        <v/>
      </c>
      <c r="CW255" s="2235" t="str">
        <f t="shared" si="495"/>
        <v/>
      </c>
      <c r="CX255" s="2235" t="str">
        <f t="shared" si="496"/>
        <v/>
      </c>
      <c r="CY255" s="2235"/>
      <c r="CZ255" s="2235"/>
      <c r="DA255" s="1468">
        <f t="shared" si="497"/>
        <v>0</v>
      </c>
      <c r="DB255" s="1468">
        <f t="shared" si="498"/>
        <v>0</v>
      </c>
      <c r="DC255" s="1468">
        <f t="shared" si="499"/>
        <v>0</v>
      </c>
      <c r="DD255" s="1468">
        <f t="shared" si="500"/>
        <v>0</v>
      </c>
      <c r="DE255" s="1468">
        <f t="shared" si="501"/>
        <v>0</v>
      </c>
      <c r="DF255" s="1468">
        <f t="shared" si="502"/>
        <v>0</v>
      </c>
      <c r="DG255" s="1468">
        <f t="shared" si="503"/>
        <v>0</v>
      </c>
      <c r="DH255" s="1468">
        <f t="shared" si="504"/>
        <v>0</v>
      </c>
      <c r="DI255" s="1468">
        <f t="shared" si="505"/>
        <v>0</v>
      </c>
      <c r="DJ255" s="1468">
        <f t="shared" si="506"/>
        <v>0</v>
      </c>
      <c r="DK255" s="1468">
        <f t="shared" si="507"/>
        <v>0</v>
      </c>
      <c r="DL255" s="1468">
        <f t="shared" si="508"/>
        <v>0</v>
      </c>
      <c r="DM255" s="1468">
        <f t="shared" si="509"/>
        <v>0</v>
      </c>
      <c r="DN255" s="1468">
        <f t="shared" si="510"/>
        <v>0</v>
      </c>
      <c r="DO255" s="1468">
        <f t="shared" si="511"/>
        <v>0</v>
      </c>
      <c r="DP255" s="1468">
        <f t="shared" si="512"/>
        <v>0</v>
      </c>
      <c r="DQ255" s="1468">
        <f t="shared" si="513"/>
        <v>0</v>
      </c>
      <c r="DR255" s="1468">
        <f t="shared" si="514"/>
        <v>0</v>
      </c>
      <c r="DS255" s="1468">
        <f t="shared" si="515"/>
        <v>0</v>
      </c>
      <c r="DT255" s="1468">
        <f t="shared" si="516"/>
        <v>0</v>
      </c>
      <c r="DU255" s="1468">
        <f t="shared" si="517"/>
        <v>0</v>
      </c>
      <c r="DV255" s="1468">
        <f t="shared" si="518"/>
        <v>0</v>
      </c>
      <c r="DW255" s="1468">
        <f t="shared" si="521"/>
        <v>0</v>
      </c>
      <c r="DX255" s="1468">
        <f t="shared" si="521"/>
        <v>0</v>
      </c>
    </row>
    <row r="256" spans="1:128" x14ac:dyDescent="0.25">
      <c r="A256" s="8274"/>
      <c r="B256" s="1107" t="s">
        <v>1849</v>
      </c>
      <c r="C256" s="2266">
        <f t="shared" si="522"/>
        <v>0</v>
      </c>
      <c r="D256" s="2253">
        <f t="shared" si="522"/>
        <v>0</v>
      </c>
      <c r="E256" s="1129"/>
      <c r="F256" s="1113"/>
      <c r="G256" s="1129"/>
      <c r="H256" s="1113"/>
      <c r="I256" s="1129"/>
      <c r="J256" s="1113"/>
      <c r="K256" s="1129"/>
      <c r="L256" s="1113"/>
      <c r="M256" s="1129"/>
      <c r="N256" s="1113"/>
      <c r="O256" s="1129"/>
      <c r="P256" s="1113"/>
      <c r="Q256" s="1109"/>
      <c r="R256" s="1113"/>
      <c r="S256" s="1109"/>
      <c r="T256" s="1113"/>
      <c r="U256" s="1109"/>
      <c r="V256" s="1113"/>
      <c r="W256" s="1129"/>
      <c r="X256" s="1113"/>
      <c r="Y256" s="1129"/>
      <c r="Z256" s="1113"/>
      <c r="AA256" s="1129"/>
      <c r="AB256" s="1113"/>
      <c r="AC256" s="1109"/>
      <c r="AD256" s="1113"/>
      <c r="AE256" s="1129"/>
      <c r="AF256" s="1113"/>
      <c r="AG256" s="1129"/>
      <c r="AH256" s="1113"/>
      <c r="AI256" s="1129"/>
      <c r="AJ256" s="1131"/>
      <c r="AK256" s="2911"/>
      <c r="AL256" s="2887"/>
      <c r="AM256" s="2915"/>
      <c r="AN256" s="2887"/>
      <c r="AO256" s="2915"/>
      <c r="AP256" s="2887"/>
      <c r="AQ256" s="2915"/>
      <c r="AR256" s="2887"/>
      <c r="AS256" s="2885"/>
      <c r="AT256" s="2889"/>
      <c r="AU256" s="2885"/>
      <c r="AV256" s="2889"/>
      <c r="AW256" s="2915"/>
      <c r="AX256" s="1113"/>
      <c r="AY256" s="1193" t="str">
        <f t="shared" si="472"/>
        <v/>
      </c>
      <c r="CA256" s="2235" t="str">
        <f t="shared" si="473"/>
        <v/>
      </c>
      <c r="CB256" s="2235" t="str">
        <f t="shared" si="474"/>
        <v/>
      </c>
      <c r="CC256" s="2235" t="str">
        <f t="shared" si="475"/>
        <v/>
      </c>
      <c r="CD256" s="2235" t="str">
        <f t="shared" si="476"/>
        <v/>
      </c>
      <c r="CE256" s="2235" t="str">
        <f t="shared" si="477"/>
        <v/>
      </c>
      <c r="CF256" s="2235" t="str">
        <f t="shared" si="478"/>
        <v/>
      </c>
      <c r="CG256" s="2235" t="str">
        <f t="shared" si="479"/>
        <v/>
      </c>
      <c r="CH256" s="2235" t="str">
        <f t="shared" si="480"/>
        <v/>
      </c>
      <c r="CI256" s="2235" t="str">
        <f t="shared" si="481"/>
        <v/>
      </c>
      <c r="CJ256" s="2235" t="str">
        <f t="shared" si="482"/>
        <v/>
      </c>
      <c r="CK256" s="2235" t="str">
        <f t="shared" si="483"/>
        <v/>
      </c>
      <c r="CL256" s="2235" t="str">
        <f t="shared" si="484"/>
        <v/>
      </c>
      <c r="CM256" s="2235" t="str">
        <f t="shared" si="485"/>
        <v/>
      </c>
      <c r="CN256" s="2235" t="str">
        <f t="shared" si="486"/>
        <v/>
      </c>
      <c r="CO256" s="2235" t="str">
        <f t="shared" si="487"/>
        <v/>
      </c>
      <c r="CP256" s="2235" t="str">
        <f t="shared" si="488"/>
        <v/>
      </c>
      <c r="CQ256" s="2235" t="str">
        <f t="shared" si="489"/>
        <v/>
      </c>
      <c r="CR256" s="2235" t="str">
        <f t="shared" si="490"/>
        <v/>
      </c>
      <c r="CS256" s="2235" t="str">
        <f t="shared" si="491"/>
        <v/>
      </c>
      <c r="CT256" s="2235" t="str">
        <f t="shared" si="492"/>
        <v/>
      </c>
      <c r="CU256" s="2235" t="str">
        <f t="shared" si="493"/>
        <v/>
      </c>
      <c r="CV256" s="2235" t="str">
        <f t="shared" si="494"/>
        <v/>
      </c>
      <c r="CW256" s="2235" t="str">
        <f t="shared" si="495"/>
        <v/>
      </c>
      <c r="CX256" s="2235" t="str">
        <f t="shared" si="496"/>
        <v/>
      </c>
      <c r="CY256" s="2235"/>
      <c r="CZ256" s="2235"/>
      <c r="DA256" s="1468">
        <f t="shared" si="497"/>
        <v>0</v>
      </c>
      <c r="DB256" s="1468">
        <f t="shared" si="498"/>
        <v>0</v>
      </c>
      <c r="DC256" s="1468">
        <f t="shared" si="499"/>
        <v>0</v>
      </c>
      <c r="DD256" s="1468">
        <f t="shared" si="500"/>
        <v>0</v>
      </c>
      <c r="DE256" s="1468">
        <f t="shared" si="501"/>
        <v>0</v>
      </c>
      <c r="DF256" s="1468">
        <f t="shared" si="502"/>
        <v>0</v>
      </c>
      <c r="DG256" s="1468">
        <f t="shared" si="503"/>
        <v>0</v>
      </c>
      <c r="DH256" s="1468">
        <f t="shared" si="504"/>
        <v>0</v>
      </c>
      <c r="DI256" s="1468">
        <f t="shared" si="505"/>
        <v>0</v>
      </c>
      <c r="DJ256" s="1468">
        <f t="shared" si="506"/>
        <v>0</v>
      </c>
      <c r="DK256" s="1468">
        <f t="shared" si="507"/>
        <v>0</v>
      </c>
      <c r="DL256" s="1468">
        <f t="shared" si="508"/>
        <v>0</v>
      </c>
      <c r="DM256" s="1468">
        <f t="shared" si="509"/>
        <v>0</v>
      </c>
      <c r="DN256" s="1468">
        <f t="shared" si="510"/>
        <v>0</v>
      </c>
      <c r="DO256" s="1468">
        <f t="shared" si="511"/>
        <v>0</v>
      </c>
      <c r="DP256" s="1468">
        <f t="shared" si="512"/>
        <v>0</v>
      </c>
      <c r="DQ256" s="1468">
        <f t="shared" si="513"/>
        <v>0</v>
      </c>
      <c r="DR256" s="1468">
        <f t="shared" si="514"/>
        <v>0</v>
      </c>
      <c r="DS256" s="1468">
        <f t="shared" si="515"/>
        <v>0</v>
      </c>
      <c r="DT256" s="1468">
        <f t="shared" si="516"/>
        <v>0</v>
      </c>
      <c r="DU256" s="1468">
        <f t="shared" si="517"/>
        <v>0</v>
      </c>
      <c r="DV256" s="1468">
        <f t="shared" si="518"/>
        <v>0</v>
      </c>
      <c r="DW256" s="1468">
        <f t="shared" si="521"/>
        <v>0</v>
      </c>
      <c r="DX256" s="1468">
        <f t="shared" si="521"/>
        <v>0</v>
      </c>
    </row>
    <row r="257" spans="1:128" x14ac:dyDescent="0.25">
      <c r="A257" s="8274"/>
      <c r="B257" s="1107" t="s">
        <v>1850</v>
      </c>
      <c r="C257" s="2266">
        <f t="shared" si="522"/>
        <v>0</v>
      </c>
      <c r="D257" s="2253">
        <f t="shared" si="522"/>
        <v>0</v>
      </c>
      <c r="E257" s="1129"/>
      <c r="F257" s="1113"/>
      <c r="G257" s="1129"/>
      <c r="H257" s="1113"/>
      <c r="I257" s="1129"/>
      <c r="J257" s="1113"/>
      <c r="K257" s="1129"/>
      <c r="L257" s="1113"/>
      <c r="M257" s="1129"/>
      <c r="N257" s="1113"/>
      <c r="O257" s="1129"/>
      <c r="P257" s="1113"/>
      <c r="Q257" s="1109"/>
      <c r="R257" s="1113"/>
      <c r="S257" s="1109"/>
      <c r="T257" s="1113"/>
      <c r="U257" s="1109"/>
      <c r="V257" s="1113"/>
      <c r="W257" s="1129"/>
      <c r="X257" s="1113"/>
      <c r="Y257" s="1129"/>
      <c r="Z257" s="1113"/>
      <c r="AA257" s="1129"/>
      <c r="AB257" s="1113"/>
      <c r="AC257" s="1109"/>
      <c r="AD257" s="1113"/>
      <c r="AE257" s="1129"/>
      <c r="AF257" s="1113"/>
      <c r="AG257" s="1129"/>
      <c r="AH257" s="1113"/>
      <c r="AI257" s="1129"/>
      <c r="AJ257" s="1131"/>
      <c r="AK257" s="2911"/>
      <c r="AL257" s="2887"/>
      <c r="AM257" s="2915"/>
      <c r="AN257" s="2887"/>
      <c r="AO257" s="2915"/>
      <c r="AP257" s="2887"/>
      <c r="AQ257" s="2915"/>
      <c r="AR257" s="2887"/>
      <c r="AS257" s="2885"/>
      <c r="AT257" s="2889"/>
      <c r="AU257" s="2885"/>
      <c r="AV257" s="2889"/>
      <c r="AW257" s="2915"/>
      <c r="AX257" s="1113"/>
      <c r="AY257" s="1193" t="str">
        <f t="shared" si="472"/>
        <v/>
      </c>
      <c r="CA257" s="2235" t="str">
        <f t="shared" si="473"/>
        <v/>
      </c>
      <c r="CB257" s="2235" t="str">
        <f t="shared" si="474"/>
        <v/>
      </c>
      <c r="CC257" s="2235" t="str">
        <f t="shared" si="475"/>
        <v/>
      </c>
      <c r="CD257" s="2235" t="str">
        <f t="shared" si="476"/>
        <v/>
      </c>
      <c r="CE257" s="2235" t="str">
        <f t="shared" si="477"/>
        <v/>
      </c>
      <c r="CF257" s="2235" t="str">
        <f t="shared" si="478"/>
        <v/>
      </c>
      <c r="CG257" s="2235" t="str">
        <f t="shared" si="479"/>
        <v/>
      </c>
      <c r="CH257" s="2235" t="str">
        <f t="shared" si="480"/>
        <v/>
      </c>
      <c r="CI257" s="2235" t="str">
        <f t="shared" si="481"/>
        <v/>
      </c>
      <c r="CJ257" s="2235" t="str">
        <f t="shared" si="482"/>
        <v/>
      </c>
      <c r="CK257" s="2235" t="str">
        <f t="shared" si="483"/>
        <v/>
      </c>
      <c r="CL257" s="2235" t="str">
        <f t="shared" si="484"/>
        <v/>
      </c>
      <c r="CM257" s="2235" t="str">
        <f t="shared" si="485"/>
        <v/>
      </c>
      <c r="CN257" s="2235" t="str">
        <f t="shared" si="486"/>
        <v/>
      </c>
      <c r="CO257" s="2235" t="str">
        <f t="shared" si="487"/>
        <v/>
      </c>
      <c r="CP257" s="2235" t="str">
        <f t="shared" si="488"/>
        <v/>
      </c>
      <c r="CQ257" s="2235" t="str">
        <f t="shared" si="489"/>
        <v/>
      </c>
      <c r="CR257" s="2235" t="str">
        <f t="shared" si="490"/>
        <v/>
      </c>
      <c r="CS257" s="2235" t="str">
        <f t="shared" si="491"/>
        <v/>
      </c>
      <c r="CT257" s="2235" t="str">
        <f t="shared" si="492"/>
        <v/>
      </c>
      <c r="CU257" s="2235" t="str">
        <f t="shared" si="493"/>
        <v/>
      </c>
      <c r="CV257" s="2235" t="str">
        <f t="shared" si="494"/>
        <v/>
      </c>
      <c r="CW257" s="2235" t="str">
        <f t="shared" si="495"/>
        <v/>
      </c>
      <c r="CX257" s="2235" t="str">
        <f t="shared" si="496"/>
        <v/>
      </c>
      <c r="CY257" s="2235"/>
      <c r="CZ257" s="2235"/>
      <c r="DA257" s="1468">
        <f t="shared" si="497"/>
        <v>0</v>
      </c>
      <c r="DB257" s="1468">
        <f t="shared" si="498"/>
        <v>0</v>
      </c>
      <c r="DC257" s="1468">
        <f t="shared" si="499"/>
        <v>0</v>
      </c>
      <c r="DD257" s="1468">
        <f t="shared" si="500"/>
        <v>0</v>
      </c>
      <c r="DE257" s="1468">
        <f t="shared" si="501"/>
        <v>0</v>
      </c>
      <c r="DF257" s="1468">
        <f t="shared" si="502"/>
        <v>0</v>
      </c>
      <c r="DG257" s="1468">
        <f t="shared" si="503"/>
        <v>0</v>
      </c>
      <c r="DH257" s="1468">
        <f t="shared" si="504"/>
        <v>0</v>
      </c>
      <c r="DI257" s="1468">
        <f t="shared" si="505"/>
        <v>0</v>
      </c>
      <c r="DJ257" s="1468">
        <f t="shared" si="506"/>
        <v>0</v>
      </c>
      <c r="DK257" s="1468">
        <f t="shared" si="507"/>
        <v>0</v>
      </c>
      <c r="DL257" s="1468">
        <f t="shared" si="508"/>
        <v>0</v>
      </c>
      <c r="DM257" s="1468">
        <f t="shared" si="509"/>
        <v>0</v>
      </c>
      <c r="DN257" s="1468">
        <f t="shared" si="510"/>
        <v>0</v>
      </c>
      <c r="DO257" s="1468">
        <f t="shared" si="511"/>
        <v>0</v>
      </c>
      <c r="DP257" s="1468">
        <f t="shared" si="512"/>
        <v>0</v>
      </c>
      <c r="DQ257" s="1468">
        <f t="shared" si="513"/>
        <v>0</v>
      </c>
      <c r="DR257" s="1468">
        <f t="shared" si="514"/>
        <v>0</v>
      </c>
      <c r="DS257" s="1468">
        <f t="shared" si="515"/>
        <v>0</v>
      </c>
      <c r="DT257" s="1468">
        <f t="shared" si="516"/>
        <v>0</v>
      </c>
      <c r="DU257" s="1468">
        <f t="shared" si="517"/>
        <v>0</v>
      </c>
      <c r="DV257" s="1468">
        <f t="shared" si="518"/>
        <v>0</v>
      </c>
      <c r="DW257" s="1468">
        <f t="shared" si="521"/>
        <v>0</v>
      </c>
      <c r="DX257" s="1468">
        <f t="shared" si="521"/>
        <v>0</v>
      </c>
    </row>
    <row r="258" spans="1:128" x14ac:dyDescent="0.25">
      <c r="A258" s="9607"/>
      <c r="B258" s="2267" t="s">
        <v>1851</v>
      </c>
      <c r="C258" s="2268">
        <f t="shared" si="522"/>
        <v>0</v>
      </c>
      <c r="D258" s="2269">
        <f t="shared" si="522"/>
        <v>0</v>
      </c>
      <c r="E258" s="102"/>
      <c r="F258" s="101"/>
      <c r="G258" s="102"/>
      <c r="H258" s="101"/>
      <c r="I258" s="102"/>
      <c r="J258" s="101"/>
      <c r="K258" s="102"/>
      <c r="L258" s="101"/>
      <c r="M258" s="102"/>
      <c r="N258" s="101"/>
      <c r="O258" s="102"/>
      <c r="P258" s="101"/>
      <c r="Q258" s="125"/>
      <c r="R258" s="101"/>
      <c r="S258" s="125"/>
      <c r="T258" s="101"/>
      <c r="U258" s="125"/>
      <c r="V258" s="101"/>
      <c r="W258" s="102"/>
      <c r="X258" s="101"/>
      <c r="Y258" s="102"/>
      <c r="Z258" s="101"/>
      <c r="AA258" s="102"/>
      <c r="AB258" s="101"/>
      <c r="AC258" s="125"/>
      <c r="AD258" s="101"/>
      <c r="AE258" s="102"/>
      <c r="AF258" s="101"/>
      <c r="AG258" s="102"/>
      <c r="AH258" s="101"/>
      <c r="AI258" s="102"/>
      <c r="AJ258" s="198"/>
      <c r="AK258" s="2892"/>
      <c r="AL258" s="2884"/>
      <c r="AM258" s="2533"/>
      <c r="AN258" s="2884"/>
      <c r="AO258" s="2533"/>
      <c r="AP258" s="2884"/>
      <c r="AQ258" s="2533"/>
      <c r="AR258" s="2884"/>
      <c r="AS258" s="2888"/>
      <c r="AT258" s="2535"/>
      <c r="AU258" s="2888"/>
      <c r="AV258" s="2535"/>
      <c r="AW258" s="2533"/>
      <c r="AX258" s="101"/>
      <c r="AY258" s="1193" t="str">
        <f t="shared" si="472"/>
        <v/>
      </c>
      <c r="CA258" s="2235" t="str">
        <f t="shared" si="473"/>
        <v/>
      </c>
      <c r="CB258" s="2235" t="str">
        <f t="shared" si="474"/>
        <v/>
      </c>
      <c r="CC258" s="2235" t="str">
        <f t="shared" si="475"/>
        <v/>
      </c>
      <c r="CD258" s="2235" t="str">
        <f t="shared" si="476"/>
        <v/>
      </c>
      <c r="CE258" s="2235" t="str">
        <f t="shared" si="477"/>
        <v/>
      </c>
      <c r="CF258" s="2235" t="str">
        <f t="shared" si="478"/>
        <v/>
      </c>
      <c r="CG258" s="2235" t="str">
        <f t="shared" si="479"/>
        <v/>
      </c>
      <c r="CH258" s="2235" t="str">
        <f t="shared" si="480"/>
        <v/>
      </c>
      <c r="CI258" s="2235" t="str">
        <f t="shared" si="481"/>
        <v/>
      </c>
      <c r="CJ258" s="2235" t="str">
        <f t="shared" si="482"/>
        <v/>
      </c>
      <c r="CK258" s="2235" t="str">
        <f t="shared" si="483"/>
        <v/>
      </c>
      <c r="CL258" s="2235" t="str">
        <f t="shared" si="484"/>
        <v/>
      </c>
      <c r="CM258" s="2235" t="str">
        <f t="shared" si="485"/>
        <v/>
      </c>
      <c r="CN258" s="2235" t="str">
        <f t="shared" si="486"/>
        <v/>
      </c>
      <c r="CO258" s="2235" t="str">
        <f t="shared" si="487"/>
        <v/>
      </c>
      <c r="CP258" s="2235" t="str">
        <f t="shared" si="488"/>
        <v/>
      </c>
      <c r="CQ258" s="2235" t="str">
        <f t="shared" si="489"/>
        <v/>
      </c>
      <c r="CR258" s="2235" t="str">
        <f t="shared" si="490"/>
        <v/>
      </c>
      <c r="CS258" s="2235" t="str">
        <f t="shared" si="491"/>
        <v/>
      </c>
      <c r="CT258" s="2235" t="str">
        <f t="shared" si="492"/>
        <v/>
      </c>
      <c r="CU258" s="2235" t="str">
        <f t="shared" si="493"/>
        <v/>
      </c>
      <c r="CV258" s="2235" t="str">
        <f t="shared" si="494"/>
        <v/>
      </c>
      <c r="CW258" s="2235" t="str">
        <f t="shared" si="495"/>
        <v/>
      </c>
      <c r="CX258" s="2235" t="str">
        <f t="shared" si="496"/>
        <v/>
      </c>
      <c r="CY258" s="2235"/>
      <c r="CZ258" s="2235"/>
      <c r="DA258" s="1468">
        <f t="shared" si="497"/>
        <v>0</v>
      </c>
      <c r="DB258" s="1468">
        <f t="shared" si="498"/>
        <v>0</v>
      </c>
      <c r="DC258" s="1468">
        <f t="shared" si="499"/>
        <v>0</v>
      </c>
      <c r="DD258" s="1468">
        <f t="shared" si="500"/>
        <v>0</v>
      </c>
      <c r="DE258" s="1468">
        <f t="shared" si="501"/>
        <v>0</v>
      </c>
      <c r="DF258" s="1468">
        <f t="shared" si="502"/>
        <v>0</v>
      </c>
      <c r="DG258" s="1468">
        <f t="shared" si="503"/>
        <v>0</v>
      </c>
      <c r="DH258" s="1468">
        <f t="shared" si="504"/>
        <v>0</v>
      </c>
      <c r="DI258" s="1468">
        <f t="shared" si="505"/>
        <v>0</v>
      </c>
      <c r="DJ258" s="1468">
        <f t="shared" si="506"/>
        <v>0</v>
      </c>
      <c r="DK258" s="1468">
        <f t="shared" si="507"/>
        <v>0</v>
      </c>
      <c r="DL258" s="1468">
        <f t="shared" si="508"/>
        <v>0</v>
      </c>
      <c r="DM258" s="1468">
        <f t="shared" si="509"/>
        <v>0</v>
      </c>
      <c r="DN258" s="1468">
        <f t="shared" si="510"/>
        <v>0</v>
      </c>
      <c r="DO258" s="1468">
        <f t="shared" si="511"/>
        <v>0</v>
      </c>
      <c r="DP258" s="1468">
        <f t="shared" si="512"/>
        <v>0</v>
      </c>
      <c r="DQ258" s="1468">
        <f t="shared" si="513"/>
        <v>0</v>
      </c>
      <c r="DR258" s="1468">
        <f t="shared" si="514"/>
        <v>0</v>
      </c>
      <c r="DS258" s="1468">
        <f t="shared" si="515"/>
        <v>0</v>
      </c>
      <c r="DT258" s="1468">
        <f t="shared" si="516"/>
        <v>0</v>
      </c>
      <c r="DU258" s="1468">
        <f t="shared" si="517"/>
        <v>0</v>
      </c>
      <c r="DV258" s="1468">
        <f t="shared" si="518"/>
        <v>0</v>
      </c>
      <c r="DW258" s="1468">
        <f t="shared" si="521"/>
        <v>0</v>
      </c>
      <c r="DX258" s="1468">
        <f t="shared" si="521"/>
        <v>0</v>
      </c>
    </row>
    <row r="259" spans="1:128" ht="27.75" customHeight="1" x14ac:dyDescent="0.25">
      <c r="A259" s="2270" t="s">
        <v>2349</v>
      </c>
    </row>
    <row r="260" spans="1:128" x14ac:dyDescent="0.25">
      <c r="A260" s="9619" t="s">
        <v>803</v>
      </c>
      <c r="B260" s="9619" t="s">
        <v>24</v>
      </c>
      <c r="C260" s="9621" t="s">
        <v>2270</v>
      </c>
      <c r="D260" s="9621"/>
      <c r="E260" s="9621"/>
      <c r="F260" s="9621"/>
      <c r="G260" s="9621"/>
      <c r="H260" s="9621"/>
      <c r="I260" s="9621"/>
      <c r="J260" s="9621"/>
      <c r="K260" s="9621"/>
      <c r="L260" s="9622"/>
      <c r="M260" s="9623" t="s">
        <v>360</v>
      </c>
      <c r="N260" s="9619" t="s">
        <v>359</v>
      </c>
    </row>
    <row r="261" spans="1:128" ht="25.5" x14ac:dyDescent="0.25">
      <c r="A261" s="9620"/>
      <c r="B261" s="9620"/>
      <c r="C261" s="2271" t="s">
        <v>32</v>
      </c>
      <c r="D261" s="2272" t="s">
        <v>33</v>
      </c>
      <c r="E261" s="2272" t="s">
        <v>40</v>
      </c>
      <c r="F261" s="2272" t="s">
        <v>115</v>
      </c>
      <c r="G261" s="2272" t="s">
        <v>116</v>
      </c>
      <c r="H261" s="2272" t="s">
        <v>117</v>
      </c>
      <c r="I261" s="2272" t="s">
        <v>118</v>
      </c>
      <c r="J261" s="2272" t="s">
        <v>119</v>
      </c>
      <c r="K261" s="2272" t="s">
        <v>120</v>
      </c>
      <c r="L261" s="2273" t="s">
        <v>1301</v>
      </c>
      <c r="M261" s="9624"/>
      <c r="N261" s="9620"/>
    </row>
    <row r="262" spans="1:128" ht="17.25" customHeight="1" x14ac:dyDescent="0.25">
      <c r="A262" s="2274" t="s">
        <v>2224</v>
      </c>
      <c r="B262" s="2275">
        <f>SUM(C262:L262)</f>
        <v>0</v>
      </c>
      <c r="C262" s="1332"/>
      <c r="D262" s="1340"/>
      <c r="E262" s="1340"/>
      <c r="F262" s="1340"/>
      <c r="G262" s="1340"/>
      <c r="H262" s="1340"/>
      <c r="I262" s="1340"/>
      <c r="J262" s="1340"/>
      <c r="K262" s="1340"/>
      <c r="L262" s="1826"/>
      <c r="M262" s="1677"/>
      <c r="N262" s="1920"/>
      <c r="O262" s="1193" t="str">
        <f>$CA262&amp;$CB262&amp;$CC262&amp;$CD262&amp;$CE262&amp;$CF262&amp;$CG262&amp;$CH262&amp;$CI262&amp;$CJ262&amp;$CK262&amp;$CL262&amp;$CM262&amp;$CN262&amp;$CO262&amp;$CP262&amp;$CQ262&amp;$CR262&amp;$CS262&amp;$CT262&amp;$CU262&amp;$CV262&amp;$CW262&amp;$CX262&amp;$CY262&amp;$CZ262</f>
        <v/>
      </c>
      <c r="CA262" s="2235" t="str">
        <f>IF(AND($B262&lt;&gt;0,M262=""),"* No olvide ingresar la columna Pueblos Originarios (Digite CERO si no tiene). ",IF(M262&gt;$B262,"* El Número de Screenings de Pueblos Originarios no puede superar el Total. ",""))</f>
        <v/>
      </c>
      <c r="CB262" s="2235" t="str">
        <f>IF(AND($B262&lt;&gt;0,N262=""),"* No olvide ingresar la columna Migrantes (Digite CERO si no tiene). ",IF(N262&gt;$B262,"* El Número de Screenings de Población Migrante no puede superar el Total. ",""))</f>
        <v/>
      </c>
      <c r="DA262" s="1468">
        <f t="shared" ref="DA262:DB266" si="523">IF(AND($B262&lt;&gt;0,M262=""),1,IF(M262&gt;$B262,1,0))</f>
        <v>0</v>
      </c>
      <c r="DB262" s="1468">
        <f t="shared" si="523"/>
        <v>0</v>
      </c>
    </row>
    <row r="263" spans="1:128" ht="17.25" customHeight="1" x14ac:dyDescent="0.25">
      <c r="A263" s="2276" t="s">
        <v>2225</v>
      </c>
      <c r="B263" s="2277">
        <f>SUM(C263:L263)</f>
        <v>0</v>
      </c>
      <c r="C263" s="2029"/>
      <c r="D263" s="2073"/>
      <c r="E263" s="2073"/>
      <c r="F263" s="2073"/>
      <c r="G263" s="2073"/>
      <c r="H263" s="2073"/>
      <c r="I263" s="2073"/>
      <c r="J263" s="2073"/>
      <c r="K263" s="2073"/>
      <c r="L263" s="2103"/>
      <c r="M263" s="1677"/>
      <c r="N263" s="1690"/>
      <c r="O263" s="1193" t="str">
        <f>$CA263&amp;$CB263&amp;$CC263&amp;$CD263&amp;$CE263&amp;$CF263&amp;$CG263&amp;$CH263&amp;$CI263&amp;$CJ263&amp;$CK263&amp;$CL263&amp;$CM263&amp;$CN263&amp;$CO263&amp;$CP263&amp;$CQ263&amp;$CR263&amp;$CS263&amp;$CT263&amp;$CU263&amp;$CV263&amp;$CW263&amp;$CX263&amp;$CY263&amp;$CZ263</f>
        <v/>
      </c>
      <c r="CA263" s="2235" t="str">
        <f>IF(AND($B263&lt;&gt;0,M263=""),"* No olvide ingresar la columna Pueblos Originarios (Digite CERO si no tiene). ",IF(M263&gt;$B263,"* El Número de Screenings de Pueblos Originarios no puede superar el Total. ",""))</f>
        <v/>
      </c>
      <c r="CB263" s="2235" t="str">
        <f>IF(AND($B263&lt;&gt;0,N263=""),"* No olvide ingresar la columna Migrantes (Digite CERO si no tiene). ",IF(N263&gt;$B263,"* El Número de Screenings de Población Migrante no puede superar el Total. ",""))</f>
        <v/>
      </c>
      <c r="DA263" s="1468">
        <f t="shared" si="523"/>
        <v>0</v>
      </c>
      <c r="DB263" s="1468">
        <f t="shared" si="523"/>
        <v>0</v>
      </c>
    </row>
    <row r="264" spans="1:128" ht="17.25" customHeight="1" x14ac:dyDescent="0.25">
      <c r="A264" s="2276" t="s">
        <v>2226</v>
      </c>
      <c r="B264" s="2278">
        <f>SUM(C264:L264)</f>
        <v>0</v>
      </c>
      <c r="C264" s="2029"/>
      <c r="D264" s="2073"/>
      <c r="E264" s="2073"/>
      <c r="F264" s="2073"/>
      <c r="G264" s="2073"/>
      <c r="H264" s="2073"/>
      <c r="I264" s="2073"/>
      <c r="J264" s="2073"/>
      <c r="K264" s="2073"/>
      <c r="L264" s="2103"/>
      <c r="M264" s="1677"/>
      <c r="N264" s="1690"/>
      <c r="O264" s="1193" t="str">
        <f>$CA264&amp;$CB264&amp;$CC264&amp;$CD264&amp;$CE264&amp;$CF264&amp;$CG264&amp;$CH264&amp;$CI264&amp;$CJ264&amp;$CK264&amp;$CL264&amp;$CM264&amp;$CN264&amp;$CO264&amp;$CP264&amp;$CQ264&amp;$CR264&amp;$CS264&amp;$CT264&amp;$CU264&amp;$CV264&amp;$CW264&amp;$CX264&amp;$CY264&amp;$CZ264</f>
        <v/>
      </c>
      <c r="CA264" s="2235" t="str">
        <f>IF(AND($B264&lt;&gt;0,M264=""),"* No olvide ingresar la columna Pueblos Originarios (Digite CERO si no tiene). ",IF(M264&gt;$B264,"* El Número de Screenings de Pueblos Originarios no puede superar el Total. ",""))</f>
        <v/>
      </c>
      <c r="CB264" s="2235" t="str">
        <f>IF(AND($B264&lt;&gt;0,N264=""),"* No olvide ingresar la columna Migrantes (Digite CERO si no tiene). ",IF(N264&gt;$B264,"* El Número de Screenings de Población Migrante no puede superar el Total. ",""))</f>
        <v/>
      </c>
      <c r="DA264" s="1468">
        <f t="shared" si="523"/>
        <v>0</v>
      </c>
      <c r="DB264" s="1468">
        <f t="shared" si="523"/>
        <v>0</v>
      </c>
    </row>
    <row r="265" spans="1:128" ht="30.75" customHeight="1" x14ac:dyDescent="0.25">
      <c r="A265" s="2276" t="s">
        <v>2557</v>
      </c>
      <c r="B265" s="2278">
        <f>SUM(C265:L265)</f>
        <v>0</v>
      </c>
      <c r="C265" s="2029"/>
      <c r="D265" s="2073"/>
      <c r="E265" s="2073"/>
      <c r="F265" s="2073"/>
      <c r="G265" s="2073"/>
      <c r="H265" s="2073"/>
      <c r="I265" s="2073"/>
      <c r="J265" s="2073"/>
      <c r="K265" s="2073"/>
      <c r="L265" s="2103"/>
      <c r="M265" s="1677"/>
      <c r="N265" s="1690"/>
      <c r="O265" s="1193" t="str">
        <f>$CA265&amp;$CB265&amp;$CC265&amp;$CD265&amp;$CE265&amp;$CF265&amp;$CG265&amp;$CH265&amp;$CI265&amp;$CJ265&amp;$CK265&amp;$CL265&amp;$CM265&amp;$CN265&amp;$CO265&amp;$CP265&amp;$CQ265&amp;$CR265&amp;$CS265&amp;$CT265&amp;$CU265&amp;$CV265&amp;$CW265&amp;$CX265&amp;$CY265&amp;$CZ265</f>
        <v/>
      </c>
      <c r="CA265" s="2235" t="str">
        <f>IF(AND($B265&lt;&gt;0,M265=""),"* No olvide ingresar la columna Pueblos Originarios (Digite CERO si no tiene). ",IF(M265&gt;$B265,"* El Número de Screenings de Pueblos Originarios no puede superar el Total. ",""))</f>
        <v/>
      </c>
      <c r="CB265" s="2235" t="str">
        <f>IF(AND($B265&lt;&gt;0,N265=""),"* No olvide ingresar la columna Migrantes (Digite CERO si no tiene). ",IF(N265&gt;$B265,"* El Número de Screenings de Población Migrante no puede superar el Total. ",""))</f>
        <v/>
      </c>
      <c r="DA265" s="1468">
        <f t="shared" si="523"/>
        <v>0</v>
      </c>
      <c r="DB265" s="1468">
        <f t="shared" si="523"/>
        <v>0</v>
      </c>
    </row>
    <row r="266" spans="1:128" ht="18" customHeight="1" x14ac:dyDescent="0.25">
      <c r="A266" s="2279" t="s">
        <v>2227</v>
      </c>
      <c r="B266" s="2280">
        <f>SUM(C266:L266)</f>
        <v>0</v>
      </c>
      <c r="C266" s="1990"/>
      <c r="D266" s="1989"/>
      <c r="E266" s="1989"/>
      <c r="F266" s="1989"/>
      <c r="G266" s="1989"/>
      <c r="H266" s="1989"/>
      <c r="I266" s="1989"/>
      <c r="J266" s="1989"/>
      <c r="K266" s="1989"/>
      <c r="L266" s="2104"/>
      <c r="M266" s="1669"/>
      <c r="N266" s="1687"/>
      <c r="O266" s="1193" t="str">
        <f>$CA266&amp;$CB266&amp;$CC266&amp;$CD266&amp;$CE266&amp;$CF266&amp;$CG266&amp;$CH266&amp;$CI266&amp;$CJ266&amp;$CK266&amp;$CL266&amp;$CM266&amp;$CN266&amp;$CO266&amp;$CP266&amp;$CQ266&amp;$CR266&amp;$CS266&amp;$CT266&amp;$CU266&amp;$CV266&amp;$CW266&amp;$CX266&amp;$CY266&amp;$CZ266</f>
        <v/>
      </c>
      <c r="CA266" s="2235" t="str">
        <f>IF(AND($B266&lt;&gt;0,M266=""),"* No olvide ingresar la columna Pueblos Originarios (Digite CERO si no tiene). ",IF(M266&gt;$B266,"* El Número de Screenings de Pueblos Originarios no puede superar el Total. ",""))</f>
        <v/>
      </c>
      <c r="CB266" s="2235" t="str">
        <f>IF(AND($B266&lt;&gt;0,N266=""),"* No olvide ingresar la columna Migrantes (Digite CERO si no tiene). ",IF(N266&gt;$B266,"* El Número de Screenings de Población Migrante no puede superar el Total. ",""))</f>
        <v/>
      </c>
      <c r="DA266" s="1468">
        <f t="shared" si="523"/>
        <v>0</v>
      </c>
      <c r="DB266" s="1468">
        <f t="shared" si="523"/>
        <v>0</v>
      </c>
    </row>
    <row r="267" spans="1:128" ht="19.5" customHeight="1" x14ac:dyDescent="0.25">
      <c r="A267" s="2270" t="s">
        <v>2350</v>
      </c>
    </row>
    <row r="268" spans="1:128" x14ac:dyDescent="0.25">
      <c r="A268" s="9619" t="s">
        <v>2228</v>
      </c>
      <c r="B268" s="9619" t="s">
        <v>24</v>
      </c>
      <c r="C268" s="9625" t="s">
        <v>21</v>
      </c>
      <c r="D268" s="9626"/>
      <c r="E268" s="9626"/>
      <c r="F268" s="9626"/>
      <c r="G268" s="9626"/>
      <c r="H268" s="9626"/>
      <c r="I268" s="9626"/>
      <c r="J268" s="9626"/>
      <c r="K268" s="9626"/>
      <c r="L268" s="9626"/>
      <c r="M268" s="9626"/>
      <c r="N268" s="9626"/>
      <c r="O268" s="9626"/>
      <c r="P268" s="9626"/>
      <c r="Q268" s="9626"/>
      <c r="R268" s="9627"/>
      <c r="S268" s="9647" t="s">
        <v>360</v>
      </c>
      <c r="T268" s="9623" t="s">
        <v>359</v>
      </c>
    </row>
    <row r="269" spans="1:128" x14ac:dyDescent="0.25">
      <c r="A269" s="9620"/>
      <c r="B269" s="9620"/>
      <c r="C269" s="2281" t="s">
        <v>2229</v>
      </c>
      <c r="D269" s="2282" t="s">
        <v>688</v>
      </c>
      <c r="E269" s="2282" t="s">
        <v>687</v>
      </c>
      <c r="F269" s="2282" t="s">
        <v>686</v>
      </c>
      <c r="G269" s="2282" t="s">
        <v>685</v>
      </c>
      <c r="H269" s="2282" t="s">
        <v>2230</v>
      </c>
      <c r="I269" s="2282" t="s">
        <v>683</v>
      </c>
      <c r="J269" s="2282" t="s">
        <v>2231</v>
      </c>
      <c r="K269" s="2282" t="s">
        <v>2232</v>
      </c>
      <c r="L269" s="2282" t="s">
        <v>2233</v>
      </c>
      <c r="M269" s="2282" t="s">
        <v>2234</v>
      </c>
      <c r="N269" s="2282" t="s">
        <v>2235</v>
      </c>
      <c r="O269" s="2282" t="s">
        <v>2236</v>
      </c>
      <c r="P269" s="2283" t="s">
        <v>2237</v>
      </c>
      <c r="Q269" s="2283" t="s">
        <v>2238</v>
      </c>
      <c r="R269" s="2284" t="s">
        <v>2239</v>
      </c>
      <c r="S269" s="9648"/>
      <c r="T269" s="9624"/>
    </row>
    <row r="270" spans="1:128" ht="26.25" customHeight="1" x14ac:dyDescent="0.25">
      <c r="A270" s="2274" t="s">
        <v>2240</v>
      </c>
      <c r="B270" s="2275">
        <f>SUM(C270:R270)</f>
        <v>0</v>
      </c>
      <c r="C270" s="1770"/>
      <c r="D270" s="2285"/>
      <c r="E270" s="2285"/>
      <c r="F270" s="2285"/>
      <c r="G270" s="2285"/>
      <c r="H270" s="2285"/>
      <c r="I270" s="2285"/>
      <c r="J270" s="2285"/>
      <c r="K270" s="2285"/>
      <c r="L270" s="2285"/>
      <c r="M270" s="2285"/>
      <c r="N270" s="2285"/>
      <c r="O270" s="2285"/>
      <c r="P270" s="2285"/>
      <c r="Q270" s="2285"/>
      <c r="R270" s="2231"/>
      <c r="S270" s="2286"/>
      <c r="T270" s="1730"/>
      <c r="U270" s="1193" t="str">
        <f>$CA270&amp;$CB270&amp;$CC270&amp;$CD270&amp;$CE270&amp;$CF270&amp;$CG270&amp;$CH270&amp;$CI270&amp;$CJ270&amp;$CK270&amp;$CL270&amp;$CM270&amp;$CN270&amp;$CO270&amp;$CP270&amp;$CQ270&amp;$CR270&amp;$CS270&amp;$CT270&amp;$CU270&amp;$CV270&amp;$CW270&amp;$CX270&amp;$CY270&amp;$CZ270</f>
        <v/>
      </c>
      <c r="CA270" s="2235" t="str">
        <f>IF(AND($B270&lt;&gt;0,S270=""),"* No olvide ingresar la columna Pueblos Originarios (Digite CERO si no tiene). ",IF(S270&gt;$B270,"* El Número de Hijos de Pueblos Originarios no puede superar el Total. ",""))</f>
        <v/>
      </c>
      <c r="CB270" s="2235" t="str">
        <f>IF(AND($B270&lt;&gt;0,T270=""),"* No olvide ingresar la columna Migrantes (Digite CERO si no tiene). ",IF(T270&gt;$B270,"* El Número de Hijos de Migrantes no puede superar el Total. ",""))</f>
        <v/>
      </c>
      <c r="DA270" s="1468">
        <f t="shared" ref="DA270:DB274" si="524">IF(AND($B270&lt;&gt;0,S270=""),1,IF(S270&gt;$B270,1,0))</f>
        <v>0</v>
      </c>
      <c r="DB270" s="1468">
        <f t="shared" si="524"/>
        <v>0</v>
      </c>
    </row>
    <row r="271" spans="1:128" ht="27" customHeight="1" x14ac:dyDescent="0.25">
      <c r="A271" s="2276" t="s">
        <v>2241</v>
      </c>
      <c r="B271" s="2287">
        <f>SUM(C271:R271)</f>
        <v>0</v>
      </c>
      <c r="C271" s="1694"/>
      <c r="D271" s="1695"/>
      <c r="E271" s="1695"/>
      <c r="F271" s="1695"/>
      <c r="G271" s="1695"/>
      <c r="H271" s="1695"/>
      <c r="I271" s="1695"/>
      <c r="J271" s="1695"/>
      <c r="K271" s="1695"/>
      <c r="L271" s="1695"/>
      <c r="M271" s="1695"/>
      <c r="N271" s="1695"/>
      <c r="O271" s="1695"/>
      <c r="P271" s="1695"/>
      <c r="Q271" s="1695"/>
      <c r="R271" s="1824"/>
      <c r="S271" s="2288"/>
      <c r="T271" s="1677"/>
      <c r="U271" s="1193" t="str">
        <f>$CA271&amp;$CB271&amp;$CC271&amp;$CD271&amp;$CE271&amp;$CF271&amp;$CG271&amp;$CH271&amp;$CI271&amp;$CJ271&amp;$CK271&amp;$CL271&amp;$CM271&amp;$CN271&amp;$CO271&amp;$CP271&amp;$CQ271&amp;$CR271&amp;$CS271&amp;$CT271&amp;$CU271&amp;$CV271&amp;$CW271&amp;$CX271&amp;$CY271&amp;$CZ271</f>
        <v/>
      </c>
      <c r="CA271" s="2235" t="str">
        <f>IF(AND($B271&lt;&gt;0,S271=""),"* No olvide ingresar la columna Pueblos Originarios (Digite CERO si no tiene). ",IF(S271&gt;$B271,"* El Número de Hijos de Pueblos Originarios no puede superar el Total. ",""))</f>
        <v/>
      </c>
      <c r="CB271" s="2235" t="str">
        <f>IF(AND($B271&lt;&gt;0,T271=""),"* No olvide ingresar la columna Migrantes (Digite CERO si no tiene). ",IF(T271&gt;$B271,"* El Número de Hijos de Migrantes no puede superar el Total. ",""))</f>
        <v/>
      </c>
      <c r="DA271" s="1468">
        <f t="shared" si="524"/>
        <v>0</v>
      </c>
      <c r="DB271" s="1468">
        <f t="shared" si="524"/>
        <v>0</v>
      </c>
    </row>
    <row r="272" spans="1:128" ht="27" customHeight="1" x14ac:dyDescent="0.25">
      <c r="A272" s="2289" t="s">
        <v>2242</v>
      </c>
      <c r="B272" s="2277">
        <f>SUM(C272:R272)</f>
        <v>0</v>
      </c>
      <c r="C272" s="1694"/>
      <c r="D272" s="1695"/>
      <c r="E272" s="1695"/>
      <c r="F272" s="1695"/>
      <c r="G272" s="1695"/>
      <c r="H272" s="1695"/>
      <c r="I272" s="1695"/>
      <c r="J272" s="1695"/>
      <c r="K272" s="1695"/>
      <c r="L272" s="1695"/>
      <c r="M272" s="1695"/>
      <c r="N272" s="1695"/>
      <c r="O272" s="1695"/>
      <c r="P272" s="1695"/>
      <c r="Q272" s="1695"/>
      <c r="R272" s="1824"/>
      <c r="S272" s="2288"/>
      <c r="T272" s="1677"/>
      <c r="U272" s="1193" t="str">
        <f>$CA272&amp;$CB272&amp;$CC272&amp;$CD272&amp;$CE272&amp;$CF272&amp;$CG272&amp;$CH272&amp;$CI272&amp;$CJ272&amp;$CK272&amp;$CL272&amp;$CM272&amp;$CN272&amp;$CO272&amp;$CP272&amp;$CQ272&amp;$CR272&amp;$CS272&amp;$CT272&amp;$CU272&amp;$CV272&amp;$CW272&amp;$CX272&amp;$CY272&amp;$CZ272</f>
        <v/>
      </c>
      <c r="CA272" s="2235" t="str">
        <f>IF(AND($B272&lt;&gt;0,S272=""),"* No olvide ingresar la columna Pueblos Originarios (Digite CERO si no tiene). ",IF(S272&gt;$B272,"* El Número de Hijos de Pueblos Originarios no puede superar el Total. ",""))</f>
        <v/>
      </c>
      <c r="CB272" s="2235" t="str">
        <f>IF(AND($B272&lt;&gt;0,T272=""),"* No olvide ingresar la columna Migrantes (Digite CERO si no tiene). ",IF(T272&gt;$B272,"* El Número de Hijos de Migrantes no puede superar el Total. ",""))</f>
        <v/>
      </c>
      <c r="DA272" s="1468">
        <f t="shared" si="524"/>
        <v>0</v>
      </c>
      <c r="DB272" s="1468">
        <f t="shared" si="524"/>
        <v>0</v>
      </c>
    </row>
    <row r="273" spans="1:130" ht="28.5" customHeight="1" x14ac:dyDescent="0.25">
      <c r="A273" s="2290" t="s">
        <v>2243</v>
      </c>
      <c r="B273" s="2278">
        <f>SUM(C273:R273)</f>
        <v>0</v>
      </c>
      <c r="C273" s="1694"/>
      <c r="D273" s="1695"/>
      <c r="E273" s="1695"/>
      <c r="F273" s="1695"/>
      <c r="G273" s="1695"/>
      <c r="H273" s="1695"/>
      <c r="I273" s="1695"/>
      <c r="J273" s="1695"/>
      <c r="K273" s="1695"/>
      <c r="L273" s="1695"/>
      <c r="M273" s="1695"/>
      <c r="N273" s="1695"/>
      <c r="O273" s="1695"/>
      <c r="P273" s="1695"/>
      <c r="Q273" s="1695"/>
      <c r="R273" s="1824"/>
      <c r="S273" s="2288"/>
      <c r="T273" s="1677"/>
      <c r="U273" s="1193" t="str">
        <f>$CA273&amp;$CB273&amp;$CC273&amp;$CD273&amp;$CE273&amp;$CF273&amp;$CG273&amp;$CH273&amp;$CI273&amp;$CJ273&amp;$CK273&amp;$CL273&amp;$CM273&amp;$CN273&amp;$CO273&amp;$CP273&amp;$CQ273&amp;$CR273&amp;$CS273&amp;$CT273&amp;$CU273&amp;$CV273&amp;$CW273&amp;$CX273&amp;$CY273&amp;$CZ273</f>
        <v/>
      </c>
      <c r="CA273" s="2235" t="str">
        <f>IF(AND($B273&lt;&gt;0,S273=""),"* No olvide ingresar la columna Pueblos Originarios (Digite CERO si no tiene). ",IF(S273&gt;$B273,"* El Número de Hijos de Pueblos Originarios no puede superar el Total. ",""))</f>
        <v/>
      </c>
      <c r="CB273" s="2235" t="str">
        <f>IF(AND($B273&lt;&gt;0,T273=""),"* No olvide ingresar la columna Migrantes (Digite CERO si no tiene). ",IF(T273&gt;$B273,"* El Número de Hijos de Migrantes no puede superar el Total. ",""))</f>
        <v/>
      </c>
      <c r="DA273" s="1468">
        <f t="shared" si="524"/>
        <v>0</v>
      </c>
      <c r="DB273" s="1468">
        <f t="shared" si="524"/>
        <v>0</v>
      </c>
    </row>
    <row r="274" spans="1:130" ht="26.25" customHeight="1" x14ac:dyDescent="0.25">
      <c r="A274" s="2291" t="s">
        <v>2244</v>
      </c>
      <c r="B274" s="2292">
        <f>SUM(C274:R274)</f>
        <v>0</v>
      </c>
      <c r="C274" s="1689"/>
      <c r="D274" s="753"/>
      <c r="E274" s="753"/>
      <c r="F274" s="753"/>
      <c r="G274" s="753"/>
      <c r="H274" s="753"/>
      <c r="I274" s="753"/>
      <c r="J274" s="753"/>
      <c r="K274" s="753"/>
      <c r="L274" s="753"/>
      <c r="M274" s="753"/>
      <c r="N274" s="753"/>
      <c r="O274" s="753"/>
      <c r="P274" s="753"/>
      <c r="Q274" s="753"/>
      <c r="R274" s="1827"/>
      <c r="S274" s="2293"/>
      <c r="T274" s="1731"/>
      <c r="U274" s="1193" t="str">
        <f>$CA274&amp;$CB274&amp;$CC274&amp;$CD274&amp;$CE274&amp;$CF274&amp;$CG274&amp;$CH274&amp;$CI274&amp;$CJ274&amp;$CK274&amp;$CL274&amp;$CM274&amp;$CN274&amp;$CO274&amp;$CP274&amp;$CQ274&amp;$CR274&amp;$CS274&amp;$CT274&amp;$CU274&amp;$CV274&amp;$CW274&amp;$CX274&amp;$CY274&amp;$CZ274</f>
        <v/>
      </c>
      <c r="CA274" s="2235" t="str">
        <f>IF(AND($B274&lt;&gt;0,S274=""),"* No olvide ingresar la columna Pueblos Originarios (Digite CERO si no tiene). ",IF(S274&gt;$B274,"* El Número de Hijos de Pueblos Originarios no puede superar el Total. ",""))</f>
        <v/>
      </c>
      <c r="CB274" s="2235" t="str">
        <f>IF(AND($B274&lt;&gt;0,T274=""),"* No olvide ingresar la columna Migrantes (Digite CERO si no tiene). ",IF(T274&gt;$B274,"* El Número de Hijos de Migrantes no puede superar el Total. ",""))</f>
        <v/>
      </c>
      <c r="DA274" s="1468">
        <f t="shared" si="524"/>
        <v>0</v>
      </c>
      <c r="DB274" s="1468">
        <f t="shared" si="524"/>
        <v>0</v>
      </c>
    </row>
    <row r="275" spans="1:130" ht="21.75" customHeight="1" x14ac:dyDescent="0.25">
      <c r="A275" s="2270" t="s">
        <v>2351</v>
      </c>
    </row>
    <row r="276" spans="1:130" ht="15" customHeight="1" x14ac:dyDescent="0.25">
      <c r="A276" s="9628" t="s">
        <v>803</v>
      </c>
      <c r="B276" s="9631" t="s">
        <v>24</v>
      </c>
      <c r="C276" s="9632"/>
      <c r="D276" s="9623"/>
      <c r="E276" s="9625" t="s">
        <v>2271</v>
      </c>
      <c r="F276" s="9626"/>
      <c r="G276" s="9626"/>
      <c r="H276" s="9626"/>
      <c r="I276" s="9626"/>
      <c r="J276" s="9626"/>
      <c r="K276" s="9626"/>
      <c r="L276" s="9626"/>
      <c r="M276" s="9626"/>
      <c r="N276" s="9626"/>
      <c r="O276" s="9626"/>
      <c r="P276" s="9626"/>
      <c r="Q276" s="9626"/>
      <c r="R276" s="9626"/>
      <c r="S276" s="9626"/>
      <c r="T276" s="9626"/>
      <c r="U276" s="9626"/>
      <c r="V276" s="9626"/>
      <c r="W276" s="9626"/>
      <c r="X276" s="9626"/>
      <c r="Y276" s="9626"/>
      <c r="Z276" s="9626"/>
      <c r="AA276" s="9626"/>
      <c r="AB276" s="9626"/>
      <c r="AC276" s="9626"/>
      <c r="AD276" s="9626"/>
      <c r="AE276" s="9626"/>
      <c r="AF276" s="9626"/>
      <c r="AG276" s="9626"/>
      <c r="AH276" s="9626"/>
      <c r="AI276" s="9626"/>
      <c r="AJ276" s="9636"/>
    </row>
    <row r="277" spans="1:130" s="1195" customFormat="1" hidden="1" x14ac:dyDescent="0.25">
      <c r="A277" s="9629"/>
      <c r="B277" s="9633"/>
      <c r="C277" s="9634"/>
      <c r="D277" s="9635"/>
      <c r="E277" s="9637" t="s">
        <v>2245</v>
      </c>
      <c r="F277" s="9638"/>
      <c r="G277" s="9639" t="s">
        <v>2246</v>
      </c>
      <c r="H277" s="9640"/>
      <c r="I277" s="9639" t="s">
        <v>2247</v>
      </c>
      <c r="J277" s="9640"/>
      <c r="K277" s="9639" t="s">
        <v>2248</v>
      </c>
      <c r="L277" s="9640"/>
      <c r="M277" s="9637" t="s">
        <v>71</v>
      </c>
      <c r="N277" s="9638"/>
      <c r="O277" s="9637" t="s">
        <v>4</v>
      </c>
      <c r="P277" s="9638"/>
      <c r="Q277" s="9637" t="s">
        <v>5</v>
      </c>
      <c r="R277" s="9638"/>
      <c r="S277" s="9637" t="s">
        <v>6</v>
      </c>
      <c r="T277" s="9638"/>
      <c r="U277" s="9637" t="s">
        <v>7</v>
      </c>
      <c r="V277" s="9638"/>
      <c r="W277" s="9637" t="s">
        <v>8</v>
      </c>
      <c r="X277" s="9638"/>
      <c r="Y277" s="9637" t="s">
        <v>9</v>
      </c>
      <c r="Z277" s="9638"/>
      <c r="AA277" s="9637" t="s">
        <v>10</v>
      </c>
      <c r="AB277" s="9638"/>
      <c r="AC277" s="9637" t="s">
        <v>1238</v>
      </c>
      <c r="AD277" s="9638"/>
      <c r="AE277" s="9637" t="s">
        <v>1982</v>
      </c>
      <c r="AF277" s="9638"/>
      <c r="AG277" s="9637" t="s">
        <v>2249</v>
      </c>
      <c r="AH277" s="9638"/>
      <c r="AI277" s="9637" t="s">
        <v>2250</v>
      </c>
      <c r="AJ277" s="9638"/>
      <c r="BZ277" s="1580"/>
      <c r="CA277" s="2234"/>
      <c r="CB277" s="2234"/>
      <c r="CC277" s="2234"/>
      <c r="CD277" s="2234"/>
      <c r="CE277" s="2234"/>
      <c r="CF277" s="2234"/>
      <c r="CG277" s="2234"/>
      <c r="CH277" s="2234"/>
      <c r="CI277" s="2234"/>
      <c r="CJ277" s="2234"/>
      <c r="CK277" s="2234"/>
      <c r="CL277" s="2234"/>
      <c r="CM277" s="2234"/>
      <c r="CN277" s="2234"/>
      <c r="CO277" s="2234"/>
      <c r="CP277" s="2234"/>
      <c r="CQ277" s="2234"/>
      <c r="CR277" s="2234"/>
      <c r="CS277" s="2234"/>
      <c r="CT277" s="2234"/>
      <c r="CU277" s="2234"/>
      <c r="CV277" s="2234"/>
      <c r="CW277" s="2234"/>
      <c r="CX277" s="2234"/>
      <c r="CY277" s="2234"/>
      <c r="CZ277" s="2234"/>
      <c r="DA277" s="1465"/>
      <c r="DB277" s="1465"/>
      <c r="DC277" s="1465"/>
      <c r="DD277" s="1465"/>
      <c r="DE277" s="1465"/>
      <c r="DF277" s="1465"/>
      <c r="DG277" s="1465"/>
      <c r="DH277" s="1465"/>
      <c r="DI277" s="1465"/>
      <c r="DJ277" s="1465"/>
      <c r="DK277" s="1465"/>
      <c r="DL277" s="1465"/>
      <c r="DM277" s="1465"/>
      <c r="DN277" s="1465"/>
      <c r="DO277" s="1465"/>
      <c r="DP277" s="1465"/>
      <c r="DQ277" s="1465"/>
      <c r="DR277" s="1465"/>
      <c r="DS277" s="1465"/>
      <c r="DT277" s="1465"/>
      <c r="DU277" s="1465"/>
      <c r="DV277" s="1465"/>
      <c r="DW277" s="1465"/>
      <c r="DX277" s="1465"/>
      <c r="DY277" s="1465"/>
      <c r="DZ277" s="1465"/>
    </row>
    <row r="278" spans="1:130" x14ac:dyDescent="0.25">
      <c r="A278" s="9629"/>
      <c r="B278" s="8513" t="s">
        <v>1369</v>
      </c>
      <c r="C278" s="9641" t="s">
        <v>17</v>
      </c>
      <c r="D278" s="9643" t="s">
        <v>18</v>
      </c>
      <c r="E278" s="9637" t="s">
        <v>674</v>
      </c>
      <c r="F278" s="9638"/>
      <c r="G278" s="9639" t="s">
        <v>2265</v>
      </c>
      <c r="H278" s="9640"/>
      <c r="I278" s="9639" t="s">
        <v>2266</v>
      </c>
      <c r="J278" s="9640"/>
      <c r="K278" s="9639" t="s">
        <v>48</v>
      </c>
      <c r="L278" s="9640"/>
      <c r="M278" s="9637" t="s">
        <v>80</v>
      </c>
      <c r="N278" s="9638"/>
      <c r="O278" s="9637" t="s">
        <v>81</v>
      </c>
      <c r="P278" s="9638"/>
      <c r="Q278" s="9637" t="s">
        <v>82</v>
      </c>
      <c r="R278" s="9638"/>
      <c r="S278" s="9637" t="s">
        <v>83</v>
      </c>
      <c r="T278" s="9638"/>
      <c r="U278" s="9637" t="s">
        <v>398</v>
      </c>
      <c r="V278" s="9638"/>
      <c r="W278" s="9637" t="s">
        <v>124</v>
      </c>
      <c r="X278" s="9638"/>
      <c r="Y278" s="9637" t="s">
        <v>125</v>
      </c>
      <c r="Z278" s="9638"/>
      <c r="AA278" s="9637" t="s">
        <v>126</v>
      </c>
      <c r="AB278" s="9638"/>
      <c r="AC278" s="9637" t="s">
        <v>2267</v>
      </c>
      <c r="AD278" s="9638"/>
      <c r="AE278" s="9637" t="s">
        <v>2127</v>
      </c>
      <c r="AF278" s="9638"/>
      <c r="AG278" s="9637" t="s">
        <v>2193</v>
      </c>
      <c r="AH278" s="9638"/>
      <c r="AI278" s="9637" t="s">
        <v>2268</v>
      </c>
      <c r="AJ278" s="9638"/>
    </row>
    <row r="279" spans="1:130" x14ac:dyDescent="0.25">
      <c r="A279" s="9630"/>
      <c r="B279" s="8514"/>
      <c r="C279" s="9642"/>
      <c r="D279" s="8466"/>
      <c r="E279" s="1717" t="s">
        <v>17</v>
      </c>
      <c r="F279" s="2114" t="s">
        <v>18</v>
      </c>
      <c r="G279" s="3268" t="s">
        <v>17</v>
      </c>
      <c r="H279" s="2109" t="s">
        <v>18</v>
      </c>
      <c r="I279" s="1717" t="s">
        <v>17</v>
      </c>
      <c r="J279" s="2114" t="s">
        <v>18</v>
      </c>
      <c r="K279" s="1717" t="s">
        <v>17</v>
      </c>
      <c r="L279" s="2114" t="s">
        <v>18</v>
      </c>
      <c r="M279" s="2108" t="s">
        <v>17</v>
      </c>
      <c r="N279" s="2114" t="s">
        <v>18</v>
      </c>
      <c r="O279" s="1717" t="s">
        <v>17</v>
      </c>
      <c r="P279" s="2114" t="s">
        <v>18</v>
      </c>
      <c r="Q279" s="1717" t="s">
        <v>17</v>
      </c>
      <c r="R279" s="2114" t="s">
        <v>18</v>
      </c>
      <c r="S279" s="1717" t="s">
        <v>17</v>
      </c>
      <c r="T279" s="2114" t="s">
        <v>18</v>
      </c>
      <c r="U279" s="1717" t="s">
        <v>17</v>
      </c>
      <c r="V279" s="2114" t="s">
        <v>18</v>
      </c>
      <c r="W279" s="1717" t="s">
        <v>17</v>
      </c>
      <c r="X279" s="2114" t="s">
        <v>18</v>
      </c>
      <c r="Y279" s="1717" t="s">
        <v>17</v>
      </c>
      <c r="Z279" s="2114" t="s">
        <v>18</v>
      </c>
      <c r="AA279" s="1717" t="s">
        <v>17</v>
      </c>
      <c r="AB279" s="2114" t="s">
        <v>18</v>
      </c>
      <c r="AC279" s="1717" t="s">
        <v>17</v>
      </c>
      <c r="AD279" s="2114" t="s">
        <v>18</v>
      </c>
      <c r="AE279" s="1717" t="s">
        <v>17</v>
      </c>
      <c r="AF279" s="2114" t="s">
        <v>18</v>
      </c>
      <c r="AG279" s="1717" t="s">
        <v>17</v>
      </c>
      <c r="AH279" s="2114" t="s">
        <v>18</v>
      </c>
      <c r="AI279" s="1717" t="s">
        <v>17</v>
      </c>
      <c r="AJ279" s="2114" t="s">
        <v>18</v>
      </c>
    </row>
    <row r="280" spans="1:130" ht="33.75" customHeight="1" x14ac:dyDescent="0.25">
      <c r="A280" s="2294" t="s">
        <v>2254</v>
      </c>
      <c r="B280" s="2295">
        <f t="shared" ref="B280:B285" si="525">SUM(C280:D280)</f>
        <v>0</v>
      </c>
      <c r="C280" s="2296">
        <f>+E280+G280+I280+K280+M280+O280+Q280+S280+U280+W280+Y280+AA280+AC280+AE280+AG280+AI280</f>
        <v>0</v>
      </c>
      <c r="D280" s="2297">
        <f>+F280+H280+J280+L280+N280+P280+R280+T280+V280+X280+Z280+AB280+AD280+AF280+AH280+AJ280</f>
        <v>0</v>
      </c>
      <c r="E280" s="1770"/>
      <c r="F280" s="1677"/>
      <c r="G280" s="1770"/>
      <c r="H280" s="1677"/>
      <c r="I280" s="1770"/>
      <c r="J280" s="1677"/>
      <c r="K280" s="1770"/>
      <c r="L280" s="1677"/>
      <c r="M280" s="1770"/>
      <c r="N280" s="1677"/>
      <c r="O280" s="1770"/>
      <c r="P280" s="1677"/>
      <c r="Q280" s="1770"/>
      <c r="R280" s="1677"/>
      <c r="S280" s="1770"/>
      <c r="T280" s="1677"/>
      <c r="U280" s="1770"/>
      <c r="V280" s="1677"/>
      <c r="W280" s="1770"/>
      <c r="X280" s="1677"/>
      <c r="Y280" s="1770"/>
      <c r="Z280" s="1677"/>
      <c r="AA280" s="1770"/>
      <c r="AB280" s="1677"/>
      <c r="AC280" s="1694"/>
      <c r="AD280" s="1677"/>
      <c r="AE280" s="1694"/>
      <c r="AF280" s="1677"/>
      <c r="AG280" s="1694"/>
      <c r="AH280" s="1677"/>
      <c r="AI280" s="1694"/>
      <c r="AJ280" s="1677"/>
    </row>
    <row r="281" spans="1:130" ht="33" x14ac:dyDescent="0.25">
      <c r="A281" s="2289" t="s">
        <v>2255</v>
      </c>
      <c r="B281" s="2298">
        <f t="shared" si="525"/>
        <v>0</v>
      </c>
      <c r="C281" s="2299">
        <f t="shared" ref="C281:D285" si="526">+E281+G281+I281+K281+M281+O281+Q281+S281+U281+W281+Y281+AA281+AC281+AE281+AG281+AI281</f>
        <v>0</v>
      </c>
      <c r="D281" s="2300">
        <f t="shared" si="526"/>
        <v>0</v>
      </c>
      <c r="E281" s="1694"/>
      <c r="F281" s="1677"/>
      <c r="G281" s="1694"/>
      <c r="H281" s="1677"/>
      <c r="I281" s="1694"/>
      <c r="J281" s="1677"/>
      <c r="K281" s="1694"/>
      <c r="L281" s="1677"/>
      <c r="M281" s="1694"/>
      <c r="N281" s="1677"/>
      <c r="O281" s="1694"/>
      <c r="P281" s="1677"/>
      <c r="Q281" s="1694"/>
      <c r="R281" s="1677"/>
      <c r="S281" s="1694"/>
      <c r="T281" s="1677"/>
      <c r="U281" s="1694"/>
      <c r="V281" s="1677"/>
      <c r="W281" s="1694"/>
      <c r="X281" s="1677"/>
      <c r="Y281" s="1694"/>
      <c r="Z281" s="1677"/>
      <c r="AA281" s="1694"/>
      <c r="AB281" s="1677"/>
      <c r="AC281" s="1694"/>
      <c r="AD281" s="1677"/>
      <c r="AE281" s="1694"/>
      <c r="AF281" s="1677"/>
      <c r="AG281" s="1694"/>
      <c r="AH281" s="1677"/>
      <c r="AI281" s="1694"/>
      <c r="AJ281" s="1677"/>
    </row>
    <row r="282" spans="1:130" ht="33" x14ac:dyDescent="0.25">
      <c r="A282" s="2289" t="s">
        <v>2256</v>
      </c>
      <c r="B282" s="2298">
        <f t="shared" si="525"/>
        <v>0</v>
      </c>
      <c r="C282" s="2299">
        <f t="shared" si="526"/>
        <v>0</v>
      </c>
      <c r="D282" s="2300">
        <f t="shared" si="526"/>
        <v>0</v>
      </c>
      <c r="E282" s="1694"/>
      <c r="F282" s="1677"/>
      <c r="G282" s="1694"/>
      <c r="H282" s="1677"/>
      <c r="I282" s="1694"/>
      <c r="J282" s="1677"/>
      <c r="K282" s="1694"/>
      <c r="L282" s="1677"/>
      <c r="M282" s="1694"/>
      <c r="N282" s="1677"/>
      <c r="O282" s="1694"/>
      <c r="P282" s="1677"/>
      <c r="Q282" s="1694"/>
      <c r="R282" s="1677"/>
      <c r="S282" s="1694"/>
      <c r="T282" s="1677"/>
      <c r="U282" s="1694"/>
      <c r="V282" s="1677"/>
      <c r="W282" s="1694"/>
      <c r="X282" s="1677"/>
      <c r="Y282" s="1694"/>
      <c r="Z282" s="1677"/>
      <c r="AA282" s="1694"/>
      <c r="AB282" s="1677"/>
      <c r="AC282" s="1694"/>
      <c r="AD282" s="1677"/>
      <c r="AE282" s="1694"/>
      <c r="AF282" s="1677"/>
      <c r="AG282" s="1694"/>
      <c r="AH282" s="1677"/>
      <c r="AI282" s="1694"/>
      <c r="AJ282" s="1677"/>
    </row>
    <row r="283" spans="1:130" ht="33" x14ac:dyDescent="0.25">
      <c r="A283" s="2289" t="s">
        <v>2257</v>
      </c>
      <c r="B283" s="2301">
        <f t="shared" si="525"/>
        <v>0</v>
      </c>
      <c r="C283" s="2302">
        <f t="shared" si="526"/>
        <v>0</v>
      </c>
      <c r="D283" s="2303">
        <f t="shared" si="526"/>
        <v>0</v>
      </c>
      <c r="E283" s="1702"/>
      <c r="F283" s="143"/>
      <c r="G283" s="1702"/>
      <c r="H283" s="143"/>
      <c r="I283" s="1702"/>
      <c r="J283" s="143"/>
      <c r="K283" s="1702"/>
      <c r="L283" s="143"/>
      <c r="M283" s="1702"/>
      <c r="N283" s="143"/>
      <c r="O283" s="1702"/>
      <c r="P283" s="143"/>
      <c r="Q283" s="1702"/>
      <c r="R283" s="143"/>
      <c r="S283" s="1702"/>
      <c r="T283" s="143"/>
      <c r="U283" s="1702"/>
      <c r="V283" s="143"/>
      <c r="W283" s="1702"/>
      <c r="X283" s="143"/>
      <c r="Y283" s="1702"/>
      <c r="Z283" s="143"/>
      <c r="AA283" s="1702"/>
      <c r="AB283" s="143"/>
      <c r="AC283" s="1702"/>
      <c r="AD283" s="143"/>
      <c r="AE283" s="1702"/>
      <c r="AF283" s="143"/>
      <c r="AG283" s="1702"/>
      <c r="AH283" s="143"/>
      <c r="AI283" s="1702"/>
      <c r="AJ283" s="143"/>
    </row>
    <row r="284" spans="1:130" ht="33" x14ac:dyDescent="0.25">
      <c r="A284" s="2289" t="s">
        <v>2258</v>
      </c>
      <c r="B284" s="2298">
        <f t="shared" si="525"/>
        <v>0</v>
      </c>
      <c r="C284" s="2299">
        <f t="shared" si="526"/>
        <v>0</v>
      </c>
      <c r="D284" s="2300">
        <f t="shared" si="526"/>
        <v>0</v>
      </c>
      <c r="E284" s="1694"/>
      <c r="F284" s="1677"/>
      <c r="G284" s="1694"/>
      <c r="H284" s="1677"/>
      <c r="I284" s="1694"/>
      <c r="J284" s="1677"/>
      <c r="K284" s="1694"/>
      <c r="L284" s="1677"/>
      <c r="M284" s="1694"/>
      <c r="N284" s="1677"/>
      <c r="O284" s="1694"/>
      <c r="P284" s="1677"/>
      <c r="Q284" s="1694"/>
      <c r="R284" s="1677"/>
      <c r="S284" s="1694"/>
      <c r="T284" s="1677"/>
      <c r="U284" s="1694"/>
      <c r="V284" s="1677"/>
      <c r="W284" s="1694"/>
      <c r="X284" s="1677"/>
      <c r="Y284" s="1694"/>
      <c r="Z284" s="1677"/>
      <c r="AA284" s="1694"/>
      <c r="AB284" s="1677"/>
      <c r="AC284" s="1694"/>
      <c r="AD284" s="1677"/>
      <c r="AE284" s="1694"/>
      <c r="AF284" s="1677"/>
      <c r="AG284" s="1694"/>
      <c r="AH284" s="1677"/>
      <c r="AI284" s="1694"/>
      <c r="AJ284" s="1677"/>
    </row>
    <row r="285" spans="1:130" ht="36" customHeight="1" x14ac:dyDescent="0.25">
      <c r="A285" s="2304" t="s">
        <v>2259</v>
      </c>
      <c r="B285" s="2305">
        <f t="shared" si="525"/>
        <v>0</v>
      </c>
      <c r="C285" s="2306">
        <f t="shared" si="526"/>
        <v>0</v>
      </c>
      <c r="D285" s="2307">
        <f t="shared" si="526"/>
        <v>0</v>
      </c>
      <c r="E285" s="2308"/>
      <c r="F285" s="1669"/>
      <c r="G285" s="2308"/>
      <c r="H285" s="1669"/>
      <c r="I285" s="2308"/>
      <c r="J285" s="1669"/>
      <c r="K285" s="2308"/>
      <c r="L285" s="1669"/>
      <c r="M285" s="2308"/>
      <c r="N285" s="1669"/>
      <c r="O285" s="2308"/>
      <c r="P285" s="1669"/>
      <c r="Q285" s="2308"/>
      <c r="R285" s="1669"/>
      <c r="S285" s="2308"/>
      <c r="T285" s="1669"/>
      <c r="U285" s="2308"/>
      <c r="V285" s="1669"/>
      <c r="W285" s="2308"/>
      <c r="X285" s="1669"/>
      <c r="Y285" s="2308"/>
      <c r="Z285" s="1669"/>
      <c r="AA285" s="2308"/>
      <c r="AB285" s="1669"/>
      <c r="AC285" s="2308"/>
      <c r="AD285" s="1669"/>
      <c r="AE285" s="2308"/>
      <c r="AF285" s="1669"/>
      <c r="AG285" s="2308"/>
      <c r="AH285" s="1669"/>
      <c r="AI285" s="2308"/>
      <c r="AJ285" s="1669"/>
    </row>
    <row r="286" spans="1:130" ht="22.5" customHeight="1" x14ac:dyDescent="0.25">
      <c r="A286" s="2270" t="s">
        <v>4002</v>
      </c>
    </row>
    <row r="287" spans="1:130" ht="15" customHeight="1" x14ac:dyDescent="0.25">
      <c r="A287" s="9628" t="s">
        <v>803</v>
      </c>
      <c r="B287" s="9631" t="s">
        <v>24</v>
      </c>
      <c r="C287" s="9632"/>
      <c r="D287" s="9623"/>
      <c r="E287" s="9625" t="s">
        <v>2272</v>
      </c>
      <c r="F287" s="9626"/>
      <c r="G287" s="9626"/>
      <c r="H287" s="9626"/>
      <c r="I287" s="9626"/>
      <c r="J287" s="9626"/>
      <c r="K287" s="9626"/>
      <c r="L287" s="9626"/>
      <c r="M287" s="9626"/>
      <c r="N287" s="9626"/>
      <c r="O287" s="9626"/>
      <c r="P287" s="9626"/>
      <c r="Q287" s="9626"/>
      <c r="R287" s="9626"/>
      <c r="S287" s="9626"/>
      <c r="T287" s="9626"/>
      <c r="U287" s="9626"/>
      <c r="V287" s="9626"/>
      <c r="W287" s="9626"/>
      <c r="X287" s="9626"/>
      <c r="Y287" s="9626"/>
      <c r="Z287" s="9626"/>
      <c r="AA287" s="9626"/>
      <c r="AB287" s="9627"/>
      <c r="AC287" s="9649" t="s">
        <v>360</v>
      </c>
      <c r="AD287" s="9623" t="s">
        <v>359</v>
      </c>
    </row>
    <row r="288" spans="1:130" x14ac:dyDescent="0.25">
      <c r="A288" s="9629"/>
      <c r="B288" s="9633"/>
      <c r="C288" s="9634"/>
      <c r="D288" s="9635"/>
      <c r="E288" s="9637" t="s">
        <v>2558</v>
      </c>
      <c r="F288" s="9638"/>
      <c r="G288" s="9637" t="s">
        <v>81</v>
      </c>
      <c r="H288" s="9638"/>
      <c r="I288" s="9637" t="s">
        <v>82</v>
      </c>
      <c r="J288" s="9638"/>
      <c r="K288" s="9637" t="s">
        <v>83</v>
      </c>
      <c r="L288" s="9638"/>
      <c r="M288" s="9637" t="s">
        <v>398</v>
      </c>
      <c r="N288" s="9638"/>
      <c r="O288" s="9637" t="s">
        <v>124</v>
      </c>
      <c r="P288" s="9638"/>
      <c r="Q288" s="9637" t="s">
        <v>125</v>
      </c>
      <c r="R288" s="9638"/>
      <c r="S288" s="9637" t="s">
        <v>126</v>
      </c>
      <c r="T288" s="9638"/>
      <c r="U288" s="9637" t="s">
        <v>2267</v>
      </c>
      <c r="V288" s="9638"/>
      <c r="W288" s="9637" t="s">
        <v>2127</v>
      </c>
      <c r="X288" s="9638"/>
      <c r="Y288" s="9637" t="s">
        <v>2193</v>
      </c>
      <c r="Z288" s="9638"/>
      <c r="AA288" s="9637" t="s">
        <v>2269</v>
      </c>
      <c r="AB288" s="9646"/>
      <c r="AC288" s="9650"/>
      <c r="AD288" s="9635"/>
    </row>
    <row r="289" spans="1:106" x14ac:dyDescent="0.25">
      <c r="A289" s="9630"/>
      <c r="B289" s="2309" t="s">
        <v>1369</v>
      </c>
      <c r="C289" s="1717" t="s">
        <v>17</v>
      </c>
      <c r="D289" s="2114" t="s">
        <v>18</v>
      </c>
      <c r="E289" s="1717" t="s">
        <v>17</v>
      </c>
      <c r="F289" s="2114" t="s">
        <v>18</v>
      </c>
      <c r="G289" s="1717" t="s">
        <v>17</v>
      </c>
      <c r="H289" s="2114" t="s">
        <v>18</v>
      </c>
      <c r="I289" s="1717" t="s">
        <v>17</v>
      </c>
      <c r="J289" s="2114" t="s">
        <v>18</v>
      </c>
      <c r="K289" s="1717" t="s">
        <v>17</v>
      </c>
      <c r="L289" s="2114" t="s">
        <v>18</v>
      </c>
      <c r="M289" s="1717" t="s">
        <v>17</v>
      </c>
      <c r="N289" s="2114" t="s">
        <v>18</v>
      </c>
      <c r="O289" s="1717" t="s">
        <v>17</v>
      </c>
      <c r="P289" s="2114" t="s">
        <v>18</v>
      </c>
      <c r="Q289" s="1717" t="s">
        <v>17</v>
      </c>
      <c r="R289" s="2114" t="s">
        <v>18</v>
      </c>
      <c r="S289" s="1717" t="s">
        <v>17</v>
      </c>
      <c r="T289" s="2114" t="s">
        <v>18</v>
      </c>
      <c r="U289" s="1717" t="s">
        <v>17</v>
      </c>
      <c r="V289" s="2114" t="s">
        <v>18</v>
      </c>
      <c r="W289" s="1717" t="s">
        <v>17</v>
      </c>
      <c r="X289" s="2114" t="s">
        <v>18</v>
      </c>
      <c r="Y289" s="1717" t="s">
        <v>17</v>
      </c>
      <c r="Z289" s="2114" t="s">
        <v>18</v>
      </c>
      <c r="AA289" s="1717" t="s">
        <v>17</v>
      </c>
      <c r="AB289" s="2230" t="s">
        <v>18</v>
      </c>
      <c r="AC289" s="9651"/>
      <c r="AD289" s="9624"/>
    </row>
    <row r="290" spans="1:106" ht="27.75" customHeight="1" x14ac:dyDescent="0.25">
      <c r="A290" s="2310" t="s">
        <v>2251</v>
      </c>
      <c r="B290" s="2311">
        <f>SUM(C290:D290)</f>
        <v>0</v>
      </c>
      <c r="C290" s="2312">
        <f>+E290+G290+I290+K290+M290+O290+Q290+S290+U290+W290+Y290+AA290</f>
        <v>0</v>
      </c>
      <c r="D290" s="2313">
        <f>+F290+H290+J290+L290+N290+P290+R290+T290+V290+X290+Z290+AB290</f>
        <v>0</v>
      </c>
      <c r="E290" s="1694"/>
      <c r="F290" s="1698"/>
      <c r="G290" s="1694"/>
      <c r="H290" s="1698"/>
      <c r="I290" s="1694"/>
      <c r="J290" s="1698"/>
      <c r="K290" s="1694"/>
      <c r="L290" s="1698"/>
      <c r="M290" s="1694"/>
      <c r="N290" s="1698"/>
      <c r="O290" s="1694"/>
      <c r="P290" s="1698"/>
      <c r="Q290" s="1694"/>
      <c r="R290" s="1698"/>
      <c r="S290" s="1694"/>
      <c r="T290" s="1698"/>
      <c r="U290" s="1694"/>
      <c r="V290" s="1698"/>
      <c r="W290" s="1694"/>
      <c r="X290" s="1698"/>
      <c r="Y290" s="1694"/>
      <c r="Z290" s="1698"/>
      <c r="AA290" s="1694"/>
      <c r="AB290" s="1671"/>
      <c r="AC290" s="1700"/>
      <c r="AD290" s="1701"/>
      <c r="AE290" s="1193" t="str">
        <f>$CA290&amp;$CB290&amp;$CC290&amp;$CD290&amp;$CE290&amp;$CF290&amp;$CG290&amp;$CH290&amp;$CI290&amp;$CJ290&amp;$CK290&amp;$CL290&amp;$CM290&amp;$CN290&amp;$CO290&amp;$CP290&amp;$CQ290&amp;$CR290&amp;$CS290&amp;$CT290&amp;$CU290&amp;$CV290&amp;$CW290&amp;$CX290&amp;$CY290&amp;$CZ290</f>
        <v/>
      </c>
      <c r="CA290" s="2235" t="str">
        <f>IF(AND($B290&lt;&gt;0,AC290=""),"* No olvide ingresar la columna Pueblos Originarios (Digite CERO si no tiene). ",IF(AC290&gt;$B290,"* El Número de Donantes Confirmados pertenecientes a Pueblos Originarios no puede superar el Total. ",""))</f>
        <v/>
      </c>
      <c r="CB290" s="2235" t="str">
        <f>IF(AND($B290&lt;&gt;0,AD290=""),"* No olvide ingresar la columna Migrantes (Digite CERO si no tiene). ",IF(AD290&gt;$B290,"* El Número de Donantes Confirmados pertenecientes a Población Migrante no puede superar el Total. ",""))</f>
        <v/>
      </c>
      <c r="DA290" s="1468">
        <f>IF(AND($B290&lt;&gt;0,AC290=""),1,IF(AC290&gt;$B290,1,0))</f>
        <v>0</v>
      </c>
      <c r="DB290" s="1468">
        <f>IF(AND($B290&lt;&gt;0,AD290=""),1,IF(AD290&gt;$B290,1,0))</f>
        <v>0</v>
      </c>
    </row>
    <row r="291" spans="1:106" ht="28.5" customHeight="1" x14ac:dyDescent="0.25">
      <c r="A291" s="2304" t="s">
        <v>2252</v>
      </c>
      <c r="B291" s="2314">
        <f>SUM(C291:D291)</f>
        <v>0</v>
      </c>
      <c r="C291" s="2315">
        <f>+E291+G291+I291+K291+M291+O291+Q291+S291+U291+W291+Y291+AA291</f>
        <v>0</v>
      </c>
      <c r="D291" s="2316">
        <f>+F291+H291+J291+L291+N291+P291+R291+T291+V291+X291+Z291+AB291</f>
        <v>0</v>
      </c>
      <c r="E291" s="1654"/>
      <c r="F291" s="1669"/>
      <c r="G291" s="1654"/>
      <c r="H291" s="1669"/>
      <c r="I291" s="1654"/>
      <c r="J291" s="1669"/>
      <c r="K291" s="1654"/>
      <c r="L291" s="1669"/>
      <c r="M291" s="1654"/>
      <c r="N291" s="1669"/>
      <c r="O291" s="1654"/>
      <c r="P291" s="1669"/>
      <c r="Q291" s="1654"/>
      <c r="R291" s="1669"/>
      <c r="S291" s="1654"/>
      <c r="T291" s="1669"/>
      <c r="U291" s="1654"/>
      <c r="V291" s="1669"/>
      <c r="W291" s="1654"/>
      <c r="X291" s="1669"/>
      <c r="Y291" s="1654"/>
      <c r="Z291" s="1669"/>
      <c r="AA291" s="1654"/>
      <c r="AB291" s="1752"/>
      <c r="AC291" s="1699"/>
      <c r="AD291" s="1655"/>
      <c r="AE291" s="1193" t="str">
        <f>$CA291&amp;$CB291&amp;$CC291&amp;$CD291&amp;$CE291&amp;$CF291&amp;$CG291&amp;$CH291&amp;$CI291&amp;$CJ291&amp;$CK291&amp;$CL291&amp;$CM291&amp;$CN291&amp;$CO291&amp;$CP291&amp;$CQ291&amp;$CR291&amp;$CS291&amp;$CT291&amp;$CU291&amp;$CV291&amp;$CW291&amp;$CX291&amp;$CY291&amp;$CZ291</f>
        <v/>
      </c>
      <c r="CA291" s="2235" t="str">
        <f>IF(AND($B291&lt;&gt;0,AC291=""),"* No olvide ingresar la columna Pueblos Originarios (Digite CERO si no tiene). ",IF(AC291&gt;$B291,"* El Número de Donantes Confirmados pertenecientes a Pueblos Originarios no puede superar el Total. ",""))</f>
        <v/>
      </c>
      <c r="CB291" s="2235" t="str">
        <f>IF(AND($B291&lt;&gt;0,AD291=""),"* No olvide ingresar la columna Migrantes (Digite CERO si no tiene). ",IF(AD291&gt;$B291,"* El Número de Donantes Confirmados pertenecientes a Población Migrante no puede superar el Total. ",""))</f>
        <v/>
      </c>
      <c r="DA291" s="1468">
        <f>IF(AND($B291&lt;&gt;0,AC291=""),1,IF(AC291&gt;$B291,1,0))</f>
        <v>0</v>
      </c>
      <c r="DB291" s="1468">
        <f>IF(AND($B291&lt;&gt;0,AD291=""),1,IF(AD291&gt;$B291,1,0))</f>
        <v>0</v>
      </c>
    </row>
    <row r="292" spans="1:106" ht="19.5" customHeight="1" x14ac:dyDescent="0.25">
      <c r="A292" s="2270" t="s">
        <v>2352</v>
      </c>
    </row>
    <row r="293" spans="1:106" x14ac:dyDescent="0.25">
      <c r="A293" s="9628" t="s">
        <v>803</v>
      </c>
      <c r="B293" s="9631" t="s">
        <v>24</v>
      </c>
      <c r="C293" s="9632"/>
      <c r="D293" s="9623"/>
      <c r="E293" s="9652" t="s">
        <v>2272</v>
      </c>
      <c r="F293" s="9652"/>
      <c r="G293" s="9652"/>
      <c r="H293" s="9652"/>
      <c r="I293" s="9652"/>
      <c r="J293" s="9652"/>
      <c r="K293" s="9652"/>
      <c r="L293" s="9652"/>
      <c r="M293" s="9652"/>
      <c r="N293" s="9652"/>
      <c r="O293" s="9652"/>
      <c r="P293" s="9652"/>
      <c r="Q293" s="9652"/>
      <c r="R293" s="9652"/>
      <c r="S293" s="9652"/>
      <c r="T293" s="9652"/>
      <c r="U293" s="9652"/>
      <c r="V293" s="9652"/>
      <c r="W293" s="9652"/>
      <c r="X293" s="9652"/>
      <c r="Y293" s="9652"/>
      <c r="Z293" s="9652"/>
      <c r="AA293" s="9652"/>
      <c r="AB293" s="9652"/>
      <c r="AC293" s="9652"/>
      <c r="AD293" s="9652"/>
      <c r="AE293" s="9652"/>
      <c r="AF293" s="9652"/>
      <c r="AG293" s="9652"/>
      <c r="AH293" s="9652"/>
      <c r="AI293" s="9652"/>
      <c r="AJ293" s="9653"/>
      <c r="AK293" s="9649" t="s">
        <v>360</v>
      </c>
      <c r="AL293" s="9623" t="s">
        <v>359</v>
      </c>
    </row>
    <row r="294" spans="1:106" x14ac:dyDescent="0.25">
      <c r="A294" s="9629"/>
      <c r="B294" s="9633"/>
      <c r="C294" s="9634"/>
      <c r="D294" s="9635"/>
      <c r="E294" s="9637" t="s">
        <v>674</v>
      </c>
      <c r="F294" s="9638"/>
      <c r="G294" s="9639" t="s">
        <v>2265</v>
      </c>
      <c r="H294" s="9640"/>
      <c r="I294" s="9639" t="s">
        <v>2266</v>
      </c>
      <c r="J294" s="9640"/>
      <c r="K294" s="9639" t="s">
        <v>48</v>
      </c>
      <c r="L294" s="9640"/>
      <c r="M294" s="9637" t="s">
        <v>80</v>
      </c>
      <c r="N294" s="9638"/>
      <c r="O294" s="9637" t="s">
        <v>81</v>
      </c>
      <c r="P294" s="9638"/>
      <c r="Q294" s="9637" t="s">
        <v>82</v>
      </c>
      <c r="R294" s="9638"/>
      <c r="S294" s="9637" t="s">
        <v>83</v>
      </c>
      <c r="T294" s="9638"/>
      <c r="U294" s="9637" t="s">
        <v>398</v>
      </c>
      <c r="V294" s="9638"/>
      <c r="W294" s="9637" t="s">
        <v>124</v>
      </c>
      <c r="X294" s="9638"/>
      <c r="Y294" s="9637" t="s">
        <v>125</v>
      </c>
      <c r="Z294" s="9638"/>
      <c r="AA294" s="9637" t="s">
        <v>126</v>
      </c>
      <c r="AB294" s="9638"/>
      <c r="AC294" s="9637" t="s">
        <v>2267</v>
      </c>
      <c r="AD294" s="9638"/>
      <c r="AE294" s="9637" t="s">
        <v>2127</v>
      </c>
      <c r="AF294" s="9638"/>
      <c r="AG294" s="9637" t="s">
        <v>2193</v>
      </c>
      <c r="AH294" s="9638"/>
      <c r="AI294" s="9644" t="s">
        <v>2268</v>
      </c>
      <c r="AJ294" s="9645"/>
      <c r="AK294" s="9650"/>
      <c r="AL294" s="9635"/>
    </row>
    <row r="295" spans="1:106" x14ac:dyDescent="0.25">
      <c r="A295" s="9630"/>
      <c r="B295" s="2309" t="s">
        <v>1369</v>
      </c>
      <c r="C295" s="1717" t="s">
        <v>17</v>
      </c>
      <c r="D295" s="2114" t="s">
        <v>18</v>
      </c>
      <c r="E295" s="1717" t="s">
        <v>17</v>
      </c>
      <c r="F295" s="2114" t="s">
        <v>18</v>
      </c>
      <c r="G295" s="1717" t="s">
        <v>17</v>
      </c>
      <c r="H295" s="2114" t="s">
        <v>18</v>
      </c>
      <c r="I295" s="1717" t="s">
        <v>17</v>
      </c>
      <c r="J295" s="2114" t="s">
        <v>18</v>
      </c>
      <c r="K295" s="1717" t="s">
        <v>17</v>
      </c>
      <c r="L295" s="2114" t="s">
        <v>18</v>
      </c>
      <c r="M295" s="1717" t="s">
        <v>17</v>
      </c>
      <c r="N295" s="2114" t="s">
        <v>18</v>
      </c>
      <c r="O295" s="1717" t="s">
        <v>17</v>
      </c>
      <c r="P295" s="2114" t="s">
        <v>18</v>
      </c>
      <c r="Q295" s="1717" t="s">
        <v>17</v>
      </c>
      <c r="R295" s="2114" t="s">
        <v>18</v>
      </c>
      <c r="S295" s="1717" t="s">
        <v>17</v>
      </c>
      <c r="T295" s="2114" t="s">
        <v>18</v>
      </c>
      <c r="U295" s="1717" t="s">
        <v>17</v>
      </c>
      <c r="V295" s="2114" t="s">
        <v>18</v>
      </c>
      <c r="W295" s="1717" t="s">
        <v>17</v>
      </c>
      <c r="X295" s="2114" t="s">
        <v>18</v>
      </c>
      <c r="Y295" s="1717" t="s">
        <v>17</v>
      </c>
      <c r="Z295" s="2114" t="s">
        <v>18</v>
      </c>
      <c r="AA295" s="1717" t="s">
        <v>17</v>
      </c>
      <c r="AB295" s="2114" t="s">
        <v>18</v>
      </c>
      <c r="AC295" s="1717" t="s">
        <v>17</v>
      </c>
      <c r="AD295" s="2114" t="s">
        <v>18</v>
      </c>
      <c r="AE295" s="1717" t="s">
        <v>17</v>
      </c>
      <c r="AF295" s="2114" t="s">
        <v>18</v>
      </c>
      <c r="AG295" s="1717" t="s">
        <v>17</v>
      </c>
      <c r="AH295" s="2114" t="s">
        <v>18</v>
      </c>
      <c r="AI295" s="3268" t="s">
        <v>17</v>
      </c>
      <c r="AJ295" s="3267" t="s">
        <v>18</v>
      </c>
      <c r="AK295" s="9651"/>
      <c r="AL295" s="9624"/>
    </row>
    <row r="296" spans="1:106" ht="26.25" customHeight="1" x14ac:dyDescent="0.25">
      <c r="A296" s="2310" t="s">
        <v>2260</v>
      </c>
      <c r="B296" s="2275">
        <f>SUM(C296:D296)</f>
        <v>0</v>
      </c>
      <c r="C296" s="2317">
        <f t="shared" ref="C296:D298" si="527">+E296+G296+I296+K296+M296+O296+Q296+S296+U296+W296+Y296+AA296+AC296+AE296+AG296+AI296</f>
        <v>0</v>
      </c>
      <c r="D296" s="2313">
        <f t="shared" si="527"/>
        <v>0</v>
      </c>
      <c r="E296" s="1694"/>
      <c r="F296" s="1696"/>
      <c r="G296" s="1694"/>
      <c r="H296" s="1696"/>
      <c r="I296" s="1694"/>
      <c r="J296" s="1696"/>
      <c r="K296" s="1694"/>
      <c r="L296" s="1696"/>
      <c r="M296" s="1694"/>
      <c r="N296" s="1696"/>
      <c r="O296" s="1694"/>
      <c r="P296" s="1696"/>
      <c r="Q296" s="1694"/>
      <c r="R296" s="1696"/>
      <c r="S296" s="1694"/>
      <c r="T296" s="1696"/>
      <c r="U296" s="1694"/>
      <c r="V296" s="1696"/>
      <c r="W296" s="1694"/>
      <c r="X296" s="1696"/>
      <c r="Y296" s="1694"/>
      <c r="Z296" s="1696"/>
      <c r="AA296" s="1694"/>
      <c r="AB296" s="1696"/>
      <c r="AC296" s="1694"/>
      <c r="AD296" s="1696"/>
      <c r="AE296" s="1694"/>
      <c r="AF296" s="1696"/>
      <c r="AG296" s="1694"/>
      <c r="AH296" s="1696"/>
      <c r="AI296" s="1694"/>
      <c r="AJ296" s="1671"/>
      <c r="AK296" s="1132"/>
      <c r="AL296" s="2318"/>
    </row>
    <row r="297" spans="1:106" ht="27" customHeight="1" x14ac:dyDescent="0.25">
      <c r="A297" s="2289" t="s">
        <v>2261</v>
      </c>
      <c r="B297" s="2319">
        <f>SUM(C297:D297)</f>
        <v>0</v>
      </c>
      <c r="C297" s="2320">
        <f t="shared" si="527"/>
        <v>0</v>
      </c>
      <c r="D297" s="2300">
        <f t="shared" si="527"/>
        <v>0</v>
      </c>
      <c r="E297" s="1694"/>
      <c r="F297" s="1696"/>
      <c r="G297" s="1694"/>
      <c r="H297" s="1696"/>
      <c r="I297" s="1694"/>
      <c r="J297" s="1696"/>
      <c r="K297" s="1694"/>
      <c r="L297" s="1696"/>
      <c r="M297" s="1694"/>
      <c r="N297" s="1696"/>
      <c r="O297" s="1694"/>
      <c r="P297" s="1696"/>
      <c r="Q297" s="1694"/>
      <c r="R297" s="1696"/>
      <c r="S297" s="1694"/>
      <c r="T297" s="1696"/>
      <c r="U297" s="1694"/>
      <c r="V297" s="1696"/>
      <c r="W297" s="1694"/>
      <c r="X297" s="1696"/>
      <c r="Y297" s="1694"/>
      <c r="Z297" s="1696"/>
      <c r="AA297" s="1694"/>
      <c r="AB297" s="1696"/>
      <c r="AC297" s="1694"/>
      <c r="AD297" s="1696"/>
      <c r="AE297" s="1694"/>
      <c r="AF297" s="1696"/>
      <c r="AG297" s="1694"/>
      <c r="AH297" s="1696"/>
      <c r="AI297" s="1694"/>
      <c r="AJ297" s="1671"/>
      <c r="AK297" s="1698"/>
      <c r="AL297" s="1696"/>
      <c r="AM297" s="1193" t="str">
        <f>$CA297&amp;$CB297&amp;$CC297&amp;$CD297&amp;$CE297&amp;$CF297&amp;$CG297&amp;$CH297&amp;$CI297&amp;$CJ297&amp;$CK297&amp;$CL297&amp;$CM297&amp;$CN297&amp;$CO297&amp;$CP297&amp;$CQ297&amp;$CR297&amp;$CS297&amp;$CT297&amp;$CU297&amp;$CV297&amp;$CW297&amp;$CX297&amp;$CY297&amp;$CZ297</f>
        <v/>
      </c>
      <c r="CA297" s="2235" t="str">
        <f>IF(AND($B297&lt;&gt;0,AK297=""),"* No olvide ingresar la columna Pueblos Originarios (Digite CERO si no tiene). ",IF(AK297&gt;$B297,"* El Número de personas en seguimiento pertenecientes a Pueblos Originarios no puede superar el Total. ",""))</f>
        <v/>
      </c>
      <c r="CB297" s="2235" t="str">
        <f>IF(AND($B297&lt;&gt;0,AL297=""),"* No olvide ingresar la columna Migrantes (Digite CERO si no tiene). ",IF(AL297&gt;$B297,"* El Número de personas en seguimiento pertenecientes a Población Migrante no puede superar el Total. ",""))</f>
        <v/>
      </c>
      <c r="DA297" s="1468">
        <f>IF(AND($B297&lt;&gt;0,AK297=""),1,IF(AK297&gt;$B297,1,0))</f>
        <v>0</v>
      </c>
      <c r="DB297" s="1468">
        <f>IF(AND($B297&lt;&gt;0,AL297=""),1,IF(AL297&gt;$B297,1,0))</f>
        <v>0</v>
      </c>
    </row>
    <row r="298" spans="1:106" ht="30" customHeight="1" x14ac:dyDescent="0.25">
      <c r="A298" s="2321" t="s">
        <v>2253</v>
      </c>
      <c r="B298" s="2322">
        <f>SUM(C298:D298)</f>
        <v>0</v>
      </c>
      <c r="C298" s="2323">
        <f t="shared" si="527"/>
        <v>0</v>
      </c>
      <c r="D298" s="2324">
        <f t="shared" si="527"/>
        <v>0</v>
      </c>
      <c r="E298" s="1689"/>
      <c r="F298" s="1115"/>
      <c r="G298" s="1689"/>
      <c r="H298" s="1115"/>
      <c r="I298" s="1689"/>
      <c r="J298" s="1115"/>
      <c r="K298" s="1689"/>
      <c r="L298" s="1115"/>
      <c r="M298" s="1689"/>
      <c r="N298" s="1115"/>
      <c r="O298" s="1689"/>
      <c r="P298" s="1115"/>
      <c r="Q298" s="1689"/>
      <c r="R298" s="1115"/>
      <c r="S298" s="1689"/>
      <c r="T298" s="1115"/>
      <c r="U298" s="1689"/>
      <c r="V298" s="1115"/>
      <c r="W298" s="1689"/>
      <c r="X298" s="1115"/>
      <c r="Y298" s="1689"/>
      <c r="Z298" s="1115"/>
      <c r="AA298" s="1689"/>
      <c r="AB298" s="1115"/>
      <c r="AC298" s="1689"/>
      <c r="AD298" s="1115"/>
      <c r="AE298" s="1689"/>
      <c r="AF298" s="1115"/>
      <c r="AG298" s="1689"/>
      <c r="AH298" s="1115"/>
      <c r="AI298" s="1689"/>
      <c r="AJ298" s="1692"/>
      <c r="AK298" s="1778"/>
      <c r="AL298" s="1115"/>
      <c r="AM298" s="1193" t="str">
        <f>$CA298&amp;$CB298&amp;$CC298&amp;$CD298&amp;$CE298&amp;$CF298&amp;$CG298&amp;$CH298&amp;$CI298&amp;$CJ298&amp;$CK298&amp;$CL298&amp;$CM298&amp;$CN298&amp;$CO298&amp;$CP298&amp;$CQ298&amp;$CR298&amp;$CS298&amp;$CT298&amp;$CU298&amp;$CV298&amp;$CW298&amp;$CX298&amp;$CY298&amp;$CZ298</f>
        <v/>
      </c>
      <c r="CA298" s="2235" t="str">
        <f>IF(AND($B298&lt;&gt;0,AK298=""),"* No olvide ingresar la columna Pueblos Originarios (Digite CERO si no tiene). ",IF(AK298&gt;$B298,"* El Número de personas en seguimiento pertenecientes a Pueblos Originarios no puede superar el Total. ",""))</f>
        <v/>
      </c>
      <c r="CB298" s="2235" t="str">
        <f>IF(AND($B298&lt;&gt;0,AL298=""),"* No olvide ingresar la columna Migrantes (Digite CERO si no tiene). ",IF(AL298&gt;$B298,"* El Número de personas en seguimiento pertenecientes a Población Migrante no puede superar el Total. ",""))</f>
        <v/>
      </c>
      <c r="DA298" s="1468">
        <f>IF(AND($B298&lt;&gt;0,AK298=""),1,IF(AK298&gt;$B298,1,0))</f>
        <v>0</v>
      </c>
      <c r="DB298" s="1468">
        <f>IF(AND($B298&lt;&gt;0,AL298=""),1,IF(AL298&gt;$B298,1,0))</f>
        <v>0</v>
      </c>
    </row>
    <row r="308" spans="1:2" s="1195" customFormat="1" hidden="1" x14ac:dyDescent="0.25">
      <c r="A308" s="1195">
        <f>SUM(B296:B298,B290:B291,B280:B285,B270:B274,B262:B266,C236:D258,B225:C231,B214:C220,C187:D209,C160:D182,C151:P155,C143:P147,B122:C139,B100:C117,B78:C95,B56:C73,B34:C51,B12:C29)</f>
        <v>0</v>
      </c>
      <c r="B308" s="1195">
        <f>SUM(DA12:DZ298)</f>
        <v>0</v>
      </c>
    </row>
  </sheetData>
  <sheetProtection algorithmName="SHA-512" hashValue="tC/YI9ka/UI5yyvxbQBSzyiB8w7jNNdvjUa/ygxFE58QCRBGf1Cd7X7oRVSwYqNFBnebBPjNUBVP1B0JyvHVdQ==" saltValue="Qs9LGszvHwGBE3iGgz+bcA==" spinCount="100000" sheet="1" objects="1" scenarios="1"/>
  <mergeCells count="465">
    <mergeCell ref="S268:S269"/>
    <mergeCell ref="T268:T269"/>
    <mergeCell ref="AC287:AC289"/>
    <mergeCell ref="AD287:AD289"/>
    <mergeCell ref="AK293:AK295"/>
    <mergeCell ref="AL293:AL295"/>
    <mergeCell ref="A293:A295"/>
    <mergeCell ref="B293:D294"/>
    <mergeCell ref="E293:AJ293"/>
    <mergeCell ref="E294:F294"/>
    <mergeCell ref="G294:H294"/>
    <mergeCell ref="I294:J294"/>
    <mergeCell ref="K294:L294"/>
    <mergeCell ref="M294:N294"/>
    <mergeCell ref="O294:P294"/>
    <mergeCell ref="Q294:R294"/>
    <mergeCell ref="S294:T294"/>
    <mergeCell ref="U294:V294"/>
    <mergeCell ref="W294:X294"/>
    <mergeCell ref="Y294:Z294"/>
    <mergeCell ref="AA294:AB294"/>
    <mergeCell ref="AC294:AD294"/>
    <mergeCell ref="AE294:AF294"/>
    <mergeCell ref="AG294:AH294"/>
    <mergeCell ref="AI294:AJ294"/>
    <mergeCell ref="A287:A289"/>
    <mergeCell ref="B287:D288"/>
    <mergeCell ref="E287:AB287"/>
    <mergeCell ref="E288:F288"/>
    <mergeCell ref="G288:H288"/>
    <mergeCell ref="I288:J288"/>
    <mergeCell ref="K288:L288"/>
    <mergeCell ref="M288:N288"/>
    <mergeCell ref="O288:P288"/>
    <mergeCell ref="Q288:R288"/>
    <mergeCell ref="S288:T288"/>
    <mergeCell ref="U288:V288"/>
    <mergeCell ref="W288:X288"/>
    <mergeCell ref="Y288:Z288"/>
    <mergeCell ref="AA288:AB288"/>
    <mergeCell ref="AE277:AF277"/>
    <mergeCell ref="AG277:AH277"/>
    <mergeCell ref="AI277:AJ277"/>
    <mergeCell ref="B278:B279"/>
    <mergeCell ref="C278:C279"/>
    <mergeCell ref="D278:D279"/>
    <mergeCell ref="E278:F278"/>
    <mergeCell ref="G278:H278"/>
    <mergeCell ref="I278:J278"/>
    <mergeCell ref="K278:L278"/>
    <mergeCell ref="M278:N278"/>
    <mergeCell ref="O278:P278"/>
    <mergeCell ref="Q278:R278"/>
    <mergeCell ref="S278:T278"/>
    <mergeCell ref="U278:V278"/>
    <mergeCell ref="W278:X278"/>
    <mergeCell ref="Y278:Z278"/>
    <mergeCell ref="AA278:AB278"/>
    <mergeCell ref="AC278:AD278"/>
    <mergeCell ref="AE278:AF278"/>
    <mergeCell ref="AG278:AH278"/>
    <mergeCell ref="AI278:AJ278"/>
    <mergeCell ref="A260:A261"/>
    <mergeCell ref="B260:B261"/>
    <mergeCell ref="C260:L260"/>
    <mergeCell ref="M260:M261"/>
    <mergeCell ref="N260:N261"/>
    <mergeCell ref="A268:A269"/>
    <mergeCell ref="B268:B269"/>
    <mergeCell ref="C268:R268"/>
    <mergeCell ref="A276:A279"/>
    <mergeCell ref="B276:D277"/>
    <mergeCell ref="E276:AJ276"/>
    <mergeCell ref="E277:F277"/>
    <mergeCell ref="G277:H277"/>
    <mergeCell ref="I277:J277"/>
    <mergeCell ref="K277:L277"/>
    <mergeCell ref="M277:N277"/>
    <mergeCell ref="O277:P277"/>
    <mergeCell ref="Q277:R277"/>
    <mergeCell ref="S277:T277"/>
    <mergeCell ref="U277:V277"/>
    <mergeCell ref="W277:X277"/>
    <mergeCell ref="Y277:Z277"/>
    <mergeCell ref="AA277:AB277"/>
    <mergeCell ref="AC277:AD277"/>
    <mergeCell ref="A236:A254"/>
    <mergeCell ref="A255:A258"/>
    <mergeCell ref="AE234:AF234"/>
    <mergeCell ref="AG234:AH234"/>
    <mergeCell ref="AI234:AJ234"/>
    <mergeCell ref="AK234:AL234"/>
    <mergeCell ref="AM234:AN234"/>
    <mergeCell ref="AO234:AP234"/>
    <mergeCell ref="S234:T234"/>
    <mergeCell ref="U234:V234"/>
    <mergeCell ref="W234:X234"/>
    <mergeCell ref="Y234:Z234"/>
    <mergeCell ref="AA234:AB234"/>
    <mergeCell ref="AC234:AD234"/>
    <mergeCell ref="A233:B235"/>
    <mergeCell ref="C233:D234"/>
    <mergeCell ref="AS233:AT234"/>
    <mergeCell ref="AU233:AV234"/>
    <mergeCell ref="AW233:AX234"/>
    <mergeCell ref="E234:F234"/>
    <mergeCell ref="G234:H234"/>
    <mergeCell ref="I234:J234"/>
    <mergeCell ref="K234:L234"/>
    <mergeCell ref="M234:N234"/>
    <mergeCell ref="O234:P234"/>
    <mergeCell ref="Q234:R234"/>
    <mergeCell ref="AQ234:AR234"/>
    <mergeCell ref="E233:AJ233"/>
    <mergeCell ref="AK233:AN233"/>
    <mergeCell ref="AO233:AR233"/>
    <mergeCell ref="AP222:AP224"/>
    <mergeCell ref="AQ222:AQ224"/>
    <mergeCell ref="D223:E223"/>
    <mergeCell ref="F223:G223"/>
    <mergeCell ref="H223:I223"/>
    <mergeCell ref="J223:K223"/>
    <mergeCell ref="L223:M223"/>
    <mergeCell ref="N223:O223"/>
    <mergeCell ref="P223:Q223"/>
    <mergeCell ref="R223:S223"/>
    <mergeCell ref="A222:A224"/>
    <mergeCell ref="B222:C223"/>
    <mergeCell ref="D222:AK222"/>
    <mergeCell ref="AL222:AM222"/>
    <mergeCell ref="AN222:AO222"/>
    <mergeCell ref="T223:U223"/>
    <mergeCell ref="V223:W223"/>
    <mergeCell ref="AB212:AC212"/>
    <mergeCell ref="AD212:AE212"/>
    <mergeCell ref="AF212:AG212"/>
    <mergeCell ref="AH212:AI212"/>
    <mergeCell ref="AJ212:AK212"/>
    <mergeCell ref="AL212:AL213"/>
    <mergeCell ref="AJ223:AK223"/>
    <mergeCell ref="AL223:AL224"/>
    <mergeCell ref="AM223:AM224"/>
    <mergeCell ref="AN223:AN224"/>
    <mergeCell ref="AO223:AO224"/>
    <mergeCell ref="X223:Y223"/>
    <mergeCell ref="Z223:AA223"/>
    <mergeCell ref="AB223:AC223"/>
    <mergeCell ref="AD223:AE223"/>
    <mergeCell ref="AF223:AG223"/>
    <mergeCell ref="AH223:AI223"/>
    <mergeCell ref="AP211:AP213"/>
    <mergeCell ref="AQ211:AQ213"/>
    <mergeCell ref="D212:E212"/>
    <mergeCell ref="F212:G212"/>
    <mergeCell ref="H212:I212"/>
    <mergeCell ref="J212:K212"/>
    <mergeCell ref="L212:M212"/>
    <mergeCell ref="N212:O212"/>
    <mergeCell ref="P212:Q212"/>
    <mergeCell ref="R212:S212"/>
    <mergeCell ref="AM212:AM213"/>
    <mergeCell ref="AN212:AN213"/>
    <mergeCell ref="AO212:AO213"/>
    <mergeCell ref="A209:B209"/>
    <mergeCell ref="A211:A213"/>
    <mergeCell ref="B211:C212"/>
    <mergeCell ref="D211:AK211"/>
    <mergeCell ref="AL211:AM211"/>
    <mergeCell ref="AN211:AO211"/>
    <mergeCell ref="T212:U212"/>
    <mergeCell ref="V212:W212"/>
    <mergeCell ref="X212:Y212"/>
    <mergeCell ref="Z212:AA212"/>
    <mergeCell ref="A205:B205"/>
    <mergeCell ref="A206:B206"/>
    <mergeCell ref="A207:B207"/>
    <mergeCell ref="A208:B208"/>
    <mergeCell ref="A194:B194"/>
    <mergeCell ref="A195:B195"/>
    <mergeCell ref="A196:A198"/>
    <mergeCell ref="A199:B199"/>
    <mergeCell ref="A200:B200"/>
    <mergeCell ref="A201:B201"/>
    <mergeCell ref="A190:B190"/>
    <mergeCell ref="A191:B191"/>
    <mergeCell ref="A192:B192"/>
    <mergeCell ref="A193:B193"/>
    <mergeCell ref="AI185:AJ185"/>
    <mergeCell ref="AK185:AL185"/>
    <mergeCell ref="AM185:AN185"/>
    <mergeCell ref="A202:B202"/>
    <mergeCell ref="A203:B203"/>
    <mergeCell ref="A187:B187"/>
    <mergeCell ref="W185:X185"/>
    <mergeCell ref="Y185:Z185"/>
    <mergeCell ref="AA185:AB185"/>
    <mergeCell ref="AC185:AD185"/>
    <mergeCell ref="AE185:AF185"/>
    <mergeCell ref="AG185:AH185"/>
    <mergeCell ref="A188:B188"/>
    <mergeCell ref="A189:B189"/>
    <mergeCell ref="AK184:AN184"/>
    <mergeCell ref="AO184:AR184"/>
    <mergeCell ref="AS184:AT185"/>
    <mergeCell ref="AU184:AV185"/>
    <mergeCell ref="AW184:AX185"/>
    <mergeCell ref="E185:F185"/>
    <mergeCell ref="G185:H185"/>
    <mergeCell ref="I185:J185"/>
    <mergeCell ref="K185:L185"/>
    <mergeCell ref="M185:N185"/>
    <mergeCell ref="AO185:AP185"/>
    <mergeCell ref="AQ185:AR185"/>
    <mergeCell ref="A181:B181"/>
    <mergeCell ref="A182:B182"/>
    <mergeCell ref="A183:Q183"/>
    <mergeCell ref="A184:B186"/>
    <mergeCell ref="C184:D185"/>
    <mergeCell ref="E184:AJ184"/>
    <mergeCell ref="O185:P185"/>
    <mergeCell ref="Q185:R185"/>
    <mergeCell ref="S185:T185"/>
    <mergeCell ref="U185:V185"/>
    <mergeCell ref="A174:B174"/>
    <mergeCell ref="A175:B175"/>
    <mergeCell ref="A176:B176"/>
    <mergeCell ref="A178:B178"/>
    <mergeCell ref="A179:B179"/>
    <mergeCell ref="A180:B180"/>
    <mergeCell ref="A166:B166"/>
    <mergeCell ref="A167:B167"/>
    <mergeCell ref="A168:B168"/>
    <mergeCell ref="A169:A171"/>
    <mergeCell ref="A172:B172"/>
    <mergeCell ref="A173:B173"/>
    <mergeCell ref="A160:B160"/>
    <mergeCell ref="A161:B161"/>
    <mergeCell ref="A162:B162"/>
    <mergeCell ref="A163:B163"/>
    <mergeCell ref="A164:B164"/>
    <mergeCell ref="A165:B165"/>
    <mergeCell ref="AG158:AH158"/>
    <mergeCell ref="AI158:AJ158"/>
    <mergeCell ref="AK158:AL158"/>
    <mergeCell ref="AK157:AN157"/>
    <mergeCell ref="AO157:AR157"/>
    <mergeCell ref="AS157:AT158"/>
    <mergeCell ref="AU157:AV158"/>
    <mergeCell ref="AW157:AX158"/>
    <mergeCell ref="E158:F158"/>
    <mergeCell ref="G158:H158"/>
    <mergeCell ref="I158:J158"/>
    <mergeCell ref="K158:L158"/>
    <mergeCell ref="M158:N158"/>
    <mergeCell ref="AM158:AN158"/>
    <mergeCell ref="AO158:AP158"/>
    <mergeCell ref="AQ158:AR158"/>
    <mergeCell ref="U158:V158"/>
    <mergeCell ref="W158:X158"/>
    <mergeCell ref="Y158:Z158"/>
    <mergeCell ref="AA158:AB158"/>
    <mergeCell ref="AC158:AD158"/>
    <mergeCell ref="AE158:AF158"/>
    <mergeCell ref="A151:B151"/>
    <mergeCell ref="A152:A154"/>
    <mergeCell ref="A155:B155"/>
    <mergeCell ref="A156:Q156"/>
    <mergeCell ref="A157:B159"/>
    <mergeCell ref="C157:D158"/>
    <mergeCell ref="E157:AJ157"/>
    <mergeCell ref="O158:P158"/>
    <mergeCell ref="Q158:R158"/>
    <mergeCell ref="S158:T158"/>
    <mergeCell ref="A143:B143"/>
    <mergeCell ref="A144:A146"/>
    <mergeCell ref="A147:B147"/>
    <mergeCell ref="A148:R148"/>
    <mergeCell ref="A149:B150"/>
    <mergeCell ref="C149:E149"/>
    <mergeCell ref="F149:H149"/>
    <mergeCell ref="I149:K149"/>
    <mergeCell ref="L149:N149"/>
    <mergeCell ref="O149:P149"/>
    <mergeCell ref="A140:Q140"/>
    <mergeCell ref="A141:B142"/>
    <mergeCell ref="C141:E141"/>
    <mergeCell ref="F141:H141"/>
    <mergeCell ref="I141:K141"/>
    <mergeCell ref="L141:N141"/>
    <mergeCell ref="O141:P141"/>
    <mergeCell ref="AH120:AI120"/>
    <mergeCell ref="AJ120:AK120"/>
    <mergeCell ref="V120:W120"/>
    <mergeCell ref="X120:Y120"/>
    <mergeCell ref="Z120:AA120"/>
    <mergeCell ref="AB120:AC120"/>
    <mergeCell ref="AD120:AE120"/>
    <mergeCell ref="AF120:AG120"/>
    <mergeCell ref="A119:A121"/>
    <mergeCell ref="B119:C120"/>
    <mergeCell ref="AT119:AU120"/>
    <mergeCell ref="AV119:AV121"/>
    <mergeCell ref="AW119:AW121"/>
    <mergeCell ref="D120:E120"/>
    <mergeCell ref="F120:G120"/>
    <mergeCell ref="H120:I120"/>
    <mergeCell ref="J120:K120"/>
    <mergeCell ref="L120:M120"/>
    <mergeCell ref="N120:O120"/>
    <mergeCell ref="P120:Q120"/>
    <mergeCell ref="AS120:AS121"/>
    <mergeCell ref="AL120:AM120"/>
    <mergeCell ref="AN120:AO120"/>
    <mergeCell ref="AP120:AQ120"/>
    <mergeCell ref="AR120:AR121"/>
    <mergeCell ref="D119:AQ119"/>
    <mergeCell ref="AR119:AS119"/>
    <mergeCell ref="R120:S120"/>
    <mergeCell ref="T120:U120"/>
    <mergeCell ref="AV97:AV99"/>
    <mergeCell ref="AW97:AW99"/>
    <mergeCell ref="D98:E98"/>
    <mergeCell ref="F98:G98"/>
    <mergeCell ref="H98:I98"/>
    <mergeCell ref="J98:K98"/>
    <mergeCell ref="L98:M98"/>
    <mergeCell ref="N98:O98"/>
    <mergeCell ref="P98:Q98"/>
    <mergeCell ref="R98:S98"/>
    <mergeCell ref="AN98:AO98"/>
    <mergeCell ref="AP98:AQ98"/>
    <mergeCell ref="AR98:AR99"/>
    <mergeCell ref="AS98:AS99"/>
    <mergeCell ref="A97:A99"/>
    <mergeCell ref="B97:C98"/>
    <mergeCell ref="D97:AQ97"/>
    <mergeCell ref="AR97:AS97"/>
    <mergeCell ref="AT97:AU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V75:AV77"/>
    <mergeCell ref="AW75:AW77"/>
    <mergeCell ref="D76:E76"/>
    <mergeCell ref="F76:G76"/>
    <mergeCell ref="H76:I76"/>
    <mergeCell ref="J76:K76"/>
    <mergeCell ref="L76:M76"/>
    <mergeCell ref="N76:O76"/>
    <mergeCell ref="P76:Q76"/>
    <mergeCell ref="AS76:AS77"/>
    <mergeCell ref="AH76:AI76"/>
    <mergeCell ref="AJ76:AK76"/>
    <mergeCell ref="AL76:AM76"/>
    <mergeCell ref="AN76:AO76"/>
    <mergeCell ref="AP76:AQ76"/>
    <mergeCell ref="AR76:AR77"/>
    <mergeCell ref="V76:W76"/>
    <mergeCell ref="X76:Y76"/>
    <mergeCell ref="Z76:AA76"/>
    <mergeCell ref="AB76:AC76"/>
    <mergeCell ref="AD76:AE76"/>
    <mergeCell ref="AF76:AG76"/>
    <mergeCell ref="AT75:AU76"/>
    <mergeCell ref="A75:A77"/>
    <mergeCell ref="B75:C76"/>
    <mergeCell ref="D75:AQ75"/>
    <mergeCell ref="AR75:AS75"/>
    <mergeCell ref="R76:S76"/>
    <mergeCell ref="T76:U76"/>
    <mergeCell ref="AB54:AC54"/>
    <mergeCell ref="AD54:AE54"/>
    <mergeCell ref="AF54:AG54"/>
    <mergeCell ref="AH54:AI54"/>
    <mergeCell ref="AJ54:AK54"/>
    <mergeCell ref="AL54:AM54"/>
    <mergeCell ref="A53:A55"/>
    <mergeCell ref="B53:C54"/>
    <mergeCell ref="AV53:AV55"/>
    <mergeCell ref="AW53:AW55"/>
    <mergeCell ref="D54:E54"/>
    <mergeCell ref="F54:G54"/>
    <mergeCell ref="H54:I54"/>
    <mergeCell ref="J54:K54"/>
    <mergeCell ref="L54:M54"/>
    <mergeCell ref="N54:O54"/>
    <mergeCell ref="P54:Q54"/>
    <mergeCell ref="R54:S54"/>
    <mergeCell ref="AN54:AO54"/>
    <mergeCell ref="AP54:AQ54"/>
    <mergeCell ref="AR54:AR55"/>
    <mergeCell ref="AS54:AS55"/>
    <mergeCell ref="D53:AQ53"/>
    <mergeCell ref="AR53:AS53"/>
    <mergeCell ref="AT53:AU54"/>
    <mergeCell ref="T54:U54"/>
    <mergeCell ref="V54:W54"/>
    <mergeCell ref="X54:Y54"/>
    <mergeCell ref="Z54:AA54"/>
    <mergeCell ref="AV31:AV33"/>
    <mergeCell ref="AW31:AW33"/>
    <mergeCell ref="D32:E32"/>
    <mergeCell ref="F32:G32"/>
    <mergeCell ref="H32:I32"/>
    <mergeCell ref="J32:K32"/>
    <mergeCell ref="L32:M32"/>
    <mergeCell ref="N32:O32"/>
    <mergeCell ref="P32:Q32"/>
    <mergeCell ref="AS32:AS33"/>
    <mergeCell ref="AH32:AI32"/>
    <mergeCell ref="AJ32:AK32"/>
    <mergeCell ref="AL32:AM32"/>
    <mergeCell ref="AN32:AO32"/>
    <mergeCell ref="AP32:AQ32"/>
    <mergeCell ref="AR32:AR33"/>
    <mergeCell ref="V32:W32"/>
    <mergeCell ref="X32:Y32"/>
    <mergeCell ref="Z32:AA32"/>
    <mergeCell ref="AB32:AC32"/>
    <mergeCell ref="AD32:AE32"/>
    <mergeCell ref="AF32:AG32"/>
    <mergeCell ref="AT31:AU32"/>
    <mergeCell ref="A31:A33"/>
    <mergeCell ref="B31:C32"/>
    <mergeCell ref="D31:AQ31"/>
    <mergeCell ref="AR31:AS31"/>
    <mergeCell ref="R32:S32"/>
    <mergeCell ref="T32:U32"/>
    <mergeCell ref="AB10:AC10"/>
    <mergeCell ref="AD10:AE10"/>
    <mergeCell ref="AF10:AG10"/>
    <mergeCell ref="AH10:AI10"/>
    <mergeCell ref="AJ10:AK10"/>
    <mergeCell ref="AL10:AM10"/>
    <mergeCell ref="AV9:AV11"/>
    <mergeCell ref="AW9:AW11"/>
    <mergeCell ref="D10:E10"/>
    <mergeCell ref="F10:G10"/>
    <mergeCell ref="H10:I10"/>
    <mergeCell ref="J10:K10"/>
    <mergeCell ref="L10:M10"/>
    <mergeCell ref="N10:O10"/>
    <mergeCell ref="P10:Q10"/>
    <mergeCell ref="R10:S10"/>
    <mergeCell ref="AN10:AO10"/>
    <mergeCell ref="AP10:AQ10"/>
    <mergeCell ref="AR10:AR11"/>
    <mergeCell ref="AS10:AS11"/>
    <mergeCell ref="A6:P6"/>
    <mergeCell ref="A9:A11"/>
    <mergeCell ref="B9:C10"/>
    <mergeCell ref="D9:AQ9"/>
    <mergeCell ref="AR9:AS9"/>
    <mergeCell ref="AT9:AU10"/>
    <mergeCell ref="T10:U10"/>
    <mergeCell ref="V10:W10"/>
    <mergeCell ref="X10:Y10"/>
    <mergeCell ref="Z10:A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26"/>
  <dimension ref="A1:CZ101"/>
  <sheetViews>
    <sheetView showGridLines="0" zoomScaleNormal="100" workbookViewId="0">
      <selection activeCell="A6" sqref="A6:M6"/>
    </sheetView>
  </sheetViews>
  <sheetFormatPr baseColWidth="10" defaultColWidth="11.42578125" defaultRowHeight="15" x14ac:dyDescent="0.25"/>
  <cols>
    <col min="1" max="1" width="60.140625" style="2326" customWidth="1"/>
    <col min="2" max="2" width="12" style="1188" customWidth="1"/>
    <col min="3" max="3" width="12.7109375" style="1188" customWidth="1"/>
    <col min="4" max="19" width="11.42578125" style="1188"/>
    <col min="20" max="20" width="13" style="1188" bestFit="1" customWidth="1"/>
    <col min="21" max="78" width="11.42578125" style="1188"/>
    <col min="79" max="104" width="11.42578125" style="2325" hidden="1" customWidth="1"/>
    <col min="105" max="16384" width="11.42578125" style="1188"/>
  </cols>
  <sheetData>
    <row r="1" spans="1:90" x14ac:dyDescent="0.25">
      <c r="A1" s="150" t="s">
        <v>206</v>
      </c>
    </row>
    <row r="2" spans="1:90" x14ac:dyDescent="0.25">
      <c r="A2" s="150" t="str">
        <f>CONCATENATE("COMUNA: ",NOMBRE!B2," - ","( ",NOMBRE!C2,NOMBRE!D2,NOMBRE!E2,NOMBRE!F2,NOMBRE!G2," )")</f>
        <v>COMUNA:  - (  )</v>
      </c>
    </row>
    <row r="3" spans="1:90" x14ac:dyDescent="0.25">
      <c r="A3" s="150" t="str">
        <f>CONCATENATE("ESTABLECIMIENTO/ESTRATEGIA: ",NOMBRE!B3," - ","( ",NOMBRE!C3,NOMBRE!D3,NOMBRE!E3,NOMBRE!F3,NOMBRE!G3,NOMBRE!H3," )")</f>
        <v>ESTABLECIMIENTO/ESTRATEGIA:  - (  )</v>
      </c>
    </row>
    <row r="4" spans="1:90" x14ac:dyDescent="0.25">
      <c r="A4" s="150" t="str">
        <f>CONCATENATE("MES: ",NOMBRE!B6," - ","( ",NOMBRE!C6,NOMBRE!D6," )")</f>
        <v>MES:  - (  )</v>
      </c>
    </row>
    <row r="5" spans="1:90" x14ac:dyDescent="0.25">
      <c r="A5" s="150" t="str">
        <f>CONCATENATE("AÑO: ",NOMBRE!B7)</f>
        <v>AÑO: 2023</v>
      </c>
    </row>
    <row r="6" spans="1:90" ht="20.25" customHeight="1" x14ac:dyDescent="0.25">
      <c r="A6" s="8199" t="s">
        <v>2339</v>
      </c>
      <c r="B6" s="8199"/>
      <c r="C6" s="8199"/>
      <c r="D6" s="8199"/>
      <c r="E6" s="8199"/>
      <c r="F6" s="8199"/>
      <c r="G6" s="8199"/>
      <c r="H6" s="8199"/>
      <c r="I6" s="8199"/>
      <c r="J6" s="8199"/>
      <c r="K6" s="8199"/>
      <c r="L6" s="8199"/>
      <c r="M6" s="8199"/>
      <c r="N6" s="587"/>
      <c r="O6" s="587"/>
      <c r="P6" s="587"/>
      <c r="Q6" s="587"/>
      <c r="R6" s="587"/>
    </row>
    <row r="8" spans="1:90" ht="29.25" customHeight="1" x14ac:dyDescent="0.25">
      <c r="A8" s="9684" t="s">
        <v>2290</v>
      </c>
      <c r="B8" s="9684"/>
      <c r="C8" s="9684"/>
      <c r="D8" s="2327"/>
      <c r="E8" s="2327"/>
      <c r="F8" s="2327"/>
      <c r="G8" s="2327"/>
    </row>
    <row r="9" spans="1:90" ht="17.25" customHeight="1" x14ac:dyDescent="0.25">
      <c r="A9" s="9657"/>
      <c r="B9" s="9659" t="s">
        <v>44</v>
      </c>
      <c r="C9" s="9661" t="s">
        <v>538</v>
      </c>
      <c r="D9" s="9662"/>
      <c r="E9" s="9662"/>
      <c r="F9" s="9662"/>
      <c r="G9" s="9662"/>
      <c r="H9" s="9662"/>
      <c r="I9" s="9662"/>
      <c r="J9" s="9662"/>
      <c r="K9" s="9663"/>
      <c r="L9" s="9664" t="s">
        <v>360</v>
      </c>
      <c r="M9" s="9666" t="s">
        <v>359</v>
      </c>
      <c r="CG9" s="2328"/>
      <c r="CH9" s="2328"/>
      <c r="CI9" s="2328"/>
      <c r="CJ9" s="2328"/>
      <c r="CK9" s="2328"/>
      <c r="CL9" s="2328"/>
    </row>
    <row r="10" spans="1:90" ht="22.5" customHeight="1" x14ac:dyDescent="0.25">
      <c r="A10" s="9658"/>
      <c r="B10" s="9660"/>
      <c r="C10" s="2329" t="s">
        <v>32</v>
      </c>
      <c r="D10" s="2330" t="s">
        <v>33</v>
      </c>
      <c r="E10" s="2330" t="s">
        <v>40</v>
      </c>
      <c r="F10" s="2330" t="s">
        <v>115</v>
      </c>
      <c r="G10" s="2330" t="s">
        <v>116</v>
      </c>
      <c r="H10" s="2330" t="s">
        <v>117</v>
      </c>
      <c r="I10" s="2330" t="s">
        <v>118</v>
      </c>
      <c r="J10" s="2330" t="s">
        <v>119</v>
      </c>
      <c r="K10" s="2331" t="s">
        <v>120</v>
      </c>
      <c r="L10" s="9665"/>
      <c r="M10" s="9667"/>
      <c r="CG10" s="2328"/>
      <c r="CH10" s="2328"/>
      <c r="CI10" s="2328"/>
      <c r="CJ10" s="2328"/>
      <c r="CK10" s="2328"/>
      <c r="CL10" s="2328"/>
    </row>
    <row r="11" spans="1:90" ht="32.25" customHeight="1" x14ac:dyDescent="0.25">
      <c r="A11" s="2332" t="s">
        <v>2291</v>
      </c>
      <c r="B11" s="7435"/>
      <c r="C11" s="7436"/>
      <c r="D11" s="7437"/>
      <c r="E11" s="7437"/>
      <c r="F11" s="7437"/>
      <c r="G11" s="7437"/>
      <c r="H11" s="7437"/>
      <c r="I11" s="7437"/>
      <c r="J11" s="7437"/>
      <c r="K11" s="7438"/>
      <c r="L11" s="7439"/>
      <c r="M11" s="2333"/>
      <c r="CG11" s="2328"/>
      <c r="CH11" s="2328"/>
      <c r="CI11" s="2328"/>
      <c r="CJ11" s="2328"/>
      <c r="CK11" s="2328"/>
      <c r="CL11" s="2328"/>
    </row>
    <row r="12" spans="1:90" ht="25.5" customHeight="1" x14ac:dyDescent="0.25">
      <c r="A12" s="2334" t="s">
        <v>2354</v>
      </c>
      <c r="B12" s="2335">
        <f>SUM(C12:K12)</f>
        <v>0</v>
      </c>
      <c r="C12" s="1923"/>
      <c r="D12" s="1703"/>
      <c r="E12" s="1703"/>
      <c r="F12" s="1703"/>
      <c r="G12" s="1703"/>
      <c r="H12" s="1703"/>
      <c r="I12" s="1703"/>
      <c r="J12" s="1703"/>
      <c r="K12" s="1826"/>
      <c r="L12" s="1976"/>
      <c r="M12" s="914"/>
      <c r="N12" s="1188" t="str">
        <f>CONCATENATE($CA12,$CB12)</f>
        <v/>
      </c>
      <c r="CA12" s="2235" t="str">
        <f>IF(AND($B12&lt;&gt;0,L12=""),"* No olvide ingresar la columna Pueblos Originarios (Digite CERO si no tiene). ",IF(L12&gt;$B12,"* El Número de personas en tratamiento pertenecientes a Pueblos Originarios no puede superar el Total. ",""))</f>
        <v/>
      </c>
      <c r="CB12" s="2235" t="str">
        <f>IF(AND($B12&lt;&gt;0,M12=""),"* No olvide ingresar la columna Migrantes (Digite CERO si no tiene). ",IF(M12&gt;$B12,"* El Número de personas en tratamiento pertenecientes a Población Migrante no puede superar el Total. ",""))</f>
        <v/>
      </c>
      <c r="CG12" s="1468">
        <f t="shared" ref="CG12:CH19" si="0">IF(AND($B12&lt;&gt;0,L12=""),1,IF(L12&gt;$B12,1,0))</f>
        <v>0</v>
      </c>
      <c r="CH12" s="1468">
        <f t="shared" si="0"/>
        <v>0</v>
      </c>
      <c r="CI12" s="2328"/>
      <c r="CJ12" s="2328"/>
      <c r="CK12" s="2328"/>
      <c r="CL12" s="2328"/>
    </row>
    <row r="13" spans="1:90" ht="21.75" customHeight="1" x14ac:dyDescent="0.25">
      <c r="A13" s="2336" t="s">
        <v>2355</v>
      </c>
      <c r="B13" s="2337">
        <f>SUM(C13:K13)</f>
        <v>0</v>
      </c>
      <c r="C13" s="1689"/>
      <c r="D13" s="753"/>
      <c r="E13" s="753"/>
      <c r="F13" s="753"/>
      <c r="G13" s="753"/>
      <c r="H13" s="753"/>
      <c r="I13" s="753"/>
      <c r="J13" s="753"/>
      <c r="K13" s="2338"/>
      <c r="L13" s="1975"/>
      <c r="M13" s="1731"/>
      <c r="N13" s="1188" t="str">
        <f t="shared" ref="N13:N19" si="1">CONCATENATE($CA13,$CB13)</f>
        <v/>
      </c>
      <c r="CA13" s="2235" t="str">
        <f t="shared" ref="CA13:CA19" si="2">IF(AND($B13&lt;&gt;0,L13=""),"* No olvide ingresar la columna Pueblos Originarios (Digite CERO si no tiene). ",IF(L13&gt;$B13,"* El Número de personas en tratamiento pertenecientes a Pueblos Originarios no puede superar el Total. ",""))</f>
        <v/>
      </c>
      <c r="CB13" s="2235" t="str">
        <f t="shared" ref="CB13:CB19" si="3">IF(AND($B13&lt;&gt;0,M13=""),"* No olvide ingresar la columna Migrantes (Digite CERO si no tiene). ",IF(M13&gt;$B13,"* El Número de personas en tratamiento pertenecientes a Población Migrante no puede superar el Total. ",""))</f>
        <v/>
      </c>
      <c r="CG13" s="1468">
        <f t="shared" si="0"/>
        <v>0</v>
      </c>
      <c r="CH13" s="1468">
        <f t="shared" si="0"/>
        <v>0</v>
      </c>
      <c r="CI13" s="2328"/>
      <c r="CJ13" s="2328"/>
      <c r="CK13" s="2328"/>
      <c r="CL13" s="2328"/>
    </row>
    <row r="14" spans="1:90" ht="26.25" customHeight="1" x14ac:dyDescent="0.25">
      <c r="A14" s="2332" t="s">
        <v>2292</v>
      </c>
      <c r="B14" s="2339"/>
      <c r="C14" s="7440"/>
      <c r="D14" s="7441"/>
      <c r="E14" s="7441"/>
      <c r="F14" s="7441"/>
      <c r="G14" s="7441"/>
      <c r="H14" s="7441"/>
      <c r="I14" s="7441"/>
      <c r="J14" s="7441"/>
      <c r="K14" s="7442"/>
      <c r="L14" s="7443"/>
      <c r="M14" s="7444"/>
      <c r="CA14" s="2235" t="str">
        <f t="shared" si="2"/>
        <v/>
      </c>
      <c r="CB14" s="2235" t="str">
        <f t="shared" si="3"/>
        <v/>
      </c>
      <c r="CG14" s="1468">
        <f t="shared" si="0"/>
        <v>0</v>
      </c>
      <c r="CH14" s="1468">
        <f t="shared" si="0"/>
        <v>0</v>
      </c>
      <c r="CI14" s="2328"/>
      <c r="CJ14" s="2328"/>
      <c r="CK14" s="2328"/>
      <c r="CL14" s="2328"/>
    </row>
    <row r="15" spans="1:90" ht="27" customHeight="1" x14ac:dyDescent="0.25">
      <c r="A15" s="2334" t="s">
        <v>2356</v>
      </c>
      <c r="B15" s="2340">
        <f>SUM(C15:K15)</f>
        <v>0</v>
      </c>
      <c r="C15" s="1923"/>
      <c r="D15" s="1703"/>
      <c r="E15" s="1703"/>
      <c r="F15" s="1703"/>
      <c r="G15" s="1703"/>
      <c r="H15" s="1703"/>
      <c r="I15" s="1703"/>
      <c r="J15" s="1703"/>
      <c r="K15" s="1826"/>
      <c r="L15" s="1976"/>
      <c r="M15" s="914"/>
      <c r="N15" s="1188" t="str">
        <f t="shared" si="1"/>
        <v/>
      </c>
      <c r="CA15" s="2235" t="str">
        <f t="shared" si="2"/>
        <v/>
      </c>
      <c r="CB15" s="2235" t="str">
        <f t="shared" si="3"/>
        <v/>
      </c>
      <c r="CG15" s="1468">
        <f t="shared" si="0"/>
        <v>0</v>
      </c>
      <c r="CH15" s="1468">
        <f t="shared" si="0"/>
        <v>0</v>
      </c>
      <c r="CI15" s="2328"/>
      <c r="CJ15" s="2328"/>
      <c r="CK15" s="2328"/>
      <c r="CL15" s="2328"/>
    </row>
    <row r="16" spans="1:90" ht="22.5" customHeight="1" x14ac:dyDescent="0.25">
      <c r="A16" s="2336" t="s">
        <v>2357</v>
      </c>
      <c r="B16" s="2337">
        <f>SUM(C16:K16)</f>
        <v>0</v>
      </c>
      <c r="C16" s="1689"/>
      <c r="D16" s="753"/>
      <c r="E16" s="753"/>
      <c r="F16" s="753"/>
      <c r="G16" s="753"/>
      <c r="H16" s="753"/>
      <c r="I16" s="753"/>
      <c r="J16" s="753"/>
      <c r="K16" s="2338"/>
      <c r="L16" s="1975"/>
      <c r="M16" s="1731"/>
      <c r="N16" s="1188" t="str">
        <f t="shared" si="1"/>
        <v/>
      </c>
      <c r="CA16" s="2235" t="str">
        <f t="shared" si="2"/>
        <v/>
      </c>
      <c r="CB16" s="2235" t="str">
        <f t="shared" si="3"/>
        <v/>
      </c>
      <c r="CG16" s="1468">
        <f t="shared" si="0"/>
        <v>0</v>
      </c>
      <c r="CH16" s="1468">
        <f t="shared" si="0"/>
        <v>0</v>
      </c>
      <c r="CI16" s="2328"/>
      <c r="CJ16" s="2328"/>
      <c r="CK16" s="2328"/>
      <c r="CL16" s="2328"/>
    </row>
    <row r="17" spans="1:90" ht="26.25" customHeight="1" x14ac:dyDescent="0.25">
      <c r="A17" s="2332" t="s">
        <v>2293</v>
      </c>
      <c r="B17" s="7445"/>
      <c r="C17" s="7440"/>
      <c r="D17" s="7441"/>
      <c r="E17" s="7441"/>
      <c r="F17" s="7441"/>
      <c r="G17" s="7441"/>
      <c r="H17" s="7441"/>
      <c r="I17" s="7441"/>
      <c r="J17" s="7441"/>
      <c r="K17" s="7442"/>
      <c r="L17" s="7443"/>
      <c r="M17" s="7444"/>
      <c r="CA17" s="2235" t="str">
        <f t="shared" si="2"/>
        <v/>
      </c>
      <c r="CB17" s="2235" t="str">
        <f t="shared" si="3"/>
        <v/>
      </c>
      <c r="CG17" s="1468">
        <f t="shared" si="0"/>
        <v>0</v>
      </c>
      <c r="CH17" s="1468">
        <f t="shared" si="0"/>
        <v>0</v>
      </c>
      <c r="CI17" s="2328"/>
      <c r="CJ17" s="2328"/>
      <c r="CK17" s="2328"/>
      <c r="CL17" s="2328"/>
    </row>
    <row r="18" spans="1:90" ht="36" customHeight="1" x14ac:dyDescent="0.25">
      <c r="A18" s="2341" t="s">
        <v>2358</v>
      </c>
      <c r="B18" s="2342">
        <f>SUM(C18:K18)</f>
        <v>0</v>
      </c>
      <c r="C18" s="1923"/>
      <c r="D18" s="1703"/>
      <c r="E18" s="1703"/>
      <c r="F18" s="1703"/>
      <c r="G18" s="1703"/>
      <c r="H18" s="1703"/>
      <c r="I18" s="1703"/>
      <c r="J18" s="1703"/>
      <c r="K18" s="1826"/>
      <c r="L18" s="1976"/>
      <c r="M18" s="914"/>
      <c r="N18" s="1188" t="str">
        <f t="shared" si="1"/>
        <v/>
      </c>
      <c r="CA18" s="2235" t="str">
        <f t="shared" si="2"/>
        <v/>
      </c>
      <c r="CB18" s="2235" t="str">
        <f t="shared" si="3"/>
        <v/>
      </c>
      <c r="CG18" s="1468">
        <f t="shared" si="0"/>
        <v>0</v>
      </c>
      <c r="CH18" s="1468">
        <f t="shared" si="0"/>
        <v>0</v>
      </c>
      <c r="CI18" s="2328"/>
      <c r="CJ18" s="2328"/>
      <c r="CK18" s="2328"/>
      <c r="CL18" s="2328"/>
    </row>
    <row r="19" spans="1:90" ht="24" customHeight="1" x14ac:dyDescent="0.25">
      <c r="A19" s="2336" t="s">
        <v>2357</v>
      </c>
      <c r="B19" s="2337">
        <f>SUM(C19:K19)</f>
        <v>0</v>
      </c>
      <c r="C19" s="1689"/>
      <c r="D19" s="753"/>
      <c r="E19" s="753"/>
      <c r="F19" s="753"/>
      <c r="G19" s="753"/>
      <c r="H19" s="753"/>
      <c r="I19" s="753"/>
      <c r="J19" s="753"/>
      <c r="K19" s="2338"/>
      <c r="L19" s="1975"/>
      <c r="M19" s="1731"/>
      <c r="N19" s="1188" t="str">
        <f t="shared" si="1"/>
        <v/>
      </c>
      <c r="CA19" s="2235" t="str">
        <f t="shared" si="2"/>
        <v/>
      </c>
      <c r="CB19" s="2235" t="str">
        <f t="shared" si="3"/>
        <v/>
      </c>
      <c r="CG19" s="1468">
        <f t="shared" si="0"/>
        <v>0</v>
      </c>
      <c r="CH19" s="1468">
        <f t="shared" si="0"/>
        <v>0</v>
      </c>
      <c r="CI19" s="2328"/>
      <c r="CJ19" s="2328"/>
      <c r="CK19" s="2328"/>
      <c r="CL19" s="2328"/>
    </row>
    <row r="20" spans="1:90" ht="29.25" customHeight="1" x14ac:dyDescent="0.25">
      <c r="A20" s="9669" t="s">
        <v>2294</v>
      </c>
      <c r="B20" s="9669"/>
      <c r="C20" s="9669"/>
      <c r="D20" s="9669"/>
      <c r="E20" s="9669"/>
      <c r="F20" s="2343"/>
      <c r="G20" s="2343"/>
      <c r="H20" s="9669"/>
      <c r="I20" s="9669"/>
      <c r="J20" s="9669"/>
      <c r="K20" s="9669"/>
      <c r="CG20" s="2328"/>
      <c r="CH20" s="2328"/>
      <c r="CI20" s="2328"/>
      <c r="CJ20" s="2328"/>
      <c r="CK20" s="2328"/>
      <c r="CL20" s="2328"/>
    </row>
    <row r="21" spans="1:90" ht="26.25" customHeight="1" x14ac:dyDescent="0.25">
      <c r="A21" s="2344"/>
      <c r="B21" s="2345" t="s">
        <v>44</v>
      </c>
      <c r="C21" s="2346" t="s">
        <v>360</v>
      </c>
      <c r="D21" s="2228" t="s">
        <v>359</v>
      </c>
      <c r="CG21" s="2328"/>
      <c r="CH21" s="2328"/>
      <c r="CI21" s="2328"/>
      <c r="CJ21" s="2328"/>
      <c r="CK21" s="2328"/>
      <c r="CL21" s="2328"/>
    </row>
    <row r="22" spans="1:90" ht="36" customHeight="1" x14ac:dyDescent="0.25">
      <c r="A22" s="2341" t="s">
        <v>2327</v>
      </c>
      <c r="B22" s="2347"/>
      <c r="C22" s="2348"/>
      <c r="D22" s="1823"/>
      <c r="E22" s="1188" t="str">
        <f>CONCATENATE($CA22,$CB22)</f>
        <v/>
      </c>
      <c r="CA22" s="2235" t="str">
        <f>IF(AND($B22&lt;&gt;0,C22=""),"* No olvide ingresar la columna Pueblos Originarios (Digite CERO si no tiene). ",IF(C22&gt;$B22,"* El Número de recién nacidos pertenecientes a Pueblos Originarios no puede superar el Total. ",""))</f>
        <v/>
      </c>
      <c r="CB22" s="2235" t="str">
        <f>IF(AND($B22&lt;&gt;0,D22=""),"* No olvide ingresar la columna Migrantes (Digite CERO si no tiene). ",IF(D22&gt;$B22,"* El Número de recién nacidos en tratamiento pertenecientes a Población Migrante no puede superar el Total. ",""))</f>
        <v/>
      </c>
      <c r="CG22" s="1468">
        <f>IF(AND($B22&lt;&gt;0,C22=""),1,IF(C22&gt;$B22,1,0))</f>
        <v>0</v>
      </c>
      <c r="CH22" s="1468">
        <f>IF(AND($B22&lt;&gt;0,D22=""),1,IF(D22&gt;$B22,1,0))</f>
        <v>0</v>
      </c>
      <c r="CI22" s="2328"/>
      <c r="CJ22" s="2328"/>
      <c r="CK22" s="2328"/>
      <c r="CL22" s="2328"/>
    </row>
    <row r="23" spans="1:90" ht="41.25" customHeight="1" x14ac:dyDescent="0.25">
      <c r="A23" s="2349" t="s">
        <v>2328</v>
      </c>
      <c r="B23" s="1680"/>
      <c r="C23" s="1975"/>
      <c r="D23" s="1731"/>
      <c r="E23" s="1188" t="str">
        <f>CONCATENATE($CA23,$CB23)</f>
        <v/>
      </c>
      <c r="CA23" s="2235" t="str">
        <f>IF(AND($B23&lt;&gt;0,C23=""),"* No olvide ingresar la columna Pueblos Originarios (Digite CERO si no tiene). ",IF(C23&gt;$B23,"* El Número de recién nacidos pertenecientes a Pueblos Originarios no puede superar el Total. ",""))</f>
        <v/>
      </c>
      <c r="CB23" s="2235" t="str">
        <f>IF(AND($B23&lt;&gt;0,D23=""),"* No olvide ingresar la columna Migrantes (Digite CERO si no tiene). ",IF(D23&gt;$B23,"* El Número de recién nacidos en tratamiento pertenecientes a Población Migrante no puede superar el Total. ",""))</f>
        <v/>
      </c>
      <c r="CG23" s="1468">
        <f>IF(AND($B23&lt;&gt;0,C23=""),1,IF(C23&gt;$B23,1,0))</f>
        <v>0</v>
      </c>
      <c r="CH23" s="1468">
        <f>IF(AND($B23&lt;&gt;0,D23=""),1,IF(D23&gt;$B23,1,0))</f>
        <v>0</v>
      </c>
      <c r="CI23" s="2328"/>
      <c r="CJ23" s="2328"/>
      <c r="CK23" s="2328"/>
      <c r="CL23" s="2328"/>
    </row>
    <row r="24" spans="1:90" ht="30" customHeight="1" x14ac:dyDescent="0.25">
      <c r="A24" s="9668" t="s">
        <v>2295</v>
      </c>
      <c r="B24" s="9668"/>
      <c r="C24" s="9668"/>
      <c r="D24" s="9668"/>
      <c r="E24" s="9668"/>
      <c r="F24" s="9668"/>
      <c r="G24" s="9668"/>
      <c r="CG24" s="2328"/>
      <c r="CH24" s="2328"/>
      <c r="CI24" s="2328"/>
      <c r="CJ24" s="2328"/>
      <c r="CK24" s="2328"/>
      <c r="CL24" s="2328"/>
    </row>
    <row r="25" spans="1:90" x14ac:dyDescent="0.25">
      <c r="A25" s="9657"/>
      <c r="B25" s="9681" t="s">
        <v>44</v>
      </c>
      <c r="C25" s="9683" t="s">
        <v>538</v>
      </c>
      <c r="D25" s="9662"/>
      <c r="E25" s="9662"/>
      <c r="F25" s="9662"/>
      <c r="G25" s="9662"/>
      <c r="H25" s="9662"/>
      <c r="I25" s="9662"/>
      <c r="J25" s="9662"/>
      <c r="K25" s="9663"/>
      <c r="L25" s="9674" t="s">
        <v>360</v>
      </c>
      <c r="M25" s="9655" t="s">
        <v>359</v>
      </c>
      <c r="CG25" s="2328"/>
      <c r="CH25" s="2328"/>
      <c r="CI25" s="2328"/>
      <c r="CJ25" s="2328"/>
      <c r="CK25" s="2328"/>
      <c r="CL25" s="2328"/>
    </row>
    <row r="26" spans="1:90" ht="21" customHeight="1" x14ac:dyDescent="0.25">
      <c r="A26" s="9658"/>
      <c r="B26" s="9682"/>
      <c r="C26" s="2350" t="s">
        <v>32</v>
      </c>
      <c r="D26" s="2351" t="s">
        <v>33</v>
      </c>
      <c r="E26" s="2351" t="s">
        <v>40</v>
      </c>
      <c r="F26" s="2351" t="s">
        <v>115</v>
      </c>
      <c r="G26" s="2351" t="s">
        <v>116</v>
      </c>
      <c r="H26" s="2351" t="s">
        <v>117</v>
      </c>
      <c r="I26" s="2351" t="s">
        <v>118</v>
      </c>
      <c r="J26" s="2351" t="s">
        <v>119</v>
      </c>
      <c r="K26" s="2352" t="s">
        <v>120</v>
      </c>
      <c r="L26" s="9667"/>
      <c r="M26" s="9656"/>
      <c r="CG26" s="2328"/>
      <c r="CH26" s="2328"/>
      <c r="CI26" s="2328"/>
      <c r="CJ26" s="2328"/>
      <c r="CK26" s="2328"/>
      <c r="CL26" s="2328"/>
    </row>
    <row r="27" spans="1:90" ht="27" customHeight="1" x14ac:dyDescent="0.25">
      <c r="A27" s="2341" t="s">
        <v>2334</v>
      </c>
      <c r="B27" s="2353">
        <f t="shared" ref="B27:B32" si="4">SUM(C27:K27)</f>
        <v>0</v>
      </c>
      <c r="C27" s="1332"/>
      <c r="D27" s="1703"/>
      <c r="E27" s="1703"/>
      <c r="F27" s="1703"/>
      <c r="G27" s="1703"/>
      <c r="H27" s="1703"/>
      <c r="I27" s="1703"/>
      <c r="J27" s="1703"/>
      <c r="K27" s="1826"/>
      <c r="L27" s="1618"/>
      <c r="M27" s="1334"/>
      <c r="N27" s="1188" t="str">
        <f t="shared" ref="N27:N32" si="5">CONCATENATE($CA27,$CB27)</f>
        <v/>
      </c>
      <c r="CA27" s="2235" t="str">
        <f t="shared" ref="CA27:CA32" si="6">IF(AND($B27&lt;&gt;0,L27=""),"* No olvide ingresar la columna Pueblos Originarios (Digite CERO si no tiene). ",IF(L27&gt;$B27,"* El Número de mujeres pertenecientes a Pueblos Originarios no puede superar el Total. ",""))</f>
        <v/>
      </c>
      <c r="CB27" s="2235" t="str">
        <f t="shared" ref="CB27:CB32" si="7">IF(AND($B27&lt;&gt;0,M27=""),"* No olvide ingresar la columna Migrantes (Digite CERO si no tiene). ",IF(M27&gt;$B27,"* El Número de mujeres pertenecientes a Población Migrante no puede superar el Total. ",""))</f>
        <v/>
      </c>
      <c r="CG27" s="1468">
        <f t="shared" ref="CG27:CH32" si="8">IF(AND($B27&lt;&gt;0,L27=""),1,IF(L27&gt;$B27,1,0))</f>
        <v>0</v>
      </c>
      <c r="CH27" s="1468">
        <f t="shared" si="8"/>
        <v>0</v>
      </c>
      <c r="CI27" s="2328"/>
      <c r="CJ27" s="2328"/>
      <c r="CK27" s="2328"/>
      <c r="CL27" s="2328"/>
    </row>
    <row r="28" spans="1:90" ht="21" customHeight="1" x14ac:dyDescent="0.25">
      <c r="A28" s="2341" t="s">
        <v>2333</v>
      </c>
      <c r="B28" s="2354">
        <f t="shared" si="4"/>
        <v>0</v>
      </c>
      <c r="C28" s="1332"/>
      <c r="D28" s="1703"/>
      <c r="E28" s="1703"/>
      <c r="F28" s="1703"/>
      <c r="G28" s="1703"/>
      <c r="H28" s="1703"/>
      <c r="I28" s="1703"/>
      <c r="J28" s="1703"/>
      <c r="K28" s="1826"/>
      <c r="L28" s="1618"/>
      <c r="M28" s="1334"/>
      <c r="N28" s="1188" t="str">
        <f t="shared" si="5"/>
        <v/>
      </c>
      <c r="CA28" s="2235" t="str">
        <f t="shared" si="6"/>
        <v/>
      </c>
      <c r="CB28" s="2235" t="str">
        <f t="shared" si="7"/>
        <v/>
      </c>
      <c r="CG28" s="1468">
        <f t="shared" si="8"/>
        <v>0</v>
      </c>
      <c r="CH28" s="1468">
        <f t="shared" si="8"/>
        <v>0</v>
      </c>
      <c r="CI28" s="2328"/>
      <c r="CJ28" s="2328"/>
      <c r="CK28" s="2328"/>
      <c r="CL28" s="2328"/>
    </row>
    <row r="29" spans="1:90" ht="34.5" customHeight="1" x14ac:dyDescent="0.25">
      <c r="A29" s="2341" t="s">
        <v>2332</v>
      </c>
      <c r="B29" s="2354">
        <f t="shared" si="4"/>
        <v>0</v>
      </c>
      <c r="C29" s="1332"/>
      <c r="D29" s="1703"/>
      <c r="E29" s="1703"/>
      <c r="F29" s="1703"/>
      <c r="G29" s="1703"/>
      <c r="H29" s="1703"/>
      <c r="I29" s="1703"/>
      <c r="J29" s="1703"/>
      <c r="K29" s="1826"/>
      <c r="L29" s="1618"/>
      <c r="M29" s="1334"/>
      <c r="N29" s="1188" t="str">
        <f t="shared" si="5"/>
        <v/>
      </c>
      <c r="CA29" s="2235" t="str">
        <f t="shared" si="6"/>
        <v/>
      </c>
      <c r="CB29" s="2235" t="str">
        <f t="shared" si="7"/>
        <v/>
      </c>
      <c r="CG29" s="1468">
        <f t="shared" si="8"/>
        <v>0</v>
      </c>
      <c r="CH29" s="1468">
        <f t="shared" si="8"/>
        <v>0</v>
      </c>
      <c r="CI29" s="2328"/>
      <c r="CJ29" s="2328"/>
      <c r="CK29" s="2328"/>
      <c r="CL29" s="2328"/>
    </row>
    <row r="30" spans="1:90" ht="23.25" customHeight="1" x14ac:dyDescent="0.25">
      <c r="A30" s="2341" t="s">
        <v>2329</v>
      </c>
      <c r="B30" s="2354">
        <f t="shared" si="4"/>
        <v>0</v>
      </c>
      <c r="C30" s="1332"/>
      <c r="D30" s="1703"/>
      <c r="E30" s="1703"/>
      <c r="F30" s="1703"/>
      <c r="G30" s="1703"/>
      <c r="H30" s="1703"/>
      <c r="I30" s="1703"/>
      <c r="J30" s="1703"/>
      <c r="K30" s="1826"/>
      <c r="L30" s="1618"/>
      <c r="M30" s="1334"/>
      <c r="N30" s="1188" t="str">
        <f t="shared" si="5"/>
        <v/>
      </c>
      <c r="CA30" s="2235" t="str">
        <f t="shared" si="6"/>
        <v/>
      </c>
      <c r="CB30" s="2235" t="str">
        <f t="shared" si="7"/>
        <v/>
      </c>
      <c r="CG30" s="1468">
        <f t="shared" si="8"/>
        <v>0</v>
      </c>
      <c r="CH30" s="1468">
        <f t="shared" si="8"/>
        <v>0</v>
      </c>
      <c r="CI30" s="2328"/>
      <c r="CJ30" s="2328"/>
      <c r="CK30" s="2328"/>
      <c r="CL30" s="2328"/>
    </row>
    <row r="31" spans="1:90" ht="25.5" customHeight="1" x14ac:dyDescent="0.25">
      <c r="A31" s="2341" t="s">
        <v>2330</v>
      </c>
      <c r="B31" s="2354">
        <f t="shared" si="4"/>
        <v>0</v>
      </c>
      <c r="C31" s="1332"/>
      <c r="D31" s="1703"/>
      <c r="E31" s="1703"/>
      <c r="F31" s="1703"/>
      <c r="G31" s="1703"/>
      <c r="H31" s="1703"/>
      <c r="I31" s="1703"/>
      <c r="J31" s="1703"/>
      <c r="K31" s="1826"/>
      <c r="L31" s="1618"/>
      <c r="M31" s="1334"/>
      <c r="N31" s="1188" t="str">
        <f t="shared" si="5"/>
        <v/>
      </c>
      <c r="CA31" s="2235" t="str">
        <f t="shared" si="6"/>
        <v/>
      </c>
      <c r="CB31" s="2235" t="str">
        <f t="shared" si="7"/>
        <v/>
      </c>
      <c r="CG31" s="1468">
        <f t="shared" si="8"/>
        <v>0</v>
      </c>
      <c r="CH31" s="1468">
        <f t="shared" si="8"/>
        <v>0</v>
      </c>
      <c r="CI31" s="2328"/>
      <c r="CJ31" s="2328"/>
      <c r="CK31" s="2328"/>
      <c r="CL31" s="2328"/>
    </row>
    <row r="32" spans="1:90" ht="24" customHeight="1" x14ac:dyDescent="0.25">
      <c r="A32" s="2341" t="s">
        <v>2331</v>
      </c>
      <c r="B32" s="2337">
        <f t="shared" si="4"/>
        <v>0</v>
      </c>
      <c r="C32" s="1654"/>
      <c r="D32" s="1697"/>
      <c r="E32" s="1697"/>
      <c r="F32" s="1697"/>
      <c r="G32" s="1697"/>
      <c r="H32" s="1697"/>
      <c r="I32" s="1697"/>
      <c r="J32" s="1697"/>
      <c r="K32" s="1825"/>
      <c r="L32" s="1699"/>
      <c r="M32" s="1687"/>
      <c r="N32" s="1188" t="str">
        <f t="shared" si="5"/>
        <v/>
      </c>
      <c r="CA32" s="2235" t="str">
        <f t="shared" si="6"/>
        <v/>
      </c>
      <c r="CB32" s="2235" t="str">
        <f t="shared" si="7"/>
        <v/>
      </c>
      <c r="CG32" s="1468">
        <f t="shared" si="8"/>
        <v>0</v>
      </c>
      <c r="CH32" s="1468">
        <f t="shared" si="8"/>
        <v>0</v>
      </c>
      <c r="CI32" s="2328"/>
      <c r="CJ32" s="2328"/>
      <c r="CK32" s="2328"/>
      <c r="CL32" s="2328"/>
    </row>
    <row r="33" spans="1:90" ht="30" customHeight="1" x14ac:dyDescent="0.25">
      <c r="A33" s="9669" t="s">
        <v>2296</v>
      </c>
      <c r="B33" s="9669"/>
      <c r="C33" s="9669"/>
      <c r="D33" s="9669"/>
      <c r="E33" s="9669"/>
      <c r="F33" s="9669"/>
      <c r="G33" s="9669"/>
      <c r="CG33" s="2328"/>
      <c r="CH33" s="2328"/>
      <c r="CI33" s="2328"/>
      <c r="CJ33" s="2328"/>
      <c r="CK33" s="2328"/>
      <c r="CL33" s="2328"/>
    </row>
    <row r="34" spans="1:90" ht="30.75" customHeight="1" x14ac:dyDescent="0.25">
      <c r="A34" s="2355"/>
      <c r="B34" s="2345" t="s">
        <v>44</v>
      </c>
      <c r="C34" s="2346" t="s">
        <v>360</v>
      </c>
      <c r="D34" s="2228" t="s">
        <v>359</v>
      </c>
      <c r="CG34" s="2328"/>
      <c r="CH34" s="2328"/>
      <c r="CI34" s="2328"/>
      <c r="CJ34" s="2328"/>
      <c r="CK34" s="2328"/>
      <c r="CL34" s="2328"/>
    </row>
    <row r="35" spans="1:90" ht="27.75" customHeight="1" x14ac:dyDescent="0.25">
      <c r="A35" s="2341" t="s">
        <v>2326</v>
      </c>
      <c r="B35" s="1331"/>
      <c r="C35" s="1618"/>
      <c r="D35" s="1338"/>
      <c r="E35" s="1188" t="str">
        <f>CONCATENATE($CA35,$CB35)</f>
        <v/>
      </c>
      <c r="CA35" s="2235" t="str">
        <f>IF(AND($B35&lt;&gt;0,C35=""),"* No olvide ingresar la columna Pueblos Originarios (Digite CERO si no tiene). ",IF(C35&gt;$B35,"* El Número de recién nacidos pertenecientes a Pueblos Originarios no puede superar el Total. ",""))</f>
        <v/>
      </c>
      <c r="CB35" s="2235" t="str">
        <f>IF(AND($B35&lt;&gt;0,D35=""),"* No olvide ingresar la columna Migrantes (Digite CERO si no tiene). ",IF(D35&gt;$B35,"* El Número de recién nacidos en tratamiento pertenecientes a Población Migrante no puede superar el Total. ",""))</f>
        <v/>
      </c>
      <c r="CG35" s="1468">
        <f>IF(AND($B35&lt;&gt;0,C35=""),1,IF(C35&gt;$B35,1,0))</f>
        <v>0</v>
      </c>
      <c r="CH35" s="1468">
        <f>IF(AND($B35&lt;&gt;0,D35=""),1,IF(D35&gt;$B35,1,0))</f>
        <v>0</v>
      </c>
      <c r="CI35" s="2328"/>
      <c r="CJ35" s="2328"/>
      <c r="CK35" s="2328"/>
      <c r="CL35" s="2328"/>
    </row>
    <row r="36" spans="1:90" ht="27" customHeight="1" x14ac:dyDescent="0.25">
      <c r="A36" s="2349" t="s">
        <v>2297</v>
      </c>
      <c r="B36" s="1310"/>
      <c r="C36" s="1699"/>
      <c r="D36" s="1647"/>
      <c r="E36" s="1188" t="str">
        <f>CONCATENATE($CA36,$CB36)</f>
        <v/>
      </c>
      <c r="CA36" s="2235" t="str">
        <f>IF(AND($B36&lt;&gt;0,C36=""),"* No olvide ingresar la columna Pueblos Originarios (Digite CERO si no tiene). ",IF(C36&gt;$B36,"* El Número de recién nacidos pertenecientes a Pueblos Originarios no puede superar el Total. ",""))</f>
        <v/>
      </c>
      <c r="CB36" s="2235" t="str">
        <f>IF(AND($B36&lt;&gt;0,D36=""),"* No olvide ingresar la columna Migrantes (Digite CERO si no tiene). ",IF(D36&gt;$B36,"* El Número de recién nacidos en tratamiento pertenecientes a Población Migrante no puede superar el Total. ",""))</f>
        <v/>
      </c>
      <c r="CG36" s="1468">
        <f>IF(AND($B36&lt;&gt;0,C36=""),1,IF(C36&gt;$B36,1,0))</f>
        <v>0</v>
      </c>
      <c r="CH36" s="1468">
        <f>IF(AND($B36&lt;&gt;0,D36=""),1,IF(D36&gt;$B36,1,0))</f>
        <v>0</v>
      </c>
      <c r="CI36" s="2328"/>
      <c r="CJ36" s="2328"/>
      <c r="CK36" s="2328"/>
      <c r="CL36" s="2328"/>
    </row>
    <row r="37" spans="1:90" ht="27.75" customHeight="1" x14ac:dyDescent="0.25">
      <c r="A37" s="9668" t="s">
        <v>2335</v>
      </c>
      <c r="B37" s="9668"/>
      <c r="C37" s="9668"/>
      <c r="D37" s="9668"/>
      <c r="E37" s="9668"/>
      <c r="F37" s="9668"/>
      <c r="G37" s="9668"/>
      <c r="H37" s="9668"/>
      <c r="I37" s="9668"/>
      <c r="J37" s="2327"/>
      <c r="K37" s="2327"/>
      <c r="CG37" s="2328"/>
      <c r="CH37" s="2328"/>
      <c r="CI37" s="2328"/>
      <c r="CJ37" s="2328"/>
      <c r="CK37" s="2328"/>
      <c r="CL37" s="2328"/>
    </row>
    <row r="38" spans="1:90" x14ac:dyDescent="0.25">
      <c r="A38" s="9670"/>
      <c r="B38" s="9676" t="s">
        <v>44</v>
      </c>
      <c r="C38" s="9661" t="s">
        <v>538</v>
      </c>
      <c r="D38" s="9662"/>
      <c r="E38" s="9662"/>
      <c r="F38" s="9662"/>
      <c r="G38" s="9662"/>
      <c r="H38" s="9662"/>
      <c r="I38" s="9662"/>
      <c r="J38" s="9662"/>
      <c r="K38" s="9663"/>
      <c r="L38" s="9664" t="s">
        <v>360</v>
      </c>
      <c r="M38" s="9674" t="s">
        <v>359</v>
      </c>
      <c r="CG38" s="2328"/>
      <c r="CH38" s="2328"/>
      <c r="CI38" s="2328"/>
      <c r="CJ38" s="2328"/>
      <c r="CK38" s="2328"/>
      <c r="CL38" s="2328"/>
    </row>
    <row r="39" spans="1:90" ht="22.5" customHeight="1" x14ac:dyDescent="0.25">
      <c r="A39" s="9671"/>
      <c r="B39" s="9677"/>
      <c r="C39" s="2356" t="s">
        <v>32</v>
      </c>
      <c r="D39" s="2357" t="s">
        <v>33</v>
      </c>
      <c r="E39" s="2357" t="s">
        <v>40</v>
      </c>
      <c r="F39" s="2357" t="s">
        <v>115</v>
      </c>
      <c r="G39" s="2357" t="s">
        <v>116</v>
      </c>
      <c r="H39" s="2357" t="s">
        <v>117</v>
      </c>
      <c r="I39" s="2357" t="s">
        <v>118</v>
      </c>
      <c r="J39" s="2357" t="s">
        <v>119</v>
      </c>
      <c r="K39" s="2358" t="s">
        <v>120</v>
      </c>
      <c r="L39" s="9665"/>
      <c r="M39" s="9667"/>
      <c r="CG39" s="2328"/>
      <c r="CH39" s="2328"/>
      <c r="CI39" s="2328"/>
      <c r="CJ39" s="2328"/>
      <c r="CK39" s="2328"/>
      <c r="CL39" s="2328"/>
    </row>
    <row r="40" spans="1:90" ht="30" customHeight="1" x14ac:dyDescent="0.25">
      <c r="A40" s="2341" t="s">
        <v>2537</v>
      </c>
      <c r="B40" s="2359">
        <f>SUM(C40:K40)</f>
        <v>0</v>
      </c>
      <c r="C40" s="1698"/>
      <c r="D40" s="1618"/>
      <c r="E40" s="1618"/>
      <c r="F40" s="1618"/>
      <c r="G40" s="1618"/>
      <c r="H40" s="1618"/>
      <c r="I40" s="1618"/>
      <c r="J40" s="1618"/>
      <c r="K40" s="1826"/>
      <c r="L40" s="1643"/>
      <c r="M40" s="914"/>
      <c r="N40" s="1188" t="str">
        <f t="shared" ref="N40:N47" si="9">CONCATENATE($CA40,$CB40)</f>
        <v/>
      </c>
      <c r="CA40" s="2235" t="str">
        <f>IF(AND($B40&lt;&gt;0,L40=""),"* No olvide ingresar la columna Pueblos Originarios (Digite CERO si no tiene). ",IF(L40&gt;$B40,"* El Número de mujeres pertenecientes a Pueblos Originarios no puede superar el Total. ",""))</f>
        <v/>
      </c>
      <c r="CB40" s="2235" t="str">
        <f>IF(AND($B40&lt;&gt;0,M40=""),"* No olvide ingresar la columna Migrantes (Digite CERO si no tiene). ",IF(M40&gt;$B40,"* El Número de mujeres pertenecientes a Población Migrante no puede superar el Total. ",""))</f>
        <v/>
      </c>
      <c r="CG40" s="1468">
        <f>IF(AND($B40&lt;&gt;0,L40=""),1,IF(L40&gt;$B40,1,0))</f>
        <v>0</v>
      </c>
      <c r="CH40" s="1468">
        <f>IF(AND($B40&lt;&gt;0,M40=""),1,IF(M40&gt;$B40,1,0))</f>
        <v>0</v>
      </c>
      <c r="CI40" s="2328"/>
      <c r="CJ40" s="2328"/>
      <c r="CK40" s="2328"/>
      <c r="CL40" s="2328"/>
    </row>
    <row r="41" spans="1:90" ht="33" customHeight="1" x14ac:dyDescent="0.25">
      <c r="A41" s="2341" t="s">
        <v>2538</v>
      </c>
      <c r="B41" s="2359">
        <f t="shared" ref="B41:B47" si="10">SUM(C41:K41)</f>
        <v>0</v>
      </c>
      <c r="C41" s="1698"/>
      <c r="D41" s="1618"/>
      <c r="E41" s="1618"/>
      <c r="F41" s="1618"/>
      <c r="G41" s="1618"/>
      <c r="H41" s="1618"/>
      <c r="I41" s="1618"/>
      <c r="J41" s="1618"/>
      <c r="K41" s="1826"/>
      <c r="L41" s="1643"/>
      <c r="M41" s="914"/>
      <c r="N41" s="1188" t="str">
        <f t="shared" si="9"/>
        <v/>
      </c>
      <c r="CA41" s="2235" t="str">
        <f t="shared" ref="CA41:CA47" si="11">IF(AND($B41&lt;&gt;0,L41=""),"* No olvide ingresar la columna Pueblos Originarios (Digite CERO si no tiene). ",IF(L41&gt;$B41,"* El Número de mujeres pertenecientes a Pueblos Originarios no puede superar el Total. ",""))</f>
        <v/>
      </c>
      <c r="CB41" s="2235" t="str">
        <f t="shared" ref="CB41:CB47" si="12">IF(AND($B41&lt;&gt;0,M41=""),"* No olvide ingresar la columna Migrantes (Digite CERO si no tiene). ",IF(M41&gt;$B41,"* El Número de mujeres pertenecientes a Población Migrante no puede superar el Total. ",""))</f>
        <v/>
      </c>
      <c r="CG41" s="1468">
        <f t="shared" ref="CG41:CG47" si="13">IF(AND($B41&lt;&gt;0,L41=""),1,IF(L41&gt;$B41,1,0))</f>
        <v>0</v>
      </c>
      <c r="CH41" s="1468">
        <f t="shared" ref="CH41:CH47" si="14">IF(AND($B41&lt;&gt;0,M41=""),1,IF(M41&gt;$B41,1,0))</f>
        <v>0</v>
      </c>
      <c r="CI41" s="2328"/>
      <c r="CJ41" s="2328"/>
      <c r="CK41" s="2328"/>
      <c r="CL41" s="2328"/>
    </row>
    <row r="42" spans="1:90" ht="33" customHeight="1" x14ac:dyDescent="0.25">
      <c r="A42" s="2341" t="s">
        <v>2539</v>
      </c>
      <c r="B42" s="2359">
        <f t="shared" si="10"/>
        <v>0</v>
      </c>
      <c r="C42" s="1698"/>
      <c r="D42" s="1618"/>
      <c r="E42" s="1618"/>
      <c r="F42" s="1618"/>
      <c r="G42" s="1618"/>
      <c r="H42" s="1618"/>
      <c r="I42" s="1618"/>
      <c r="J42" s="1618"/>
      <c r="K42" s="1826"/>
      <c r="L42" s="1643"/>
      <c r="M42" s="914"/>
      <c r="N42" s="1188" t="str">
        <f t="shared" si="9"/>
        <v/>
      </c>
      <c r="CA42" s="2235" t="str">
        <f t="shared" si="11"/>
        <v/>
      </c>
      <c r="CB42" s="2235" t="str">
        <f t="shared" si="12"/>
        <v/>
      </c>
      <c r="CG42" s="1468">
        <f t="shared" si="13"/>
        <v>0</v>
      </c>
      <c r="CH42" s="1468">
        <f t="shared" si="14"/>
        <v>0</v>
      </c>
      <c r="CI42" s="2328"/>
      <c r="CJ42" s="2328"/>
      <c r="CK42" s="2328"/>
      <c r="CL42" s="2328"/>
    </row>
    <row r="43" spans="1:90" ht="18.75" customHeight="1" x14ac:dyDescent="0.25">
      <c r="A43" s="2341" t="s">
        <v>2540</v>
      </c>
      <c r="B43" s="2359">
        <f t="shared" si="10"/>
        <v>0</v>
      </c>
      <c r="C43" s="1698"/>
      <c r="D43" s="1618"/>
      <c r="E43" s="1618"/>
      <c r="F43" s="1618"/>
      <c r="G43" s="1618"/>
      <c r="H43" s="1618"/>
      <c r="I43" s="1618"/>
      <c r="J43" s="1618"/>
      <c r="K43" s="1826"/>
      <c r="L43" s="1643"/>
      <c r="M43" s="914"/>
      <c r="N43" s="1188" t="str">
        <f t="shared" si="9"/>
        <v/>
      </c>
      <c r="CA43" s="2235" t="str">
        <f t="shared" si="11"/>
        <v/>
      </c>
      <c r="CB43" s="2235" t="str">
        <f t="shared" si="12"/>
        <v/>
      </c>
      <c r="CG43" s="1468">
        <f t="shared" si="13"/>
        <v>0</v>
      </c>
      <c r="CH43" s="1468">
        <f t="shared" si="14"/>
        <v>0</v>
      </c>
      <c r="CI43" s="2328"/>
      <c r="CJ43" s="2328"/>
      <c r="CK43" s="2328"/>
      <c r="CL43" s="2328"/>
    </row>
    <row r="44" spans="1:90" ht="32.25" customHeight="1" x14ac:dyDescent="0.25">
      <c r="A44" s="2341" t="s">
        <v>2541</v>
      </c>
      <c r="B44" s="2359">
        <f t="shared" si="10"/>
        <v>0</v>
      </c>
      <c r="C44" s="1698"/>
      <c r="D44" s="1618"/>
      <c r="E44" s="1618"/>
      <c r="F44" s="1618"/>
      <c r="G44" s="1618"/>
      <c r="H44" s="1618"/>
      <c r="I44" s="1618"/>
      <c r="J44" s="1618"/>
      <c r="K44" s="1826"/>
      <c r="L44" s="1643"/>
      <c r="M44" s="914"/>
      <c r="N44" s="1188" t="str">
        <f t="shared" si="9"/>
        <v/>
      </c>
      <c r="CA44" s="2235" t="str">
        <f t="shared" si="11"/>
        <v/>
      </c>
      <c r="CB44" s="2235" t="str">
        <f t="shared" si="12"/>
        <v/>
      </c>
      <c r="CG44" s="1468">
        <f t="shared" si="13"/>
        <v>0</v>
      </c>
      <c r="CH44" s="1468">
        <f t="shared" si="14"/>
        <v>0</v>
      </c>
      <c r="CI44" s="2328"/>
      <c r="CJ44" s="2328"/>
      <c r="CK44" s="2328"/>
      <c r="CL44" s="2328"/>
    </row>
    <row r="45" spans="1:90" ht="29.25" customHeight="1" x14ac:dyDescent="0.25">
      <c r="A45" s="2341" t="s">
        <v>2542</v>
      </c>
      <c r="B45" s="2359">
        <f t="shared" si="10"/>
        <v>0</v>
      </c>
      <c r="C45" s="1698"/>
      <c r="D45" s="1618"/>
      <c r="E45" s="1618"/>
      <c r="F45" s="1618"/>
      <c r="G45" s="1618"/>
      <c r="H45" s="1618"/>
      <c r="I45" s="1618"/>
      <c r="J45" s="1618"/>
      <c r="K45" s="1826"/>
      <c r="L45" s="1643"/>
      <c r="M45" s="914"/>
      <c r="N45" s="1188" t="str">
        <f t="shared" si="9"/>
        <v/>
      </c>
      <c r="CA45" s="2235" t="str">
        <f t="shared" si="11"/>
        <v/>
      </c>
      <c r="CB45" s="2235" t="str">
        <f t="shared" si="12"/>
        <v/>
      </c>
      <c r="CG45" s="1468">
        <f t="shared" si="13"/>
        <v>0</v>
      </c>
      <c r="CH45" s="1468">
        <f t="shared" si="14"/>
        <v>0</v>
      </c>
      <c r="CI45" s="2328"/>
      <c r="CJ45" s="2328"/>
      <c r="CK45" s="2328"/>
      <c r="CL45" s="2328"/>
    </row>
    <row r="46" spans="1:90" ht="34.5" customHeight="1" x14ac:dyDescent="0.25">
      <c r="A46" s="2341" t="s">
        <v>2543</v>
      </c>
      <c r="B46" s="2359">
        <f>SUM(C46:K46)</f>
        <v>0</v>
      </c>
      <c r="C46" s="1698"/>
      <c r="D46" s="1618"/>
      <c r="E46" s="1618"/>
      <c r="F46" s="1618"/>
      <c r="G46" s="1618"/>
      <c r="H46" s="1618"/>
      <c r="I46" s="1618"/>
      <c r="J46" s="1618"/>
      <c r="K46" s="1826"/>
      <c r="L46" s="1643"/>
      <c r="M46" s="914"/>
      <c r="N46" s="1188" t="str">
        <f t="shared" si="9"/>
        <v/>
      </c>
      <c r="CA46" s="2235" t="str">
        <f t="shared" si="11"/>
        <v/>
      </c>
      <c r="CB46" s="2235" t="str">
        <f t="shared" si="12"/>
        <v/>
      </c>
      <c r="CG46" s="1468">
        <f t="shared" si="13"/>
        <v>0</v>
      </c>
      <c r="CH46" s="1468">
        <f t="shared" si="14"/>
        <v>0</v>
      </c>
      <c r="CI46" s="2328"/>
      <c r="CJ46" s="2328"/>
      <c r="CK46" s="2328"/>
      <c r="CL46" s="2328"/>
    </row>
    <row r="47" spans="1:90" ht="31.5" customHeight="1" x14ac:dyDescent="0.25">
      <c r="A47" s="2341" t="s">
        <v>2544</v>
      </c>
      <c r="B47" s="2359">
        <f t="shared" si="10"/>
        <v>0</v>
      </c>
      <c r="C47" s="1699"/>
      <c r="D47" s="1699"/>
      <c r="E47" s="1699"/>
      <c r="F47" s="1699"/>
      <c r="G47" s="1699"/>
      <c r="H47" s="1699"/>
      <c r="I47" s="1699"/>
      <c r="J47" s="1699"/>
      <c r="K47" s="1825"/>
      <c r="L47" s="2360"/>
      <c r="M47" s="1669"/>
      <c r="N47" s="1188" t="str">
        <f t="shared" si="9"/>
        <v/>
      </c>
      <c r="CA47" s="2235" t="str">
        <f t="shared" si="11"/>
        <v/>
      </c>
      <c r="CB47" s="2235" t="str">
        <f t="shared" si="12"/>
        <v/>
      </c>
      <c r="CG47" s="1468">
        <f t="shared" si="13"/>
        <v>0</v>
      </c>
      <c r="CH47" s="1468">
        <f t="shared" si="14"/>
        <v>0</v>
      </c>
      <c r="CI47" s="2328"/>
      <c r="CJ47" s="2328"/>
      <c r="CK47" s="2328"/>
      <c r="CL47" s="2328"/>
    </row>
    <row r="48" spans="1:90" ht="30" customHeight="1" x14ac:dyDescent="0.25">
      <c r="A48" s="9669" t="s">
        <v>2345</v>
      </c>
      <c r="B48" s="9669"/>
      <c r="C48" s="9669"/>
      <c r="D48" s="9669"/>
      <c r="E48" s="9669"/>
      <c r="F48" s="9669"/>
      <c r="G48" s="9669"/>
      <c r="H48" s="9669"/>
      <c r="CG48" s="2328"/>
      <c r="CH48" s="2328"/>
      <c r="CI48" s="2328"/>
      <c r="CJ48" s="2328"/>
      <c r="CK48" s="2328"/>
      <c r="CL48" s="2328"/>
    </row>
    <row r="49" spans="1:90" ht="26.25" customHeight="1" x14ac:dyDescent="0.25">
      <c r="A49" s="2361"/>
      <c r="B49" s="2345" t="s">
        <v>44</v>
      </c>
      <c r="C49" s="2346" t="s">
        <v>360</v>
      </c>
      <c r="D49" s="2228" t="s">
        <v>359</v>
      </c>
      <c r="CG49" s="2328"/>
      <c r="CH49" s="2328"/>
      <c r="CI49" s="2328"/>
      <c r="CJ49" s="2328"/>
      <c r="CK49" s="2328"/>
      <c r="CL49" s="2328"/>
    </row>
    <row r="50" spans="1:90" ht="30" customHeight="1" x14ac:dyDescent="0.25">
      <c r="A50" s="2341" t="s">
        <v>2325</v>
      </c>
      <c r="B50" s="1824"/>
      <c r="C50" s="1698"/>
      <c r="D50" s="1677"/>
      <c r="E50" s="1188" t="str">
        <f>CONCATENATE($CA50,$CB50)</f>
        <v/>
      </c>
      <c r="CA50" s="2235" t="str">
        <f>IF(AND($B50&lt;&gt;0,C50=""),"* No olvide ingresar la columna Pueblos Originarios (Digite CERO si no tiene). ",IF(C50&gt;$B50,"* El Número de recién nacidos pertenecientes a Pueblos Originarios no puede superar el Total. ",""))</f>
        <v/>
      </c>
      <c r="CB50" s="2235" t="str">
        <f>IF(AND($B50&lt;&gt;0,D50=""),"* No olvide ingresar la columna Migrantes (Digite CERO si no tiene). ",IF(D50&gt;$B50,"* El Número de recién nacidos en tratamiento pertenecientes a Población Migrante no puede superar el Total. ",""))</f>
        <v/>
      </c>
      <c r="CG50" s="1468">
        <f t="shared" ref="CG50:CH53" si="15">IF(AND($B50&lt;&gt;0,C50=""),1,IF(C50&gt;$B50,1,0))</f>
        <v>0</v>
      </c>
      <c r="CH50" s="1468">
        <f t="shared" si="15"/>
        <v>0</v>
      </c>
      <c r="CI50" s="2328"/>
      <c r="CJ50" s="2328"/>
      <c r="CK50" s="2328"/>
      <c r="CL50" s="2328"/>
    </row>
    <row r="51" spans="1:90" ht="22.5" customHeight="1" x14ac:dyDescent="0.25">
      <c r="A51" s="2341" t="s">
        <v>2321</v>
      </c>
      <c r="B51" s="1824"/>
      <c r="C51" s="1698"/>
      <c r="D51" s="1677"/>
      <c r="E51" s="1188" t="str">
        <f>CONCATENATE($CA51,$CB51)</f>
        <v/>
      </c>
      <c r="CA51" s="2235" t="str">
        <f>IF(AND($B51&lt;&gt;0,C51=""),"* No olvide ingresar la columna Pueblos Originarios (Digite CERO si no tiene). ",IF(C51&gt;$B51,"* El Número de recién nacidos pertenecientes a Pueblos Originarios no puede superar el Total. ",""))</f>
        <v/>
      </c>
      <c r="CB51" s="2235" t="str">
        <f>IF(AND($B51&lt;&gt;0,D51=""),"* No olvide ingresar la columna Migrantes (Digite CERO si no tiene). ",IF(D51&gt;$B51,"* El Número de recién nacidos en tratamiento pertenecientes a Población Migrante no puede superar el Total. ",""))</f>
        <v/>
      </c>
      <c r="CG51" s="1468">
        <f t="shared" si="15"/>
        <v>0</v>
      </c>
      <c r="CH51" s="1468">
        <f t="shared" si="15"/>
        <v>0</v>
      </c>
      <c r="CI51" s="2328"/>
      <c r="CJ51" s="2328"/>
      <c r="CK51" s="2328"/>
      <c r="CL51" s="2328"/>
    </row>
    <row r="52" spans="1:90" ht="41.25" customHeight="1" x14ac:dyDescent="0.25">
      <c r="A52" s="2341" t="s">
        <v>2324</v>
      </c>
      <c r="B52" s="1824"/>
      <c r="C52" s="1698"/>
      <c r="D52" s="1677"/>
      <c r="E52" s="1188" t="str">
        <f>CONCATENATE($CA52,$CB52)</f>
        <v/>
      </c>
      <c r="CA52" s="2235" t="str">
        <f>IF(AND($B52&lt;&gt;0,C52=""),"* No olvide ingresar la columna Pueblos Originarios (Digite CERO si no tiene). ",IF(C52&gt;$B52,"* El Número de recién nacidos pertenecientes a Pueblos Originarios no puede superar el Total. ",""))</f>
        <v/>
      </c>
      <c r="CB52" s="2235" t="str">
        <f>IF(AND($B52&lt;&gt;0,D52=""),"* No olvide ingresar la columna Migrantes (Digite CERO si no tiene). ",IF(D52&gt;$B52,"* El Número de recién nacidos en tratamiento pertenecientes a Población Migrante no puede superar el Total. ",""))</f>
        <v/>
      </c>
      <c r="CG52" s="1468">
        <f t="shared" si="15"/>
        <v>0</v>
      </c>
      <c r="CH52" s="1468">
        <f t="shared" si="15"/>
        <v>0</v>
      </c>
      <c r="CI52" s="2328"/>
      <c r="CJ52" s="2328"/>
      <c r="CK52" s="2328"/>
      <c r="CL52" s="2328"/>
    </row>
    <row r="53" spans="1:90" ht="30" customHeight="1" x14ac:dyDescent="0.25">
      <c r="A53" s="2349" t="s">
        <v>2323</v>
      </c>
      <c r="B53" s="1825"/>
      <c r="C53" s="1699"/>
      <c r="D53" s="1669"/>
      <c r="E53" s="1188" t="str">
        <f>CONCATENATE($CA53,$CB53)</f>
        <v/>
      </c>
      <c r="CA53" s="2235" t="str">
        <f>IF(AND($B53&lt;&gt;0,C53=""),"* No olvide ingresar la columna Pueblos Originarios (Digite CERO si no tiene). ",IF(C53&gt;$B53,"* El Número de recién nacidos pertenecientes a Pueblos Originarios no puede superar el Total. ",""))</f>
        <v/>
      </c>
      <c r="CB53" s="2235" t="str">
        <f>IF(AND($B53&lt;&gt;0,D53=""),"* No olvide ingresar la columna Migrantes (Digite CERO si no tiene). ",IF(D53&gt;$B53,"* El Número de recién nacidos en tratamiento pertenecientes a Población Migrante no puede superar el Total. ",""))</f>
        <v/>
      </c>
      <c r="CG53" s="1468">
        <f t="shared" si="15"/>
        <v>0</v>
      </c>
      <c r="CH53" s="1468">
        <f t="shared" si="15"/>
        <v>0</v>
      </c>
      <c r="CI53" s="2328"/>
      <c r="CJ53" s="2328"/>
      <c r="CK53" s="2328"/>
      <c r="CL53" s="2328"/>
    </row>
    <row r="54" spans="1:90" ht="33" customHeight="1" x14ac:dyDescent="0.25">
      <c r="A54" s="9675" t="s">
        <v>2340</v>
      </c>
      <c r="B54" s="9675"/>
      <c r="C54" s="9675"/>
      <c r="D54" s="9675"/>
      <c r="E54" s="9675"/>
      <c r="F54" s="9675"/>
      <c r="G54" s="9675"/>
      <c r="H54" s="9675"/>
      <c r="I54" s="9675"/>
      <c r="J54" s="9675"/>
      <c r="K54" s="9675"/>
      <c r="CG54" s="2328"/>
      <c r="CH54" s="2328"/>
      <c r="CI54" s="2328"/>
      <c r="CJ54" s="2328"/>
      <c r="CK54" s="2328"/>
      <c r="CL54" s="2328"/>
    </row>
    <row r="55" spans="1:90" ht="31.5" customHeight="1" x14ac:dyDescent="0.25">
      <c r="A55" s="2362"/>
      <c r="B55" s="2345" t="s">
        <v>44</v>
      </c>
      <c r="C55" s="2346" t="s">
        <v>360</v>
      </c>
      <c r="D55" s="2228" t="s">
        <v>359</v>
      </c>
      <c r="CG55" s="2328"/>
      <c r="CH55" s="2328"/>
      <c r="CI55" s="2328"/>
      <c r="CJ55" s="2328"/>
      <c r="CK55" s="2328"/>
      <c r="CL55" s="2328"/>
    </row>
    <row r="56" spans="1:90" ht="33.75" customHeight="1" x14ac:dyDescent="0.25">
      <c r="A56" s="2341" t="s">
        <v>2322</v>
      </c>
      <c r="B56" s="1824"/>
      <c r="C56" s="1698"/>
      <c r="D56" s="1677"/>
      <c r="E56" s="1188" t="str">
        <f>CONCATENATE($CA56,$CB56)</f>
        <v/>
      </c>
      <c r="CA56" s="2235" t="str">
        <f>IF(AND($B56&lt;&gt;0,C56=""),"* No olvide ingresar la columna Pueblos Originarios (Digite CERO si no tiene). ",IF(C56&gt;$B56,"* El Número de recién nacidos pertenecientes a Pueblos Originarios no puede superar el Total. ",""))</f>
        <v/>
      </c>
      <c r="CB56" s="2235" t="str">
        <f>IF(AND($B56&lt;&gt;0,D56=""),"* No olvide ingresar la columna Migrantes (Digite CERO si no tiene). ",IF(D56&gt;$B56,"* El Número de recién nacidos en tratamiento pertenecientes a Población Migrante no puede superar el Total. ",""))</f>
        <v/>
      </c>
      <c r="CG56" s="1468">
        <f t="shared" ref="CG56:CH59" si="16">IF(AND($B56&lt;&gt;0,C56=""),1,IF(C56&gt;$B56,1,0))</f>
        <v>0</v>
      </c>
      <c r="CH56" s="1468">
        <f t="shared" si="16"/>
        <v>0</v>
      </c>
      <c r="CI56" s="2328"/>
      <c r="CJ56" s="2328"/>
      <c r="CK56" s="2328"/>
      <c r="CL56" s="2328"/>
    </row>
    <row r="57" spans="1:90" ht="25.5" customHeight="1" x14ac:dyDescent="0.25">
      <c r="A57" s="2341" t="s">
        <v>2321</v>
      </c>
      <c r="B57" s="1824"/>
      <c r="C57" s="1698"/>
      <c r="D57" s="1677"/>
      <c r="E57" s="1188" t="str">
        <f>CONCATENATE($CA57,$CB57)</f>
        <v/>
      </c>
      <c r="CA57" s="2235" t="str">
        <f>IF(AND($B57&lt;&gt;0,C57=""),"* No olvide ingresar la columna Pueblos Originarios (Digite CERO si no tiene). ",IF(C57&gt;$B57,"* El Número de recién nacidos pertenecientes a Pueblos Originarios no puede superar el Total. ",""))</f>
        <v/>
      </c>
      <c r="CB57" s="2235" t="str">
        <f>IF(AND($B57&lt;&gt;0,D57=""),"* No olvide ingresar la columna Migrantes (Digite CERO si no tiene). ",IF(D57&gt;$B57,"* El Número de recién nacidos en tratamiento pertenecientes a Población Migrante no puede superar el Total. ",""))</f>
        <v/>
      </c>
      <c r="CG57" s="1468">
        <f t="shared" si="16"/>
        <v>0</v>
      </c>
      <c r="CH57" s="1468">
        <f t="shared" si="16"/>
        <v>0</v>
      </c>
      <c r="CI57" s="2328"/>
      <c r="CJ57" s="2328"/>
      <c r="CK57" s="2328"/>
      <c r="CL57" s="2328"/>
    </row>
    <row r="58" spans="1:90" ht="42.75" customHeight="1" x14ac:dyDescent="0.25">
      <c r="A58" s="2341" t="s">
        <v>2320</v>
      </c>
      <c r="B58" s="1824"/>
      <c r="C58" s="1698"/>
      <c r="D58" s="1677"/>
      <c r="E58" s="1188" t="str">
        <f>CONCATENATE($CA58,$CB58)</f>
        <v/>
      </c>
      <c r="CA58" s="2235" t="str">
        <f>IF(AND($B58&lt;&gt;0,C58=""),"* No olvide ingresar la columna Pueblos Originarios (Digite CERO si no tiene). ",IF(C58&gt;$B58,"* El Número de recién nacidos pertenecientes a Pueblos Originarios no puede superar el Total. ",""))</f>
        <v/>
      </c>
      <c r="CB58" s="2235" t="str">
        <f>IF(AND($B58&lt;&gt;0,D58=""),"* No olvide ingresar la columna Migrantes (Digite CERO si no tiene). ",IF(D58&gt;$B58,"* El Número de recién nacidos en tratamiento pertenecientes a Población Migrante no puede superar el Total. ",""))</f>
        <v/>
      </c>
      <c r="CG58" s="1468">
        <f t="shared" si="16"/>
        <v>0</v>
      </c>
      <c r="CH58" s="1468">
        <f t="shared" si="16"/>
        <v>0</v>
      </c>
      <c r="CI58" s="2328"/>
      <c r="CJ58" s="2328"/>
      <c r="CK58" s="2328"/>
      <c r="CL58" s="2328"/>
    </row>
    <row r="59" spans="1:90" ht="30" customHeight="1" x14ac:dyDescent="0.25">
      <c r="A59" s="2341" t="s">
        <v>2319</v>
      </c>
      <c r="B59" s="1310"/>
      <c r="C59" s="2360"/>
      <c r="D59" s="1669"/>
      <c r="E59" s="1188" t="str">
        <f>CONCATENATE($CA59,$CB59)</f>
        <v/>
      </c>
      <c r="CA59" s="2235" t="str">
        <f>IF(AND($B59&lt;&gt;0,C59=""),"* No olvide ingresar la columna Pueblos Originarios (Digite CERO si no tiene). ",IF(C59&gt;$B59,"* El Número de recién nacidos pertenecientes a Pueblos Originarios no puede superar el Total. ",""))</f>
        <v/>
      </c>
      <c r="CB59" s="2235" t="str">
        <f>IF(AND($B59&lt;&gt;0,D59=""),"* No olvide ingresar la columna Migrantes (Digite CERO si no tiene). ",IF(D59&gt;$B59,"* El Número de recién nacidos en tratamiento pertenecientes a Población Migrante no puede superar el Total. ",""))</f>
        <v/>
      </c>
      <c r="CG59" s="1468">
        <f t="shared" si="16"/>
        <v>0</v>
      </c>
      <c r="CH59" s="1468">
        <f t="shared" si="16"/>
        <v>0</v>
      </c>
      <c r="CI59" s="2328"/>
      <c r="CJ59" s="2328"/>
      <c r="CK59" s="2328"/>
      <c r="CL59" s="2328"/>
    </row>
    <row r="60" spans="1:90" ht="30" customHeight="1" x14ac:dyDescent="0.25">
      <c r="A60" s="9668" t="s">
        <v>2336</v>
      </c>
      <c r="B60" s="9668"/>
      <c r="C60" s="9668"/>
      <c r="D60" s="9668"/>
      <c r="E60" s="9668"/>
      <c r="F60" s="9668"/>
      <c r="G60" s="9668"/>
      <c r="H60" s="9668"/>
      <c r="I60" s="9668"/>
      <c r="J60" s="9668"/>
      <c r="K60" s="9668"/>
      <c r="CG60" s="2328"/>
      <c r="CH60" s="2328"/>
      <c r="CI60" s="2328"/>
      <c r="CJ60" s="2328"/>
      <c r="CK60" s="2328"/>
      <c r="CL60" s="2328"/>
    </row>
    <row r="61" spans="1:90" ht="21" customHeight="1" x14ac:dyDescent="0.25">
      <c r="A61" s="9678"/>
      <c r="B61" s="9679" t="s">
        <v>44</v>
      </c>
      <c r="C61" s="9662" t="s">
        <v>538</v>
      </c>
      <c r="D61" s="9662"/>
      <c r="E61" s="9662"/>
      <c r="F61" s="9662"/>
      <c r="G61" s="9662"/>
      <c r="H61" s="9662"/>
      <c r="I61" s="9662"/>
      <c r="J61" s="9662"/>
      <c r="K61" s="9663"/>
      <c r="L61" s="9672" t="s">
        <v>360</v>
      </c>
      <c r="M61" s="9674" t="s">
        <v>359</v>
      </c>
      <c r="CG61" s="2328"/>
      <c r="CH61" s="2328"/>
      <c r="CI61" s="2328"/>
      <c r="CJ61" s="2328"/>
      <c r="CK61" s="2328"/>
      <c r="CL61" s="2328"/>
    </row>
    <row r="62" spans="1:90" ht="26.25" customHeight="1" x14ac:dyDescent="0.25">
      <c r="A62" s="9658"/>
      <c r="B62" s="9680"/>
      <c r="C62" s="2363" t="s">
        <v>32</v>
      </c>
      <c r="D62" s="2357" t="s">
        <v>33</v>
      </c>
      <c r="E62" s="2357" t="s">
        <v>40</v>
      </c>
      <c r="F62" s="2357" t="s">
        <v>115</v>
      </c>
      <c r="G62" s="2357" t="s">
        <v>116</v>
      </c>
      <c r="H62" s="2357" t="s">
        <v>117</v>
      </c>
      <c r="I62" s="2357" t="s">
        <v>118</v>
      </c>
      <c r="J62" s="2357" t="s">
        <v>119</v>
      </c>
      <c r="K62" s="2364" t="s">
        <v>120</v>
      </c>
      <c r="L62" s="9673"/>
      <c r="M62" s="9667"/>
      <c r="CG62" s="2328"/>
      <c r="CH62" s="2328"/>
      <c r="CI62" s="2328"/>
      <c r="CJ62" s="2328"/>
      <c r="CK62" s="2328"/>
      <c r="CL62" s="2328"/>
    </row>
    <row r="63" spans="1:90" ht="27.75" customHeight="1" x14ac:dyDescent="0.25">
      <c r="A63" s="2372" t="s">
        <v>2298</v>
      </c>
      <c r="B63" s="2365"/>
      <c r="C63" s="2366"/>
      <c r="D63" s="2366"/>
      <c r="E63" s="2366"/>
      <c r="F63" s="2366"/>
      <c r="G63" s="2366"/>
      <c r="H63" s="2366"/>
      <c r="I63" s="2366"/>
      <c r="J63" s="2366"/>
      <c r="K63" s="2367"/>
      <c r="L63" s="2368"/>
      <c r="M63" s="2333"/>
      <c r="CA63" s="2235" t="str">
        <f>IF(AND($B63&lt;&gt;0,L63=""),"* No olvide ingresar la columna Pueblos Originarios (Digite CERO si no tiene). ",IF(L63&gt;$B63,"* El Número de gestantes pertenecientes a Pueblos Originarios no puede superar el Total. ",""))</f>
        <v/>
      </c>
      <c r="CB63" s="2235" t="str">
        <f>IF(AND($B63&lt;&gt;0,M63=""),"* No olvide ingresar la columna Migrantes (Digite CERO si no tiene). ",IF(M63&gt;$B63,"* El Número de gestantes pertenecientes a Población Migrante no puede superar el Total. ",""))</f>
        <v/>
      </c>
      <c r="CG63" s="1468">
        <f>IF(AND($B63&lt;&gt;0,L63=""),1,IF(L63&gt;$B63,1,0))</f>
        <v>0</v>
      </c>
      <c r="CH63" s="1468">
        <f>IF(AND($B63&lt;&gt;0,M63=""),1,IF(M63&gt;$B63,1,0))</f>
        <v>0</v>
      </c>
      <c r="CI63" s="2328"/>
      <c r="CJ63" s="2328"/>
      <c r="CK63" s="2328"/>
      <c r="CL63" s="2328"/>
    </row>
    <row r="64" spans="1:90" ht="24" customHeight="1" x14ac:dyDescent="0.25">
      <c r="A64" s="2341" t="s">
        <v>2318</v>
      </c>
      <c r="B64" s="2369">
        <f>SUM(C64:K64)</f>
        <v>0</v>
      </c>
      <c r="C64" s="1618"/>
      <c r="D64" s="1618"/>
      <c r="E64" s="1618"/>
      <c r="F64" s="1618"/>
      <c r="G64" s="1618"/>
      <c r="H64" s="1618"/>
      <c r="I64" s="1618"/>
      <c r="J64" s="1618"/>
      <c r="K64" s="1736"/>
      <c r="L64" s="1618"/>
      <c r="M64" s="914"/>
      <c r="N64" s="1188" t="str">
        <f t="shared" ref="N64:N73" si="17">CONCATENATE($CA64,$CB64)</f>
        <v/>
      </c>
      <c r="CA64" s="2235" t="str">
        <f t="shared" ref="CA64:CA73" si="18">IF(AND($B64&lt;&gt;0,L64=""),"* No olvide ingresar la columna Pueblos Originarios (Digite CERO si no tiene). ",IF(L64&gt;$B64,"* El Número de gestantes pertenecientes a Pueblos Originarios no puede superar el Total. ",""))</f>
        <v/>
      </c>
      <c r="CB64" s="2235" t="str">
        <f t="shared" ref="CB64:CB72" si="19">IF(AND($B64&lt;&gt;0,M64=""),"* No olvide ingresar la columna Migrantes (Digite CERO si no tiene). ",IF(M64&gt;$B64,"* El Número de gestantes pertenecientes a Población Migrante no puede superar el Total. ",""))</f>
        <v/>
      </c>
      <c r="CG64" s="1468">
        <f t="shared" ref="CG64:CG73" si="20">IF(AND($B64&lt;&gt;0,L64=""),1,IF(L64&gt;$B64,1,0))</f>
        <v>0</v>
      </c>
      <c r="CH64" s="1468">
        <f t="shared" ref="CH64:CH73" si="21">IF(AND($B64&lt;&gt;0,M64=""),1,IF(M64&gt;$B64,1,0))</f>
        <v>0</v>
      </c>
      <c r="CI64" s="2328"/>
      <c r="CJ64" s="2328"/>
      <c r="CK64" s="2328"/>
      <c r="CL64" s="2328"/>
    </row>
    <row r="65" spans="1:90" ht="26.25" customHeight="1" x14ac:dyDescent="0.25">
      <c r="A65" s="2401" t="s">
        <v>2317</v>
      </c>
      <c r="B65" s="2370">
        <f>SUM(C65:K65)</f>
        <v>0</v>
      </c>
      <c r="C65" s="2057"/>
      <c r="D65" s="2057"/>
      <c r="E65" s="2057"/>
      <c r="F65" s="2057"/>
      <c r="G65" s="2057"/>
      <c r="H65" s="2057"/>
      <c r="I65" s="2057"/>
      <c r="J65" s="2057"/>
      <c r="K65" s="1661"/>
      <c r="L65" s="2057"/>
      <c r="M65" s="1844"/>
      <c r="N65" s="1188" t="str">
        <f t="shared" si="17"/>
        <v/>
      </c>
      <c r="CA65" s="2235" t="str">
        <f t="shared" si="18"/>
        <v/>
      </c>
      <c r="CB65" s="2235" t="str">
        <f t="shared" si="19"/>
        <v/>
      </c>
      <c r="CG65" s="1468">
        <f t="shared" si="20"/>
        <v>0</v>
      </c>
      <c r="CH65" s="1468">
        <f t="shared" si="21"/>
        <v>0</v>
      </c>
      <c r="CI65" s="2328"/>
      <c r="CJ65" s="2328"/>
      <c r="CK65" s="2328"/>
      <c r="CL65" s="2328"/>
    </row>
    <row r="66" spans="1:90" ht="36" customHeight="1" x14ac:dyDescent="0.25">
      <c r="A66" s="2400" t="s">
        <v>2299</v>
      </c>
      <c r="B66" s="2339"/>
      <c r="C66" s="2415"/>
      <c r="D66" s="2416"/>
      <c r="E66" s="2416"/>
      <c r="F66" s="2416"/>
      <c r="G66" s="2416"/>
      <c r="H66" s="2416"/>
      <c r="I66" s="2416"/>
      <c r="J66" s="2416"/>
      <c r="K66" s="2417"/>
      <c r="L66" s="2415"/>
      <c r="M66" s="2418"/>
      <c r="CA66" s="2235" t="str">
        <f t="shared" si="18"/>
        <v/>
      </c>
      <c r="CB66" s="2235" t="str">
        <f t="shared" si="19"/>
        <v/>
      </c>
      <c r="CG66" s="1468">
        <f t="shared" si="20"/>
        <v>0</v>
      </c>
      <c r="CH66" s="1468">
        <f t="shared" si="21"/>
        <v>0</v>
      </c>
      <c r="CI66" s="2328"/>
      <c r="CJ66" s="2328"/>
      <c r="CK66" s="2328"/>
      <c r="CL66" s="2328"/>
    </row>
    <row r="67" spans="1:90" ht="23.25" customHeight="1" x14ac:dyDescent="0.25">
      <c r="A67" s="2341" t="s">
        <v>2316</v>
      </c>
      <c r="B67" s="2369">
        <f>SUM(C67:K67)</f>
        <v>0</v>
      </c>
      <c r="C67" s="1618"/>
      <c r="D67" s="1618"/>
      <c r="E67" s="1618"/>
      <c r="F67" s="1618"/>
      <c r="G67" s="1618"/>
      <c r="H67" s="1618"/>
      <c r="I67" s="1618"/>
      <c r="J67" s="1618"/>
      <c r="K67" s="1339"/>
      <c r="L67" s="1618"/>
      <c r="M67" s="914"/>
      <c r="N67" s="1188" t="str">
        <f t="shared" si="17"/>
        <v/>
      </c>
      <c r="CA67" s="2235" t="str">
        <f t="shared" si="18"/>
        <v/>
      </c>
      <c r="CB67" s="2235" t="str">
        <f t="shared" si="19"/>
        <v/>
      </c>
      <c r="CG67" s="1468">
        <f t="shared" si="20"/>
        <v>0</v>
      </c>
      <c r="CH67" s="1468">
        <f t="shared" si="21"/>
        <v>0</v>
      </c>
      <c r="CI67" s="2328"/>
      <c r="CJ67" s="2328"/>
      <c r="CK67" s="2328"/>
      <c r="CL67" s="2328"/>
    </row>
    <row r="68" spans="1:90" ht="24.75" customHeight="1" x14ac:dyDescent="0.25">
      <c r="A68" s="2401" t="s">
        <v>2315</v>
      </c>
      <c r="B68" s="2370">
        <f>SUM(C68:K68)</f>
        <v>0</v>
      </c>
      <c r="C68" s="2057"/>
      <c r="D68" s="2057"/>
      <c r="E68" s="2057"/>
      <c r="F68" s="2057"/>
      <c r="G68" s="2057"/>
      <c r="H68" s="2057"/>
      <c r="I68" s="2057"/>
      <c r="J68" s="2057"/>
      <c r="K68" s="1661"/>
      <c r="L68" s="1828"/>
      <c r="M68" s="1145"/>
      <c r="N68" s="1188" t="str">
        <f t="shared" si="17"/>
        <v/>
      </c>
      <c r="CA68" s="2235" t="str">
        <f t="shared" si="18"/>
        <v/>
      </c>
      <c r="CB68" s="2235" t="str">
        <f t="shared" si="19"/>
        <v/>
      </c>
      <c r="CG68" s="1468">
        <f t="shared" si="20"/>
        <v>0</v>
      </c>
      <c r="CH68" s="1468">
        <f t="shared" si="21"/>
        <v>0</v>
      </c>
      <c r="CI68" s="2328"/>
      <c r="CJ68" s="2328"/>
      <c r="CK68" s="2328"/>
      <c r="CL68" s="2328"/>
    </row>
    <row r="69" spans="1:90" ht="32.25" customHeight="1" x14ac:dyDescent="0.25">
      <c r="A69" s="2400" t="s">
        <v>2300</v>
      </c>
      <c r="B69" s="2339"/>
      <c r="C69" s="2415"/>
      <c r="D69" s="2416"/>
      <c r="E69" s="2416"/>
      <c r="F69" s="2416"/>
      <c r="G69" s="2416"/>
      <c r="H69" s="2416"/>
      <c r="I69" s="2416"/>
      <c r="J69" s="2416"/>
      <c r="K69" s="2417"/>
      <c r="L69" s="2419"/>
      <c r="M69" s="2420"/>
      <c r="CA69" s="2235" t="str">
        <f t="shared" si="18"/>
        <v/>
      </c>
      <c r="CB69" s="2235" t="str">
        <f t="shared" si="19"/>
        <v/>
      </c>
      <c r="CG69" s="1468">
        <f t="shared" si="20"/>
        <v>0</v>
      </c>
      <c r="CH69" s="1468">
        <f t="shared" si="21"/>
        <v>0</v>
      </c>
      <c r="CI69" s="2328"/>
      <c r="CJ69" s="2328"/>
      <c r="CK69" s="2328"/>
      <c r="CL69" s="2328"/>
    </row>
    <row r="70" spans="1:90" ht="23.25" customHeight="1" x14ac:dyDescent="0.25">
      <c r="A70" s="2341" t="s">
        <v>2314</v>
      </c>
      <c r="B70" s="2369">
        <f>SUM(C70:K70)</f>
        <v>0</v>
      </c>
      <c r="C70" s="1618"/>
      <c r="D70" s="1618"/>
      <c r="E70" s="1618"/>
      <c r="F70" s="1618"/>
      <c r="G70" s="1618"/>
      <c r="H70" s="1618"/>
      <c r="I70" s="1618"/>
      <c r="J70" s="1618"/>
      <c r="K70" s="1339"/>
      <c r="L70" s="1618"/>
      <c r="M70" s="914"/>
      <c r="N70" s="1188" t="str">
        <f t="shared" si="17"/>
        <v/>
      </c>
      <c r="CA70" s="2235" t="str">
        <f t="shared" si="18"/>
        <v/>
      </c>
      <c r="CB70" s="2235" t="str">
        <f t="shared" si="19"/>
        <v/>
      </c>
      <c r="CG70" s="1468">
        <f t="shared" si="20"/>
        <v>0</v>
      </c>
      <c r="CH70" s="1468">
        <f t="shared" si="21"/>
        <v>0</v>
      </c>
      <c r="CI70" s="2328"/>
      <c r="CJ70" s="2328"/>
      <c r="CK70" s="2328"/>
      <c r="CL70" s="2328"/>
    </row>
    <row r="71" spans="1:90" ht="33.75" customHeight="1" x14ac:dyDescent="0.25">
      <c r="A71" s="2401" t="s">
        <v>2313</v>
      </c>
      <c r="B71" s="2370">
        <f>SUM(C71:K71)</f>
        <v>0</v>
      </c>
      <c r="C71" s="2057"/>
      <c r="D71" s="2057"/>
      <c r="E71" s="2057"/>
      <c r="F71" s="2057"/>
      <c r="G71" s="2057"/>
      <c r="H71" s="2057"/>
      <c r="I71" s="2057"/>
      <c r="J71" s="2057"/>
      <c r="K71" s="1661"/>
      <c r="L71" s="2057"/>
      <c r="M71" s="1844"/>
      <c r="N71" s="1188" t="str">
        <f t="shared" si="17"/>
        <v/>
      </c>
      <c r="CA71" s="2235" t="str">
        <f t="shared" si="18"/>
        <v/>
      </c>
      <c r="CB71" s="2235" t="str">
        <f t="shared" si="19"/>
        <v/>
      </c>
      <c r="CG71" s="1468">
        <f t="shared" si="20"/>
        <v>0</v>
      </c>
      <c r="CH71" s="1468">
        <f t="shared" si="21"/>
        <v>0</v>
      </c>
      <c r="CI71" s="2328"/>
      <c r="CJ71" s="2328"/>
      <c r="CK71" s="2328"/>
      <c r="CL71" s="2328"/>
    </row>
    <row r="72" spans="1:90" ht="32.25" customHeight="1" x14ac:dyDescent="0.25">
      <c r="A72" s="2400" t="s">
        <v>2301</v>
      </c>
      <c r="B72" s="2421"/>
      <c r="C72" s="2415"/>
      <c r="D72" s="2415"/>
      <c r="E72" s="2415"/>
      <c r="F72" s="2415"/>
      <c r="G72" s="2415"/>
      <c r="H72" s="2415"/>
      <c r="I72" s="2415"/>
      <c r="J72" s="2415"/>
      <c r="K72" s="2417"/>
      <c r="L72" s="2415"/>
      <c r="M72" s="2420"/>
      <c r="CA72" s="2235" t="str">
        <f t="shared" si="18"/>
        <v/>
      </c>
      <c r="CB72" s="2235" t="str">
        <f t="shared" si="19"/>
        <v/>
      </c>
      <c r="CG72" s="1468">
        <f t="shared" si="20"/>
        <v>0</v>
      </c>
      <c r="CH72" s="1468">
        <f t="shared" si="21"/>
        <v>0</v>
      </c>
      <c r="CI72" s="2328"/>
      <c r="CJ72" s="2328"/>
      <c r="CK72" s="2328"/>
      <c r="CL72" s="2328"/>
    </row>
    <row r="73" spans="1:90" ht="27.75" customHeight="1" x14ac:dyDescent="0.25">
      <c r="A73" s="2336" t="s">
        <v>2312</v>
      </c>
      <c r="B73" s="2371">
        <f>SUM(C73:K73)</f>
        <v>0</v>
      </c>
      <c r="C73" s="1778"/>
      <c r="D73" s="1778"/>
      <c r="E73" s="1778"/>
      <c r="F73" s="1778"/>
      <c r="G73" s="1778"/>
      <c r="H73" s="1778"/>
      <c r="I73" s="1778"/>
      <c r="J73" s="1778"/>
      <c r="K73" s="1323"/>
      <c r="L73" s="1778"/>
      <c r="M73" s="1731"/>
      <c r="N73" s="1188" t="str">
        <f t="shared" si="17"/>
        <v/>
      </c>
      <c r="CA73" s="2235" t="str">
        <f t="shared" si="18"/>
        <v/>
      </c>
      <c r="CB73" s="2235" t="str">
        <f>IF(AND($B73&lt;&gt;0,M73=""),"* No olvide ingresar la columna Migrantes (Digite CERO si no tiene). ",IF(M73&gt;$B73,"* El Número de gestantes pertenecientes a Población Migrante no puede superar el Total. ",""))</f>
        <v/>
      </c>
      <c r="CG73" s="1468">
        <f t="shared" si="20"/>
        <v>0</v>
      </c>
      <c r="CH73" s="1468">
        <f t="shared" si="21"/>
        <v>0</v>
      </c>
      <c r="CI73" s="2328"/>
      <c r="CJ73" s="2328"/>
      <c r="CK73" s="2328"/>
      <c r="CL73" s="2328"/>
    </row>
    <row r="74" spans="1:90" ht="22.5" customHeight="1" x14ac:dyDescent="0.25">
      <c r="A74" s="9668" t="s">
        <v>2337</v>
      </c>
      <c r="B74" s="9668"/>
      <c r="C74" s="9668"/>
      <c r="D74" s="9668"/>
      <c r="E74" s="9668"/>
      <c r="F74" s="9668"/>
      <c r="G74" s="9668"/>
      <c r="CG74" s="2328"/>
      <c r="CH74" s="2328"/>
      <c r="CI74" s="2328"/>
      <c r="CJ74" s="2328"/>
      <c r="CK74" s="2328"/>
      <c r="CL74" s="2328"/>
    </row>
    <row r="75" spans="1:90" ht="18.75" customHeight="1" x14ac:dyDescent="0.25">
      <c r="A75" s="9678"/>
      <c r="B75" s="9679" t="s">
        <v>44</v>
      </c>
      <c r="C75" s="9662" t="s">
        <v>538</v>
      </c>
      <c r="D75" s="9662"/>
      <c r="E75" s="9662"/>
      <c r="F75" s="9662"/>
      <c r="G75" s="9662"/>
      <c r="H75" s="9662"/>
      <c r="I75" s="9662"/>
      <c r="J75" s="9662"/>
      <c r="K75" s="9663"/>
      <c r="L75" s="9672" t="s">
        <v>360</v>
      </c>
      <c r="M75" s="9674" t="s">
        <v>359</v>
      </c>
      <c r="CG75" s="2328"/>
      <c r="CH75" s="2328"/>
      <c r="CI75" s="2328"/>
      <c r="CJ75" s="2328"/>
      <c r="CK75" s="2328"/>
      <c r="CL75" s="2328"/>
    </row>
    <row r="76" spans="1:90" ht="21" customHeight="1" x14ac:dyDescent="0.25">
      <c r="A76" s="9658"/>
      <c r="B76" s="9680"/>
      <c r="C76" s="2363" t="s">
        <v>32</v>
      </c>
      <c r="D76" s="2357" t="s">
        <v>33</v>
      </c>
      <c r="E76" s="2357" t="s">
        <v>40</v>
      </c>
      <c r="F76" s="2357" t="s">
        <v>115</v>
      </c>
      <c r="G76" s="2357" t="s">
        <v>116</v>
      </c>
      <c r="H76" s="2357" t="s">
        <v>117</v>
      </c>
      <c r="I76" s="2357" t="s">
        <v>118</v>
      </c>
      <c r="J76" s="2357" t="s">
        <v>119</v>
      </c>
      <c r="K76" s="2364" t="s">
        <v>120</v>
      </c>
      <c r="L76" s="9673"/>
      <c r="M76" s="9667"/>
      <c r="CG76" s="2328"/>
      <c r="CH76" s="2328"/>
      <c r="CI76" s="2328"/>
      <c r="CJ76" s="2328"/>
      <c r="CK76" s="2328"/>
      <c r="CL76" s="2328"/>
    </row>
    <row r="77" spans="1:90" ht="35.25" customHeight="1" x14ac:dyDescent="0.25">
      <c r="A77" s="2372" t="s">
        <v>2302</v>
      </c>
      <c r="B77" s="2373"/>
      <c r="C77" s="2374"/>
      <c r="D77" s="2374"/>
      <c r="E77" s="2374"/>
      <c r="F77" s="2374"/>
      <c r="G77" s="2374"/>
      <c r="H77" s="2374"/>
      <c r="I77" s="2374"/>
      <c r="J77" s="2374"/>
      <c r="K77" s="2375"/>
      <c r="L77" s="2376"/>
      <c r="M77" s="2377"/>
      <c r="CA77" s="2235" t="str">
        <f>IF(AND($B77&lt;&gt;0,L77=""),"* No olvide ingresar la columna Pueblos Originarios (Digite CERO si no tiene). ",IF(L77&gt;$B77,"* El Número de gestantes pertenecientes a Pueblos Originarios no puede superar el Total. ",""))</f>
        <v/>
      </c>
      <c r="CB77" s="2235" t="str">
        <f>IF(AND($B77&lt;&gt;0,M77=""),"* No olvide ingresar la columna Migrantes (Digite CERO si no tiene). ",IF(M77&gt;$B77,"* El Número de gestantes pertenecientes a Población Migrante no puede superar el Total. ",""))</f>
        <v/>
      </c>
      <c r="CG77" s="1468">
        <f>IF(AND($B77&lt;&gt;0,L77=""),1,IF(L77&gt;$B77,1,0))</f>
        <v>0</v>
      </c>
      <c r="CH77" s="1468">
        <f>IF(AND($B77&lt;&gt;0,M77=""),1,IF(M77&gt;$B77,1,0))</f>
        <v>0</v>
      </c>
      <c r="CI77" s="2328"/>
      <c r="CJ77" s="2328"/>
      <c r="CK77" s="2328"/>
      <c r="CL77" s="2328"/>
    </row>
    <row r="78" spans="1:90" ht="23.25" customHeight="1" x14ac:dyDescent="0.25">
      <c r="A78" s="2341" t="s">
        <v>2311</v>
      </c>
      <c r="B78" s="2369">
        <f>SUM(C78:K78)</f>
        <v>0</v>
      </c>
      <c r="C78" s="1618"/>
      <c r="D78" s="1618"/>
      <c r="E78" s="1618"/>
      <c r="F78" s="1618"/>
      <c r="G78" s="1618"/>
      <c r="H78" s="1618"/>
      <c r="I78" s="1618"/>
      <c r="J78" s="1618"/>
      <c r="K78" s="1339"/>
      <c r="L78" s="1618"/>
      <c r="M78" s="914"/>
      <c r="N78" s="1188" t="str">
        <f t="shared" ref="N78:N88" si="22">CONCATENATE($CA78,$CB78)</f>
        <v/>
      </c>
      <c r="CA78" s="2235" t="str">
        <f t="shared" ref="CA78:CA87" si="23">IF(AND($B78&lt;&gt;0,L78=""),"* No olvide ingresar la columna Pueblos Originarios (Digite CERO si no tiene). ",IF(L78&gt;$B78,"* El Número de gestantes pertenecientes a Pueblos Originarios no puede superar el Total. ",""))</f>
        <v/>
      </c>
      <c r="CB78" s="2235" t="str">
        <f t="shared" ref="CB78:CB87" si="24">IF(AND($B78&lt;&gt;0,M78=""),"* No olvide ingresar la columna Migrantes (Digite CERO si no tiene). ",IF(M78&gt;$B78,"* El Número de gestantes pertenecientes a Población Migrante no puede superar el Total. ",""))</f>
        <v/>
      </c>
      <c r="CG78" s="1468">
        <f t="shared" ref="CG78:CG88" si="25">IF(AND($B78&lt;&gt;0,L78=""),1,IF(L78&gt;$B78,1,0))</f>
        <v>0</v>
      </c>
      <c r="CH78" s="1468">
        <f t="shared" ref="CH78:CH88" si="26">IF(AND($B78&lt;&gt;0,M78=""),1,IF(M78&gt;$B78,1,0))</f>
        <v>0</v>
      </c>
      <c r="CI78" s="2328"/>
      <c r="CJ78" s="2328"/>
      <c r="CK78" s="2328"/>
      <c r="CL78" s="2328"/>
    </row>
    <row r="79" spans="1:90" ht="23.25" customHeight="1" x14ac:dyDescent="0.25">
      <c r="A79" s="2341" t="s">
        <v>2310</v>
      </c>
      <c r="B79" s="2369">
        <f>SUM(C79:K79)</f>
        <v>0</v>
      </c>
      <c r="C79" s="1618"/>
      <c r="D79" s="1618"/>
      <c r="E79" s="1618"/>
      <c r="F79" s="1618"/>
      <c r="G79" s="1618"/>
      <c r="H79" s="1618"/>
      <c r="I79" s="1618"/>
      <c r="J79" s="1618"/>
      <c r="K79" s="1339"/>
      <c r="L79" s="1618"/>
      <c r="M79" s="914"/>
      <c r="N79" s="1188" t="str">
        <f t="shared" si="22"/>
        <v/>
      </c>
      <c r="CA79" s="2235" t="str">
        <f t="shared" si="23"/>
        <v/>
      </c>
      <c r="CB79" s="2235" t="str">
        <f t="shared" si="24"/>
        <v/>
      </c>
      <c r="CG79" s="1468">
        <f t="shared" si="25"/>
        <v>0</v>
      </c>
      <c r="CH79" s="1468">
        <f t="shared" si="26"/>
        <v>0</v>
      </c>
      <c r="CI79" s="2328"/>
      <c r="CJ79" s="2328"/>
      <c r="CK79" s="2328"/>
      <c r="CL79" s="2328"/>
    </row>
    <row r="80" spans="1:90" ht="27" customHeight="1" x14ac:dyDescent="0.25">
      <c r="A80" s="2401" t="s">
        <v>2309</v>
      </c>
      <c r="B80" s="2378">
        <f>SUM(C80:K80)</f>
        <v>0</v>
      </c>
      <c r="C80" s="1828"/>
      <c r="D80" s="1828"/>
      <c r="E80" s="1828"/>
      <c r="F80" s="1828"/>
      <c r="G80" s="1828"/>
      <c r="H80" s="1828"/>
      <c r="I80" s="1828"/>
      <c r="J80" s="1828"/>
      <c r="K80" s="708"/>
      <c r="L80" s="1828"/>
      <c r="M80" s="1145"/>
      <c r="N80" s="1188" t="str">
        <f t="shared" si="22"/>
        <v/>
      </c>
      <c r="CA80" s="2235" t="str">
        <f t="shared" si="23"/>
        <v/>
      </c>
      <c r="CB80" s="2235" t="str">
        <f t="shared" si="24"/>
        <v/>
      </c>
      <c r="CG80" s="1468">
        <f t="shared" si="25"/>
        <v>0</v>
      </c>
      <c r="CH80" s="1468">
        <f t="shared" si="26"/>
        <v>0</v>
      </c>
      <c r="CI80" s="2328"/>
      <c r="CJ80" s="2328"/>
      <c r="CK80" s="2328"/>
      <c r="CL80" s="2328"/>
    </row>
    <row r="81" spans="1:90" ht="30" customHeight="1" x14ac:dyDescent="0.25">
      <c r="A81" s="2400" t="s">
        <v>2303</v>
      </c>
      <c r="B81" s="2421"/>
      <c r="C81" s="2415"/>
      <c r="D81" s="2415"/>
      <c r="E81" s="2415"/>
      <c r="F81" s="2415"/>
      <c r="G81" s="2415"/>
      <c r="H81" s="2415"/>
      <c r="I81" s="2415"/>
      <c r="J81" s="2415"/>
      <c r="K81" s="2417"/>
      <c r="L81" s="2415"/>
      <c r="M81" s="2420"/>
      <c r="CA81" s="2235" t="str">
        <f t="shared" si="23"/>
        <v/>
      </c>
      <c r="CB81" s="2235" t="str">
        <f t="shared" si="24"/>
        <v/>
      </c>
      <c r="CG81" s="1468">
        <f t="shared" si="25"/>
        <v>0</v>
      </c>
      <c r="CH81" s="1468">
        <f t="shared" si="26"/>
        <v>0</v>
      </c>
      <c r="CI81" s="2328"/>
      <c r="CJ81" s="2328"/>
      <c r="CK81" s="2328"/>
      <c r="CL81" s="2328"/>
    </row>
    <row r="82" spans="1:90" ht="21.75" customHeight="1" x14ac:dyDescent="0.25">
      <c r="A82" s="2341" t="s">
        <v>2311</v>
      </c>
      <c r="B82" s="2369">
        <f>SUM(C82:K82)</f>
        <v>0</v>
      </c>
      <c r="C82" s="1618"/>
      <c r="D82" s="1618"/>
      <c r="E82" s="1618"/>
      <c r="F82" s="1618"/>
      <c r="G82" s="1618"/>
      <c r="H82" s="1618"/>
      <c r="I82" s="1618"/>
      <c r="J82" s="1618"/>
      <c r="K82" s="1339"/>
      <c r="L82" s="1618"/>
      <c r="M82" s="914"/>
      <c r="N82" s="1188" t="str">
        <f t="shared" si="22"/>
        <v/>
      </c>
      <c r="CA82" s="2235" t="str">
        <f t="shared" si="23"/>
        <v/>
      </c>
      <c r="CB82" s="2235" t="str">
        <f t="shared" si="24"/>
        <v/>
      </c>
      <c r="CG82" s="1468">
        <f t="shared" si="25"/>
        <v>0</v>
      </c>
      <c r="CH82" s="1468">
        <f t="shared" si="26"/>
        <v>0</v>
      </c>
      <c r="CI82" s="2328"/>
      <c r="CJ82" s="2328"/>
      <c r="CK82" s="2328"/>
      <c r="CL82" s="2328"/>
    </row>
    <row r="83" spans="1:90" ht="21.75" customHeight="1" x14ac:dyDescent="0.25">
      <c r="A83" s="2341" t="s">
        <v>2310</v>
      </c>
      <c r="B83" s="2369">
        <f>SUM(C83:K83)</f>
        <v>0</v>
      </c>
      <c r="C83" s="1618"/>
      <c r="D83" s="1618"/>
      <c r="E83" s="1618"/>
      <c r="F83" s="1618"/>
      <c r="G83" s="1618"/>
      <c r="H83" s="1618"/>
      <c r="I83" s="1618"/>
      <c r="J83" s="1618"/>
      <c r="K83" s="1339"/>
      <c r="L83" s="1618"/>
      <c r="M83" s="914"/>
      <c r="N83" s="1188" t="str">
        <f t="shared" si="22"/>
        <v/>
      </c>
      <c r="CA83" s="2235" t="str">
        <f t="shared" si="23"/>
        <v/>
      </c>
      <c r="CB83" s="2235" t="str">
        <f t="shared" si="24"/>
        <v/>
      </c>
      <c r="CG83" s="1468">
        <f t="shared" si="25"/>
        <v>0</v>
      </c>
      <c r="CH83" s="1468">
        <f t="shared" si="26"/>
        <v>0</v>
      </c>
      <c r="CI83" s="2328"/>
      <c r="CJ83" s="2328"/>
      <c r="CK83" s="2328"/>
      <c r="CL83" s="2328"/>
    </row>
    <row r="84" spans="1:90" ht="25.5" customHeight="1" x14ac:dyDescent="0.25">
      <c r="A84" s="2349" t="s">
        <v>2309</v>
      </c>
      <c r="B84" s="2379">
        <f>SUM(C84:K84)</f>
        <v>0</v>
      </c>
      <c r="C84" s="1699"/>
      <c r="D84" s="1699"/>
      <c r="E84" s="1699"/>
      <c r="F84" s="1699"/>
      <c r="G84" s="1699"/>
      <c r="H84" s="1699"/>
      <c r="I84" s="1699"/>
      <c r="J84" s="1699"/>
      <c r="K84" s="1303"/>
      <c r="L84" s="1699"/>
      <c r="M84" s="1669"/>
      <c r="N84" s="1188" t="str">
        <f t="shared" si="22"/>
        <v/>
      </c>
      <c r="CA84" s="2235" t="str">
        <f t="shared" si="23"/>
        <v/>
      </c>
      <c r="CB84" s="2235" t="str">
        <f t="shared" si="24"/>
        <v/>
      </c>
      <c r="CG84" s="1468">
        <f t="shared" si="25"/>
        <v>0</v>
      </c>
      <c r="CH84" s="1468">
        <f t="shared" si="26"/>
        <v>0</v>
      </c>
      <c r="CI84" s="2328"/>
      <c r="CJ84" s="2328"/>
      <c r="CK84" s="2328"/>
      <c r="CL84" s="2328"/>
    </row>
    <row r="85" spans="1:90" ht="23.25" customHeight="1" x14ac:dyDescent="0.25">
      <c r="A85" s="2372" t="s">
        <v>2304</v>
      </c>
      <c r="B85" s="2421"/>
      <c r="C85" s="2415"/>
      <c r="D85" s="2415"/>
      <c r="E85" s="2415"/>
      <c r="F85" s="2415"/>
      <c r="G85" s="2415"/>
      <c r="H85" s="2415"/>
      <c r="I85" s="2415"/>
      <c r="J85" s="2415"/>
      <c r="K85" s="2417"/>
      <c r="L85" s="2415"/>
      <c r="M85" s="2420"/>
      <c r="CA85" s="2235" t="str">
        <f t="shared" si="23"/>
        <v/>
      </c>
      <c r="CB85" s="2235" t="str">
        <f t="shared" si="24"/>
        <v/>
      </c>
      <c r="CG85" s="1468">
        <f t="shared" si="25"/>
        <v>0</v>
      </c>
      <c r="CH85" s="1468">
        <f t="shared" si="26"/>
        <v>0</v>
      </c>
      <c r="CI85" s="2328"/>
      <c r="CJ85" s="2328"/>
      <c r="CK85" s="2328"/>
      <c r="CL85" s="2328"/>
    </row>
    <row r="86" spans="1:90" ht="24" customHeight="1" x14ac:dyDescent="0.25">
      <c r="A86" s="2341" t="s">
        <v>2311</v>
      </c>
      <c r="B86" s="2369">
        <f>SUM(C86:K86)</f>
        <v>0</v>
      </c>
      <c r="C86" s="1618"/>
      <c r="D86" s="1618"/>
      <c r="E86" s="1618"/>
      <c r="F86" s="1618"/>
      <c r="G86" s="1618"/>
      <c r="H86" s="1618"/>
      <c r="I86" s="1618"/>
      <c r="J86" s="1618"/>
      <c r="K86" s="1339"/>
      <c r="L86" s="1618"/>
      <c r="M86" s="914"/>
      <c r="N86" s="1188" t="str">
        <f t="shared" si="22"/>
        <v/>
      </c>
      <c r="CA86" s="2235" t="str">
        <f t="shared" si="23"/>
        <v/>
      </c>
      <c r="CB86" s="2235" t="str">
        <f t="shared" si="24"/>
        <v/>
      </c>
      <c r="CG86" s="1468">
        <f t="shared" si="25"/>
        <v>0</v>
      </c>
      <c r="CH86" s="1468">
        <f t="shared" si="26"/>
        <v>0</v>
      </c>
      <c r="CI86" s="2328"/>
      <c r="CJ86" s="2328"/>
      <c r="CK86" s="2328"/>
      <c r="CL86" s="2328"/>
    </row>
    <row r="87" spans="1:90" ht="18" customHeight="1" x14ac:dyDescent="0.25">
      <c r="A87" s="2341" t="s">
        <v>2310</v>
      </c>
      <c r="B87" s="2369">
        <f>SUM(C87:K87)</f>
        <v>0</v>
      </c>
      <c r="C87" s="1618"/>
      <c r="D87" s="1618"/>
      <c r="E87" s="1618"/>
      <c r="F87" s="1618"/>
      <c r="G87" s="1618"/>
      <c r="H87" s="1618"/>
      <c r="I87" s="1618"/>
      <c r="J87" s="1618"/>
      <c r="K87" s="1339"/>
      <c r="L87" s="1618"/>
      <c r="M87" s="914"/>
      <c r="N87" s="1188" t="str">
        <f t="shared" si="22"/>
        <v/>
      </c>
      <c r="CA87" s="2235" t="str">
        <f t="shared" si="23"/>
        <v/>
      </c>
      <c r="CB87" s="2235" t="str">
        <f t="shared" si="24"/>
        <v/>
      </c>
      <c r="CG87" s="1468">
        <f t="shared" si="25"/>
        <v>0</v>
      </c>
      <c r="CH87" s="1468">
        <f t="shared" si="26"/>
        <v>0</v>
      </c>
      <c r="CI87" s="2328"/>
      <c r="CJ87" s="2328"/>
      <c r="CK87" s="2328"/>
      <c r="CL87" s="2328"/>
    </row>
    <row r="88" spans="1:90" ht="24.75" customHeight="1" x14ac:dyDescent="0.25">
      <c r="A88" s="2341" t="s">
        <v>2309</v>
      </c>
      <c r="B88" s="2371">
        <f>SUM(C88:K88)</f>
        <v>0</v>
      </c>
      <c r="C88" s="1778"/>
      <c r="D88" s="1778"/>
      <c r="E88" s="1778"/>
      <c r="F88" s="1778"/>
      <c r="G88" s="1778"/>
      <c r="H88" s="1778"/>
      <c r="I88" s="1778"/>
      <c r="J88" s="1778"/>
      <c r="K88" s="1323"/>
      <c r="L88" s="1778"/>
      <c r="M88" s="1731"/>
      <c r="N88" s="1188" t="str">
        <f t="shared" si="22"/>
        <v/>
      </c>
      <c r="CA88" s="2235" t="str">
        <f>IF(AND($B88&lt;&gt;0,L88=""),"* No olvide ingresar la columna Pueblos Originarios (Digite CERO si no tiene). ",IF(L88&gt;$B88,"* El Número de gestantes pertenecientes a Pueblos Originarios no puede superar el Total. ",""))</f>
        <v/>
      </c>
      <c r="CB88" s="2235" t="str">
        <f>IF(AND($B88&lt;&gt;0,M88=""),"* No olvide ingresar la columna Migrantes (Digite CERO si no tiene). ",IF(M88&gt;$B88,"* El Número de gestantes pertenecientes a Población Migrante no puede superar el Total. ",""))</f>
        <v/>
      </c>
      <c r="CG88" s="1468">
        <f t="shared" si="25"/>
        <v>0</v>
      </c>
      <c r="CH88" s="1468">
        <f t="shared" si="26"/>
        <v>0</v>
      </c>
      <c r="CI88" s="2328"/>
      <c r="CJ88" s="2328"/>
      <c r="CK88" s="2328"/>
      <c r="CL88" s="2328"/>
    </row>
    <row r="89" spans="1:90" ht="30" customHeight="1" x14ac:dyDescent="0.25">
      <c r="A89" s="9669" t="s">
        <v>2338</v>
      </c>
      <c r="B89" s="9669"/>
      <c r="C89" s="9669"/>
      <c r="D89" s="9669"/>
      <c r="E89" s="9669"/>
      <c r="F89" s="9669"/>
      <c r="G89" s="9669"/>
      <c r="H89" s="9669"/>
      <c r="I89" s="9669"/>
      <c r="J89" s="9669"/>
      <c r="K89" s="9669"/>
      <c r="L89" s="9669"/>
      <c r="M89" s="9669"/>
      <c r="CG89" s="2328"/>
      <c r="CH89" s="2328"/>
      <c r="CI89" s="2328"/>
      <c r="CJ89" s="2328"/>
      <c r="CK89" s="2328"/>
      <c r="CL89" s="2328"/>
    </row>
    <row r="90" spans="1:90" ht="29.25" customHeight="1" x14ac:dyDescent="0.25">
      <c r="A90" s="1963"/>
      <c r="B90" s="2345" t="s">
        <v>44</v>
      </c>
      <c r="C90" s="1842" t="s">
        <v>360</v>
      </c>
      <c r="D90" s="2228" t="s">
        <v>359</v>
      </c>
      <c r="CG90" s="2328"/>
      <c r="CH90" s="2328"/>
      <c r="CI90" s="2328"/>
      <c r="CJ90" s="2328"/>
      <c r="CK90" s="2328"/>
      <c r="CL90" s="2328"/>
    </row>
    <row r="91" spans="1:90" ht="27" customHeight="1" x14ac:dyDescent="0.25">
      <c r="A91" s="2334" t="s">
        <v>2305</v>
      </c>
      <c r="B91" s="1331"/>
      <c r="C91" s="1618"/>
      <c r="D91" s="914"/>
      <c r="E91" s="1188" t="str">
        <f>CONCATENATE($CA91,$CB91)</f>
        <v/>
      </c>
      <c r="CA91" s="2235" t="str">
        <f>IF(AND($B91&lt;&gt;0,C91=""),"* No olvide ingresar la columna Pueblos Originarios (Digite CERO si no tiene). ",IF(C91&gt;$B91,"* El Número de recién nacidos pertenecientes a Pueblos Originarios no puede superar el Total. ",""))</f>
        <v/>
      </c>
      <c r="CB91" s="2235" t="str">
        <f>IF(AND($B91&lt;&gt;0,D91=""),"* No olvide ingresar la columna Migrantes (Digite CERO si no tiene). ",IF(D91&gt;$B91,"* El Número de recién nacidos en tratamiento pertenecientes a Población Migrante no puede superar el Total. ",""))</f>
        <v/>
      </c>
      <c r="CG91" s="1468">
        <f>IF(AND($B91&lt;&gt;0,C91=""),1,IF(C91&gt;$B91,1,0))</f>
        <v>0</v>
      </c>
      <c r="CH91" s="1468">
        <f>IF(AND($B91&lt;&gt;0,D91=""),1,IF(D91&gt;$B91,1,0))</f>
        <v>0</v>
      </c>
      <c r="CI91" s="2328"/>
      <c r="CJ91" s="2328"/>
      <c r="CK91" s="2328"/>
      <c r="CL91" s="2328"/>
    </row>
    <row r="92" spans="1:90" ht="27.75" customHeight="1" x14ac:dyDescent="0.25">
      <c r="A92" s="2349" t="s">
        <v>2306</v>
      </c>
      <c r="B92" s="1310"/>
      <c r="C92" s="1699"/>
      <c r="D92" s="1669"/>
      <c r="E92" s="1188" t="str">
        <f>CONCATENATE($CA92,$CB92)</f>
        <v/>
      </c>
      <c r="CA92" s="2235" t="str">
        <f>IF(AND($B92&lt;&gt;0,C92=""),"* No olvide ingresar la columna Pueblos Originarios (Digite CERO si no tiene). ",IF(C92&gt;$B92,"* El Número de recién nacidos pertenecientes a Pueblos Originarios no puede superar el Total. ",""))</f>
        <v/>
      </c>
      <c r="CB92" s="2235" t="str">
        <f>IF(AND($B92&lt;&gt;0,D92=""),"* No olvide ingresar la columna Migrantes (Digite CERO si no tiene). ",IF(D92&gt;$B92,"* El Número de recién nacidos en tratamiento pertenecientes a Población Migrante no puede superar el Total. ",""))</f>
        <v/>
      </c>
      <c r="CG92" s="1468">
        <f>IF(AND($B92&lt;&gt;0,C92=""),1,IF(C92&gt;$B92,1,0))</f>
        <v>0</v>
      </c>
      <c r="CH92" s="1468">
        <f>IF(AND($B92&lt;&gt;0,D92=""),1,IF(D92&gt;$B92,1,0))</f>
        <v>0</v>
      </c>
      <c r="CI92" s="2328"/>
      <c r="CJ92" s="2328"/>
      <c r="CK92" s="2328"/>
      <c r="CL92" s="2328"/>
    </row>
    <row r="93" spans="1:90" ht="24.75" customHeight="1" x14ac:dyDescent="0.25">
      <c r="A93" s="9654" t="s">
        <v>2353</v>
      </c>
      <c r="B93" s="9654"/>
      <c r="C93" s="9654"/>
      <c r="D93" s="9654"/>
      <c r="E93" s="2380"/>
      <c r="F93" s="2380"/>
      <c r="G93" s="2380"/>
      <c r="H93" s="2380"/>
      <c r="I93" s="2380"/>
      <c r="J93" s="2380"/>
      <c r="K93" s="2380"/>
      <c r="L93" s="2380"/>
      <c r="M93" s="2380"/>
      <c r="CG93" s="2328"/>
      <c r="CH93" s="2328"/>
      <c r="CI93" s="2328"/>
      <c r="CJ93" s="2328"/>
      <c r="CK93" s="2328"/>
      <c r="CL93" s="2328"/>
    </row>
    <row r="94" spans="1:90" ht="26.25" customHeight="1" x14ac:dyDescent="0.25">
      <c r="A94" s="1963"/>
      <c r="B94" s="2345" t="s">
        <v>44</v>
      </c>
      <c r="C94" s="1842" t="s">
        <v>360</v>
      </c>
      <c r="D94" s="2228" t="s">
        <v>359</v>
      </c>
      <c r="CG94" s="2328"/>
      <c r="CH94" s="2328"/>
      <c r="CI94" s="2328"/>
      <c r="CJ94" s="2328"/>
      <c r="CK94" s="2328"/>
      <c r="CL94" s="2328"/>
    </row>
    <row r="95" spans="1:90" ht="19.5" customHeight="1" x14ac:dyDescent="0.25">
      <c r="A95" s="2341" t="s">
        <v>2307</v>
      </c>
      <c r="B95" s="1331"/>
      <c r="C95" s="1618"/>
      <c r="D95" s="914"/>
      <c r="E95" s="1188" t="str">
        <f>CONCATENATE($CA95,$CB95)</f>
        <v/>
      </c>
      <c r="CA95" s="2235" t="str">
        <f>IF(AND($B95&lt;&gt;0,C95=""),"* No olvide ingresar la columna Pueblos Originarios (Digite CERO si no tiene). ",IF(C95&gt;$B95,"* El Número de niños pertenecientes a Pueblos Originarios no puede superar el Total. ",""))</f>
        <v/>
      </c>
      <c r="CB95" s="2235" t="str">
        <f>IF(AND($B95&lt;&gt;0,D95=""),"* No olvide ingresar la columna Migrantes (Digite CERO si no tiene). ",IF(D95&gt;$B95,"* El Número de niños en tratamiento pertenecientes a Población Migrante no puede superar el Total. ",""))</f>
        <v/>
      </c>
      <c r="CG95" s="1468">
        <f>IF(AND($B95&lt;&gt;0,C95=""),1,IF(C95&gt;$B95,1,0))</f>
        <v>0</v>
      </c>
      <c r="CH95" s="1468">
        <f>IF(AND($B95&lt;&gt;0,D95=""),1,IF(D95&gt;$B95,1,0))</f>
        <v>0</v>
      </c>
      <c r="CI95" s="2328"/>
      <c r="CJ95" s="2328"/>
      <c r="CK95" s="2328"/>
      <c r="CL95" s="2328"/>
    </row>
    <row r="96" spans="1:90" ht="25.5" customHeight="1" x14ac:dyDescent="0.25">
      <c r="A96" s="2349" t="s">
        <v>2308</v>
      </c>
      <c r="B96" s="1680"/>
      <c r="C96" s="1778"/>
      <c r="D96" s="1731"/>
      <c r="E96" s="1188" t="str">
        <f>CONCATENATE($CA96,$CB96)</f>
        <v/>
      </c>
      <c r="CA96" s="2235" t="str">
        <f>IF(AND($B96&lt;&gt;0,C96=""),"* No olvide ingresar la columna Pueblos Originarios (Digite CERO si no tiene). ",IF(C96&gt;$B96,"* El Número de niños pertenecientes a Pueblos Originarios no puede superar el Total. ",""))</f>
        <v/>
      </c>
      <c r="CB96" s="2235" t="str">
        <f>IF(AND($B96&lt;&gt;0,D96=""),"* No olvide ingresar la columna Migrantes (Digite CERO si no tiene). ",IF(D96&gt;$B96,"* El Número de niños en tratamiento pertenecientes a Población Migrante no puede superar el Total. ",""))</f>
        <v/>
      </c>
      <c r="CG96" s="1468">
        <f>IF(AND($B96&lt;&gt;0,C96=""),1,IF(C96&gt;$B96,1,0))</f>
        <v>0</v>
      </c>
      <c r="CH96" s="1468">
        <f>IF(AND($B96&lt;&gt;0,D96=""),1,IF(D96&gt;$B96,1,0))</f>
        <v>0</v>
      </c>
      <c r="CI96" s="2328"/>
      <c r="CJ96" s="2328"/>
      <c r="CK96" s="2328"/>
      <c r="CL96" s="2328"/>
    </row>
    <row r="97" spans="1:90" x14ac:dyDescent="0.25">
      <c r="CG97" s="2328"/>
      <c r="CH97" s="2328"/>
      <c r="CI97" s="2328"/>
      <c r="CJ97" s="2328"/>
      <c r="CK97" s="2328"/>
      <c r="CL97" s="2328"/>
    </row>
    <row r="98" spans="1:90" x14ac:dyDescent="0.25">
      <c r="CG98" s="2328"/>
      <c r="CH98" s="2328"/>
      <c r="CI98" s="2328"/>
      <c r="CJ98" s="2328"/>
      <c r="CK98" s="2328"/>
      <c r="CL98" s="2328"/>
    </row>
    <row r="101" spans="1:90" hidden="1" x14ac:dyDescent="0.25">
      <c r="A101" s="2381">
        <f>SUM(B11:B19,B22:D23,B27:B32,B35:D36,B40:B47,B50:D53,B56:D59,B63:B73,B77:B88,B91:D92,B95:D96)</f>
        <v>0</v>
      </c>
      <c r="B101" s="2382">
        <f>SUM(CG9:CL98)</f>
        <v>0</v>
      </c>
    </row>
  </sheetData>
  <sheetProtection algorithmName="SHA-512" hashValue="62pfbdPsZdPfkIqSuT34W5QV2jw25/uptCRiRRJ2zM2YZHosumJeH83YWfohWsuadkyQaGhzF6PA0tEEct8lnA==" saltValue="8P82sy9ILWWod5ZtUTxccA==" spinCount="100000" sheet="1" objects="1" scenarios="1"/>
  <mergeCells count="40">
    <mergeCell ref="A6:M6"/>
    <mergeCell ref="A48:H48"/>
    <mergeCell ref="L38:L39"/>
    <mergeCell ref="M38:M39"/>
    <mergeCell ref="A24:G24"/>
    <mergeCell ref="A25:A26"/>
    <mergeCell ref="B25:B26"/>
    <mergeCell ref="C25:K25"/>
    <mergeCell ref="L25:L26"/>
    <mergeCell ref="A8:C8"/>
    <mergeCell ref="A37:I37"/>
    <mergeCell ref="A75:A76"/>
    <mergeCell ref="B75:B76"/>
    <mergeCell ref="C75:K75"/>
    <mergeCell ref="B61:B62"/>
    <mergeCell ref="C61:K61"/>
    <mergeCell ref="A61:A62"/>
    <mergeCell ref="A54:G54"/>
    <mergeCell ref="H54:K54"/>
    <mergeCell ref="A60:G60"/>
    <mergeCell ref="H60:K60"/>
    <mergeCell ref="A33:G33"/>
    <mergeCell ref="B38:B39"/>
    <mergeCell ref="C38:K38"/>
    <mergeCell ref="A93:D93"/>
    <mergeCell ref="M25:M26"/>
    <mergeCell ref="A9:A10"/>
    <mergeCell ref="B9:B10"/>
    <mergeCell ref="C9:K9"/>
    <mergeCell ref="L9:L10"/>
    <mergeCell ref="M9:M10"/>
    <mergeCell ref="A74:G74"/>
    <mergeCell ref="A89:M89"/>
    <mergeCell ref="H20:K20"/>
    <mergeCell ref="A20:E20"/>
    <mergeCell ref="A38:A39"/>
    <mergeCell ref="L75:L76"/>
    <mergeCell ref="M75:M76"/>
    <mergeCell ref="L61:L62"/>
    <mergeCell ref="M61:M6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DA207"/>
  <sheetViews>
    <sheetView zoomScaleNormal="100" workbookViewId="0">
      <selection activeCell="A6" sqref="A6:T6"/>
    </sheetView>
  </sheetViews>
  <sheetFormatPr baseColWidth="10" defaultColWidth="11.42578125" defaultRowHeight="15" x14ac:dyDescent="0.25"/>
  <cols>
    <col min="1" max="1" width="43.140625" style="823" customWidth="1"/>
    <col min="2" max="2" width="31.7109375" style="823" customWidth="1"/>
    <col min="3" max="3" width="20.28515625" style="823" customWidth="1"/>
    <col min="4" max="4" width="18" style="823" customWidth="1"/>
    <col min="5" max="5" width="16" style="823" customWidth="1"/>
    <col min="6" max="6" width="14.85546875" style="823" customWidth="1"/>
    <col min="7" max="7" width="16" style="823" customWidth="1"/>
    <col min="8" max="8" width="16.42578125" style="823" customWidth="1"/>
    <col min="9" max="9" width="13.28515625" style="823" customWidth="1"/>
    <col min="10" max="10" width="15.42578125" style="823" customWidth="1"/>
    <col min="11" max="11" width="17" style="823" customWidth="1"/>
    <col min="12" max="12" width="14.85546875" style="823" customWidth="1"/>
    <col min="13" max="37" width="11.42578125" style="823"/>
    <col min="38" max="38" width="13.7109375" style="823" customWidth="1"/>
    <col min="39" max="39" width="11.42578125" style="823"/>
    <col min="40" max="40" width="12" style="823" customWidth="1"/>
    <col min="41" max="41" width="13" style="823" customWidth="1"/>
    <col min="42" max="42" width="13.140625" style="823" customWidth="1"/>
    <col min="43" max="43" width="11.42578125" style="823"/>
    <col min="44" max="44" width="12.42578125" style="823" customWidth="1"/>
    <col min="45" max="74" width="11.42578125" style="823"/>
    <col min="75" max="75" width="11.7109375" style="823" customWidth="1"/>
    <col min="76" max="76" width="11.7109375" style="1118" customWidth="1"/>
    <col min="77" max="77" width="11.7109375" style="1118" hidden="1" customWidth="1"/>
    <col min="78" max="78" width="12.140625" style="1118" hidden="1" customWidth="1"/>
    <col min="79" max="104" width="12.140625" style="1464" hidden="1" customWidth="1"/>
    <col min="105" max="105" width="12.140625" style="823" hidden="1" customWidth="1"/>
    <col min="106" max="16384" width="11.42578125" style="823"/>
  </cols>
  <sheetData>
    <row r="1" spans="1:93" ht="16.350000000000001" customHeight="1" x14ac:dyDescent="0.25">
      <c r="A1" s="150" t="s">
        <v>206</v>
      </c>
    </row>
    <row r="2" spans="1:93" ht="16.350000000000001" customHeight="1" x14ac:dyDescent="0.25">
      <c r="A2" s="150" t="str">
        <f>CONCATENATE("COMUNA: ",NOMBRE!B2," - ","( ",NOMBRE!C2,NOMBRE!D2,NOMBRE!E2,NOMBRE!F2,NOMBRE!G2," )")</f>
        <v>COMUNA:  - (  )</v>
      </c>
    </row>
    <row r="3" spans="1:93" ht="16.350000000000001" customHeight="1" x14ac:dyDescent="0.25">
      <c r="A3" s="150" t="str">
        <f>CONCATENATE("ESTABLECIMIENTO/ESTRATEGIA: ",NOMBRE!B3," - ","( ",NOMBRE!C3,NOMBRE!D3,NOMBRE!E3,NOMBRE!F3,NOMBRE!G3,NOMBRE!H3," )")</f>
        <v>ESTABLECIMIENTO/ESTRATEGIA:  - (  )</v>
      </c>
    </row>
    <row r="4" spans="1:93" ht="16.350000000000001" customHeight="1" x14ac:dyDescent="0.25">
      <c r="A4" s="150" t="str">
        <f>CONCATENATE("MES: ",NOMBRE!B6," - ","( ",NOMBRE!C6,NOMBRE!D6," )")</f>
        <v>MES:  - (  )</v>
      </c>
    </row>
    <row r="5" spans="1:93" ht="16.350000000000001" customHeight="1" x14ac:dyDescent="0.25">
      <c r="A5" s="150" t="str">
        <f>CONCATENATE("AÑO: ",NOMBRE!B7)</f>
        <v>AÑO: 2023</v>
      </c>
    </row>
    <row r="6" spans="1:93" x14ac:dyDescent="0.25">
      <c r="A6" s="8199" t="s">
        <v>1274</v>
      </c>
      <c r="B6" s="8199"/>
      <c r="C6" s="8199"/>
      <c r="D6" s="8199"/>
      <c r="E6" s="8199"/>
      <c r="F6" s="8199"/>
      <c r="G6" s="8199"/>
      <c r="H6" s="8199"/>
      <c r="I6" s="8199"/>
      <c r="J6" s="8199"/>
      <c r="K6" s="8199"/>
      <c r="L6" s="8199"/>
      <c r="M6" s="8199"/>
      <c r="N6" s="8199"/>
      <c r="O6" s="8199"/>
      <c r="P6" s="8199"/>
      <c r="Q6" s="8199"/>
      <c r="R6" s="8199"/>
      <c r="S6" s="8199"/>
      <c r="T6" s="8199"/>
    </row>
    <row r="7" spans="1:93" x14ac:dyDescent="0.25">
      <c r="A7" s="1091"/>
      <c r="B7" s="1091"/>
      <c r="C7" s="1091"/>
      <c r="D7" s="1091"/>
      <c r="E7" s="1091"/>
      <c r="F7" s="1091"/>
      <c r="G7" s="1091"/>
      <c r="H7" s="1091"/>
      <c r="I7" s="1091"/>
      <c r="J7" s="1091"/>
      <c r="K7" s="1091"/>
      <c r="L7" s="1091"/>
      <c r="M7" s="1091"/>
      <c r="N7" s="1091"/>
      <c r="O7" s="1091"/>
      <c r="P7" s="1091"/>
      <c r="Q7" s="1091"/>
      <c r="R7" s="1091"/>
      <c r="S7" s="1091"/>
      <c r="T7" s="1091"/>
    </row>
    <row r="8" spans="1:93" ht="32.1" customHeight="1" x14ac:dyDescent="0.25">
      <c r="A8" s="9708" t="s">
        <v>1273</v>
      </c>
      <c r="B8" s="9708"/>
      <c r="C8" s="169"/>
      <c r="D8" s="169"/>
      <c r="E8" s="169"/>
      <c r="F8" s="169"/>
      <c r="G8" s="169"/>
      <c r="H8" s="169"/>
      <c r="I8" s="169"/>
      <c r="J8" s="169"/>
      <c r="K8" s="169"/>
      <c r="L8" s="169"/>
    </row>
    <row r="9" spans="1:93" ht="32.1" customHeight="1" x14ac:dyDescent="0.25">
      <c r="A9" s="3546" t="s">
        <v>1272</v>
      </c>
      <c r="B9" s="795"/>
      <c r="C9" s="795"/>
      <c r="D9" s="795"/>
      <c r="E9" s="795"/>
      <c r="F9" s="670"/>
      <c r="G9" s="670"/>
      <c r="H9" s="670"/>
      <c r="I9" s="670"/>
      <c r="J9" s="670"/>
      <c r="K9" s="670"/>
      <c r="L9" s="670"/>
    </row>
    <row r="10" spans="1:93" ht="16.350000000000001" customHeight="1" x14ac:dyDescent="0.25">
      <c r="A10" s="9254" t="s">
        <v>1271</v>
      </c>
      <c r="B10" s="8186" t="s">
        <v>0</v>
      </c>
      <c r="C10" s="8182" t="s">
        <v>1259</v>
      </c>
      <c r="D10" s="8167"/>
      <c r="E10" s="8183"/>
      <c r="F10" s="9152" t="s">
        <v>84</v>
      </c>
      <c r="G10" s="9194"/>
      <c r="H10" s="9194"/>
      <c r="I10" s="9194"/>
      <c r="J10" s="9194"/>
      <c r="K10" s="9194"/>
      <c r="L10" s="9194"/>
      <c r="M10" s="9194"/>
      <c r="N10" s="9194"/>
      <c r="O10" s="9194"/>
      <c r="P10" s="9194"/>
      <c r="Q10" s="9194"/>
      <c r="R10" s="9194"/>
      <c r="S10" s="9194"/>
      <c r="T10" s="9194"/>
      <c r="U10" s="9194"/>
      <c r="V10" s="9194"/>
      <c r="W10" s="9194"/>
      <c r="X10" s="9194"/>
      <c r="Y10" s="9194"/>
      <c r="Z10" s="9194"/>
      <c r="AA10" s="9194"/>
      <c r="AB10" s="9194"/>
      <c r="AC10" s="9194"/>
      <c r="AD10" s="9194"/>
      <c r="AE10" s="9194"/>
      <c r="AF10" s="9194"/>
      <c r="AG10" s="9194"/>
      <c r="AH10" s="9194"/>
      <c r="AI10" s="9194"/>
      <c r="AJ10" s="9194"/>
      <c r="AK10" s="9194"/>
      <c r="AL10" s="9194"/>
      <c r="AM10" s="9709"/>
      <c r="AN10" s="9687" t="s">
        <v>1270</v>
      </c>
      <c r="AO10" s="8129" t="s">
        <v>711</v>
      </c>
      <c r="AP10" s="8183"/>
      <c r="AQ10" s="8153" t="s">
        <v>360</v>
      </c>
      <c r="AR10" s="8153" t="s">
        <v>359</v>
      </c>
      <c r="AS10" s="8153" t="s">
        <v>1269</v>
      </c>
      <c r="AT10" s="8153" t="s">
        <v>2947</v>
      </c>
      <c r="AU10" s="8153" t="s">
        <v>2607</v>
      </c>
      <c r="BX10" s="823"/>
    </row>
    <row r="11" spans="1:93" ht="16.350000000000001" customHeight="1" x14ac:dyDescent="0.25">
      <c r="A11" s="9254"/>
      <c r="B11" s="8189"/>
      <c r="C11" s="8191"/>
      <c r="D11" s="8130"/>
      <c r="E11" s="8192"/>
      <c r="F11" s="9710"/>
      <c r="G11" s="9195"/>
      <c r="H11" s="9195"/>
      <c r="I11" s="9195"/>
      <c r="J11" s="9195"/>
      <c r="K11" s="9195"/>
      <c r="L11" s="9195"/>
      <c r="M11" s="9195"/>
      <c r="N11" s="9195"/>
      <c r="O11" s="9195"/>
      <c r="P11" s="9195"/>
      <c r="Q11" s="9195"/>
      <c r="R11" s="9195"/>
      <c r="S11" s="9195"/>
      <c r="T11" s="9195"/>
      <c r="U11" s="9195"/>
      <c r="V11" s="9195"/>
      <c r="W11" s="9195"/>
      <c r="X11" s="9195"/>
      <c r="Y11" s="9195"/>
      <c r="Z11" s="9195"/>
      <c r="AA11" s="9195"/>
      <c r="AB11" s="9195"/>
      <c r="AC11" s="9195"/>
      <c r="AD11" s="9195"/>
      <c r="AE11" s="9195"/>
      <c r="AF11" s="9195"/>
      <c r="AG11" s="9195"/>
      <c r="AH11" s="9195"/>
      <c r="AI11" s="9195"/>
      <c r="AJ11" s="9195"/>
      <c r="AK11" s="9195"/>
      <c r="AL11" s="9195"/>
      <c r="AM11" s="9711"/>
      <c r="AN11" s="8470"/>
      <c r="AO11" s="8130"/>
      <c r="AP11" s="8192"/>
      <c r="AQ11" s="8125"/>
      <c r="AR11" s="8125"/>
      <c r="AS11" s="8125"/>
      <c r="AT11" s="8125"/>
      <c r="AU11" s="8125"/>
      <c r="BX11" s="823"/>
      <c r="CG11" s="1465"/>
      <c r="CH11" s="1465"/>
      <c r="CI11" s="1465"/>
      <c r="CJ11" s="1465"/>
      <c r="CK11" s="1465"/>
      <c r="CL11" s="1465"/>
      <c r="CM11" s="1465"/>
      <c r="CN11" s="1465"/>
      <c r="CO11" s="1465"/>
    </row>
    <row r="12" spans="1:93" ht="16.350000000000001" customHeight="1" x14ac:dyDescent="0.25">
      <c r="A12" s="9254"/>
      <c r="B12" s="8189"/>
      <c r="C12" s="8442"/>
      <c r="D12" s="8168"/>
      <c r="E12" s="8444"/>
      <c r="F12" s="9714" t="s">
        <v>397</v>
      </c>
      <c r="G12" s="9714"/>
      <c r="H12" s="9689" t="s">
        <v>54</v>
      </c>
      <c r="I12" s="9690"/>
      <c r="J12" s="9689" t="s">
        <v>79</v>
      </c>
      <c r="K12" s="9690"/>
      <c r="L12" s="9689" t="s">
        <v>3463</v>
      </c>
      <c r="M12" s="9690"/>
      <c r="N12" s="9689" t="s">
        <v>50</v>
      </c>
      <c r="O12" s="9690"/>
      <c r="P12" s="9689" t="s">
        <v>3464</v>
      </c>
      <c r="Q12" s="9690"/>
      <c r="R12" s="9689" t="s">
        <v>3465</v>
      </c>
      <c r="S12" s="9690"/>
      <c r="T12" s="9689" t="s">
        <v>3466</v>
      </c>
      <c r="U12" s="9690"/>
      <c r="V12" s="9689" t="s">
        <v>3467</v>
      </c>
      <c r="W12" s="9690"/>
      <c r="X12" s="9689" t="s">
        <v>3468</v>
      </c>
      <c r="Y12" s="9690"/>
      <c r="Z12" s="9689" t="s">
        <v>3469</v>
      </c>
      <c r="AA12" s="9690"/>
      <c r="AB12" s="9689" t="s">
        <v>2267</v>
      </c>
      <c r="AC12" s="9690"/>
      <c r="AD12" s="9689" t="s">
        <v>2127</v>
      </c>
      <c r="AE12" s="9690"/>
      <c r="AF12" s="9689" t="s">
        <v>2193</v>
      </c>
      <c r="AG12" s="9690"/>
      <c r="AH12" s="9689" t="s">
        <v>3470</v>
      </c>
      <c r="AI12" s="9690"/>
      <c r="AJ12" s="9689" t="s">
        <v>3471</v>
      </c>
      <c r="AK12" s="9690"/>
      <c r="AL12" s="9712" t="s">
        <v>1916</v>
      </c>
      <c r="AM12" s="9713"/>
      <c r="AN12" s="8470"/>
      <c r="AO12" s="9598"/>
      <c r="AP12" s="8444"/>
      <c r="AQ12" s="8125"/>
      <c r="AR12" s="8125"/>
      <c r="AS12" s="8125"/>
      <c r="AT12" s="8125"/>
      <c r="AU12" s="8125"/>
      <c r="BX12" s="823"/>
      <c r="CG12" s="1465"/>
      <c r="CH12" s="1465"/>
      <c r="CI12" s="1465"/>
      <c r="CJ12" s="1465"/>
      <c r="CK12" s="1465"/>
      <c r="CL12" s="1465"/>
      <c r="CM12" s="1465"/>
      <c r="CN12" s="1465"/>
      <c r="CO12" s="1465"/>
    </row>
    <row r="13" spans="1:93" ht="16.350000000000001" customHeight="1" x14ac:dyDescent="0.25">
      <c r="A13" s="9254"/>
      <c r="B13" s="9696"/>
      <c r="C13" s="2160" t="s">
        <v>1237</v>
      </c>
      <c r="D13" s="2178" t="s">
        <v>699</v>
      </c>
      <c r="E13" s="2122" t="s">
        <v>698</v>
      </c>
      <c r="F13" s="2160" t="s">
        <v>699</v>
      </c>
      <c r="G13" s="2120" t="s">
        <v>698</v>
      </c>
      <c r="H13" s="2160" t="s">
        <v>699</v>
      </c>
      <c r="I13" s="2120" t="s">
        <v>698</v>
      </c>
      <c r="J13" s="2160" t="s">
        <v>699</v>
      </c>
      <c r="K13" s="2120" t="s">
        <v>698</v>
      </c>
      <c r="L13" s="2160" t="s">
        <v>699</v>
      </c>
      <c r="M13" s="2120" t="s">
        <v>698</v>
      </c>
      <c r="N13" s="2160" t="s">
        <v>699</v>
      </c>
      <c r="O13" s="2120" t="s">
        <v>698</v>
      </c>
      <c r="P13" s="2160" t="s">
        <v>699</v>
      </c>
      <c r="Q13" s="2120" t="s">
        <v>698</v>
      </c>
      <c r="R13" s="2160" t="s">
        <v>699</v>
      </c>
      <c r="S13" s="2120" t="s">
        <v>698</v>
      </c>
      <c r="T13" s="2160" t="s">
        <v>699</v>
      </c>
      <c r="U13" s="2120" t="s">
        <v>698</v>
      </c>
      <c r="V13" s="2160" t="s">
        <v>699</v>
      </c>
      <c r="W13" s="2120" t="s">
        <v>698</v>
      </c>
      <c r="X13" s="2160" t="s">
        <v>699</v>
      </c>
      <c r="Y13" s="2120" t="s">
        <v>698</v>
      </c>
      <c r="Z13" s="2160" t="s">
        <v>699</v>
      </c>
      <c r="AA13" s="2120" t="s">
        <v>698</v>
      </c>
      <c r="AB13" s="2160" t="s">
        <v>699</v>
      </c>
      <c r="AC13" s="2120" t="s">
        <v>698</v>
      </c>
      <c r="AD13" s="2160" t="s">
        <v>699</v>
      </c>
      <c r="AE13" s="2120" t="s">
        <v>698</v>
      </c>
      <c r="AF13" s="2160" t="s">
        <v>699</v>
      </c>
      <c r="AG13" s="2120" t="s">
        <v>698</v>
      </c>
      <c r="AH13" s="2160" t="s">
        <v>699</v>
      </c>
      <c r="AI13" s="2120" t="s">
        <v>698</v>
      </c>
      <c r="AJ13" s="2160" t="s">
        <v>699</v>
      </c>
      <c r="AK13" s="2120" t="s">
        <v>698</v>
      </c>
      <c r="AL13" s="2160" t="s">
        <v>699</v>
      </c>
      <c r="AM13" s="2176" t="s">
        <v>698</v>
      </c>
      <c r="AN13" s="9688"/>
      <c r="AO13" s="3020" t="s">
        <v>356</v>
      </c>
      <c r="AP13" s="1961" t="s">
        <v>357</v>
      </c>
      <c r="AQ13" s="8428"/>
      <c r="AR13" s="8428"/>
      <c r="AS13" s="8428"/>
      <c r="AT13" s="8428"/>
      <c r="AU13" s="8428"/>
      <c r="AV13" s="1187"/>
      <c r="AW13" s="1187"/>
      <c r="AX13" s="1187"/>
      <c r="AY13" s="1187"/>
      <c r="AZ13" s="1187"/>
      <c r="BA13" s="1187"/>
      <c r="BB13" s="1187"/>
      <c r="BC13" s="1187"/>
      <c r="BD13" s="1187"/>
      <c r="BE13" s="1187"/>
      <c r="BF13" s="1187"/>
      <c r="BG13" s="1187"/>
      <c r="BX13" s="823"/>
      <c r="CG13" s="1465"/>
      <c r="CH13" s="1465"/>
      <c r="CI13" s="1465"/>
      <c r="CJ13" s="1465"/>
      <c r="CK13" s="1465"/>
      <c r="CL13" s="1465"/>
      <c r="CM13" s="1465"/>
      <c r="CN13" s="1465"/>
      <c r="CO13" s="1465"/>
    </row>
    <row r="14" spans="1:93" ht="16.350000000000001" customHeight="1" x14ac:dyDescent="0.25">
      <c r="A14" s="8153" t="s">
        <v>2582</v>
      </c>
      <c r="B14" s="773" t="s">
        <v>2583</v>
      </c>
      <c r="C14" s="1353">
        <f t="shared" ref="C14:C34" si="0">SUM(D14+E14)</f>
        <v>0</v>
      </c>
      <c r="D14" s="1354">
        <f>+F14+H14+J14+L14+N14+P14+R14+T14+V14+X14+Z14+AB14+AD14+AF14+AH14+AJ14+AL14</f>
        <v>0</v>
      </c>
      <c r="E14" s="782">
        <f>+G14+I14+K14+M14+O14+Q14+S14+U14+W14+Y14+AA14+AC14+AE14+AG14+AI14+AK14+AM14</f>
        <v>0</v>
      </c>
      <c r="F14" s="520"/>
      <c r="G14" s="518"/>
      <c r="H14" s="520"/>
      <c r="I14" s="518"/>
      <c r="J14" s="520"/>
      <c r="K14" s="756"/>
      <c r="L14" s="520"/>
      <c r="M14" s="756"/>
      <c r="N14" s="520"/>
      <c r="O14" s="756"/>
      <c r="P14" s="520"/>
      <c r="Q14" s="756"/>
      <c r="R14" s="520"/>
      <c r="S14" s="756"/>
      <c r="T14" s="520"/>
      <c r="U14" s="756"/>
      <c r="V14" s="520"/>
      <c r="W14" s="756"/>
      <c r="X14" s="520"/>
      <c r="Y14" s="756"/>
      <c r="Z14" s="520"/>
      <c r="AA14" s="756"/>
      <c r="AB14" s="520"/>
      <c r="AC14" s="756"/>
      <c r="AD14" s="520"/>
      <c r="AE14" s="756"/>
      <c r="AF14" s="520"/>
      <c r="AG14" s="756"/>
      <c r="AH14" s="520"/>
      <c r="AI14" s="756"/>
      <c r="AJ14" s="520"/>
      <c r="AK14" s="756"/>
      <c r="AL14" s="757"/>
      <c r="AM14" s="754"/>
      <c r="AN14" s="3023"/>
      <c r="AO14" s="3021"/>
      <c r="AP14" s="1886"/>
      <c r="AQ14" s="690"/>
      <c r="AR14" s="690"/>
      <c r="AS14" s="794"/>
      <c r="AT14" s="123"/>
      <c r="AU14" s="123"/>
      <c r="AV14" s="802"/>
      <c r="AW14" s="802"/>
      <c r="AX14" s="802"/>
      <c r="AY14" s="802"/>
      <c r="AZ14" s="802"/>
      <c r="BA14" s="802"/>
      <c r="BB14" s="802"/>
      <c r="BC14" s="802"/>
      <c r="BD14" s="802"/>
      <c r="BE14" s="802"/>
      <c r="BF14" s="1187"/>
      <c r="BG14" s="1187"/>
      <c r="BX14" s="823"/>
      <c r="CA14" s="1467" t="str">
        <f t="shared" ref="CA14:CA34" si="1">IF(CG14=1,"* No olvide digitar la columna Trans y/o Pueblos Originarios y/o Migrantes y/o Población SENAME (Digite Cero si no tiene). ","")</f>
        <v/>
      </c>
      <c r="CB14" s="1467" t="str">
        <f t="shared" ref="CB14:CB34" si="2">IF(CH14=1,"* El número de Trans y/o Pueblos Originarios y/o Migrantes y/o Población SENAME NO DEBE ser mayor que el Total. ","")</f>
        <v/>
      </c>
      <c r="CC14" s="1467" t="str">
        <f t="shared" ref="CC14:CC34" si="3">IF(CI14=1,"* Las consejerías realizadas en Espacios amigables NO DEBEN ser mayor al Total. ","")</f>
        <v/>
      </c>
      <c r="CD14" s="1467" t="str">
        <f t="shared" ref="CD14:CD34" si="4">IF(CJ14=1,"* La columna 14-18 AÑOS no puede ser mayor al total por grupo edad de 10 a 19 años. ","")</f>
        <v/>
      </c>
      <c r="CE14" s="1467"/>
      <c r="CF14" s="1467"/>
      <c r="CG14" s="1468">
        <f t="shared" ref="CG14:CG45" si="5">IF(AND(C14&lt;&gt;0,OR(AO14="",AP14="",AQ14="",AR14="",AT14="")),1,0)</f>
        <v>0</v>
      </c>
      <c r="CH14" s="1468">
        <f t="shared" ref="CH14:CH45" si="6">IF(OR(C14&lt;(AO14+AP14),C14&lt;AQ14,C14&lt;AR14,C14&lt;AT14),1,0)</f>
        <v>0</v>
      </c>
      <c r="CI14" s="1468">
        <f t="shared" ref="CI14:CI45" si="7">IF(C14&lt;AN14,1,0)</f>
        <v>0</v>
      </c>
      <c r="CJ14" s="1468">
        <f t="shared" ref="CJ14:CJ45" si="8">IF((J14+K14+L14+M14)&lt;AS14,1,0)</f>
        <v>0</v>
      </c>
      <c r="CK14" s="1465"/>
      <c r="CL14" s="1465"/>
      <c r="CM14" s="1465"/>
      <c r="CN14" s="1465"/>
      <c r="CO14" s="1465"/>
    </row>
    <row r="15" spans="1:93" ht="16.350000000000001" customHeight="1" x14ac:dyDescent="0.25">
      <c r="A15" s="8125"/>
      <c r="B15" s="135" t="s">
        <v>23</v>
      </c>
      <c r="C15" s="323">
        <f t="shared" si="0"/>
        <v>0</v>
      </c>
      <c r="D15" s="324">
        <f t="shared" ref="D15:E24" si="9">+F15+H15+J15+L15+N15+P15+R15+T15+V15+X15+Z15+AB15+AD15+AF15+AH15+AJ15+AL15</f>
        <v>0</v>
      </c>
      <c r="E15" s="781">
        <f>+G15+I15+K15+M15+O15+Q15+S15+U15+W15+Y15+AA15+AC15+AE15+AG15+AI15+AK15+AM15</f>
        <v>0</v>
      </c>
      <c r="F15" s="110"/>
      <c r="G15" s="144"/>
      <c r="H15" s="110"/>
      <c r="I15" s="144"/>
      <c r="J15" s="110"/>
      <c r="K15" s="122"/>
      <c r="L15" s="110"/>
      <c r="M15" s="122"/>
      <c r="N15" s="110"/>
      <c r="O15" s="122"/>
      <c r="P15" s="110"/>
      <c r="Q15" s="122"/>
      <c r="R15" s="110"/>
      <c r="S15" s="122"/>
      <c r="T15" s="110"/>
      <c r="U15" s="122"/>
      <c r="V15" s="110"/>
      <c r="W15" s="122"/>
      <c r="X15" s="110"/>
      <c r="Y15" s="122"/>
      <c r="Z15" s="110"/>
      <c r="AA15" s="122"/>
      <c r="AB15" s="110"/>
      <c r="AC15" s="122"/>
      <c r="AD15" s="110"/>
      <c r="AE15" s="122"/>
      <c r="AF15" s="110"/>
      <c r="AG15" s="122"/>
      <c r="AH15" s="110"/>
      <c r="AI15" s="122"/>
      <c r="AJ15" s="110"/>
      <c r="AK15" s="122"/>
      <c r="AL15" s="157"/>
      <c r="AM15" s="197"/>
      <c r="AN15" s="2568"/>
      <c r="AO15" s="2915"/>
      <c r="AP15" s="1881"/>
      <c r="AQ15" s="123"/>
      <c r="AR15" s="123"/>
      <c r="AS15" s="723"/>
      <c r="AT15" s="123"/>
      <c r="AU15" s="123"/>
      <c r="AV15" s="802"/>
      <c r="AW15" s="802"/>
      <c r="AX15" s="802"/>
      <c r="AY15" s="802"/>
      <c r="AZ15" s="802"/>
      <c r="BA15" s="802"/>
      <c r="BB15" s="802"/>
      <c r="BC15" s="802"/>
      <c r="BD15" s="802"/>
      <c r="BE15" s="802"/>
      <c r="BF15" s="1187"/>
      <c r="BG15" s="1187"/>
      <c r="BX15" s="823"/>
      <c r="CA15" s="1467" t="str">
        <f t="shared" si="1"/>
        <v/>
      </c>
      <c r="CB15" s="1467" t="str">
        <f t="shared" si="2"/>
        <v/>
      </c>
      <c r="CC15" s="1467" t="str">
        <f t="shared" si="3"/>
        <v/>
      </c>
      <c r="CD15" s="1467" t="str">
        <f t="shared" si="4"/>
        <v/>
      </c>
      <c r="CE15" s="1467"/>
      <c r="CF15" s="1467"/>
      <c r="CG15" s="1468">
        <f t="shared" si="5"/>
        <v>0</v>
      </c>
      <c r="CH15" s="1468">
        <f t="shared" si="6"/>
        <v>0</v>
      </c>
      <c r="CI15" s="1468">
        <f t="shared" si="7"/>
        <v>0</v>
      </c>
      <c r="CJ15" s="1468">
        <f t="shared" si="8"/>
        <v>0</v>
      </c>
      <c r="CK15" s="1465"/>
      <c r="CL15" s="1465"/>
      <c r="CM15" s="1465"/>
      <c r="CN15" s="1465"/>
      <c r="CO15" s="1465"/>
    </row>
    <row r="16" spans="1:93" ht="16.350000000000001" customHeight="1" x14ac:dyDescent="0.25">
      <c r="A16" s="8125"/>
      <c r="B16" s="135" t="s">
        <v>20</v>
      </c>
      <c r="C16" s="323">
        <f t="shared" si="0"/>
        <v>0</v>
      </c>
      <c r="D16" s="324">
        <f t="shared" si="9"/>
        <v>0</v>
      </c>
      <c r="E16" s="781">
        <f t="shared" si="9"/>
        <v>0</v>
      </c>
      <c r="F16" s="110"/>
      <c r="G16" s="144"/>
      <c r="H16" s="110"/>
      <c r="I16" s="144"/>
      <c r="J16" s="110"/>
      <c r="K16" s="122"/>
      <c r="L16" s="110"/>
      <c r="M16" s="122"/>
      <c r="N16" s="110"/>
      <c r="O16" s="122"/>
      <c r="P16" s="110"/>
      <c r="Q16" s="122"/>
      <c r="R16" s="110"/>
      <c r="S16" s="122"/>
      <c r="T16" s="110"/>
      <c r="U16" s="122"/>
      <c r="V16" s="110"/>
      <c r="W16" s="122"/>
      <c r="X16" s="110"/>
      <c r="Y16" s="122"/>
      <c r="Z16" s="110"/>
      <c r="AA16" s="122"/>
      <c r="AB16" s="110"/>
      <c r="AC16" s="122"/>
      <c r="AD16" s="110"/>
      <c r="AE16" s="122"/>
      <c r="AF16" s="110"/>
      <c r="AG16" s="122"/>
      <c r="AH16" s="110"/>
      <c r="AI16" s="122"/>
      <c r="AJ16" s="110"/>
      <c r="AK16" s="122"/>
      <c r="AL16" s="157"/>
      <c r="AM16" s="197"/>
      <c r="AN16" s="2568"/>
      <c r="AO16" s="2915"/>
      <c r="AP16" s="1881"/>
      <c r="AQ16" s="123"/>
      <c r="AR16" s="123"/>
      <c r="AS16" s="723"/>
      <c r="AT16" s="123"/>
      <c r="AU16" s="123"/>
      <c r="AV16" s="802"/>
      <c r="AW16" s="802"/>
      <c r="AX16" s="802"/>
      <c r="AY16" s="802"/>
      <c r="AZ16" s="802"/>
      <c r="BA16" s="802"/>
      <c r="BB16" s="802"/>
      <c r="BC16" s="802"/>
      <c r="BD16" s="802"/>
      <c r="BE16" s="802"/>
      <c r="BF16" s="1187"/>
      <c r="BG16" s="1187"/>
      <c r="BX16" s="823"/>
      <c r="CA16" s="1467" t="str">
        <f t="shared" si="1"/>
        <v/>
      </c>
      <c r="CB16" s="1467" t="str">
        <f t="shared" si="2"/>
        <v/>
      </c>
      <c r="CC16" s="1467" t="str">
        <f t="shared" si="3"/>
        <v/>
      </c>
      <c r="CD16" s="1467" t="str">
        <f t="shared" si="4"/>
        <v/>
      </c>
      <c r="CE16" s="1467"/>
      <c r="CF16" s="1467"/>
      <c r="CG16" s="1468">
        <f t="shared" si="5"/>
        <v>0</v>
      </c>
      <c r="CH16" s="1468">
        <f t="shared" si="6"/>
        <v>0</v>
      </c>
      <c r="CI16" s="1468">
        <f t="shared" si="7"/>
        <v>0</v>
      </c>
      <c r="CJ16" s="1468">
        <f t="shared" si="8"/>
        <v>0</v>
      </c>
      <c r="CK16" s="1465"/>
      <c r="CL16" s="1465"/>
      <c r="CM16" s="1465"/>
      <c r="CN16" s="1465"/>
      <c r="CO16" s="1465"/>
    </row>
    <row r="17" spans="1:93" ht="16.350000000000001" customHeight="1" x14ac:dyDescent="0.25">
      <c r="A17" s="8125"/>
      <c r="B17" s="135" t="s">
        <v>26</v>
      </c>
      <c r="C17" s="323">
        <f t="shared" si="0"/>
        <v>0</v>
      </c>
      <c r="D17" s="324">
        <f t="shared" si="9"/>
        <v>0</v>
      </c>
      <c r="E17" s="781">
        <f t="shared" si="9"/>
        <v>0</v>
      </c>
      <c r="F17" s="110"/>
      <c r="G17" s="144"/>
      <c r="H17" s="110"/>
      <c r="I17" s="144"/>
      <c r="J17" s="110"/>
      <c r="K17" s="122"/>
      <c r="L17" s="110"/>
      <c r="M17" s="122"/>
      <c r="N17" s="110"/>
      <c r="O17" s="122"/>
      <c r="P17" s="110"/>
      <c r="Q17" s="122"/>
      <c r="R17" s="110"/>
      <c r="S17" s="122"/>
      <c r="T17" s="110"/>
      <c r="U17" s="122"/>
      <c r="V17" s="110"/>
      <c r="W17" s="122"/>
      <c r="X17" s="110"/>
      <c r="Y17" s="122"/>
      <c r="Z17" s="110"/>
      <c r="AA17" s="122"/>
      <c r="AB17" s="110"/>
      <c r="AC17" s="122"/>
      <c r="AD17" s="110"/>
      <c r="AE17" s="122"/>
      <c r="AF17" s="110"/>
      <c r="AG17" s="122"/>
      <c r="AH17" s="110"/>
      <c r="AI17" s="122"/>
      <c r="AJ17" s="110"/>
      <c r="AK17" s="122"/>
      <c r="AL17" s="157"/>
      <c r="AM17" s="197"/>
      <c r="AN17" s="2568"/>
      <c r="AO17" s="2915"/>
      <c r="AP17" s="1881"/>
      <c r="AQ17" s="123"/>
      <c r="AR17" s="123"/>
      <c r="AS17" s="723"/>
      <c r="AT17" s="123"/>
      <c r="AU17" s="123"/>
      <c r="AV17" s="802"/>
      <c r="AW17" s="802"/>
      <c r="AX17" s="802"/>
      <c r="AY17" s="802"/>
      <c r="AZ17" s="802"/>
      <c r="BA17" s="802"/>
      <c r="BB17" s="802"/>
      <c r="BC17" s="802"/>
      <c r="BD17" s="802"/>
      <c r="BE17" s="802"/>
      <c r="BF17" s="1187"/>
      <c r="BG17" s="1187"/>
      <c r="BX17" s="823"/>
      <c r="CA17" s="1467" t="str">
        <f t="shared" si="1"/>
        <v/>
      </c>
      <c r="CB17" s="1467" t="str">
        <f t="shared" si="2"/>
        <v/>
      </c>
      <c r="CC17" s="1467" t="str">
        <f t="shared" si="3"/>
        <v/>
      </c>
      <c r="CD17" s="1467" t="str">
        <f t="shared" si="4"/>
        <v/>
      </c>
      <c r="CE17" s="1467"/>
      <c r="CF17" s="1467"/>
      <c r="CG17" s="1468">
        <f t="shared" si="5"/>
        <v>0</v>
      </c>
      <c r="CH17" s="1468">
        <f t="shared" si="6"/>
        <v>0</v>
      </c>
      <c r="CI17" s="1468">
        <f t="shared" si="7"/>
        <v>0</v>
      </c>
      <c r="CJ17" s="1468">
        <f t="shared" si="8"/>
        <v>0</v>
      </c>
      <c r="CK17" s="1465"/>
      <c r="CL17" s="1465"/>
      <c r="CM17" s="1465"/>
      <c r="CN17" s="1465"/>
      <c r="CO17" s="1465"/>
    </row>
    <row r="18" spans="1:93" ht="16.350000000000001" customHeight="1" x14ac:dyDescent="0.25">
      <c r="A18" s="8125"/>
      <c r="B18" s="135" t="s">
        <v>2590</v>
      </c>
      <c r="C18" s="323">
        <f t="shared" si="0"/>
        <v>0</v>
      </c>
      <c r="D18" s="324">
        <f t="shared" si="9"/>
        <v>0</v>
      </c>
      <c r="E18" s="781">
        <f t="shared" si="9"/>
        <v>0</v>
      </c>
      <c r="F18" s="110"/>
      <c r="G18" s="144"/>
      <c r="H18" s="110"/>
      <c r="I18" s="144"/>
      <c r="J18" s="110"/>
      <c r="K18" s="122"/>
      <c r="L18" s="110"/>
      <c r="M18" s="122"/>
      <c r="N18" s="110"/>
      <c r="O18" s="122"/>
      <c r="P18" s="110"/>
      <c r="Q18" s="122"/>
      <c r="R18" s="110"/>
      <c r="S18" s="122"/>
      <c r="T18" s="110"/>
      <c r="U18" s="122"/>
      <c r="V18" s="110"/>
      <c r="W18" s="122"/>
      <c r="X18" s="110"/>
      <c r="Y18" s="122"/>
      <c r="Z18" s="110"/>
      <c r="AA18" s="122"/>
      <c r="AB18" s="110"/>
      <c r="AC18" s="122"/>
      <c r="AD18" s="110"/>
      <c r="AE18" s="122"/>
      <c r="AF18" s="110"/>
      <c r="AG18" s="122"/>
      <c r="AH18" s="110"/>
      <c r="AI18" s="122"/>
      <c r="AJ18" s="110"/>
      <c r="AK18" s="122"/>
      <c r="AL18" s="157"/>
      <c r="AM18" s="197"/>
      <c r="AN18" s="2568"/>
      <c r="AO18" s="2915"/>
      <c r="AP18" s="1881"/>
      <c r="AQ18" s="123"/>
      <c r="AR18" s="123"/>
      <c r="AS18" s="723"/>
      <c r="AT18" s="123"/>
      <c r="AU18" s="123"/>
      <c r="AV18" s="802"/>
      <c r="AW18" s="802"/>
      <c r="AX18" s="802"/>
      <c r="AY18" s="802"/>
      <c r="AZ18" s="802"/>
      <c r="BA18" s="802"/>
      <c r="BB18" s="802"/>
      <c r="BC18" s="802"/>
      <c r="BD18" s="802"/>
      <c r="BE18" s="802"/>
      <c r="BF18" s="1187"/>
      <c r="BG18" s="1187"/>
      <c r="BX18" s="823"/>
      <c r="CA18" s="1467" t="str">
        <f t="shared" si="1"/>
        <v/>
      </c>
      <c r="CB18" s="1467" t="str">
        <f t="shared" si="2"/>
        <v/>
      </c>
      <c r="CC18" s="1467" t="str">
        <f t="shared" si="3"/>
        <v/>
      </c>
      <c r="CD18" s="1467" t="str">
        <f t="shared" si="4"/>
        <v/>
      </c>
      <c r="CE18" s="1467"/>
      <c r="CF18" s="1467"/>
      <c r="CG18" s="1468">
        <f t="shared" si="5"/>
        <v>0</v>
      </c>
      <c r="CH18" s="1468">
        <f t="shared" si="6"/>
        <v>0</v>
      </c>
      <c r="CI18" s="1468">
        <f t="shared" si="7"/>
        <v>0</v>
      </c>
      <c r="CJ18" s="1468">
        <f t="shared" si="8"/>
        <v>0</v>
      </c>
      <c r="CK18" s="1465"/>
      <c r="CL18" s="1465"/>
      <c r="CM18" s="1465"/>
      <c r="CN18" s="1465"/>
      <c r="CO18" s="1465"/>
    </row>
    <row r="19" spans="1:93" ht="16.350000000000001" customHeight="1" x14ac:dyDescent="0.25">
      <c r="A19" s="8125"/>
      <c r="B19" s="135" t="s">
        <v>1265</v>
      </c>
      <c r="C19" s="323">
        <f t="shared" si="0"/>
        <v>0</v>
      </c>
      <c r="D19" s="324">
        <f t="shared" si="9"/>
        <v>0</v>
      </c>
      <c r="E19" s="781">
        <f t="shared" si="9"/>
        <v>0</v>
      </c>
      <c r="F19" s="110"/>
      <c r="G19" s="144"/>
      <c r="H19" s="110"/>
      <c r="I19" s="144"/>
      <c r="J19" s="110"/>
      <c r="K19" s="122"/>
      <c r="L19" s="110"/>
      <c r="M19" s="122"/>
      <c r="N19" s="110"/>
      <c r="O19" s="122"/>
      <c r="P19" s="110"/>
      <c r="Q19" s="122"/>
      <c r="R19" s="110"/>
      <c r="S19" s="122"/>
      <c r="T19" s="110"/>
      <c r="U19" s="122"/>
      <c r="V19" s="110"/>
      <c r="W19" s="122"/>
      <c r="X19" s="110"/>
      <c r="Y19" s="122"/>
      <c r="Z19" s="110"/>
      <c r="AA19" s="122"/>
      <c r="AB19" s="110"/>
      <c r="AC19" s="122"/>
      <c r="AD19" s="110"/>
      <c r="AE19" s="122"/>
      <c r="AF19" s="110"/>
      <c r="AG19" s="122"/>
      <c r="AH19" s="110"/>
      <c r="AI19" s="122"/>
      <c r="AJ19" s="110"/>
      <c r="AK19" s="122"/>
      <c r="AL19" s="157"/>
      <c r="AM19" s="197"/>
      <c r="AN19" s="2568"/>
      <c r="AO19" s="2915"/>
      <c r="AP19" s="1881"/>
      <c r="AQ19" s="123"/>
      <c r="AR19" s="123"/>
      <c r="AS19" s="723"/>
      <c r="AT19" s="123"/>
      <c r="AU19" s="123"/>
      <c r="AV19" s="802"/>
      <c r="AW19" s="802"/>
      <c r="AX19" s="802"/>
      <c r="AY19" s="802"/>
      <c r="AZ19" s="802"/>
      <c r="BA19" s="802"/>
      <c r="BB19" s="802"/>
      <c r="BC19" s="802"/>
      <c r="BD19" s="802"/>
      <c r="BE19" s="802"/>
      <c r="BF19" s="1187"/>
      <c r="BG19" s="1187"/>
      <c r="BX19" s="823"/>
      <c r="CA19" s="1467" t="str">
        <f t="shared" si="1"/>
        <v/>
      </c>
      <c r="CB19" s="1467" t="str">
        <f t="shared" si="2"/>
        <v/>
      </c>
      <c r="CC19" s="1467" t="str">
        <f t="shared" si="3"/>
        <v/>
      </c>
      <c r="CD19" s="1467" t="str">
        <f t="shared" si="4"/>
        <v/>
      </c>
      <c r="CE19" s="1467"/>
      <c r="CF19" s="1467"/>
      <c r="CG19" s="1468">
        <f t="shared" si="5"/>
        <v>0</v>
      </c>
      <c r="CH19" s="1468">
        <f t="shared" si="6"/>
        <v>0</v>
      </c>
      <c r="CI19" s="1468">
        <f t="shared" si="7"/>
        <v>0</v>
      </c>
      <c r="CJ19" s="1468">
        <f t="shared" si="8"/>
        <v>0</v>
      </c>
      <c r="CK19" s="1465"/>
      <c r="CL19" s="1465"/>
      <c r="CM19" s="1465"/>
      <c r="CN19" s="1465"/>
      <c r="CO19" s="1465"/>
    </row>
    <row r="20" spans="1:93" ht="16.350000000000001" customHeight="1" x14ac:dyDescent="0.25">
      <c r="A20" s="8125"/>
      <c r="B20" s="135" t="s">
        <v>1014</v>
      </c>
      <c r="C20" s="323">
        <f t="shared" si="0"/>
        <v>0</v>
      </c>
      <c r="D20" s="324">
        <f t="shared" si="9"/>
        <v>0</v>
      </c>
      <c r="E20" s="781">
        <f t="shared" si="9"/>
        <v>0</v>
      </c>
      <c r="F20" s="110"/>
      <c r="G20" s="144"/>
      <c r="H20" s="110"/>
      <c r="I20" s="144"/>
      <c r="J20" s="110"/>
      <c r="K20" s="122"/>
      <c r="L20" s="110"/>
      <c r="M20" s="122"/>
      <c r="N20" s="110"/>
      <c r="O20" s="122"/>
      <c r="P20" s="110"/>
      <c r="Q20" s="122"/>
      <c r="R20" s="110"/>
      <c r="S20" s="122"/>
      <c r="T20" s="110"/>
      <c r="U20" s="122"/>
      <c r="V20" s="110"/>
      <c r="W20" s="122"/>
      <c r="X20" s="110"/>
      <c r="Y20" s="122"/>
      <c r="Z20" s="110"/>
      <c r="AA20" s="122"/>
      <c r="AB20" s="110"/>
      <c r="AC20" s="122"/>
      <c r="AD20" s="110"/>
      <c r="AE20" s="122"/>
      <c r="AF20" s="110"/>
      <c r="AG20" s="122"/>
      <c r="AH20" s="110"/>
      <c r="AI20" s="122"/>
      <c r="AJ20" s="110"/>
      <c r="AK20" s="122"/>
      <c r="AL20" s="157"/>
      <c r="AM20" s="197"/>
      <c r="AN20" s="2568"/>
      <c r="AO20" s="2915"/>
      <c r="AP20" s="1881"/>
      <c r="AQ20" s="123"/>
      <c r="AR20" s="123"/>
      <c r="AS20" s="723"/>
      <c r="AT20" s="123"/>
      <c r="AU20" s="123"/>
      <c r="AV20" s="802"/>
      <c r="AW20" s="802"/>
      <c r="AX20" s="802"/>
      <c r="AY20" s="802"/>
      <c r="AZ20" s="802"/>
      <c r="BA20" s="802"/>
      <c r="BB20" s="802"/>
      <c r="BC20" s="802"/>
      <c r="BD20" s="802"/>
      <c r="BE20" s="802"/>
      <c r="BF20" s="1187"/>
      <c r="BG20" s="1187"/>
      <c r="BX20" s="823"/>
      <c r="CA20" s="1467" t="str">
        <f t="shared" si="1"/>
        <v/>
      </c>
      <c r="CB20" s="1467" t="str">
        <f t="shared" si="2"/>
        <v/>
      </c>
      <c r="CC20" s="1467" t="str">
        <f t="shared" si="3"/>
        <v/>
      </c>
      <c r="CD20" s="1467" t="str">
        <f t="shared" si="4"/>
        <v/>
      </c>
      <c r="CE20" s="1467"/>
      <c r="CF20" s="1467"/>
      <c r="CG20" s="1468">
        <f t="shared" si="5"/>
        <v>0</v>
      </c>
      <c r="CH20" s="1468">
        <f t="shared" si="6"/>
        <v>0</v>
      </c>
      <c r="CI20" s="1468">
        <f t="shared" si="7"/>
        <v>0</v>
      </c>
      <c r="CJ20" s="1468">
        <f t="shared" si="8"/>
        <v>0</v>
      </c>
      <c r="CK20" s="1465"/>
      <c r="CL20" s="1465"/>
      <c r="CM20" s="1465"/>
      <c r="CN20" s="1465"/>
      <c r="CO20" s="1465"/>
    </row>
    <row r="21" spans="1:93" ht="16.350000000000001" customHeight="1" x14ac:dyDescent="0.25">
      <c r="A21" s="8125"/>
      <c r="B21" s="3373" t="s">
        <v>62</v>
      </c>
      <c r="C21" s="553">
        <f t="shared" si="0"/>
        <v>0</v>
      </c>
      <c r="D21" s="552">
        <f t="shared" si="9"/>
        <v>0</v>
      </c>
      <c r="E21" s="791">
        <f t="shared" si="9"/>
        <v>0</v>
      </c>
      <c r="F21" s="137"/>
      <c r="G21" s="164"/>
      <c r="H21" s="137"/>
      <c r="I21" s="164"/>
      <c r="J21" s="137"/>
      <c r="K21" s="138"/>
      <c r="L21" s="137"/>
      <c r="M21" s="138"/>
      <c r="N21" s="137"/>
      <c r="O21" s="138"/>
      <c r="P21" s="137"/>
      <c r="Q21" s="138"/>
      <c r="R21" s="137"/>
      <c r="S21" s="138"/>
      <c r="T21" s="137"/>
      <c r="U21" s="138"/>
      <c r="V21" s="137"/>
      <c r="W21" s="138"/>
      <c r="X21" s="137"/>
      <c r="Y21" s="138"/>
      <c r="Z21" s="137"/>
      <c r="AA21" s="138"/>
      <c r="AB21" s="137"/>
      <c r="AC21" s="138"/>
      <c r="AD21" s="137"/>
      <c r="AE21" s="138"/>
      <c r="AF21" s="137"/>
      <c r="AG21" s="138"/>
      <c r="AH21" s="137"/>
      <c r="AI21" s="138"/>
      <c r="AJ21" s="137"/>
      <c r="AK21" s="138"/>
      <c r="AL21" s="161"/>
      <c r="AM21" s="260"/>
      <c r="AN21" s="2568"/>
      <c r="AO21" s="2852"/>
      <c r="AP21" s="1881"/>
      <c r="AQ21" s="123"/>
      <c r="AR21" s="123"/>
      <c r="AS21" s="723"/>
      <c r="AT21" s="123"/>
      <c r="AU21" s="123"/>
      <c r="AV21" s="802"/>
      <c r="AW21" s="802"/>
      <c r="AX21" s="802"/>
      <c r="AY21" s="802"/>
      <c r="AZ21" s="802"/>
      <c r="BA21" s="802"/>
      <c r="BB21" s="802"/>
      <c r="BC21" s="802"/>
      <c r="BD21" s="802"/>
      <c r="BE21" s="802"/>
      <c r="BF21" s="1187"/>
      <c r="BG21" s="1187"/>
      <c r="BX21" s="823"/>
      <c r="CA21" s="1467" t="str">
        <f t="shared" si="1"/>
        <v/>
      </c>
      <c r="CB21" s="1467" t="str">
        <f t="shared" si="2"/>
        <v/>
      </c>
      <c r="CC21" s="1467" t="str">
        <f t="shared" si="3"/>
        <v/>
      </c>
      <c r="CD21" s="1467" t="str">
        <f t="shared" si="4"/>
        <v/>
      </c>
      <c r="CE21" s="1467"/>
      <c r="CF21" s="1467"/>
      <c r="CG21" s="1468">
        <f t="shared" si="5"/>
        <v>0</v>
      </c>
      <c r="CH21" s="1468">
        <f t="shared" si="6"/>
        <v>0</v>
      </c>
      <c r="CI21" s="1468">
        <f t="shared" si="7"/>
        <v>0</v>
      </c>
      <c r="CJ21" s="1468">
        <f t="shared" si="8"/>
        <v>0</v>
      </c>
      <c r="CK21" s="1465"/>
      <c r="CL21" s="1465"/>
      <c r="CM21" s="1465"/>
      <c r="CN21" s="1465"/>
      <c r="CO21" s="1465"/>
    </row>
    <row r="22" spans="1:93" ht="16.350000000000001" customHeight="1" x14ac:dyDescent="0.25">
      <c r="A22" s="8125"/>
      <c r="B22" s="135" t="s">
        <v>1263</v>
      </c>
      <c r="C22" s="323">
        <f t="shared" si="0"/>
        <v>0</v>
      </c>
      <c r="D22" s="324">
        <f t="shared" si="9"/>
        <v>0</v>
      </c>
      <c r="E22" s="781">
        <f t="shared" si="9"/>
        <v>0</v>
      </c>
      <c r="F22" s="110"/>
      <c r="G22" s="144"/>
      <c r="H22" s="110"/>
      <c r="I22" s="144"/>
      <c r="J22" s="110"/>
      <c r="K22" s="122"/>
      <c r="L22" s="110"/>
      <c r="M22" s="122"/>
      <c r="N22" s="110"/>
      <c r="O22" s="122"/>
      <c r="P22" s="110"/>
      <c r="Q22" s="122"/>
      <c r="R22" s="110"/>
      <c r="S22" s="122"/>
      <c r="T22" s="110"/>
      <c r="U22" s="122"/>
      <c r="V22" s="110"/>
      <c r="W22" s="122"/>
      <c r="X22" s="110"/>
      <c r="Y22" s="122"/>
      <c r="Z22" s="110"/>
      <c r="AA22" s="122"/>
      <c r="AB22" s="110"/>
      <c r="AC22" s="122"/>
      <c r="AD22" s="110"/>
      <c r="AE22" s="122"/>
      <c r="AF22" s="110"/>
      <c r="AG22" s="122"/>
      <c r="AH22" s="110"/>
      <c r="AI22" s="122"/>
      <c r="AJ22" s="110"/>
      <c r="AK22" s="122"/>
      <c r="AL22" s="157"/>
      <c r="AM22" s="197"/>
      <c r="AN22" s="2568"/>
      <c r="AO22" s="2915"/>
      <c r="AP22" s="1881"/>
      <c r="AQ22" s="123"/>
      <c r="AR22" s="123"/>
      <c r="AS22" s="723"/>
      <c r="AT22" s="123"/>
      <c r="AU22" s="123"/>
      <c r="AV22" s="802"/>
      <c r="AW22" s="802"/>
      <c r="AX22" s="802"/>
      <c r="AY22" s="802"/>
      <c r="AZ22" s="802"/>
      <c r="BA22" s="802"/>
      <c r="BB22" s="802"/>
      <c r="BC22" s="802"/>
      <c r="BD22" s="802"/>
      <c r="BE22" s="802"/>
      <c r="BF22" s="1187"/>
      <c r="BG22" s="1187"/>
      <c r="BX22" s="823"/>
      <c r="CA22" s="1467" t="str">
        <f t="shared" si="1"/>
        <v/>
      </c>
      <c r="CB22" s="1467" t="str">
        <f t="shared" si="2"/>
        <v/>
      </c>
      <c r="CC22" s="1467" t="str">
        <f t="shared" si="3"/>
        <v/>
      </c>
      <c r="CD22" s="1467" t="str">
        <f t="shared" si="4"/>
        <v/>
      </c>
      <c r="CE22" s="1467"/>
      <c r="CF22" s="1467"/>
      <c r="CG22" s="1468">
        <f t="shared" si="5"/>
        <v>0</v>
      </c>
      <c r="CH22" s="1468">
        <f t="shared" si="6"/>
        <v>0</v>
      </c>
      <c r="CI22" s="1468">
        <f t="shared" si="7"/>
        <v>0</v>
      </c>
      <c r="CJ22" s="1468">
        <f t="shared" si="8"/>
        <v>0</v>
      </c>
      <c r="CK22" s="1465"/>
      <c r="CL22" s="1465"/>
      <c r="CM22" s="1465"/>
      <c r="CN22" s="1465"/>
      <c r="CO22" s="1465"/>
    </row>
    <row r="23" spans="1:93" ht="16.350000000000001" customHeight="1" x14ac:dyDescent="0.25">
      <c r="A23" s="8125"/>
      <c r="B23" s="153" t="s">
        <v>1264</v>
      </c>
      <c r="C23" s="323">
        <f t="shared" si="0"/>
        <v>0</v>
      </c>
      <c r="D23" s="734">
        <f t="shared" si="9"/>
        <v>0</v>
      </c>
      <c r="E23" s="780">
        <f t="shared" si="9"/>
        <v>0</v>
      </c>
      <c r="F23" s="110"/>
      <c r="G23" s="144"/>
      <c r="H23" s="110"/>
      <c r="I23" s="144"/>
      <c r="J23" s="110"/>
      <c r="K23" s="122"/>
      <c r="L23" s="110"/>
      <c r="M23" s="122"/>
      <c r="N23" s="110"/>
      <c r="O23" s="122"/>
      <c r="P23" s="110"/>
      <c r="Q23" s="122"/>
      <c r="R23" s="110"/>
      <c r="S23" s="122"/>
      <c r="T23" s="110"/>
      <c r="U23" s="122"/>
      <c r="V23" s="110"/>
      <c r="W23" s="122"/>
      <c r="X23" s="110"/>
      <c r="Y23" s="122"/>
      <c r="Z23" s="110"/>
      <c r="AA23" s="122"/>
      <c r="AB23" s="110"/>
      <c r="AC23" s="122"/>
      <c r="AD23" s="110"/>
      <c r="AE23" s="122"/>
      <c r="AF23" s="110"/>
      <c r="AG23" s="122"/>
      <c r="AH23" s="110"/>
      <c r="AI23" s="122"/>
      <c r="AJ23" s="110"/>
      <c r="AK23" s="122"/>
      <c r="AL23" s="201"/>
      <c r="AM23" s="197"/>
      <c r="AN23" s="2568"/>
      <c r="AO23" s="2915"/>
      <c r="AP23" s="1881"/>
      <c r="AQ23" s="123"/>
      <c r="AR23" s="123"/>
      <c r="AS23" s="723"/>
      <c r="AT23" s="123"/>
      <c r="AU23" s="123"/>
      <c r="AV23" s="802"/>
      <c r="AW23" s="802"/>
      <c r="AX23" s="802"/>
      <c r="AY23" s="802"/>
      <c r="AZ23" s="802"/>
      <c r="BA23" s="802"/>
      <c r="BB23" s="802"/>
      <c r="BC23" s="802"/>
      <c r="BD23" s="802"/>
      <c r="BE23" s="802"/>
      <c r="BF23" s="1187"/>
      <c r="BG23" s="1187"/>
      <c r="BX23" s="823"/>
      <c r="CA23" s="1467" t="str">
        <f t="shared" si="1"/>
        <v/>
      </c>
      <c r="CB23" s="1467" t="str">
        <f t="shared" si="2"/>
        <v/>
      </c>
      <c r="CC23" s="1467" t="str">
        <f t="shared" si="3"/>
        <v/>
      </c>
      <c r="CD23" s="1467" t="str">
        <f t="shared" si="4"/>
        <v/>
      </c>
      <c r="CE23" s="1467"/>
      <c r="CF23" s="1467"/>
      <c r="CG23" s="1468">
        <f t="shared" si="5"/>
        <v>0</v>
      </c>
      <c r="CH23" s="1468">
        <f t="shared" si="6"/>
        <v>0</v>
      </c>
      <c r="CI23" s="1468">
        <f t="shared" si="7"/>
        <v>0</v>
      </c>
      <c r="CJ23" s="1468">
        <f t="shared" si="8"/>
        <v>0</v>
      </c>
      <c r="CK23" s="1465"/>
      <c r="CL23" s="1465"/>
      <c r="CM23" s="1465"/>
      <c r="CN23" s="1465"/>
      <c r="CO23" s="1465"/>
    </row>
    <row r="24" spans="1:93" ht="16.350000000000001" customHeight="1" x14ac:dyDescent="0.25">
      <c r="A24" s="8428"/>
      <c r="B24" s="527" t="s">
        <v>27</v>
      </c>
      <c r="C24" s="1357">
        <f t="shared" si="0"/>
        <v>0</v>
      </c>
      <c r="D24" s="1358">
        <f t="shared" si="9"/>
        <v>0</v>
      </c>
      <c r="E24" s="779">
        <f t="shared" si="9"/>
        <v>0</v>
      </c>
      <c r="F24" s="703"/>
      <c r="G24" s="788"/>
      <c r="H24" s="703"/>
      <c r="I24" s="788"/>
      <c r="J24" s="703"/>
      <c r="K24" s="702"/>
      <c r="L24" s="703"/>
      <c r="M24" s="702"/>
      <c r="N24" s="703"/>
      <c r="O24" s="702"/>
      <c r="P24" s="703"/>
      <c r="Q24" s="702"/>
      <c r="R24" s="703"/>
      <c r="S24" s="702"/>
      <c r="T24" s="703"/>
      <c r="U24" s="702"/>
      <c r="V24" s="703"/>
      <c r="W24" s="702"/>
      <c r="X24" s="703"/>
      <c r="Y24" s="702"/>
      <c r="Z24" s="703"/>
      <c r="AA24" s="702"/>
      <c r="AB24" s="703"/>
      <c r="AC24" s="702"/>
      <c r="AD24" s="703"/>
      <c r="AE24" s="702"/>
      <c r="AF24" s="703"/>
      <c r="AG24" s="702"/>
      <c r="AH24" s="703"/>
      <c r="AI24" s="702"/>
      <c r="AJ24" s="703"/>
      <c r="AK24" s="702"/>
      <c r="AL24" s="125"/>
      <c r="AM24" s="707"/>
      <c r="AN24" s="2546"/>
      <c r="AO24" s="2936"/>
      <c r="AP24" s="1669"/>
      <c r="AQ24" s="86"/>
      <c r="AR24" s="86"/>
      <c r="AS24" s="793"/>
      <c r="AT24" s="86"/>
      <c r="AU24" s="86"/>
      <c r="AV24" s="802"/>
      <c r="AW24" s="802"/>
      <c r="AX24" s="802"/>
      <c r="AY24" s="802"/>
      <c r="AZ24" s="802"/>
      <c r="BA24" s="802"/>
      <c r="BB24" s="802"/>
      <c r="BC24" s="802"/>
      <c r="BD24" s="802"/>
      <c r="BE24" s="802"/>
      <c r="BF24" s="1187"/>
      <c r="BG24" s="1187"/>
      <c r="BX24" s="823"/>
      <c r="CA24" s="1467" t="str">
        <f t="shared" si="1"/>
        <v/>
      </c>
      <c r="CB24" s="1467" t="str">
        <f t="shared" si="2"/>
        <v/>
      </c>
      <c r="CC24" s="1467" t="str">
        <f t="shared" si="3"/>
        <v/>
      </c>
      <c r="CD24" s="1467" t="str">
        <f t="shared" si="4"/>
        <v/>
      </c>
      <c r="CE24" s="1467"/>
      <c r="CF24" s="1467"/>
      <c r="CG24" s="1468">
        <f t="shared" si="5"/>
        <v>0</v>
      </c>
      <c r="CH24" s="1468">
        <f t="shared" si="6"/>
        <v>0</v>
      </c>
      <c r="CI24" s="1468">
        <f t="shared" si="7"/>
        <v>0</v>
      </c>
      <c r="CJ24" s="1468">
        <f t="shared" si="8"/>
        <v>0</v>
      </c>
      <c r="CK24" s="1465"/>
      <c r="CL24" s="1465"/>
      <c r="CM24" s="1465"/>
      <c r="CN24" s="1465"/>
      <c r="CO24" s="1465"/>
    </row>
    <row r="25" spans="1:93" ht="16.350000000000001" customHeight="1" x14ac:dyDescent="0.25">
      <c r="A25" s="8153" t="s">
        <v>822</v>
      </c>
      <c r="B25" s="773" t="s">
        <v>2583</v>
      </c>
      <c r="C25" s="1353">
        <f t="shared" si="0"/>
        <v>0</v>
      </c>
      <c r="D25" s="1354">
        <f>SUM(H25+J25+L25+N25+P25+R25+T25+V25+X25+Z25+AB25+AD25+AF25+AH25+AJ25+AL25)</f>
        <v>0</v>
      </c>
      <c r="E25" s="782">
        <f>SUM(I25+K25+M25+O25+Q25+S25+U25+W25+Y25+AA25+AC25+AE25+AG25+AI25+AK25+AM25)</f>
        <v>0</v>
      </c>
      <c r="F25" s="786"/>
      <c r="G25" s="564"/>
      <c r="H25" s="520"/>
      <c r="I25" s="518"/>
      <c r="J25" s="520"/>
      <c r="K25" s="756"/>
      <c r="L25" s="520"/>
      <c r="M25" s="756"/>
      <c r="N25" s="520"/>
      <c r="O25" s="756"/>
      <c r="P25" s="520"/>
      <c r="Q25" s="756"/>
      <c r="R25" s="520"/>
      <c r="S25" s="756"/>
      <c r="T25" s="520"/>
      <c r="U25" s="756"/>
      <c r="V25" s="520"/>
      <c r="W25" s="756"/>
      <c r="X25" s="520"/>
      <c r="Y25" s="756"/>
      <c r="Z25" s="520"/>
      <c r="AA25" s="756"/>
      <c r="AB25" s="520"/>
      <c r="AC25" s="756"/>
      <c r="AD25" s="520"/>
      <c r="AE25" s="756"/>
      <c r="AF25" s="520"/>
      <c r="AG25" s="756"/>
      <c r="AH25" s="520"/>
      <c r="AI25" s="756"/>
      <c r="AJ25" s="520"/>
      <c r="AK25" s="756"/>
      <c r="AL25" s="757"/>
      <c r="AM25" s="754"/>
      <c r="AN25" s="2505"/>
      <c r="AO25" s="3021"/>
      <c r="AP25" s="1886"/>
      <c r="AQ25" s="690"/>
      <c r="AR25" s="690"/>
      <c r="AS25" s="794"/>
      <c r="AT25" s="91"/>
      <c r="AU25" s="91"/>
      <c r="AV25" s="802"/>
      <c r="AW25" s="802"/>
      <c r="AX25" s="802"/>
      <c r="AY25" s="802"/>
      <c r="AZ25" s="802"/>
      <c r="BA25" s="802"/>
      <c r="BB25" s="802"/>
      <c r="BC25" s="802"/>
      <c r="BD25" s="802"/>
      <c r="BE25" s="802"/>
      <c r="BF25" s="1187"/>
      <c r="BG25" s="1187"/>
      <c r="BX25" s="823"/>
      <c r="CA25" s="1467" t="str">
        <f t="shared" si="1"/>
        <v/>
      </c>
      <c r="CB25" s="1467" t="str">
        <f t="shared" si="2"/>
        <v/>
      </c>
      <c r="CC25" s="1467" t="str">
        <f t="shared" si="3"/>
        <v/>
      </c>
      <c r="CD25" s="1467" t="str">
        <f t="shared" si="4"/>
        <v/>
      </c>
      <c r="CE25" s="1467"/>
      <c r="CF25" s="1467"/>
      <c r="CG25" s="1468">
        <f t="shared" si="5"/>
        <v>0</v>
      </c>
      <c r="CH25" s="1468">
        <f t="shared" si="6"/>
        <v>0</v>
      </c>
      <c r="CI25" s="1468">
        <f t="shared" si="7"/>
        <v>0</v>
      </c>
      <c r="CJ25" s="1468">
        <f t="shared" si="8"/>
        <v>0</v>
      </c>
      <c r="CK25" s="1465"/>
      <c r="CL25" s="1465"/>
      <c r="CM25" s="1465"/>
      <c r="CN25" s="1465"/>
      <c r="CO25" s="1465"/>
    </row>
    <row r="26" spans="1:93" ht="16.350000000000001" customHeight="1" x14ac:dyDescent="0.25">
      <c r="A26" s="8125"/>
      <c r="B26" s="135" t="s">
        <v>23</v>
      </c>
      <c r="C26" s="323">
        <f t="shared" si="0"/>
        <v>0</v>
      </c>
      <c r="D26" s="324">
        <f t="shared" ref="D26:E41" si="10">SUM(H26+J26+L26+N26+P26+R26+T26+V26+X26+Z26+AB26+AD26+AF26+AH26+AJ26+AL26)</f>
        <v>0</v>
      </c>
      <c r="E26" s="781">
        <f t="shared" si="10"/>
        <v>0</v>
      </c>
      <c r="F26" s="93"/>
      <c r="G26" s="170"/>
      <c r="H26" s="110"/>
      <c r="I26" s="144"/>
      <c r="J26" s="110"/>
      <c r="K26" s="122"/>
      <c r="L26" s="110"/>
      <c r="M26" s="122"/>
      <c r="N26" s="110"/>
      <c r="O26" s="122"/>
      <c r="P26" s="110"/>
      <c r="Q26" s="122"/>
      <c r="R26" s="110"/>
      <c r="S26" s="122"/>
      <c r="T26" s="110"/>
      <c r="U26" s="122"/>
      <c r="V26" s="110"/>
      <c r="W26" s="122"/>
      <c r="X26" s="110"/>
      <c r="Y26" s="122"/>
      <c r="Z26" s="110"/>
      <c r="AA26" s="122"/>
      <c r="AB26" s="110"/>
      <c r="AC26" s="122"/>
      <c r="AD26" s="110"/>
      <c r="AE26" s="122"/>
      <c r="AF26" s="110"/>
      <c r="AG26" s="122"/>
      <c r="AH26" s="110"/>
      <c r="AI26" s="122"/>
      <c r="AJ26" s="110"/>
      <c r="AK26" s="122"/>
      <c r="AL26" s="157"/>
      <c r="AM26" s="197"/>
      <c r="AN26" s="2568"/>
      <c r="AO26" s="2915"/>
      <c r="AP26" s="1881"/>
      <c r="AQ26" s="123"/>
      <c r="AR26" s="123"/>
      <c r="AS26" s="723"/>
      <c r="AT26" s="123"/>
      <c r="AU26" s="123"/>
      <c r="AV26" s="802"/>
      <c r="AW26" s="802"/>
      <c r="AX26" s="802"/>
      <c r="AY26" s="802"/>
      <c r="AZ26" s="802"/>
      <c r="BA26" s="802"/>
      <c r="BB26" s="802"/>
      <c r="BC26" s="802"/>
      <c r="BD26" s="802"/>
      <c r="BE26" s="802"/>
      <c r="BF26" s="1187"/>
      <c r="BG26" s="1187"/>
      <c r="BX26" s="823"/>
      <c r="CA26" s="1467" t="str">
        <f t="shared" si="1"/>
        <v/>
      </c>
      <c r="CB26" s="1467" t="str">
        <f t="shared" si="2"/>
        <v/>
      </c>
      <c r="CC26" s="1467" t="str">
        <f t="shared" si="3"/>
        <v/>
      </c>
      <c r="CD26" s="1467" t="str">
        <f t="shared" si="4"/>
        <v/>
      </c>
      <c r="CE26" s="1467"/>
      <c r="CF26" s="1467"/>
      <c r="CG26" s="1468">
        <f t="shared" si="5"/>
        <v>0</v>
      </c>
      <c r="CH26" s="1468">
        <f t="shared" si="6"/>
        <v>0</v>
      </c>
      <c r="CI26" s="1468">
        <f t="shared" si="7"/>
        <v>0</v>
      </c>
      <c r="CJ26" s="1468">
        <f t="shared" si="8"/>
        <v>0</v>
      </c>
      <c r="CK26" s="1465"/>
      <c r="CL26" s="1465"/>
      <c r="CM26" s="1465"/>
      <c r="CN26" s="1465"/>
      <c r="CO26" s="1465"/>
    </row>
    <row r="27" spans="1:93" ht="16.350000000000001" customHeight="1" x14ac:dyDescent="0.25">
      <c r="A27" s="8125"/>
      <c r="B27" s="135" t="s">
        <v>20</v>
      </c>
      <c r="C27" s="323">
        <f t="shared" si="0"/>
        <v>0</v>
      </c>
      <c r="D27" s="324">
        <f t="shared" si="10"/>
        <v>0</v>
      </c>
      <c r="E27" s="781">
        <f t="shared" si="10"/>
        <v>0</v>
      </c>
      <c r="F27" s="93"/>
      <c r="G27" s="170"/>
      <c r="H27" s="110"/>
      <c r="I27" s="144"/>
      <c r="J27" s="110"/>
      <c r="K27" s="122"/>
      <c r="L27" s="110"/>
      <c r="M27" s="122"/>
      <c r="N27" s="110"/>
      <c r="O27" s="122"/>
      <c r="P27" s="110"/>
      <c r="Q27" s="122"/>
      <c r="R27" s="110"/>
      <c r="S27" s="122"/>
      <c r="T27" s="110"/>
      <c r="U27" s="122"/>
      <c r="V27" s="110"/>
      <c r="W27" s="122"/>
      <c r="X27" s="110"/>
      <c r="Y27" s="122"/>
      <c r="Z27" s="110"/>
      <c r="AA27" s="122"/>
      <c r="AB27" s="110"/>
      <c r="AC27" s="122"/>
      <c r="AD27" s="110"/>
      <c r="AE27" s="122"/>
      <c r="AF27" s="110"/>
      <c r="AG27" s="122"/>
      <c r="AH27" s="110"/>
      <c r="AI27" s="122"/>
      <c r="AJ27" s="110"/>
      <c r="AK27" s="122"/>
      <c r="AL27" s="157"/>
      <c r="AM27" s="197"/>
      <c r="AN27" s="2568"/>
      <c r="AO27" s="2915"/>
      <c r="AP27" s="1881"/>
      <c r="AQ27" s="123"/>
      <c r="AR27" s="123"/>
      <c r="AS27" s="723"/>
      <c r="AT27" s="123"/>
      <c r="AU27" s="123"/>
      <c r="AV27" s="802"/>
      <c r="AW27" s="802"/>
      <c r="AX27" s="802"/>
      <c r="AY27" s="802"/>
      <c r="AZ27" s="802"/>
      <c r="BA27" s="802"/>
      <c r="BB27" s="802"/>
      <c r="BC27" s="802"/>
      <c r="BD27" s="802"/>
      <c r="BE27" s="802"/>
      <c r="BF27" s="1187"/>
      <c r="BG27" s="1187"/>
      <c r="BX27" s="823"/>
      <c r="CA27" s="1467" t="str">
        <f t="shared" si="1"/>
        <v/>
      </c>
      <c r="CB27" s="1467" t="str">
        <f t="shared" si="2"/>
        <v/>
      </c>
      <c r="CC27" s="1467" t="str">
        <f t="shared" si="3"/>
        <v/>
      </c>
      <c r="CD27" s="1467" t="str">
        <f t="shared" si="4"/>
        <v/>
      </c>
      <c r="CE27" s="1467"/>
      <c r="CF27" s="1467"/>
      <c r="CG27" s="1468">
        <f t="shared" si="5"/>
        <v>0</v>
      </c>
      <c r="CH27" s="1468">
        <f t="shared" si="6"/>
        <v>0</v>
      </c>
      <c r="CI27" s="1468">
        <f t="shared" si="7"/>
        <v>0</v>
      </c>
      <c r="CJ27" s="1468">
        <f t="shared" si="8"/>
        <v>0</v>
      </c>
      <c r="CK27" s="1465"/>
      <c r="CL27" s="1465"/>
      <c r="CM27" s="1465"/>
      <c r="CN27" s="1465"/>
      <c r="CO27" s="1465"/>
    </row>
    <row r="28" spans="1:93" ht="16.350000000000001" customHeight="1" x14ac:dyDescent="0.25">
      <c r="A28" s="8125"/>
      <c r="B28" s="135" t="s">
        <v>26</v>
      </c>
      <c r="C28" s="323">
        <f t="shared" si="0"/>
        <v>0</v>
      </c>
      <c r="D28" s="324">
        <f t="shared" si="10"/>
        <v>0</v>
      </c>
      <c r="E28" s="781">
        <f t="shared" si="10"/>
        <v>0</v>
      </c>
      <c r="F28" s="93"/>
      <c r="G28" s="170"/>
      <c r="H28" s="110"/>
      <c r="I28" s="144"/>
      <c r="J28" s="110"/>
      <c r="K28" s="122"/>
      <c r="L28" s="110"/>
      <c r="M28" s="122"/>
      <c r="N28" s="110"/>
      <c r="O28" s="122"/>
      <c r="P28" s="110"/>
      <c r="Q28" s="122"/>
      <c r="R28" s="110"/>
      <c r="S28" s="122"/>
      <c r="T28" s="110"/>
      <c r="U28" s="122"/>
      <c r="V28" s="110"/>
      <c r="W28" s="122"/>
      <c r="X28" s="110"/>
      <c r="Y28" s="122"/>
      <c r="Z28" s="110"/>
      <c r="AA28" s="122"/>
      <c r="AB28" s="110"/>
      <c r="AC28" s="122"/>
      <c r="AD28" s="110"/>
      <c r="AE28" s="122"/>
      <c r="AF28" s="110"/>
      <c r="AG28" s="122"/>
      <c r="AH28" s="110"/>
      <c r="AI28" s="122"/>
      <c r="AJ28" s="110"/>
      <c r="AK28" s="122"/>
      <c r="AL28" s="157"/>
      <c r="AM28" s="197"/>
      <c r="AN28" s="2568"/>
      <c r="AO28" s="2915"/>
      <c r="AP28" s="1881"/>
      <c r="AQ28" s="123"/>
      <c r="AR28" s="123"/>
      <c r="AS28" s="723"/>
      <c r="AT28" s="123"/>
      <c r="AU28" s="123"/>
      <c r="AV28" s="802"/>
      <c r="AW28" s="802"/>
      <c r="AX28" s="802"/>
      <c r="AY28" s="802"/>
      <c r="AZ28" s="802"/>
      <c r="BA28" s="802"/>
      <c r="BB28" s="802"/>
      <c r="BC28" s="802"/>
      <c r="BD28" s="802"/>
      <c r="BE28" s="802"/>
      <c r="BF28" s="1187"/>
      <c r="BG28" s="1187"/>
      <c r="BX28" s="823"/>
      <c r="CA28" s="1467" t="str">
        <f t="shared" si="1"/>
        <v/>
      </c>
      <c r="CB28" s="1467" t="str">
        <f t="shared" si="2"/>
        <v/>
      </c>
      <c r="CC28" s="1467" t="str">
        <f t="shared" si="3"/>
        <v/>
      </c>
      <c r="CD28" s="1467" t="str">
        <f t="shared" si="4"/>
        <v/>
      </c>
      <c r="CE28" s="1467"/>
      <c r="CF28" s="1467"/>
      <c r="CG28" s="1468">
        <f t="shared" si="5"/>
        <v>0</v>
      </c>
      <c r="CH28" s="1468">
        <f t="shared" si="6"/>
        <v>0</v>
      </c>
      <c r="CI28" s="1468">
        <f t="shared" si="7"/>
        <v>0</v>
      </c>
      <c r="CJ28" s="1468">
        <f t="shared" si="8"/>
        <v>0</v>
      </c>
      <c r="CK28" s="1465"/>
      <c r="CL28" s="1465"/>
      <c r="CM28" s="1465"/>
      <c r="CN28" s="1465"/>
      <c r="CO28" s="1465"/>
    </row>
    <row r="29" spans="1:93" ht="16.350000000000001" customHeight="1" x14ac:dyDescent="0.25">
      <c r="A29" s="8125"/>
      <c r="B29" s="135" t="s">
        <v>2590</v>
      </c>
      <c r="C29" s="323">
        <f t="shared" si="0"/>
        <v>0</v>
      </c>
      <c r="D29" s="324">
        <f t="shared" si="10"/>
        <v>0</v>
      </c>
      <c r="E29" s="781">
        <f t="shared" si="10"/>
        <v>0</v>
      </c>
      <c r="F29" s="93"/>
      <c r="G29" s="170"/>
      <c r="H29" s="110"/>
      <c r="I29" s="144"/>
      <c r="J29" s="110"/>
      <c r="K29" s="122"/>
      <c r="L29" s="110"/>
      <c r="M29" s="122"/>
      <c r="N29" s="110"/>
      <c r="O29" s="122"/>
      <c r="P29" s="110"/>
      <c r="Q29" s="122"/>
      <c r="R29" s="110"/>
      <c r="S29" s="122"/>
      <c r="T29" s="110"/>
      <c r="U29" s="122"/>
      <c r="V29" s="110"/>
      <c r="W29" s="122"/>
      <c r="X29" s="110"/>
      <c r="Y29" s="122"/>
      <c r="Z29" s="110"/>
      <c r="AA29" s="122"/>
      <c r="AB29" s="110"/>
      <c r="AC29" s="122"/>
      <c r="AD29" s="110"/>
      <c r="AE29" s="122"/>
      <c r="AF29" s="110"/>
      <c r="AG29" s="122"/>
      <c r="AH29" s="110"/>
      <c r="AI29" s="122"/>
      <c r="AJ29" s="110"/>
      <c r="AK29" s="122"/>
      <c r="AL29" s="157"/>
      <c r="AM29" s="197"/>
      <c r="AN29" s="2568"/>
      <c r="AO29" s="2915"/>
      <c r="AP29" s="1881"/>
      <c r="AQ29" s="123"/>
      <c r="AR29" s="123"/>
      <c r="AS29" s="723"/>
      <c r="AT29" s="123"/>
      <c r="AU29" s="123"/>
      <c r="AV29" s="802"/>
      <c r="AW29" s="802"/>
      <c r="AX29" s="802"/>
      <c r="AY29" s="802"/>
      <c r="AZ29" s="802"/>
      <c r="BA29" s="802"/>
      <c r="BB29" s="802"/>
      <c r="BC29" s="802"/>
      <c r="BD29" s="802"/>
      <c r="BE29" s="802"/>
      <c r="BF29" s="1187"/>
      <c r="BG29" s="1187"/>
      <c r="BX29" s="823"/>
      <c r="CA29" s="1467" t="str">
        <f t="shared" si="1"/>
        <v/>
      </c>
      <c r="CB29" s="1467" t="str">
        <f t="shared" si="2"/>
        <v/>
      </c>
      <c r="CC29" s="1467" t="str">
        <f t="shared" si="3"/>
        <v/>
      </c>
      <c r="CD29" s="1467" t="str">
        <f t="shared" si="4"/>
        <v/>
      </c>
      <c r="CE29" s="1467"/>
      <c r="CF29" s="1467"/>
      <c r="CG29" s="1468">
        <f t="shared" si="5"/>
        <v>0</v>
      </c>
      <c r="CH29" s="1468">
        <f t="shared" si="6"/>
        <v>0</v>
      </c>
      <c r="CI29" s="1468">
        <f t="shared" si="7"/>
        <v>0</v>
      </c>
      <c r="CJ29" s="1468">
        <f t="shared" si="8"/>
        <v>0</v>
      </c>
      <c r="CK29" s="1465"/>
      <c r="CL29" s="1465"/>
      <c r="CM29" s="1465"/>
      <c r="CN29" s="1465"/>
      <c r="CO29" s="1465"/>
    </row>
    <row r="30" spans="1:93" ht="16.350000000000001" customHeight="1" x14ac:dyDescent="0.25">
      <c r="A30" s="8125"/>
      <c r="B30" s="135" t="s">
        <v>1265</v>
      </c>
      <c r="C30" s="323">
        <f t="shared" si="0"/>
        <v>0</v>
      </c>
      <c r="D30" s="324">
        <f t="shared" si="10"/>
        <v>0</v>
      </c>
      <c r="E30" s="781">
        <f t="shared" si="10"/>
        <v>0</v>
      </c>
      <c r="F30" s="93"/>
      <c r="G30" s="170"/>
      <c r="H30" s="110"/>
      <c r="I30" s="144"/>
      <c r="J30" s="110"/>
      <c r="K30" s="122"/>
      <c r="L30" s="110"/>
      <c r="M30" s="122"/>
      <c r="N30" s="110"/>
      <c r="O30" s="122"/>
      <c r="P30" s="110"/>
      <c r="Q30" s="122"/>
      <c r="R30" s="110"/>
      <c r="S30" s="122"/>
      <c r="T30" s="110"/>
      <c r="U30" s="122"/>
      <c r="V30" s="110"/>
      <c r="W30" s="122"/>
      <c r="X30" s="110"/>
      <c r="Y30" s="122"/>
      <c r="Z30" s="110"/>
      <c r="AA30" s="122"/>
      <c r="AB30" s="110"/>
      <c r="AC30" s="122"/>
      <c r="AD30" s="110"/>
      <c r="AE30" s="122"/>
      <c r="AF30" s="110"/>
      <c r="AG30" s="122"/>
      <c r="AH30" s="110"/>
      <c r="AI30" s="122"/>
      <c r="AJ30" s="110"/>
      <c r="AK30" s="122"/>
      <c r="AL30" s="157"/>
      <c r="AM30" s="197"/>
      <c r="AN30" s="2568"/>
      <c r="AO30" s="2915"/>
      <c r="AP30" s="1881"/>
      <c r="AQ30" s="123"/>
      <c r="AR30" s="123"/>
      <c r="AS30" s="723"/>
      <c r="AT30" s="123"/>
      <c r="AU30" s="123"/>
      <c r="AV30" s="802"/>
      <c r="AW30" s="802"/>
      <c r="AX30" s="802"/>
      <c r="AY30" s="802"/>
      <c r="AZ30" s="802"/>
      <c r="BA30" s="802"/>
      <c r="BB30" s="802"/>
      <c r="BC30" s="802"/>
      <c r="BD30" s="802"/>
      <c r="BE30" s="802"/>
      <c r="BF30" s="1187"/>
      <c r="BG30" s="1187"/>
      <c r="BX30" s="823"/>
      <c r="CA30" s="1467" t="str">
        <f t="shared" si="1"/>
        <v/>
      </c>
      <c r="CB30" s="1467" t="str">
        <f t="shared" si="2"/>
        <v/>
      </c>
      <c r="CC30" s="1467" t="str">
        <f t="shared" si="3"/>
        <v/>
      </c>
      <c r="CD30" s="1467" t="str">
        <f t="shared" si="4"/>
        <v/>
      </c>
      <c r="CE30" s="1467"/>
      <c r="CF30" s="1467"/>
      <c r="CG30" s="1468">
        <f t="shared" si="5"/>
        <v>0</v>
      </c>
      <c r="CH30" s="1468">
        <f t="shared" si="6"/>
        <v>0</v>
      </c>
      <c r="CI30" s="1468">
        <f t="shared" si="7"/>
        <v>0</v>
      </c>
      <c r="CJ30" s="1468">
        <f t="shared" si="8"/>
        <v>0</v>
      </c>
      <c r="CK30" s="1465"/>
      <c r="CL30" s="1465"/>
      <c r="CM30" s="1465"/>
      <c r="CN30" s="1465"/>
      <c r="CO30" s="1465"/>
    </row>
    <row r="31" spans="1:93" ht="16.350000000000001" customHeight="1" x14ac:dyDescent="0.25">
      <c r="A31" s="8125"/>
      <c r="B31" s="135" t="s">
        <v>1014</v>
      </c>
      <c r="C31" s="323">
        <f t="shared" si="0"/>
        <v>0</v>
      </c>
      <c r="D31" s="324">
        <f t="shared" si="10"/>
        <v>0</v>
      </c>
      <c r="E31" s="781">
        <f t="shared" si="10"/>
        <v>0</v>
      </c>
      <c r="F31" s="93"/>
      <c r="G31" s="170"/>
      <c r="H31" s="110"/>
      <c r="I31" s="144"/>
      <c r="J31" s="110"/>
      <c r="K31" s="122"/>
      <c r="L31" s="110"/>
      <c r="M31" s="122"/>
      <c r="N31" s="110"/>
      <c r="O31" s="122"/>
      <c r="P31" s="110"/>
      <c r="Q31" s="122"/>
      <c r="R31" s="110"/>
      <c r="S31" s="122"/>
      <c r="T31" s="110"/>
      <c r="U31" s="122"/>
      <c r="V31" s="110"/>
      <c r="W31" s="122"/>
      <c r="X31" s="110"/>
      <c r="Y31" s="122"/>
      <c r="Z31" s="110"/>
      <c r="AA31" s="122"/>
      <c r="AB31" s="110"/>
      <c r="AC31" s="122"/>
      <c r="AD31" s="110"/>
      <c r="AE31" s="122"/>
      <c r="AF31" s="110"/>
      <c r="AG31" s="122"/>
      <c r="AH31" s="110"/>
      <c r="AI31" s="122"/>
      <c r="AJ31" s="110"/>
      <c r="AK31" s="122"/>
      <c r="AL31" s="157"/>
      <c r="AM31" s="197"/>
      <c r="AN31" s="2568"/>
      <c r="AO31" s="2915"/>
      <c r="AP31" s="1881"/>
      <c r="AQ31" s="123"/>
      <c r="AR31" s="123"/>
      <c r="AS31" s="723"/>
      <c r="AT31" s="123"/>
      <c r="AU31" s="123"/>
      <c r="AV31" s="802"/>
      <c r="AW31" s="802"/>
      <c r="AX31" s="802"/>
      <c r="AY31" s="802"/>
      <c r="AZ31" s="802"/>
      <c r="BA31" s="802"/>
      <c r="BB31" s="802"/>
      <c r="BC31" s="802"/>
      <c r="BD31" s="802"/>
      <c r="BE31" s="802"/>
      <c r="BF31" s="1187"/>
      <c r="BG31" s="1187"/>
      <c r="BX31" s="823"/>
      <c r="CA31" s="1467" t="str">
        <f t="shared" si="1"/>
        <v/>
      </c>
      <c r="CB31" s="1467" t="str">
        <f t="shared" si="2"/>
        <v/>
      </c>
      <c r="CC31" s="1467" t="str">
        <f t="shared" si="3"/>
        <v/>
      </c>
      <c r="CD31" s="1467" t="str">
        <f t="shared" si="4"/>
        <v/>
      </c>
      <c r="CE31" s="1467"/>
      <c r="CF31" s="1467"/>
      <c r="CG31" s="1468">
        <f t="shared" si="5"/>
        <v>0</v>
      </c>
      <c r="CH31" s="1468">
        <f t="shared" si="6"/>
        <v>0</v>
      </c>
      <c r="CI31" s="1468">
        <f t="shared" si="7"/>
        <v>0</v>
      </c>
      <c r="CJ31" s="1468">
        <f t="shared" si="8"/>
        <v>0</v>
      </c>
      <c r="CK31" s="1465"/>
      <c r="CL31" s="1465"/>
      <c r="CM31" s="1465"/>
      <c r="CN31" s="1465"/>
      <c r="CO31" s="1465"/>
    </row>
    <row r="32" spans="1:93" ht="16.350000000000001" customHeight="1" x14ac:dyDescent="0.25">
      <c r="A32" s="8125"/>
      <c r="B32" s="3373" t="s">
        <v>62</v>
      </c>
      <c r="C32" s="553">
        <f t="shared" si="0"/>
        <v>0</v>
      </c>
      <c r="D32" s="552">
        <f t="shared" si="10"/>
        <v>0</v>
      </c>
      <c r="E32" s="791">
        <f t="shared" si="10"/>
        <v>0</v>
      </c>
      <c r="F32" s="93"/>
      <c r="G32" s="170"/>
      <c r="H32" s="137"/>
      <c r="I32" s="164"/>
      <c r="J32" s="137"/>
      <c r="K32" s="138"/>
      <c r="L32" s="137"/>
      <c r="M32" s="138"/>
      <c r="N32" s="137"/>
      <c r="O32" s="138"/>
      <c r="P32" s="137"/>
      <c r="Q32" s="138"/>
      <c r="R32" s="137"/>
      <c r="S32" s="138"/>
      <c r="T32" s="137"/>
      <c r="U32" s="138"/>
      <c r="V32" s="137"/>
      <c r="W32" s="138"/>
      <c r="X32" s="137"/>
      <c r="Y32" s="138"/>
      <c r="Z32" s="137"/>
      <c r="AA32" s="138"/>
      <c r="AB32" s="137"/>
      <c r="AC32" s="138"/>
      <c r="AD32" s="137"/>
      <c r="AE32" s="138"/>
      <c r="AF32" s="137"/>
      <c r="AG32" s="138"/>
      <c r="AH32" s="137"/>
      <c r="AI32" s="138"/>
      <c r="AJ32" s="137"/>
      <c r="AK32" s="138"/>
      <c r="AL32" s="161"/>
      <c r="AM32" s="260"/>
      <c r="AN32" s="2568"/>
      <c r="AO32" s="2852"/>
      <c r="AP32" s="1881"/>
      <c r="AQ32" s="123"/>
      <c r="AR32" s="123"/>
      <c r="AS32" s="723"/>
      <c r="AT32" s="123"/>
      <c r="AU32" s="123"/>
      <c r="AV32" s="802"/>
      <c r="AW32" s="802"/>
      <c r="AX32" s="802"/>
      <c r="AY32" s="802"/>
      <c r="AZ32" s="802"/>
      <c r="BA32" s="802"/>
      <c r="BB32" s="802"/>
      <c r="BC32" s="802"/>
      <c r="BD32" s="802"/>
      <c r="BE32" s="802"/>
      <c r="BF32" s="1187"/>
      <c r="BG32" s="1187"/>
      <c r="BX32" s="823"/>
      <c r="CA32" s="1467" t="str">
        <f t="shared" si="1"/>
        <v/>
      </c>
      <c r="CB32" s="1467" t="str">
        <f t="shared" si="2"/>
        <v/>
      </c>
      <c r="CC32" s="1467" t="str">
        <f t="shared" si="3"/>
        <v/>
      </c>
      <c r="CD32" s="1467" t="str">
        <f t="shared" si="4"/>
        <v/>
      </c>
      <c r="CE32" s="1467"/>
      <c r="CF32" s="1467"/>
      <c r="CG32" s="1468">
        <f t="shared" si="5"/>
        <v>0</v>
      </c>
      <c r="CH32" s="1468">
        <f t="shared" si="6"/>
        <v>0</v>
      </c>
      <c r="CI32" s="1468">
        <f t="shared" si="7"/>
        <v>0</v>
      </c>
      <c r="CJ32" s="1468">
        <f t="shared" si="8"/>
        <v>0</v>
      </c>
      <c r="CK32" s="1465"/>
      <c r="CL32" s="1465"/>
      <c r="CM32" s="1465"/>
      <c r="CN32" s="1465"/>
      <c r="CO32" s="1465"/>
    </row>
    <row r="33" spans="1:93" ht="16.350000000000001" customHeight="1" x14ac:dyDescent="0.25">
      <c r="A33" s="8125"/>
      <c r="B33" s="135" t="s">
        <v>1263</v>
      </c>
      <c r="C33" s="323">
        <f t="shared" si="0"/>
        <v>0</v>
      </c>
      <c r="D33" s="324">
        <f t="shared" si="10"/>
        <v>0</v>
      </c>
      <c r="E33" s="781">
        <f t="shared" si="10"/>
        <v>0</v>
      </c>
      <c r="F33" s="93"/>
      <c r="G33" s="1616"/>
      <c r="H33" s="110"/>
      <c r="I33" s="144"/>
      <c r="J33" s="110"/>
      <c r="K33" s="122"/>
      <c r="L33" s="110"/>
      <c r="M33" s="122"/>
      <c r="N33" s="110"/>
      <c r="O33" s="122"/>
      <c r="P33" s="110"/>
      <c r="Q33" s="122"/>
      <c r="R33" s="110"/>
      <c r="S33" s="122"/>
      <c r="T33" s="110"/>
      <c r="U33" s="122"/>
      <c r="V33" s="110"/>
      <c r="W33" s="122"/>
      <c r="X33" s="110"/>
      <c r="Y33" s="122"/>
      <c r="Z33" s="110"/>
      <c r="AA33" s="122"/>
      <c r="AB33" s="110"/>
      <c r="AC33" s="122"/>
      <c r="AD33" s="110"/>
      <c r="AE33" s="122"/>
      <c r="AF33" s="110"/>
      <c r="AG33" s="122"/>
      <c r="AH33" s="110"/>
      <c r="AI33" s="122"/>
      <c r="AJ33" s="110"/>
      <c r="AK33" s="122"/>
      <c r="AL33" s="157"/>
      <c r="AM33" s="197"/>
      <c r="AN33" s="2568"/>
      <c r="AO33" s="2915"/>
      <c r="AP33" s="1881"/>
      <c r="AQ33" s="123"/>
      <c r="AR33" s="123"/>
      <c r="AS33" s="723"/>
      <c r="AT33" s="123"/>
      <c r="AU33" s="123"/>
      <c r="AV33" s="802"/>
      <c r="AW33" s="802"/>
      <c r="AX33" s="802"/>
      <c r="AY33" s="802"/>
      <c r="AZ33" s="802"/>
      <c r="BA33" s="802"/>
      <c r="BB33" s="802"/>
      <c r="BC33" s="802"/>
      <c r="BD33" s="802"/>
      <c r="BE33" s="802"/>
      <c r="BF33" s="1187"/>
      <c r="BG33" s="1187"/>
      <c r="BX33" s="823"/>
      <c r="CA33" s="1467" t="str">
        <f t="shared" si="1"/>
        <v/>
      </c>
      <c r="CB33" s="1467" t="str">
        <f t="shared" si="2"/>
        <v/>
      </c>
      <c r="CC33" s="1467" t="str">
        <f t="shared" si="3"/>
        <v/>
      </c>
      <c r="CD33" s="1467" t="str">
        <f t="shared" si="4"/>
        <v/>
      </c>
      <c r="CE33" s="1467"/>
      <c r="CF33" s="1467"/>
      <c r="CG33" s="1468">
        <f t="shared" si="5"/>
        <v>0</v>
      </c>
      <c r="CH33" s="1468">
        <f t="shared" si="6"/>
        <v>0</v>
      </c>
      <c r="CI33" s="1468">
        <f t="shared" si="7"/>
        <v>0</v>
      </c>
      <c r="CJ33" s="1468">
        <f t="shared" si="8"/>
        <v>0</v>
      </c>
      <c r="CK33" s="1465"/>
      <c r="CL33" s="1465"/>
      <c r="CM33" s="1465"/>
      <c r="CN33" s="1465"/>
      <c r="CO33" s="1465"/>
    </row>
    <row r="34" spans="1:93" ht="16.350000000000001" customHeight="1" x14ac:dyDescent="0.25">
      <c r="A34" s="8125"/>
      <c r="B34" s="153" t="s">
        <v>1264</v>
      </c>
      <c r="C34" s="323">
        <f t="shared" si="0"/>
        <v>0</v>
      </c>
      <c r="D34" s="324">
        <f t="shared" si="10"/>
        <v>0</v>
      </c>
      <c r="E34" s="780">
        <f t="shared" si="10"/>
        <v>0</v>
      </c>
      <c r="F34" s="93"/>
      <c r="G34" s="90"/>
      <c r="H34" s="129"/>
      <c r="I34" s="143"/>
      <c r="J34" s="129"/>
      <c r="K34" s="130"/>
      <c r="L34" s="129"/>
      <c r="M34" s="130"/>
      <c r="N34" s="129"/>
      <c r="O34" s="130"/>
      <c r="P34" s="129"/>
      <c r="Q34" s="130"/>
      <c r="R34" s="110"/>
      <c r="S34" s="122"/>
      <c r="T34" s="110"/>
      <c r="U34" s="122"/>
      <c r="V34" s="110"/>
      <c r="W34" s="122"/>
      <c r="X34" s="110"/>
      <c r="Y34" s="122"/>
      <c r="Z34" s="110"/>
      <c r="AA34" s="122"/>
      <c r="AB34" s="110"/>
      <c r="AC34" s="122"/>
      <c r="AD34" s="110"/>
      <c r="AE34" s="122"/>
      <c r="AF34" s="110"/>
      <c r="AG34" s="122"/>
      <c r="AH34" s="110"/>
      <c r="AI34" s="122"/>
      <c r="AJ34" s="110"/>
      <c r="AK34" s="122"/>
      <c r="AL34" s="157"/>
      <c r="AM34" s="197"/>
      <c r="AN34" s="2568"/>
      <c r="AO34" s="2915"/>
      <c r="AP34" s="1881"/>
      <c r="AQ34" s="123"/>
      <c r="AR34" s="123"/>
      <c r="AS34" s="723"/>
      <c r="AT34" s="123"/>
      <c r="AU34" s="123"/>
      <c r="AV34" s="802"/>
      <c r="AW34" s="802"/>
      <c r="AX34" s="802"/>
      <c r="AY34" s="802"/>
      <c r="AZ34" s="802"/>
      <c r="BA34" s="802"/>
      <c r="BB34" s="802"/>
      <c r="BC34" s="802"/>
      <c r="BD34" s="802"/>
      <c r="BE34" s="802"/>
      <c r="BF34" s="1187"/>
      <c r="BG34" s="1187"/>
      <c r="BX34" s="823"/>
      <c r="CA34" s="1467" t="str">
        <f t="shared" si="1"/>
        <v/>
      </c>
      <c r="CB34" s="1467" t="str">
        <f t="shared" si="2"/>
        <v/>
      </c>
      <c r="CC34" s="1467" t="str">
        <f t="shared" si="3"/>
        <v/>
      </c>
      <c r="CD34" s="1467" t="str">
        <f t="shared" si="4"/>
        <v/>
      </c>
      <c r="CE34" s="1467"/>
      <c r="CF34" s="1467"/>
      <c r="CG34" s="1468">
        <f t="shared" si="5"/>
        <v>0</v>
      </c>
      <c r="CH34" s="1468">
        <f t="shared" si="6"/>
        <v>0</v>
      </c>
      <c r="CI34" s="1468">
        <f t="shared" si="7"/>
        <v>0</v>
      </c>
      <c r="CJ34" s="1468">
        <f t="shared" si="8"/>
        <v>0</v>
      </c>
      <c r="CK34" s="1465"/>
      <c r="CL34" s="1465"/>
      <c r="CM34" s="1465"/>
      <c r="CN34" s="1465"/>
      <c r="CO34" s="1465"/>
    </row>
    <row r="35" spans="1:93" ht="16.350000000000001" customHeight="1" x14ac:dyDescent="0.25">
      <c r="A35" s="8428"/>
      <c r="B35" s="527" t="s">
        <v>27</v>
      </c>
      <c r="C35" s="1357">
        <f t="shared" ref="C35:C65" si="11">SUM(D35+E35)</f>
        <v>0</v>
      </c>
      <c r="D35" s="1358">
        <f t="shared" si="10"/>
        <v>0</v>
      </c>
      <c r="E35" s="779">
        <f t="shared" si="10"/>
        <v>0</v>
      </c>
      <c r="F35" s="82"/>
      <c r="G35" s="790"/>
      <c r="H35" s="703"/>
      <c r="I35" s="788"/>
      <c r="J35" s="703"/>
      <c r="K35" s="702"/>
      <c r="L35" s="703"/>
      <c r="M35" s="702"/>
      <c r="N35" s="703"/>
      <c r="O35" s="702"/>
      <c r="P35" s="703"/>
      <c r="Q35" s="702"/>
      <c r="R35" s="703"/>
      <c r="S35" s="702"/>
      <c r="T35" s="703"/>
      <c r="U35" s="702"/>
      <c r="V35" s="703"/>
      <c r="W35" s="702"/>
      <c r="X35" s="703"/>
      <c r="Y35" s="702"/>
      <c r="Z35" s="703"/>
      <c r="AA35" s="702"/>
      <c r="AB35" s="703"/>
      <c r="AC35" s="702"/>
      <c r="AD35" s="703"/>
      <c r="AE35" s="702"/>
      <c r="AF35" s="703"/>
      <c r="AG35" s="702"/>
      <c r="AH35" s="703"/>
      <c r="AI35" s="702"/>
      <c r="AJ35" s="703"/>
      <c r="AK35" s="702"/>
      <c r="AL35" s="789"/>
      <c r="AM35" s="707"/>
      <c r="AN35" s="2546"/>
      <c r="AO35" s="2936"/>
      <c r="AP35" s="1669"/>
      <c r="AQ35" s="86"/>
      <c r="AR35" s="86"/>
      <c r="AS35" s="793"/>
      <c r="AT35" s="86"/>
      <c r="AU35" s="86"/>
      <c r="AV35" s="802"/>
      <c r="AW35" s="802"/>
      <c r="AX35" s="802"/>
      <c r="AY35" s="802"/>
      <c r="AZ35" s="802"/>
      <c r="BA35" s="802"/>
      <c r="BB35" s="802"/>
      <c r="BC35" s="802"/>
      <c r="BD35" s="802"/>
      <c r="BE35" s="802"/>
      <c r="BF35" s="1187"/>
      <c r="BG35" s="1187"/>
      <c r="BX35" s="823"/>
      <c r="CA35" s="1467" t="str">
        <f t="shared" ref="CA35:CA65" si="12">IF(CG35=1,"* No olvide digitar la columna Trans y/o Pueblos Originarios y/o Migrantes y/o Población SENAME (Digite Cero si no tiene). ","")</f>
        <v/>
      </c>
      <c r="CB35" s="1467" t="str">
        <f t="shared" ref="CB35:CB65" si="13">IF(CH35=1,"* El número de Trans y/o Pueblos Originarios y/o Migrantes y/o Población SENAME NO DEBE ser mayor que el Total. ","")</f>
        <v/>
      </c>
      <c r="CC35" s="1467" t="str">
        <f t="shared" ref="CC35:CC65" si="14">IF(CI35=1,"* Las consejerías realizadas en Espacios amigables NO DEBEN ser mayor al Total. ","")</f>
        <v/>
      </c>
      <c r="CD35" s="1467" t="str">
        <f t="shared" ref="CD35:CD65" si="15">IF(CJ35=1,"* La columna 14-18 AÑOS no puede ser mayor al total por grupo edad de 10 a 19 años. ","")</f>
        <v/>
      </c>
      <c r="CE35" s="1467"/>
      <c r="CF35" s="1467"/>
      <c r="CG35" s="1468">
        <f t="shared" si="5"/>
        <v>0</v>
      </c>
      <c r="CH35" s="1468">
        <f t="shared" si="6"/>
        <v>0</v>
      </c>
      <c r="CI35" s="1468">
        <f t="shared" si="7"/>
        <v>0</v>
      </c>
      <c r="CJ35" s="1468">
        <f t="shared" si="8"/>
        <v>0</v>
      </c>
      <c r="CK35" s="1465"/>
      <c r="CL35" s="1465"/>
      <c r="CM35" s="1465"/>
      <c r="CN35" s="1465"/>
      <c r="CO35" s="1465"/>
    </row>
    <row r="36" spans="1:93" ht="16.350000000000001" customHeight="1" x14ac:dyDescent="0.25">
      <c r="A36" s="8153" t="s">
        <v>1268</v>
      </c>
      <c r="B36" s="773" t="s">
        <v>2583</v>
      </c>
      <c r="C36" s="1353">
        <f t="shared" si="11"/>
        <v>0</v>
      </c>
      <c r="D36" s="1354">
        <f t="shared" si="10"/>
        <v>0</v>
      </c>
      <c r="E36" s="782">
        <f t="shared" si="10"/>
        <v>0</v>
      </c>
      <c r="F36" s="786"/>
      <c r="G36" s="564"/>
      <c r="H36" s="520"/>
      <c r="I36" s="518"/>
      <c r="J36" s="520"/>
      <c r="K36" s="756"/>
      <c r="L36" s="520"/>
      <c r="M36" s="756"/>
      <c r="N36" s="520"/>
      <c r="O36" s="756"/>
      <c r="P36" s="520"/>
      <c r="Q36" s="756"/>
      <c r="R36" s="520"/>
      <c r="S36" s="756"/>
      <c r="T36" s="520"/>
      <c r="U36" s="756"/>
      <c r="V36" s="520"/>
      <c r="W36" s="756"/>
      <c r="X36" s="520"/>
      <c r="Y36" s="756"/>
      <c r="Z36" s="520"/>
      <c r="AA36" s="756"/>
      <c r="AB36" s="520"/>
      <c r="AC36" s="756"/>
      <c r="AD36" s="520"/>
      <c r="AE36" s="756"/>
      <c r="AF36" s="520"/>
      <c r="AG36" s="756"/>
      <c r="AH36" s="520"/>
      <c r="AI36" s="756"/>
      <c r="AJ36" s="520"/>
      <c r="AK36" s="756"/>
      <c r="AL36" s="757"/>
      <c r="AM36" s="754"/>
      <c r="AN36" s="2505"/>
      <c r="AO36" s="3021"/>
      <c r="AP36" s="1886"/>
      <c r="AQ36" s="91"/>
      <c r="AR36" s="91"/>
      <c r="AS36" s="792"/>
      <c r="AT36" s="91"/>
      <c r="AU36" s="91"/>
      <c r="AV36" s="802"/>
      <c r="AW36" s="802"/>
      <c r="AX36" s="802"/>
      <c r="AY36" s="802"/>
      <c r="AZ36" s="802"/>
      <c r="BA36" s="802"/>
      <c r="BB36" s="802"/>
      <c r="BC36" s="802"/>
      <c r="BD36" s="802"/>
      <c r="BE36" s="802"/>
      <c r="BF36" s="1187"/>
      <c r="BG36" s="1187"/>
      <c r="BX36" s="823"/>
      <c r="CA36" s="1467" t="str">
        <f t="shared" si="12"/>
        <v/>
      </c>
      <c r="CB36" s="1467" t="str">
        <f t="shared" si="13"/>
        <v/>
      </c>
      <c r="CC36" s="1467" t="str">
        <f t="shared" si="14"/>
        <v/>
      </c>
      <c r="CD36" s="1467" t="str">
        <f t="shared" si="15"/>
        <v/>
      </c>
      <c r="CE36" s="1467"/>
      <c r="CF36" s="1467"/>
      <c r="CG36" s="1468">
        <f t="shared" si="5"/>
        <v>0</v>
      </c>
      <c r="CH36" s="1468">
        <f t="shared" si="6"/>
        <v>0</v>
      </c>
      <c r="CI36" s="1468">
        <f t="shared" si="7"/>
        <v>0</v>
      </c>
      <c r="CJ36" s="1468">
        <f t="shared" si="8"/>
        <v>0</v>
      </c>
      <c r="CK36" s="1465"/>
      <c r="CL36" s="1465"/>
      <c r="CM36" s="1465"/>
      <c r="CN36" s="1465"/>
      <c r="CO36" s="1465"/>
    </row>
    <row r="37" spans="1:93" ht="16.350000000000001" customHeight="1" x14ac:dyDescent="0.25">
      <c r="A37" s="8125"/>
      <c r="B37" s="135" t="s">
        <v>23</v>
      </c>
      <c r="C37" s="323">
        <f t="shared" si="11"/>
        <v>0</v>
      </c>
      <c r="D37" s="324">
        <f>SUM(H37+J37+L37+N37+P37+R37+T37+V37+X37+Z37+AB37+AD37+AF37+AH37+AJ37+AL37)</f>
        <v>0</v>
      </c>
      <c r="E37" s="781">
        <f t="shared" si="10"/>
        <v>0</v>
      </c>
      <c r="F37" s="93"/>
      <c r="G37" s="170"/>
      <c r="H37" s="110"/>
      <c r="I37" s="144"/>
      <c r="J37" s="110"/>
      <c r="K37" s="122"/>
      <c r="L37" s="110"/>
      <c r="M37" s="122"/>
      <c r="N37" s="110"/>
      <c r="O37" s="122"/>
      <c r="P37" s="110"/>
      <c r="Q37" s="122"/>
      <c r="R37" s="110"/>
      <c r="S37" s="122"/>
      <c r="T37" s="110"/>
      <c r="U37" s="122"/>
      <c r="V37" s="110"/>
      <c r="W37" s="122"/>
      <c r="X37" s="110"/>
      <c r="Y37" s="122"/>
      <c r="Z37" s="110"/>
      <c r="AA37" s="122"/>
      <c r="AB37" s="110"/>
      <c r="AC37" s="122"/>
      <c r="AD37" s="110"/>
      <c r="AE37" s="122"/>
      <c r="AF37" s="110"/>
      <c r="AG37" s="122"/>
      <c r="AH37" s="110"/>
      <c r="AI37" s="122"/>
      <c r="AJ37" s="110"/>
      <c r="AK37" s="122"/>
      <c r="AL37" s="157"/>
      <c r="AM37" s="197"/>
      <c r="AN37" s="2568"/>
      <c r="AO37" s="2915"/>
      <c r="AP37" s="1881"/>
      <c r="AQ37" s="123"/>
      <c r="AR37" s="123"/>
      <c r="AS37" s="723"/>
      <c r="AT37" s="123"/>
      <c r="AU37" s="123"/>
      <c r="AV37" s="802"/>
      <c r="AW37" s="802"/>
      <c r="AX37" s="802"/>
      <c r="AY37" s="802"/>
      <c r="AZ37" s="802"/>
      <c r="BA37" s="802"/>
      <c r="BB37" s="802"/>
      <c r="BC37" s="802"/>
      <c r="BD37" s="802"/>
      <c r="BE37" s="802"/>
      <c r="BF37" s="1187"/>
      <c r="BG37" s="1187"/>
      <c r="BX37" s="823"/>
      <c r="CA37" s="1467" t="str">
        <f t="shared" si="12"/>
        <v/>
      </c>
      <c r="CB37" s="1467" t="str">
        <f t="shared" si="13"/>
        <v/>
      </c>
      <c r="CC37" s="1467" t="str">
        <f t="shared" si="14"/>
        <v/>
      </c>
      <c r="CD37" s="1467" t="str">
        <f t="shared" si="15"/>
        <v/>
      </c>
      <c r="CE37" s="1467"/>
      <c r="CF37" s="1467"/>
      <c r="CG37" s="1468">
        <f t="shared" si="5"/>
        <v>0</v>
      </c>
      <c r="CH37" s="1468">
        <f t="shared" si="6"/>
        <v>0</v>
      </c>
      <c r="CI37" s="1468">
        <f t="shared" si="7"/>
        <v>0</v>
      </c>
      <c r="CJ37" s="1468">
        <f t="shared" si="8"/>
        <v>0</v>
      </c>
      <c r="CK37" s="1465"/>
      <c r="CL37" s="1465"/>
      <c r="CM37" s="1465"/>
      <c r="CN37" s="1465"/>
      <c r="CO37" s="1465"/>
    </row>
    <row r="38" spans="1:93" ht="16.350000000000001" customHeight="1" x14ac:dyDescent="0.25">
      <c r="A38" s="8125"/>
      <c r="B38" s="135" t="s">
        <v>20</v>
      </c>
      <c r="C38" s="323">
        <f t="shared" si="11"/>
        <v>0</v>
      </c>
      <c r="D38" s="324">
        <f t="shared" si="10"/>
        <v>0</v>
      </c>
      <c r="E38" s="781">
        <f t="shared" si="10"/>
        <v>0</v>
      </c>
      <c r="F38" s="93"/>
      <c r="G38" s="170"/>
      <c r="H38" s="110"/>
      <c r="I38" s="144"/>
      <c r="J38" s="110"/>
      <c r="K38" s="122"/>
      <c r="L38" s="110"/>
      <c r="M38" s="122"/>
      <c r="N38" s="110"/>
      <c r="O38" s="122"/>
      <c r="P38" s="110"/>
      <c r="Q38" s="122"/>
      <c r="R38" s="110"/>
      <c r="S38" s="122"/>
      <c r="T38" s="110"/>
      <c r="U38" s="122"/>
      <c r="V38" s="110"/>
      <c r="W38" s="122"/>
      <c r="X38" s="110"/>
      <c r="Y38" s="122"/>
      <c r="Z38" s="110"/>
      <c r="AA38" s="122"/>
      <c r="AB38" s="110"/>
      <c r="AC38" s="122"/>
      <c r="AD38" s="110"/>
      <c r="AE38" s="122"/>
      <c r="AF38" s="110"/>
      <c r="AG38" s="122"/>
      <c r="AH38" s="110"/>
      <c r="AI38" s="122"/>
      <c r="AJ38" s="110"/>
      <c r="AK38" s="122"/>
      <c r="AL38" s="157"/>
      <c r="AM38" s="197"/>
      <c r="AN38" s="2568"/>
      <c r="AO38" s="2915"/>
      <c r="AP38" s="1881"/>
      <c r="AQ38" s="123"/>
      <c r="AR38" s="123"/>
      <c r="AS38" s="723"/>
      <c r="AT38" s="123"/>
      <c r="AU38" s="123"/>
      <c r="AV38" s="802"/>
      <c r="AW38" s="802"/>
      <c r="AX38" s="802"/>
      <c r="AY38" s="802"/>
      <c r="AZ38" s="802"/>
      <c r="BA38" s="802"/>
      <c r="BB38" s="802"/>
      <c r="BC38" s="802"/>
      <c r="BD38" s="802"/>
      <c r="BE38" s="802"/>
      <c r="BF38" s="1187"/>
      <c r="BG38" s="1187"/>
      <c r="BX38" s="823"/>
      <c r="CA38" s="1467" t="str">
        <f t="shared" si="12"/>
        <v/>
      </c>
      <c r="CB38" s="1467" t="str">
        <f t="shared" si="13"/>
        <v/>
      </c>
      <c r="CC38" s="1467" t="str">
        <f t="shared" si="14"/>
        <v/>
      </c>
      <c r="CD38" s="1467" t="str">
        <f t="shared" si="15"/>
        <v/>
      </c>
      <c r="CE38" s="1467"/>
      <c r="CF38" s="1467"/>
      <c r="CG38" s="1468">
        <f t="shared" si="5"/>
        <v>0</v>
      </c>
      <c r="CH38" s="1468">
        <f t="shared" si="6"/>
        <v>0</v>
      </c>
      <c r="CI38" s="1468">
        <f t="shared" si="7"/>
        <v>0</v>
      </c>
      <c r="CJ38" s="1468">
        <f t="shared" si="8"/>
        <v>0</v>
      </c>
      <c r="CK38" s="1465"/>
      <c r="CL38" s="1465"/>
      <c r="CM38" s="1465"/>
      <c r="CN38" s="1465"/>
      <c r="CO38" s="1465"/>
    </row>
    <row r="39" spans="1:93" ht="16.350000000000001" customHeight="1" x14ac:dyDescent="0.25">
      <c r="A39" s="8125"/>
      <c r="B39" s="135" t="s">
        <v>26</v>
      </c>
      <c r="C39" s="323">
        <f t="shared" si="11"/>
        <v>0</v>
      </c>
      <c r="D39" s="324">
        <f t="shared" si="10"/>
        <v>0</v>
      </c>
      <c r="E39" s="781">
        <f t="shared" si="10"/>
        <v>0</v>
      </c>
      <c r="F39" s="93"/>
      <c r="G39" s="170"/>
      <c r="H39" s="110"/>
      <c r="I39" s="144"/>
      <c r="J39" s="110"/>
      <c r="K39" s="122"/>
      <c r="L39" s="110"/>
      <c r="M39" s="122"/>
      <c r="N39" s="110"/>
      <c r="O39" s="122"/>
      <c r="P39" s="110"/>
      <c r="Q39" s="122"/>
      <c r="R39" s="110"/>
      <c r="S39" s="122"/>
      <c r="T39" s="110"/>
      <c r="U39" s="122"/>
      <c r="V39" s="110"/>
      <c r="W39" s="122"/>
      <c r="X39" s="110"/>
      <c r="Y39" s="122"/>
      <c r="Z39" s="110"/>
      <c r="AA39" s="122"/>
      <c r="AB39" s="110"/>
      <c r="AC39" s="122"/>
      <c r="AD39" s="110"/>
      <c r="AE39" s="122"/>
      <c r="AF39" s="110"/>
      <c r="AG39" s="122"/>
      <c r="AH39" s="110"/>
      <c r="AI39" s="122"/>
      <c r="AJ39" s="110"/>
      <c r="AK39" s="122"/>
      <c r="AL39" s="157"/>
      <c r="AM39" s="197"/>
      <c r="AN39" s="2568"/>
      <c r="AO39" s="2915"/>
      <c r="AP39" s="1881"/>
      <c r="AQ39" s="123"/>
      <c r="AR39" s="123"/>
      <c r="AS39" s="723"/>
      <c r="AT39" s="123"/>
      <c r="AU39" s="123"/>
      <c r="AV39" s="802"/>
      <c r="AW39" s="802"/>
      <c r="AX39" s="802"/>
      <c r="AY39" s="802"/>
      <c r="AZ39" s="802"/>
      <c r="BA39" s="802"/>
      <c r="BB39" s="802"/>
      <c r="BC39" s="802"/>
      <c r="BD39" s="802"/>
      <c r="BE39" s="802"/>
      <c r="BF39" s="1187"/>
      <c r="BG39" s="1187"/>
      <c r="BX39" s="823"/>
      <c r="CA39" s="1467" t="str">
        <f t="shared" si="12"/>
        <v/>
      </c>
      <c r="CB39" s="1467" t="str">
        <f t="shared" si="13"/>
        <v/>
      </c>
      <c r="CC39" s="1467" t="str">
        <f t="shared" si="14"/>
        <v/>
      </c>
      <c r="CD39" s="1467" t="str">
        <f t="shared" si="15"/>
        <v/>
      </c>
      <c r="CE39" s="1467"/>
      <c r="CF39" s="1467"/>
      <c r="CG39" s="1468">
        <f t="shared" si="5"/>
        <v>0</v>
      </c>
      <c r="CH39" s="1468">
        <f t="shared" si="6"/>
        <v>0</v>
      </c>
      <c r="CI39" s="1468">
        <f t="shared" si="7"/>
        <v>0</v>
      </c>
      <c r="CJ39" s="1468">
        <f t="shared" si="8"/>
        <v>0</v>
      </c>
      <c r="CK39" s="1465"/>
      <c r="CL39" s="1465"/>
      <c r="CM39" s="1465"/>
      <c r="CN39" s="1465"/>
      <c r="CO39" s="1465"/>
    </row>
    <row r="40" spans="1:93" ht="16.350000000000001" customHeight="1" x14ac:dyDescent="0.25">
      <c r="A40" s="8125"/>
      <c r="B40" s="135" t="s">
        <v>2590</v>
      </c>
      <c r="C40" s="323">
        <f t="shared" si="11"/>
        <v>0</v>
      </c>
      <c r="D40" s="324">
        <f>SUM(H40+J40+L40+N40+P40+R40+T40+V40+X40+Z40+AB40+AD40+AF40+AH40+AJ40+AL40)</f>
        <v>0</v>
      </c>
      <c r="E40" s="781">
        <f t="shared" si="10"/>
        <v>0</v>
      </c>
      <c r="F40" s="93"/>
      <c r="G40" s="170"/>
      <c r="H40" s="110"/>
      <c r="I40" s="144"/>
      <c r="J40" s="110"/>
      <c r="K40" s="122"/>
      <c r="L40" s="110"/>
      <c r="M40" s="122"/>
      <c r="N40" s="110"/>
      <c r="O40" s="122"/>
      <c r="P40" s="110"/>
      <c r="Q40" s="122"/>
      <c r="R40" s="110"/>
      <c r="S40" s="122"/>
      <c r="T40" s="110"/>
      <c r="U40" s="122"/>
      <c r="V40" s="110"/>
      <c r="W40" s="122"/>
      <c r="X40" s="110"/>
      <c r="Y40" s="122"/>
      <c r="Z40" s="110"/>
      <c r="AA40" s="122"/>
      <c r="AB40" s="110"/>
      <c r="AC40" s="122"/>
      <c r="AD40" s="110"/>
      <c r="AE40" s="122"/>
      <c r="AF40" s="110"/>
      <c r="AG40" s="122"/>
      <c r="AH40" s="110"/>
      <c r="AI40" s="122"/>
      <c r="AJ40" s="110"/>
      <c r="AK40" s="122"/>
      <c r="AL40" s="157"/>
      <c r="AM40" s="197"/>
      <c r="AN40" s="2568"/>
      <c r="AO40" s="2915"/>
      <c r="AP40" s="1881"/>
      <c r="AQ40" s="123"/>
      <c r="AR40" s="123"/>
      <c r="AS40" s="723"/>
      <c r="AT40" s="123"/>
      <c r="AU40" s="123"/>
      <c r="AV40" s="802"/>
      <c r="AW40" s="802"/>
      <c r="AX40" s="802"/>
      <c r="AY40" s="802"/>
      <c r="AZ40" s="802"/>
      <c r="BA40" s="802"/>
      <c r="BB40" s="802"/>
      <c r="BC40" s="802"/>
      <c r="BD40" s="802"/>
      <c r="BE40" s="802"/>
      <c r="BF40" s="1187"/>
      <c r="BG40" s="1187"/>
      <c r="BX40" s="823"/>
      <c r="CA40" s="1467" t="str">
        <f t="shared" si="12"/>
        <v/>
      </c>
      <c r="CB40" s="1467" t="str">
        <f t="shared" si="13"/>
        <v/>
      </c>
      <c r="CC40" s="1467" t="str">
        <f t="shared" si="14"/>
        <v/>
      </c>
      <c r="CD40" s="1467" t="str">
        <f t="shared" si="15"/>
        <v/>
      </c>
      <c r="CE40" s="1467"/>
      <c r="CF40" s="1467"/>
      <c r="CG40" s="1468">
        <f t="shared" si="5"/>
        <v>0</v>
      </c>
      <c r="CH40" s="1468">
        <f t="shared" si="6"/>
        <v>0</v>
      </c>
      <c r="CI40" s="1468">
        <f t="shared" si="7"/>
        <v>0</v>
      </c>
      <c r="CJ40" s="1468">
        <f t="shared" si="8"/>
        <v>0</v>
      </c>
      <c r="CK40" s="1465"/>
      <c r="CL40" s="1465"/>
      <c r="CM40" s="1465"/>
      <c r="CN40" s="1465"/>
      <c r="CO40" s="1465"/>
    </row>
    <row r="41" spans="1:93" ht="16.350000000000001" customHeight="1" x14ac:dyDescent="0.25">
      <c r="A41" s="8125"/>
      <c r="B41" s="135" t="s">
        <v>1265</v>
      </c>
      <c r="C41" s="323">
        <f t="shared" si="11"/>
        <v>0</v>
      </c>
      <c r="D41" s="324">
        <f t="shared" si="10"/>
        <v>0</v>
      </c>
      <c r="E41" s="781">
        <f t="shared" si="10"/>
        <v>0</v>
      </c>
      <c r="F41" s="93"/>
      <c r="G41" s="170"/>
      <c r="H41" s="110"/>
      <c r="I41" s="144"/>
      <c r="J41" s="110"/>
      <c r="K41" s="122"/>
      <c r="L41" s="110"/>
      <c r="M41" s="122"/>
      <c r="N41" s="110"/>
      <c r="O41" s="122"/>
      <c r="P41" s="110"/>
      <c r="Q41" s="122"/>
      <c r="R41" s="110"/>
      <c r="S41" s="122"/>
      <c r="T41" s="110"/>
      <c r="U41" s="122"/>
      <c r="V41" s="110"/>
      <c r="W41" s="122"/>
      <c r="X41" s="110"/>
      <c r="Y41" s="122"/>
      <c r="Z41" s="110"/>
      <c r="AA41" s="122"/>
      <c r="AB41" s="110"/>
      <c r="AC41" s="122"/>
      <c r="AD41" s="110"/>
      <c r="AE41" s="122"/>
      <c r="AF41" s="110"/>
      <c r="AG41" s="122"/>
      <c r="AH41" s="110"/>
      <c r="AI41" s="122"/>
      <c r="AJ41" s="110"/>
      <c r="AK41" s="122"/>
      <c r="AL41" s="157"/>
      <c r="AM41" s="197"/>
      <c r="AN41" s="2568"/>
      <c r="AO41" s="2915"/>
      <c r="AP41" s="1881"/>
      <c r="AQ41" s="123"/>
      <c r="AR41" s="123"/>
      <c r="AS41" s="723"/>
      <c r="AT41" s="123"/>
      <c r="AU41" s="123"/>
      <c r="AV41" s="802"/>
      <c r="AW41" s="802"/>
      <c r="AX41" s="802"/>
      <c r="AY41" s="802"/>
      <c r="AZ41" s="802"/>
      <c r="BA41" s="802"/>
      <c r="BB41" s="802"/>
      <c r="BC41" s="802"/>
      <c r="BD41" s="802"/>
      <c r="BE41" s="802"/>
      <c r="BF41" s="1187"/>
      <c r="BG41" s="1187"/>
      <c r="BX41" s="823"/>
      <c r="CA41" s="1467" t="str">
        <f t="shared" si="12"/>
        <v/>
      </c>
      <c r="CB41" s="1467" t="str">
        <f t="shared" si="13"/>
        <v/>
      </c>
      <c r="CC41" s="1467" t="str">
        <f t="shared" si="14"/>
        <v/>
      </c>
      <c r="CD41" s="1467" t="str">
        <f t="shared" si="15"/>
        <v/>
      </c>
      <c r="CE41" s="1467"/>
      <c r="CF41" s="1467"/>
      <c r="CG41" s="1468">
        <f t="shared" si="5"/>
        <v>0</v>
      </c>
      <c r="CH41" s="1468">
        <f t="shared" si="6"/>
        <v>0</v>
      </c>
      <c r="CI41" s="1468">
        <f t="shared" si="7"/>
        <v>0</v>
      </c>
      <c r="CJ41" s="1468">
        <f t="shared" si="8"/>
        <v>0</v>
      </c>
      <c r="CK41" s="1465"/>
      <c r="CL41" s="1465"/>
      <c r="CM41" s="1465"/>
      <c r="CN41" s="1465"/>
      <c r="CO41" s="1465"/>
    </row>
    <row r="42" spans="1:93" ht="16.350000000000001" customHeight="1" x14ac:dyDescent="0.25">
      <c r="A42" s="8125"/>
      <c r="B42" s="135" t="s">
        <v>1014</v>
      </c>
      <c r="C42" s="323">
        <f t="shared" si="11"/>
        <v>0</v>
      </c>
      <c r="D42" s="324">
        <f t="shared" ref="D42:E46" si="16">SUM(H42+J42+L42+N42+P42+R42+T42+V42+X42+Z42+AB42+AD42+AF42+AH42+AJ42+AL42)</f>
        <v>0</v>
      </c>
      <c r="E42" s="781">
        <f t="shared" si="16"/>
        <v>0</v>
      </c>
      <c r="F42" s="93"/>
      <c r="G42" s="170"/>
      <c r="H42" s="110"/>
      <c r="I42" s="144"/>
      <c r="J42" s="110"/>
      <c r="K42" s="122"/>
      <c r="L42" s="110"/>
      <c r="M42" s="122"/>
      <c r="N42" s="110"/>
      <c r="O42" s="122"/>
      <c r="P42" s="110"/>
      <c r="Q42" s="122"/>
      <c r="R42" s="110"/>
      <c r="S42" s="122"/>
      <c r="T42" s="110"/>
      <c r="U42" s="122"/>
      <c r="V42" s="110"/>
      <c r="W42" s="122"/>
      <c r="X42" s="110"/>
      <c r="Y42" s="122"/>
      <c r="Z42" s="110"/>
      <c r="AA42" s="122"/>
      <c r="AB42" s="110"/>
      <c r="AC42" s="122"/>
      <c r="AD42" s="110"/>
      <c r="AE42" s="122"/>
      <c r="AF42" s="110"/>
      <c r="AG42" s="122"/>
      <c r="AH42" s="110"/>
      <c r="AI42" s="122"/>
      <c r="AJ42" s="110"/>
      <c r="AK42" s="122"/>
      <c r="AL42" s="157"/>
      <c r="AM42" s="197"/>
      <c r="AN42" s="2568"/>
      <c r="AO42" s="2915"/>
      <c r="AP42" s="1881"/>
      <c r="AQ42" s="123"/>
      <c r="AR42" s="123"/>
      <c r="AS42" s="723"/>
      <c r="AT42" s="123"/>
      <c r="AU42" s="123"/>
      <c r="AV42" s="802"/>
      <c r="AW42" s="802"/>
      <c r="AX42" s="802"/>
      <c r="AY42" s="802"/>
      <c r="AZ42" s="802"/>
      <c r="BA42" s="802"/>
      <c r="BB42" s="802"/>
      <c r="BC42" s="802"/>
      <c r="BD42" s="802"/>
      <c r="BE42" s="802"/>
      <c r="BF42" s="1187"/>
      <c r="BG42" s="1187"/>
      <c r="BX42" s="823"/>
      <c r="CA42" s="1467" t="str">
        <f t="shared" si="12"/>
        <v/>
      </c>
      <c r="CB42" s="1467" t="str">
        <f t="shared" si="13"/>
        <v/>
      </c>
      <c r="CC42" s="1467" t="str">
        <f t="shared" si="14"/>
        <v/>
      </c>
      <c r="CD42" s="1467" t="str">
        <f t="shared" si="15"/>
        <v/>
      </c>
      <c r="CE42" s="1467"/>
      <c r="CF42" s="1467"/>
      <c r="CG42" s="1468">
        <f t="shared" si="5"/>
        <v>0</v>
      </c>
      <c r="CH42" s="1468">
        <f t="shared" si="6"/>
        <v>0</v>
      </c>
      <c r="CI42" s="1468">
        <f t="shared" si="7"/>
        <v>0</v>
      </c>
      <c r="CJ42" s="1468">
        <f t="shared" si="8"/>
        <v>0</v>
      </c>
      <c r="CK42" s="1465"/>
      <c r="CL42" s="1465"/>
      <c r="CM42" s="1465"/>
      <c r="CN42" s="1465"/>
      <c r="CO42" s="1465"/>
    </row>
    <row r="43" spans="1:93" ht="16.350000000000001" customHeight="1" x14ac:dyDescent="0.25">
      <c r="A43" s="8125"/>
      <c r="B43" s="3373" t="s">
        <v>62</v>
      </c>
      <c r="C43" s="553">
        <f t="shared" si="11"/>
        <v>0</v>
      </c>
      <c r="D43" s="552">
        <f t="shared" si="16"/>
        <v>0</v>
      </c>
      <c r="E43" s="791">
        <f t="shared" si="16"/>
        <v>0</v>
      </c>
      <c r="F43" s="93"/>
      <c r="G43" s="170"/>
      <c r="H43" s="137"/>
      <c r="I43" s="164"/>
      <c r="J43" s="137"/>
      <c r="K43" s="138"/>
      <c r="L43" s="137"/>
      <c r="M43" s="138"/>
      <c r="N43" s="137"/>
      <c r="O43" s="138"/>
      <c r="P43" s="137"/>
      <c r="Q43" s="138"/>
      <c r="R43" s="137"/>
      <c r="S43" s="138"/>
      <c r="T43" s="137"/>
      <c r="U43" s="138"/>
      <c r="V43" s="137"/>
      <c r="W43" s="138"/>
      <c r="X43" s="137"/>
      <c r="Y43" s="138"/>
      <c r="Z43" s="137"/>
      <c r="AA43" s="138"/>
      <c r="AB43" s="137"/>
      <c r="AC43" s="138"/>
      <c r="AD43" s="137"/>
      <c r="AE43" s="138"/>
      <c r="AF43" s="137"/>
      <c r="AG43" s="138"/>
      <c r="AH43" s="137"/>
      <c r="AI43" s="138"/>
      <c r="AJ43" s="137"/>
      <c r="AK43" s="138"/>
      <c r="AL43" s="161"/>
      <c r="AM43" s="260"/>
      <c r="AN43" s="2568"/>
      <c r="AO43" s="2852"/>
      <c r="AP43" s="1881"/>
      <c r="AQ43" s="123"/>
      <c r="AR43" s="123"/>
      <c r="AS43" s="723"/>
      <c r="AT43" s="123"/>
      <c r="AU43" s="123"/>
      <c r="AV43" s="802"/>
      <c r="AW43" s="802"/>
      <c r="AX43" s="802"/>
      <c r="AY43" s="802"/>
      <c r="AZ43" s="802"/>
      <c r="BA43" s="802"/>
      <c r="BB43" s="802"/>
      <c r="BC43" s="802"/>
      <c r="BD43" s="802"/>
      <c r="BE43" s="802"/>
      <c r="BF43" s="1187"/>
      <c r="BG43" s="1187"/>
      <c r="BX43" s="823"/>
      <c r="CA43" s="1467" t="str">
        <f t="shared" si="12"/>
        <v/>
      </c>
      <c r="CB43" s="1467" t="str">
        <f t="shared" si="13"/>
        <v/>
      </c>
      <c r="CC43" s="1467" t="str">
        <f t="shared" si="14"/>
        <v/>
      </c>
      <c r="CD43" s="1467" t="str">
        <f t="shared" si="15"/>
        <v/>
      </c>
      <c r="CE43" s="1467"/>
      <c r="CF43" s="1467"/>
      <c r="CG43" s="1468">
        <f t="shared" si="5"/>
        <v>0</v>
      </c>
      <c r="CH43" s="1468">
        <f t="shared" si="6"/>
        <v>0</v>
      </c>
      <c r="CI43" s="1468">
        <f t="shared" si="7"/>
        <v>0</v>
      </c>
      <c r="CJ43" s="1468">
        <f t="shared" si="8"/>
        <v>0</v>
      </c>
      <c r="CK43" s="1465"/>
      <c r="CL43" s="1465"/>
      <c r="CM43" s="1465"/>
      <c r="CN43" s="1465"/>
      <c r="CO43" s="1465"/>
    </row>
    <row r="44" spans="1:93" ht="16.350000000000001" customHeight="1" x14ac:dyDescent="0.25">
      <c r="A44" s="8125"/>
      <c r="B44" s="135" t="s">
        <v>1263</v>
      </c>
      <c r="C44" s="323">
        <f t="shared" si="11"/>
        <v>0</v>
      </c>
      <c r="D44" s="324">
        <f t="shared" si="16"/>
        <v>0</v>
      </c>
      <c r="E44" s="781">
        <f t="shared" si="16"/>
        <v>0</v>
      </c>
      <c r="F44" s="93"/>
      <c r="G44" s="1616"/>
      <c r="H44" s="110"/>
      <c r="I44" s="144"/>
      <c r="J44" s="110"/>
      <c r="K44" s="122"/>
      <c r="L44" s="110"/>
      <c r="M44" s="122"/>
      <c r="N44" s="110"/>
      <c r="O44" s="122"/>
      <c r="P44" s="110"/>
      <c r="Q44" s="122"/>
      <c r="R44" s="110"/>
      <c r="S44" s="122"/>
      <c r="T44" s="110"/>
      <c r="U44" s="122"/>
      <c r="V44" s="110"/>
      <c r="W44" s="122"/>
      <c r="X44" s="110"/>
      <c r="Y44" s="122"/>
      <c r="Z44" s="110"/>
      <c r="AA44" s="122"/>
      <c r="AB44" s="110"/>
      <c r="AC44" s="122"/>
      <c r="AD44" s="110"/>
      <c r="AE44" s="122"/>
      <c r="AF44" s="110"/>
      <c r="AG44" s="122"/>
      <c r="AH44" s="110"/>
      <c r="AI44" s="122"/>
      <c r="AJ44" s="110"/>
      <c r="AK44" s="122"/>
      <c r="AL44" s="157"/>
      <c r="AM44" s="197"/>
      <c r="AN44" s="2568"/>
      <c r="AO44" s="2915"/>
      <c r="AP44" s="1881"/>
      <c r="AQ44" s="123"/>
      <c r="AR44" s="123"/>
      <c r="AS44" s="723"/>
      <c r="AT44" s="123"/>
      <c r="AU44" s="123"/>
      <c r="AV44" s="802"/>
      <c r="AW44" s="802"/>
      <c r="AX44" s="802"/>
      <c r="AY44" s="802"/>
      <c r="AZ44" s="802"/>
      <c r="BA44" s="802"/>
      <c r="BB44" s="802"/>
      <c r="BC44" s="802"/>
      <c r="BD44" s="802"/>
      <c r="BE44" s="802"/>
      <c r="BF44" s="1187"/>
      <c r="BG44" s="1187"/>
      <c r="BX44" s="823"/>
      <c r="CA44" s="1467" t="str">
        <f t="shared" si="12"/>
        <v/>
      </c>
      <c r="CB44" s="1467" t="str">
        <f t="shared" si="13"/>
        <v/>
      </c>
      <c r="CC44" s="1467" t="str">
        <f t="shared" si="14"/>
        <v/>
      </c>
      <c r="CD44" s="1467" t="str">
        <f t="shared" si="15"/>
        <v/>
      </c>
      <c r="CE44" s="1467"/>
      <c r="CF44" s="1467"/>
      <c r="CG44" s="1468">
        <f t="shared" si="5"/>
        <v>0</v>
      </c>
      <c r="CH44" s="1468">
        <f t="shared" si="6"/>
        <v>0</v>
      </c>
      <c r="CI44" s="1468">
        <f t="shared" si="7"/>
        <v>0</v>
      </c>
      <c r="CJ44" s="1468">
        <f t="shared" si="8"/>
        <v>0</v>
      </c>
      <c r="CK44" s="1465"/>
      <c r="CL44" s="1465"/>
      <c r="CM44" s="1465"/>
      <c r="CN44" s="1465"/>
      <c r="CO44" s="1465"/>
    </row>
    <row r="45" spans="1:93" ht="16.350000000000001" customHeight="1" x14ac:dyDescent="0.25">
      <c r="A45" s="8125"/>
      <c r="B45" s="153" t="s">
        <v>1264</v>
      </c>
      <c r="C45" s="323">
        <f t="shared" si="11"/>
        <v>0</v>
      </c>
      <c r="D45" s="324">
        <f t="shared" si="16"/>
        <v>0</v>
      </c>
      <c r="E45" s="780">
        <f t="shared" si="16"/>
        <v>0</v>
      </c>
      <c r="F45" s="93"/>
      <c r="G45" s="1617"/>
      <c r="H45" s="110"/>
      <c r="I45" s="144"/>
      <c r="J45" s="110"/>
      <c r="K45" s="122"/>
      <c r="L45" s="110"/>
      <c r="M45" s="122"/>
      <c r="N45" s="110"/>
      <c r="O45" s="122"/>
      <c r="P45" s="110"/>
      <c r="Q45" s="122"/>
      <c r="R45" s="110"/>
      <c r="S45" s="122"/>
      <c r="T45" s="110"/>
      <c r="U45" s="122"/>
      <c r="V45" s="110"/>
      <c r="W45" s="122"/>
      <c r="X45" s="110"/>
      <c r="Y45" s="122"/>
      <c r="Z45" s="110"/>
      <c r="AA45" s="122"/>
      <c r="AB45" s="110"/>
      <c r="AC45" s="122"/>
      <c r="AD45" s="110"/>
      <c r="AE45" s="122"/>
      <c r="AF45" s="110"/>
      <c r="AG45" s="168"/>
      <c r="AH45" s="110"/>
      <c r="AI45" s="122"/>
      <c r="AJ45" s="110"/>
      <c r="AK45" s="122"/>
      <c r="AL45" s="157"/>
      <c r="AM45" s="197"/>
      <c r="AN45" s="2568"/>
      <c r="AO45" s="2915"/>
      <c r="AP45" s="1881"/>
      <c r="AQ45" s="123"/>
      <c r="AR45" s="123"/>
      <c r="AS45" s="723"/>
      <c r="AT45" s="123"/>
      <c r="AU45" s="123"/>
      <c r="AV45" s="802"/>
      <c r="AW45" s="802"/>
      <c r="AX45" s="802"/>
      <c r="AY45" s="802"/>
      <c r="AZ45" s="802"/>
      <c r="BA45" s="802"/>
      <c r="BB45" s="802"/>
      <c r="BC45" s="802"/>
      <c r="BD45" s="802"/>
      <c r="BE45" s="802"/>
      <c r="BF45" s="1187"/>
      <c r="BG45" s="1187"/>
      <c r="BX45" s="823"/>
      <c r="CA45" s="1467" t="str">
        <f t="shared" si="12"/>
        <v/>
      </c>
      <c r="CB45" s="1467" t="str">
        <f t="shared" si="13"/>
        <v/>
      </c>
      <c r="CC45" s="1467" t="str">
        <f t="shared" si="14"/>
        <v/>
      </c>
      <c r="CD45" s="1467" t="str">
        <f t="shared" si="15"/>
        <v/>
      </c>
      <c r="CE45" s="1467"/>
      <c r="CF45" s="1467"/>
      <c r="CG45" s="1468">
        <f t="shared" si="5"/>
        <v>0</v>
      </c>
      <c r="CH45" s="1468">
        <f t="shared" si="6"/>
        <v>0</v>
      </c>
      <c r="CI45" s="1468">
        <f t="shared" si="7"/>
        <v>0</v>
      </c>
      <c r="CJ45" s="1468">
        <f t="shared" si="8"/>
        <v>0</v>
      </c>
      <c r="CK45" s="1465"/>
      <c r="CL45" s="1465"/>
      <c r="CM45" s="1465"/>
      <c r="CN45" s="1465"/>
      <c r="CO45" s="1465"/>
    </row>
    <row r="46" spans="1:93" ht="16.350000000000001" customHeight="1" x14ac:dyDescent="0.25">
      <c r="A46" s="8428"/>
      <c r="B46" s="527" t="s">
        <v>27</v>
      </c>
      <c r="C46" s="1357">
        <f t="shared" si="11"/>
        <v>0</v>
      </c>
      <c r="D46" s="1358">
        <f t="shared" si="16"/>
        <v>0</v>
      </c>
      <c r="E46" s="779">
        <f t="shared" si="16"/>
        <v>0</v>
      </c>
      <c r="F46" s="82"/>
      <c r="G46" s="790"/>
      <c r="H46" s="703"/>
      <c r="I46" s="788"/>
      <c r="J46" s="703"/>
      <c r="K46" s="702"/>
      <c r="L46" s="703"/>
      <c r="M46" s="702"/>
      <c r="N46" s="703"/>
      <c r="O46" s="702"/>
      <c r="P46" s="703"/>
      <c r="Q46" s="702"/>
      <c r="R46" s="703"/>
      <c r="S46" s="702"/>
      <c r="T46" s="703"/>
      <c r="U46" s="702"/>
      <c r="V46" s="703"/>
      <c r="W46" s="702"/>
      <c r="X46" s="703"/>
      <c r="Y46" s="702"/>
      <c r="Z46" s="703"/>
      <c r="AA46" s="702"/>
      <c r="AB46" s="703"/>
      <c r="AC46" s="702"/>
      <c r="AD46" s="703"/>
      <c r="AE46" s="702"/>
      <c r="AF46" s="703"/>
      <c r="AG46" s="702"/>
      <c r="AH46" s="703"/>
      <c r="AI46" s="702"/>
      <c r="AJ46" s="703"/>
      <c r="AK46" s="702"/>
      <c r="AL46" s="789"/>
      <c r="AM46" s="707"/>
      <c r="AN46" s="2546"/>
      <c r="AO46" s="2936"/>
      <c r="AP46" s="1669"/>
      <c r="AQ46" s="86"/>
      <c r="AR46" s="86"/>
      <c r="AS46" s="723"/>
      <c r="AT46" s="123"/>
      <c r="AU46" s="123"/>
      <c r="AV46" s="802"/>
      <c r="AW46" s="802"/>
      <c r="AX46" s="802"/>
      <c r="AY46" s="802"/>
      <c r="AZ46" s="802"/>
      <c r="BA46" s="802"/>
      <c r="BB46" s="802"/>
      <c r="BC46" s="802"/>
      <c r="BD46" s="802"/>
      <c r="BE46" s="802"/>
      <c r="BF46" s="1187"/>
      <c r="BG46" s="1187"/>
      <c r="BX46" s="823"/>
      <c r="CA46" s="1467" t="str">
        <f t="shared" si="12"/>
        <v/>
      </c>
      <c r="CB46" s="1467" t="str">
        <f t="shared" si="13"/>
        <v/>
      </c>
      <c r="CC46" s="1467" t="str">
        <f t="shared" si="14"/>
        <v/>
      </c>
      <c r="CD46" s="1467" t="str">
        <f t="shared" si="15"/>
        <v/>
      </c>
      <c r="CE46" s="1467"/>
      <c r="CF46" s="1467"/>
      <c r="CG46" s="1468">
        <f t="shared" ref="CG46:CG69" si="17">IF(AND(C46&lt;&gt;0,OR(AO46="",AP46="",AQ46="",AR46="",AT46="")),1,0)</f>
        <v>0</v>
      </c>
      <c r="CH46" s="1468">
        <f t="shared" ref="CH46:CH69" si="18">IF(OR(C46&lt;(AO46+AP46),C46&lt;AQ46,C46&lt;AR46,C46&lt;AT46),1,0)</f>
        <v>0</v>
      </c>
      <c r="CI46" s="1468">
        <f t="shared" ref="CI46:CI69" si="19">IF(C46&lt;AN46,1,0)</f>
        <v>0</v>
      </c>
      <c r="CJ46" s="1468">
        <f t="shared" ref="CJ46:CJ69" si="20">IF((J46+K46+L46+M46)&lt;AS46,1,0)</f>
        <v>0</v>
      </c>
      <c r="CK46" s="1465"/>
      <c r="CL46" s="1465"/>
      <c r="CM46" s="1465"/>
      <c r="CN46" s="1465"/>
      <c r="CO46" s="1465"/>
    </row>
    <row r="47" spans="1:93" ht="16.350000000000001" customHeight="1" x14ac:dyDescent="0.25">
      <c r="A47" s="8153" t="s">
        <v>2581</v>
      </c>
      <c r="B47" s="773" t="s">
        <v>2583</v>
      </c>
      <c r="C47" s="1353">
        <f t="shared" si="11"/>
        <v>0</v>
      </c>
      <c r="D47" s="1354">
        <f>SUM(J47+L47+N47+P47+R47+T47+V47+X47+Z47+AB47+AD47+AF47+AH47+AJ47+AL47)</f>
        <v>0</v>
      </c>
      <c r="E47" s="782">
        <f>SUM(K47+M47+O47+Q47+S47+U47+W47+Y47+AA47+AC47+AE47+AG47+AI47+AK47+AM47)</f>
        <v>0</v>
      </c>
      <c r="F47" s="786"/>
      <c r="G47" s="564"/>
      <c r="H47" s="786"/>
      <c r="I47" s="564"/>
      <c r="J47" s="520"/>
      <c r="K47" s="756"/>
      <c r="L47" s="520"/>
      <c r="M47" s="756"/>
      <c r="N47" s="520"/>
      <c r="O47" s="756"/>
      <c r="P47" s="520"/>
      <c r="Q47" s="756"/>
      <c r="R47" s="520"/>
      <c r="S47" s="756"/>
      <c r="T47" s="520"/>
      <c r="U47" s="756"/>
      <c r="V47" s="520"/>
      <c r="W47" s="756"/>
      <c r="X47" s="520"/>
      <c r="Y47" s="756"/>
      <c r="Z47" s="520"/>
      <c r="AA47" s="756"/>
      <c r="AB47" s="520"/>
      <c r="AC47" s="756"/>
      <c r="AD47" s="520"/>
      <c r="AE47" s="756"/>
      <c r="AF47" s="520"/>
      <c r="AG47" s="756"/>
      <c r="AH47" s="520"/>
      <c r="AI47" s="756"/>
      <c r="AJ47" s="520"/>
      <c r="AK47" s="756"/>
      <c r="AL47" s="757"/>
      <c r="AM47" s="754"/>
      <c r="AN47" s="2505"/>
      <c r="AO47" s="3021"/>
      <c r="AP47" s="1974"/>
      <c r="AQ47" s="521"/>
      <c r="AR47" s="521"/>
      <c r="AS47" s="521"/>
      <c r="AT47" s="521"/>
      <c r="AU47" s="521"/>
      <c r="AV47" s="802"/>
      <c r="AW47" s="802"/>
      <c r="AX47" s="802"/>
      <c r="AY47" s="802"/>
      <c r="AZ47" s="802"/>
      <c r="BA47" s="802"/>
      <c r="BB47" s="802"/>
      <c r="BC47" s="802"/>
      <c r="BD47" s="802"/>
      <c r="BE47" s="802"/>
      <c r="BF47" s="1187"/>
      <c r="BG47" s="1187"/>
      <c r="BX47" s="823"/>
      <c r="CA47" s="1467" t="str">
        <f t="shared" si="12"/>
        <v/>
      </c>
      <c r="CB47" s="1467" t="str">
        <f t="shared" si="13"/>
        <v/>
      </c>
      <c r="CC47" s="1467" t="str">
        <f t="shared" si="14"/>
        <v/>
      </c>
      <c r="CD47" s="1467" t="str">
        <f t="shared" si="15"/>
        <v/>
      </c>
      <c r="CE47" s="1467"/>
      <c r="CF47" s="1467"/>
      <c r="CG47" s="1468">
        <f t="shared" si="17"/>
        <v>0</v>
      </c>
      <c r="CH47" s="1468">
        <f t="shared" si="18"/>
        <v>0</v>
      </c>
      <c r="CI47" s="1468">
        <f t="shared" si="19"/>
        <v>0</v>
      </c>
      <c r="CJ47" s="1468">
        <f t="shared" si="20"/>
        <v>0</v>
      </c>
      <c r="CK47" s="1465"/>
      <c r="CL47" s="1465"/>
      <c r="CM47" s="1465"/>
      <c r="CN47" s="1465"/>
      <c r="CO47" s="1465"/>
    </row>
    <row r="48" spans="1:93" ht="16.350000000000001" customHeight="1" x14ac:dyDescent="0.25">
      <c r="A48" s="8125"/>
      <c r="B48" s="135" t="s">
        <v>23</v>
      </c>
      <c r="C48" s="323">
        <f t="shared" si="11"/>
        <v>0</v>
      </c>
      <c r="D48" s="324">
        <f t="shared" ref="D48:E52" si="21">SUM(J48+L48+N48+P48+R48+T48+V48+X48+Z48+AB48+AD48+AF48+AH48+AJ48+AL48)</f>
        <v>0</v>
      </c>
      <c r="E48" s="781">
        <f>SUM(K48+M48+O48+Q48+S48+U48+W48+Y48+AA48+AC48+AE48+AG48+AI48+AK48+AM48)</f>
        <v>0</v>
      </c>
      <c r="F48" s="93"/>
      <c r="G48" s="170"/>
      <c r="H48" s="93"/>
      <c r="I48" s="170"/>
      <c r="J48" s="110"/>
      <c r="K48" s="122"/>
      <c r="L48" s="110"/>
      <c r="M48" s="122"/>
      <c r="N48" s="110"/>
      <c r="O48" s="122"/>
      <c r="P48" s="110"/>
      <c r="Q48" s="122"/>
      <c r="R48" s="110"/>
      <c r="S48" s="122"/>
      <c r="T48" s="110"/>
      <c r="U48" s="122"/>
      <c r="V48" s="110"/>
      <c r="W48" s="122"/>
      <c r="X48" s="110"/>
      <c r="Y48" s="122"/>
      <c r="Z48" s="110"/>
      <c r="AA48" s="122"/>
      <c r="AB48" s="110"/>
      <c r="AC48" s="122"/>
      <c r="AD48" s="110"/>
      <c r="AE48" s="122"/>
      <c r="AF48" s="110"/>
      <c r="AG48" s="122"/>
      <c r="AH48" s="110"/>
      <c r="AI48" s="122"/>
      <c r="AJ48" s="110"/>
      <c r="AK48" s="122"/>
      <c r="AL48" s="157"/>
      <c r="AM48" s="197"/>
      <c r="AN48" s="2568"/>
      <c r="AO48" s="2915"/>
      <c r="AP48" s="1881"/>
      <c r="AQ48" s="123"/>
      <c r="AR48" s="123"/>
      <c r="AS48" s="123"/>
      <c r="AT48" s="123"/>
      <c r="AU48" s="123"/>
      <c r="AV48" s="802"/>
      <c r="AW48" s="802"/>
      <c r="AX48" s="802"/>
      <c r="AY48" s="802"/>
      <c r="AZ48" s="802"/>
      <c r="BA48" s="802"/>
      <c r="BB48" s="802"/>
      <c r="BC48" s="802"/>
      <c r="BD48" s="802"/>
      <c r="BE48" s="802"/>
      <c r="BF48" s="1187"/>
      <c r="BG48" s="1187"/>
      <c r="BX48" s="823"/>
      <c r="CA48" s="1467" t="str">
        <f t="shared" si="12"/>
        <v/>
      </c>
      <c r="CB48" s="1467" t="str">
        <f t="shared" si="13"/>
        <v/>
      </c>
      <c r="CC48" s="1467" t="str">
        <f t="shared" si="14"/>
        <v/>
      </c>
      <c r="CD48" s="1467" t="str">
        <f t="shared" si="15"/>
        <v/>
      </c>
      <c r="CE48" s="1467"/>
      <c r="CF48" s="1467"/>
      <c r="CG48" s="1468">
        <f t="shared" si="17"/>
        <v>0</v>
      </c>
      <c r="CH48" s="1468">
        <f t="shared" si="18"/>
        <v>0</v>
      </c>
      <c r="CI48" s="1468">
        <f t="shared" si="19"/>
        <v>0</v>
      </c>
      <c r="CJ48" s="1468">
        <f t="shared" si="20"/>
        <v>0</v>
      </c>
      <c r="CK48" s="1465"/>
      <c r="CL48" s="1465"/>
      <c r="CM48" s="1465"/>
      <c r="CN48" s="1465"/>
      <c r="CO48" s="1465"/>
    </row>
    <row r="49" spans="1:93" ht="16.350000000000001" customHeight="1" x14ac:dyDescent="0.25">
      <c r="A49" s="8125"/>
      <c r="B49" s="135" t="s">
        <v>20</v>
      </c>
      <c r="C49" s="323">
        <f t="shared" si="11"/>
        <v>0</v>
      </c>
      <c r="D49" s="324">
        <f>SUM(J49+L49+N49+P49+R49+T49+V49+X49+Z49+AB49+AD49+AF49+AH49+AJ49+AL49)</f>
        <v>0</v>
      </c>
      <c r="E49" s="781">
        <f>SUM(K49+M49+O49+Q49+S49+U49+W49+Y49+AA49+AC49+AE49+AG49+AI49+AK49+AM49)</f>
        <v>0</v>
      </c>
      <c r="F49" s="93"/>
      <c r="G49" s="170"/>
      <c r="H49" s="93"/>
      <c r="I49" s="170"/>
      <c r="J49" s="110"/>
      <c r="K49" s="122"/>
      <c r="L49" s="110"/>
      <c r="M49" s="122"/>
      <c r="N49" s="110"/>
      <c r="O49" s="122"/>
      <c r="P49" s="110"/>
      <c r="Q49" s="122"/>
      <c r="R49" s="110"/>
      <c r="S49" s="122"/>
      <c r="T49" s="110"/>
      <c r="U49" s="122"/>
      <c r="V49" s="110"/>
      <c r="W49" s="122"/>
      <c r="X49" s="110"/>
      <c r="Y49" s="122"/>
      <c r="Z49" s="110"/>
      <c r="AA49" s="122"/>
      <c r="AB49" s="110"/>
      <c r="AC49" s="122"/>
      <c r="AD49" s="110"/>
      <c r="AE49" s="122"/>
      <c r="AF49" s="110"/>
      <c r="AG49" s="122"/>
      <c r="AH49" s="110"/>
      <c r="AI49" s="122"/>
      <c r="AJ49" s="110"/>
      <c r="AK49" s="122"/>
      <c r="AL49" s="157"/>
      <c r="AM49" s="197"/>
      <c r="AN49" s="2568"/>
      <c r="AO49" s="2915"/>
      <c r="AP49" s="1881"/>
      <c r="AQ49" s="123"/>
      <c r="AR49" s="123"/>
      <c r="AS49" s="123"/>
      <c r="AT49" s="123"/>
      <c r="AU49" s="123"/>
      <c r="AV49" s="802"/>
      <c r="AW49" s="802"/>
      <c r="AX49" s="802"/>
      <c r="AY49" s="802"/>
      <c r="AZ49" s="802"/>
      <c r="BA49" s="802"/>
      <c r="BB49" s="802"/>
      <c r="BC49" s="802"/>
      <c r="BD49" s="802"/>
      <c r="BE49" s="802"/>
      <c r="BF49" s="1187"/>
      <c r="BG49" s="1187"/>
      <c r="BX49" s="823"/>
      <c r="CA49" s="1467" t="str">
        <f t="shared" si="12"/>
        <v/>
      </c>
      <c r="CB49" s="1467" t="str">
        <f t="shared" si="13"/>
        <v/>
      </c>
      <c r="CC49" s="1467" t="str">
        <f t="shared" si="14"/>
        <v/>
      </c>
      <c r="CD49" s="1467" t="str">
        <f t="shared" si="15"/>
        <v/>
      </c>
      <c r="CE49" s="1467"/>
      <c r="CF49" s="1467"/>
      <c r="CG49" s="1468">
        <f t="shared" si="17"/>
        <v>0</v>
      </c>
      <c r="CH49" s="1468">
        <f t="shared" si="18"/>
        <v>0</v>
      </c>
      <c r="CI49" s="1468">
        <f t="shared" si="19"/>
        <v>0</v>
      </c>
      <c r="CJ49" s="1468">
        <f t="shared" si="20"/>
        <v>0</v>
      </c>
      <c r="CK49" s="1465"/>
      <c r="CL49" s="1465"/>
      <c r="CM49" s="1465"/>
      <c r="CN49" s="1465"/>
      <c r="CO49" s="1465"/>
    </row>
    <row r="50" spans="1:93" ht="16.350000000000001" customHeight="1" x14ac:dyDescent="0.25">
      <c r="A50" s="8125"/>
      <c r="B50" s="135" t="s">
        <v>1265</v>
      </c>
      <c r="C50" s="323">
        <f t="shared" si="11"/>
        <v>0</v>
      </c>
      <c r="D50" s="324">
        <f t="shared" si="21"/>
        <v>0</v>
      </c>
      <c r="E50" s="781">
        <f t="shared" si="21"/>
        <v>0</v>
      </c>
      <c r="F50" s="93"/>
      <c r="G50" s="170"/>
      <c r="H50" s="93"/>
      <c r="I50" s="170"/>
      <c r="J50" s="110"/>
      <c r="K50" s="122"/>
      <c r="L50" s="110"/>
      <c r="M50" s="122"/>
      <c r="N50" s="110"/>
      <c r="O50" s="122"/>
      <c r="P50" s="110"/>
      <c r="Q50" s="122"/>
      <c r="R50" s="110"/>
      <c r="S50" s="122"/>
      <c r="T50" s="110"/>
      <c r="U50" s="122"/>
      <c r="V50" s="110"/>
      <c r="W50" s="122"/>
      <c r="X50" s="110"/>
      <c r="Y50" s="122"/>
      <c r="Z50" s="110"/>
      <c r="AA50" s="122"/>
      <c r="AB50" s="110"/>
      <c r="AC50" s="122"/>
      <c r="AD50" s="110"/>
      <c r="AE50" s="122"/>
      <c r="AF50" s="110"/>
      <c r="AG50" s="122"/>
      <c r="AH50" s="110"/>
      <c r="AI50" s="122"/>
      <c r="AJ50" s="110"/>
      <c r="AK50" s="122"/>
      <c r="AL50" s="157"/>
      <c r="AM50" s="197"/>
      <c r="AN50" s="2568"/>
      <c r="AO50" s="2915"/>
      <c r="AP50" s="1881"/>
      <c r="AQ50" s="123"/>
      <c r="AR50" s="123"/>
      <c r="AS50" s="123"/>
      <c r="AT50" s="123"/>
      <c r="AU50" s="123"/>
      <c r="AV50" s="802"/>
      <c r="AW50" s="802"/>
      <c r="AX50" s="802"/>
      <c r="AY50" s="802"/>
      <c r="AZ50" s="802"/>
      <c r="BA50" s="802"/>
      <c r="BB50" s="802"/>
      <c r="BC50" s="802"/>
      <c r="BD50" s="802"/>
      <c r="BE50" s="802"/>
      <c r="BF50" s="1187"/>
      <c r="BG50" s="1187"/>
      <c r="BX50" s="823"/>
      <c r="CA50" s="1467" t="str">
        <f t="shared" si="12"/>
        <v/>
      </c>
      <c r="CB50" s="1467" t="str">
        <f t="shared" si="13"/>
        <v/>
      </c>
      <c r="CC50" s="1467" t="str">
        <f t="shared" si="14"/>
        <v/>
      </c>
      <c r="CD50" s="1467" t="str">
        <f t="shared" si="15"/>
        <v/>
      </c>
      <c r="CE50" s="1467"/>
      <c r="CF50" s="1467"/>
      <c r="CG50" s="1468">
        <f t="shared" si="17"/>
        <v>0</v>
      </c>
      <c r="CH50" s="1468">
        <f t="shared" si="18"/>
        <v>0</v>
      </c>
      <c r="CI50" s="1468">
        <f t="shared" si="19"/>
        <v>0</v>
      </c>
      <c r="CJ50" s="1468">
        <f t="shared" si="20"/>
        <v>0</v>
      </c>
      <c r="CK50" s="1465"/>
      <c r="CL50" s="1465"/>
      <c r="CM50" s="1465"/>
      <c r="CN50" s="1465"/>
      <c r="CO50" s="1465"/>
    </row>
    <row r="51" spans="1:93" ht="16.350000000000001" customHeight="1" x14ac:dyDescent="0.25">
      <c r="A51" s="8125"/>
      <c r="B51" s="109" t="s">
        <v>1264</v>
      </c>
      <c r="C51" s="278">
        <f t="shared" si="11"/>
        <v>0</v>
      </c>
      <c r="D51" s="324">
        <f>SUM(J51+L51+N51+P51+R51+T51+V51+X51+Z51+AB51+AD51+AF51+AH51+AJ51+AL51)</f>
        <v>0</v>
      </c>
      <c r="E51" s="780">
        <f>SUM(K51+M51+O51+Q51+S51+U51+W51+Y51+AA51+AC51+AE51+AG51+AI51+AK51+AM51)</f>
        <v>0</v>
      </c>
      <c r="F51" s="93"/>
      <c r="G51" s="170"/>
      <c r="H51" s="93"/>
      <c r="I51" s="170"/>
      <c r="J51" s="137"/>
      <c r="K51" s="138"/>
      <c r="L51" s="137"/>
      <c r="M51" s="138"/>
      <c r="N51" s="137"/>
      <c r="O51" s="138"/>
      <c r="P51" s="137"/>
      <c r="Q51" s="138"/>
      <c r="R51" s="137"/>
      <c r="S51" s="138"/>
      <c r="T51" s="137"/>
      <c r="U51" s="138"/>
      <c r="V51" s="137"/>
      <c r="W51" s="138"/>
      <c r="X51" s="137"/>
      <c r="Y51" s="138"/>
      <c r="Z51" s="137"/>
      <c r="AA51" s="138"/>
      <c r="AB51" s="137"/>
      <c r="AC51" s="138"/>
      <c r="AD51" s="137"/>
      <c r="AE51" s="138"/>
      <c r="AF51" s="137"/>
      <c r="AG51" s="138"/>
      <c r="AH51" s="137"/>
      <c r="AI51" s="138"/>
      <c r="AJ51" s="137"/>
      <c r="AK51" s="138"/>
      <c r="AL51" s="161"/>
      <c r="AM51" s="260"/>
      <c r="AN51" s="2568"/>
      <c r="AO51" s="2852"/>
      <c r="AP51" s="1844"/>
      <c r="AQ51" s="97"/>
      <c r="AR51" s="97"/>
      <c r="AS51" s="97"/>
      <c r="AT51" s="97"/>
      <c r="AU51" s="97"/>
      <c r="AV51" s="802"/>
      <c r="AW51" s="802"/>
      <c r="AX51" s="802"/>
      <c r="AY51" s="802"/>
      <c r="AZ51" s="802"/>
      <c r="BA51" s="802"/>
      <c r="BB51" s="802"/>
      <c r="BC51" s="802"/>
      <c r="BD51" s="802"/>
      <c r="BE51" s="802"/>
      <c r="BF51" s="1187"/>
      <c r="BG51" s="1187"/>
      <c r="BX51" s="823"/>
      <c r="CA51" s="1467" t="str">
        <f t="shared" si="12"/>
        <v/>
      </c>
      <c r="CB51" s="1467" t="str">
        <f t="shared" si="13"/>
        <v/>
      </c>
      <c r="CC51" s="1467" t="str">
        <f t="shared" si="14"/>
        <v/>
      </c>
      <c r="CD51" s="1467" t="str">
        <f t="shared" si="15"/>
        <v/>
      </c>
      <c r="CE51" s="1467"/>
      <c r="CF51" s="1467"/>
      <c r="CG51" s="1468">
        <f t="shared" si="17"/>
        <v>0</v>
      </c>
      <c r="CH51" s="1468">
        <f t="shared" si="18"/>
        <v>0</v>
      </c>
      <c r="CI51" s="1468">
        <f t="shared" si="19"/>
        <v>0</v>
      </c>
      <c r="CJ51" s="1468">
        <f t="shared" si="20"/>
        <v>0</v>
      </c>
      <c r="CK51" s="1465"/>
      <c r="CL51" s="1465"/>
      <c r="CM51" s="1465"/>
      <c r="CN51" s="1465"/>
      <c r="CO51" s="1465"/>
    </row>
    <row r="52" spans="1:93" ht="16.350000000000001" customHeight="1" x14ac:dyDescent="0.25">
      <c r="A52" s="8125"/>
      <c r="B52" s="527" t="s">
        <v>1263</v>
      </c>
      <c r="C52" s="1357">
        <f t="shared" si="11"/>
        <v>0</v>
      </c>
      <c r="D52" s="1358">
        <f t="shared" si="21"/>
        <v>0</v>
      </c>
      <c r="E52" s="779">
        <f t="shared" si="21"/>
        <v>0</v>
      </c>
      <c r="F52" s="82"/>
      <c r="G52" s="128"/>
      <c r="H52" s="82"/>
      <c r="I52" s="128"/>
      <c r="J52" s="125"/>
      <c r="K52" s="101"/>
      <c r="L52" s="125"/>
      <c r="M52" s="101"/>
      <c r="N52" s="125"/>
      <c r="O52" s="101"/>
      <c r="P52" s="125"/>
      <c r="Q52" s="101"/>
      <c r="R52" s="125"/>
      <c r="S52" s="101"/>
      <c r="T52" s="125"/>
      <c r="U52" s="101"/>
      <c r="V52" s="125"/>
      <c r="W52" s="101"/>
      <c r="X52" s="125"/>
      <c r="Y52" s="101"/>
      <c r="Z52" s="125"/>
      <c r="AA52" s="101"/>
      <c r="AB52" s="125"/>
      <c r="AC52" s="101"/>
      <c r="AD52" s="125"/>
      <c r="AE52" s="101"/>
      <c r="AF52" s="125"/>
      <c r="AG52" s="101"/>
      <c r="AH52" s="125"/>
      <c r="AI52" s="101"/>
      <c r="AJ52" s="125"/>
      <c r="AK52" s="101"/>
      <c r="AL52" s="159"/>
      <c r="AM52" s="198"/>
      <c r="AN52" s="2546"/>
      <c r="AO52" s="2533"/>
      <c r="AP52" s="1669"/>
      <c r="AQ52" s="86"/>
      <c r="AR52" s="86"/>
      <c r="AS52" s="86"/>
      <c r="AT52" s="86"/>
      <c r="AU52" s="86"/>
      <c r="AV52" s="802"/>
      <c r="AW52" s="802"/>
      <c r="AX52" s="802"/>
      <c r="AY52" s="802"/>
      <c r="AZ52" s="802"/>
      <c r="BA52" s="802"/>
      <c r="BB52" s="802"/>
      <c r="BC52" s="802"/>
      <c r="BD52" s="802"/>
      <c r="BE52" s="802"/>
      <c r="BF52" s="1187"/>
      <c r="BG52" s="1187"/>
      <c r="BX52" s="823"/>
      <c r="CA52" s="1467" t="str">
        <f t="shared" si="12"/>
        <v/>
      </c>
      <c r="CB52" s="1467" t="str">
        <f t="shared" si="13"/>
        <v/>
      </c>
      <c r="CC52" s="1467" t="str">
        <f t="shared" si="14"/>
        <v/>
      </c>
      <c r="CD52" s="1467" t="str">
        <f t="shared" si="15"/>
        <v/>
      </c>
      <c r="CE52" s="1467"/>
      <c r="CF52" s="1467"/>
      <c r="CG52" s="1468">
        <f t="shared" si="17"/>
        <v>0</v>
      </c>
      <c r="CH52" s="1468">
        <f t="shared" si="18"/>
        <v>0</v>
      </c>
      <c r="CI52" s="1468">
        <f t="shared" si="19"/>
        <v>0</v>
      </c>
      <c r="CJ52" s="1468">
        <f t="shared" si="20"/>
        <v>0</v>
      </c>
      <c r="CK52" s="1465"/>
      <c r="CL52" s="1465"/>
      <c r="CM52" s="1465"/>
      <c r="CN52" s="1465"/>
      <c r="CO52" s="1465"/>
    </row>
    <row r="53" spans="1:93" ht="16.350000000000001" customHeight="1" x14ac:dyDescent="0.25">
      <c r="A53" s="8153" t="s">
        <v>2580</v>
      </c>
      <c r="B53" s="773" t="s">
        <v>2583</v>
      </c>
      <c r="C53" s="1353">
        <f t="shared" si="11"/>
        <v>0</v>
      </c>
      <c r="D53" s="1354">
        <f t="shared" ref="D53:E56" si="22">SUM(J53+L53+N53+P53+R53+T53+V53+X53+Z53+AB53)</f>
        <v>0</v>
      </c>
      <c r="E53" s="782">
        <f t="shared" si="22"/>
        <v>0</v>
      </c>
      <c r="F53" s="786"/>
      <c r="G53" s="564"/>
      <c r="H53" s="786"/>
      <c r="I53" s="564"/>
      <c r="J53" s="520"/>
      <c r="K53" s="756"/>
      <c r="L53" s="520"/>
      <c r="M53" s="756"/>
      <c r="N53" s="520"/>
      <c r="O53" s="756"/>
      <c r="P53" s="520"/>
      <c r="Q53" s="756"/>
      <c r="R53" s="520"/>
      <c r="S53" s="756"/>
      <c r="T53" s="520"/>
      <c r="U53" s="756"/>
      <c r="V53" s="520"/>
      <c r="W53" s="756"/>
      <c r="X53" s="520"/>
      <c r="Y53" s="756"/>
      <c r="Z53" s="520"/>
      <c r="AA53" s="756"/>
      <c r="AB53" s="110"/>
      <c r="AC53" s="122"/>
      <c r="AD53" s="722"/>
      <c r="AE53" s="787"/>
      <c r="AF53" s="694"/>
      <c r="AG53" s="710"/>
      <c r="AH53" s="694"/>
      <c r="AI53" s="710"/>
      <c r="AJ53" s="694"/>
      <c r="AK53" s="710"/>
      <c r="AL53" s="785"/>
      <c r="AM53" s="693"/>
      <c r="AN53" s="2505"/>
      <c r="AO53" s="2927"/>
      <c r="AP53" s="1886"/>
      <c r="AQ53" s="690"/>
      <c r="AR53" s="690"/>
      <c r="AS53" s="690"/>
      <c r="AT53" s="690"/>
      <c r="AU53" s="690"/>
      <c r="AV53" s="802"/>
      <c r="AW53" s="802"/>
      <c r="AX53" s="802"/>
      <c r="AY53" s="802"/>
      <c r="AZ53" s="802"/>
      <c r="BA53" s="802"/>
      <c r="BB53" s="802"/>
      <c r="BC53" s="802"/>
      <c r="BD53" s="802"/>
      <c r="BE53" s="802"/>
      <c r="BF53" s="1187"/>
      <c r="BG53" s="1187"/>
      <c r="BX53" s="823"/>
      <c r="CA53" s="1467" t="str">
        <f t="shared" si="12"/>
        <v/>
      </c>
      <c r="CB53" s="1467" t="str">
        <f t="shared" si="13"/>
        <v/>
      </c>
      <c r="CC53" s="1467" t="str">
        <f t="shared" si="14"/>
        <v/>
      </c>
      <c r="CD53" s="1467" t="str">
        <f t="shared" si="15"/>
        <v/>
      </c>
      <c r="CE53" s="1467"/>
      <c r="CF53" s="1467"/>
      <c r="CG53" s="1468">
        <f t="shared" si="17"/>
        <v>0</v>
      </c>
      <c r="CH53" s="1468">
        <f t="shared" si="18"/>
        <v>0</v>
      </c>
      <c r="CI53" s="1468">
        <f t="shared" si="19"/>
        <v>0</v>
      </c>
      <c r="CJ53" s="1468">
        <f t="shared" si="20"/>
        <v>0</v>
      </c>
      <c r="CK53" s="1465"/>
      <c r="CL53" s="1465"/>
      <c r="CM53" s="1465"/>
      <c r="CN53" s="1465"/>
      <c r="CO53" s="1465"/>
    </row>
    <row r="54" spans="1:93" ht="16.350000000000001" customHeight="1" x14ac:dyDescent="0.25">
      <c r="A54" s="8125"/>
      <c r="B54" s="135" t="s">
        <v>20</v>
      </c>
      <c r="C54" s="323">
        <f t="shared" si="11"/>
        <v>0</v>
      </c>
      <c r="D54" s="324">
        <f t="shared" si="22"/>
        <v>0</v>
      </c>
      <c r="E54" s="781">
        <f t="shared" si="22"/>
        <v>0</v>
      </c>
      <c r="F54" s="93"/>
      <c r="G54" s="170"/>
      <c r="H54" s="93"/>
      <c r="I54" s="170"/>
      <c r="J54" s="110"/>
      <c r="K54" s="122"/>
      <c r="L54" s="110"/>
      <c r="M54" s="122"/>
      <c r="N54" s="110"/>
      <c r="O54" s="122"/>
      <c r="P54" s="110"/>
      <c r="Q54" s="122"/>
      <c r="R54" s="110"/>
      <c r="S54" s="122"/>
      <c r="T54" s="110"/>
      <c r="U54" s="122"/>
      <c r="V54" s="110"/>
      <c r="W54" s="122"/>
      <c r="X54" s="110"/>
      <c r="Y54" s="122"/>
      <c r="Z54" s="110"/>
      <c r="AA54" s="122"/>
      <c r="AB54" s="110"/>
      <c r="AC54" s="122"/>
      <c r="AD54" s="722"/>
      <c r="AE54" s="787"/>
      <c r="AF54" s="131"/>
      <c r="AG54" s="121"/>
      <c r="AH54" s="131"/>
      <c r="AI54" s="121"/>
      <c r="AJ54" s="131"/>
      <c r="AK54" s="121"/>
      <c r="AL54" s="504"/>
      <c r="AM54" s="240"/>
      <c r="AN54" s="2568"/>
      <c r="AO54" s="2915"/>
      <c r="AP54" s="1881"/>
      <c r="AQ54" s="123"/>
      <c r="AR54" s="123"/>
      <c r="AS54" s="123"/>
      <c r="AT54" s="123"/>
      <c r="AU54" s="123"/>
      <c r="AV54" s="802"/>
      <c r="AW54" s="802"/>
      <c r="AX54" s="802"/>
      <c r="AY54" s="802"/>
      <c r="AZ54" s="802"/>
      <c r="BA54" s="802"/>
      <c r="BB54" s="802"/>
      <c r="BC54" s="802"/>
      <c r="BD54" s="802"/>
      <c r="BE54" s="802"/>
      <c r="BF54" s="1187"/>
      <c r="BG54" s="1187"/>
      <c r="BX54" s="823"/>
      <c r="CA54" s="1467" t="str">
        <f t="shared" si="12"/>
        <v/>
      </c>
      <c r="CB54" s="1467" t="str">
        <f t="shared" si="13"/>
        <v/>
      </c>
      <c r="CC54" s="1467" t="str">
        <f t="shared" si="14"/>
        <v/>
      </c>
      <c r="CD54" s="1467" t="str">
        <f t="shared" si="15"/>
        <v/>
      </c>
      <c r="CE54" s="1467"/>
      <c r="CF54" s="1467"/>
      <c r="CG54" s="1468">
        <f t="shared" si="17"/>
        <v>0</v>
      </c>
      <c r="CH54" s="1468">
        <f t="shared" si="18"/>
        <v>0</v>
      </c>
      <c r="CI54" s="1468">
        <f t="shared" si="19"/>
        <v>0</v>
      </c>
      <c r="CJ54" s="1468">
        <f t="shared" si="20"/>
        <v>0</v>
      </c>
      <c r="CK54" s="1465"/>
      <c r="CL54" s="1465"/>
      <c r="CM54" s="1465"/>
      <c r="CN54" s="1465"/>
      <c r="CO54" s="1465"/>
    </row>
    <row r="55" spans="1:93" ht="16.350000000000001" customHeight="1" x14ac:dyDescent="0.25">
      <c r="A55" s="8125"/>
      <c r="B55" s="153" t="s">
        <v>1264</v>
      </c>
      <c r="C55" s="323">
        <f t="shared" si="11"/>
        <v>0</v>
      </c>
      <c r="D55" s="324">
        <f t="shared" si="22"/>
        <v>0</v>
      </c>
      <c r="E55" s="780">
        <f t="shared" si="22"/>
        <v>0</v>
      </c>
      <c r="F55" s="93"/>
      <c r="G55" s="170"/>
      <c r="H55" s="93"/>
      <c r="I55" s="170"/>
      <c r="J55" s="137"/>
      <c r="K55" s="138"/>
      <c r="L55" s="137"/>
      <c r="M55" s="138"/>
      <c r="N55" s="137"/>
      <c r="O55" s="138"/>
      <c r="P55" s="137"/>
      <c r="Q55" s="138"/>
      <c r="R55" s="137"/>
      <c r="S55" s="138"/>
      <c r="T55" s="137"/>
      <c r="U55" s="138"/>
      <c r="V55" s="137"/>
      <c r="W55" s="138"/>
      <c r="X55" s="137"/>
      <c r="Y55" s="138"/>
      <c r="Z55" s="137"/>
      <c r="AA55" s="138"/>
      <c r="AB55" s="110"/>
      <c r="AC55" s="122"/>
      <c r="AD55" s="722"/>
      <c r="AE55" s="787"/>
      <c r="AF55" s="93"/>
      <c r="AG55" s="96"/>
      <c r="AH55" s="93"/>
      <c r="AI55" s="96"/>
      <c r="AJ55" s="93"/>
      <c r="AK55" s="96"/>
      <c r="AL55" s="400"/>
      <c r="AM55" s="342"/>
      <c r="AN55" s="2568"/>
      <c r="AO55" s="2852"/>
      <c r="AP55" s="1844"/>
      <c r="AQ55" s="97"/>
      <c r="AR55" s="97"/>
      <c r="AS55" s="97"/>
      <c r="AT55" s="97"/>
      <c r="AU55" s="97"/>
      <c r="AV55" s="802"/>
      <c r="AW55" s="802"/>
      <c r="AX55" s="802"/>
      <c r="AY55" s="802"/>
      <c r="AZ55" s="802"/>
      <c r="BA55" s="802"/>
      <c r="BB55" s="802"/>
      <c r="BC55" s="802"/>
      <c r="BD55" s="802"/>
      <c r="BE55" s="802"/>
      <c r="BF55" s="1187"/>
      <c r="BG55" s="1187"/>
      <c r="BX55" s="823"/>
      <c r="CA55" s="1467" t="str">
        <f t="shared" si="12"/>
        <v/>
      </c>
      <c r="CB55" s="1467" t="str">
        <f t="shared" si="13"/>
        <v/>
      </c>
      <c r="CC55" s="1467" t="str">
        <f t="shared" si="14"/>
        <v/>
      </c>
      <c r="CD55" s="1467" t="str">
        <f t="shared" si="15"/>
        <v/>
      </c>
      <c r="CE55" s="1467"/>
      <c r="CF55" s="1467"/>
      <c r="CG55" s="1468">
        <f t="shared" si="17"/>
        <v>0</v>
      </c>
      <c r="CH55" s="1468">
        <f t="shared" si="18"/>
        <v>0</v>
      </c>
      <c r="CI55" s="1468">
        <f t="shared" si="19"/>
        <v>0</v>
      </c>
      <c r="CJ55" s="1468">
        <f t="shared" si="20"/>
        <v>0</v>
      </c>
      <c r="CK55" s="1465"/>
      <c r="CL55" s="1465"/>
      <c r="CM55" s="1465"/>
      <c r="CN55" s="1465"/>
      <c r="CO55" s="1465"/>
    </row>
    <row r="56" spans="1:93" ht="16.350000000000001" customHeight="1" x14ac:dyDescent="0.25">
      <c r="A56" s="8428"/>
      <c r="B56" s="527" t="s">
        <v>1263</v>
      </c>
      <c r="C56" s="1357">
        <f t="shared" si="11"/>
        <v>0</v>
      </c>
      <c r="D56" s="1358">
        <f t="shared" si="22"/>
        <v>0</v>
      </c>
      <c r="E56" s="779">
        <f t="shared" si="22"/>
        <v>0</v>
      </c>
      <c r="F56" s="82"/>
      <c r="G56" s="128"/>
      <c r="H56" s="82"/>
      <c r="I56" s="128"/>
      <c r="J56" s="125"/>
      <c r="K56" s="101"/>
      <c r="L56" s="125"/>
      <c r="M56" s="101"/>
      <c r="N56" s="125"/>
      <c r="O56" s="101"/>
      <c r="P56" s="125"/>
      <c r="Q56" s="101"/>
      <c r="R56" s="125"/>
      <c r="S56" s="101"/>
      <c r="T56" s="125"/>
      <c r="U56" s="101"/>
      <c r="V56" s="125"/>
      <c r="W56" s="101"/>
      <c r="X56" s="125"/>
      <c r="Y56" s="101"/>
      <c r="Z56" s="125"/>
      <c r="AA56" s="101"/>
      <c r="AB56" s="110"/>
      <c r="AC56" s="122"/>
      <c r="AD56" s="722"/>
      <c r="AE56" s="787"/>
      <c r="AF56" s="82"/>
      <c r="AG56" s="85"/>
      <c r="AH56" s="82"/>
      <c r="AI56" s="85"/>
      <c r="AJ56" s="82"/>
      <c r="AK56" s="85"/>
      <c r="AL56" s="503"/>
      <c r="AM56" s="221"/>
      <c r="AN56" s="2546"/>
      <c r="AO56" s="2533"/>
      <c r="AP56" s="1669"/>
      <c r="AQ56" s="86"/>
      <c r="AR56" s="86"/>
      <c r="AS56" s="86"/>
      <c r="AT56" s="86"/>
      <c r="AU56" s="86"/>
      <c r="AV56" s="802"/>
      <c r="AW56" s="802"/>
      <c r="AX56" s="802"/>
      <c r="AY56" s="802"/>
      <c r="AZ56" s="802"/>
      <c r="BA56" s="802"/>
      <c r="BB56" s="802"/>
      <c r="BC56" s="802"/>
      <c r="BD56" s="802"/>
      <c r="BE56" s="802"/>
      <c r="BF56" s="1187"/>
      <c r="BG56" s="1187"/>
      <c r="BX56" s="823"/>
      <c r="CA56" s="1467" t="str">
        <f t="shared" si="12"/>
        <v/>
      </c>
      <c r="CB56" s="1467" t="str">
        <f t="shared" si="13"/>
        <v/>
      </c>
      <c r="CC56" s="1467" t="str">
        <f t="shared" si="14"/>
        <v/>
      </c>
      <c r="CD56" s="1467" t="str">
        <f t="shared" si="15"/>
        <v/>
      </c>
      <c r="CE56" s="1467"/>
      <c r="CF56" s="1467"/>
      <c r="CG56" s="1468">
        <f t="shared" si="17"/>
        <v>0</v>
      </c>
      <c r="CH56" s="1468">
        <f t="shared" si="18"/>
        <v>0</v>
      </c>
      <c r="CI56" s="1468">
        <f t="shared" si="19"/>
        <v>0</v>
      </c>
      <c r="CJ56" s="1468">
        <f t="shared" si="20"/>
        <v>0</v>
      </c>
      <c r="CK56" s="1465"/>
      <c r="CL56" s="1465"/>
      <c r="CM56" s="1465"/>
      <c r="CN56" s="1465"/>
      <c r="CO56" s="1465"/>
    </row>
    <row r="57" spans="1:93" ht="16.350000000000001" customHeight="1" x14ac:dyDescent="0.25">
      <c r="A57" s="8153" t="s">
        <v>2579</v>
      </c>
      <c r="B57" s="773" t="s">
        <v>2583</v>
      </c>
      <c r="C57" s="1353">
        <f t="shared" si="11"/>
        <v>0</v>
      </c>
      <c r="D57" s="1354">
        <f>SUM(J57+L57+N57+P57+R57+T57+V57+X57+Z57+AB57+AD57+AF57+AH57+AJ57+AL57)</f>
        <v>0</v>
      </c>
      <c r="E57" s="782">
        <f>SUM(K57+M57+O57+Q57+S57+U57+W57+Y57+AA57+AC57+AE57+AG57+AI57+AK57+AM57)</f>
        <v>0</v>
      </c>
      <c r="F57" s="786"/>
      <c r="G57" s="564"/>
      <c r="H57" s="786"/>
      <c r="I57" s="564"/>
      <c r="J57" s="520"/>
      <c r="K57" s="756"/>
      <c r="L57" s="520"/>
      <c r="M57" s="756"/>
      <c r="N57" s="520"/>
      <c r="O57" s="756"/>
      <c r="P57" s="520"/>
      <c r="Q57" s="756"/>
      <c r="R57" s="520"/>
      <c r="S57" s="756"/>
      <c r="T57" s="520"/>
      <c r="U57" s="756"/>
      <c r="V57" s="520"/>
      <c r="W57" s="756"/>
      <c r="X57" s="520"/>
      <c r="Y57" s="756"/>
      <c r="Z57" s="520"/>
      <c r="AA57" s="756"/>
      <c r="AB57" s="520"/>
      <c r="AC57" s="756"/>
      <c r="AD57" s="520"/>
      <c r="AE57" s="756"/>
      <c r="AF57" s="520"/>
      <c r="AG57" s="756"/>
      <c r="AH57" s="520"/>
      <c r="AI57" s="756"/>
      <c r="AJ57" s="520"/>
      <c r="AK57" s="756"/>
      <c r="AL57" s="757"/>
      <c r="AM57" s="754"/>
      <c r="AN57" s="2505"/>
      <c r="AO57" s="2927"/>
      <c r="AP57" s="1886"/>
      <c r="AQ57" s="690"/>
      <c r="AR57" s="690"/>
      <c r="AS57" s="690"/>
      <c r="AT57" s="690"/>
      <c r="AU57" s="690"/>
      <c r="AV57" s="802"/>
      <c r="AW57" s="802"/>
      <c r="AX57" s="802"/>
      <c r="AY57" s="802"/>
      <c r="AZ57" s="802"/>
      <c r="BA57" s="802"/>
      <c r="BB57" s="802"/>
      <c r="BC57" s="802"/>
      <c r="BD57" s="802"/>
      <c r="BE57" s="802"/>
      <c r="BF57" s="1187"/>
      <c r="BG57" s="1187"/>
      <c r="BX57" s="823"/>
      <c r="CA57" s="1467" t="str">
        <f t="shared" si="12"/>
        <v/>
      </c>
      <c r="CB57" s="1467" t="str">
        <f t="shared" si="13"/>
        <v/>
      </c>
      <c r="CC57" s="1467" t="str">
        <f t="shared" si="14"/>
        <v/>
      </c>
      <c r="CD57" s="1467" t="str">
        <f t="shared" si="15"/>
        <v/>
      </c>
      <c r="CE57" s="1467"/>
      <c r="CF57" s="1467"/>
      <c r="CG57" s="1468">
        <f t="shared" si="17"/>
        <v>0</v>
      </c>
      <c r="CH57" s="1468">
        <f t="shared" si="18"/>
        <v>0</v>
      </c>
      <c r="CI57" s="1468">
        <f t="shared" si="19"/>
        <v>0</v>
      </c>
      <c r="CJ57" s="1468">
        <f t="shared" si="20"/>
        <v>0</v>
      </c>
      <c r="CK57" s="1465"/>
      <c r="CL57" s="1465"/>
      <c r="CM57" s="1465"/>
      <c r="CN57" s="1465"/>
      <c r="CO57" s="1465"/>
    </row>
    <row r="58" spans="1:93" ht="16.350000000000001" customHeight="1" x14ac:dyDescent="0.25">
      <c r="A58" s="8125"/>
      <c r="B58" s="135" t="s">
        <v>23</v>
      </c>
      <c r="C58" s="323">
        <f t="shared" si="11"/>
        <v>0</v>
      </c>
      <c r="D58" s="324">
        <f t="shared" ref="D58:D63" si="23">SUM(J58+L58+N58+P58+R58+T58+V58+X58+Z58+AB58+AD58+AF58+AH58+AJ58+AL58)</f>
        <v>0</v>
      </c>
      <c r="E58" s="781">
        <f t="shared" ref="E58:E63" si="24">SUM(K58+M58+O58+Q58+S58+U58+W58+Y58+AA58+AC58+AE58+AG58+AI58+AK58+AM58)</f>
        <v>0</v>
      </c>
      <c r="F58" s="93"/>
      <c r="G58" s="170"/>
      <c r="H58" s="93"/>
      <c r="I58" s="170"/>
      <c r="J58" s="110"/>
      <c r="K58" s="122"/>
      <c r="L58" s="110"/>
      <c r="M58" s="122"/>
      <c r="N58" s="110"/>
      <c r="O58" s="122"/>
      <c r="P58" s="110"/>
      <c r="Q58" s="122"/>
      <c r="R58" s="110"/>
      <c r="S58" s="122"/>
      <c r="T58" s="110"/>
      <c r="U58" s="122"/>
      <c r="V58" s="110"/>
      <c r="W58" s="122"/>
      <c r="X58" s="110"/>
      <c r="Y58" s="122"/>
      <c r="Z58" s="110"/>
      <c r="AA58" s="122"/>
      <c r="AB58" s="110"/>
      <c r="AC58" s="122"/>
      <c r="AD58" s="110"/>
      <c r="AE58" s="122"/>
      <c r="AF58" s="110"/>
      <c r="AG58" s="122"/>
      <c r="AH58" s="110"/>
      <c r="AI58" s="122"/>
      <c r="AJ58" s="110"/>
      <c r="AK58" s="122"/>
      <c r="AL58" s="157"/>
      <c r="AM58" s="197"/>
      <c r="AN58" s="2568"/>
      <c r="AO58" s="1828"/>
      <c r="AP58" s="1145"/>
      <c r="AQ58" s="202"/>
      <c r="AR58" s="202"/>
      <c r="AS58" s="202"/>
      <c r="AT58" s="202"/>
      <c r="AU58" s="202"/>
      <c r="AV58" s="802"/>
      <c r="AW58" s="802"/>
      <c r="AX58" s="802"/>
      <c r="AY58" s="802"/>
      <c r="AZ58" s="802"/>
      <c r="BA58" s="802"/>
      <c r="BB58" s="802"/>
      <c r="BC58" s="802"/>
      <c r="BD58" s="802"/>
      <c r="BE58" s="802"/>
      <c r="BF58" s="1187"/>
      <c r="BG58" s="1187"/>
      <c r="BX58" s="823"/>
      <c r="CA58" s="1467" t="str">
        <f t="shared" si="12"/>
        <v/>
      </c>
      <c r="CB58" s="1467" t="str">
        <f t="shared" si="13"/>
        <v/>
      </c>
      <c r="CC58" s="1467" t="str">
        <f t="shared" si="14"/>
        <v/>
      </c>
      <c r="CD58" s="1467" t="str">
        <f t="shared" si="15"/>
        <v/>
      </c>
      <c r="CE58" s="1467"/>
      <c r="CF58" s="1467"/>
      <c r="CG58" s="1468">
        <f t="shared" si="17"/>
        <v>0</v>
      </c>
      <c r="CH58" s="1468">
        <f t="shared" si="18"/>
        <v>0</v>
      </c>
      <c r="CI58" s="1468">
        <f t="shared" si="19"/>
        <v>0</v>
      </c>
      <c r="CJ58" s="1468">
        <f t="shared" si="20"/>
        <v>0</v>
      </c>
      <c r="CK58" s="1465"/>
      <c r="CL58" s="1465"/>
      <c r="CM58" s="1465"/>
      <c r="CN58" s="1465"/>
      <c r="CO58" s="1465"/>
    </row>
    <row r="59" spans="1:93" ht="16.350000000000001" customHeight="1" x14ac:dyDescent="0.25">
      <c r="A59" s="8125"/>
      <c r="B59" s="135" t="s">
        <v>20</v>
      </c>
      <c r="C59" s="323">
        <f t="shared" si="11"/>
        <v>0</v>
      </c>
      <c r="D59" s="324">
        <f t="shared" si="23"/>
        <v>0</v>
      </c>
      <c r="E59" s="781">
        <f t="shared" si="24"/>
        <v>0</v>
      </c>
      <c r="F59" s="93"/>
      <c r="G59" s="170"/>
      <c r="H59" s="93"/>
      <c r="I59" s="170"/>
      <c r="J59" s="110"/>
      <c r="K59" s="122"/>
      <c r="L59" s="110"/>
      <c r="M59" s="122"/>
      <c r="N59" s="110"/>
      <c r="O59" s="122"/>
      <c r="P59" s="110"/>
      <c r="Q59" s="122"/>
      <c r="R59" s="110"/>
      <c r="S59" s="122"/>
      <c r="T59" s="110"/>
      <c r="U59" s="122"/>
      <c r="V59" s="110"/>
      <c r="W59" s="122"/>
      <c r="X59" s="110"/>
      <c r="Y59" s="122"/>
      <c r="Z59" s="110"/>
      <c r="AA59" s="122"/>
      <c r="AB59" s="110"/>
      <c r="AC59" s="122"/>
      <c r="AD59" s="110"/>
      <c r="AE59" s="122"/>
      <c r="AF59" s="110"/>
      <c r="AG59" s="122"/>
      <c r="AH59" s="110"/>
      <c r="AI59" s="122"/>
      <c r="AJ59" s="110"/>
      <c r="AK59" s="122"/>
      <c r="AL59" s="157"/>
      <c r="AM59" s="197"/>
      <c r="AN59" s="2568"/>
      <c r="AO59" s="2915"/>
      <c r="AP59" s="1881"/>
      <c r="AQ59" s="123"/>
      <c r="AR59" s="123"/>
      <c r="AS59" s="123"/>
      <c r="AT59" s="123"/>
      <c r="AU59" s="123"/>
      <c r="AV59" s="802"/>
      <c r="AW59" s="802"/>
      <c r="AX59" s="802"/>
      <c r="AY59" s="802"/>
      <c r="AZ59" s="802"/>
      <c r="BA59" s="802"/>
      <c r="BB59" s="802"/>
      <c r="BC59" s="802"/>
      <c r="BD59" s="802"/>
      <c r="BE59" s="802"/>
      <c r="BF59" s="1187"/>
      <c r="BG59" s="1187"/>
      <c r="BX59" s="823"/>
      <c r="CA59" s="1467" t="str">
        <f t="shared" si="12"/>
        <v/>
      </c>
      <c r="CB59" s="1467" t="str">
        <f t="shared" si="13"/>
        <v/>
      </c>
      <c r="CC59" s="1467" t="str">
        <f t="shared" si="14"/>
        <v/>
      </c>
      <c r="CD59" s="1467" t="str">
        <f t="shared" si="15"/>
        <v/>
      </c>
      <c r="CE59" s="1467"/>
      <c r="CF59" s="1467"/>
      <c r="CG59" s="1468">
        <f t="shared" si="17"/>
        <v>0</v>
      </c>
      <c r="CH59" s="1468">
        <f t="shared" si="18"/>
        <v>0</v>
      </c>
      <c r="CI59" s="1468">
        <f t="shared" si="19"/>
        <v>0</v>
      </c>
      <c r="CJ59" s="1468">
        <f t="shared" si="20"/>
        <v>0</v>
      </c>
      <c r="CK59" s="1465"/>
      <c r="CL59" s="1465"/>
      <c r="CM59" s="1465"/>
      <c r="CN59" s="1465"/>
      <c r="CO59" s="1465"/>
    </row>
    <row r="60" spans="1:93" ht="16.350000000000001" customHeight="1" x14ac:dyDescent="0.25">
      <c r="A60" s="8125"/>
      <c r="B60" s="135" t="s">
        <v>2590</v>
      </c>
      <c r="C60" s="323">
        <f t="shared" si="11"/>
        <v>0</v>
      </c>
      <c r="D60" s="324">
        <f t="shared" si="23"/>
        <v>0</v>
      </c>
      <c r="E60" s="781">
        <f t="shared" si="24"/>
        <v>0</v>
      </c>
      <c r="F60" s="93"/>
      <c r="G60" s="170"/>
      <c r="H60" s="93"/>
      <c r="I60" s="170"/>
      <c r="J60" s="110"/>
      <c r="K60" s="122"/>
      <c r="L60" s="110"/>
      <c r="M60" s="122"/>
      <c r="N60" s="110"/>
      <c r="O60" s="122"/>
      <c r="P60" s="110"/>
      <c r="Q60" s="122"/>
      <c r="R60" s="110"/>
      <c r="S60" s="122"/>
      <c r="T60" s="110"/>
      <c r="U60" s="122"/>
      <c r="V60" s="110"/>
      <c r="W60" s="122"/>
      <c r="X60" s="110"/>
      <c r="Y60" s="122"/>
      <c r="Z60" s="110"/>
      <c r="AA60" s="122"/>
      <c r="AB60" s="110"/>
      <c r="AC60" s="122"/>
      <c r="AD60" s="110"/>
      <c r="AE60" s="122"/>
      <c r="AF60" s="110"/>
      <c r="AG60" s="122"/>
      <c r="AH60" s="110"/>
      <c r="AI60" s="122"/>
      <c r="AJ60" s="110"/>
      <c r="AK60" s="122"/>
      <c r="AL60" s="157"/>
      <c r="AM60" s="197"/>
      <c r="AN60" s="2568"/>
      <c r="AO60" s="2915"/>
      <c r="AP60" s="1881"/>
      <c r="AQ60" s="123"/>
      <c r="AR60" s="123"/>
      <c r="AS60" s="123"/>
      <c r="AT60" s="123"/>
      <c r="AU60" s="123"/>
      <c r="AV60" s="802"/>
      <c r="AW60" s="802"/>
      <c r="AX60" s="802"/>
      <c r="AY60" s="802"/>
      <c r="AZ60" s="802"/>
      <c r="BA60" s="802"/>
      <c r="BB60" s="802"/>
      <c r="BC60" s="802"/>
      <c r="BD60" s="802"/>
      <c r="BE60" s="802"/>
      <c r="BF60" s="1187"/>
      <c r="BG60" s="1187"/>
      <c r="BX60" s="823"/>
      <c r="CA60" s="1467" t="str">
        <f t="shared" si="12"/>
        <v/>
      </c>
      <c r="CB60" s="1467" t="str">
        <f t="shared" si="13"/>
        <v/>
      </c>
      <c r="CC60" s="1467" t="str">
        <f t="shared" si="14"/>
        <v/>
      </c>
      <c r="CD60" s="1467" t="str">
        <f t="shared" si="15"/>
        <v/>
      </c>
      <c r="CE60" s="1467"/>
      <c r="CF60" s="1467"/>
      <c r="CG60" s="1468">
        <f t="shared" si="17"/>
        <v>0</v>
      </c>
      <c r="CH60" s="1468">
        <f t="shared" si="18"/>
        <v>0</v>
      </c>
      <c r="CI60" s="1468">
        <f t="shared" si="19"/>
        <v>0</v>
      </c>
      <c r="CJ60" s="1468">
        <f t="shared" si="20"/>
        <v>0</v>
      </c>
      <c r="CK60" s="1465"/>
      <c r="CL60" s="1465"/>
      <c r="CM60" s="1465"/>
      <c r="CN60" s="1465"/>
      <c r="CO60" s="1465"/>
    </row>
    <row r="61" spans="1:93" ht="16.350000000000001" customHeight="1" x14ac:dyDescent="0.25">
      <c r="A61" s="8125"/>
      <c r="B61" s="135" t="s">
        <v>1265</v>
      </c>
      <c r="C61" s="323">
        <f t="shared" si="11"/>
        <v>0</v>
      </c>
      <c r="D61" s="324">
        <f t="shared" si="23"/>
        <v>0</v>
      </c>
      <c r="E61" s="781">
        <f t="shared" si="24"/>
        <v>0</v>
      </c>
      <c r="F61" s="93"/>
      <c r="G61" s="170"/>
      <c r="H61" s="93"/>
      <c r="I61" s="170"/>
      <c r="J61" s="110"/>
      <c r="K61" s="122"/>
      <c r="L61" s="110"/>
      <c r="M61" s="122"/>
      <c r="N61" s="110"/>
      <c r="O61" s="122"/>
      <c r="P61" s="110"/>
      <c r="Q61" s="122"/>
      <c r="R61" s="110"/>
      <c r="S61" s="122"/>
      <c r="T61" s="110"/>
      <c r="U61" s="122"/>
      <c r="V61" s="110"/>
      <c r="W61" s="122"/>
      <c r="X61" s="110"/>
      <c r="Y61" s="122"/>
      <c r="Z61" s="110"/>
      <c r="AA61" s="122"/>
      <c r="AB61" s="110"/>
      <c r="AC61" s="122"/>
      <c r="AD61" s="110"/>
      <c r="AE61" s="122"/>
      <c r="AF61" s="110"/>
      <c r="AG61" s="122"/>
      <c r="AH61" s="110"/>
      <c r="AI61" s="122"/>
      <c r="AJ61" s="110"/>
      <c r="AK61" s="122"/>
      <c r="AL61" s="157"/>
      <c r="AM61" s="197"/>
      <c r="AN61" s="2568"/>
      <c r="AO61" s="2915"/>
      <c r="AP61" s="1881"/>
      <c r="AQ61" s="123"/>
      <c r="AR61" s="123"/>
      <c r="AS61" s="123"/>
      <c r="AT61" s="123"/>
      <c r="AU61" s="123"/>
      <c r="AV61" s="802"/>
      <c r="AW61" s="802"/>
      <c r="AX61" s="802"/>
      <c r="AY61" s="802"/>
      <c r="AZ61" s="802"/>
      <c r="BA61" s="802"/>
      <c r="BB61" s="802"/>
      <c r="BC61" s="802"/>
      <c r="BD61" s="802"/>
      <c r="BE61" s="802"/>
      <c r="BF61" s="1187"/>
      <c r="BG61" s="1187"/>
      <c r="BX61" s="823"/>
      <c r="CA61" s="1467" t="str">
        <f t="shared" si="12"/>
        <v/>
      </c>
      <c r="CB61" s="1467" t="str">
        <f t="shared" si="13"/>
        <v/>
      </c>
      <c r="CC61" s="1467" t="str">
        <f t="shared" si="14"/>
        <v/>
      </c>
      <c r="CD61" s="1467" t="str">
        <f t="shared" si="15"/>
        <v/>
      </c>
      <c r="CE61" s="1467"/>
      <c r="CF61" s="1467"/>
      <c r="CG61" s="1468">
        <f t="shared" si="17"/>
        <v>0</v>
      </c>
      <c r="CH61" s="1468">
        <f t="shared" si="18"/>
        <v>0</v>
      </c>
      <c r="CI61" s="1468">
        <f t="shared" si="19"/>
        <v>0</v>
      </c>
      <c r="CJ61" s="1468">
        <f t="shared" si="20"/>
        <v>0</v>
      </c>
      <c r="CK61" s="1465"/>
      <c r="CL61" s="1465"/>
      <c r="CM61" s="1465"/>
      <c r="CN61" s="1465"/>
      <c r="CO61" s="1465"/>
    </row>
    <row r="62" spans="1:93" ht="16.350000000000001" customHeight="1" x14ac:dyDescent="0.25">
      <c r="A62" s="8125"/>
      <c r="B62" s="109" t="s">
        <v>1264</v>
      </c>
      <c r="C62" s="278">
        <f t="shared" si="11"/>
        <v>0</v>
      </c>
      <c r="D62" s="324">
        <f t="shared" si="23"/>
        <v>0</v>
      </c>
      <c r="E62" s="780">
        <f t="shared" si="24"/>
        <v>0</v>
      </c>
      <c r="F62" s="93"/>
      <c r="G62" s="170"/>
      <c r="H62" s="93"/>
      <c r="I62" s="170"/>
      <c r="J62" s="137"/>
      <c r="K62" s="138"/>
      <c r="L62" s="137"/>
      <c r="M62" s="138"/>
      <c r="N62" s="137"/>
      <c r="O62" s="138"/>
      <c r="P62" s="137"/>
      <c r="Q62" s="138"/>
      <c r="R62" s="137"/>
      <c r="S62" s="138"/>
      <c r="T62" s="137"/>
      <c r="U62" s="138"/>
      <c r="V62" s="137"/>
      <c r="W62" s="138"/>
      <c r="X62" s="137"/>
      <c r="Y62" s="138"/>
      <c r="Z62" s="137"/>
      <c r="AA62" s="138"/>
      <c r="AB62" s="137"/>
      <c r="AC62" s="138"/>
      <c r="AD62" s="137"/>
      <c r="AE62" s="138"/>
      <c r="AF62" s="137"/>
      <c r="AG62" s="138"/>
      <c r="AH62" s="137"/>
      <c r="AI62" s="138"/>
      <c r="AJ62" s="137"/>
      <c r="AK62" s="138"/>
      <c r="AL62" s="161"/>
      <c r="AM62" s="260"/>
      <c r="AN62" s="2568"/>
      <c r="AO62" s="2852"/>
      <c r="AP62" s="1844"/>
      <c r="AQ62" s="97"/>
      <c r="AR62" s="97"/>
      <c r="AS62" s="97"/>
      <c r="AT62" s="97"/>
      <c r="AU62" s="97"/>
      <c r="AV62" s="802"/>
      <c r="AW62" s="802"/>
      <c r="AX62" s="802"/>
      <c r="AY62" s="802"/>
      <c r="AZ62" s="802"/>
      <c r="BA62" s="802"/>
      <c r="BB62" s="802"/>
      <c r="BC62" s="802"/>
      <c r="BD62" s="802"/>
      <c r="BE62" s="802"/>
      <c r="BF62" s="1187"/>
      <c r="BG62" s="1187"/>
      <c r="BX62" s="823"/>
      <c r="CA62" s="1467" t="str">
        <f t="shared" si="12"/>
        <v/>
      </c>
      <c r="CB62" s="1467" t="str">
        <f t="shared" si="13"/>
        <v/>
      </c>
      <c r="CC62" s="1467" t="str">
        <f t="shared" si="14"/>
        <v/>
      </c>
      <c r="CD62" s="1467" t="str">
        <f t="shared" si="15"/>
        <v/>
      </c>
      <c r="CE62" s="1467"/>
      <c r="CF62" s="1467"/>
      <c r="CG62" s="1468">
        <f t="shared" si="17"/>
        <v>0</v>
      </c>
      <c r="CH62" s="1468">
        <f t="shared" si="18"/>
        <v>0</v>
      </c>
      <c r="CI62" s="1468">
        <f t="shared" si="19"/>
        <v>0</v>
      </c>
      <c r="CJ62" s="1468">
        <f t="shared" si="20"/>
        <v>0</v>
      </c>
      <c r="CK62" s="1465"/>
      <c r="CL62" s="1465"/>
      <c r="CM62" s="1465"/>
      <c r="CN62" s="1465"/>
      <c r="CO62" s="1465"/>
    </row>
    <row r="63" spans="1:93" ht="16.350000000000001" customHeight="1" x14ac:dyDescent="0.25">
      <c r="A63" s="8428"/>
      <c r="B63" s="527" t="s">
        <v>1263</v>
      </c>
      <c r="C63" s="1357">
        <f t="shared" si="11"/>
        <v>0</v>
      </c>
      <c r="D63" s="1358">
        <f t="shared" si="23"/>
        <v>0</v>
      </c>
      <c r="E63" s="779">
        <f t="shared" si="24"/>
        <v>0</v>
      </c>
      <c r="F63" s="82"/>
      <c r="G63" s="128"/>
      <c r="H63" s="82"/>
      <c r="I63" s="128"/>
      <c r="J63" s="125"/>
      <c r="K63" s="101"/>
      <c r="L63" s="125"/>
      <c r="M63" s="101"/>
      <c r="N63" s="125"/>
      <c r="O63" s="101"/>
      <c r="P63" s="125"/>
      <c r="Q63" s="101"/>
      <c r="R63" s="125"/>
      <c r="S63" s="101"/>
      <c r="T63" s="125"/>
      <c r="U63" s="101"/>
      <c r="V63" s="125"/>
      <c r="W63" s="101"/>
      <c r="X63" s="125"/>
      <c r="Y63" s="101"/>
      <c r="Z63" s="125"/>
      <c r="AA63" s="101"/>
      <c r="AB63" s="125"/>
      <c r="AC63" s="101"/>
      <c r="AD63" s="125"/>
      <c r="AE63" s="101"/>
      <c r="AF63" s="125"/>
      <c r="AG63" s="101"/>
      <c r="AH63" s="125"/>
      <c r="AI63" s="101"/>
      <c r="AJ63" s="125"/>
      <c r="AK63" s="101"/>
      <c r="AL63" s="159"/>
      <c r="AM63" s="198"/>
      <c r="AN63" s="2546"/>
      <c r="AO63" s="2533"/>
      <c r="AP63" s="1669"/>
      <c r="AQ63" s="86"/>
      <c r="AR63" s="86"/>
      <c r="AS63" s="86"/>
      <c r="AT63" s="86"/>
      <c r="AU63" s="86"/>
      <c r="AV63" s="802"/>
      <c r="AW63" s="802"/>
      <c r="AX63" s="802"/>
      <c r="AY63" s="802"/>
      <c r="AZ63" s="802"/>
      <c r="BA63" s="802"/>
      <c r="BB63" s="802"/>
      <c r="BC63" s="802"/>
      <c r="BD63" s="802"/>
      <c r="BE63" s="802"/>
      <c r="BF63" s="1187"/>
      <c r="BG63" s="1187"/>
      <c r="BX63" s="823"/>
      <c r="CA63" s="1467" t="str">
        <f t="shared" si="12"/>
        <v/>
      </c>
      <c r="CB63" s="1467" t="str">
        <f t="shared" si="13"/>
        <v/>
      </c>
      <c r="CC63" s="1467" t="str">
        <f t="shared" si="14"/>
        <v/>
      </c>
      <c r="CD63" s="1467" t="str">
        <f t="shared" si="15"/>
        <v/>
      </c>
      <c r="CE63" s="1467"/>
      <c r="CF63" s="1467"/>
      <c r="CG63" s="1468">
        <f t="shared" si="17"/>
        <v>0</v>
      </c>
      <c r="CH63" s="1468">
        <f t="shared" si="18"/>
        <v>0</v>
      </c>
      <c r="CI63" s="1468">
        <f t="shared" si="19"/>
        <v>0</v>
      </c>
      <c r="CJ63" s="1468">
        <f t="shared" si="20"/>
        <v>0</v>
      </c>
      <c r="CK63" s="1465"/>
      <c r="CL63" s="1465"/>
      <c r="CM63" s="1465"/>
      <c r="CN63" s="1465"/>
      <c r="CO63" s="1465"/>
    </row>
    <row r="64" spans="1:93" ht="16.350000000000001" customHeight="1" x14ac:dyDescent="0.25">
      <c r="A64" s="8153" t="s">
        <v>2578</v>
      </c>
      <c r="B64" s="773" t="s">
        <v>3748</v>
      </c>
      <c r="C64" s="1884">
        <f>SUM(D64+E64)</f>
        <v>0</v>
      </c>
      <c r="D64" s="1972"/>
      <c r="E64" s="782">
        <f>SUM(K64+M64+O64+Q64+S64+U64+W64+Y64+AA64+AC64)</f>
        <v>0</v>
      </c>
      <c r="F64" s="786"/>
      <c r="G64" s="564"/>
      <c r="H64" s="786"/>
      <c r="I64" s="564"/>
      <c r="J64" s="786"/>
      <c r="K64" s="756"/>
      <c r="L64" s="786"/>
      <c r="M64" s="756"/>
      <c r="N64" s="786"/>
      <c r="O64" s="756"/>
      <c r="P64" s="786"/>
      <c r="Q64" s="756"/>
      <c r="R64" s="786"/>
      <c r="S64" s="756"/>
      <c r="T64" s="786"/>
      <c r="U64" s="756"/>
      <c r="V64" s="786"/>
      <c r="W64" s="756"/>
      <c r="X64" s="786"/>
      <c r="Y64" s="756"/>
      <c r="Z64" s="786"/>
      <c r="AA64" s="756"/>
      <c r="AB64" s="786"/>
      <c r="AC64" s="138"/>
      <c r="AD64" s="763"/>
      <c r="AE64" s="764"/>
      <c r="AF64" s="694"/>
      <c r="AG64" s="710"/>
      <c r="AH64" s="694"/>
      <c r="AI64" s="710"/>
      <c r="AJ64" s="694"/>
      <c r="AK64" s="710"/>
      <c r="AL64" s="785"/>
      <c r="AM64" s="693"/>
      <c r="AN64" s="2505"/>
      <c r="AO64" s="2927"/>
      <c r="AP64" s="1886"/>
      <c r="AQ64" s="690"/>
      <c r="AR64" s="690"/>
      <c r="AS64" s="690"/>
      <c r="AT64" s="690"/>
      <c r="AU64" s="690"/>
      <c r="AV64" s="802"/>
      <c r="AW64" s="802"/>
      <c r="AX64" s="802"/>
      <c r="AY64" s="802"/>
      <c r="AZ64" s="802"/>
      <c r="BA64" s="802"/>
      <c r="BB64" s="802"/>
      <c r="BC64" s="802"/>
      <c r="BD64" s="802"/>
      <c r="BE64" s="802"/>
      <c r="BF64" s="1187"/>
      <c r="BG64" s="1187"/>
      <c r="BX64" s="823"/>
      <c r="CA64" s="1467" t="str">
        <f t="shared" si="12"/>
        <v/>
      </c>
      <c r="CB64" s="1467" t="str">
        <f t="shared" si="13"/>
        <v/>
      </c>
      <c r="CC64" s="1467" t="str">
        <f t="shared" si="14"/>
        <v/>
      </c>
      <c r="CD64" s="1467" t="str">
        <f t="shared" si="15"/>
        <v/>
      </c>
      <c r="CE64" s="1467"/>
      <c r="CF64" s="1467"/>
      <c r="CG64" s="1468">
        <f t="shared" si="17"/>
        <v>0</v>
      </c>
      <c r="CH64" s="1468">
        <f t="shared" si="18"/>
        <v>0</v>
      </c>
      <c r="CI64" s="1468">
        <f t="shared" si="19"/>
        <v>0</v>
      </c>
      <c r="CJ64" s="1468">
        <f t="shared" si="20"/>
        <v>0</v>
      </c>
      <c r="CK64" s="1465"/>
      <c r="CL64" s="1465"/>
      <c r="CM64" s="1465"/>
      <c r="CN64" s="1465"/>
      <c r="CO64" s="1465"/>
    </row>
    <row r="65" spans="1:105" ht="16.350000000000001" customHeight="1" x14ac:dyDescent="0.25">
      <c r="A65" s="8125"/>
      <c r="B65" s="502" t="s">
        <v>3749</v>
      </c>
      <c r="C65" s="1973">
        <f t="shared" si="11"/>
        <v>0</v>
      </c>
      <c r="D65" s="1769"/>
      <c r="E65" s="780">
        <f>SUM(K65+M65+O65+Q65+S65+U65+W65+Y65+AA65+AC65)</f>
        <v>0</v>
      </c>
      <c r="F65" s="93"/>
      <c r="G65" s="170"/>
      <c r="H65" s="93"/>
      <c r="I65" s="170"/>
      <c r="J65" s="93"/>
      <c r="K65" s="122"/>
      <c r="L65" s="93"/>
      <c r="M65" s="122"/>
      <c r="N65" s="93"/>
      <c r="O65" s="122"/>
      <c r="P65" s="93"/>
      <c r="Q65" s="122"/>
      <c r="R65" s="93"/>
      <c r="S65" s="122"/>
      <c r="T65" s="93"/>
      <c r="U65" s="122"/>
      <c r="V65" s="93"/>
      <c r="W65" s="122"/>
      <c r="X65" s="93"/>
      <c r="Y65" s="122"/>
      <c r="Z65" s="93"/>
      <c r="AA65" s="122"/>
      <c r="AB65" s="93"/>
      <c r="AC65" s="138"/>
      <c r="AD65" s="763"/>
      <c r="AE65" s="764"/>
      <c r="AF65" s="131"/>
      <c r="AG65" s="121"/>
      <c r="AH65" s="131"/>
      <c r="AI65" s="121"/>
      <c r="AJ65" s="131"/>
      <c r="AK65" s="121"/>
      <c r="AL65" s="504"/>
      <c r="AM65" s="240"/>
      <c r="AN65" s="2568"/>
      <c r="AO65" s="2915"/>
      <c r="AP65" s="1881"/>
      <c r="AQ65" s="123"/>
      <c r="AR65" s="123"/>
      <c r="AS65" s="123"/>
      <c r="AT65" s="123"/>
      <c r="AU65" s="123"/>
      <c r="AV65" s="802"/>
      <c r="AW65" s="802"/>
      <c r="AX65" s="802"/>
      <c r="AY65" s="802"/>
      <c r="AZ65" s="802"/>
      <c r="BA65" s="802"/>
      <c r="BB65" s="802"/>
      <c r="BC65" s="802"/>
      <c r="BD65" s="802"/>
      <c r="BE65" s="802"/>
      <c r="BF65" s="1187"/>
      <c r="BG65" s="1187"/>
      <c r="BX65" s="823"/>
      <c r="CA65" s="1467" t="str">
        <f t="shared" si="12"/>
        <v/>
      </c>
      <c r="CB65" s="1467" t="str">
        <f t="shared" si="13"/>
        <v/>
      </c>
      <c r="CC65" s="1467" t="str">
        <f t="shared" si="14"/>
        <v/>
      </c>
      <c r="CD65" s="1467" t="str">
        <f t="shared" si="15"/>
        <v/>
      </c>
      <c r="CE65" s="1467"/>
      <c r="CF65" s="1467"/>
      <c r="CG65" s="1468">
        <f t="shared" si="17"/>
        <v>0</v>
      </c>
      <c r="CH65" s="1468">
        <f t="shared" si="18"/>
        <v>0</v>
      </c>
      <c r="CI65" s="1468">
        <f t="shared" si="19"/>
        <v>0</v>
      </c>
      <c r="CJ65" s="1468">
        <f t="shared" si="20"/>
        <v>0</v>
      </c>
      <c r="CK65" s="1465"/>
      <c r="CL65" s="1465"/>
      <c r="CM65" s="1465"/>
      <c r="CN65" s="1465"/>
      <c r="CO65" s="1465"/>
    </row>
    <row r="66" spans="1:105" ht="16.350000000000001" customHeight="1" x14ac:dyDescent="0.25">
      <c r="A66" s="8125"/>
      <c r="B66" s="502" t="s">
        <v>2597</v>
      </c>
      <c r="C66" s="1973">
        <f>SUM(D66+E66)</f>
        <v>0</v>
      </c>
      <c r="D66" s="1889"/>
      <c r="E66" s="780">
        <f>SUM(K66+M66+O66+Q66+S66+U66+W66+Y66+AA66+AC66)</f>
        <v>0</v>
      </c>
      <c r="F66" s="131"/>
      <c r="G66" s="132"/>
      <c r="H66" s="131"/>
      <c r="I66" s="132"/>
      <c r="J66" s="131"/>
      <c r="K66" s="122"/>
      <c r="L66" s="131"/>
      <c r="M66" s="122"/>
      <c r="N66" s="131"/>
      <c r="O66" s="122"/>
      <c r="P66" s="131"/>
      <c r="Q66" s="122"/>
      <c r="R66" s="131"/>
      <c r="S66" s="122"/>
      <c r="T66" s="131"/>
      <c r="U66" s="122"/>
      <c r="V66" s="131"/>
      <c r="W66" s="122"/>
      <c r="X66" s="131"/>
      <c r="Y66" s="122"/>
      <c r="Z66" s="131"/>
      <c r="AA66" s="122"/>
      <c r="AB66" s="131"/>
      <c r="AC66" s="138"/>
      <c r="AD66" s="763"/>
      <c r="AE66" s="764"/>
      <c r="AF66" s="131"/>
      <c r="AG66" s="121"/>
      <c r="AH66" s="131"/>
      <c r="AI66" s="121"/>
      <c r="AJ66" s="131"/>
      <c r="AK66" s="121"/>
      <c r="AL66" s="504"/>
      <c r="AM66" s="240"/>
      <c r="AN66" s="2568"/>
      <c r="AO66" s="2852"/>
      <c r="AP66" s="1844"/>
      <c r="AQ66" s="97"/>
      <c r="AR66" s="97"/>
      <c r="AS66" s="97"/>
      <c r="AT66" s="97"/>
      <c r="AU66" s="97"/>
      <c r="AV66" s="802"/>
      <c r="AW66" s="802"/>
      <c r="AX66" s="802"/>
      <c r="AY66" s="802"/>
      <c r="AZ66" s="802"/>
      <c r="BA66" s="802"/>
      <c r="BB66" s="802"/>
      <c r="BC66" s="802"/>
      <c r="BD66" s="802"/>
      <c r="BE66" s="802"/>
      <c r="BF66" s="1187"/>
      <c r="BG66" s="1187"/>
      <c r="BX66" s="823"/>
      <c r="CA66" s="1467" t="str">
        <f>IF(CG66=1,"* No olvide digitar la columna Trans y/o Pueblos Originarios y/o Migrantes y/o Población SENAME (Digite Cero si no tiene). ","")</f>
        <v/>
      </c>
      <c r="CB66" s="1467" t="str">
        <f>IF(CH66=1,"* El número de Trans y/o Pueblos Originarios y/o Migrantes y/o Población SENAME NO DEBE ser mayor que el Total. ","")</f>
        <v/>
      </c>
      <c r="CC66" s="1467" t="str">
        <f>IF(CI66=1,"* Las consejerías realizadas en Espacios amigables NO DEBEN ser mayor al Total. ","")</f>
        <v/>
      </c>
      <c r="CD66" s="1467" t="str">
        <f>IF(CJ66=1,"* La columna 14-18 AÑOS no puede ser mayor al total por grupo edad de 10 a 19 años. ","")</f>
        <v/>
      </c>
      <c r="CE66" s="1467"/>
      <c r="CF66" s="1467"/>
      <c r="CG66" s="1468">
        <f t="shared" si="17"/>
        <v>0</v>
      </c>
      <c r="CH66" s="1468">
        <f t="shared" si="18"/>
        <v>0</v>
      </c>
      <c r="CI66" s="1468">
        <f t="shared" si="19"/>
        <v>0</v>
      </c>
      <c r="CJ66" s="1468">
        <f t="shared" si="20"/>
        <v>0</v>
      </c>
      <c r="CK66" s="1465"/>
      <c r="CL66" s="1465"/>
      <c r="CM66" s="1465"/>
      <c r="CN66" s="1465"/>
      <c r="CO66" s="1465"/>
    </row>
    <row r="67" spans="1:105" ht="16.350000000000001" customHeight="1" x14ac:dyDescent="0.25">
      <c r="A67" s="8125"/>
      <c r="B67" s="502" t="s">
        <v>1267</v>
      </c>
      <c r="C67" s="1887">
        <f>SUM(D67+E67)</f>
        <v>0</v>
      </c>
      <c r="D67" s="1769"/>
      <c r="E67" s="780">
        <f>SUM(K67+M67+O67+Q67+S67+U67+W67+Y67+AA67+AC67)</f>
        <v>0</v>
      </c>
      <c r="F67" s="93"/>
      <c r="G67" s="170"/>
      <c r="H67" s="93"/>
      <c r="I67" s="170"/>
      <c r="J67" s="93"/>
      <c r="K67" s="138"/>
      <c r="L67" s="93"/>
      <c r="M67" s="138"/>
      <c r="N67" s="93"/>
      <c r="O67" s="138"/>
      <c r="P67" s="93"/>
      <c r="Q67" s="138"/>
      <c r="R67" s="93"/>
      <c r="S67" s="138"/>
      <c r="T67" s="93"/>
      <c r="U67" s="138"/>
      <c r="V67" s="93"/>
      <c r="W67" s="138"/>
      <c r="X67" s="93"/>
      <c r="Y67" s="138"/>
      <c r="Z67" s="93"/>
      <c r="AA67" s="138"/>
      <c r="AB67" s="93"/>
      <c r="AC67" s="138"/>
      <c r="AD67" s="763"/>
      <c r="AE67" s="764"/>
      <c r="AF67" s="131"/>
      <c r="AG67" s="121"/>
      <c r="AH67" s="131"/>
      <c r="AI67" s="121"/>
      <c r="AJ67" s="131"/>
      <c r="AK67" s="121"/>
      <c r="AL67" s="504"/>
      <c r="AM67" s="240"/>
      <c r="AN67" s="2568"/>
      <c r="AO67" s="2852"/>
      <c r="AP67" s="1844"/>
      <c r="AQ67" s="97"/>
      <c r="AR67" s="97"/>
      <c r="AS67" s="97"/>
      <c r="AT67" s="97"/>
      <c r="AU67" s="97"/>
      <c r="AV67" s="802"/>
      <c r="AW67" s="802"/>
      <c r="AX67" s="802"/>
      <c r="AY67" s="802"/>
      <c r="AZ67" s="802"/>
      <c r="BA67" s="802"/>
      <c r="BB67" s="802"/>
      <c r="BC67" s="802"/>
      <c r="BD67" s="802"/>
      <c r="BE67" s="802"/>
      <c r="BF67" s="1187"/>
      <c r="BG67" s="1187"/>
      <c r="BX67" s="823"/>
      <c r="CA67" s="1467" t="str">
        <f>IF(CG67=1,"* No olvide digitar la columna Trans y/o Pueblos Originarios y/o Migrantes y/o Población SENAME (Digite Cero si no tiene). ","")</f>
        <v/>
      </c>
      <c r="CB67" s="1467" t="str">
        <f>IF(CH67=1,"* El número de Trans y/o Pueblos Originarios y/o Migrantes y/o Población SENAME NO DEBE ser mayor que el Total. ","")</f>
        <v/>
      </c>
      <c r="CC67" s="1467" t="str">
        <f>IF(CI67=1,"* Las consejerías realizadas en Espacios amigables NO DEBEN ser mayor al Total. ","")</f>
        <v/>
      </c>
      <c r="CD67" s="1467" t="str">
        <f>IF(CJ67=1,"* La columna 14-18 AÑOS no puede ser mayor al total por grupo edad de 10 a 19 años. ","")</f>
        <v/>
      </c>
      <c r="CE67" s="1467"/>
      <c r="CF67" s="1467"/>
      <c r="CG67" s="1468">
        <f t="shared" si="17"/>
        <v>0</v>
      </c>
      <c r="CH67" s="1468">
        <f t="shared" si="18"/>
        <v>0</v>
      </c>
      <c r="CI67" s="1468">
        <f t="shared" si="19"/>
        <v>0</v>
      </c>
      <c r="CJ67" s="1468">
        <f t="shared" si="20"/>
        <v>0</v>
      </c>
      <c r="CK67" s="1465"/>
      <c r="CL67" s="1465"/>
      <c r="CM67" s="1465"/>
      <c r="CN67" s="1465"/>
      <c r="CO67" s="1465"/>
    </row>
    <row r="68" spans="1:105" ht="16.350000000000001" customHeight="1" x14ac:dyDescent="0.25">
      <c r="A68" s="8125"/>
      <c r="B68" s="1522" t="s">
        <v>1264</v>
      </c>
      <c r="C68" s="1688">
        <f>SUM(D68+E68)</f>
        <v>0</v>
      </c>
      <c r="D68" s="1767"/>
      <c r="E68" s="779">
        <f>SUM(K68+M68+O68+Q68+S68+U68+W68+Y68+AA68+AC68)</f>
        <v>0</v>
      </c>
      <c r="F68" s="82"/>
      <c r="G68" s="128"/>
      <c r="H68" s="82"/>
      <c r="I68" s="128"/>
      <c r="J68" s="82"/>
      <c r="K68" s="101"/>
      <c r="L68" s="82"/>
      <c r="M68" s="1337"/>
      <c r="N68" s="82"/>
      <c r="O68" s="1337"/>
      <c r="P68" s="82"/>
      <c r="Q68" s="1337"/>
      <c r="R68" s="82"/>
      <c r="S68" s="1337"/>
      <c r="T68" s="82"/>
      <c r="U68" s="1337"/>
      <c r="V68" s="82"/>
      <c r="W68" s="1337"/>
      <c r="X68" s="82"/>
      <c r="Y68" s="1337"/>
      <c r="Z68" s="82"/>
      <c r="AA68" s="1337"/>
      <c r="AB68" s="82"/>
      <c r="AC68" s="1337"/>
      <c r="AD68" s="784"/>
      <c r="AE68" s="783"/>
      <c r="AF68" s="82"/>
      <c r="AG68" s="85"/>
      <c r="AH68" s="82"/>
      <c r="AI68" s="85"/>
      <c r="AJ68" s="82"/>
      <c r="AK68" s="85"/>
      <c r="AL68" s="503"/>
      <c r="AM68" s="221"/>
      <c r="AN68" s="2546"/>
      <c r="AO68" s="2533"/>
      <c r="AP68" s="1669"/>
      <c r="AQ68" s="86"/>
      <c r="AR68" s="86"/>
      <c r="AS68" s="86"/>
      <c r="AT68" s="86"/>
      <c r="AU68" s="86"/>
      <c r="AV68" s="802"/>
      <c r="AW68" s="802"/>
      <c r="AX68" s="802"/>
      <c r="AY68" s="802"/>
      <c r="AZ68" s="802"/>
      <c r="BA68" s="802"/>
      <c r="BB68" s="802"/>
      <c r="BC68" s="802"/>
      <c r="BD68" s="802"/>
      <c r="BE68" s="802"/>
      <c r="BF68" s="1187"/>
      <c r="BG68" s="1187"/>
      <c r="BX68" s="823"/>
      <c r="CA68" s="1467" t="str">
        <f>IF(CG68=1,"* No olvide digitar la columna Trans y/o Pueblos Originarios y/o Migrantes y/o Población SENAME (Digite Cero si no tiene). ","")</f>
        <v/>
      </c>
      <c r="CB68" s="1467" t="str">
        <f>IF(CH68=1,"* El número de Trans y/o Pueblos Originarios y/o Migrantes y/o Población SENAME NO DEBE ser mayor que el Total. ","")</f>
        <v/>
      </c>
      <c r="CC68" s="1467" t="str">
        <f>IF(CI68=1,"* Las consejerías realizadas en Espacios amigables NO DEBEN ser mayor al Total. ","")</f>
        <v/>
      </c>
      <c r="CD68" s="1467" t="str">
        <f>IF(CJ68=1,"* La columna 14-18 AÑOS no puede ser mayor al total por grupo edad de 10 a 19 años. ","")</f>
        <v/>
      </c>
      <c r="CE68" s="1467"/>
      <c r="CF68" s="1467"/>
      <c r="CG68" s="1468">
        <f t="shared" si="17"/>
        <v>0</v>
      </c>
      <c r="CH68" s="1468">
        <f t="shared" si="18"/>
        <v>0</v>
      </c>
      <c r="CI68" s="1468">
        <f t="shared" si="19"/>
        <v>0</v>
      </c>
      <c r="CJ68" s="1468">
        <f t="shared" si="20"/>
        <v>0</v>
      </c>
      <c r="CK68" s="1465"/>
      <c r="CL68" s="1465"/>
      <c r="CM68" s="1465"/>
      <c r="CN68" s="1465"/>
      <c r="CO68" s="1465"/>
    </row>
    <row r="69" spans="1:105" ht="16.350000000000001" customHeight="1" x14ac:dyDescent="0.25">
      <c r="A69" s="2450" t="s">
        <v>1266</v>
      </c>
      <c r="B69" s="2451" t="s">
        <v>23</v>
      </c>
      <c r="C69" s="2452">
        <f>SUM(D69+E69)</f>
        <v>0</v>
      </c>
      <c r="D69" s="2453">
        <f>SUM(F69+H69+J69)</f>
        <v>0</v>
      </c>
      <c r="E69" s="2454">
        <f>SUM(G69+I69+K69)</f>
        <v>0</v>
      </c>
      <c r="F69" s="2449"/>
      <c r="G69" s="2448"/>
      <c r="H69" s="2449"/>
      <c r="I69" s="2448"/>
      <c r="J69" s="2449"/>
      <c r="K69" s="2446"/>
      <c r="L69" s="2455"/>
      <c r="M69" s="2456"/>
      <c r="N69" s="2455"/>
      <c r="O69" s="2456"/>
      <c r="P69" s="2455"/>
      <c r="Q69" s="2456"/>
      <c r="R69" s="2455"/>
      <c r="S69" s="2456"/>
      <c r="T69" s="2455"/>
      <c r="U69" s="2456"/>
      <c r="V69" s="2455"/>
      <c r="W69" s="2456"/>
      <c r="X69" s="2455"/>
      <c r="Y69" s="2456"/>
      <c r="Z69" s="2455"/>
      <c r="AA69" s="2456"/>
      <c r="AB69" s="2455"/>
      <c r="AC69" s="2456"/>
      <c r="AD69" s="2457"/>
      <c r="AE69" s="2458"/>
      <c r="AF69" s="2455"/>
      <c r="AG69" s="2456"/>
      <c r="AH69" s="2455"/>
      <c r="AI69" s="2456"/>
      <c r="AJ69" s="2455"/>
      <c r="AK69" s="2456"/>
      <c r="AL69" s="2459"/>
      <c r="AM69" s="2460"/>
      <c r="AN69" s="3024"/>
      <c r="AO69" s="3022"/>
      <c r="AP69" s="2448"/>
      <c r="AQ69" s="2445"/>
      <c r="AR69" s="2445"/>
      <c r="AS69" s="2445"/>
      <c r="AT69" s="2445"/>
      <c r="AU69" s="2445"/>
      <c r="AV69" s="802"/>
      <c r="AW69" s="802"/>
      <c r="AX69" s="802"/>
      <c r="AY69" s="802"/>
      <c r="AZ69" s="802"/>
      <c r="BA69" s="802"/>
      <c r="BB69" s="802"/>
      <c r="BC69" s="802"/>
      <c r="BD69" s="802"/>
      <c r="BE69" s="802"/>
      <c r="BF69" s="1187"/>
      <c r="BG69" s="1187"/>
      <c r="BX69" s="823"/>
      <c r="CA69" s="1467" t="str">
        <f>IF(CG69=1,"* No olvide digitar la columna Trans y/o Pueblos Originarios y/o Migrantes y/o Población SENAME (Digite Cero si no tiene). ","")</f>
        <v/>
      </c>
      <c r="CB69" s="1467" t="str">
        <f>IF(CH69=1,"* El número de Trans y/o Pueblos Originarios y/o Migrantes y/o Población SENAME NO DEBE ser mayor que el Total. ","")</f>
        <v/>
      </c>
      <c r="CC69" s="1467" t="str">
        <f>IF(CI69=1,"* Las consejerías realizadas en Espacios amigables NO DEBEN ser mayor al Total. ","")</f>
        <v/>
      </c>
      <c r="CD69" s="1467" t="str">
        <f>IF(CJ69=1,"* La columna 14-18 AÑOS no puede ser mayor al total por grupo edad de 10 a 19 años. ","")</f>
        <v/>
      </c>
      <c r="CE69" s="1467"/>
      <c r="CF69" s="1467"/>
      <c r="CG69" s="1468">
        <f t="shared" si="17"/>
        <v>0</v>
      </c>
      <c r="CH69" s="1468">
        <f t="shared" si="18"/>
        <v>0</v>
      </c>
      <c r="CI69" s="1468">
        <f t="shared" si="19"/>
        <v>0</v>
      </c>
      <c r="CJ69" s="1468">
        <f t="shared" si="20"/>
        <v>0</v>
      </c>
      <c r="CK69" s="1465"/>
      <c r="CL69" s="1465"/>
      <c r="CM69" s="1465"/>
      <c r="CN69" s="1465"/>
      <c r="CO69" s="1465"/>
    </row>
    <row r="70" spans="1:105" ht="32.1" customHeight="1" x14ac:dyDescent="0.25">
      <c r="A70" s="365" t="s">
        <v>1262</v>
      </c>
      <c r="B70" s="365"/>
      <c r="C70" s="589"/>
      <c r="D70" s="589"/>
      <c r="E70" s="589"/>
      <c r="F70" s="589"/>
      <c r="G70" s="589"/>
      <c r="H70" s="589"/>
      <c r="I70" s="589"/>
      <c r="J70" s="589"/>
      <c r="K70" s="759"/>
      <c r="L70" s="759"/>
      <c r="M70" s="288"/>
      <c r="N70" s="778"/>
      <c r="O70" s="288"/>
      <c r="P70" s="288"/>
      <c r="Q70" s="288"/>
      <c r="R70" s="288"/>
      <c r="S70" s="288"/>
      <c r="T70" s="288"/>
      <c r="U70" s="288"/>
      <c r="V70" s="288"/>
      <c r="W70" s="778"/>
      <c r="X70" s="778"/>
      <c r="Y70" s="778"/>
      <c r="Z70" s="288"/>
      <c r="AA70" s="288"/>
      <c r="AB70" s="288"/>
      <c r="AC70" s="288"/>
      <c r="AD70" s="288"/>
      <c r="AE70" s="288"/>
      <c r="AF70" s="288"/>
      <c r="AG70" s="288"/>
      <c r="AH70" s="288"/>
      <c r="AI70" s="288"/>
      <c r="AJ70" s="288"/>
      <c r="AK70" s="288"/>
      <c r="AL70" s="288"/>
      <c r="AM70" s="288"/>
      <c r="AN70" s="288"/>
      <c r="AO70" s="288"/>
      <c r="AP70" s="288"/>
      <c r="AQ70" s="1187"/>
      <c r="AR70" s="1187"/>
      <c r="CG70" s="1465"/>
      <c r="CH70" s="1465"/>
      <c r="CI70" s="1465"/>
      <c r="CJ70" s="1465"/>
      <c r="CK70" s="1465"/>
      <c r="CL70" s="1465"/>
      <c r="CM70" s="1465"/>
      <c r="CN70" s="1465"/>
      <c r="CO70" s="1465"/>
    </row>
    <row r="71" spans="1:105" ht="21" customHeight="1" x14ac:dyDescent="0.25">
      <c r="A71" s="8153" t="s">
        <v>1261</v>
      </c>
      <c r="B71" s="8186" t="s">
        <v>1260</v>
      </c>
      <c r="C71" s="8182" t="s">
        <v>1259</v>
      </c>
      <c r="D71" s="8167"/>
      <c r="E71" s="8183"/>
      <c r="F71" s="9697" t="s">
        <v>84</v>
      </c>
      <c r="G71" s="9698"/>
      <c r="H71" s="9698"/>
      <c r="I71" s="9698"/>
      <c r="J71" s="9698"/>
      <c r="K71" s="9698"/>
      <c r="L71" s="9698"/>
      <c r="M71" s="9698"/>
      <c r="N71" s="9698"/>
      <c r="O71" s="9698"/>
      <c r="P71" s="9698"/>
      <c r="Q71" s="9698"/>
      <c r="R71" s="9698"/>
      <c r="S71" s="9698"/>
      <c r="T71" s="9698"/>
      <c r="U71" s="9698"/>
      <c r="V71" s="9698"/>
      <c r="W71" s="9698"/>
      <c r="X71" s="9698"/>
      <c r="Y71" s="9698"/>
      <c r="Z71" s="9698"/>
      <c r="AA71" s="9698"/>
      <c r="AB71" s="9698"/>
      <c r="AC71" s="9698"/>
      <c r="AD71" s="9698"/>
      <c r="AE71" s="9698"/>
      <c r="AF71" s="9698"/>
      <c r="AG71" s="9698"/>
      <c r="AH71" s="9698"/>
      <c r="AI71" s="9698"/>
      <c r="AJ71" s="9698"/>
      <c r="AK71" s="9698"/>
      <c r="AL71" s="9698"/>
      <c r="AM71" s="9699"/>
      <c r="AN71" s="8167" t="s">
        <v>711</v>
      </c>
      <c r="AO71" s="8183"/>
      <c r="AP71" s="8153" t="s">
        <v>360</v>
      </c>
      <c r="AQ71" s="8153" t="s">
        <v>359</v>
      </c>
      <c r="AR71" s="8652" t="s">
        <v>2947</v>
      </c>
      <c r="AS71" s="8652" t="s">
        <v>2607</v>
      </c>
      <c r="BX71" s="823"/>
      <c r="BY71" s="823"/>
      <c r="CA71" s="1118"/>
      <c r="CH71" s="1465"/>
      <c r="CI71" s="1465"/>
      <c r="CJ71" s="1465"/>
      <c r="CK71" s="1465"/>
      <c r="CL71" s="1465"/>
      <c r="CM71" s="1465"/>
      <c r="CN71" s="1465"/>
      <c r="CO71" s="1465"/>
      <c r="CP71" s="1465"/>
      <c r="DA71" s="1464"/>
    </row>
    <row r="72" spans="1:105" ht="22.5" customHeight="1" x14ac:dyDescent="0.25">
      <c r="A72" s="8125"/>
      <c r="B72" s="8189"/>
      <c r="C72" s="8442"/>
      <c r="D72" s="8168"/>
      <c r="E72" s="8444"/>
      <c r="F72" s="9685" t="s">
        <v>397</v>
      </c>
      <c r="G72" s="9686"/>
      <c r="H72" s="9685" t="s">
        <v>54</v>
      </c>
      <c r="I72" s="9686"/>
      <c r="J72" s="9685" t="s">
        <v>79</v>
      </c>
      <c r="K72" s="9686"/>
      <c r="L72" s="9685" t="s">
        <v>3463</v>
      </c>
      <c r="M72" s="9686"/>
      <c r="N72" s="9685" t="s">
        <v>50</v>
      </c>
      <c r="O72" s="9686"/>
      <c r="P72" s="9685" t="s">
        <v>3464</v>
      </c>
      <c r="Q72" s="9686"/>
      <c r="R72" s="9685" t="s">
        <v>3465</v>
      </c>
      <c r="S72" s="9686"/>
      <c r="T72" s="9685" t="s">
        <v>3466</v>
      </c>
      <c r="U72" s="9686"/>
      <c r="V72" s="9685" t="s">
        <v>3467</v>
      </c>
      <c r="W72" s="9686"/>
      <c r="X72" s="9685" t="s">
        <v>3468</v>
      </c>
      <c r="Y72" s="9686"/>
      <c r="Z72" s="9685" t="s">
        <v>3469</v>
      </c>
      <c r="AA72" s="9686"/>
      <c r="AB72" s="9685" t="s">
        <v>2267</v>
      </c>
      <c r="AC72" s="9686"/>
      <c r="AD72" s="9685" t="s">
        <v>2127</v>
      </c>
      <c r="AE72" s="9686"/>
      <c r="AF72" s="9685" t="s">
        <v>2193</v>
      </c>
      <c r="AG72" s="9686"/>
      <c r="AH72" s="9685" t="s">
        <v>3470</v>
      </c>
      <c r="AI72" s="9686"/>
      <c r="AJ72" s="9685" t="s">
        <v>3471</v>
      </c>
      <c r="AK72" s="9686"/>
      <c r="AL72" s="9706" t="s">
        <v>1916</v>
      </c>
      <c r="AM72" s="9707"/>
      <c r="AN72" s="8168"/>
      <c r="AO72" s="8444"/>
      <c r="AP72" s="8125"/>
      <c r="AQ72" s="8125"/>
      <c r="AR72" s="8703"/>
      <c r="AS72" s="8703"/>
      <c r="AT72" s="1187"/>
      <c r="AU72" s="1187"/>
      <c r="AV72" s="1187"/>
      <c r="AW72" s="1187"/>
      <c r="AX72" s="1187"/>
      <c r="AY72" s="1187"/>
      <c r="AZ72" s="1187"/>
      <c r="BA72" s="1187"/>
      <c r="BB72" s="1187"/>
      <c r="BC72" s="1187"/>
      <c r="BD72" s="1187"/>
      <c r="BE72" s="1187"/>
      <c r="BF72" s="1187"/>
      <c r="BX72" s="823"/>
      <c r="BY72" s="823"/>
      <c r="CA72" s="1118"/>
      <c r="CH72" s="1465"/>
      <c r="CI72" s="1465"/>
      <c r="CJ72" s="1465"/>
      <c r="CK72" s="1465"/>
      <c r="CL72" s="1465"/>
      <c r="CM72" s="1465"/>
      <c r="CN72" s="1465"/>
      <c r="CO72" s="1465"/>
      <c r="CP72" s="1465"/>
      <c r="DA72" s="1464"/>
    </row>
    <row r="73" spans="1:105" ht="24" customHeight="1" x14ac:dyDescent="0.25">
      <c r="A73" s="8428"/>
      <c r="B73" s="9696"/>
      <c r="C73" s="725" t="s">
        <v>1237</v>
      </c>
      <c r="D73" s="733" t="s">
        <v>699</v>
      </c>
      <c r="E73" s="2143" t="s">
        <v>698</v>
      </c>
      <c r="F73" s="2160" t="s">
        <v>699</v>
      </c>
      <c r="G73" s="2120" t="s">
        <v>698</v>
      </c>
      <c r="H73" s="2160" t="s">
        <v>699</v>
      </c>
      <c r="I73" s="2120" t="s">
        <v>698</v>
      </c>
      <c r="J73" s="2160" t="s">
        <v>699</v>
      </c>
      <c r="K73" s="2120" t="s">
        <v>698</v>
      </c>
      <c r="L73" s="2160" t="s">
        <v>699</v>
      </c>
      <c r="M73" s="2120" t="s">
        <v>698</v>
      </c>
      <c r="N73" s="2160" t="s">
        <v>699</v>
      </c>
      <c r="O73" s="2110" t="s">
        <v>698</v>
      </c>
      <c r="P73" s="2160" t="s">
        <v>699</v>
      </c>
      <c r="Q73" s="2120" t="s">
        <v>698</v>
      </c>
      <c r="R73" s="2162" t="s">
        <v>699</v>
      </c>
      <c r="S73" s="2110" t="s">
        <v>698</v>
      </c>
      <c r="T73" s="2160" t="s">
        <v>699</v>
      </c>
      <c r="U73" s="2120" t="s">
        <v>698</v>
      </c>
      <c r="V73" s="2162" t="s">
        <v>699</v>
      </c>
      <c r="W73" s="2110" t="s">
        <v>698</v>
      </c>
      <c r="X73" s="2160" t="s">
        <v>699</v>
      </c>
      <c r="Y73" s="2120" t="s">
        <v>698</v>
      </c>
      <c r="Z73" s="2162" t="s">
        <v>699</v>
      </c>
      <c r="AA73" s="2110" t="s">
        <v>698</v>
      </c>
      <c r="AB73" s="2160" t="s">
        <v>699</v>
      </c>
      <c r="AC73" s="2120" t="s">
        <v>698</v>
      </c>
      <c r="AD73" s="2160" t="s">
        <v>699</v>
      </c>
      <c r="AE73" s="2110" t="s">
        <v>698</v>
      </c>
      <c r="AF73" s="2160" t="s">
        <v>699</v>
      </c>
      <c r="AG73" s="2120" t="s">
        <v>698</v>
      </c>
      <c r="AH73" s="2162" t="s">
        <v>699</v>
      </c>
      <c r="AI73" s="2110" t="s">
        <v>698</v>
      </c>
      <c r="AJ73" s="2160" t="s">
        <v>699</v>
      </c>
      <c r="AK73" s="2120" t="s">
        <v>698</v>
      </c>
      <c r="AL73" s="2162" t="s">
        <v>699</v>
      </c>
      <c r="AM73" s="2176" t="s">
        <v>698</v>
      </c>
      <c r="AN73" s="2111" t="s">
        <v>356</v>
      </c>
      <c r="AO73" s="2143" t="s">
        <v>357</v>
      </c>
      <c r="AP73" s="8428"/>
      <c r="AQ73" s="8428"/>
      <c r="AR73" s="9692"/>
      <c r="AS73" s="9692"/>
      <c r="AT73" s="1187"/>
      <c r="AU73" s="1187"/>
      <c r="AV73" s="1187"/>
      <c r="AW73" s="1187"/>
      <c r="AX73" s="1187"/>
      <c r="AY73" s="1187"/>
      <c r="AZ73" s="1187"/>
      <c r="BA73" s="1187"/>
      <c r="BB73" s="1187"/>
      <c r="BC73" s="1187"/>
      <c r="BD73" s="1187"/>
      <c r="BE73" s="1187"/>
      <c r="BF73" s="1187"/>
      <c r="BX73" s="823"/>
      <c r="BY73" s="823"/>
      <c r="CA73" s="1118"/>
      <c r="CH73" s="1465"/>
      <c r="CI73" s="1465"/>
      <c r="CJ73" s="1465"/>
      <c r="CK73" s="1465"/>
      <c r="CL73" s="1465"/>
      <c r="CM73" s="1465"/>
      <c r="CN73" s="1465"/>
      <c r="CO73" s="1465"/>
      <c r="CP73" s="1465"/>
      <c r="DA73" s="1464"/>
    </row>
    <row r="74" spans="1:105" ht="25.5" customHeight="1" x14ac:dyDescent="0.25">
      <c r="A74" s="8652" t="s">
        <v>3750</v>
      </c>
      <c r="B74" s="7945" t="s">
        <v>4003</v>
      </c>
      <c r="C74" s="1353">
        <f t="shared" ref="C74:C79" si="25">SUM(D74+E74)</f>
        <v>0</v>
      </c>
      <c r="D74" s="1354">
        <f>+L74+N74+P74+R74+T74+V74+X74+Z74+AB74+AD74+AF74+AH74</f>
        <v>0</v>
      </c>
      <c r="E74" s="737">
        <f>+M74+O74+Q74+S74+U74+W74+Y74+AA74+AC74+AE74+AG74+AI74</f>
        <v>0</v>
      </c>
      <c r="F74" s="763"/>
      <c r="G74" s="761"/>
      <c r="H74" s="763"/>
      <c r="I74" s="762"/>
      <c r="J74" s="763"/>
      <c r="K74" s="761"/>
      <c r="L74" s="691"/>
      <c r="M74" s="698"/>
      <c r="N74" s="724"/>
      <c r="O74" s="749"/>
      <c r="P74" s="772"/>
      <c r="Q74" s="698"/>
      <c r="R74" s="736"/>
      <c r="S74" s="749"/>
      <c r="T74" s="691"/>
      <c r="U74" s="720"/>
      <c r="V74" s="724"/>
      <c r="W74" s="736"/>
      <c r="X74" s="691"/>
      <c r="Y74" s="720"/>
      <c r="Z74" s="724"/>
      <c r="AA74" s="736"/>
      <c r="AB74" s="691"/>
      <c r="AC74" s="720"/>
      <c r="AD74" s="691"/>
      <c r="AE74" s="698"/>
      <c r="AF74" s="691"/>
      <c r="AG74" s="698"/>
      <c r="AH74" s="691"/>
      <c r="AI74" s="698"/>
      <c r="AJ74" s="777"/>
      <c r="AK74" s="776"/>
      <c r="AL74" s="775"/>
      <c r="AM74" s="774"/>
      <c r="AN74" s="136"/>
      <c r="AO74" s="698"/>
      <c r="AP74" s="690"/>
      <c r="AQ74" s="720"/>
      <c r="AR74" s="698"/>
      <c r="AS74" s="698"/>
      <c r="AT74" s="1381" t="str">
        <f t="shared" ref="AT74:AT85" si="26">$CB74&amp;$CC74&amp;$CD74&amp;$CE74</f>
        <v/>
      </c>
      <c r="AU74" s="802"/>
      <c r="AV74" s="802"/>
      <c r="AW74" s="802"/>
      <c r="AX74" s="802"/>
      <c r="AY74" s="802"/>
      <c r="AZ74" s="802"/>
      <c r="BA74" s="802"/>
      <c r="BB74" s="802"/>
      <c r="BC74" s="802"/>
      <c r="BD74" s="802"/>
      <c r="BE74" s="1187"/>
      <c r="BF74" s="1187"/>
      <c r="BX74" s="823"/>
      <c r="BY74" s="823"/>
      <c r="CA74" s="1118"/>
      <c r="CB74" s="1467" t="str">
        <f t="shared" ref="CB74:CB85" si="27">IF(CH74=1,"* No olvide digitar la columna Trans y/o Pueblos Originarios y/o Migrantes y/o Población SENAME (Digite Cero si no tiene). ","")</f>
        <v/>
      </c>
      <c r="CC74" s="1467" t="str">
        <f t="shared" ref="CC74:CC85" si="28">IF(CI74=1,"* El número de Trans y/o Pueblos Originarios y/o Migrantes y/o Población SENAME NO DEBE ser mayor que el Total. ","")</f>
        <v/>
      </c>
      <c r="CD74" s="1467"/>
      <c r="CE74" s="1467"/>
      <c r="CF74" s="1467"/>
      <c r="CG74" s="1467"/>
      <c r="CH74" s="1468">
        <f t="shared" ref="CH74:CH85" si="29">IF(AND(C74&lt;&gt;0,OR(AO74="",AP74="",AQ74="",AR74="",AN74="")),1,0)</f>
        <v>0</v>
      </c>
      <c r="CI74" s="1468">
        <f t="shared" ref="CI74:CI85" si="30">IF(OR(C74&lt;(AN74+AO74),C74&lt;AQ74,C74&lt;AP74,C74&lt;AR74),1,0)</f>
        <v>0</v>
      </c>
      <c r="CJ74" s="1468"/>
      <c r="CK74" s="1468"/>
      <c r="CL74" s="1465"/>
      <c r="CM74" s="1465"/>
      <c r="CN74" s="1465"/>
      <c r="CO74" s="1465"/>
      <c r="CP74" s="1465"/>
      <c r="DA74" s="1464"/>
    </row>
    <row r="75" spans="1:105" ht="19.5" customHeight="1" x14ac:dyDescent="0.25">
      <c r="A75" s="8703"/>
      <c r="B75" s="135" t="s">
        <v>1257</v>
      </c>
      <c r="C75" s="323">
        <f t="shared" si="25"/>
        <v>0</v>
      </c>
      <c r="D75" s="324">
        <f t="shared" ref="D75:E77" si="31">SUM(F75+H75+J75+L75+N75+P75+R75+T75+V75+X75+Z75+AB75+AD75+AF75+AH75+AJ75+AL75)</f>
        <v>0</v>
      </c>
      <c r="E75" s="145">
        <f t="shared" si="31"/>
        <v>0</v>
      </c>
      <c r="F75" s="110"/>
      <c r="G75" s="112"/>
      <c r="H75" s="110"/>
      <c r="I75" s="144"/>
      <c r="J75" s="136"/>
      <c r="K75" s="168"/>
      <c r="L75" s="110"/>
      <c r="M75" s="122"/>
      <c r="N75" s="136"/>
      <c r="O75" s="168"/>
      <c r="P75" s="157"/>
      <c r="Q75" s="122"/>
      <c r="R75" s="112"/>
      <c r="S75" s="168"/>
      <c r="T75" s="110"/>
      <c r="U75" s="144"/>
      <c r="V75" s="136"/>
      <c r="W75" s="112"/>
      <c r="X75" s="110"/>
      <c r="Y75" s="144"/>
      <c r="Z75" s="136"/>
      <c r="AA75" s="112"/>
      <c r="AB75" s="110"/>
      <c r="AC75" s="144"/>
      <c r="AD75" s="110"/>
      <c r="AE75" s="122"/>
      <c r="AF75" s="110"/>
      <c r="AG75" s="144"/>
      <c r="AH75" s="110"/>
      <c r="AI75" s="144"/>
      <c r="AJ75" s="110"/>
      <c r="AK75" s="144"/>
      <c r="AL75" s="136"/>
      <c r="AM75" s="236"/>
      <c r="AN75" s="136"/>
      <c r="AO75" s="122"/>
      <c r="AP75" s="123"/>
      <c r="AQ75" s="144"/>
      <c r="AR75" s="122"/>
      <c r="AS75" s="122"/>
      <c r="AT75" s="1381" t="str">
        <f t="shared" si="26"/>
        <v/>
      </c>
      <c r="AU75" s="802"/>
      <c r="AV75" s="802"/>
      <c r="AW75" s="802"/>
      <c r="AX75" s="802"/>
      <c r="AY75" s="802"/>
      <c r="AZ75" s="802"/>
      <c r="BA75" s="802"/>
      <c r="BB75" s="802"/>
      <c r="BC75" s="802"/>
      <c r="BD75" s="802"/>
      <c r="BE75" s="1187"/>
      <c r="BF75" s="1187"/>
      <c r="BX75" s="823"/>
      <c r="BY75" s="823"/>
      <c r="CA75" s="1118"/>
      <c r="CB75" s="1467" t="str">
        <f t="shared" si="27"/>
        <v/>
      </c>
      <c r="CC75" s="1467" t="str">
        <f t="shared" si="28"/>
        <v/>
      </c>
      <c r="CH75" s="1468">
        <f t="shared" si="29"/>
        <v>0</v>
      </c>
      <c r="CI75" s="1468">
        <f t="shared" si="30"/>
        <v>0</v>
      </c>
      <c r="CJ75" s="1465"/>
      <c r="CK75" s="1465"/>
      <c r="CL75" s="1465"/>
      <c r="CM75" s="1465"/>
      <c r="CN75" s="1465"/>
      <c r="CO75" s="1465"/>
      <c r="CP75" s="1465"/>
      <c r="DA75" s="1464"/>
    </row>
    <row r="76" spans="1:105" ht="19.5" customHeight="1" x14ac:dyDescent="0.25">
      <c r="A76" s="8703"/>
      <c r="B76" s="135" t="s">
        <v>1256</v>
      </c>
      <c r="C76" s="323">
        <f t="shared" si="25"/>
        <v>0</v>
      </c>
      <c r="D76" s="324">
        <f t="shared" si="31"/>
        <v>0</v>
      </c>
      <c r="E76" s="145">
        <f t="shared" si="31"/>
        <v>0</v>
      </c>
      <c r="F76" s="110"/>
      <c r="G76" s="112"/>
      <c r="H76" s="110"/>
      <c r="I76" s="144"/>
      <c r="J76" s="136"/>
      <c r="K76" s="168"/>
      <c r="L76" s="110"/>
      <c r="M76" s="122"/>
      <c r="N76" s="136"/>
      <c r="O76" s="168"/>
      <c r="P76" s="157"/>
      <c r="Q76" s="122"/>
      <c r="R76" s="112"/>
      <c r="S76" s="168"/>
      <c r="T76" s="110"/>
      <c r="U76" s="144"/>
      <c r="V76" s="136"/>
      <c r="W76" s="112"/>
      <c r="X76" s="110"/>
      <c r="Y76" s="144"/>
      <c r="Z76" s="136"/>
      <c r="AA76" s="112"/>
      <c r="AB76" s="110"/>
      <c r="AC76" s="144"/>
      <c r="AD76" s="110"/>
      <c r="AE76" s="122"/>
      <c r="AF76" s="110"/>
      <c r="AG76" s="144"/>
      <c r="AH76" s="110"/>
      <c r="AI76" s="144"/>
      <c r="AJ76" s="110"/>
      <c r="AK76" s="144"/>
      <c r="AL76" s="136"/>
      <c r="AM76" s="236"/>
      <c r="AN76" s="136"/>
      <c r="AO76" s="122"/>
      <c r="AP76" s="123"/>
      <c r="AQ76" s="144"/>
      <c r="AR76" s="122"/>
      <c r="AS76" s="122"/>
      <c r="AT76" s="1381" t="str">
        <f t="shared" si="26"/>
        <v/>
      </c>
      <c r="AU76" s="802"/>
      <c r="AV76" s="802"/>
      <c r="AW76" s="802"/>
      <c r="AX76" s="802"/>
      <c r="AY76" s="802"/>
      <c r="AZ76" s="802"/>
      <c r="BA76" s="802"/>
      <c r="BB76" s="802"/>
      <c r="BC76" s="802"/>
      <c r="BD76" s="802"/>
      <c r="BE76" s="1187"/>
      <c r="BF76" s="1187"/>
      <c r="BX76" s="823"/>
      <c r="BY76" s="823"/>
      <c r="CA76" s="1118"/>
      <c r="CB76" s="1467" t="str">
        <f t="shared" si="27"/>
        <v/>
      </c>
      <c r="CC76" s="1467" t="str">
        <f t="shared" si="28"/>
        <v/>
      </c>
      <c r="CH76" s="1468">
        <f t="shared" si="29"/>
        <v>0</v>
      </c>
      <c r="CI76" s="1468">
        <f t="shared" si="30"/>
        <v>0</v>
      </c>
      <c r="CJ76" s="1465"/>
      <c r="CK76" s="1465"/>
      <c r="CL76" s="1465"/>
      <c r="CM76" s="1465"/>
      <c r="CN76" s="1465"/>
      <c r="CO76" s="1465"/>
      <c r="CP76" s="1465"/>
      <c r="DA76" s="1464"/>
    </row>
    <row r="77" spans="1:105" ht="19.5" customHeight="1" x14ac:dyDescent="0.25">
      <c r="A77" s="8703"/>
      <c r="B77" s="135" t="s">
        <v>1255</v>
      </c>
      <c r="C77" s="323">
        <f t="shared" si="25"/>
        <v>0</v>
      </c>
      <c r="D77" s="324">
        <f t="shared" si="31"/>
        <v>0</v>
      </c>
      <c r="E77" s="145">
        <f t="shared" si="31"/>
        <v>0</v>
      </c>
      <c r="F77" s="110"/>
      <c r="G77" s="112"/>
      <c r="H77" s="110"/>
      <c r="I77" s="144"/>
      <c r="J77" s="136"/>
      <c r="K77" s="168"/>
      <c r="L77" s="110"/>
      <c r="M77" s="122"/>
      <c r="N77" s="136"/>
      <c r="O77" s="168"/>
      <c r="P77" s="157"/>
      <c r="Q77" s="122"/>
      <c r="R77" s="112"/>
      <c r="S77" s="168"/>
      <c r="T77" s="110"/>
      <c r="U77" s="144"/>
      <c r="V77" s="136"/>
      <c r="W77" s="112"/>
      <c r="X77" s="110"/>
      <c r="Y77" s="144"/>
      <c r="Z77" s="136"/>
      <c r="AA77" s="112"/>
      <c r="AB77" s="110"/>
      <c r="AC77" s="144"/>
      <c r="AD77" s="110"/>
      <c r="AE77" s="122"/>
      <c r="AF77" s="110"/>
      <c r="AG77" s="144"/>
      <c r="AH77" s="110"/>
      <c r="AI77" s="144"/>
      <c r="AJ77" s="110"/>
      <c r="AK77" s="144"/>
      <c r="AL77" s="136"/>
      <c r="AM77" s="236"/>
      <c r="AN77" s="136"/>
      <c r="AO77" s="122"/>
      <c r="AP77" s="123"/>
      <c r="AQ77" s="144"/>
      <c r="AR77" s="122"/>
      <c r="AS77" s="122"/>
      <c r="AT77" s="1381" t="str">
        <f t="shared" si="26"/>
        <v/>
      </c>
      <c r="AU77" s="802"/>
      <c r="AV77" s="802"/>
      <c r="AW77" s="802"/>
      <c r="AX77" s="802"/>
      <c r="AY77" s="802"/>
      <c r="AZ77" s="802"/>
      <c r="BA77" s="802"/>
      <c r="BB77" s="802"/>
      <c r="BC77" s="802"/>
      <c r="BD77" s="802"/>
      <c r="BE77" s="1187"/>
      <c r="BF77" s="1187"/>
      <c r="BX77" s="823"/>
      <c r="BY77" s="823"/>
      <c r="CA77" s="1118"/>
      <c r="CB77" s="1467" t="str">
        <f t="shared" si="27"/>
        <v/>
      </c>
      <c r="CC77" s="1467" t="str">
        <f t="shared" si="28"/>
        <v/>
      </c>
      <c r="CH77" s="1468">
        <f t="shared" si="29"/>
        <v>0</v>
      </c>
      <c r="CI77" s="1468">
        <f t="shared" si="30"/>
        <v>0</v>
      </c>
      <c r="CJ77" s="1465"/>
      <c r="CK77" s="1465"/>
      <c r="CL77" s="1465"/>
      <c r="CM77" s="1465"/>
      <c r="CN77" s="1465"/>
      <c r="CO77" s="1465"/>
      <c r="CP77" s="1465"/>
      <c r="DA77" s="1464"/>
    </row>
    <row r="78" spans="1:105" ht="19.5" customHeight="1" x14ac:dyDescent="0.25">
      <c r="A78" s="8703"/>
      <c r="B78" s="502" t="s">
        <v>1254</v>
      </c>
      <c r="C78" s="577">
        <f t="shared" si="25"/>
        <v>0</v>
      </c>
      <c r="D78" s="576">
        <f>+J78+L78+N78</f>
        <v>0</v>
      </c>
      <c r="E78" s="172">
        <f>+K78+M78+O78</f>
        <v>0</v>
      </c>
      <c r="F78" s="93"/>
      <c r="G78" s="768"/>
      <c r="H78" s="93"/>
      <c r="I78" s="170"/>
      <c r="J78" s="136"/>
      <c r="K78" s="168"/>
      <c r="L78" s="137"/>
      <c r="M78" s="138"/>
      <c r="N78" s="113"/>
      <c r="O78" s="116"/>
      <c r="P78" s="400"/>
      <c r="Q78" s="96"/>
      <c r="R78" s="768"/>
      <c r="S78" s="341"/>
      <c r="T78" s="93"/>
      <c r="U78" s="170"/>
      <c r="V78" s="735"/>
      <c r="W78" s="768"/>
      <c r="X78" s="93"/>
      <c r="Y78" s="170"/>
      <c r="Z78" s="735"/>
      <c r="AA78" s="768"/>
      <c r="AB78" s="93"/>
      <c r="AC78" s="170"/>
      <c r="AD78" s="93"/>
      <c r="AE78" s="96"/>
      <c r="AF78" s="93"/>
      <c r="AG78" s="170"/>
      <c r="AH78" s="93"/>
      <c r="AI78" s="170"/>
      <c r="AJ78" s="93"/>
      <c r="AK78" s="170"/>
      <c r="AL78" s="768"/>
      <c r="AM78" s="342"/>
      <c r="AN78" s="136"/>
      <c r="AO78" s="122"/>
      <c r="AP78" s="123"/>
      <c r="AQ78" s="164"/>
      <c r="AR78" s="138"/>
      <c r="AS78" s="138"/>
      <c r="AT78" s="1381" t="str">
        <f t="shared" si="26"/>
        <v/>
      </c>
      <c r="AU78" s="802"/>
      <c r="AV78" s="802"/>
      <c r="AW78" s="802"/>
      <c r="AX78" s="802"/>
      <c r="AY78" s="802"/>
      <c r="AZ78" s="802"/>
      <c r="BA78" s="802"/>
      <c r="BB78" s="802"/>
      <c r="BC78" s="802"/>
      <c r="BD78" s="802"/>
      <c r="BE78" s="1187"/>
      <c r="BF78" s="1187"/>
      <c r="BX78" s="823"/>
      <c r="BY78" s="823"/>
      <c r="CA78" s="1118"/>
      <c r="CB78" s="1467" t="str">
        <f t="shared" si="27"/>
        <v/>
      </c>
      <c r="CC78" s="1467" t="str">
        <f t="shared" si="28"/>
        <v/>
      </c>
      <c r="CH78" s="1468">
        <f t="shared" si="29"/>
        <v>0</v>
      </c>
      <c r="CI78" s="1468">
        <f t="shared" si="30"/>
        <v>0</v>
      </c>
      <c r="CJ78" s="1465"/>
      <c r="CK78" s="1465"/>
      <c r="CL78" s="1465"/>
      <c r="CM78" s="1465"/>
      <c r="CN78" s="1465"/>
      <c r="CO78" s="1465"/>
      <c r="CP78" s="1465"/>
      <c r="DA78" s="1464"/>
    </row>
    <row r="79" spans="1:105" ht="19.5" customHeight="1" x14ac:dyDescent="0.25">
      <c r="A79" s="9692"/>
      <c r="B79" s="527" t="s">
        <v>1253</v>
      </c>
      <c r="C79" s="1357">
        <f t="shared" si="25"/>
        <v>0</v>
      </c>
      <c r="D79" s="1358">
        <f>SUM(F79+H79+J79+L79+N79+P79+R79+T79+V79+X79+Z79+AB79+AD79+AF79+AH79+AJ79+AL79)</f>
        <v>0</v>
      </c>
      <c r="E79" s="147">
        <f>SUM(G79+I79+K79+M79+O79+Q79+S79+U79+W79+Y79+AA79+AC79+AE79+AG79+AI79+AK79+AM79)</f>
        <v>0</v>
      </c>
      <c r="F79" s="125"/>
      <c r="G79" s="173"/>
      <c r="H79" s="125"/>
      <c r="I79" s="127"/>
      <c r="J79" s="102"/>
      <c r="K79" s="175"/>
      <c r="L79" s="125"/>
      <c r="M79" s="101"/>
      <c r="N79" s="102"/>
      <c r="O79" s="175"/>
      <c r="P79" s="159"/>
      <c r="Q79" s="101"/>
      <c r="R79" s="173"/>
      <c r="S79" s="175"/>
      <c r="T79" s="125"/>
      <c r="U79" s="127"/>
      <c r="V79" s="102"/>
      <c r="W79" s="173"/>
      <c r="X79" s="125"/>
      <c r="Y79" s="127"/>
      <c r="Z79" s="102"/>
      <c r="AA79" s="173"/>
      <c r="AB79" s="125"/>
      <c r="AC79" s="127"/>
      <c r="AD79" s="125"/>
      <c r="AE79" s="101"/>
      <c r="AF79" s="125"/>
      <c r="AG79" s="127"/>
      <c r="AH79" s="125"/>
      <c r="AI79" s="127"/>
      <c r="AJ79" s="125"/>
      <c r="AK79" s="127"/>
      <c r="AL79" s="125"/>
      <c r="AM79" s="2893"/>
      <c r="AN79" s="136"/>
      <c r="AO79" s="122"/>
      <c r="AP79" s="123"/>
      <c r="AQ79" s="144"/>
      <c r="AR79" s="122"/>
      <c r="AS79" s="122"/>
      <c r="AT79" s="1381" t="str">
        <f t="shared" si="26"/>
        <v/>
      </c>
      <c r="AU79" s="802"/>
      <c r="AV79" s="802"/>
      <c r="AW79" s="802"/>
      <c r="AX79" s="802"/>
      <c r="AY79" s="802"/>
      <c r="AZ79" s="802"/>
      <c r="BA79" s="802"/>
      <c r="BB79" s="802"/>
      <c r="BC79" s="802"/>
      <c r="BD79" s="802"/>
      <c r="BE79" s="1187"/>
      <c r="BF79" s="1187"/>
      <c r="BX79" s="823"/>
      <c r="BY79" s="823"/>
      <c r="CA79" s="1118"/>
      <c r="CB79" s="1467" t="str">
        <f t="shared" si="27"/>
        <v/>
      </c>
      <c r="CC79" s="1467" t="str">
        <f t="shared" si="28"/>
        <v/>
      </c>
      <c r="CH79" s="1468">
        <f t="shared" si="29"/>
        <v>0</v>
      </c>
      <c r="CI79" s="1468">
        <f t="shared" si="30"/>
        <v>0</v>
      </c>
      <c r="CJ79" s="1465"/>
      <c r="CK79" s="1465"/>
      <c r="CL79" s="1465"/>
      <c r="CM79" s="1465"/>
      <c r="CN79" s="1465"/>
      <c r="CO79" s="1465"/>
      <c r="CP79" s="1465"/>
      <c r="DA79" s="1464"/>
    </row>
    <row r="80" spans="1:105" ht="26.25" customHeight="1" x14ac:dyDescent="0.25">
      <c r="A80" s="8153" t="s">
        <v>1258</v>
      </c>
      <c r="B80" s="7945" t="s">
        <v>4003</v>
      </c>
      <c r="C80" s="1353">
        <f t="shared" ref="C80:C85" si="32">SUM(D80+E80)</f>
        <v>0</v>
      </c>
      <c r="D80" s="1354">
        <f>+L80+N80+P80+R80+T80+V80+X80+Z80+AB80+AD80+AF80+AH80</f>
        <v>0</v>
      </c>
      <c r="E80" s="737">
        <f>+M80+O80+Q80+S80+U80+W80+Y80+AA80+AC80+AE80+AG80+AI80</f>
        <v>0</v>
      </c>
      <c r="F80" s="763"/>
      <c r="G80" s="761"/>
      <c r="H80" s="763"/>
      <c r="I80" s="762"/>
      <c r="J80" s="763"/>
      <c r="K80" s="761"/>
      <c r="L80" s="691"/>
      <c r="M80" s="698"/>
      <c r="N80" s="724"/>
      <c r="O80" s="749"/>
      <c r="P80" s="772"/>
      <c r="Q80" s="698"/>
      <c r="R80" s="736"/>
      <c r="S80" s="749"/>
      <c r="T80" s="691"/>
      <c r="U80" s="720"/>
      <c r="V80" s="724"/>
      <c r="W80" s="736"/>
      <c r="X80" s="691"/>
      <c r="Y80" s="720"/>
      <c r="Z80" s="724"/>
      <c r="AA80" s="736"/>
      <c r="AB80" s="691"/>
      <c r="AC80" s="720"/>
      <c r="AD80" s="691"/>
      <c r="AE80" s="698"/>
      <c r="AF80" s="691"/>
      <c r="AG80" s="698"/>
      <c r="AH80" s="691"/>
      <c r="AI80" s="698"/>
      <c r="AJ80" s="722"/>
      <c r="AK80" s="771"/>
      <c r="AL80" s="770"/>
      <c r="AM80" s="769"/>
      <c r="AN80" s="136"/>
      <c r="AO80" s="122"/>
      <c r="AP80" s="123"/>
      <c r="AQ80" s="143"/>
      <c r="AR80" s="130"/>
      <c r="AS80" s="130"/>
      <c r="AT80" s="1381" t="str">
        <f t="shared" si="26"/>
        <v/>
      </c>
      <c r="AU80" s="802"/>
      <c r="AV80" s="802"/>
      <c r="AW80" s="802"/>
      <c r="AX80" s="802"/>
      <c r="AY80" s="802"/>
      <c r="AZ80" s="802"/>
      <c r="BA80" s="802"/>
      <c r="BB80" s="802"/>
      <c r="BC80" s="802"/>
      <c r="BD80" s="802"/>
      <c r="BE80" s="1187"/>
      <c r="BF80" s="1187"/>
      <c r="BX80" s="823"/>
      <c r="BY80" s="823"/>
      <c r="CA80" s="1118"/>
      <c r="CB80" s="1467" t="str">
        <f t="shared" si="27"/>
        <v/>
      </c>
      <c r="CC80" s="1467" t="str">
        <f t="shared" si="28"/>
        <v/>
      </c>
      <c r="CH80" s="1468">
        <f t="shared" si="29"/>
        <v>0</v>
      </c>
      <c r="CI80" s="1468">
        <f t="shared" si="30"/>
        <v>0</v>
      </c>
      <c r="CJ80" s="1465"/>
      <c r="CK80" s="1465"/>
      <c r="CL80" s="1465"/>
      <c r="CM80" s="1465"/>
      <c r="CN80" s="1465"/>
      <c r="CO80" s="1465"/>
      <c r="CP80" s="1465"/>
      <c r="DA80" s="1464"/>
    </row>
    <row r="81" spans="1:105" ht="19.5" customHeight="1" x14ac:dyDescent="0.25">
      <c r="A81" s="8125"/>
      <c r="B81" s="135" t="s">
        <v>1257</v>
      </c>
      <c r="C81" s="323">
        <f t="shared" si="32"/>
        <v>0</v>
      </c>
      <c r="D81" s="324">
        <f t="shared" ref="D81:E83" si="33">SUM(F81+H81+J81+L81+N81+P81+R81+T81+V81+X81+Z81+AB81+AD81+AF81+AH81+AJ81+AL81)</f>
        <v>0</v>
      </c>
      <c r="E81" s="145">
        <f t="shared" si="33"/>
        <v>0</v>
      </c>
      <c r="F81" s="110"/>
      <c r="G81" s="234"/>
      <c r="H81" s="110"/>
      <c r="I81" s="143"/>
      <c r="J81" s="110"/>
      <c r="K81" s="234"/>
      <c r="L81" s="110"/>
      <c r="M81" s="143"/>
      <c r="N81" s="136"/>
      <c r="O81" s="234"/>
      <c r="P81" s="110"/>
      <c r="Q81" s="143"/>
      <c r="R81" s="136"/>
      <c r="S81" s="234"/>
      <c r="T81" s="110"/>
      <c r="U81" s="143"/>
      <c r="V81" s="136"/>
      <c r="W81" s="234"/>
      <c r="X81" s="110"/>
      <c r="Y81" s="143"/>
      <c r="Z81" s="136"/>
      <c r="AA81" s="234"/>
      <c r="AB81" s="110"/>
      <c r="AC81" s="143"/>
      <c r="AD81" s="110"/>
      <c r="AE81" s="130"/>
      <c r="AF81" s="110"/>
      <c r="AG81" s="144"/>
      <c r="AH81" s="110"/>
      <c r="AI81" s="144"/>
      <c r="AJ81" s="110"/>
      <c r="AK81" s="144"/>
      <c r="AL81" s="136"/>
      <c r="AM81" s="236"/>
      <c r="AN81" s="136"/>
      <c r="AO81" s="122"/>
      <c r="AP81" s="123"/>
      <c r="AQ81" s="143"/>
      <c r="AR81" s="130"/>
      <c r="AS81" s="130"/>
      <c r="AT81" s="1381" t="str">
        <f t="shared" si="26"/>
        <v/>
      </c>
      <c r="AU81" s="802"/>
      <c r="AV81" s="802"/>
      <c r="AW81" s="802"/>
      <c r="AX81" s="802"/>
      <c r="AY81" s="802"/>
      <c r="AZ81" s="802"/>
      <c r="BA81" s="802"/>
      <c r="BB81" s="802"/>
      <c r="BC81" s="802"/>
      <c r="BD81" s="802"/>
      <c r="BE81" s="1187"/>
      <c r="BF81" s="1187"/>
      <c r="BX81" s="823"/>
      <c r="BY81" s="823"/>
      <c r="CA81" s="1118"/>
      <c r="CB81" s="1467" t="str">
        <f t="shared" si="27"/>
        <v/>
      </c>
      <c r="CC81" s="1467" t="str">
        <f t="shared" si="28"/>
        <v/>
      </c>
      <c r="CH81" s="1468">
        <f t="shared" si="29"/>
        <v>0</v>
      </c>
      <c r="CI81" s="1468">
        <f t="shared" si="30"/>
        <v>0</v>
      </c>
      <c r="CJ81" s="1465"/>
      <c r="CK81" s="1465"/>
      <c r="CL81" s="1465"/>
      <c r="CM81" s="1465"/>
      <c r="CN81" s="1465"/>
      <c r="CO81" s="1465"/>
      <c r="CP81" s="1465"/>
      <c r="DA81" s="1464"/>
    </row>
    <row r="82" spans="1:105" ht="19.5" customHeight="1" x14ac:dyDescent="0.25">
      <c r="A82" s="8125"/>
      <c r="B82" s="135" t="s">
        <v>1256</v>
      </c>
      <c r="C82" s="323">
        <f t="shared" si="32"/>
        <v>0</v>
      </c>
      <c r="D82" s="324">
        <f t="shared" si="33"/>
        <v>0</v>
      </c>
      <c r="E82" s="145">
        <f t="shared" si="33"/>
        <v>0</v>
      </c>
      <c r="F82" s="110"/>
      <c r="G82" s="112"/>
      <c r="H82" s="110"/>
      <c r="I82" s="144"/>
      <c r="J82" s="110"/>
      <c r="K82" s="112"/>
      <c r="L82" s="110"/>
      <c r="M82" s="144"/>
      <c r="N82" s="136"/>
      <c r="O82" s="112"/>
      <c r="P82" s="110"/>
      <c r="Q82" s="144"/>
      <c r="R82" s="136"/>
      <c r="S82" s="112"/>
      <c r="T82" s="110"/>
      <c r="U82" s="144"/>
      <c r="V82" s="136"/>
      <c r="W82" s="112"/>
      <c r="X82" s="110"/>
      <c r="Y82" s="144"/>
      <c r="Z82" s="136"/>
      <c r="AA82" s="112"/>
      <c r="AB82" s="110"/>
      <c r="AC82" s="144"/>
      <c r="AD82" s="110"/>
      <c r="AE82" s="122"/>
      <c r="AF82" s="110"/>
      <c r="AG82" s="144"/>
      <c r="AH82" s="110"/>
      <c r="AI82" s="144"/>
      <c r="AJ82" s="110"/>
      <c r="AK82" s="144"/>
      <c r="AL82" s="136"/>
      <c r="AM82" s="236"/>
      <c r="AN82" s="136"/>
      <c r="AO82" s="122"/>
      <c r="AP82" s="123"/>
      <c r="AQ82" s="144"/>
      <c r="AR82" s="122"/>
      <c r="AS82" s="122"/>
      <c r="AT82" s="1381" t="str">
        <f t="shared" si="26"/>
        <v/>
      </c>
      <c r="AU82" s="802"/>
      <c r="AV82" s="802"/>
      <c r="AW82" s="802"/>
      <c r="AX82" s="802"/>
      <c r="AY82" s="802"/>
      <c r="AZ82" s="802"/>
      <c r="BA82" s="802"/>
      <c r="BB82" s="802"/>
      <c r="BC82" s="802"/>
      <c r="BD82" s="802"/>
      <c r="BE82" s="1187"/>
      <c r="BF82" s="1187"/>
      <c r="BX82" s="823"/>
      <c r="BY82" s="823"/>
      <c r="CA82" s="1118"/>
      <c r="CB82" s="1467" t="str">
        <f t="shared" si="27"/>
        <v/>
      </c>
      <c r="CC82" s="1467" t="str">
        <f t="shared" si="28"/>
        <v/>
      </c>
      <c r="CH82" s="1468">
        <f t="shared" si="29"/>
        <v>0</v>
      </c>
      <c r="CI82" s="1468">
        <f t="shared" si="30"/>
        <v>0</v>
      </c>
      <c r="CJ82" s="1465"/>
      <c r="CK82" s="1465"/>
      <c r="CL82" s="1465"/>
      <c r="CM82" s="1465"/>
      <c r="CN82" s="1465"/>
      <c r="CO82" s="1465"/>
      <c r="CP82" s="1465"/>
      <c r="DA82" s="1464"/>
    </row>
    <row r="83" spans="1:105" ht="19.5" customHeight="1" x14ac:dyDescent="0.25">
      <c r="A83" s="8125"/>
      <c r="B83" s="135" t="s">
        <v>1255</v>
      </c>
      <c r="C83" s="323">
        <f t="shared" si="32"/>
        <v>0</v>
      </c>
      <c r="D83" s="324">
        <f t="shared" si="33"/>
        <v>0</v>
      </c>
      <c r="E83" s="145">
        <f t="shared" si="33"/>
        <v>0</v>
      </c>
      <c r="F83" s="110"/>
      <c r="G83" s="112"/>
      <c r="H83" s="110"/>
      <c r="I83" s="144"/>
      <c r="J83" s="110"/>
      <c r="K83" s="112"/>
      <c r="L83" s="110"/>
      <c r="M83" s="144"/>
      <c r="N83" s="136"/>
      <c r="O83" s="112"/>
      <c r="P83" s="110"/>
      <c r="Q83" s="144"/>
      <c r="R83" s="136"/>
      <c r="S83" s="112"/>
      <c r="T83" s="110"/>
      <c r="U83" s="144"/>
      <c r="V83" s="136"/>
      <c r="W83" s="112"/>
      <c r="X83" s="110"/>
      <c r="Y83" s="144"/>
      <c r="Z83" s="136"/>
      <c r="AA83" s="112"/>
      <c r="AB83" s="110"/>
      <c r="AC83" s="144"/>
      <c r="AD83" s="110"/>
      <c r="AE83" s="122"/>
      <c r="AF83" s="110"/>
      <c r="AG83" s="144"/>
      <c r="AH83" s="110"/>
      <c r="AI83" s="144"/>
      <c r="AJ83" s="110"/>
      <c r="AK83" s="144"/>
      <c r="AL83" s="136"/>
      <c r="AM83" s="236"/>
      <c r="AN83" s="136"/>
      <c r="AO83" s="122"/>
      <c r="AP83" s="123"/>
      <c r="AQ83" s="144"/>
      <c r="AR83" s="122"/>
      <c r="AS83" s="122"/>
      <c r="AT83" s="1381" t="str">
        <f t="shared" si="26"/>
        <v/>
      </c>
      <c r="AU83" s="802"/>
      <c r="AV83" s="802"/>
      <c r="AW83" s="802"/>
      <c r="AX83" s="802"/>
      <c r="AY83" s="802"/>
      <c r="AZ83" s="802"/>
      <c r="BA83" s="802"/>
      <c r="BB83" s="802"/>
      <c r="BC83" s="802"/>
      <c r="BD83" s="802"/>
      <c r="BE83" s="1187"/>
      <c r="BF83" s="1187"/>
      <c r="BX83" s="823"/>
      <c r="BY83" s="823"/>
      <c r="CA83" s="1118"/>
      <c r="CB83" s="1467" t="str">
        <f t="shared" si="27"/>
        <v/>
      </c>
      <c r="CC83" s="1467" t="str">
        <f t="shared" si="28"/>
        <v/>
      </c>
      <c r="CH83" s="1468">
        <f t="shared" si="29"/>
        <v>0</v>
      </c>
      <c r="CI83" s="1468">
        <f t="shared" si="30"/>
        <v>0</v>
      </c>
      <c r="CJ83" s="1465"/>
      <c r="CK83" s="1465"/>
      <c r="CL83" s="1465"/>
      <c r="CM83" s="1465"/>
      <c r="CN83" s="1465"/>
      <c r="CO83" s="1465"/>
      <c r="CP83" s="1465"/>
      <c r="DA83" s="1464"/>
    </row>
    <row r="84" spans="1:105" ht="19.5" customHeight="1" x14ac:dyDescent="0.25">
      <c r="A84" s="8125"/>
      <c r="B84" s="502" t="s">
        <v>1254</v>
      </c>
      <c r="C84" s="577">
        <f t="shared" si="32"/>
        <v>0</v>
      </c>
      <c r="D84" s="576">
        <f>+J84+L84+N84</f>
        <v>0</v>
      </c>
      <c r="E84" s="172">
        <f>+K84+M84+O84</f>
        <v>0</v>
      </c>
      <c r="F84" s="93"/>
      <c r="G84" s="768"/>
      <c r="H84" s="763"/>
      <c r="I84" s="762"/>
      <c r="J84" s="110"/>
      <c r="K84" s="112"/>
      <c r="L84" s="110"/>
      <c r="M84" s="144"/>
      <c r="N84" s="136"/>
      <c r="O84" s="112"/>
      <c r="P84" s="767"/>
      <c r="Q84" s="764"/>
      <c r="R84" s="761"/>
      <c r="S84" s="766"/>
      <c r="T84" s="763"/>
      <c r="U84" s="762"/>
      <c r="V84" s="765"/>
      <c r="W84" s="761"/>
      <c r="X84" s="763"/>
      <c r="Y84" s="762"/>
      <c r="Z84" s="765"/>
      <c r="AA84" s="761"/>
      <c r="AB84" s="763"/>
      <c r="AC84" s="762"/>
      <c r="AD84" s="763"/>
      <c r="AE84" s="764"/>
      <c r="AF84" s="763"/>
      <c r="AG84" s="762"/>
      <c r="AH84" s="763"/>
      <c r="AI84" s="762"/>
      <c r="AJ84" s="763"/>
      <c r="AK84" s="762"/>
      <c r="AL84" s="761"/>
      <c r="AM84" s="760"/>
      <c r="AN84" s="136"/>
      <c r="AO84" s="122"/>
      <c r="AP84" s="123"/>
      <c r="AQ84" s="144"/>
      <c r="AR84" s="122"/>
      <c r="AS84" s="122"/>
      <c r="AT84" s="1381" t="str">
        <f t="shared" si="26"/>
        <v/>
      </c>
      <c r="AU84" s="802"/>
      <c r="AV84" s="802"/>
      <c r="AW84" s="802"/>
      <c r="AX84" s="802"/>
      <c r="AY84" s="802"/>
      <c r="AZ84" s="802"/>
      <c r="BA84" s="802"/>
      <c r="BB84" s="802"/>
      <c r="BC84" s="802"/>
      <c r="BD84" s="802"/>
      <c r="BE84" s="1187"/>
      <c r="BF84" s="1187"/>
      <c r="BX84" s="823"/>
      <c r="BY84" s="823"/>
      <c r="CA84" s="1118"/>
      <c r="CB84" s="1467" t="str">
        <f t="shared" si="27"/>
        <v/>
      </c>
      <c r="CC84" s="1467" t="str">
        <f t="shared" si="28"/>
        <v/>
      </c>
      <c r="CH84" s="1468">
        <f t="shared" si="29"/>
        <v>0</v>
      </c>
      <c r="CI84" s="1468">
        <f t="shared" si="30"/>
        <v>0</v>
      </c>
      <c r="CJ84" s="1465"/>
      <c r="CK84" s="1465"/>
      <c r="CL84" s="1465"/>
      <c r="CM84" s="1465"/>
      <c r="CN84" s="1465"/>
      <c r="CO84" s="1465"/>
      <c r="CP84" s="1465"/>
      <c r="DA84" s="1464"/>
    </row>
    <row r="85" spans="1:105" ht="19.5" customHeight="1" x14ac:dyDescent="0.25">
      <c r="A85" s="8428"/>
      <c r="B85" s="527" t="s">
        <v>1253</v>
      </c>
      <c r="C85" s="1357">
        <f t="shared" si="32"/>
        <v>0</v>
      </c>
      <c r="D85" s="1358">
        <f>SUM(F85+H85+J85+L85+N85+P85+R85+T85+V85+X85+Z85+AB85+AD85+AF85+AH85+AJ85+AL85)</f>
        <v>0</v>
      </c>
      <c r="E85" s="147">
        <f>SUM(G85+I85+K85+M85+O85+Q85+S85+U85+W85+Y85+AA85+AC85+AE85+AG85+AI85+AK85+AM85)</f>
        <v>0</v>
      </c>
      <c r="F85" s="125"/>
      <c r="G85" s="173"/>
      <c r="H85" s="125"/>
      <c r="I85" s="127"/>
      <c r="J85" s="102"/>
      <c r="K85" s="175"/>
      <c r="L85" s="125"/>
      <c r="M85" s="101"/>
      <c r="N85" s="102"/>
      <c r="O85" s="175"/>
      <c r="P85" s="159"/>
      <c r="Q85" s="101"/>
      <c r="R85" s="173"/>
      <c r="S85" s="175"/>
      <c r="T85" s="125"/>
      <c r="U85" s="127"/>
      <c r="V85" s="102"/>
      <c r="W85" s="173"/>
      <c r="X85" s="125"/>
      <c r="Y85" s="127"/>
      <c r="Z85" s="102"/>
      <c r="AA85" s="173"/>
      <c r="AB85" s="125"/>
      <c r="AC85" s="127"/>
      <c r="AD85" s="125"/>
      <c r="AE85" s="101"/>
      <c r="AF85" s="125"/>
      <c r="AG85" s="127"/>
      <c r="AH85" s="125"/>
      <c r="AI85" s="127"/>
      <c r="AJ85" s="125"/>
      <c r="AK85" s="127"/>
      <c r="AL85" s="173"/>
      <c r="AM85" s="198"/>
      <c r="AN85" s="102"/>
      <c r="AO85" s="101"/>
      <c r="AP85" s="86"/>
      <c r="AQ85" s="127"/>
      <c r="AR85" s="127"/>
      <c r="AS85" s="127"/>
      <c r="AT85" s="1381" t="str">
        <f t="shared" si="26"/>
        <v/>
      </c>
      <c r="AU85" s="802"/>
      <c r="AV85" s="802"/>
      <c r="AW85" s="802"/>
      <c r="AX85" s="802"/>
      <c r="AY85" s="802"/>
      <c r="AZ85" s="802"/>
      <c r="BA85" s="802"/>
      <c r="BB85" s="802"/>
      <c r="BC85" s="802"/>
      <c r="BD85" s="802"/>
      <c r="BE85" s="1187"/>
      <c r="BF85" s="1187"/>
      <c r="BX85" s="823"/>
      <c r="BY85" s="823"/>
      <c r="CA85" s="1118"/>
      <c r="CB85" s="1467" t="str">
        <f t="shared" si="27"/>
        <v/>
      </c>
      <c r="CC85" s="1467" t="str">
        <f t="shared" si="28"/>
        <v/>
      </c>
      <c r="CH85" s="1468">
        <f t="shared" si="29"/>
        <v>0</v>
      </c>
      <c r="CI85" s="1468">
        <f t="shared" si="30"/>
        <v>0</v>
      </c>
      <c r="CJ85" s="1465"/>
      <c r="CK85" s="1465"/>
      <c r="CL85" s="1465"/>
      <c r="CM85" s="1465"/>
      <c r="CN85" s="1465"/>
      <c r="CO85" s="1465"/>
      <c r="CP85" s="1465"/>
      <c r="DA85" s="1464"/>
    </row>
    <row r="86" spans="1:105" ht="32.1" customHeight="1" x14ac:dyDescent="0.25">
      <c r="A86" s="746" t="s">
        <v>1252</v>
      </c>
      <c r="B86" s="670"/>
      <c r="C86" s="670"/>
      <c r="D86" s="670"/>
      <c r="E86" s="759"/>
      <c r="F86" s="759"/>
      <c r="G86" s="759"/>
      <c r="H86" s="759"/>
      <c r="I86" s="759"/>
      <c r="J86" s="759"/>
      <c r="K86" s="759"/>
      <c r="L86" s="288"/>
      <c r="M86" s="1187"/>
      <c r="N86" s="1187"/>
      <c r="O86" s="1187"/>
      <c r="P86" s="1187"/>
      <c r="Q86" s="1187"/>
      <c r="R86" s="1187"/>
      <c r="S86" s="1187"/>
      <c r="AR86" s="1187"/>
      <c r="AS86" s="1187"/>
      <c r="AT86" s="1187"/>
      <c r="AU86" s="1187"/>
      <c r="AV86" s="1187"/>
      <c r="AW86" s="1187"/>
      <c r="AX86" s="1187"/>
      <c r="AY86" s="1187"/>
      <c r="AZ86" s="1187"/>
      <c r="BA86" s="1187"/>
      <c r="BB86" s="1187"/>
      <c r="BC86" s="1187"/>
      <c r="BD86" s="1187"/>
      <c r="BE86" s="1187"/>
      <c r="CG86" s="1465"/>
      <c r="CH86" s="1465"/>
      <c r="CI86" s="1465"/>
      <c r="CJ86" s="1465"/>
      <c r="CK86" s="1465"/>
      <c r="CL86" s="1465"/>
      <c r="CM86" s="1465"/>
      <c r="CN86" s="1465"/>
      <c r="CO86" s="1465"/>
    </row>
    <row r="87" spans="1:105" ht="25.35" customHeight="1" x14ac:dyDescent="0.25">
      <c r="A87" s="8167" t="s">
        <v>1251</v>
      </c>
      <c r="B87" s="727" t="s">
        <v>121</v>
      </c>
      <c r="C87" s="2195" t="s">
        <v>1212</v>
      </c>
      <c r="D87" s="2195" t="s">
        <v>1250</v>
      </c>
      <c r="E87" s="759"/>
      <c r="F87" s="759"/>
      <c r="G87" s="759"/>
      <c r="H87" s="759"/>
      <c r="I87" s="759"/>
      <c r="J87" s="759"/>
      <c r="K87" s="759"/>
      <c r="L87" s="288"/>
      <c r="M87" s="1187"/>
      <c r="N87" s="1187"/>
      <c r="O87" s="1187"/>
      <c r="P87" s="1187"/>
      <c r="Q87" s="1187"/>
      <c r="R87" s="1187"/>
      <c r="S87" s="1187"/>
      <c r="AR87" s="1187"/>
      <c r="AS87" s="1187"/>
      <c r="AT87" s="1187"/>
      <c r="AU87" s="1187"/>
      <c r="AV87" s="1187"/>
      <c r="AW87" s="1187"/>
      <c r="AX87" s="1187"/>
      <c r="AY87" s="1187"/>
      <c r="AZ87" s="1187"/>
      <c r="BA87" s="1187"/>
      <c r="BB87" s="1187"/>
      <c r="BC87" s="1187"/>
      <c r="BD87" s="1187"/>
      <c r="BE87" s="1187"/>
      <c r="CG87" s="1465"/>
      <c r="CH87" s="1465"/>
      <c r="CI87" s="1465"/>
      <c r="CJ87" s="1465"/>
      <c r="CK87" s="1465"/>
      <c r="CL87" s="1465"/>
      <c r="CM87" s="1465"/>
      <c r="CN87" s="1465"/>
      <c r="CO87" s="1465"/>
    </row>
    <row r="88" spans="1:105" ht="26.25" customHeight="1" x14ac:dyDescent="0.25">
      <c r="A88" s="8130"/>
      <c r="B88" s="758" t="s">
        <v>1249</v>
      </c>
      <c r="C88" s="690"/>
      <c r="D88" s="690"/>
      <c r="E88" s="1381" t="str">
        <f>$CA88&amp;$CB88&amp;$CC88&amp;$CD88</f>
        <v/>
      </c>
      <c r="F88" s="802"/>
      <c r="G88" s="802"/>
      <c r="H88" s="802"/>
      <c r="I88" s="802"/>
      <c r="J88" s="802"/>
      <c r="K88" s="802"/>
      <c r="L88" s="802"/>
      <c r="M88" s="802"/>
      <c r="N88" s="802"/>
      <c r="O88" s="802"/>
      <c r="P88" s="802"/>
      <c r="Q88" s="1187"/>
      <c r="R88" s="1187"/>
      <c r="S88" s="1187"/>
      <c r="CA88" s="1464" t="str">
        <f>IF(D88&lt;=C88,"","* Las consejerías realizadas en Espacios Amigables NO DEBEN ser mayor al Total de Actividades. ")</f>
        <v/>
      </c>
      <c r="CG88" s="1465">
        <f>IF(D88&lt;=C88,0,1)</f>
        <v>0</v>
      </c>
      <c r="CH88" s="1465"/>
      <c r="CI88" s="1465"/>
      <c r="CJ88" s="1465"/>
      <c r="CK88" s="1465"/>
      <c r="CL88" s="1465"/>
      <c r="CM88" s="1465"/>
      <c r="CN88" s="1465"/>
      <c r="CO88" s="1465"/>
    </row>
    <row r="89" spans="1:105" ht="26.25" customHeight="1" x14ac:dyDescent="0.25">
      <c r="A89" s="8130"/>
      <c r="B89" s="2146" t="s">
        <v>1248</v>
      </c>
      <c r="C89" s="123"/>
      <c r="D89" s="123"/>
      <c r="E89" s="1381" t="str">
        <f>$CA89&amp;$CB89&amp;$CC89&amp;$CD89</f>
        <v/>
      </c>
      <c r="F89" s="802"/>
      <c r="G89" s="802"/>
      <c r="H89" s="802"/>
      <c r="I89" s="802"/>
      <c r="J89" s="802"/>
      <c r="K89" s="802"/>
      <c r="L89" s="802"/>
      <c r="M89" s="802"/>
      <c r="N89" s="802"/>
      <c r="O89" s="802"/>
      <c r="P89" s="802"/>
      <c r="Q89" s="1187"/>
      <c r="R89" s="1187"/>
      <c r="S89" s="1187"/>
      <c r="CA89" s="1464" t="str">
        <f>IF(D89&lt;=C89,"","* Las consejerías realizadas en Espacios Amigables NO DEBEN ser mayor al Total de Actividades. ")</f>
        <v/>
      </c>
      <c r="CG89" s="1465">
        <f>IF(D89&lt;=C89,0,1)</f>
        <v>0</v>
      </c>
      <c r="CH89" s="1465"/>
      <c r="CI89" s="1465"/>
      <c r="CJ89" s="1465"/>
      <c r="CK89" s="1465"/>
      <c r="CL89" s="1465"/>
      <c r="CM89" s="1465"/>
      <c r="CN89" s="1465"/>
      <c r="CO89" s="1465"/>
    </row>
    <row r="90" spans="1:105" ht="26.25" customHeight="1" x14ac:dyDescent="0.25">
      <c r="A90" s="8130"/>
      <c r="B90" s="2146" t="s">
        <v>1247</v>
      </c>
      <c r="C90" s="123"/>
      <c r="D90" s="123"/>
      <c r="E90" s="1381" t="str">
        <f>$CA90&amp;$CB90&amp;$CC90&amp;$CD90</f>
        <v/>
      </c>
      <c r="F90" s="802"/>
      <c r="G90" s="802"/>
      <c r="H90" s="802"/>
      <c r="I90" s="802"/>
      <c r="J90" s="802"/>
      <c r="K90" s="802"/>
      <c r="L90" s="802"/>
      <c r="M90" s="802"/>
      <c r="N90" s="802"/>
      <c r="O90" s="802"/>
      <c r="P90" s="802"/>
      <c r="Q90" s="1187"/>
      <c r="R90" s="1187"/>
      <c r="S90" s="1187"/>
      <c r="CA90" s="1464" t="str">
        <f>IF(D90&lt;=C90,"","* Las consejerías realizadas en Espacios Amigables NO DEBEN ser mayor al Total de Actividades. ")</f>
        <v/>
      </c>
      <c r="CG90" s="1465">
        <f>IF(D90&lt;=C90,0,1)</f>
        <v>0</v>
      </c>
      <c r="CH90" s="1465"/>
      <c r="CI90" s="1465"/>
      <c r="CJ90" s="1465"/>
      <c r="CK90" s="1465"/>
      <c r="CL90" s="1465"/>
      <c r="CM90" s="1465"/>
      <c r="CN90" s="1465"/>
      <c r="CO90" s="1465"/>
    </row>
    <row r="91" spans="1:105" ht="26.25" customHeight="1" x14ac:dyDescent="0.25">
      <c r="A91" s="8130"/>
      <c r="B91" s="2146" t="s">
        <v>1246</v>
      </c>
      <c r="C91" s="123"/>
      <c r="D91" s="500"/>
      <c r="E91" s="1381"/>
      <c r="F91" s="802"/>
      <c r="G91" s="802"/>
      <c r="H91" s="802"/>
      <c r="I91" s="802"/>
      <c r="J91" s="802"/>
      <c r="K91" s="802"/>
      <c r="L91" s="802"/>
      <c r="M91" s="802"/>
      <c r="N91" s="802"/>
      <c r="O91" s="802"/>
      <c r="P91" s="802"/>
      <c r="Q91" s="1187"/>
      <c r="R91" s="1187"/>
      <c r="S91" s="1187"/>
      <c r="CG91" s="1465"/>
      <c r="CH91" s="1465"/>
      <c r="CI91" s="1465"/>
      <c r="CJ91" s="1465"/>
      <c r="CK91" s="1465"/>
      <c r="CL91" s="1465"/>
      <c r="CM91" s="1465"/>
      <c r="CN91" s="1465"/>
      <c r="CO91" s="1465"/>
    </row>
    <row r="92" spans="1:105" ht="26.25" customHeight="1" x14ac:dyDescent="0.25">
      <c r="A92" s="8130"/>
      <c r="B92" s="2112" t="s">
        <v>1245</v>
      </c>
      <c r="C92" s="144"/>
      <c r="D92" s="500"/>
      <c r="E92" s="1381"/>
      <c r="F92" s="802"/>
      <c r="G92" s="802"/>
      <c r="H92" s="802"/>
      <c r="I92" s="802"/>
      <c r="J92" s="802"/>
      <c r="K92" s="802"/>
      <c r="L92" s="802"/>
      <c r="M92" s="802"/>
      <c r="N92" s="802"/>
      <c r="O92" s="802"/>
      <c r="P92" s="802"/>
      <c r="Q92" s="1187"/>
      <c r="R92" s="1187"/>
      <c r="S92" s="1187"/>
      <c r="CG92" s="1465"/>
      <c r="CH92" s="1465"/>
      <c r="CI92" s="1465"/>
      <c r="CJ92" s="1465"/>
      <c r="CK92" s="1465"/>
      <c r="CL92" s="1465"/>
      <c r="CM92" s="1465"/>
      <c r="CN92" s="1465"/>
      <c r="CO92" s="1465"/>
    </row>
    <row r="93" spans="1:105" ht="26.25" customHeight="1" x14ac:dyDescent="0.25">
      <c r="A93" s="8130"/>
      <c r="B93" s="2112" t="s">
        <v>1244</v>
      </c>
      <c r="C93" s="144"/>
      <c r="D93" s="123"/>
      <c r="E93" s="1381" t="str">
        <f>$CA93&amp;$CB93&amp;$CC93&amp;$CD93</f>
        <v/>
      </c>
      <c r="F93" s="802"/>
      <c r="G93" s="802"/>
      <c r="H93" s="802"/>
      <c r="I93" s="802"/>
      <c r="J93" s="802"/>
      <c r="K93" s="802"/>
      <c r="L93" s="802"/>
      <c r="M93" s="802"/>
      <c r="N93" s="802"/>
      <c r="O93" s="802"/>
      <c r="P93" s="802"/>
      <c r="Q93" s="1187"/>
      <c r="R93" s="1187"/>
      <c r="S93" s="1187"/>
      <c r="CA93" s="1464" t="str">
        <f>IF(D93&lt;=C93,"","* Las consejerías realizadas en Espacios Amigables NO DEBEN ser mayor al Total de Actividades. ")</f>
        <v/>
      </c>
      <c r="CG93" s="1465">
        <f>IF(D93&lt;=C93,0,1)</f>
        <v>0</v>
      </c>
      <c r="CH93" s="1465"/>
      <c r="CI93" s="1465"/>
      <c r="CJ93" s="1465"/>
      <c r="CK93" s="1465"/>
      <c r="CL93" s="1465"/>
      <c r="CM93" s="1465"/>
      <c r="CN93" s="1465"/>
      <c r="CO93" s="1465"/>
    </row>
    <row r="94" spans="1:105" ht="26.25" customHeight="1" x14ac:dyDescent="0.25">
      <c r="A94" s="8130"/>
      <c r="B94" s="2112" t="s">
        <v>1243</v>
      </c>
      <c r="C94" s="144"/>
      <c r="D94" s="123"/>
      <c r="E94" s="1381" t="str">
        <f>$CA94&amp;$CB94&amp;$CC94&amp;$CD94</f>
        <v/>
      </c>
      <c r="F94" s="802"/>
      <c r="G94" s="802"/>
      <c r="H94" s="802"/>
      <c r="I94" s="802"/>
      <c r="J94" s="802"/>
      <c r="K94" s="802"/>
      <c r="L94" s="802"/>
      <c r="M94" s="802"/>
      <c r="N94" s="802"/>
      <c r="O94" s="802"/>
      <c r="P94" s="802"/>
      <c r="Q94" s="1187"/>
      <c r="R94" s="1187"/>
      <c r="S94" s="1187"/>
      <c r="CA94" s="1464" t="str">
        <f>IF(D94&lt;=C94,"","* Las consejerías realizadas en Espacios Amigables NO DEBEN ser mayor al Total de Actividades. ")</f>
        <v/>
      </c>
      <c r="CG94" s="1465">
        <f>IF(D94&lt;=C94,0,1)</f>
        <v>0</v>
      </c>
      <c r="CH94" s="1465"/>
      <c r="CI94" s="1465"/>
      <c r="CJ94" s="1465"/>
      <c r="CK94" s="1465"/>
      <c r="CL94" s="1465"/>
      <c r="CM94" s="1465"/>
      <c r="CN94" s="1465"/>
      <c r="CO94" s="1465"/>
    </row>
    <row r="95" spans="1:105" ht="26.25" customHeight="1" x14ac:dyDescent="0.25">
      <c r="A95" s="8130"/>
      <c r="B95" s="2112" t="s">
        <v>1242</v>
      </c>
      <c r="C95" s="123"/>
      <c r="D95" s="123"/>
      <c r="E95" s="1381" t="str">
        <f>$CA95&amp;$CB95&amp;$CC95&amp;$CD95</f>
        <v/>
      </c>
      <c r="F95" s="802"/>
      <c r="G95" s="802"/>
      <c r="H95" s="802"/>
      <c r="I95" s="802"/>
      <c r="J95" s="802"/>
      <c r="K95" s="802"/>
      <c r="L95" s="802"/>
      <c r="M95" s="802"/>
      <c r="N95" s="802"/>
      <c r="O95" s="802"/>
      <c r="P95" s="802"/>
      <c r="Q95" s="1187"/>
      <c r="R95" s="1187"/>
      <c r="S95" s="1187"/>
      <c r="CA95" s="1464" t="str">
        <f>IF(D95&lt;=C95,"","* Las consejerías realizadas en Espacios Amigables NO DEBEN ser mayor al Total de Actividades. ")</f>
        <v/>
      </c>
      <c r="CG95" s="1465">
        <f>IF(D95&lt;=C95,0,1)</f>
        <v>0</v>
      </c>
      <c r="CH95" s="1465"/>
      <c r="CI95" s="1465"/>
      <c r="CJ95" s="1465"/>
      <c r="CK95" s="1465"/>
      <c r="CL95" s="1465"/>
      <c r="CM95" s="1465"/>
      <c r="CN95" s="1465"/>
      <c r="CO95" s="1465"/>
    </row>
    <row r="96" spans="1:105" ht="26.25" customHeight="1" x14ac:dyDescent="0.25">
      <c r="A96" s="8168"/>
      <c r="B96" s="1346" t="s">
        <v>1241</v>
      </c>
      <c r="C96" s="750"/>
      <c r="D96" s="750"/>
      <c r="E96" s="1381" t="str">
        <f>$CA96&amp;$CB96&amp;$CC96&amp;$CD96</f>
        <v/>
      </c>
      <c r="F96" s="802"/>
      <c r="G96" s="802"/>
      <c r="H96" s="802"/>
      <c r="I96" s="802"/>
      <c r="J96" s="802"/>
      <c r="K96" s="802"/>
      <c r="L96" s="802"/>
      <c r="M96" s="802"/>
      <c r="N96" s="802"/>
      <c r="O96" s="802"/>
      <c r="P96" s="802"/>
      <c r="Q96" s="1187"/>
      <c r="R96" s="1187"/>
      <c r="S96" s="1187"/>
      <c r="CA96" s="1464" t="str">
        <f>IF(D96&lt;=C96,"","* Las consejerías realizadas en Espacios Amigables NO DEBEN ser mayor al Total de Actividades. ")</f>
        <v/>
      </c>
      <c r="CG96" s="1465">
        <f>IF(D96&lt;=C96,0,1)</f>
        <v>0</v>
      </c>
      <c r="CH96" s="1465"/>
      <c r="CI96" s="1465"/>
      <c r="CJ96" s="1465"/>
      <c r="CK96" s="1465"/>
      <c r="CL96" s="1465"/>
      <c r="CM96" s="1465"/>
      <c r="CN96" s="1465"/>
      <c r="CO96" s="1465"/>
    </row>
    <row r="97" spans="1:93" ht="26.25" customHeight="1" x14ac:dyDescent="0.25">
      <c r="A97" s="3547" t="s">
        <v>3583</v>
      </c>
      <c r="B97" s="3547"/>
      <c r="C97" s="746"/>
      <c r="D97" s="746"/>
      <c r="E97" s="1469"/>
      <c r="F97" s="802"/>
      <c r="G97" s="802"/>
      <c r="H97" s="802"/>
      <c r="I97" s="802"/>
      <c r="J97" s="802"/>
      <c r="K97" s="802"/>
      <c r="L97" s="802"/>
      <c r="M97" s="802"/>
      <c r="N97" s="802"/>
      <c r="O97" s="802"/>
      <c r="P97" s="802"/>
      <c r="Q97" s="1187"/>
      <c r="R97" s="1187"/>
      <c r="S97" s="1187"/>
      <c r="CG97" s="1465"/>
      <c r="CH97" s="1465"/>
      <c r="CI97" s="1465"/>
      <c r="CJ97" s="1465"/>
      <c r="CK97" s="1465"/>
      <c r="CL97" s="1465"/>
      <c r="CM97" s="1465"/>
      <c r="CN97" s="1465"/>
      <c r="CO97" s="1465"/>
    </row>
    <row r="98" spans="1:93" ht="26.25" customHeight="1" x14ac:dyDescent="0.25">
      <c r="A98" s="8197" t="s">
        <v>41</v>
      </c>
      <c r="B98" s="746"/>
      <c r="C98" s="9341" t="s">
        <v>24</v>
      </c>
      <c r="D98" s="8129"/>
      <c r="E98" s="9140"/>
      <c r="F98" s="9722" t="s">
        <v>84</v>
      </c>
      <c r="G98" s="9723"/>
      <c r="H98" s="9723"/>
      <c r="I98" s="9723"/>
      <c r="J98" s="9723"/>
      <c r="K98" s="9723"/>
      <c r="L98" s="9723"/>
      <c r="M98" s="9723"/>
      <c r="N98" s="9723"/>
      <c r="O98" s="9723"/>
      <c r="P98" s="9723"/>
      <c r="Q98" s="9723"/>
      <c r="R98" s="9723"/>
      <c r="S98" s="9723"/>
      <c r="T98" s="9723"/>
      <c r="U98" s="9723"/>
      <c r="V98" s="9723"/>
      <c r="W98" s="9723"/>
      <c r="X98" s="9723"/>
      <c r="Y98" s="9723"/>
      <c r="Z98" s="9723"/>
      <c r="AA98" s="9723"/>
      <c r="AB98" s="9723"/>
      <c r="AC98" s="9723"/>
      <c r="AD98" s="9723"/>
      <c r="AE98" s="9723"/>
      <c r="AF98" s="9723"/>
      <c r="AG98" s="9723"/>
      <c r="AH98" s="9723"/>
      <c r="AI98" s="9723"/>
      <c r="AJ98" s="9723"/>
      <c r="AK98" s="9724"/>
      <c r="AL98" s="9720" t="s">
        <v>3702</v>
      </c>
      <c r="CG98" s="1465"/>
      <c r="CH98" s="1465"/>
      <c r="CI98" s="1465"/>
      <c r="CJ98" s="1465"/>
      <c r="CK98" s="1465"/>
      <c r="CL98" s="1465"/>
      <c r="CM98" s="1465"/>
      <c r="CN98" s="1465"/>
      <c r="CO98" s="1465"/>
    </row>
    <row r="99" spans="1:93" ht="26.25" customHeight="1" x14ac:dyDescent="0.25">
      <c r="A99" s="8196"/>
      <c r="B99" s="746"/>
      <c r="C99" s="9705"/>
      <c r="D99" s="9230"/>
      <c r="E99" s="8527"/>
      <c r="F99" s="9700" t="s">
        <v>77</v>
      </c>
      <c r="G99" s="9701"/>
      <c r="H99" s="9700" t="s">
        <v>3584</v>
      </c>
      <c r="I99" s="9701"/>
      <c r="J99" s="9700" t="s">
        <v>3585</v>
      </c>
      <c r="K99" s="9701"/>
      <c r="L99" s="9700" t="s">
        <v>3586</v>
      </c>
      <c r="M99" s="9701"/>
      <c r="N99" s="9700" t="s">
        <v>3587</v>
      </c>
      <c r="O99" s="9701"/>
      <c r="P99" s="9700" t="s">
        <v>1240</v>
      </c>
      <c r="Q99" s="9701"/>
      <c r="R99" s="9700" t="s">
        <v>3588</v>
      </c>
      <c r="S99" s="9701"/>
      <c r="T99" s="9700" t="s">
        <v>1239</v>
      </c>
      <c r="U99" s="9701"/>
      <c r="V99" s="9700" t="s">
        <v>3589</v>
      </c>
      <c r="W99" s="9701"/>
      <c r="X99" s="9700" t="s">
        <v>1238</v>
      </c>
      <c r="Y99" s="9701"/>
      <c r="Z99" s="9700" t="s">
        <v>3590</v>
      </c>
      <c r="AA99" s="9701"/>
      <c r="AB99" s="9700" t="s">
        <v>3591</v>
      </c>
      <c r="AC99" s="9701"/>
      <c r="AD99" s="9700" t="s">
        <v>3592</v>
      </c>
      <c r="AE99" s="9701"/>
      <c r="AF99" s="9700" t="s">
        <v>3593</v>
      </c>
      <c r="AG99" s="9701"/>
      <c r="AH99" s="9702" t="s">
        <v>16</v>
      </c>
      <c r="AI99" s="9703"/>
      <c r="AJ99" s="9704" t="s">
        <v>3594</v>
      </c>
      <c r="AK99" s="8516"/>
      <c r="AL99" s="9721"/>
      <c r="CG99" s="1465"/>
      <c r="CH99" s="1465"/>
      <c r="CI99" s="1465"/>
      <c r="CJ99" s="1465"/>
      <c r="CK99" s="1465"/>
      <c r="CL99" s="1465"/>
      <c r="CM99" s="1465"/>
      <c r="CN99" s="1465"/>
      <c r="CO99" s="1465"/>
    </row>
    <row r="100" spans="1:93" ht="26.25" customHeight="1" x14ac:dyDescent="0.25">
      <c r="A100" s="8198"/>
      <c r="B100" s="746"/>
      <c r="C100" s="3392" t="s">
        <v>1237</v>
      </c>
      <c r="D100" s="3020" t="s">
        <v>699</v>
      </c>
      <c r="E100" s="3355" t="s">
        <v>698</v>
      </c>
      <c r="F100" s="3433" t="s">
        <v>699</v>
      </c>
      <c r="G100" s="3393" t="s">
        <v>698</v>
      </c>
      <c r="H100" s="3433" t="s">
        <v>699</v>
      </c>
      <c r="I100" s="3393" t="s">
        <v>698</v>
      </c>
      <c r="J100" s="3433" t="s">
        <v>699</v>
      </c>
      <c r="K100" s="3393" t="s">
        <v>698</v>
      </c>
      <c r="L100" s="3433" t="s">
        <v>699</v>
      </c>
      <c r="M100" s="3393" t="s">
        <v>698</v>
      </c>
      <c r="N100" s="3433" t="s">
        <v>699</v>
      </c>
      <c r="O100" s="3393" t="s">
        <v>698</v>
      </c>
      <c r="P100" s="3433" t="s">
        <v>699</v>
      </c>
      <c r="Q100" s="3393" t="s">
        <v>698</v>
      </c>
      <c r="R100" s="3433" t="s">
        <v>699</v>
      </c>
      <c r="S100" s="3393" t="s">
        <v>698</v>
      </c>
      <c r="T100" s="3433" t="s">
        <v>699</v>
      </c>
      <c r="U100" s="3393" t="s">
        <v>698</v>
      </c>
      <c r="V100" s="3433" t="s">
        <v>699</v>
      </c>
      <c r="W100" s="3393" t="s">
        <v>698</v>
      </c>
      <c r="X100" s="3433" t="s">
        <v>699</v>
      </c>
      <c r="Y100" s="3393" t="s">
        <v>698</v>
      </c>
      <c r="Z100" s="3433" t="s">
        <v>699</v>
      </c>
      <c r="AA100" s="3393" t="s">
        <v>698</v>
      </c>
      <c r="AB100" s="3433" t="s">
        <v>699</v>
      </c>
      <c r="AC100" s="3393" t="s">
        <v>698</v>
      </c>
      <c r="AD100" s="3433" t="s">
        <v>699</v>
      </c>
      <c r="AE100" s="3393" t="s">
        <v>698</v>
      </c>
      <c r="AF100" s="3433" t="s">
        <v>699</v>
      </c>
      <c r="AG100" s="3393" t="s">
        <v>698</v>
      </c>
      <c r="AH100" s="3433" t="s">
        <v>699</v>
      </c>
      <c r="AI100" s="3548" t="s">
        <v>698</v>
      </c>
      <c r="AJ100" s="3020" t="s">
        <v>699</v>
      </c>
      <c r="AK100" s="4016" t="s">
        <v>698</v>
      </c>
      <c r="AL100" s="9721"/>
      <c r="CG100" s="1465"/>
      <c r="CH100" s="1465"/>
      <c r="CI100" s="1465"/>
      <c r="CJ100" s="1465"/>
      <c r="CK100" s="1465"/>
      <c r="CL100" s="1465"/>
      <c r="CM100" s="1465"/>
      <c r="CN100" s="1465"/>
      <c r="CO100" s="1465"/>
    </row>
    <row r="101" spans="1:93" ht="15.95" customHeight="1" x14ac:dyDescent="0.25">
      <c r="A101" s="9140" t="s">
        <v>3595</v>
      </c>
      <c r="B101" s="3549" t="s">
        <v>3596</v>
      </c>
      <c r="C101" s="3404">
        <f>SUM(D101:E101)</f>
        <v>0</v>
      </c>
      <c r="D101" s="3550">
        <f t="shared" ref="D101:E103" si="34">+F101+H101+J101+L101+N101+P101+R101+T101+V101+X101+Z101+AB101+AD101+AF101+AH101</f>
        <v>0</v>
      </c>
      <c r="E101" s="3551">
        <f t="shared" si="34"/>
        <v>0</v>
      </c>
      <c r="F101" s="3137"/>
      <c r="G101" s="3552"/>
      <c r="H101" s="3137"/>
      <c r="I101" s="3552"/>
      <c r="J101" s="3137"/>
      <c r="K101" s="3552"/>
      <c r="L101" s="3137"/>
      <c r="M101" s="3552"/>
      <c r="N101" s="3137"/>
      <c r="O101" s="3552"/>
      <c r="P101" s="3137"/>
      <c r="Q101" s="3552"/>
      <c r="R101" s="3137"/>
      <c r="S101" s="3552"/>
      <c r="T101" s="3137"/>
      <c r="U101" s="3552"/>
      <c r="V101" s="3137"/>
      <c r="W101" s="3552"/>
      <c r="X101" s="3137"/>
      <c r="Y101" s="3552"/>
      <c r="Z101" s="3137"/>
      <c r="AA101" s="3552"/>
      <c r="AB101" s="3137"/>
      <c r="AC101" s="3552"/>
      <c r="AD101" s="3137"/>
      <c r="AE101" s="3552"/>
      <c r="AF101" s="3137"/>
      <c r="AG101" s="3552"/>
      <c r="AH101" s="3553"/>
      <c r="AI101" s="3554"/>
      <c r="AJ101" s="1830"/>
      <c r="AK101" s="4017"/>
      <c r="AL101" s="5114"/>
      <c r="CG101" s="1465"/>
      <c r="CH101" s="1465"/>
      <c r="CI101" s="1465"/>
      <c r="CJ101" s="1465"/>
      <c r="CK101" s="1465"/>
      <c r="CL101" s="1465"/>
      <c r="CM101" s="1465"/>
      <c r="CN101" s="1465"/>
      <c r="CO101" s="1465"/>
    </row>
    <row r="102" spans="1:93" ht="15.95" customHeight="1" x14ac:dyDescent="0.25">
      <c r="A102" s="8151"/>
      <c r="B102" s="2918" t="s">
        <v>3597</v>
      </c>
      <c r="C102" s="2984">
        <f>SUM(D102:E102)</f>
        <v>0</v>
      </c>
      <c r="D102" s="2985">
        <f t="shared" si="34"/>
        <v>0</v>
      </c>
      <c r="E102" s="3555">
        <f t="shared" si="34"/>
        <v>0</v>
      </c>
      <c r="F102" s="2885"/>
      <c r="G102" s="2887"/>
      <c r="H102" s="2885"/>
      <c r="I102" s="2887"/>
      <c r="J102" s="2885"/>
      <c r="K102" s="2887"/>
      <c r="L102" s="2885"/>
      <c r="M102" s="2887"/>
      <c r="N102" s="2885"/>
      <c r="O102" s="2887"/>
      <c r="P102" s="2885"/>
      <c r="Q102" s="2887"/>
      <c r="R102" s="2885"/>
      <c r="S102" s="2887"/>
      <c r="T102" s="2885"/>
      <c r="U102" s="2887"/>
      <c r="V102" s="2885"/>
      <c r="W102" s="2887"/>
      <c r="X102" s="2885"/>
      <c r="Y102" s="2887"/>
      <c r="Z102" s="2885"/>
      <c r="AA102" s="2887"/>
      <c r="AB102" s="2885"/>
      <c r="AC102" s="2887"/>
      <c r="AD102" s="2885"/>
      <c r="AE102" s="2887"/>
      <c r="AF102" s="2885"/>
      <c r="AG102" s="2887"/>
      <c r="AH102" s="3556"/>
      <c r="AI102" s="2952"/>
      <c r="AJ102" s="2886"/>
      <c r="AK102" s="1897"/>
      <c r="AL102" s="1873"/>
      <c r="CG102" s="1465"/>
      <c r="CH102" s="1465"/>
      <c r="CI102" s="1465"/>
      <c r="CJ102" s="1465"/>
      <c r="CK102" s="1465"/>
      <c r="CL102" s="1465"/>
      <c r="CM102" s="1465"/>
      <c r="CN102" s="1465"/>
      <c r="CO102" s="1465"/>
    </row>
    <row r="103" spans="1:93" ht="15.95" customHeight="1" x14ac:dyDescent="0.25">
      <c r="A103" s="8527"/>
      <c r="B103" s="3557" t="s">
        <v>3598</v>
      </c>
      <c r="C103" s="2990">
        <f>SUM(D103:E103)</f>
        <v>0</v>
      </c>
      <c r="D103" s="2798">
        <f t="shared" si="34"/>
        <v>0</v>
      </c>
      <c r="E103" s="3558">
        <f t="shared" si="34"/>
        <v>0</v>
      </c>
      <c r="F103" s="2888"/>
      <c r="G103" s="2884"/>
      <c r="H103" s="2888"/>
      <c r="I103" s="2884"/>
      <c r="J103" s="2888"/>
      <c r="K103" s="2884"/>
      <c r="L103" s="2888"/>
      <c r="M103" s="2884"/>
      <c r="N103" s="2888"/>
      <c r="O103" s="2884"/>
      <c r="P103" s="2888"/>
      <c r="Q103" s="2884"/>
      <c r="R103" s="2888"/>
      <c r="S103" s="2884"/>
      <c r="T103" s="2888"/>
      <c r="U103" s="2884"/>
      <c r="V103" s="2888"/>
      <c r="W103" s="2884"/>
      <c r="X103" s="2888"/>
      <c r="Y103" s="2884"/>
      <c r="Z103" s="2888"/>
      <c r="AA103" s="2884"/>
      <c r="AB103" s="2888"/>
      <c r="AC103" s="2884"/>
      <c r="AD103" s="2888"/>
      <c r="AE103" s="2884"/>
      <c r="AF103" s="2888"/>
      <c r="AG103" s="2884"/>
      <c r="AH103" s="2524"/>
      <c r="AI103" s="2893"/>
      <c r="AJ103" s="2536"/>
      <c r="AK103" s="2711"/>
      <c r="AL103" s="2546"/>
      <c r="CG103" s="1465"/>
      <c r="CH103" s="1465"/>
      <c r="CI103" s="1465"/>
      <c r="CJ103" s="1465"/>
      <c r="CK103" s="1465"/>
      <c r="CL103" s="1465"/>
      <c r="CM103" s="1465"/>
      <c r="CN103" s="1465"/>
      <c r="CO103" s="1465"/>
    </row>
    <row r="104" spans="1:93" ht="21" customHeight="1" x14ac:dyDescent="0.25">
      <c r="A104" s="746" t="s">
        <v>1236</v>
      </c>
      <c r="B104" s="670"/>
      <c r="C104" s="13"/>
      <c r="D104" s="140"/>
      <c r="E104" s="288"/>
      <c r="F104" s="288"/>
      <c r="G104" s="288"/>
      <c r="H104" s="288"/>
      <c r="I104" s="288"/>
      <c r="J104" s="288"/>
      <c r="K104" s="288"/>
      <c r="L104" s="288"/>
      <c r="M104" s="1187"/>
      <c r="N104" s="1187"/>
      <c r="O104" s="1187"/>
      <c r="CG104" s="1465"/>
      <c r="CH104" s="1465"/>
      <c r="CI104" s="1465"/>
      <c r="CJ104" s="1465"/>
      <c r="CK104" s="1465"/>
      <c r="CL104" s="1465"/>
      <c r="CM104" s="1465"/>
      <c r="CN104" s="1465"/>
      <c r="CO104" s="1465"/>
    </row>
    <row r="105" spans="1:93" ht="21.75" customHeight="1" x14ac:dyDescent="0.25">
      <c r="A105" s="746" t="s">
        <v>1235</v>
      </c>
      <c r="B105" s="140"/>
      <c r="C105" s="140"/>
      <c r="D105" s="140"/>
      <c r="E105" s="140"/>
      <c r="F105" s="140"/>
      <c r="G105" s="140"/>
      <c r="H105" s="140"/>
      <c r="I105" s="140"/>
      <c r="J105" s="140"/>
      <c r="K105" s="140"/>
      <c r="L105" s="140"/>
      <c r="CG105" s="1465"/>
      <c r="CH105" s="1465"/>
      <c r="CI105" s="1465"/>
      <c r="CJ105" s="1465"/>
      <c r="CK105" s="1465"/>
      <c r="CL105" s="1465"/>
      <c r="CM105" s="1465"/>
      <c r="CN105" s="1465"/>
      <c r="CO105" s="1465"/>
    </row>
    <row r="106" spans="1:93" ht="27" customHeight="1" x14ac:dyDescent="0.25">
      <c r="A106" s="9691" t="s">
        <v>1234</v>
      </c>
      <c r="B106" s="9691" t="s">
        <v>3709</v>
      </c>
      <c r="C106" s="9691" t="s">
        <v>1212</v>
      </c>
      <c r="D106" s="9693" t="s">
        <v>1232</v>
      </c>
      <c r="E106" s="9694"/>
      <c r="F106" s="9694"/>
      <c r="G106" s="9694"/>
      <c r="H106" s="9694"/>
      <c r="I106" s="9694"/>
      <c r="J106" s="9695"/>
      <c r="K106" s="8183" t="s">
        <v>1231</v>
      </c>
      <c r="L106" s="8183" t="s">
        <v>1230</v>
      </c>
      <c r="CG106" s="1465"/>
      <c r="CH106" s="1465"/>
      <c r="CI106" s="1465"/>
      <c r="CJ106" s="1465"/>
      <c r="CK106" s="1465"/>
      <c r="CL106" s="1465"/>
      <c r="CM106" s="1465"/>
      <c r="CN106" s="1465"/>
      <c r="CO106" s="1465"/>
    </row>
    <row r="107" spans="1:93" ht="55.5" customHeight="1" x14ac:dyDescent="0.25">
      <c r="A107" s="9691"/>
      <c r="B107" s="9691"/>
      <c r="C107" s="9691"/>
      <c r="D107" s="2160" t="s">
        <v>1229</v>
      </c>
      <c r="E107" s="2178" t="s">
        <v>1228</v>
      </c>
      <c r="F107" s="2178" t="s">
        <v>1227</v>
      </c>
      <c r="G107" s="2178" t="s">
        <v>1226</v>
      </c>
      <c r="H107" s="2178" t="s">
        <v>1225</v>
      </c>
      <c r="I107" s="755" t="s">
        <v>1224</v>
      </c>
      <c r="J107" s="328" t="s">
        <v>1223</v>
      </c>
      <c r="K107" s="8444"/>
      <c r="L107" s="8444"/>
      <c r="CG107" s="1465"/>
      <c r="CH107" s="1465"/>
      <c r="CI107" s="1465"/>
      <c r="CJ107" s="1465"/>
      <c r="CK107" s="1465"/>
      <c r="CL107" s="1465"/>
      <c r="CM107" s="1465"/>
      <c r="CN107" s="1465"/>
      <c r="CO107" s="1465"/>
    </row>
    <row r="108" spans="1:93" ht="19.5" customHeight="1" x14ac:dyDescent="0.25">
      <c r="A108" s="9691" t="s">
        <v>1222</v>
      </c>
      <c r="B108" s="1098" t="s">
        <v>122</v>
      </c>
      <c r="C108" s="570">
        <f>SUM(D108:J108)</f>
        <v>0</v>
      </c>
      <c r="D108" s="520"/>
      <c r="E108" s="519"/>
      <c r="F108" s="519"/>
      <c r="G108" s="519"/>
      <c r="H108" s="519"/>
      <c r="I108" s="357"/>
      <c r="J108" s="754"/>
      <c r="K108" s="526"/>
      <c r="L108" s="521"/>
      <c r="M108" s="1118"/>
      <c r="CG108" s="1465"/>
      <c r="CH108" s="1465"/>
      <c r="CI108" s="1465"/>
      <c r="CJ108" s="1465"/>
      <c r="CK108" s="1465"/>
      <c r="CL108" s="1465"/>
      <c r="CM108" s="1465"/>
      <c r="CN108" s="1465"/>
      <c r="CO108" s="1465"/>
    </row>
    <row r="109" spans="1:93" ht="19.5" customHeight="1" x14ac:dyDescent="0.25">
      <c r="A109" s="9691"/>
      <c r="B109" s="2112" t="s">
        <v>1205</v>
      </c>
      <c r="C109" s="109">
        <f t="shared" ref="C109:C123" si="35">SUM(D109:J109)</f>
        <v>0</v>
      </c>
      <c r="D109" s="110"/>
      <c r="E109" s="111"/>
      <c r="F109" s="111"/>
      <c r="G109" s="111"/>
      <c r="H109" s="111"/>
      <c r="I109" s="168"/>
      <c r="J109" s="197"/>
      <c r="K109" s="136"/>
      <c r="L109" s="123"/>
      <c r="M109" s="1118"/>
      <c r="CG109" s="1465"/>
      <c r="CH109" s="1465"/>
      <c r="CI109" s="1465"/>
      <c r="CJ109" s="1465"/>
      <c r="CK109" s="1465"/>
      <c r="CL109" s="1465"/>
      <c r="CM109" s="1465"/>
      <c r="CN109" s="1465"/>
      <c r="CO109" s="1465"/>
    </row>
    <row r="110" spans="1:93" ht="19.5" customHeight="1" x14ac:dyDescent="0.25">
      <c r="A110" s="9691"/>
      <c r="B110" s="2112" t="s">
        <v>1204</v>
      </c>
      <c r="C110" s="109">
        <f t="shared" si="35"/>
        <v>0</v>
      </c>
      <c r="D110" s="110"/>
      <c r="E110" s="111"/>
      <c r="F110" s="111"/>
      <c r="G110" s="111"/>
      <c r="H110" s="111"/>
      <c r="I110" s="168"/>
      <c r="J110" s="197"/>
      <c r="K110" s="136"/>
      <c r="L110" s="123"/>
      <c r="M110" s="1118"/>
      <c r="CG110" s="1465"/>
      <c r="CH110" s="1465"/>
      <c r="CI110" s="1465"/>
      <c r="CJ110" s="1465"/>
      <c r="CK110" s="1465"/>
      <c r="CL110" s="1465"/>
      <c r="CM110" s="1465"/>
      <c r="CN110" s="1465"/>
      <c r="CO110" s="1465"/>
    </row>
    <row r="111" spans="1:93" ht="19.5" customHeight="1" x14ac:dyDescent="0.25">
      <c r="A111" s="9691"/>
      <c r="B111" s="1349" t="s">
        <v>1218</v>
      </c>
      <c r="C111" s="81">
        <f t="shared" si="35"/>
        <v>0</v>
      </c>
      <c r="D111" s="703"/>
      <c r="E111" s="753"/>
      <c r="F111" s="753"/>
      <c r="G111" s="753"/>
      <c r="H111" s="753"/>
      <c r="I111" s="752"/>
      <c r="J111" s="707"/>
      <c r="K111" s="751"/>
      <c r="L111" s="750"/>
      <c r="M111" s="1118"/>
      <c r="CG111" s="1465"/>
      <c r="CH111" s="1465"/>
      <c r="CI111" s="1465"/>
      <c r="CJ111" s="1465"/>
      <c r="CK111" s="1465"/>
      <c r="CL111" s="1465"/>
      <c r="CM111" s="1465"/>
      <c r="CN111" s="1465"/>
      <c r="CO111" s="1465"/>
    </row>
    <row r="112" spans="1:93" ht="19.5" customHeight="1" x14ac:dyDescent="0.25">
      <c r="A112" s="9691" t="s">
        <v>1221</v>
      </c>
      <c r="B112" s="1098" t="s">
        <v>122</v>
      </c>
      <c r="C112" s="743">
        <f t="shared" si="35"/>
        <v>0</v>
      </c>
      <c r="D112" s="691"/>
      <c r="E112" s="709"/>
      <c r="F112" s="709"/>
      <c r="G112" s="709"/>
      <c r="H112" s="709"/>
      <c r="I112" s="749"/>
      <c r="J112" s="696"/>
      <c r="K112" s="724"/>
      <c r="L112" s="690"/>
      <c r="M112" s="1118"/>
      <c r="CG112" s="1465"/>
      <c r="CH112" s="1465"/>
      <c r="CI112" s="1465"/>
      <c r="CJ112" s="1465"/>
      <c r="CK112" s="1465"/>
      <c r="CL112" s="1465"/>
      <c r="CM112" s="1465"/>
      <c r="CN112" s="1465"/>
      <c r="CO112" s="1465"/>
    </row>
    <row r="113" spans="1:93" ht="19.5" customHeight="1" x14ac:dyDescent="0.25">
      <c r="A113" s="9691"/>
      <c r="B113" s="2112" t="s">
        <v>1205</v>
      </c>
      <c r="C113" s="87">
        <f t="shared" si="35"/>
        <v>0</v>
      </c>
      <c r="D113" s="177"/>
      <c r="E113" s="747"/>
      <c r="F113" s="747"/>
      <c r="G113" s="747"/>
      <c r="H113" s="747"/>
      <c r="I113" s="748"/>
      <c r="J113" s="708"/>
      <c r="K113" s="178"/>
      <c r="L113" s="202"/>
      <c r="M113" s="1118"/>
      <c r="CG113" s="1465"/>
      <c r="CH113" s="1465"/>
      <c r="CI113" s="1465"/>
      <c r="CJ113" s="1465"/>
      <c r="CK113" s="1465"/>
      <c r="CL113" s="1465"/>
      <c r="CM113" s="1465"/>
      <c r="CN113" s="1465"/>
      <c r="CO113" s="1465"/>
    </row>
    <row r="114" spans="1:93" ht="19.5" customHeight="1" x14ac:dyDescent="0.25">
      <c r="A114" s="9691"/>
      <c r="B114" s="2112" t="s">
        <v>1204</v>
      </c>
      <c r="C114" s="109">
        <f t="shared" si="35"/>
        <v>0</v>
      </c>
      <c r="D114" s="110"/>
      <c r="E114" s="111"/>
      <c r="F114" s="111"/>
      <c r="G114" s="111"/>
      <c r="H114" s="111"/>
      <c r="I114" s="168"/>
      <c r="J114" s="197"/>
      <c r="K114" s="136"/>
      <c r="L114" s="123"/>
      <c r="M114" s="1118"/>
      <c r="CG114" s="1465"/>
      <c r="CH114" s="1465"/>
      <c r="CI114" s="1465"/>
      <c r="CJ114" s="1465"/>
      <c r="CK114" s="1465"/>
      <c r="CL114" s="1465"/>
      <c r="CM114" s="1465"/>
      <c r="CN114" s="1465"/>
      <c r="CO114" s="1465"/>
    </row>
    <row r="115" spans="1:93" ht="19.5" customHeight="1" x14ac:dyDescent="0.25">
      <c r="A115" s="9691"/>
      <c r="B115" s="1349" t="s">
        <v>1218</v>
      </c>
      <c r="C115" s="81">
        <f t="shared" si="35"/>
        <v>0</v>
      </c>
      <c r="D115" s="125"/>
      <c r="E115" s="83"/>
      <c r="F115" s="83"/>
      <c r="G115" s="83"/>
      <c r="H115" s="83"/>
      <c r="I115" s="175"/>
      <c r="J115" s="198"/>
      <c r="K115" s="102"/>
      <c r="L115" s="86"/>
      <c r="M115" s="1118"/>
      <c r="CG115" s="1465"/>
      <c r="CH115" s="1465"/>
      <c r="CI115" s="1465"/>
      <c r="CJ115" s="1465"/>
      <c r="CK115" s="1465"/>
      <c r="CL115" s="1465"/>
      <c r="CM115" s="1465"/>
      <c r="CN115" s="1465"/>
      <c r="CO115" s="1465"/>
    </row>
    <row r="116" spans="1:93" ht="19.5" customHeight="1" x14ac:dyDescent="0.25">
      <c r="A116" s="9691" t="s">
        <v>1220</v>
      </c>
      <c r="B116" s="1098" t="s">
        <v>122</v>
      </c>
      <c r="C116" s="743">
        <f t="shared" si="35"/>
        <v>0</v>
      </c>
      <c r="D116" s="691"/>
      <c r="E116" s="709"/>
      <c r="F116" s="709"/>
      <c r="G116" s="709"/>
      <c r="H116" s="709"/>
      <c r="I116" s="749"/>
      <c r="J116" s="696"/>
      <c r="K116" s="724"/>
      <c r="L116" s="690"/>
      <c r="M116" s="1118"/>
      <c r="CG116" s="1465"/>
      <c r="CH116" s="1465"/>
      <c r="CI116" s="1465"/>
      <c r="CJ116" s="1465"/>
      <c r="CK116" s="1465"/>
      <c r="CL116" s="1465"/>
      <c r="CM116" s="1465"/>
      <c r="CN116" s="1465"/>
      <c r="CO116" s="1465"/>
    </row>
    <row r="117" spans="1:93" ht="19.5" customHeight="1" x14ac:dyDescent="0.25">
      <c r="A117" s="9691"/>
      <c r="B117" s="2112" t="s">
        <v>1205</v>
      </c>
      <c r="C117" s="87">
        <f t="shared" si="35"/>
        <v>0</v>
      </c>
      <c r="D117" s="177"/>
      <c r="E117" s="747"/>
      <c r="F117" s="747"/>
      <c r="G117" s="747"/>
      <c r="H117" s="747"/>
      <c r="I117" s="748"/>
      <c r="J117" s="708"/>
      <c r="K117" s="178"/>
      <c r="L117" s="202"/>
      <c r="M117" s="1118"/>
      <c r="CG117" s="1465"/>
      <c r="CH117" s="1465"/>
      <c r="CI117" s="1465"/>
      <c r="CJ117" s="1465"/>
      <c r="CK117" s="1465"/>
      <c r="CL117" s="1465"/>
      <c r="CM117" s="1465"/>
      <c r="CN117" s="1465"/>
      <c r="CO117" s="1465"/>
    </row>
    <row r="118" spans="1:93" ht="19.5" customHeight="1" x14ac:dyDescent="0.25">
      <c r="A118" s="9691"/>
      <c r="B118" s="2112" t="s">
        <v>1204</v>
      </c>
      <c r="C118" s="109">
        <f t="shared" si="35"/>
        <v>0</v>
      </c>
      <c r="D118" s="110"/>
      <c r="E118" s="111"/>
      <c r="F118" s="111"/>
      <c r="G118" s="111"/>
      <c r="H118" s="111"/>
      <c r="I118" s="168"/>
      <c r="J118" s="197"/>
      <c r="K118" s="136"/>
      <c r="L118" s="123"/>
      <c r="M118" s="1118"/>
      <c r="CG118" s="1465"/>
      <c r="CH118" s="1465"/>
      <c r="CI118" s="1465"/>
      <c r="CJ118" s="1465"/>
      <c r="CK118" s="1465"/>
      <c r="CL118" s="1465"/>
      <c r="CM118" s="1465"/>
      <c r="CN118" s="1465"/>
      <c r="CO118" s="1465"/>
    </row>
    <row r="119" spans="1:93" ht="19.5" customHeight="1" x14ac:dyDescent="0.25">
      <c r="A119" s="9691"/>
      <c r="B119" s="1349" t="s">
        <v>1218</v>
      </c>
      <c r="C119" s="81">
        <f t="shared" si="35"/>
        <v>0</v>
      </c>
      <c r="D119" s="125"/>
      <c r="E119" s="83"/>
      <c r="F119" s="83"/>
      <c r="G119" s="83"/>
      <c r="H119" s="83"/>
      <c r="I119" s="175"/>
      <c r="J119" s="198"/>
      <c r="K119" s="102"/>
      <c r="L119" s="86"/>
      <c r="M119" s="1118"/>
      <c r="CG119" s="1465"/>
      <c r="CH119" s="1465"/>
      <c r="CI119" s="1465"/>
      <c r="CJ119" s="1465"/>
      <c r="CK119" s="1465"/>
      <c r="CL119" s="1465"/>
      <c r="CM119" s="1465"/>
      <c r="CN119" s="1465"/>
      <c r="CO119" s="1465"/>
    </row>
    <row r="120" spans="1:93" ht="19.5" customHeight="1" x14ac:dyDescent="0.25">
      <c r="A120" s="9691" t="s">
        <v>1219</v>
      </c>
      <c r="B120" s="1098" t="s">
        <v>122</v>
      </c>
      <c r="C120" s="743">
        <f t="shared" si="35"/>
        <v>0</v>
      </c>
      <c r="D120" s="691"/>
      <c r="E120" s="709"/>
      <c r="F120" s="709"/>
      <c r="G120" s="709"/>
      <c r="H120" s="709"/>
      <c r="I120" s="749"/>
      <c r="J120" s="696"/>
      <c r="K120" s="724"/>
      <c r="L120" s="690"/>
      <c r="M120" s="1118"/>
      <c r="CG120" s="1465"/>
      <c r="CH120" s="1465"/>
      <c r="CI120" s="1465"/>
      <c r="CJ120" s="1465"/>
      <c r="CK120" s="1465"/>
      <c r="CL120" s="1465"/>
      <c r="CM120" s="1465"/>
      <c r="CN120" s="1465"/>
      <c r="CO120" s="1465"/>
    </row>
    <row r="121" spans="1:93" ht="19.5" customHeight="1" x14ac:dyDescent="0.25">
      <c r="A121" s="9691"/>
      <c r="B121" s="2112" t="s">
        <v>1205</v>
      </c>
      <c r="C121" s="87">
        <f t="shared" si="35"/>
        <v>0</v>
      </c>
      <c r="D121" s="177"/>
      <c r="E121" s="747"/>
      <c r="F121" s="747"/>
      <c r="G121" s="747"/>
      <c r="H121" s="747"/>
      <c r="I121" s="748"/>
      <c r="J121" s="708"/>
      <c r="K121" s="178"/>
      <c r="L121" s="202"/>
      <c r="M121" s="1118"/>
      <c r="CG121" s="1465"/>
      <c r="CH121" s="1465"/>
      <c r="CI121" s="1465"/>
      <c r="CJ121" s="1465"/>
      <c r="CK121" s="1465"/>
      <c r="CL121" s="1465"/>
      <c r="CM121" s="1465"/>
      <c r="CN121" s="1465"/>
      <c r="CO121" s="1465"/>
    </row>
    <row r="122" spans="1:93" ht="19.5" customHeight="1" x14ac:dyDescent="0.25">
      <c r="A122" s="9691"/>
      <c r="B122" s="2112" t="s">
        <v>1204</v>
      </c>
      <c r="C122" s="109">
        <f t="shared" si="35"/>
        <v>0</v>
      </c>
      <c r="D122" s="110"/>
      <c r="E122" s="111"/>
      <c r="F122" s="111"/>
      <c r="G122" s="111"/>
      <c r="H122" s="111"/>
      <c r="I122" s="168"/>
      <c r="J122" s="197"/>
      <c r="K122" s="136"/>
      <c r="L122" s="123"/>
      <c r="M122" s="1118"/>
      <c r="CG122" s="1465"/>
      <c r="CH122" s="1465"/>
      <c r="CI122" s="1465"/>
      <c r="CJ122" s="1465"/>
      <c r="CK122" s="1465"/>
      <c r="CL122" s="1465"/>
      <c r="CM122" s="1465"/>
      <c r="CN122" s="1465"/>
      <c r="CO122" s="1465"/>
    </row>
    <row r="123" spans="1:93" ht="19.5" customHeight="1" x14ac:dyDescent="0.25">
      <c r="A123" s="9691"/>
      <c r="B123" s="1349" t="s">
        <v>1218</v>
      </c>
      <c r="C123" s="81">
        <f t="shared" si="35"/>
        <v>0</v>
      </c>
      <c r="D123" s="125"/>
      <c r="E123" s="83"/>
      <c r="F123" s="83"/>
      <c r="G123" s="83"/>
      <c r="H123" s="83"/>
      <c r="I123" s="175"/>
      <c r="J123" s="198"/>
      <c r="K123" s="102"/>
      <c r="L123" s="86"/>
      <c r="M123" s="1118"/>
      <c r="CG123" s="1465"/>
      <c r="CH123" s="1465"/>
      <c r="CI123" s="1465"/>
      <c r="CJ123" s="1465"/>
      <c r="CK123" s="1465"/>
      <c r="CL123" s="1465"/>
      <c r="CM123" s="1465"/>
      <c r="CN123" s="1465"/>
      <c r="CO123" s="1465"/>
    </row>
    <row r="124" spans="1:93" ht="28.9" customHeight="1" x14ac:dyDescent="0.25">
      <c r="A124" s="746" t="s">
        <v>1217</v>
      </c>
      <c r="B124" s="140"/>
      <c r="C124" s="140"/>
      <c r="D124" s="140"/>
      <c r="E124" s="140"/>
      <c r="F124" s="140"/>
      <c r="G124" s="140"/>
      <c r="H124" s="140"/>
      <c r="I124" s="140"/>
      <c r="J124" s="140"/>
      <c r="K124" s="140"/>
      <c r="L124" s="140"/>
      <c r="CG124" s="1465"/>
      <c r="CH124" s="1465"/>
      <c r="CI124" s="1465"/>
      <c r="CJ124" s="1465"/>
      <c r="CK124" s="1465"/>
      <c r="CL124" s="1465"/>
      <c r="CM124" s="1465"/>
      <c r="CN124" s="1465"/>
      <c r="CO124" s="1465"/>
    </row>
    <row r="125" spans="1:93" ht="42.75" customHeight="1" x14ac:dyDescent="0.25">
      <c r="A125" s="727" t="s">
        <v>1200</v>
      </c>
      <c r="B125" s="2194" t="s">
        <v>1216</v>
      </c>
      <c r="C125" s="725" t="s">
        <v>3808</v>
      </c>
      <c r="D125" s="733" t="s">
        <v>3809</v>
      </c>
      <c r="E125" s="733" t="s">
        <v>3810</v>
      </c>
      <c r="F125" s="733" t="s">
        <v>3811</v>
      </c>
      <c r="G125" s="733" t="s">
        <v>1215</v>
      </c>
      <c r="H125" s="730" t="s">
        <v>1214</v>
      </c>
      <c r="I125" s="745"/>
      <c r="J125" s="744"/>
      <c r="K125" s="744"/>
      <c r="L125" s="744"/>
      <c r="CG125" s="1465"/>
      <c r="CH125" s="1465"/>
      <c r="CI125" s="1465"/>
      <c r="CJ125" s="1465"/>
      <c r="CK125" s="1465"/>
      <c r="CL125" s="1465"/>
      <c r="CM125" s="1465"/>
      <c r="CN125" s="1465"/>
      <c r="CO125" s="1465"/>
    </row>
    <row r="126" spans="1:93" ht="21.75" customHeight="1" x14ac:dyDescent="0.25">
      <c r="A126" s="1098" t="s">
        <v>123</v>
      </c>
      <c r="B126" s="742"/>
      <c r="C126" s="691"/>
      <c r="D126" s="742"/>
      <c r="E126" s="742"/>
      <c r="F126" s="742"/>
      <c r="G126" s="742"/>
      <c r="H126" s="741"/>
      <c r="I126" s="105"/>
      <c r="J126" s="140"/>
      <c r="K126" s="140"/>
      <c r="L126" s="140"/>
      <c r="CG126" s="1465"/>
      <c r="CH126" s="1465"/>
      <c r="CI126" s="1465"/>
      <c r="CJ126" s="1465"/>
      <c r="CK126" s="1465"/>
      <c r="CL126" s="1465"/>
      <c r="CM126" s="1465"/>
      <c r="CN126" s="1465"/>
      <c r="CO126" s="1465"/>
    </row>
    <row r="127" spans="1:93" ht="21.75" customHeight="1" x14ac:dyDescent="0.25">
      <c r="A127" s="2112" t="s">
        <v>1205</v>
      </c>
      <c r="B127" s="747"/>
      <c r="C127" s="177"/>
      <c r="D127" s="747"/>
      <c r="E127" s="747"/>
      <c r="F127" s="747"/>
      <c r="G127" s="747"/>
      <c r="H127" s="701"/>
      <c r="I127" s="105"/>
      <c r="J127" s="140"/>
      <c r="K127" s="140"/>
      <c r="L127" s="140"/>
      <c r="CG127" s="1465"/>
      <c r="CH127" s="1465"/>
      <c r="CI127" s="1465"/>
      <c r="CJ127" s="1465"/>
      <c r="CK127" s="1465"/>
      <c r="CL127" s="1465"/>
      <c r="CM127" s="1465"/>
      <c r="CN127" s="1465"/>
      <c r="CO127" s="1465"/>
    </row>
    <row r="128" spans="1:93" ht="21.75" customHeight="1" x14ac:dyDescent="0.25">
      <c r="A128" s="2112" t="s">
        <v>1204</v>
      </c>
      <c r="B128" s="111"/>
      <c r="C128" s="110"/>
      <c r="D128" s="111"/>
      <c r="E128" s="111"/>
      <c r="F128" s="111"/>
      <c r="G128" s="111"/>
      <c r="H128" s="122"/>
      <c r="I128" s="105"/>
      <c r="J128" s="140"/>
      <c r="K128" s="140"/>
      <c r="L128" s="140"/>
      <c r="CG128" s="1465"/>
      <c r="CH128" s="1465"/>
      <c r="CI128" s="1465"/>
      <c r="CJ128" s="1465"/>
      <c r="CK128" s="1465"/>
      <c r="CL128" s="1465"/>
      <c r="CM128" s="1465"/>
      <c r="CN128" s="1465"/>
      <c r="CO128" s="1465"/>
    </row>
    <row r="129" spans="1:93" ht="21.75" customHeight="1" x14ac:dyDescent="0.25">
      <c r="A129" s="1349" t="s">
        <v>1197</v>
      </c>
      <c r="B129" s="83"/>
      <c r="C129" s="125"/>
      <c r="D129" s="83"/>
      <c r="E129" s="83"/>
      <c r="F129" s="83"/>
      <c r="G129" s="83"/>
      <c r="H129" s="101"/>
      <c r="I129" s="105"/>
      <c r="J129" s="140"/>
      <c r="K129" s="140"/>
      <c r="L129" s="140"/>
      <c r="CG129" s="1465"/>
      <c r="CH129" s="1465"/>
      <c r="CI129" s="1465"/>
      <c r="CJ129" s="1465"/>
      <c r="CK129" s="1465"/>
      <c r="CL129" s="1465"/>
      <c r="CM129" s="1465"/>
      <c r="CN129" s="1465"/>
      <c r="CO129" s="1465"/>
    </row>
    <row r="130" spans="1:93" ht="22.15" customHeight="1" x14ac:dyDescent="0.25">
      <c r="A130" s="746" t="s">
        <v>1213</v>
      </c>
      <c r="B130" s="140"/>
      <c r="C130" s="140"/>
      <c r="D130" s="140"/>
      <c r="E130" s="140"/>
      <c r="F130" s="140"/>
      <c r="G130" s="140"/>
      <c r="H130" s="140"/>
      <c r="I130" s="140"/>
      <c r="J130" s="140"/>
      <c r="K130" s="140"/>
      <c r="L130" s="140"/>
      <c r="CG130" s="1465"/>
      <c r="CH130" s="1465"/>
      <c r="CI130" s="1465"/>
      <c r="CJ130" s="1465"/>
      <c r="CK130" s="1465"/>
      <c r="CL130" s="1465"/>
      <c r="CM130" s="1465"/>
      <c r="CN130" s="1465"/>
      <c r="CO130" s="1465"/>
    </row>
    <row r="131" spans="1:93" ht="50.25" customHeight="1" x14ac:dyDescent="0.25">
      <c r="A131" s="727" t="s">
        <v>1200</v>
      </c>
      <c r="B131" s="2194" t="s">
        <v>1212</v>
      </c>
      <c r="C131" s="725" t="s">
        <v>1211</v>
      </c>
      <c r="D131" s="733" t="s">
        <v>1210</v>
      </c>
      <c r="E131" s="733" t="s">
        <v>1209</v>
      </c>
      <c r="F131" s="733" t="s">
        <v>1208</v>
      </c>
      <c r="G131" s="733" t="s">
        <v>1207</v>
      </c>
      <c r="H131" s="730" t="s">
        <v>1206</v>
      </c>
      <c r="I131" s="745"/>
      <c r="J131" s="744"/>
      <c r="K131" s="744"/>
      <c r="L131" s="744"/>
      <c r="CG131" s="1465"/>
      <c r="CH131" s="1465"/>
      <c r="CI131" s="1465"/>
      <c r="CJ131" s="1465"/>
      <c r="CK131" s="1465"/>
      <c r="CL131" s="1465"/>
      <c r="CM131" s="1465"/>
      <c r="CN131" s="1465"/>
      <c r="CO131" s="1465"/>
    </row>
    <row r="132" spans="1:93" ht="19.5" customHeight="1" x14ac:dyDescent="0.25">
      <c r="A132" s="1098" t="s">
        <v>123</v>
      </c>
      <c r="B132" s="743">
        <f t="shared" ref="B132:B137" si="36">SUM(C132:H132)</f>
        <v>0</v>
      </c>
      <c r="C132" s="691"/>
      <c r="D132" s="742"/>
      <c r="E132" s="742"/>
      <c r="F132" s="742"/>
      <c r="G132" s="742"/>
      <c r="H132" s="741"/>
      <c r="I132" s="105"/>
      <c r="J132" s="140"/>
      <c r="K132" s="140"/>
      <c r="L132" s="140"/>
      <c r="BX132" s="823"/>
      <c r="CA132" s="1118"/>
    </row>
    <row r="133" spans="1:93" ht="19.5" customHeight="1" x14ac:dyDescent="0.25">
      <c r="A133" s="2112" t="s">
        <v>1205</v>
      </c>
      <c r="B133" s="109">
        <f t="shared" si="36"/>
        <v>0</v>
      </c>
      <c r="C133" s="110"/>
      <c r="D133" s="111"/>
      <c r="E133" s="111"/>
      <c r="F133" s="111"/>
      <c r="G133" s="111"/>
      <c r="H133" s="122"/>
      <c r="I133" s="105"/>
      <c r="J133" s="140"/>
      <c r="K133" s="140"/>
      <c r="L133" s="140"/>
      <c r="BX133" s="823"/>
      <c r="CA133" s="1118"/>
    </row>
    <row r="134" spans="1:93" ht="19.5" customHeight="1" x14ac:dyDescent="0.25">
      <c r="A134" s="2112" t="s">
        <v>1204</v>
      </c>
      <c r="B134" s="109">
        <f t="shared" si="36"/>
        <v>0</v>
      </c>
      <c r="C134" s="110"/>
      <c r="D134" s="111"/>
      <c r="E134" s="111"/>
      <c r="F134" s="111"/>
      <c r="G134" s="111"/>
      <c r="H134" s="122"/>
      <c r="I134" s="105"/>
      <c r="J134" s="140"/>
      <c r="K134" s="140"/>
      <c r="L134" s="140"/>
      <c r="BX134" s="823"/>
      <c r="CA134" s="1118"/>
    </row>
    <row r="135" spans="1:93" ht="19.5" customHeight="1" x14ac:dyDescent="0.25">
      <c r="A135" s="2132" t="s">
        <v>1203</v>
      </c>
      <c r="B135" s="109">
        <f t="shared" si="36"/>
        <v>0</v>
      </c>
      <c r="C135" s="110"/>
      <c r="D135" s="111"/>
      <c r="E135" s="111"/>
      <c r="F135" s="111"/>
      <c r="G135" s="111"/>
      <c r="H135" s="122"/>
      <c r="I135" s="105"/>
      <c r="J135" s="140"/>
      <c r="K135" s="140"/>
      <c r="L135" s="140"/>
      <c r="BX135" s="823"/>
      <c r="CA135" s="1118"/>
    </row>
    <row r="136" spans="1:93" ht="19.5" customHeight="1" x14ac:dyDescent="0.25">
      <c r="A136" s="2119" t="s">
        <v>1202</v>
      </c>
      <c r="B136" s="92">
        <f t="shared" si="36"/>
        <v>0</v>
      </c>
      <c r="C136" s="137"/>
      <c r="D136" s="115"/>
      <c r="E136" s="115"/>
      <c r="F136" s="115"/>
      <c r="G136" s="115"/>
      <c r="H136" s="138"/>
      <c r="I136" s="105"/>
      <c r="J136" s="140"/>
      <c r="K136" s="140"/>
      <c r="L136" s="140"/>
    </row>
    <row r="137" spans="1:93" ht="19.5" customHeight="1" x14ac:dyDescent="0.25">
      <c r="A137" s="81" t="s">
        <v>70</v>
      </c>
      <c r="B137" s="81">
        <f t="shared" si="36"/>
        <v>0</v>
      </c>
      <c r="C137" s="125"/>
      <c r="D137" s="83"/>
      <c r="E137" s="83"/>
      <c r="F137" s="83"/>
      <c r="G137" s="83"/>
      <c r="H137" s="101"/>
      <c r="I137" s="105"/>
      <c r="J137" s="140"/>
      <c r="K137" s="140"/>
      <c r="L137" s="140"/>
    </row>
    <row r="138" spans="1:93" ht="21.75" customHeight="1" x14ac:dyDescent="0.25">
      <c r="A138" s="746" t="s">
        <v>1201</v>
      </c>
      <c r="B138" s="140"/>
      <c r="C138" s="140"/>
      <c r="D138" s="140"/>
      <c r="E138" s="140"/>
      <c r="F138" s="140"/>
      <c r="G138" s="140"/>
      <c r="H138" s="140"/>
    </row>
    <row r="139" spans="1:93" ht="76.5" customHeight="1" x14ac:dyDescent="0.25">
      <c r="A139" s="727" t="s">
        <v>1200</v>
      </c>
      <c r="B139" s="2034" t="s">
        <v>1199</v>
      </c>
      <c r="C139" s="1524" t="s">
        <v>2628</v>
      </c>
      <c r="D139" s="1524" t="s">
        <v>3800</v>
      </c>
      <c r="E139" s="733" t="s">
        <v>3799</v>
      </c>
      <c r="F139" s="733" t="s">
        <v>3801</v>
      </c>
      <c r="G139" s="733" t="s">
        <v>3802</v>
      </c>
      <c r="H139" s="733" t="s">
        <v>3803</v>
      </c>
      <c r="I139" s="733" t="s">
        <v>3804</v>
      </c>
      <c r="J139" s="2195" t="s">
        <v>3805</v>
      </c>
    </row>
    <row r="140" spans="1:93" ht="18" customHeight="1" x14ac:dyDescent="0.25">
      <c r="A140" s="1098" t="s">
        <v>1198</v>
      </c>
      <c r="B140" s="2041"/>
      <c r="C140" s="724"/>
      <c r="D140" s="724"/>
      <c r="E140" s="742"/>
      <c r="F140" s="742"/>
      <c r="G140" s="742"/>
      <c r="H140" s="742"/>
      <c r="I140" s="742"/>
      <c r="J140" s="1525"/>
    </row>
    <row r="141" spans="1:93" ht="18" customHeight="1" x14ac:dyDescent="0.25">
      <c r="A141" s="2112" t="s">
        <v>1197</v>
      </c>
      <c r="B141" s="2042"/>
      <c r="C141" s="136"/>
      <c r="D141" s="136"/>
      <c r="E141" s="111"/>
      <c r="F141" s="111"/>
      <c r="G141" s="111"/>
      <c r="H141" s="111"/>
      <c r="I141" s="111"/>
      <c r="J141" s="144"/>
    </row>
    <row r="142" spans="1:93" ht="18" customHeight="1" x14ac:dyDescent="0.25">
      <c r="A142" s="146" t="s">
        <v>1196</v>
      </c>
      <c r="B142" s="1991"/>
      <c r="C142" s="102"/>
      <c r="D142" s="102"/>
      <c r="E142" s="83"/>
      <c r="F142" s="83"/>
      <c r="G142" s="83"/>
      <c r="H142" s="83"/>
      <c r="I142" s="83"/>
      <c r="J142" s="127"/>
    </row>
    <row r="143" spans="1:93" ht="24.6" customHeight="1" x14ac:dyDescent="0.25">
      <c r="A143" s="4878" t="s">
        <v>4009</v>
      </c>
      <c r="B143"/>
      <c r="C143" s="4328"/>
      <c r="D143" s="4328"/>
      <c r="E143" s="4328"/>
      <c r="F143" s="4651"/>
      <c r="G143" s="4651"/>
      <c r="H143" s="4651"/>
      <c r="I143" s="4651"/>
      <c r="J143" s="4651"/>
      <c r="K143" s="4651"/>
      <c r="L143" s="4651"/>
    </row>
    <row r="144" spans="1:93" x14ac:dyDescent="0.25">
      <c r="A144" s="8858" t="s">
        <v>1234</v>
      </c>
      <c r="B144" s="8858" t="s">
        <v>1233</v>
      </c>
      <c r="C144" s="8858" t="s">
        <v>1212</v>
      </c>
      <c r="D144" s="8871" t="s">
        <v>1232</v>
      </c>
      <c r="E144" s="8872"/>
      <c r="F144" s="8872"/>
      <c r="G144" s="8872"/>
      <c r="H144" s="8872"/>
      <c r="I144" s="8872"/>
      <c r="J144" s="8873"/>
      <c r="K144" s="8867" t="s">
        <v>1231</v>
      </c>
      <c r="L144" s="8867" t="s">
        <v>1230</v>
      </c>
    </row>
    <row r="145" spans="1:12" ht="53.25" customHeight="1" x14ac:dyDescent="0.25">
      <c r="A145" s="8858"/>
      <c r="B145" s="8858"/>
      <c r="C145" s="8858"/>
      <c r="D145" s="5365" t="s">
        <v>1229</v>
      </c>
      <c r="E145" s="5366" t="s">
        <v>1228</v>
      </c>
      <c r="F145" s="5366" t="s">
        <v>1227</v>
      </c>
      <c r="G145" s="5366" t="s">
        <v>1226</v>
      </c>
      <c r="H145" s="5366" t="s">
        <v>1225</v>
      </c>
      <c r="I145" s="7123" t="s">
        <v>1224</v>
      </c>
      <c r="J145" s="7124" t="s">
        <v>1223</v>
      </c>
      <c r="K145" s="8870"/>
      <c r="L145" s="8870"/>
    </row>
    <row r="146" spans="1:12" x14ac:dyDescent="0.25">
      <c r="A146" s="8858" t="s">
        <v>1222</v>
      </c>
      <c r="B146" s="7125" t="s">
        <v>122</v>
      </c>
      <c r="C146" s="7126">
        <f>SUM(D146:J146)</f>
        <v>0</v>
      </c>
      <c r="D146" s="5602"/>
      <c r="E146" s="7127"/>
      <c r="F146" s="7127"/>
      <c r="G146" s="7127"/>
      <c r="H146" s="7127"/>
      <c r="I146" s="7128"/>
      <c r="J146" s="7129"/>
      <c r="K146" s="7130"/>
      <c r="L146" s="7131"/>
    </row>
    <row r="147" spans="1:12" x14ac:dyDescent="0.25">
      <c r="A147" s="8858"/>
      <c r="B147" s="4846" t="s">
        <v>1205</v>
      </c>
      <c r="C147" s="5517">
        <f t="shared" ref="C147:C161" si="37">SUM(D147:J147)</f>
        <v>0</v>
      </c>
      <c r="D147" s="5387"/>
      <c r="E147" s="4842"/>
      <c r="F147" s="4842"/>
      <c r="G147" s="4842"/>
      <c r="H147" s="4842"/>
      <c r="I147" s="7132"/>
      <c r="J147" s="5388"/>
      <c r="K147" s="5442"/>
      <c r="L147" s="5363"/>
    </row>
    <row r="148" spans="1:12" x14ac:dyDescent="0.25">
      <c r="A148" s="8858"/>
      <c r="B148" s="4846" t="s">
        <v>1204</v>
      </c>
      <c r="C148" s="5517">
        <f t="shared" si="37"/>
        <v>0</v>
      </c>
      <c r="D148" s="5387"/>
      <c r="E148" s="4842"/>
      <c r="F148" s="4842"/>
      <c r="G148" s="4842"/>
      <c r="H148" s="4842"/>
      <c r="I148" s="7132"/>
      <c r="J148" s="5388"/>
      <c r="K148" s="5442"/>
      <c r="L148" s="5363"/>
    </row>
    <row r="149" spans="1:12" x14ac:dyDescent="0.25">
      <c r="A149" s="8858"/>
      <c r="B149" s="7133" t="s">
        <v>1218</v>
      </c>
      <c r="C149" s="7134">
        <f t="shared" si="37"/>
        <v>0</v>
      </c>
      <c r="D149" s="5447"/>
      <c r="E149" s="4850"/>
      <c r="F149" s="4850"/>
      <c r="G149" s="4850"/>
      <c r="H149" s="4850"/>
      <c r="I149" s="7135"/>
      <c r="J149" s="4851"/>
      <c r="K149" s="7136"/>
      <c r="L149" s="7137"/>
    </row>
    <row r="150" spans="1:12" x14ac:dyDescent="0.25">
      <c r="A150" s="8858" t="s">
        <v>1221</v>
      </c>
      <c r="B150" s="7125" t="s">
        <v>122</v>
      </c>
      <c r="C150" s="7138">
        <f t="shared" si="37"/>
        <v>0</v>
      </c>
      <c r="D150" s="5374"/>
      <c r="E150" s="5514"/>
      <c r="F150" s="5514"/>
      <c r="G150" s="5514"/>
      <c r="H150" s="5514"/>
      <c r="I150" s="6009"/>
      <c r="J150" s="4824"/>
      <c r="K150" s="7139"/>
      <c r="L150" s="5361"/>
    </row>
    <row r="151" spans="1:12" x14ac:dyDescent="0.25">
      <c r="A151" s="8858"/>
      <c r="B151" s="4846" t="s">
        <v>1205</v>
      </c>
      <c r="C151" s="5529">
        <f t="shared" si="37"/>
        <v>0</v>
      </c>
      <c r="D151" s="5444"/>
      <c r="E151" s="5463"/>
      <c r="F151" s="5463"/>
      <c r="G151" s="5463"/>
      <c r="H151" s="5463"/>
      <c r="I151" s="7140"/>
      <c r="J151" s="7141"/>
      <c r="K151" s="5462"/>
      <c r="L151" s="7142"/>
    </row>
    <row r="152" spans="1:12" x14ac:dyDescent="0.25">
      <c r="A152" s="8858"/>
      <c r="B152" s="4846" t="s">
        <v>1204</v>
      </c>
      <c r="C152" s="5517">
        <f t="shared" si="37"/>
        <v>0</v>
      </c>
      <c r="D152" s="5387"/>
      <c r="E152" s="4842"/>
      <c r="F152" s="4842"/>
      <c r="G152" s="4842"/>
      <c r="H152" s="4842"/>
      <c r="I152" s="7132"/>
      <c r="J152" s="5388"/>
      <c r="K152" s="5442"/>
      <c r="L152" s="5363"/>
    </row>
    <row r="153" spans="1:12" x14ac:dyDescent="0.25">
      <c r="A153" s="8858"/>
      <c r="B153" s="7133" t="s">
        <v>1218</v>
      </c>
      <c r="C153" s="7134">
        <f t="shared" si="37"/>
        <v>0</v>
      </c>
      <c r="D153" s="4829"/>
      <c r="E153" s="4830"/>
      <c r="F153" s="4830"/>
      <c r="G153" s="4830"/>
      <c r="H153" s="4830"/>
      <c r="I153" s="7143"/>
      <c r="J153" s="5589"/>
      <c r="K153" s="5504"/>
      <c r="L153" s="6490"/>
    </row>
    <row r="154" spans="1:12" x14ac:dyDescent="0.25">
      <c r="A154" s="8858" t="s">
        <v>1220</v>
      </c>
      <c r="B154" s="7125" t="s">
        <v>122</v>
      </c>
      <c r="C154" s="7138">
        <f t="shared" si="37"/>
        <v>0</v>
      </c>
      <c r="D154" s="5374"/>
      <c r="E154" s="5514"/>
      <c r="F154" s="5514"/>
      <c r="G154" s="5514"/>
      <c r="H154" s="5514"/>
      <c r="I154" s="6009"/>
      <c r="J154" s="4824"/>
      <c r="K154" s="7139"/>
      <c r="L154" s="5361"/>
    </row>
    <row r="155" spans="1:12" x14ac:dyDescent="0.25">
      <c r="A155" s="8858"/>
      <c r="B155" s="4846" t="s">
        <v>1205</v>
      </c>
      <c r="C155" s="5529">
        <f t="shared" si="37"/>
        <v>0</v>
      </c>
      <c r="D155" s="5444"/>
      <c r="E155" s="5463"/>
      <c r="F155" s="5463"/>
      <c r="G155" s="5463"/>
      <c r="H155" s="5463"/>
      <c r="I155" s="7140"/>
      <c r="J155" s="7141"/>
      <c r="K155" s="5462"/>
      <c r="L155" s="7142"/>
    </row>
    <row r="156" spans="1:12" x14ac:dyDescent="0.25">
      <c r="A156" s="8858"/>
      <c r="B156" s="4846" t="s">
        <v>1204</v>
      </c>
      <c r="C156" s="5517">
        <f t="shared" si="37"/>
        <v>0</v>
      </c>
      <c r="D156" s="5387"/>
      <c r="E156" s="4842"/>
      <c r="F156" s="4842"/>
      <c r="G156" s="4842"/>
      <c r="H156" s="4842"/>
      <c r="I156" s="7132"/>
      <c r="J156" s="5388"/>
      <c r="K156" s="5442"/>
      <c r="L156" s="5363"/>
    </row>
    <row r="157" spans="1:12" x14ac:dyDescent="0.25">
      <c r="A157" s="8858"/>
      <c r="B157" s="7133" t="s">
        <v>1218</v>
      </c>
      <c r="C157" s="7134">
        <f t="shared" si="37"/>
        <v>0</v>
      </c>
      <c r="D157" s="4829"/>
      <c r="E157" s="4830"/>
      <c r="F157" s="4830"/>
      <c r="G157" s="4830"/>
      <c r="H157" s="4830"/>
      <c r="I157" s="7143"/>
      <c r="J157" s="5589"/>
      <c r="K157" s="5504"/>
      <c r="L157" s="6490"/>
    </row>
    <row r="158" spans="1:12" x14ac:dyDescent="0.25">
      <c r="A158" s="8858" t="s">
        <v>1219</v>
      </c>
      <c r="B158" s="7125" t="s">
        <v>122</v>
      </c>
      <c r="C158" s="7138">
        <f t="shared" si="37"/>
        <v>0</v>
      </c>
      <c r="D158" s="5374"/>
      <c r="E158" s="5514"/>
      <c r="F158" s="5514"/>
      <c r="G158" s="5514"/>
      <c r="H158" s="5514"/>
      <c r="I158" s="6009"/>
      <c r="J158" s="4824"/>
      <c r="K158" s="7139"/>
      <c r="L158" s="5361"/>
    </row>
    <row r="159" spans="1:12" x14ac:dyDescent="0.25">
      <c r="A159" s="8858"/>
      <c r="B159" s="4846" t="s">
        <v>1205</v>
      </c>
      <c r="C159" s="5529">
        <f t="shared" si="37"/>
        <v>0</v>
      </c>
      <c r="D159" s="5444"/>
      <c r="E159" s="5463"/>
      <c r="F159" s="5463"/>
      <c r="G159" s="5463"/>
      <c r="H159" s="5463"/>
      <c r="I159" s="7140"/>
      <c r="J159" s="7141"/>
      <c r="K159" s="5462"/>
      <c r="L159" s="7142"/>
    </row>
    <row r="160" spans="1:12" x14ac:dyDescent="0.25">
      <c r="A160" s="8858"/>
      <c r="B160" s="4846" t="s">
        <v>1204</v>
      </c>
      <c r="C160" s="5517">
        <f t="shared" si="37"/>
        <v>0</v>
      </c>
      <c r="D160" s="5387"/>
      <c r="E160" s="4842"/>
      <c r="F160" s="4842"/>
      <c r="G160" s="4842"/>
      <c r="H160" s="4842"/>
      <c r="I160" s="7132"/>
      <c r="J160" s="5388"/>
      <c r="K160" s="5442"/>
      <c r="L160" s="5363"/>
    </row>
    <row r="161" spans="1:12" x14ac:dyDescent="0.25">
      <c r="A161" s="8858"/>
      <c r="B161" s="7133" t="s">
        <v>1218</v>
      </c>
      <c r="C161" s="7134">
        <f t="shared" si="37"/>
        <v>0</v>
      </c>
      <c r="D161" s="4829"/>
      <c r="E161" s="4830"/>
      <c r="F161" s="4830"/>
      <c r="G161" s="4830"/>
      <c r="H161" s="4830"/>
      <c r="I161" s="7143"/>
      <c r="J161" s="5589"/>
      <c r="K161" s="5504"/>
      <c r="L161" s="6490"/>
    </row>
    <row r="162" spans="1:12" ht="21" customHeight="1" x14ac:dyDescent="0.25">
      <c r="A162" s="4878" t="s">
        <v>4010</v>
      </c>
      <c r="B162" s="6367"/>
      <c r="C162" s="6367"/>
      <c r="D162"/>
      <c r="E162" s="190"/>
      <c r="F162" s="942"/>
      <c r="G162" s="941"/>
      <c r="H162" s="190"/>
      <c r="I162" s="942"/>
      <c r="J162" s="941"/>
      <c r="K162" s="190"/>
      <c r="L162"/>
    </row>
    <row r="163" spans="1:12" ht="15.75" x14ac:dyDescent="0.25">
      <c r="A163" s="9028" t="s">
        <v>1234</v>
      </c>
      <c r="B163" s="9028" t="s">
        <v>1552</v>
      </c>
      <c r="C163" s="9718" t="s">
        <v>1551</v>
      </c>
      <c r="D163" s="9715" t="s">
        <v>1550</v>
      </c>
      <c r="E163" s="3189"/>
      <c r="F163" s="3190"/>
      <c r="G163" s="3191"/>
      <c r="H163" s="3191"/>
      <c r="I163" s="190"/>
      <c r="J163" s="190"/>
      <c r="K163" s="190"/>
      <c r="L163" s="190"/>
    </row>
    <row r="164" spans="1:12" ht="15.75" x14ac:dyDescent="0.25">
      <c r="A164" s="9717"/>
      <c r="B164" s="9717"/>
      <c r="C164" s="9719"/>
      <c r="D164" s="9716"/>
      <c r="E164" s="140"/>
      <c r="F164" s="190"/>
      <c r="G164" s="190"/>
      <c r="H164" s="942"/>
      <c r="I164" s="941"/>
      <c r="J164" s="941"/>
      <c r="K164" s="190"/>
      <c r="L164" s="190"/>
    </row>
    <row r="165" spans="1:12" ht="15.75" x14ac:dyDescent="0.25">
      <c r="A165" s="7144" t="s">
        <v>1549</v>
      </c>
      <c r="B165" s="7145"/>
      <c r="C165" s="7146"/>
      <c r="D165" s="7147"/>
      <c r="E165" s="140"/>
      <c r="F165" s="190"/>
      <c r="G165" s="190"/>
      <c r="H165" s="942"/>
      <c r="I165" s="941"/>
      <c r="J165" s="941"/>
      <c r="K165" s="190"/>
      <c r="L165" s="190"/>
    </row>
    <row r="166" spans="1:12" ht="21" x14ac:dyDescent="0.25">
      <c r="A166" s="7148" t="s">
        <v>1548</v>
      </c>
      <c r="B166" s="7149"/>
      <c r="C166" s="5476"/>
      <c r="D166" s="5478"/>
      <c r="E166" s="140"/>
      <c r="F166" s="190"/>
      <c r="G166" s="190"/>
      <c r="H166" s="942"/>
      <c r="I166" s="941"/>
      <c r="J166" s="941"/>
      <c r="K166" s="190"/>
      <c r="L166" s="190"/>
    </row>
    <row r="167" spans="1:12" ht="25.15" customHeight="1" x14ac:dyDescent="0.25">
      <c r="A167" s="7148" t="s">
        <v>1547</v>
      </c>
      <c r="B167" s="7149"/>
      <c r="C167" s="5476"/>
      <c r="D167" s="5478"/>
      <c r="E167" s="140"/>
      <c r="F167" s="190"/>
      <c r="G167" s="190"/>
      <c r="H167" s="942"/>
      <c r="I167" s="941"/>
      <c r="J167" s="941"/>
      <c r="K167" s="190"/>
      <c r="L167" s="190"/>
    </row>
    <row r="168" spans="1:12" ht="15.75" x14ac:dyDescent="0.25">
      <c r="A168" s="7150" t="s">
        <v>1546</v>
      </c>
      <c r="B168" s="7149"/>
      <c r="C168" s="5476"/>
      <c r="D168" s="5478"/>
      <c r="E168" s="140"/>
      <c r="F168" s="190"/>
      <c r="G168" s="190"/>
      <c r="H168" s="942"/>
      <c r="I168" s="941"/>
      <c r="J168" s="941"/>
      <c r="K168" s="190"/>
      <c r="L168" s="190"/>
    </row>
    <row r="169" spans="1:12" ht="24.6" customHeight="1" x14ac:dyDescent="0.25">
      <c r="A169" s="5530" t="s">
        <v>1545</v>
      </c>
      <c r="B169" s="7149"/>
      <c r="C169" s="5476"/>
      <c r="D169" s="5478"/>
      <c r="E169" s="140"/>
      <c r="F169" s="190"/>
      <c r="G169" s="190"/>
      <c r="H169" s="942"/>
      <c r="I169" s="941"/>
      <c r="J169" s="941"/>
      <c r="K169" s="190"/>
      <c r="L169" s="190"/>
    </row>
    <row r="170" spans="1:12" ht="24.6" customHeight="1" x14ac:dyDescent="0.25">
      <c r="A170" s="5530" t="s">
        <v>1544</v>
      </c>
      <c r="B170" s="7151"/>
      <c r="C170" s="5476"/>
      <c r="D170" s="5478"/>
      <c r="E170" s="140"/>
      <c r="F170" s="190"/>
      <c r="G170" s="190"/>
      <c r="H170" s="942"/>
      <c r="I170" s="941"/>
      <c r="J170" s="941"/>
      <c r="K170" s="190"/>
      <c r="L170" s="190"/>
    </row>
    <row r="171" spans="1:12" ht="25.9" customHeight="1" x14ac:dyDescent="0.25">
      <c r="A171" s="7152" t="s">
        <v>1543</v>
      </c>
      <c r="B171" s="7153"/>
      <c r="C171" s="6383"/>
      <c r="D171" s="6384"/>
      <c r="E171" s="140"/>
      <c r="F171" s="190"/>
      <c r="G171" s="190"/>
      <c r="H171" s="942"/>
      <c r="I171" s="941"/>
      <c r="J171" s="941"/>
      <c r="K171" s="190"/>
      <c r="L171" s="190"/>
    </row>
    <row r="207" spans="1:104" s="3353" customFormat="1" hidden="1" x14ac:dyDescent="0.25">
      <c r="A207" s="3353">
        <f>SUM(C14:C69,C74:C85,C88:C96,C108:C123,B126:B129,B132:B137,B140:B142,C146:C161,B165:B171)</f>
        <v>0</v>
      </c>
      <c r="B207" s="3353">
        <f>SUM(DA14:DZ171)</f>
        <v>0</v>
      </c>
      <c r="BX207" s="3352"/>
      <c r="BY207" s="3352"/>
      <c r="BZ207" s="3352"/>
      <c r="CA207" s="3352"/>
      <c r="CB207" s="3352"/>
      <c r="CC207" s="3352"/>
      <c r="CD207" s="3352"/>
      <c r="CE207" s="3352"/>
      <c r="CF207" s="3352"/>
      <c r="CG207" s="3352"/>
      <c r="CH207" s="3352"/>
      <c r="CI207" s="3352"/>
      <c r="CJ207" s="3352"/>
      <c r="CK207" s="3352"/>
      <c r="CL207" s="3352"/>
      <c r="CM207" s="3352"/>
      <c r="CN207" s="3352"/>
      <c r="CO207" s="3352"/>
      <c r="CP207" s="3352"/>
      <c r="CQ207" s="3352"/>
      <c r="CR207" s="3352"/>
      <c r="CS207" s="3352"/>
      <c r="CT207" s="3352"/>
      <c r="CU207" s="3352"/>
      <c r="CV207" s="3352"/>
      <c r="CW207" s="3352"/>
      <c r="CX207" s="3352"/>
      <c r="CY207" s="3352"/>
      <c r="CZ207" s="3352"/>
    </row>
  </sheetData>
  <sheetProtection algorithmName="SHA-512" hashValue="uVcwRF8aixm1FXOvj8tl5DO58uS5JfbrbI0aaURYJzx8HbMT/fmVzeJAsQuQczeqOLJjiIXHmk6BS59eX64p5w==" saltValue="HilFzsLk8DUN+sJXRlk12Q==" spinCount="100000" sheet="1" objects="1" scenarios="1"/>
  <mergeCells count="111">
    <mergeCell ref="AL98:AL100"/>
    <mergeCell ref="F98:AK98"/>
    <mergeCell ref="F99:G99"/>
    <mergeCell ref="H99:I99"/>
    <mergeCell ref="J99:K99"/>
    <mergeCell ref="L99:M99"/>
    <mergeCell ref="N99:O99"/>
    <mergeCell ref="P99:Q99"/>
    <mergeCell ref="R99:S99"/>
    <mergeCell ref="T99:U99"/>
    <mergeCell ref="V99:W99"/>
    <mergeCell ref="X99:Y99"/>
    <mergeCell ref="Z99:AA99"/>
    <mergeCell ref="AB99:AC99"/>
    <mergeCell ref="AD99:AE99"/>
    <mergeCell ref="D163:D164"/>
    <mergeCell ref="A163:A164"/>
    <mergeCell ref="B163:B164"/>
    <mergeCell ref="C163:C164"/>
    <mergeCell ref="L144:L145"/>
    <mergeCell ref="A146:A149"/>
    <mergeCell ref="A150:A153"/>
    <mergeCell ref="A154:A157"/>
    <mergeCell ref="A158:A161"/>
    <mergeCell ref="A144:A145"/>
    <mergeCell ref="B144:B145"/>
    <mergeCell ref="C144:C145"/>
    <mergeCell ref="D144:J144"/>
    <mergeCell ref="K144:K145"/>
    <mergeCell ref="A6:T6"/>
    <mergeCell ref="A8:B8"/>
    <mergeCell ref="A10:A13"/>
    <mergeCell ref="B10:B13"/>
    <mergeCell ref="C10:E12"/>
    <mergeCell ref="F10:AM11"/>
    <mergeCell ref="AQ10:AQ13"/>
    <mergeCell ref="AR10:AR13"/>
    <mergeCell ref="AS10:AS13"/>
    <mergeCell ref="V12:W12"/>
    <mergeCell ref="AL12:AM12"/>
    <mergeCell ref="Z12:AA12"/>
    <mergeCell ref="AB12:AC12"/>
    <mergeCell ref="AD12:AE12"/>
    <mergeCell ref="AF12:AG12"/>
    <mergeCell ref="AH12:AI12"/>
    <mergeCell ref="AJ12:AK12"/>
    <mergeCell ref="X12:Y12"/>
    <mergeCell ref="F12:G12"/>
    <mergeCell ref="H12:I12"/>
    <mergeCell ref="R12:S12"/>
    <mergeCell ref="A116:A119"/>
    <mergeCell ref="A120:A123"/>
    <mergeCell ref="A106:A107"/>
    <mergeCell ref="B106:B107"/>
    <mergeCell ref="C106:C107"/>
    <mergeCell ref="A108:A111"/>
    <mergeCell ref="AS71:AS73"/>
    <mergeCell ref="K106:K107"/>
    <mergeCell ref="L106:L107"/>
    <mergeCell ref="A112:A115"/>
    <mergeCell ref="D106:J106"/>
    <mergeCell ref="A74:A79"/>
    <mergeCell ref="A80:A85"/>
    <mergeCell ref="A87:A96"/>
    <mergeCell ref="B71:B73"/>
    <mergeCell ref="AR71:AR73"/>
    <mergeCell ref="F71:AM71"/>
    <mergeCell ref="AF99:AG99"/>
    <mergeCell ref="AH99:AI99"/>
    <mergeCell ref="AJ99:AK99"/>
    <mergeCell ref="A101:A103"/>
    <mergeCell ref="A98:A100"/>
    <mergeCell ref="C98:E99"/>
    <mergeCell ref="AL72:AM72"/>
    <mergeCell ref="A57:A63"/>
    <mergeCell ref="A64:A68"/>
    <mergeCell ref="A71:A73"/>
    <mergeCell ref="J72:K72"/>
    <mergeCell ref="L72:M72"/>
    <mergeCell ref="AT10:AT13"/>
    <mergeCell ref="AN10:AN13"/>
    <mergeCell ref="AO10:AP12"/>
    <mergeCell ref="AU10:AU13"/>
    <mergeCell ref="T12:U12"/>
    <mergeCell ref="A53:A56"/>
    <mergeCell ref="A14:A24"/>
    <mergeCell ref="A25:A35"/>
    <mergeCell ref="A36:A46"/>
    <mergeCell ref="A47:A52"/>
    <mergeCell ref="J12:K12"/>
    <mergeCell ref="L12:M12"/>
    <mergeCell ref="N12:O12"/>
    <mergeCell ref="P12:Q12"/>
    <mergeCell ref="AQ71:AQ73"/>
    <mergeCell ref="C71:E72"/>
    <mergeCell ref="AP71:AP73"/>
    <mergeCell ref="AF72:AG72"/>
    <mergeCell ref="AH72:AI72"/>
    <mergeCell ref="AB72:AC72"/>
    <mergeCell ref="AD72:AE72"/>
    <mergeCell ref="Z72:AA72"/>
    <mergeCell ref="V72:W72"/>
    <mergeCell ref="R72:S72"/>
    <mergeCell ref="T72:U72"/>
    <mergeCell ref="AN71:AO72"/>
    <mergeCell ref="F72:G72"/>
    <mergeCell ref="H72:I72"/>
    <mergeCell ref="AJ72:AK72"/>
    <mergeCell ref="X72:Y72"/>
    <mergeCell ref="N72:O72"/>
    <mergeCell ref="P72:Q72"/>
  </mergeCells>
  <dataValidations count="3">
    <dataValidation type="whole" allowBlank="1" showInputMessage="1" showErrorMessage="1" error="Valor no Permitido" sqref="F97:AK100 A97:E103 A144:C161 D144:L145" xr:uid="{2631AC37-5F57-4D01-9198-9F98C8E48E36}">
      <formula1>0</formula1>
      <formula2>1E+30</formula2>
    </dataValidation>
    <dataValidation type="whole" allowBlank="1" showInputMessage="1" showErrorMessage="1" sqref="A163:A171 E163:L171 B163:D164" xr:uid="{171CEBFA-3E43-424A-817E-9F301F1FBF7A}">
      <formula1>0</formula1>
      <formula2>1E+30</formula2>
    </dataValidation>
    <dataValidation type="whole" operator="greaterThanOrEqual" allowBlank="1" showInputMessage="1" showErrorMessage="1" sqref="F101:AL103 F14:AU69 F74:AS85 C88:D96 D108:L123 B126:H129 C132:H137 B140:J142 D146:L161 B165:D171" xr:uid="{B77225F1-D3C7-4FEF-8A4F-BFA5079AAC28}">
      <formula1>0</formula1>
    </dataValidation>
  </dataValidations>
  <pageMargins left="0.7" right="0.7" top="0.75" bottom="0.75" header="0.3" footer="0.3"/>
  <pageSetup orientation="portrait" r:id="rId1"/>
  <ignoredErrors>
    <ignoredError sqref="D79:E79 D78:E78 D81:E84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CZ196"/>
  <sheetViews>
    <sheetView showGridLines="0" zoomScaleNormal="100" workbookViewId="0">
      <selection activeCell="A6" sqref="A6:P6"/>
    </sheetView>
  </sheetViews>
  <sheetFormatPr baseColWidth="10" defaultColWidth="11.42578125" defaultRowHeight="15" x14ac:dyDescent="0.25"/>
  <cols>
    <col min="1" max="1" width="55.5703125" customWidth="1"/>
    <col min="2" max="2" width="14.5703125" customWidth="1"/>
    <col min="3" max="4" width="15.7109375" customWidth="1"/>
    <col min="5" max="6" width="14.5703125" customWidth="1"/>
    <col min="7" max="7" width="16.140625" customWidth="1"/>
    <col min="8" max="8" width="16.7109375" customWidth="1"/>
    <col min="9" max="9" width="15.42578125" customWidth="1"/>
    <col min="10" max="10" width="18.28515625" customWidth="1"/>
    <col min="11" max="12" width="14.28515625" customWidth="1"/>
    <col min="13" max="14" width="10.7109375" customWidth="1"/>
    <col min="77" max="77" width="12.28515625" customWidth="1"/>
    <col min="78" max="78" width="11.140625" customWidth="1"/>
    <col min="79" max="104" width="11.140625" hidden="1" customWidth="1"/>
    <col min="105" max="105" width="11.140625" customWidth="1"/>
  </cols>
  <sheetData>
    <row r="1" spans="1:93" ht="16.149999999999999" customHeight="1" x14ac:dyDescent="0.25">
      <c r="A1" s="68" t="s">
        <v>206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69"/>
      <c r="BZ1" s="69"/>
      <c r="CA1" s="289"/>
      <c r="CB1" s="289"/>
      <c r="CC1" s="289"/>
      <c r="CD1" s="289"/>
      <c r="CE1" s="289"/>
      <c r="CF1" s="289"/>
      <c r="CG1" s="289"/>
      <c r="CH1" s="289"/>
      <c r="CI1" s="289"/>
      <c r="CJ1" s="289"/>
      <c r="CK1" s="289"/>
      <c r="CL1" s="289"/>
      <c r="CM1" s="289"/>
    </row>
    <row r="2" spans="1:93" ht="16.149999999999999" customHeight="1" x14ac:dyDescent="0.25">
      <c r="A2" s="68" t="str">
        <f>CONCATENATE("COMUNA: ",NOMBRE!B2," - ","( ",NOMBRE!C2,NOMBRE!D2,NOMBRE!E2,NOMBRE!F2,NOMBRE!G2," )")</f>
        <v>COMUNA:  - (  )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69"/>
      <c r="BZ2" s="69"/>
      <c r="CA2" s="289"/>
      <c r="CB2" s="289"/>
      <c r="CC2" s="289"/>
      <c r="CD2" s="289"/>
      <c r="CE2" s="289"/>
      <c r="CF2" s="289"/>
      <c r="CG2" s="289"/>
      <c r="CH2" s="289"/>
      <c r="CI2" s="289"/>
      <c r="CJ2" s="289"/>
      <c r="CK2" s="289"/>
      <c r="CL2" s="289"/>
      <c r="CM2" s="289"/>
    </row>
    <row r="3" spans="1:93" ht="16.149999999999999" customHeight="1" x14ac:dyDescent="0.25">
      <c r="A3" s="68" t="str">
        <f>CONCATENATE("ESTABLECIMIENTO/ESTRATEGIA: ",NOMBRE!B3," - ","( ",NOMBRE!C3,NOMBRE!D3,NOMBRE!E3,NOMBRE!F3,NOMBRE!G3,NOMBRE!H3," )")</f>
        <v>ESTABLECIMIENTO/ESTRATEGIA:  - (  )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69"/>
      <c r="BZ3" s="69"/>
      <c r="CA3" s="289"/>
      <c r="CB3" s="289"/>
      <c r="CC3" s="289"/>
      <c r="CD3" s="289"/>
      <c r="CE3" s="289"/>
      <c r="CF3" s="289"/>
      <c r="CG3" s="289"/>
      <c r="CH3" s="289"/>
      <c r="CI3" s="289"/>
      <c r="CJ3" s="289"/>
      <c r="CK3" s="289"/>
      <c r="CL3" s="289"/>
      <c r="CM3" s="289"/>
    </row>
    <row r="4" spans="1:93" ht="16.149999999999999" customHeight="1" x14ac:dyDescent="0.25">
      <c r="A4" s="68" t="str">
        <f>CONCATENATE("MES: ",NOMBRE!B6," - ","( ",NOMBRE!C6,NOMBRE!D6," )")</f>
        <v>MES:  - (  )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69"/>
      <c r="BZ4" s="69"/>
      <c r="CA4" s="289"/>
      <c r="CB4" s="289"/>
      <c r="CC4" s="289"/>
      <c r="CD4" s="289"/>
      <c r="CE4" s="289"/>
      <c r="CF4" s="289"/>
      <c r="CG4" s="289"/>
      <c r="CH4" s="289"/>
      <c r="CI4" s="289"/>
      <c r="CJ4" s="289"/>
      <c r="CK4" s="289"/>
      <c r="CL4" s="289"/>
      <c r="CM4" s="289"/>
    </row>
    <row r="5" spans="1:93" ht="16.149999999999999" customHeight="1" x14ac:dyDescent="0.25">
      <c r="A5" s="68" t="str">
        <f>CONCATENATE("AÑO: ",NOMBRE!B7)</f>
        <v>AÑO: 2023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69"/>
      <c r="BZ5" s="69"/>
      <c r="CA5" s="289"/>
      <c r="CB5" s="289"/>
      <c r="CC5" s="289"/>
      <c r="CD5" s="289"/>
      <c r="CE5" s="289"/>
      <c r="CF5" s="289"/>
      <c r="CG5" s="289"/>
      <c r="CH5" s="289"/>
      <c r="CI5" s="289"/>
      <c r="CJ5" s="289"/>
      <c r="CK5" s="289"/>
      <c r="CL5" s="289"/>
      <c r="CM5" s="289"/>
    </row>
    <row r="6" spans="1:93" x14ac:dyDescent="0.25">
      <c r="A6" s="8199" t="s">
        <v>1852</v>
      </c>
      <c r="B6" s="8199"/>
      <c r="C6" s="8199"/>
      <c r="D6" s="8199"/>
      <c r="E6" s="8199"/>
      <c r="F6" s="8199"/>
      <c r="G6" s="8199"/>
      <c r="H6" s="8199"/>
      <c r="I6" s="8199"/>
      <c r="J6" s="8199"/>
      <c r="K6" s="8199"/>
      <c r="L6" s="8199"/>
      <c r="M6" s="8199"/>
      <c r="N6" s="8199"/>
      <c r="O6" s="8199"/>
      <c r="P6" s="819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69"/>
      <c r="BZ6" s="69"/>
      <c r="CA6" s="289"/>
      <c r="CB6" s="289"/>
      <c r="CC6" s="289"/>
      <c r="CD6" s="289"/>
      <c r="CE6" s="289"/>
      <c r="CF6" s="289"/>
      <c r="CG6" s="294"/>
      <c r="CH6" s="294"/>
      <c r="CI6" s="294"/>
      <c r="CJ6" s="294"/>
      <c r="CK6" s="294"/>
      <c r="CL6" s="294"/>
      <c r="CM6" s="294"/>
    </row>
    <row r="7" spans="1:93" x14ac:dyDescent="0.25">
      <c r="A7" s="1091"/>
      <c r="B7" s="1091"/>
      <c r="C7" s="1091"/>
      <c r="D7" s="1091"/>
      <c r="E7" s="1091"/>
      <c r="F7" s="1091"/>
      <c r="G7" s="1091"/>
      <c r="H7" s="1091"/>
      <c r="I7" s="1091"/>
      <c r="J7" s="1091"/>
      <c r="K7" s="1091"/>
      <c r="L7" s="1091"/>
      <c r="M7" s="1091"/>
      <c r="N7" s="1091"/>
      <c r="O7" s="1091"/>
      <c r="P7" s="1091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69"/>
      <c r="BZ7" s="69"/>
      <c r="CA7" s="289"/>
      <c r="CB7" s="289"/>
      <c r="CC7" s="289"/>
      <c r="CD7" s="289"/>
      <c r="CE7" s="289"/>
      <c r="CF7" s="289"/>
      <c r="CG7" s="294"/>
      <c r="CH7" s="294"/>
      <c r="CI7" s="294"/>
      <c r="CJ7" s="294"/>
      <c r="CK7" s="294"/>
      <c r="CL7" s="294"/>
      <c r="CM7" s="294"/>
    </row>
    <row r="8" spans="1:93" ht="31.9" customHeight="1" x14ac:dyDescent="0.25">
      <c r="A8" s="746" t="s">
        <v>1853</v>
      </c>
      <c r="B8" s="670"/>
      <c r="C8" s="670"/>
      <c r="D8" s="670"/>
      <c r="E8" s="670"/>
      <c r="F8" s="670"/>
      <c r="G8" s="670"/>
      <c r="H8" s="670"/>
      <c r="I8" s="670"/>
      <c r="J8" s="140"/>
      <c r="K8" s="140"/>
      <c r="L8" s="140"/>
      <c r="M8" s="140"/>
      <c r="N8" s="140"/>
      <c r="O8" s="140"/>
      <c r="P8" s="14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69"/>
      <c r="BZ8" s="69"/>
      <c r="CA8" s="289"/>
      <c r="CB8" s="289"/>
      <c r="CC8" s="289"/>
      <c r="CD8" s="289"/>
      <c r="CE8" s="289"/>
      <c r="CF8" s="289"/>
      <c r="CG8" s="294"/>
      <c r="CH8" s="294"/>
      <c r="CI8" s="294"/>
      <c r="CJ8" s="294"/>
      <c r="CK8" s="294"/>
      <c r="CL8" s="294"/>
      <c r="CM8" s="294"/>
    </row>
    <row r="9" spans="1:93" ht="25.15" customHeight="1" x14ac:dyDescent="0.25">
      <c r="A9" s="9725" t="s">
        <v>1854</v>
      </c>
      <c r="B9" s="9189" t="s">
        <v>1855</v>
      </c>
      <c r="C9" s="9243"/>
      <c r="D9" s="9243"/>
      <c r="E9" s="9243"/>
      <c r="F9" s="9190"/>
      <c r="G9" s="8218" t="s">
        <v>1856</v>
      </c>
      <c r="H9" s="8220"/>
      <c r="I9" s="9536" t="s">
        <v>1857</v>
      </c>
      <c r="J9" s="8215" t="s">
        <v>1858</v>
      </c>
      <c r="K9" s="8217"/>
      <c r="L9" s="70"/>
      <c r="M9" s="70"/>
      <c r="N9" s="70"/>
      <c r="O9" s="140"/>
      <c r="P9" s="140"/>
      <c r="Q9" s="140"/>
      <c r="R9" s="14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69"/>
      <c r="CB9" s="69"/>
      <c r="CC9" s="289"/>
      <c r="CD9" s="289"/>
      <c r="CE9" s="289"/>
      <c r="CF9" s="289"/>
      <c r="CG9" s="289"/>
      <c r="CH9" s="289"/>
      <c r="CI9" s="294"/>
      <c r="CJ9" s="294"/>
      <c r="CK9" s="294"/>
      <c r="CL9" s="294"/>
      <c r="CM9" s="294"/>
      <c r="CN9" s="294"/>
      <c r="CO9" s="294"/>
    </row>
    <row r="10" spans="1:93" ht="42.75" customHeight="1" x14ac:dyDescent="0.25">
      <c r="A10" s="8161"/>
      <c r="B10" s="1196" t="s">
        <v>44</v>
      </c>
      <c r="C10" s="1197" t="s">
        <v>17</v>
      </c>
      <c r="D10" s="2686" t="s">
        <v>18</v>
      </c>
      <c r="E10" s="4020" t="s">
        <v>3579</v>
      </c>
      <c r="F10" s="3362" t="s">
        <v>3578</v>
      </c>
      <c r="G10" s="1119" t="s">
        <v>1859</v>
      </c>
      <c r="H10" s="1120" t="s">
        <v>1860</v>
      </c>
      <c r="I10" s="8151"/>
      <c r="J10" s="1119" t="s">
        <v>1861</v>
      </c>
      <c r="K10" s="1120" t="s">
        <v>1862</v>
      </c>
      <c r="L10" s="70"/>
      <c r="M10" s="70"/>
      <c r="N10" s="70"/>
      <c r="O10" s="140"/>
      <c r="P10" s="140"/>
      <c r="Q10" s="140"/>
      <c r="R10" s="14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69"/>
      <c r="CB10" s="69"/>
      <c r="CC10" s="289"/>
      <c r="CD10" s="289"/>
      <c r="CE10" s="289"/>
      <c r="CF10" s="289"/>
      <c r="CG10" s="289"/>
      <c r="CH10" s="289"/>
      <c r="CI10" s="294"/>
      <c r="CJ10" s="294"/>
      <c r="CK10" s="294"/>
      <c r="CL10" s="294"/>
      <c r="CM10" s="294"/>
      <c r="CN10" s="294"/>
      <c r="CO10" s="294"/>
    </row>
    <row r="11" spans="1:93" ht="16.149999999999999" customHeight="1" x14ac:dyDescent="0.25">
      <c r="A11" s="1198" t="s">
        <v>1863</v>
      </c>
      <c r="B11" s="1199">
        <f t="shared" ref="B11:B29" si="0">SUM(C11:F11)</f>
        <v>0</v>
      </c>
      <c r="C11" s="1200">
        <f t="shared" ref="C11:K11" si="1">SUM(C12:C24)</f>
        <v>0</v>
      </c>
      <c r="D11" s="2687">
        <f t="shared" si="1"/>
        <v>0</v>
      </c>
      <c r="E11" s="2687">
        <f t="shared" si="1"/>
        <v>0</v>
      </c>
      <c r="F11" s="1201">
        <f t="shared" si="1"/>
        <v>0</v>
      </c>
      <c r="G11" s="1200">
        <f t="shared" si="1"/>
        <v>0</v>
      </c>
      <c r="H11" s="1202">
        <f t="shared" si="1"/>
        <v>0</v>
      </c>
      <c r="I11" s="1201">
        <f t="shared" si="1"/>
        <v>0</v>
      </c>
      <c r="J11" s="1203">
        <f t="shared" si="1"/>
        <v>0</v>
      </c>
      <c r="K11" s="1202">
        <f t="shared" si="1"/>
        <v>0</v>
      </c>
      <c r="L11" s="70"/>
      <c r="M11" s="70"/>
      <c r="N11" s="70"/>
      <c r="O11" s="140"/>
      <c r="P11" s="140"/>
      <c r="Q11" s="140"/>
      <c r="R11" s="14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69"/>
      <c r="CB11" s="69"/>
      <c r="CC11" s="289"/>
      <c r="CD11" s="289"/>
      <c r="CE11" s="289"/>
      <c r="CF11" s="289"/>
      <c r="CG11" s="289"/>
      <c r="CH11" s="289"/>
      <c r="CI11" s="294"/>
      <c r="CJ11" s="294"/>
      <c r="CK11" s="294"/>
      <c r="CL11" s="294"/>
      <c r="CM11" s="294"/>
      <c r="CN11" s="294"/>
      <c r="CO11" s="294"/>
    </row>
    <row r="12" spans="1:93" ht="16.149999999999999" customHeight="1" x14ac:dyDescent="0.25">
      <c r="A12" s="1204" t="s">
        <v>1864</v>
      </c>
      <c r="B12" s="1124">
        <f t="shared" si="0"/>
        <v>0</v>
      </c>
      <c r="C12" s="906"/>
      <c r="D12" s="2506"/>
      <c r="E12" s="2877"/>
      <c r="F12" s="143"/>
      <c r="G12" s="906"/>
      <c r="H12" s="130"/>
      <c r="I12" s="143"/>
      <c r="J12" s="78"/>
      <c r="K12" s="130"/>
      <c r="L12" s="70"/>
      <c r="M12" s="70"/>
      <c r="N12" s="70"/>
      <c r="O12" s="140"/>
      <c r="P12" s="140"/>
      <c r="Q12" s="140"/>
      <c r="R12" s="14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69"/>
      <c r="CB12" s="69"/>
      <c r="CC12" s="289"/>
      <c r="CD12" s="289"/>
      <c r="CE12" s="289"/>
      <c r="CF12" s="289"/>
      <c r="CG12" s="289"/>
      <c r="CH12" s="289"/>
      <c r="CI12" s="294"/>
      <c r="CJ12" s="294"/>
      <c r="CK12" s="294"/>
      <c r="CL12" s="294"/>
      <c r="CM12" s="294"/>
      <c r="CN12" s="294"/>
      <c r="CO12" s="294"/>
    </row>
    <row r="13" spans="1:93" ht="16.149999999999999" customHeight="1" x14ac:dyDescent="0.25">
      <c r="A13" s="1205" t="s">
        <v>1865</v>
      </c>
      <c r="B13" s="1134">
        <f t="shared" si="0"/>
        <v>0</v>
      </c>
      <c r="C13" s="1109"/>
      <c r="D13" s="2551"/>
      <c r="E13" s="1881"/>
      <c r="F13" s="1110"/>
      <c r="G13" s="1109"/>
      <c r="H13" s="1113"/>
      <c r="I13" s="1110"/>
      <c r="J13" s="1130"/>
      <c r="K13" s="1113"/>
      <c r="L13" s="70"/>
      <c r="M13" s="70"/>
      <c r="N13" s="70"/>
      <c r="O13" s="140"/>
      <c r="P13" s="140"/>
      <c r="Q13" s="140"/>
      <c r="R13" s="14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69"/>
      <c r="CB13" s="69"/>
      <c r="CC13" s="289"/>
      <c r="CD13" s="289"/>
      <c r="CE13" s="289"/>
      <c r="CF13" s="289"/>
      <c r="CG13" s="289"/>
      <c r="CH13" s="289"/>
      <c r="CI13" s="294"/>
      <c r="CJ13" s="294"/>
      <c r="CK13" s="294"/>
      <c r="CL13" s="294"/>
      <c r="CM13" s="294"/>
      <c r="CN13" s="294"/>
      <c r="CO13" s="294"/>
    </row>
    <row r="14" spans="1:93" ht="16.149999999999999" customHeight="1" x14ac:dyDescent="0.25">
      <c r="A14" s="1205" t="s">
        <v>1595</v>
      </c>
      <c r="B14" s="1134">
        <f t="shared" si="0"/>
        <v>0</v>
      </c>
      <c r="C14" s="1109"/>
      <c r="D14" s="2551"/>
      <c r="E14" s="1881"/>
      <c r="F14" s="1110"/>
      <c r="G14" s="1109"/>
      <c r="H14" s="1110"/>
      <c r="I14" s="1110"/>
      <c r="J14" s="1129"/>
      <c r="K14" s="1110"/>
      <c r="L14" s="70"/>
      <c r="M14" s="70"/>
      <c r="N14" s="70"/>
      <c r="O14" s="140"/>
      <c r="P14" s="140"/>
      <c r="Q14" s="140"/>
      <c r="R14" s="14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69"/>
      <c r="CB14" s="69"/>
      <c r="CC14" s="289"/>
      <c r="CD14" s="289"/>
      <c r="CE14" s="289"/>
      <c r="CF14" s="289"/>
      <c r="CG14" s="289"/>
      <c r="CH14" s="289"/>
      <c r="CI14" s="294"/>
      <c r="CJ14" s="294"/>
      <c r="CK14" s="294"/>
      <c r="CL14" s="294"/>
      <c r="CM14" s="294"/>
      <c r="CN14" s="294"/>
      <c r="CO14" s="294"/>
    </row>
    <row r="15" spans="1:93" ht="16.149999999999999" customHeight="1" x14ac:dyDescent="0.25">
      <c r="A15" s="1205" t="s">
        <v>1866</v>
      </c>
      <c r="B15" s="1134">
        <f t="shared" si="0"/>
        <v>0</v>
      </c>
      <c r="C15" s="1109"/>
      <c r="D15" s="2551"/>
      <c r="E15" s="1881"/>
      <c r="F15" s="1110"/>
      <c r="G15" s="1109"/>
      <c r="H15" s="1110"/>
      <c r="I15" s="1110"/>
      <c r="J15" s="1129"/>
      <c r="K15" s="1110"/>
      <c r="L15" s="70"/>
      <c r="M15" s="70"/>
      <c r="N15" s="70"/>
      <c r="O15" s="140"/>
      <c r="P15" s="140"/>
      <c r="Q15" s="140"/>
      <c r="R15" s="14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69"/>
      <c r="CB15" s="69"/>
      <c r="CC15" s="289"/>
      <c r="CD15" s="289"/>
      <c r="CE15" s="289"/>
      <c r="CF15" s="289"/>
      <c r="CG15" s="289"/>
      <c r="CH15" s="289"/>
      <c r="CI15" s="294"/>
      <c r="CJ15" s="294"/>
      <c r="CK15" s="294"/>
      <c r="CL15" s="294"/>
      <c r="CM15" s="294"/>
      <c r="CN15" s="294"/>
      <c r="CO15" s="294"/>
    </row>
    <row r="16" spans="1:93" ht="25.15" customHeight="1" x14ac:dyDescent="0.25">
      <c r="A16" s="1205" t="s">
        <v>1867</v>
      </c>
      <c r="B16" s="1134">
        <f t="shared" si="0"/>
        <v>0</v>
      </c>
      <c r="C16" s="1109"/>
      <c r="D16" s="2551"/>
      <c r="E16" s="1881"/>
      <c r="F16" s="1110"/>
      <c r="G16" s="1109"/>
      <c r="H16" s="1110"/>
      <c r="I16" s="1192"/>
      <c r="J16" s="1129"/>
      <c r="K16" s="1110"/>
      <c r="L16" s="70"/>
      <c r="M16" s="70"/>
      <c r="N16" s="70"/>
      <c r="O16" s="140"/>
      <c r="P16" s="140"/>
      <c r="Q16" s="140"/>
      <c r="R16" s="14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69"/>
      <c r="CB16" s="69"/>
      <c r="CC16" s="289"/>
      <c r="CD16" s="289"/>
      <c r="CE16" s="289"/>
      <c r="CF16" s="289"/>
      <c r="CG16" s="289"/>
      <c r="CH16" s="289"/>
      <c r="CI16" s="294"/>
      <c r="CJ16" s="294"/>
      <c r="CK16" s="294"/>
      <c r="CL16" s="294"/>
      <c r="CM16" s="294"/>
      <c r="CN16" s="294"/>
      <c r="CO16" s="294"/>
    </row>
    <row r="17" spans="1:95" ht="16.149999999999999" customHeight="1" x14ac:dyDescent="0.25">
      <c r="A17" s="1205" t="s">
        <v>1868</v>
      </c>
      <c r="B17" s="1134">
        <f t="shared" si="0"/>
        <v>0</v>
      </c>
      <c r="C17" s="1109"/>
      <c r="D17" s="2551"/>
      <c r="E17" s="1881"/>
      <c r="F17" s="1110"/>
      <c r="G17" s="1109"/>
      <c r="H17" s="1110"/>
      <c r="I17" s="1192"/>
      <c r="J17" s="1129"/>
      <c r="K17" s="1110"/>
      <c r="L17" s="70"/>
      <c r="M17" s="70"/>
      <c r="N17" s="70"/>
      <c r="O17" s="140"/>
      <c r="P17" s="140"/>
      <c r="Q17" s="140"/>
      <c r="R17" s="14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69"/>
      <c r="CB17" s="69"/>
      <c r="CC17" s="289"/>
      <c r="CD17" s="289"/>
      <c r="CE17" s="289"/>
      <c r="CF17" s="289"/>
      <c r="CG17" s="289"/>
      <c r="CH17" s="289"/>
      <c r="CI17" s="294"/>
      <c r="CJ17" s="294"/>
      <c r="CK17" s="294"/>
      <c r="CL17" s="294"/>
      <c r="CM17" s="294"/>
      <c r="CN17" s="294"/>
      <c r="CO17" s="294"/>
      <c r="CP17" s="289"/>
      <c r="CQ17" s="295"/>
    </row>
    <row r="18" spans="1:95" ht="16.149999999999999" customHeight="1" x14ac:dyDescent="0.25">
      <c r="A18" s="1205" t="s">
        <v>1869</v>
      </c>
      <c r="B18" s="1134">
        <f t="shared" si="0"/>
        <v>0</v>
      </c>
      <c r="C18" s="1109"/>
      <c r="D18" s="2551"/>
      <c r="E18" s="1881"/>
      <c r="F18" s="1110"/>
      <c r="G18" s="1109"/>
      <c r="H18" s="1110"/>
      <c r="I18" s="1192"/>
      <c r="J18" s="1129"/>
      <c r="K18" s="1110"/>
      <c r="L18" s="70"/>
      <c r="M18" s="70"/>
      <c r="N18" s="70"/>
      <c r="O18" s="140"/>
      <c r="P18" s="140"/>
      <c r="Q18" s="140"/>
      <c r="R18" s="14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69"/>
      <c r="CB18" s="69"/>
      <c r="CC18" s="289"/>
      <c r="CD18" s="289"/>
      <c r="CE18" s="289"/>
      <c r="CF18" s="289"/>
      <c r="CG18" s="289"/>
      <c r="CH18" s="289"/>
      <c r="CI18" s="294"/>
      <c r="CJ18" s="294"/>
      <c r="CK18" s="294"/>
      <c r="CL18" s="294"/>
      <c r="CM18" s="294"/>
      <c r="CN18" s="294"/>
      <c r="CO18" s="294"/>
      <c r="CP18" s="289"/>
      <c r="CQ18" s="295"/>
    </row>
    <row r="19" spans="1:95" ht="16.149999999999999" customHeight="1" x14ac:dyDescent="0.25">
      <c r="A19" s="1205" t="s">
        <v>1870</v>
      </c>
      <c r="B19" s="1134">
        <f t="shared" si="0"/>
        <v>0</v>
      </c>
      <c r="C19" s="1109"/>
      <c r="D19" s="2551"/>
      <c r="E19" s="1881"/>
      <c r="F19" s="1110"/>
      <c r="G19" s="1109"/>
      <c r="H19" s="1110"/>
      <c r="I19" s="1110"/>
      <c r="J19" s="1129"/>
      <c r="K19" s="1110"/>
      <c r="L19" s="70"/>
      <c r="M19" s="70"/>
      <c r="N19" s="70"/>
      <c r="O19" s="140"/>
      <c r="P19" s="140"/>
      <c r="Q19" s="140"/>
      <c r="R19" s="14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69"/>
      <c r="CB19" s="69"/>
      <c r="CC19" s="289"/>
      <c r="CD19" s="289"/>
      <c r="CE19" s="289"/>
      <c r="CF19" s="289"/>
      <c r="CG19" s="289"/>
      <c r="CH19" s="289"/>
      <c r="CI19" s="294"/>
      <c r="CJ19" s="294"/>
      <c r="CK19" s="294"/>
      <c r="CL19" s="294"/>
      <c r="CM19" s="294"/>
      <c r="CN19" s="294"/>
      <c r="CO19" s="294"/>
      <c r="CP19" s="289"/>
      <c r="CQ19" s="295"/>
    </row>
    <row r="20" spans="1:95" ht="16.149999999999999" customHeight="1" x14ac:dyDescent="0.25">
      <c r="A20" s="1205" t="s">
        <v>1871</v>
      </c>
      <c r="B20" s="1134">
        <f t="shared" si="0"/>
        <v>0</v>
      </c>
      <c r="C20" s="1109"/>
      <c r="D20" s="2551"/>
      <c r="E20" s="1881"/>
      <c r="F20" s="1110"/>
      <c r="G20" s="1109"/>
      <c r="H20" s="1110"/>
      <c r="I20" s="1110"/>
      <c r="J20" s="1129"/>
      <c r="K20" s="1110"/>
      <c r="L20" s="70"/>
      <c r="M20" s="70"/>
      <c r="N20" s="70"/>
      <c r="O20" s="140"/>
      <c r="P20" s="140"/>
      <c r="Q20" s="140"/>
      <c r="R20" s="14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69"/>
      <c r="CB20" s="69"/>
      <c r="CC20" s="289"/>
      <c r="CD20" s="289"/>
      <c r="CE20" s="289"/>
      <c r="CF20" s="289"/>
      <c r="CG20" s="289"/>
      <c r="CH20" s="289"/>
      <c r="CI20" s="294"/>
      <c r="CJ20" s="294"/>
      <c r="CK20" s="294"/>
      <c r="CL20" s="294"/>
      <c r="CM20" s="294"/>
      <c r="CN20" s="294"/>
      <c r="CO20" s="294"/>
      <c r="CP20" s="289"/>
      <c r="CQ20" s="295"/>
    </row>
    <row r="21" spans="1:95" ht="16.149999999999999" customHeight="1" x14ac:dyDescent="0.25">
      <c r="A21" s="1205" t="s">
        <v>1872</v>
      </c>
      <c r="B21" s="1134">
        <f t="shared" si="0"/>
        <v>0</v>
      </c>
      <c r="C21" s="1109"/>
      <c r="D21" s="2551"/>
      <c r="E21" s="1881"/>
      <c r="F21" s="1110"/>
      <c r="G21" s="1109"/>
      <c r="H21" s="1110"/>
      <c r="I21" s="1110"/>
      <c r="J21" s="1129"/>
      <c r="K21" s="1110"/>
      <c r="L21" s="70"/>
      <c r="M21" s="70"/>
      <c r="N21" s="70"/>
      <c r="O21" s="140"/>
      <c r="P21" s="140"/>
      <c r="Q21" s="140"/>
      <c r="R21" s="14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0"/>
      <c r="CA21" s="69"/>
      <c r="CB21" s="69"/>
      <c r="CC21" s="289"/>
      <c r="CD21" s="289"/>
      <c r="CE21" s="289"/>
      <c r="CF21" s="289"/>
      <c r="CG21" s="289"/>
      <c r="CH21" s="289"/>
      <c r="CI21" s="294"/>
      <c r="CJ21" s="294"/>
      <c r="CK21" s="294"/>
      <c r="CL21" s="294"/>
      <c r="CM21" s="294"/>
      <c r="CN21" s="294"/>
      <c r="CO21" s="294"/>
      <c r="CP21" s="289"/>
      <c r="CQ21" s="295"/>
    </row>
    <row r="22" spans="1:95" ht="16.149999999999999" customHeight="1" x14ac:dyDescent="0.25">
      <c r="A22" s="1205" t="s">
        <v>1873</v>
      </c>
      <c r="B22" s="1134">
        <f t="shared" si="0"/>
        <v>0</v>
      </c>
      <c r="C22" s="1109"/>
      <c r="D22" s="2551"/>
      <c r="E22" s="1881"/>
      <c r="F22" s="1110"/>
      <c r="G22" s="1109"/>
      <c r="H22" s="1110"/>
      <c r="I22" s="1110"/>
      <c r="J22" s="1129"/>
      <c r="K22" s="1113"/>
      <c r="L22" s="70"/>
      <c r="M22" s="70"/>
      <c r="N22" s="70"/>
      <c r="O22" s="140"/>
      <c r="P22" s="140"/>
      <c r="Q22" s="140"/>
      <c r="R22" s="14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69"/>
      <c r="CB22" s="69"/>
      <c r="CC22" s="289"/>
      <c r="CD22" s="289"/>
      <c r="CE22" s="289"/>
      <c r="CF22" s="289"/>
      <c r="CG22" s="289"/>
      <c r="CH22" s="289"/>
      <c r="CI22" s="294"/>
      <c r="CJ22" s="294"/>
      <c r="CK22" s="294"/>
      <c r="CL22" s="294"/>
      <c r="CM22" s="294"/>
      <c r="CN22" s="294"/>
      <c r="CO22" s="294"/>
      <c r="CP22" s="289"/>
      <c r="CQ22" s="295"/>
    </row>
    <row r="23" spans="1:95" ht="16.149999999999999" customHeight="1" x14ac:dyDescent="0.25">
      <c r="A23" s="1205" t="s">
        <v>1874</v>
      </c>
      <c r="B23" s="1134">
        <f t="shared" si="0"/>
        <v>0</v>
      </c>
      <c r="C23" s="1109"/>
      <c r="D23" s="2551"/>
      <c r="E23" s="1881"/>
      <c r="F23" s="1110"/>
      <c r="G23" s="1109"/>
      <c r="H23" s="1110"/>
      <c r="I23" s="1110"/>
      <c r="J23" s="1129"/>
      <c r="K23" s="1113"/>
      <c r="L23" s="70"/>
      <c r="M23" s="70"/>
      <c r="N23" s="70"/>
      <c r="O23" s="70"/>
      <c r="P23" s="140"/>
      <c r="Q23" s="140"/>
      <c r="R23" s="14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69"/>
      <c r="CB23" s="69"/>
      <c r="CC23" s="289"/>
      <c r="CD23" s="289"/>
      <c r="CE23" s="289"/>
      <c r="CF23" s="289"/>
      <c r="CG23" s="289"/>
      <c r="CH23" s="289"/>
      <c r="CI23" s="294"/>
      <c r="CJ23" s="294"/>
      <c r="CK23" s="294"/>
      <c r="CL23" s="294"/>
      <c r="CM23" s="294"/>
      <c r="CN23" s="294"/>
      <c r="CO23" s="294"/>
      <c r="CP23" s="289"/>
      <c r="CQ23" s="295"/>
    </row>
    <row r="24" spans="1:95" ht="16.149999999999999" customHeight="1" thickBot="1" x14ac:dyDescent="0.3">
      <c r="A24" s="1206" t="s">
        <v>1875</v>
      </c>
      <c r="B24" s="1207">
        <f t="shared" si="0"/>
        <v>0</v>
      </c>
      <c r="C24" s="810"/>
      <c r="D24" s="2688"/>
      <c r="E24" s="4019"/>
      <c r="F24" s="1208"/>
      <c r="G24" s="810"/>
      <c r="H24" s="1208"/>
      <c r="I24" s="1208"/>
      <c r="J24" s="809"/>
      <c r="K24" s="1209"/>
      <c r="L24" s="70"/>
      <c r="M24" s="70"/>
      <c r="N24" s="70"/>
      <c r="O24" s="70"/>
      <c r="P24" s="140"/>
      <c r="Q24" s="140"/>
      <c r="R24" s="14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69"/>
      <c r="CB24" s="69"/>
      <c r="CC24" s="289"/>
      <c r="CD24" s="289"/>
      <c r="CE24" s="289"/>
      <c r="CF24" s="289"/>
      <c r="CG24" s="289"/>
      <c r="CH24" s="289"/>
      <c r="CI24" s="294"/>
      <c r="CJ24" s="294"/>
      <c r="CK24" s="294"/>
      <c r="CL24" s="294"/>
      <c r="CM24" s="294"/>
      <c r="CN24" s="294"/>
      <c r="CO24" s="294"/>
      <c r="CP24" s="289"/>
      <c r="CQ24" s="295"/>
    </row>
    <row r="25" spans="1:95" ht="16.149999999999999" customHeight="1" thickTop="1" x14ac:dyDescent="0.25">
      <c r="A25" s="886" t="s">
        <v>1038</v>
      </c>
      <c r="B25" s="1124">
        <f t="shared" si="0"/>
        <v>0</v>
      </c>
      <c r="C25" s="906"/>
      <c r="D25" s="2506"/>
      <c r="E25" s="2877"/>
      <c r="F25" s="143"/>
      <c r="G25" s="905"/>
      <c r="H25" s="90"/>
      <c r="I25" s="505"/>
      <c r="J25" s="124"/>
      <c r="K25" s="90"/>
      <c r="L25" s="70"/>
      <c r="M25" s="70"/>
      <c r="N25" s="70"/>
      <c r="O25" s="140"/>
      <c r="P25" s="140"/>
      <c r="Q25" s="140"/>
      <c r="R25" s="14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0"/>
      <c r="CA25" s="69"/>
      <c r="CB25" s="69"/>
      <c r="CC25" s="289"/>
      <c r="CD25" s="289"/>
      <c r="CE25" s="289"/>
      <c r="CF25" s="289"/>
      <c r="CG25" s="289"/>
      <c r="CH25" s="289"/>
      <c r="CI25" s="294"/>
      <c r="CJ25" s="294"/>
      <c r="CK25" s="294"/>
      <c r="CL25" s="294"/>
      <c r="CM25" s="294"/>
      <c r="CN25" s="294"/>
      <c r="CO25" s="294"/>
      <c r="CP25" s="289"/>
      <c r="CQ25" s="295"/>
    </row>
    <row r="26" spans="1:95" ht="16.149999999999999" customHeight="1" x14ac:dyDescent="0.25">
      <c r="A26" s="1210" t="s">
        <v>1876</v>
      </c>
      <c r="B26" s="1134">
        <f t="shared" si="0"/>
        <v>0</v>
      </c>
      <c r="C26" s="1109"/>
      <c r="D26" s="2551"/>
      <c r="E26" s="1881"/>
      <c r="F26" s="1110"/>
      <c r="G26" s="1127"/>
      <c r="H26" s="1128"/>
      <c r="I26" s="1211"/>
      <c r="J26" s="1126"/>
      <c r="K26" s="1128"/>
      <c r="L26" s="70"/>
      <c r="M26" s="70"/>
      <c r="N26" s="70"/>
      <c r="O26" s="140"/>
      <c r="P26" s="140"/>
      <c r="Q26" s="140"/>
      <c r="R26" s="14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69"/>
      <c r="CB26" s="69"/>
      <c r="CC26" s="289"/>
      <c r="CD26" s="289"/>
      <c r="CE26" s="289"/>
      <c r="CF26" s="289"/>
      <c r="CG26" s="289"/>
      <c r="CH26" s="289"/>
      <c r="CI26" s="294"/>
      <c r="CJ26" s="294"/>
      <c r="CK26" s="294"/>
      <c r="CL26" s="294"/>
      <c r="CM26" s="294"/>
      <c r="CN26" s="294"/>
      <c r="CO26" s="294"/>
      <c r="CP26" s="289"/>
      <c r="CQ26" s="295"/>
    </row>
    <row r="27" spans="1:95" ht="16.149999999999999" customHeight="1" x14ac:dyDescent="0.25">
      <c r="A27" s="1210" t="s">
        <v>1877</v>
      </c>
      <c r="B27" s="1134">
        <f t="shared" si="0"/>
        <v>0</v>
      </c>
      <c r="C27" s="1109"/>
      <c r="D27" s="2551"/>
      <c r="E27" s="1881"/>
      <c r="F27" s="1110"/>
      <c r="G27" s="1127"/>
      <c r="H27" s="1128"/>
      <c r="I27" s="1211"/>
      <c r="J27" s="1126"/>
      <c r="K27" s="1128"/>
      <c r="L27" s="70"/>
      <c r="M27" s="70"/>
      <c r="N27" s="70"/>
      <c r="O27" s="140"/>
      <c r="P27" s="140"/>
      <c r="Q27" s="140"/>
      <c r="R27" s="14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69"/>
      <c r="CB27" s="69"/>
      <c r="CC27" s="289"/>
      <c r="CD27" s="289"/>
      <c r="CE27" s="289"/>
      <c r="CF27" s="289"/>
      <c r="CG27" s="289"/>
      <c r="CH27" s="289"/>
      <c r="CI27" s="294"/>
      <c r="CJ27" s="294"/>
      <c r="CK27" s="294"/>
      <c r="CL27" s="294"/>
      <c r="CM27" s="294"/>
      <c r="CN27" s="294"/>
      <c r="CO27" s="294"/>
      <c r="CP27" s="289"/>
      <c r="CQ27" s="295"/>
    </row>
    <row r="28" spans="1:95" ht="16.149999999999999" customHeight="1" x14ac:dyDescent="0.25">
      <c r="A28" s="1210" t="s">
        <v>1878</v>
      </c>
      <c r="B28" s="1134">
        <f t="shared" si="0"/>
        <v>0</v>
      </c>
      <c r="C28" s="1109"/>
      <c r="D28" s="2551"/>
      <c r="E28" s="1881"/>
      <c r="F28" s="1110"/>
      <c r="G28" s="905"/>
      <c r="H28" s="90"/>
      <c r="I28" s="505"/>
      <c r="J28" s="124"/>
      <c r="K28" s="90"/>
      <c r="L28" s="70"/>
      <c r="M28" s="70"/>
      <c r="N28" s="70"/>
      <c r="O28" s="140"/>
      <c r="P28" s="140"/>
      <c r="Q28" s="140"/>
      <c r="R28" s="14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69"/>
      <c r="CB28" s="69"/>
      <c r="CC28" s="289"/>
      <c r="CD28" s="289"/>
      <c r="CE28" s="289"/>
      <c r="CF28" s="289"/>
      <c r="CG28" s="289"/>
      <c r="CH28" s="289"/>
      <c r="CI28" s="294"/>
      <c r="CJ28" s="294"/>
      <c r="CK28" s="294"/>
      <c r="CL28" s="294"/>
      <c r="CM28" s="294"/>
      <c r="CN28" s="294"/>
      <c r="CO28" s="294"/>
      <c r="CP28" s="289"/>
      <c r="CQ28" s="295"/>
    </row>
    <row r="29" spans="1:95" ht="16.149999999999999" customHeight="1" x14ac:dyDescent="0.25">
      <c r="A29" s="1093" t="s">
        <v>1879</v>
      </c>
      <c r="B29" s="527">
        <f t="shared" si="0"/>
        <v>0</v>
      </c>
      <c r="C29" s="125"/>
      <c r="D29" s="2552"/>
      <c r="E29" s="2535"/>
      <c r="F29" s="127"/>
      <c r="G29" s="82"/>
      <c r="H29" s="85"/>
      <c r="I29" s="128"/>
      <c r="J29" s="84"/>
      <c r="K29" s="85"/>
      <c r="L29" s="70"/>
      <c r="M29" s="70"/>
      <c r="N29" s="70"/>
      <c r="O29" s="140"/>
      <c r="P29" s="140"/>
      <c r="Q29" s="140"/>
      <c r="R29" s="14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69"/>
      <c r="CB29" s="69"/>
      <c r="CC29" s="289"/>
      <c r="CD29" s="289"/>
      <c r="CE29" s="289"/>
      <c r="CF29" s="289"/>
      <c r="CG29" s="289"/>
      <c r="CH29" s="289"/>
      <c r="CI29" s="294"/>
      <c r="CJ29" s="294"/>
      <c r="CK29" s="294"/>
      <c r="CL29" s="294"/>
      <c r="CM29" s="294"/>
      <c r="CN29" s="294"/>
      <c r="CO29" s="294"/>
      <c r="CP29" s="289"/>
      <c r="CQ29" s="295"/>
    </row>
    <row r="30" spans="1:95" ht="31.9" customHeight="1" x14ac:dyDescent="0.25">
      <c r="A30" s="72" t="s">
        <v>1880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69"/>
      <c r="BZ30" s="69"/>
      <c r="CA30" s="289"/>
      <c r="CB30" s="289"/>
      <c r="CC30" s="289"/>
      <c r="CD30" s="289"/>
      <c r="CE30" s="289"/>
      <c r="CF30" s="289"/>
      <c r="CG30" s="294"/>
      <c r="CH30" s="294"/>
      <c r="CI30" s="294"/>
      <c r="CJ30" s="294"/>
      <c r="CK30" s="294"/>
      <c r="CL30" s="294"/>
      <c r="CM30" s="294"/>
      <c r="CN30" s="289"/>
      <c r="CO30" s="295"/>
    </row>
    <row r="31" spans="1:95" ht="16.149999999999999" customHeight="1" x14ac:dyDescent="0.25">
      <c r="A31" s="9534" t="s">
        <v>1881</v>
      </c>
      <c r="B31" s="9536"/>
      <c r="C31" s="8429" t="s">
        <v>1882</v>
      </c>
      <c r="D31" s="8430"/>
      <c r="E31" s="8430"/>
      <c r="F31" s="8430"/>
      <c r="G31" s="8280"/>
      <c r="H31" s="9528" t="s">
        <v>1883</v>
      </c>
      <c r="I31" s="9528"/>
      <c r="J31" s="9528"/>
      <c r="K31" s="9528"/>
      <c r="L31" s="9528" t="s">
        <v>1583</v>
      </c>
      <c r="M31" s="9528"/>
      <c r="N31" s="9528"/>
      <c r="O31" s="1212"/>
      <c r="P31" s="140"/>
      <c r="Q31" s="140"/>
      <c r="R31" s="14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69"/>
      <c r="CB31" s="69"/>
      <c r="CC31" s="289"/>
      <c r="CD31" s="289"/>
      <c r="CE31" s="289"/>
      <c r="CF31" s="289"/>
      <c r="CG31" s="289"/>
      <c r="CH31" s="289"/>
      <c r="CI31" s="294"/>
      <c r="CJ31" s="294"/>
      <c r="CK31" s="294"/>
      <c r="CL31" s="294"/>
      <c r="CM31" s="294"/>
      <c r="CN31" s="294"/>
      <c r="CO31" s="294"/>
      <c r="CP31" s="289"/>
    </row>
    <row r="32" spans="1:95" ht="77.25" customHeight="1" x14ac:dyDescent="0.25">
      <c r="A32" s="9559"/>
      <c r="B32" s="8152"/>
      <c r="C32" s="1119" t="s">
        <v>1884</v>
      </c>
      <c r="D32" s="1153" t="s">
        <v>1885</v>
      </c>
      <c r="E32" s="1153" t="s">
        <v>1886</v>
      </c>
      <c r="F32" s="4027" t="s">
        <v>2663</v>
      </c>
      <c r="G32" s="949" t="s">
        <v>1887</v>
      </c>
      <c r="H32" s="1122" t="s">
        <v>1888</v>
      </c>
      <c r="I32" s="1213" t="s">
        <v>1889</v>
      </c>
      <c r="J32" s="949" t="s">
        <v>1890</v>
      </c>
      <c r="K32" s="1097" t="s">
        <v>1891</v>
      </c>
      <c r="L32" s="1214" t="s">
        <v>1892</v>
      </c>
      <c r="M32" s="1119" t="s">
        <v>1893</v>
      </c>
      <c r="N32" s="1143" t="s">
        <v>1894</v>
      </c>
      <c r="O32" s="107"/>
      <c r="P32" s="140"/>
      <c r="Q32" s="14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69"/>
      <c r="CB32" s="69"/>
      <c r="CC32" s="289"/>
      <c r="CD32" s="289"/>
      <c r="CE32" s="289"/>
      <c r="CF32" s="289"/>
      <c r="CG32" s="289"/>
      <c r="CH32" s="289"/>
      <c r="CI32" s="294"/>
      <c r="CJ32" s="294"/>
      <c r="CK32" s="294"/>
      <c r="CL32" s="294"/>
      <c r="CM32" s="294"/>
      <c r="CN32" s="294"/>
      <c r="CO32" s="294"/>
      <c r="CP32" s="289"/>
    </row>
    <row r="33" spans="1:94" ht="16.149999999999999" customHeight="1" x14ac:dyDescent="0.25">
      <c r="A33" s="9726" t="s">
        <v>1895</v>
      </c>
      <c r="B33" s="9727"/>
      <c r="C33" s="691"/>
      <c r="D33" s="709"/>
      <c r="E33" s="709"/>
      <c r="F33" s="2775"/>
      <c r="G33" s="709"/>
      <c r="H33" s="1182"/>
      <c r="I33" s="709"/>
      <c r="J33" s="709"/>
      <c r="K33" s="698"/>
      <c r="L33" s="743">
        <f>SUM(M33+N33)</f>
        <v>0</v>
      </c>
      <c r="M33" s="691"/>
      <c r="N33" s="1146"/>
      <c r="O33" s="894"/>
      <c r="P33" s="140"/>
      <c r="Q33" s="14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69"/>
      <c r="CB33" s="69"/>
      <c r="CC33" s="289"/>
      <c r="CD33" s="289"/>
      <c r="CE33" s="289"/>
      <c r="CF33" s="289"/>
      <c r="CG33" s="289"/>
      <c r="CH33" s="289"/>
      <c r="CI33" s="294"/>
      <c r="CJ33" s="294"/>
      <c r="CK33" s="294"/>
      <c r="CL33" s="294"/>
      <c r="CM33" s="294"/>
      <c r="CN33" s="294"/>
      <c r="CO33" s="294"/>
      <c r="CP33" s="289"/>
    </row>
    <row r="34" spans="1:94" ht="16.149999999999999" customHeight="1" x14ac:dyDescent="0.25">
      <c r="A34" s="9571" t="s">
        <v>1207</v>
      </c>
      <c r="B34" s="9572"/>
      <c r="C34" s="1109"/>
      <c r="D34" s="1130"/>
      <c r="E34" s="1130"/>
      <c r="F34" s="2549"/>
      <c r="G34" s="1130"/>
      <c r="H34" s="1129"/>
      <c r="I34" s="1130"/>
      <c r="J34" s="1130"/>
      <c r="K34" s="1113"/>
      <c r="L34" s="1107">
        <f>SUM(M34+N34)</f>
        <v>0</v>
      </c>
      <c r="M34" s="1109"/>
      <c r="N34" s="1110"/>
      <c r="O34" s="894"/>
      <c r="P34" s="140"/>
      <c r="Q34" s="14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69"/>
      <c r="CB34" s="69"/>
      <c r="CC34" s="289"/>
      <c r="CD34" s="289"/>
      <c r="CE34" s="289"/>
      <c r="CF34" s="289"/>
      <c r="CG34" s="289"/>
      <c r="CH34" s="289"/>
      <c r="CI34" s="294"/>
      <c r="CJ34" s="294"/>
      <c r="CK34" s="294"/>
      <c r="CL34" s="294"/>
      <c r="CM34" s="294"/>
      <c r="CN34" s="294"/>
      <c r="CO34" s="294"/>
      <c r="CP34" s="289"/>
    </row>
    <row r="35" spans="1:94" ht="16.149999999999999" customHeight="1" x14ac:dyDescent="0.25">
      <c r="A35" s="9571" t="s">
        <v>1896</v>
      </c>
      <c r="B35" s="9572"/>
      <c r="C35" s="1109"/>
      <c r="D35" s="1130"/>
      <c r="E35" s="1130"/>
      <c r="F35" s="2549"/>
      <c r="G35" s="1130"/>
      <c r="H35" s="1129"/>
      <c r="I35" s="1130"/>
      <c r="J35" s="1130"/>
      <c r="K35" s="1113"/>
      <c r="L35" s="1107">
        <f>SUM(M35+N35)</f>
        <v>0</v>
      </c>
      <c r="M35" s="1109"/>
      <c r="N35" s="1110"/>
      <c r="O35" s="894"/>
      <c r="P35" s="140"/>
      <c r="Q35" s="14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69"/>
      <c r="CB35" s="69"/>
      <c r="CC35" s="289"/>
      <c r="CD35" s="289"/>
      <c r="CE35" s="289"/>
      <c r="CF35" s="289"/>
      <c r="CG35" s="289"/>
      <c r="CH35" s="289"/>
      <c r="CI35" s="294"/>
      <c r="CJ35" s="294"/>
      <c r="CK35" s="294"/>
      <c r="CL35" s="294"/>
      <c r="CM35" s="294"/>
      <c r="CN35" s="294"/>
      <c r="CO35" s="294"/>
      <c r="CP35" s="289"/>
    </row>
    <row r="36" spans="1:94" ht="16.149999999999999" customHeight="1" x14ac:dyDescent="0.25">
      <c r="A36" s="9571" t="s">
        <v>1897</v>
      </c>
      <c r="B36" s="9572"/>
      <c r="C36" s="1109"/>
      <c r="D36" s="1130"/>
      <c r="E36" s="1130"/>
      <c r="F36" s="2549"/>
      <c r="G36" s="1130"/>
      <c r="H36" s="1129"/>
      <c r="I36" s="1130"/>
      <c r="J36" s="1130"/>
      <c r="K36" s="1113"/>
      <c r="L36" s="1107">
        <f>SUM(M36+N36)</f>
        <v>0</v>
      </c>
      <c r="M36" s="1109"/>
      <c r="N36" s="1110"/>
      <c r="O36" s="894"/>
      <c r="P36" s="140"/>
      <c r="Q36" s="14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69"/>
      <c r="CB36" s="69"/>
      <c r="CC36" s="289"/>
      <c r="CD36" s="289"/>
      <c r="CE36" s="289"/>
      <c r="CF36" s="289"/>
      <c r="CG36" s="289"/>
      <c r="CH36" s="289"/>
      <c r="CI36" s="294"/>
      <c r="CJ36" s="294"/>
      <c r="CK36" s="294"/>
      <c r="CL36" s="294"/>
      <c r="CM36" s="294"/>
      <c r="CN36" s="294"/>
      <c r="CO36" s="294"/>
      <c r="CP36" s="289"/>
    </row>
    <row r="37" spans="1:94" ht="16.149999999999999" customHeight="1" x14ac:dyDescent="0.25">
      <c r="A37" s="9571" t="s">
        <v>1898</v>
      </c>
      <c r="B37" s="9572"/>
      <c r="C37" s="1109"/>
      <c r="D37" s="1130"/>
      <c r="E37" s="1130"/>
      <c r="F37" s="2549"/>
      <c r="G37" s="1130"/>
      <c r="H37" s="1129"/>
      <c r="I37" s="1130"/>
      <c r="J37" s="1130"/>
      <c r="K37" s="1113"/>
      <c r="L37" s="1215"/>
      <c r="M37" s="1127"/>
      <c r="N37" s="1211"/>
      <c r="O37" s="894"/>
      <c r="P37" s="140"/>
      <c r="Q37" s="14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0"/>
      <c r="CA37" s="69"/>
      <c r="CB37" s="69"/>
      <c r="CC37" s="289"/>
      <c r="CD37" s="289"/>
      <c r="CE37" s="289"/>
      <c r="CF37" s="289"/>
      <c r="CG37" s="289"/>
      <c r="CH37" s="289"/>
      <c r="CI37" s="294"/>
      <c r="CJ37" s="294"/>
      <c r="CK37" s="294"/>
      <c r="CL37" s="294"/>
      <c r="CM37" s="294"/>
      <c r="CN37" s="294"/>
      <c r="CO37" s="294"/>
      <c r="CP37" s="289"/>
    </row>
    <row r="38" spans="1:94" ht="16.149999999999999" customHeight="1" x14ac:dyDescent="0.25">
      <c r="A38" s="9571" t="s">
        <v>1899</v>
      </c>
      <c r="B38" s="9572"/>
      <c r="C38" s="1109"/>
      <c r="D38" s="1130"/>
      <c r="E38" s="1130"/>
      <c r="F38" s="2549"/>
      <c r="G38" s="1130"/>
      <c r="H38" s="1129"/>
      <c r="I38" s="1130"/>
      <c r="J38" s="1130"/>
      <c r="K38" s="1113"/>
      <c r="L38" s="1215"/>
      <c r="M38" s="1127"/>
      <c r="N38" s="1211"/>
      <c r="O38" s="894"/>
      <c r="P38" s="140"/>
      <c r="Q38" s="14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69"/>
      <c r="CB38" s="69"/>
      <c r="CC38" s="289"/>
      <c r="CD38" s="289"/>
      <c r="CE38" s="289"/>
      <c r="CF38" s="289"/>
      <c r="CG38" s="289"/>
      <c r="CH38" s="289"/>
      <c r="CI38" s="294"/>
      <c r="CJ38" s="294"/>
      <c r="CK38" s="294"/>
      <c r="CL38" s="294"/>
      <c r="CM38" s="294"/>
      <c r="CN38" s="294"/>
      <c r="CO38" s="294"/>
      <c r="CP38" s="289"/>
    </row>
    <row r="39" spans="1:94" ht="16.149999999999999" customHeight="1" x14ac:dyDescent="0.25">
      <c r="A39" s="9571" t="s">
        <v>1900</v>
      </c>
      <c r="B39" s="9572"/>
      <c r="C39" s="1109"/>
      <c r="D39" s="1130"/>
      <c r="E39" s="1130"/>
      <c r="F39" s="2549"/>
      <c r="G39" s="1130"/>
      <c r="H39" s="1129"/>
      <c r="I39" s="1130"/>
      <c r="J39" s="1130"/>
      <c r="K39" s="1113"/>
      <c r="L39" s="1192"/>
      <c r="M39" s="1127"/>
      <c r="N39" s="1211"/>
      <c r="O39" s="894"/>
      <c r="P39" s="140"/>
      <c r="Q39" s="14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69"/>
      <c r="CB39" s="69"/>
      <c r="CC39" s="289"/>
      <c r="CD39" s="289"/>
      <c r="CE39" s="289"/>
      <c r="CF39" s="289"/>
      <c r="CG39" s="289"/>
      <c r="CH39" s="289"/>
      <c r="CI39" s="294"/>
      <c r="CJ39" s="294"/>
      <c r="CK39" s="294"/>
      <c r="CL39" s="294"/>
      <c r="CM39" s="294"/>
      <c r="CN39" s="294"/>
      <c r="CO39" s="294"/>
      <c r="CP39" s="289"/>
    </row>
    <row r="40" spans="1:94" ht="16.149999999999999" customHeight="1" x14ac:dyDescent="0.25">
      <c r="A40" s="9571" t="s">
        <v>1901</v>
      </c>
      <c r="B40" s="9572"/>
      <c r="C40" s="1109"/>
      <c r="D40" s="1130"/>
      <c r="E40" s="1130"/>
      <c r="F40" s="2549"/>
      <c r="G40" s="1130"/>
      <c r="H40" s="1129"/>
      <c r="I40" s="1130"/>
      <c r="J40" s="1130"/>
      <c r="K40" s="1113"/>
      <c r="L40" s="1192"/>
      <c r="M40" s="1127"/>
      <c r="N40" s="1211"/>
      <c r="O40" s="894"/>
      <c r="P40" s="140"/>
      <c r="Q40" s="14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69"/>
      <c r="CB40" s="69"/>
      <c r="CC40" s="289"/>
      <c r="CD40" s="289"/>
      <c r="CE40" s="289"/>
      <c r="CF40" s="289"/>
      <c r="CG40" s="289"/>
      <c r="CH40" s="289"/>
      <c r="CI40" s="294"/>
      <c r="CJ40" s="294"/>
      <c r="CK40" s="294"/>
      <c r="CL40" s="294"/>
      <c r="CM40" s="294"/>
      <c r="CN40" s="294"/>
      <c r="CO40" s="294"/>
      <c r="CP40" s="289"/>
    </row>
    <row r="41" spans="1:94" ht="16.149999999999999" customHeight="1" x14ac:dyDescent="0.25">
      <c r="A41" s="9571" t="s">
        <v>1902</v>
      </c>
      <c r="B41" s="9572"/>
      <c r="C41" s="1109"/>
      <c r="D41" s="1130"/>
      <c r="E41" s="1130"/>
      <c r="F41" s="2549"/>
      <c r="G41" s="1130"/>
      <c r="H41" s="1129"/>
      <c r="I41" s="1130"/>
      <c r="J41" s="1130"/>
      <c r="K41" s="1113"/>
      <c r="L41" s="1107">
        <f>SUM(M41+N41)</f>
        <v>0</v>
      </c>
      <c r="M41" s="1109"/>
      <c r="N41" s="1110"/>
      <c r="O41" s="894"/>
      <c r="P41" s="140"/>
      <c r="Q41" s="14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69"/>
      <c r="CB41" s="69"/>
      <c r="CC41" s="289"/>
      <c r="CD41" s="289"/>
      <c r="CE41" s="289"/>
      <c r="CF41" s="289"/>
      <c r="CG41" s="289"/>
      <c r="CH41" s="289"/>
      <c r="CI41" s="294"/>
      <c r="CJ41" s="294"/>
      <c r="CK41" s="294"/>
      <c r="CL41" s="294"/>
      <c r="CM41" s="294"/>
      <c r="CN41" s="294"/>
      <c r="CO41" s="294"/>
      <c r="CP41" s="289"/>
    </row>
    <row r="42" spans="1:94" ht="16.149999999999999" customHeight="1" x14ac:dyDescent="0.25">
      <c r="A42" s="9728" t="s">
        <v>1903</v>
      </c>
      <c r="B42" s="9729"/>
      <c r="C42" s="1162"/>
      <c r="D42" s="115"/>
      <c r="E42" s="115"/>
      <c r="F42" s="2627"/>
      <c r="G42" s="115"/>
      <c r="H42" s="113"/>
      <c r="I42" s="115"/>
      <c r="J42" s="115"/>
      <c r="K42" s="138"/>
      <c r="L42" s="1216"/>
      <c r="M42" s="1217"/>
      <c r="N42" s="170"/>
      <c r="O42" s="894"/>
      <c r="P42" s="140"/>
      <c r="Q42" s="14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69"/>
      <c r="CB42" s="69"/>
      <c r="CC42" s="289"/>
      <c r="CD42" s="289"/>
      <c r="CE42" s="289"/>
      <c r="CF42" s="289"/>
      <c r="CG42" s="289"/>
      <c r="CH42" s="289"/>
      <c r="CI42" s="294"/>
      <c r="CJ42" s="294"/>
      <c r="CK42" s="294"/>
      <c r="CL42" s="294"/>
      <c r="CM42" s="294"/>
      <c r="CN42" s="294"/>
      <c r="CO42" s="294"/>
      <c r="CP42" s="289"/>
    </row>
    <row r="43" spans="1:94" ht="16.149999999999999" customHeight="1" x14ac:dyDescent="0.25">
      <c r="A43" s="9730" t="s">
        <v>1904</v>
      </c>
      <c r="B43" s="9731"/>
      <c r="C43" s="1162"/>
      <c r="D43" s="115"/>
      <c r="E43" s="115"/>
      <c r="F43" s="2627"/>
      <c r="G43" s="115"/>
      <c r="H43" s="263"/>
      <c r="I43" s="113"/>
      <c r="J43" s="115"/>
      <c r="K43" s="138"/>
      <c r="L43" s="1107">
        <f>SUM(M43+N43)</f>
        <v>0</v>
      </c>
      <c r="M43" s="1162"/>
      <c r="N43" s="164"/>
      <c r="O43" s="894"/>
      <c r="P43" s="140"/>
      <c r="Q43" s="14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69"/>
      <c r="CB43" s="69"/>
      <c r="CC43" s="289"/>
      <c r="CD43" s="289"/>
      <c r="CE43" s="289"/>
      <c r="CF43" s="289"/>
      <c r="CG43" s="289"/>
      <c r="CH43" s="289"/>
      <c r="CI43" s="294"/>
      <c r="CJ43" s="294"/>
      <c r="CK43" s="294"/>
      <c r="CL43" s="294"/>
      <c r="CM43" s="294"/>
      <c r="CN43" s="294"/>
      <c r="CO43" s="294"/>
      <c r="CP43" s="289"/>
    </row>
    <row r="44" spans="1:94" ht="16.149999999999999" customHeight="1" x14ac:dyDescent="0.25">
      <c r="A44" s="9732" t="s">
        <v>1905</v>
      </c>
      <c r="B44" s="9733"/>
      <c r="C44" s="1104">
        <f>SUM(C33:C43)</f>
        <v>0</v>
      </c>
      <c r="D44" s="1218">
        <f>SUM(D33:D43)</f>
        <v>0</v>
      </c>
      <c r="E44" s="1218">
        <f>SUM(E33:E43)</f>
        <v>0</v>
      </c>
      <c r="F44" s="2776">
        <f>SUM(F33:F43)</f>
        <v>0</v>
      </c>
      <c r="G44" s="1218">
        <f>SUM(G33:G43)</f>
        <v>0</v>
      </c>
      <c r="H44" s="1219">
        <f>SUM(H33:H42)</f>
        <v>0</v>
      </c>
      <c r="I44" s="1218">
        <f>SUM(I33:I43)</f>
        <v>0</v>
      </c>
      <c r="J44" s="1218">
        <f>SUM(J33:J43)</f>
        <v>0</v>
      </c>
      <c r="K44" s="712">
        <f>SUM(K33:K43)</f>
        <v>0</v>
      </c>
      <c r="L44" s="1103">
        <f>SUM(L33+L34+L35+L36+L39+L40+L41+L43)</f>
        <v>0</v>
      </c>
      <c r="M44" s="1104">
        <f>SUM(M33+M34+M35+M36+M41+M43)</f>
        <v>0</v>
      </c>
      <c r="N44" s="1105">
        <f>SUM(N33+N34+N35+N36+N41+N43)</f>
        <v>0</v>
      </c>
      <c r="O44" s="894"/>
      <c r="P44" s="140"/>
      <c r="Q44" s="14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69"/>
      <c r="CB44" s="69"/>
      <c r="CC44" s="289"/>
      <c r="CD44" s="289"/>
      <c r="CE44" s="289"/>
      <c r="CF44" s="289"/>
      <c r="CG44" s="289"/>
      <c r="CH44" s="289"/>
      <c r="CI44" s="294"/>
      <c r="CJ44" s="294"/>
      <c r="CK44" s="294"/>
      <c r="CL44" s="294"/>
      <c r="CM44" s="294"/>
      <c r="CN44" s="294"/>
      <c r="CO44" s="294"/>
      <c r="CP44" s="289"/>
    </row>
    <row r="45" spans="1:94" ht="16.149999999999999" customHeight="1" x14ac:dyDescent="0.25">
      <c r="A45" s="9734" t="s">
        <v>1906</v>
      </c>
      <c r="B45" s="9735"/>
      <c r="C45" s="1220"/>
      <c r="D45" s="1221"/>
      <c r="E45" s="1221"/>
      <c r="F45" s="2777"/>
      <c r="G45" s="1221"/>
      <c r="H45" s="1222"/>
      <c r="I45" s="1221"/>
      <c r="J45" s="1221"/>
      <c r="K45" s="705"/>
      <c r="L45" s="1103">
        <f>SUM(M45+N45)</f>
        <v>0</v>
      </c>
      <c r="M45" s="1220"/>
      <c r="N45" s="1223"/>
      <c r="O45" s="894"/>
      <c r="P45" s="140"/>
      <c r="Q45" s="14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69"/>
      <c r="CB45" s="69"/>
      <c r="CC45" s="289"/>
      <c r="CD45" s="289"/>
      <c r="CE45" s="289"/>
      <c r="CF45" s="289"/>
      <c r="CG45" s="289"/>
      <c r="CH45" s="289"/>
      <c r="CI45" s="294"/>
      <c r="CJ45" s="294"/>
      <c r="CK45" s="294"/>
      <c r="CL45" s="294"/>
      <c r="CM45" s="294"/>
      <c r="CN45" s="294"/>
      <c r="CO45" s="294"/>
      <c r="CP45" s="289"/>
    </row>
    <row r="46" spans="1:94" ht="31.9" customHeight="1" x14ac:dyDescent="0.25">
      <c r="A46" s="140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69"/>
      <c r="BV46" s="69"/>
      <c r="BW46" s="289"/>
      <c r="BX46" s="289"/>
      <c r="BY46" s="289"/>
      <c r="BZ46" s="289"/>
      <c r="CA46" s="289"/>
      <c r="CB46" s="289"/>
      <c r="CC46" s="294"/>
      <c r="CD46" s="294"/>
      <c r="CE46" s="294"/>
      <c r="CF46" s="294"/>
      <c r="CG46" s="294"/>
      <c r="CH46" s="294"/>
      <c r="CI46" s="294"/>
      <c r="CJ46" s="289"/>
      <c r="CK46" s="295"/>
    </row>
    <row r="47" spans="1:94" ht="25.15" customHeight="1" x14ac:dyDescent="0.25">
      <c r="A47" s="140"/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69"/>
      <c r="BV47" s="69"/>
      <c r="BW47" s="289"/>
      <c r="BX47" s="289"/>
      <c r="BY47" s="289"/>
      <c r="BZ47" s="289"/>
      <c r="CA47" s="289"/>
      <c r="CB47" s="289"/>
      <c r="CC47" s="294"/>
      <c r="CD47" s="294"/>
      <c r="CE47" s="294"/>
      <c r="CF47" s="294"/>
      <c r="CG47" s="294"/>
      <c r="CH47" s="294"/>
      <c r="CI47" s="294"/>
      <c r="CJ47" s="289"/>
      <c r="CK47" s="295"/>
    </row>
    <row r="48" spans="1:94" ht="16.149999999999999" customHeight="1" x14ac:dyDescent="0.25">
      <c r="A48" s="107"/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69"/>
      <c r="BV48" s="69"/>
      <c r="BW48" s="289" t="e">
        <f>IF(#REF!&gt;#REF!,"Casos/Instituciones deben ser menor o iguales al total Reuniones A. Mayor","")</f>
        <v>#REF!</v>
      </c>
      <c r="BX48" s="289"/>
      <c r="BY48" s="289"/>
      <c r="BZ48" s="289"/>
      <c r="CA48" s="289"/>
      <c r="CB48" s="289"/>
      <c r="CC48" s="294"/>
      <c r="CD48" s="294"/>
      <c r="CE48" s="294"/>
      <c r="CF48" s="294"/>
      <c r="CG48" s="294"/>
      <c r="CH48" s="294"/>
      <c r="CI48" s="294"/>
      <c r="CJ48" s="289"/>
      <c r="CK48" s="295"/>
    </row>
    <row r="49" spans="1:91" ht="16.149999999999999" customHeight="1" x14ac:dyDescent="0.25">
      <c r="A49" s="140"/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69"/>
      <c r="BV49" s="69"/>
      <c r="BW49" s="289"/>
      <c r="BX49" s="289"/>
      <c r="BY49" s="289"/>
      <c r="BZ49" s="289"/>
      <c r="CA49" s="289"/>
      <c r="CB49" s="289"/>
      <c r="CC49" s="294"/>
      <c r="CD49" s="294"/>
      <c r="CE49" s="294"/>
      <c r="CF49" s="294"/>
      <c r="CG49" s="294"/>
      <c r="CH49" s="294"/>
      <c r="CI49" s="294"/>
    </row>
    <row r="50" spans="1:91" x14ac:dyDescent="0.25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69"/>
      <c r="BZ50" s="69"/>
      <c r="CA50" s="289"/>
      <c r="CB50" s="289"/>
      <c r="CC50" s="289"/>
      <c r="CD50" s="289"/>
      <c r="CE50" s="289"/>
      <c r="CF50" s="289"/>
      <c r="CG50" s="294"/>
      <c r="CH50" s="294"/>
      <c r="CI50" s="294"/>
      <c r="CJ50" s="294"/>
      <c r="CK50" s="294"/>
      <c r="CL50" s="294"/>
      <c r="CM50" s="294"/>
    </row>
    <row r="194" spans="1:104" ht="11.25" customHeight="1" x14ac:dyDescent="0.25">
      <c r="A194" s="70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  <c r="AP194" s="70"/>
      <c r="AQ194" s="70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  <c r="BD194" s="70"/>
      <c r="BE194" s="70"/>
      <c r="BF194" s="70"/>
      <c r="BG194" s="70"/>
      <c r="BH194" s="70"/>
      <c r="BI194" s="70"/>
      <c r="BJ194" s="70"/>
      <c r="BK194" s="70"/>
      <c r="BL194" s="70"/>
      <c r="BM194" s="70"/>
      <c r="BN194" s="70"/>
      <c r="BO194" s="70"/>
      <c r="BP194" s="70"/>
      <c r="BQ194" s="70"/>
      <c r="BR194" s="70"/>
      <c r="BS194" s="70"/>
      <c r="BT194" s="70"/>
      <c r="BU194" s="70"/>
      <c r="BV194" s="70"/>
      <c r="BW194" s="70"/>
      <c r="BX194" s="70"/>
      <c r="BY194" s="69"/>
      <c r="BZ194" s="69"/>
      <c r="CA194" s="289"/>
      <c r="CB194" s="289"/>
      <c r="CC194" s="289"/>
      <c r="CD194" s="289"/>
      <c r="CE194" s="289"/>
      <c r="CF194" s="289"/>
      <c r="CG194" s="289"/>
      <c r="CH194" s="289"/>
      <c r="CI194" s="289"/>
      <c r="CJ194" s="289"/>
      <c r="CK194" s="289"/>
      <c r="CL194" s="289"/>
      <c r="CM194" s="289"/>
      <c r="CN194" s="289"/>
      <c r="CO194" s="295"/>
      <c r="CP194" s="295"/>
      <c r="CQ194" s="295"/>
      <c r="CR194" s="295"/>
      <c r="CS194" s="295"/>
      <c r="CT194" s="295"/>
      <c r="CU194" s="295"/>
      <c r="CV194" s="295"/>
      <c r="CW194" s="295"/>
      <c r="CX194" s="295"/>
      <c r="CY194" s="295"/>
      <c r="CZ194" s="295"/>
    </row>
    <row r="195" spans="1:104" s="498" customFormat="1" ht="14.25" hidden="1" x14ac:dyDescent="0.2">
      <c r="A195" s="498">
        <f>SUM(B11,B25:B29,C44:N44)</f>
        <v>0</v>
      </c>
      <c r="B195" s="498">
        <f>SUM(CG6:CM50)</f>
        <v>0</v>
      </c>
      <c r="BY195" s="814"/>
      <c r="BZ195" s="814"/>
      <c r="CA195" s="289"/>
      <c r="CB195" s="289"/>
      <c r="CC195" s="289"/>
      <c r="CD195" s="289"/>
      <c r="CE195" s="289"/>
      <c r="CF195" s="289"/>
      <c r="CG195" s="289"/>
      <c r="CH195" s="289"/>
      <c r="CI195" s="289"/>
      <c r="CJ195" s="289"/>
      <c r="CK195" s="289"/>
      <c r="CL195" s="289"/>
      <c r="CM195" s="289"/>
      <c r="CN195" s="289"/>
      <c r="CO195" s="295"/>
      <c r="CP195" s="295"/>
      <c r="CQ195" s="295"/>
      <c r="CR195" s="295"/>
      <c r="CS195" s="295"/>
      <c r="CT195" s="295"/>
      <c r="CU195" s="295"/>
      <c r="CV195" s="295"/>
      <c r="CW195" s="295"/>
      <c r="CX195" s="295"/>
      <c r="CY195" s="295"/>
      <c r="CZ195" s="295"/>
    </row>
    <row r="196" spans="1:104" x14ac:dyDescent="0.25">
      <c r="A196" s="70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  <c r="AH196" s="70"/>
      <c r="AI196" s="70"/>
      <c r="AJ196" s="70"/>
      <c r="AK196" s="70"/>
      <c r="AL196" s="70"/>
      <c r="AM196" s="70"/>
      <c r="AN196" s="70"/>
      <c r="AO196" s="70"/>
      <c r="AP196" s="70"/>
      <c r="AQ196" s="70"/>
      <c r="AR196" s="70"/>
      <c r="AS196" s="70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  <c r="BD196" s="70"/>
      <c r="BE196" s="70"/>
      <c r="BF196" s="70"/>
      <c r="BG196" s="70"/>
      <c r="BH196" s="70"/>
      <c r="BI196" s="70"/>
      <c r="BJ196" s="70"/>
      <c r="BK196" s="70"/>
      <c r="BL196" s="70"/>
      <c r="BM196" s="70"/>
      <c r="BN196" s="70"/>
      <c r="BO196" s="70"/>
      <c r="BP196" s="70"/>
      <c r="BQ196" s="70"/>
      <c r="BR196" s="70"/>
      <c r="BS196" s="70"/>
      <c r="BT196" s="70"/>
      <c r="BU196" s="70"/>
      <c r="BV196" s="70"/>
      <c r="BW196" s="70"/>
      <c r="BX196" s="70"/>
      <c r="BY196" s="69"/>
      <c r="BZ196" s="69"/>
      <c r="CA196" s="289"/>
      <c r="CB196" s="289"/>
      <c r="CC196" s="289"/>
      <c r="CD196" s="289"/>
      <c r="CE196" s="289"/>
      <c r="CF196" s="289"/>
      <c r="CG196" s="289"/>
      <c r="CH196" s="289"/>
      <c r="CI196" s="289"/>
      <c r="CJ196" s="289"/>
      <c r="CK196" s="289"/>
      <c r="CL196" s="289"/>
      <c r="CM196" s="289"/>
      <c r="CN196" s="289"/>
      <c r="CO196" s="295"/>
      <c r="CP196" s="295"/>
      <c r="CQ196" s="295"/>
      <c r="CR196" s="295"/>
      <c r="CS196" s="295"/>
      <c r="CT196" s="295"/>
      <c r="CU196" s="295"/>
      <c r="CV196" s="295"/>
      <c r="CW196" s="295"/>
      <c r="CX196" s="295"/>
      <c r="CY196" s="295"/>
      <c r="CZ196" s="295"/>
    </row>
  </sheetData>
  <sheetProtection algorithmName="SHA-512" hashValue="zsinCkGNmGJgEvqQ+vQdCv9O5WIA7LwibeQhbf8r36X5NMXdjYeFCpfIUxl3lnMguslOgRL+g5rzKQH4d8YOaQ==" saltValue="0YTWJsgREQ21tpngyBUocg==" spinCount="100000" sheet="1" objects="1" scenarios="1"/>
  <mergeCells count="23">
    <mergeCell ref="A41:B41"/>
    <mergeCell ref="A42:B42"/>
    <mergeCell ref="A43:B43"/>
    <mergeCell ref="A44:B44"/>
    <mergeCell ref="A45:B45"/>
    <mergeCell ref="A40:B40"/>
    <mergeCell ref="A31:B32"/>
    <mergeCell ref="H31:K31"/>
    <mergeCell ref="L31:N31"/>
    <mergeCell ref="A33:B33"/>
    <mergeCell ref="A34:B34"/>
    <mergeCell ref="A35:B35"/>
    <mergeCell ref="A36:B36"/>
    <mergeCell ref="A37:B37"/>
    <mergeCell ref="A38:B38"/>
    <mergeCell ref="A39:B39"/>
    <mergeCell ref="C31:G31"/>
    <mergeCell ref="A6:P6"/>
    <mergeCell ref="A9:A10"/>
    <mergeCell ref="G9:H9"/>
    <mergeCell ref="I9:I10"/>
    <mergeCell ref="J9:K9"/>
    <mergeCell ref="B9:F9"/>
  </mergeCells>
  <dataValidations count="1">
    <dataValidation type="whole" operator="greaterThanOrEqual" allowBlank="1" showInputMessage="1" showErrorMessage="1" sqref="C33:K43 C29:F29 C12:K28 G29:K29 M45:N45 L39:L40 M33:N36 L45 L33:L38 L41:L43 M37:N40 M42:N42 M41:N41 M43:N43 C45:K45" xr:uid="{BDCB5192-0F53-44B5-8211-928A8ADA85DC}">
      <formula1>0</formula1>
    </dataValidation>
  </dataValidations>
  <pageMargins left="0.7" right="0.7" top="0.75" bottom="0.75" header="0.3" footer="0.3"/>
  <pageSetup orientation="portrait" r:id="rId1"/>
  <ignoredErrors>
    <ignoredError sqref="H44 L44" 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A1:CZ162"/>
  <sheetViews>
    <sheetView showGridLines="0" zoomScaleNormal="100" workbookViewId="0">
      <selection activeCell="A6" sqref="A6:J6"/>
    </sheetView>
  </sheetViews>
  <sheetFormatPr baseColWidth="10" defaultColWidth="11.42578125" defaultRowHeight="14.25" x14ac:dyDescent="0.2"/>
  <cols>
    <col min="1" max="1" width="75.42578125" style="165" customWidth="1"/>
    <col min="2" max="2" width="16.5703125" style="165" customWidth="1"/>
    <col min="3" max="4" width="16.7109375" style="165" customWidth="1"/>
    <col min="5" max="5" width="16.5703125" style="165" customWidth="1"/>
    <col min="6" max="6" width="15.140625" style="165" customWidth="1"/>
    <col min="7" max="7" width="15.85546875" style="165" customWidth="1"/>
    <col min="8" max="8" width="18.42578125" style="165" customWidth="1"/>
    <col min="9" max="9" width="14.85546875" style="165" customWidth="1"/>
    <col min="10" max="10" width="13.42578125" style="165" customWidth="1"/>
    <col min="11" max="11" width="14.28515625" style="165" customWidth="1"/>
    <col min="12" max="12" width="11.42578125" style="165"/>
    <col min="13" max="13" width="13" style="165" customWidth="1"/>
    <col min="14" max="14" width="10" style="165" customWidth="1"/>
    <col min="15" max="26" width="11.42578125" style="165"/>
    <col min="27" max="27" width="14.140625" style="165" customWidth="1"/>
    <col min="28" max="28" width="15.7109375" style="165" customWidth="1"/>
    <col min="29" max="29" width="11.42578125" style="165"/>
    <col min="30" max="30" width="12.28515625" style="165" customWidth="1"/>
    <col min="31" max="31" width="13.5703125" style="165" customWidth="1"/>
    <col min="32" max="75" width="11.42578125" style="165"/>
    <col min="76" max="76" width="11.42578125" style="1452" customWidth="1"/>
    <col min="77" max="77" width="11.7109375" style="1460" customWidth="1"/>
    <col min="78" max="78" width="12.28515625" style="1460" customWidth="1"/>
    <col min="79" max="104" width="12.28515625" style="1451" hidden="1" customWidth="1"/>
    <col min="105" max="130" width="11.42578125" style="165" customWidth="1"/>
    <col min="131" max="16384" width="11.42578125" style="165"/>
  </cols>
  <sheetData>
    <row r="1" spans="1:92" ht="16.350000000000001" customHeight="1" x14ac:dyDescent="0.2">
      <c r="A1" s="150" t="s">
        <v>206</v>
      </c>
    </row>
    <row r="2" spans="1:92" ht="16.350000000000001" customHeight="1" x14ac:dyDescent="0.2">
      <c r="A2" s="150" t="str">
        <f>CONCATENATE("COMUNA: ",NOMBRE!B2," - ","( ",NOMBRE!C2,NOMBRE!D2,NOMBRE!E2,NOMBRE!F2,NOMBRE!G2," )")</f>
        <v>COMUNA:  - (  )</v>
      </c>
    </row>
    <row r="3" spans="1:92" ht="16.350000000000001" customHeight="1" x14ac:dyDescent="0.2">
      <c r="A3" s="150" t="str">
        <f>CONCATENATE("ESTABLECIMIENTO/ESTRATEGIA: ",NOMBRE!B3," - ","( ",NOMBRE!C3,NOMBRE!D3,NOMBRE!E3,NOMBRE!F3,NOMBRE!G3,NOMBRE!H3," )")</f>
        <v>ESTABLECIMIENTO/ESTRATEGIA:  - (  )</v>
      </c>
      <c r="CG3" s="1454"/>
      <c r="CH3" s="1454"/>
      <c r="CI3" s="1454"/>
      <c r="CJ3" s="1454"/>
      <c r="CK3" s="1454"/>
      <c r="CL3" s="1454"/>
      <c r="CM3" s="1454"/>
      <c r="CN3" s="1454"/>
    </row>
    <row r="4" spans="1:92" ht="16.350000000000001" customHeight="1" x14ac:dyDescent="0.2">
      <c r="A4" s="150" t="str">
        <f>CONCATENATE("MES: ",NOMBRE!B6," - ","( ",NOMBRE!C6,NOMBRE!D6," )")</f>
        <v>MES:  - (  )</v>
      </c>
      <c r="CG4" s="1454"/>
      <c r="CH4" s="1454"/>
      <c r="CI4" s="1454"/>
      <c r="CJ4" s="1454"/>
      <c r="CK4" s="1454"/>
      <c r="CL4" s="1454"/>
      <c r="CM4" s="1454"/>
      <c r="CN4" s="1454"/>
    </row>
    <row r="5" spans="1:92" ht="16.350000000000001" customHeight="1" x14ac:dyDescent="0.2">
      <c r="A5" s="150" t="str">
        <f>CONCATENATE("AÑO: ",NOMBRE!B7)</f>
        <v>AÑO: 2023</v>
      </c>
      <c r="CG5" s="1454"/>
      <c r="CH5" s="1454"/>
      <c r="CI5" s="1454"/>
      <c r="CJ5" s="1454"/>
      <c r="CK5" s="1454"/>
      <c r="CL5" s="1454"/>
      <c r="CM5" s="1454"/>
      <c r="CN5" s="1454"/>
    </row>
    <row r="6" spans="1:92" ht="15" x14ac:dyDescent="0.2">
      <c r="A6" s="9770" t="s">
        <v>1659</v>
      </c>
      <c r="B6" s="9770"/>
      <c r="C6" s="9770"/>
      <c r="D6" s="9770"/>
      <c r="E6" s="9770"/>
      <c r="F6" s="9770"/>
      <c r="G6" s="9770"/>
      <c r="H6" s="9770"/>
      <c r="I6" s="9770"/>
      <c r="J6" s="9770"/>
      <c r="K6" s="524"/>
      <c r="L6" s="524"/>
      <c r="M6" s="524"/>
      <c r="N6" s="524"/>
      <c r="O6" s="524"/>
      <c r="P6" s="524"/>
      <c r="Q6" s="524"/>
      <c r="R6" s="524"/>
      <c r="S6" s="524"/>
      <c r="T6" s="524"/>
      <c r="U6" s="524"/>
      <c r="V6" s="524"/>
      <c r="W6" s="524"/>
      <c r="X6" s="524"/>
      <c r="Y6" s="524"/>
      <c r="Z6" s="524"/>
      <c r="AA6" s="524"/>
      <c r="AB6" s="524"/>
      <c r="AC6" s="524"/>
      <c r="AD6" s="524"/>
      <c r="AE6" s="524"/>
      <c r="CG6" s="1454"/>
      <c r="CH6" s="1454"/>
      <c r="CI6" s="1454"/>
      <c r="CJ6" s="1454"/>
      <c r="CK6" s="1454"/>
      <c r="CL6" s="1454"/>
      <c r="CM6" s="1454"/>
      <c r="CN6" s="1454"/>
    </row>
    <row r="7" spans="1:92" ht="15" customHeight="1" x14ac:dyDescent="0.2">
      <c r="A7" s="1055"/>
      <c r="B7" s="1055"/>
      <c r="C7" s="1055"/>
      <c r="D7" s="1055"/>
      <c r="E7" s="1055"/>
      <c r="F7" s="1055"/>
      <c r="G7" s="1055"/>
      <c r="H7" s="1055"/>
      <c r="I7" s="1055"/>
      <c r="J7" s="1055"/>
      <c r="K7" s="1054"/>
      <c r="L7" s="1054"/>
      <c r="CG7" s="1454"/>
      <c r="CH7" s="1454"/>
      <c r="CI7" s="1454"/>
      <c r="CJ7" s="1454"/>
      <c r="CK7" s="1454"/>
      <c r="CL7" s="1454"/>
      <c r="CM7" s="1454"/>
      <c r="CN7" s="1454"/>
    </row>
    <row r="8" spans="1:92" ht="32.1" customHeight="1" x14ac:dyDescent="0.2">
      <c r="A8" s="4015" t="s">
        <v>1658</v>
      </c>
      <c r="CG8" s="1454"/>
      <c r="CH8" s="1454"/>
      <c r="CI8" s="1454"/>
      <c r="CJ8" s="1454"/>
      <c r="CK8" s="1454"/>
      <c r="CL8" s="1454"/>
      <c r="CM8" s="1454"/>
      <c r="CN8" s="1454"/>
    </row>
    <row r="9" spans="1:92" ht="32.1" customHeight="1" x14ac:dyDescent="0.2">
      <c r="A9" s="9790" t="s">
        <v>1657</v>
      </c>
      <c r="B9" s="9787" t="s">
        <v>4012</v>
      </c>
      <c r="C9" s="9786" t="s">
        <v>1656</v>
      </c>
      <c r="D9" s="9786" t="s">
        <v>1655</v>
      </c>
      <c r="E9" s="9786" t="s">
        <v>1654</v>
      </c>
      <c r="F9" s="9761" t="s">
        <v>1653</v>
      </c>
      <c r="G9" s="9792" t="s">
        <v>3730</v>
      </c>
      <c r="H9" s="9793"/>
      <c r="I9" s="9793"/>
      <c r="J9" s="9793"/>
      <c r="K9" s="9793"/>
      <c r="L9" s="9793"/>
      <c r="M9" s="9793"/>
      <c r="N9" s="9793"/>
      <c r="O9" s="9793"/>
      <c r="P9" s="9793"/>
      <c r="Q9" s="9793"/>
      <c r="R9" s="9793"/>
      <c r="S9" s="9793"/>
      <c r="T9" s="9793"/>
      <c r="U9" s="9793"/>
      <c r="V9" s="9793"/>
      <c r="W9" s="9793"/>
      <c r="X9" s="9793"/>
      <c r="Y9" s="9794"/>
      <c r="Z9" s="9759" t="s">
        <v>3706</v>
      </c>
      <c r="AA9" s="9759"/>
      <c r="AB9" s="9759"/>
      <c r="AC9" s="9759"/>
      <c r="AD9" s="9759"/>
      <c r="AE9" s="9760"/>
      <c r="CG9" s="1454"/>
      <c r="CH9" s="1454"/>
      <c r="CI9" s="1454"/>
      <c r="CJ9" s="1454"/>
      <c r="CK9" s="1454"/>
      <c r="CL9" s="1454"/>
      <c r="CM9" s="1454"/>
      <c r="CN9" s="1454"/>
    </row>
    <row r="10" spans="1:92" ht="14.25" customHeight="1" x14ac:dyDescent="0.2">
      <c r="A10" s="9790"/>
      <c r="B10" s="9788"/>
      <c r="C10" s="9513"/>
      <c r="D10" s="9513"/>
      <c r="E10" s="9513"/>
      <c r="F10" s="9352"/>
      <c r="G10" s="9795" t="s">
        <v>2102</v>
      </c>
      <c r="H10" s="9796"/>
      <c r="I10" s="9796"/>
      <c r="J10" s="9797"/>
      <c r="K10" s="9765" t="s">
        <v>2083</v>
      </c>
      <c r="L10" s="9763"/>
      <c r="M10" s="9763"/>
      <c r="N10" s="9763"/>
      <c r="O10" s="9766"/>
      <c r="P10" s="9765" t="s">
        <v>2084</v>
      </c>
      <c r="Q10" s="9763"/>
      <c r="R10" s="9763"/>
      <c r="S10" s="9763"/>
      <c r="T10" s="9766"/>
      <c r="U10" s="9765" t="s">
        <v>2085</v>
      </c>
      <c r="V10" s="9763"/>
      <c r="W10" s="9763"/>
      <c r="X10" s="9763"/>
      <c r="Y10" s="9768"/>
      <c r="Z10" s="9763" t="s">
        <v>2103</v>
      </c>
      <c r="AA10" s="9183"/>
      <c r="AB10" s="9184"/>
      <c r="AC10" s="9757" t="s">
        <v>3705</v>
      </c>
      <c r="AD10" s="9183"/>
      <c r="AE10" s="9184"/>
      <c r="BX10" s="165"/>
      <c r="BY10" s="290"/>
      <c r="CG10" s="1454"/>
      <c r="CH10" s="1454"/>
      <c r="CI10" s="1454"/>
      <c r="CJ10" s="1454"/>
      <c r="CK10" s="1454"/>
      <c r="CL10" s="1454"/>
      <c r="CM10" s="1454"/>
      <c r="CN10" s="1454"/>
    </row>
    <row r="11" spans="1:92" ht="21.75" customHeight="1" x14ac:dyDescent="0.2">
      <c r="A11" s="9790"/>
      <c r="B11" s="9788"/>
      <c r="C11" s="9513"/>
      <c r="D11" s="9513"/>
      <c r="E11" s="9513"/>
      <c r="F11" s="9352"/>
      <c r="G11" s="9798"/>
      <c r="H11" s="9799"/>
      <c r="I11" s="9799"/>
      <c r="J11" s="9800"/>
      <c r="K11" s="9767"/>
      <c r="L11" s="9764"/>
      <c r="M11" s="9764"/>
      <c r="N11" s="9764"/>
      <c r="O11" s="9762"/>
      <c r="P11" s="9767"/>
      <c r="Q11" s="9764"/>
      <c r="R11" s="9764"/>
      <c r="S11" s="9764"/>
      <c r="T11" s="9762"/>
      <c r="U11" s="9767"/>
      <c r="V11" s="9764"/>
      <c r="W11" s="9764"/>
      <c r="X11" s="9764"/>
      <c r="Y11" s="9769"/>
      <c r="Z11" s="9764"/>
      <c r="AA11" s="9185"/>
      <c r="AB11" s="9186"/>
      <c r="AC11" s="9758"/>
      <c r="AD11" s="9185"/>
      <c r="AE11" s="9186"/>
      <c r="BX11" s="165"/>
      <c r="BY11" s="290"/>
      <c r="CG11" s="1454"/>
      <c r="CH11" s="1454"/>
      <c r="CI11" s="1454"/>
      <c r="CJ11" s="1454"/>
      <c r="CK11" s="1454"/>
      <c r="CL11" s="1454"/>
      <c r="CM11" s="1454"/>
      <c r="CN11" s="1454"/>
    </row>
    <row r="12" spans="1:92" ht="31.5" customHeight="1" x14ac:dyDescent="0.2">
      <c r="A12" s="9791"/>
      <c r="B12" s="9789"/>
      <c r="C12" s="9522"/>
      <c r="D12" s="9522"/>
      <c r="E12" s="9522"/>
      <c r="F12" s="9762"/>
      <c r="G12" s="3150" t="s">
        <v>1651</v>
      </c>
      <c r="H12" s="3138" t="s">
        <v>1601</v>
      </c>
      <c r="I12" s="3138" t="s">
        <v>1600</v>
      </c>
      <c r="J12" s="3151" t="s">
        <v>135</v>
      </c>
      <c r="K12" s="3150" t="s">
        <v>1651</v>
      </c>
      <c r="L12" s="3138" t="s">
        <v>1601</v>
      </c>
      <c r="M12" s="3138" t="s">
        <v>1600</v>
      </c>
      <c r="N12" s="3138" t="s">
        <v>135</v>
      </c>
      <c r="O12" s="3151" t="s">
        <v>1652</v>
      </c>
      <c r="P12" s="3150" t="s">
        <v>1651</v>
      </c>
      <c r="Q12" s="3138" t="s">
        <v>1601</v>
      </c>
      <c r="R12" s="3138" t="s">
        <v>1600</v>
      </c>
      <c r="S12" s="3138" t="s">
        <v>135</v>
      </c>
      <c r="T12" s="3151" t="s">
        <v>1652</v>
      </c>
      <c r="U12" s="3150" t="s">
        <v>1651</v>
      </c>
      <c r="V12" s="3138" t="s">
        <v>1601</v>
      </c>
      <c r="W12" s="3138" t="s">
        <v>1600</v>
      </c>
      <c r="X12" s="3138" t="s">
        <v>135</v>
      </c>
      <c r="Y12" s="3152" t="s">
        <v>1652</v>
      </c>
      <c r="Z12" s="3114" t="s">
        <v>1651</v>
      </c>
      <c r="AA12" s="1496" t="s">
        <v>1650</v>
      </c>
      <c r="AB12" s="1619" t="s">
        <v>1649</v>
      </c>
      <c r="AC12" s="3139" t="s">
        <v>1651</v>
      </c>
      <c r="AD12" s="1496" t="s">
        <v>1650</v>
      </c>
      <c r="AE12" s="1619" t="s">
        <v>1649</v>
      </c>
      <c r="BX12" s="165"/>
      <c r="BY12" s="290"/>
      <c r="CG12" s="1454"/>
      <c r="CH12" s="1454"/>
      <c r="CI12" s="1454"/>
      <c r="CJ12" s="1454"/>
      <c r="CK12" s="1454"/>
      <c r="CL12" s="1454"/>
      <c r="CM12" s="1454"/>
      <c r="CN12" s="1454"/>
    </row>
    <row r="13" spans="1:92" ht="20.25" customHeight="1" x14ac:dyDescent="0.2">
      <c r="A13" s="2201" t="s">
        <v>1648</v>
      </c>
      <c r="B13" s="1053">
        <f t="shared" ref="B13:AE13" si="0">SUM(B14:B17)</f>
        <v>0</v>
      </c>
      <c r="C13" s="1052">
        <f t="shared" si="0"/>
        <v>0</v>
      </c>
      <c r="D13" s="1051">
        <f t="shared" si="0"/>
        <v>0</v>
      </c>
      <c r="E13" s="1051">
        <f t="shared" si="0"/>
        <v>0</v>
      </c>
      <c r="F13" s="1050">
        <f t="shared" si="0"/>
        <v>0</v>
      </c>
      <c r="G13" s="3153">
        <f t="shared" si="0"/>
        <v>0</v>
      </c>
      <c r="H13" s="3154">
        <f t="shared" si="0"/>
        <v>0</v>
      </c>
      <c r="I13" s="3154">
        <f t="shared" si="0"/>
        <v>0</v>
      </c>
      <c r="J13" s="3155">
        <f t="shared" si="0"/>
        <v>0</v>
      </c>
      <c r="K13" s="3153">
        <f t="shared" si="0"/>
        <v>0</v>
      </c>
      <c r="L13" s="3154">
        <f t="shared" si="0"/>
        <v>0</v>
      </c>
      <c r="M13" s="3154">
        <f t="shared" si="0"/>
        <v>0</v>
      </c>
      <c r="N13" s="3154">
        <f t="shared" si="0"/>
        <v>0</v>
      </c>
      <c r="O13" s="3155">
        <f t="shared" si="0"/>
        <v>0</v>
      </c>
      <c r="P13" s="3153">
        <f t="shared" si="0"/>
        <v>0</v>
      </c>
      <c r="Q13" s="3154">
        <f t="shared" si="0"/>
        <v>0</v>
      </c>
      <c r="R13" s="3154">
        <f t="shared" si="0"/>
        <v>0</v>
      </c>
      <c r="S13" s="3154">
        <f t="shared" si="0"/>
        <v>0</v>
      </c>
      <c r="T13" s="3155">
        <f t="shared" si="0"/>
        <v>0</v>
      </c>
      <c r="U13" s="3153">
        <f t="shared" si="0"/>
        <v>0</v>
      </c>
      <c r="V13" s="3154">
        <f t="shared" si="0"/>
        <v>0</v>
      </c>
      <c r="W13" s="3154">
        <f t="shared" si="0"/>
        <v>0</v>
      </c>
      <c r="X13" s="3154">
        <f t="shared" si="0"/>
        <v>0</v>
      </c>
      <c r="Y13" s="3156">
        <f t="shared" si="0"/>
        <v>0</v>
      </c>
      <c r="Z13" s="3146">
        <f t="shared" si="0"/>
        <v>0</v>
      </c>
      <c r="AA13" s="1621">
        <f>SUM(AA14:AA17)</f>
        <v>0</v>
      </c>
      <c r="AB13" s="1622">
        <f t="shared" si="0"/>
        <v>0</v>
      </c>
      <c r="AC13" s="1620">
        <f t="shared" si="0"/>
        <v>0</v>
      </c>
      <c r="AD13" s="1621">
        <f t="shared" si="0"/>
        <v>0</v>
      </c>
      <c r="AE13" s="1622">
        <f t="shared" si="0"/>
        <v>0</v>
      </c>
      <c r="BX13" s="165"/>
      <c r="BY13" s="290"/>
      <c r="CG13" s="1454"/>
      <c r="CH13" s="1454"/>
      <c r="CI13" s="1454"/>
      <c r="CJ13" s="1454"/>
      <c r="CK13" s="1454"/>
      <c r="CL13" s="1454"/>
      <c r="CM13" s="1454"/>
      <c r="CN13" s="1454"/>
    </row>
    <row r="14" spans="1:92" ht="20.25" customHeight="1" x14ac:dyDescent="0.2">
      <c r="A14" s="1049" t="s">
        <v>1647</v>
      </c>
      <c r="B14" s="1048"/>
      <c r="C14" s="1047"/>
      <c r="D14" s="1047"/>
      <c r="E14" s="1047"/>
      <c r="F14" s="1047"/>
      <c r="G14" s="3157">
        <f>SUM(H14:J14)</f>
        <v>0</v>
      </c>
      <c r="H14" s="3158"/>
      <c r="I14" s="3159"/>
      <c r="J14" s="3159"/>
      <c r="K14" s="3160">
        <f>SUM(L14:O14)</f>
        <v>0</v>
      </c>
      <c r="L14" s="3158"/>
      <c r="M14" s="3159"/>
      <c r="N14" s="3161"/>
      <c r="O14" s="3162"/>
      <c r="P14" s="3160">
        <f>SUM(Q14:T14)</f>
        <v>0</v>
      </c>
      <c r="Q14" s="3158"/>
      <c r="R14" s="3159"/>
      <c r="S14" s="3161"/>
      <c r="T14" s="3162"/>
      <c r="U14" s="3160">
        <f>SUM(V14:Y14)</f>
        <v>0</v>
      </c>
      <c r="V14" s="3158"/>
      <c r="W14" s="3159"/>
      <c r="X14" s="3161"/>
      <c r="Y14" s="3163"/>
      <c r="Z14" s="3147">
        <f>SUM(AA14:AB14)</f>
        <v>0</v>
      </c>
      <c r="AA14" s="1047"/>
      <c r="AB14" s="7430"/>
      <c r="AC14" s="1497">
        <f>SUM(AD14:AE14)</f>
        <v>0</v>
      </c>
      <c r="AD14" s="1047"/>
      <c r="AE14" s="7430"/>
      <c r="BX14" s="165"/>
      <c r="BY14" s="290"/>
      <c r="CG14" s="1454"/>
      <c r="CH14" s="1454"/>
      <c r="CI14" s="1454"/>
      <c r="CJ14" s="1454"/>
      <c r="CK14" s="1454"/>
      <c r="CL14" s="1454"/>
      <c r="CM14" s="1454"/>
      <c r="CN14" s="1454"/>
    </row>
    <row r="15" spans="1:92" ht="20.25" customHeight="1" x14ac:dyDescent="0.2">
      <c r="A15" s="1046" t="s">
        <v>1646</v>
      </c>
      <c r="B15" s="1045"/>
      <c r="C15" s="1043"/>
      <c r="D15" s="1043"/>
      <c r="E15" s="1043"/>
      <c r="F15" s="1043"/>
      <c r="G15" s="3164">
        <f>SUM(H15:J15)</f>
        <v>0</v>
      </c>
      <c r="H15" s="1044"/>
      <c r="I15" s="1043"/>
      <c r="J15" s="1044"/>
      <c r="K15" s="3164">
        <f>SUM(L15:O15)</f>
        <v>0</v>
      </c>
      <c r="L15" s="1044"/>
      <c r="M15" s="1044"/>
      <c r="N15" s="3165"/>
      <c r="O15" s="3166"/>
      <c r="P15" s="3164">
        <f>SUM(Q15:T15)</f>
        <v>0</v>
      </c>
      <c r="Q15" s="1044"/>
      <c r="R15" s="1043"/>
      <c r="S15" s="3165"/>
      <c r="T15" s="3166"/>
      <c r="U15" s="3164">
        <f>SUM(V15:Y15)</f>
        <v>0</v>
      </c>
      <c r="V15" s="1044"/>
      <c r="W15" s="1043"/>
      <c r="X15" s="3165"/>
      <c r="Y15" s="3167"/>
      <c r="Z15" s="3148">
        <f>SUM(AA15:AB15)</f>
        <v>0</v>
      </c>
      <c r="AA15" s="1043"/>
      <c r="AB15" s="7431"/>
      <c r="AC15" s="1498">
        <f>SUM(AD15:AE15)</f>
        <v>0</v>
      </c>
      <c r="AD15" s="1043"/>
      <c r="AE15" s="7431"/>
      <c r="BX15" s="165"/>
      <c r="BY15" s="290"/>
      <c r="CG15" s="1454"/>
      <c r="CH15" s="1454"/>
      <c r="CI15" s="1454"/>
      <c r="CJ15" s="1454"/>
      <c r="CK15" s="1454"/>
      <c r="CL15" s="1454"/>
      <c r="CM15" s="1454"/>
      <c r="CN15" s="1454"/>
    </row>
    <row r="16" spans="1:92" ht="20.25" customHeight="1" x14ac:dyDescent="0.2">
      <c r="A16" s="3175" t="s">
        <v>1645</v>
      </c>
      <c r="B16" s="1045"/>
      <c r="C16" s="1043"/>
      <c r="D16" s="1043"/>
      <c r="E16" s="1043"/>
      <c r="F16" s="1043"/>
      <c r="G16" s="3164">
        <f>SUM(H16:J16)</f>
        <v>0</v>
      </c>
      <c r="H16" s="1044"/>
      <c r="I16" s="1043"/>
      <c r="J16" s="2689"/>
      <c r="K16" s="3164">
        <f>SUM(L16:O16)</f>
        <v>0</v>
      </c>
      <c r="L16" s="1044"/>
      <c r="M16" s="2689"/>
      <c r="N16" s="3176"/>
      <c r="O16" s="3177"/>
      <c r="P16" s="3164">
        <f>SUM(Q16:T16)</f>
        <v>0</v>
      </c>
      <c r="Q16" s="1044"/>
      <c r="R16" s="2689"/>
      <c r="S16" s="3176"/>
      <c r="T16" s="3177"/>
      <c r="U16" s="3164">
        <f>SUM(V16:Y16)</f>
        <v>0</v>
      </c>
      <c r="V16" s="1044"/>
      <c r="W16" s="2689"/>
      <c r="X16" s="3176"/>
      <c r="Y16" s="3178"/>
      <c r="Z16" s="3148">
        <f>SUM(AA16:AB16)</f>
        <v>0</v>
      </c>
      <c r="AA16" s="1043"/>
      <c r="AB16" s="7431"/>
      <c r="AC16" s="1498">
        <f>SUM(AD16:AE16)</f>
        <v>0</v>
      </c>
      <c r="AD16" s="1043"/>
      <c r="AE16" s="7431"/>
      <c r="BX16" s="165"/>
      <c r="BY16" s="290"/>
      <c r="CG16" s="1454"/>
      <c r="CH16" s="1454"/>
      <c r="CI16" s="1454"/>
      <c r="CJ16" s="1454"/>
      <c r="CK16" s="1454"/>
      <c r="CL16" s="1454"/>
      <c r="CM16" s="1454"/>
      <c r="CN16" s="1454"/>
    </row>
    <row r="17" spans="1:92" ht="20.25" customHeight="1" x14ac:dyDescent="0.2">
      <c r="A17" s="1042" t="s">
        <v>1644</v>
      </c>
      <c r="B17" s="1041"/>
      <c r="C17" s="1038"/>
      <c r="D17" s="1040"/>
      <c r="E17" s="1040"/>
      <c r="F17" s="1039"/>
      <c r="G17" s="3168">
        <f>SUM(H17:J17)</f>
        <v>0</v>
      </c>
      <c r="H17" s="3179"/>
      <c r="I17" s="4009"/>
      <c r="J17" s="4010"/>
      <c r="K17" s="3171">
        <f>SUM(L17:O17)</f>
        <v>0</v>
      </c>
      <c r="L17" s="3179"/>
      <c r="M17" s="3169"/>
      <c r="N17" s="3172"/>
      <c r="O17" s="3173"/>
      <c r="P17" s="3171">
        <f>SUM(Q17:T17)</f>
        <v>0</v>
      </c>
      <c r="Q17" s="3169"/>
      <c r="R17" s="3170"/>
      <c r="S17" s="3172"/>
      <c r="T17" s="3173"/>
      <c r="U17" s="3171">
        <f>SUM(V17:Y17)</f>
        <v>0</v>
      </c>
      <c r="V17" s="3169"/>
      <c r="W17" s="3170"/>
      <c r="X17" s="3172"/>
      <c r="Y17" s="3174"/>
      <c r="Z17" s="3149">
        <f>SUM(AA17:AB17)</f>
        <v>0</v>
      </c>
      <c r="AA17" s="1038"/>
      <c r="AB17" s="7432"/>
      <c r="AC17" s="1499">
        <f>SUM(AD17:AE17)</f>
        <v>0</v>
      </c>
      <c r="AD17" s="1038"/>
      <c r="AE17" s="7432"/>
      <c r="BX17" s="165"/>
      <c r="BY17" s="290"/>
      <c r="CG17" s="1454"/>
      <c r="CH17" s="1454"/>
      <c r="CI17" s="1454"/>
      <c r="CJ17" s="1454"/>
      <c r="CK17" s="1454"/>
      <c r="CL17" s="1454"/>
      <c r="CM17" s="1454"/>
      <c r="CN17" s="1454"/>
    </row>
    <row r="18" spans="1:92" ht="20.25" customHeight="1" x14ac:dyDescent="0.2">
      <c r="A18" s="4014" t="s">
        <v>3731</v>
      </c>
      <c r="B18" s="4005"/>
      <c r="C18" s="4006"/>
      <c r="D18" s="4006"/>
      <c r="E18" s="4006"/>
      <c r="F18" s="4006"/>
      <c r="G18" s="4004"/>
      <c r="H18" s="4006"/>
      <c r="I18" s="4006"/>
      <c r="J18" s="4006"/>
      <c r="K18" s="4011"/>
      <c r="L18" s="4006"/>
      <c r="M18" s="4006"/>
      <c r="N18" s="4006"/>
      <c r="O18" s="4006"/>
      <c r="P18" s="4004"/>
      <c r="Q18" s="4006"/>
      <c r="R18" s="4006"/>
      <c r="S18" s="4006"/>
      <c r="T18" s="4006"/>
      <c r="U18" s="4004"/>
      <c r="V18" s="4006"/>
      <c r="W18" s="4006"/>
      <c r="X18" s="4006"/>
      <c r="Y18" s="4006"/>
      <c r="Z18" s="4004"/>
      <c r="AA18" s="4013"/>
      <c r="AB18" s="4013"/>
      <c r="AC18" s="4004"/>
      <c r="AD18" s="4013"/>
      <c r="AE18" s="4013"/>
      <c r="BX18" s="165"/>
      <c r="BY18" s="290"/>
      <c r="CG18" s="1454"/>
      <c r="CH18" s="1454"/>
      <c r="CI18" s="1454"/>
      <c r="CJ18" s="1454"/>
      <c r="CK18" s="1454"/>
      <c r="CL18" s="1454"/>
      <c r="CM18" s="1454"/>
      <c r="CN18" s="1454"/>
    </row>
    <row r="19" spans="1:92" ht="27" customHeight="1" x14ac:dyDescent="0.2">
      <c r="A19" s="1037" t="s">
        <v>1643</v>
      </c>
      <c r="B19" s="1036"/>
      <c r="C19" s="1013"/>
      <c r="D19" s="1013"/>
      <c r="E19" s="1013"/>
      <c r="F19" s="1013"/>
      <c r="G19" s="1036"/>
      <c r="H19" s="4007"/>
      <c r="I19" s="4008"/>
      <c r="J19" s="1012"/>
      <c r="K19" s="4012"/>
      <c r="L19" s="4012"/>
      <c r="CG19" s="1454"/>
      <c r="CH19" s="1454"/>
      <c r="CI19" s="1454"/>
      <c r="CJ19" s="1454"/>
      <c r="CK19" s="1454"/>
      <c r="CL19" s="1454"/>
      <c r="CM19" s="1454"/>
      <c r="CN19" s="1454"/>
    </row>
    <row r="20" spans="1:92" ht="39" customHeight="1" x14ac:dyDescent="0.2">
      <c r="A20" s="2198" t="s">
        <v>1627</v>
      </c>
      <c r="B20" s="2204" t="s">
        <v>24</v>
      </c>
      <c r="C20" s="1035" t="s">
        <v>3041</v>
      </c>
      <c r="D20" s="1034" t="s">
        <v>3042</v>
      </c>
      <c r="E20" s="1034" t="s">
        <v>3044</v>
      </c>
      <c r="F20" s="7956" t="s">
        <v>3043</v>
      </c>
      <c r="G20" s="1033" t="s">
        <v>371</v>
      </c>
      <c r="H20" s="1032"/>
      <c r="I20" s="1013"/>
      <c r="J20" s="1013"/>
      <c r="K20" s="972"/>
      <c r="L20" s="972"/>
      <c r="CG20" s="1454"/>
      <c r="CH20" s="1454"/>
      <c r="CI20" s="1454"/>
      <c r="CJ20" s="1454"/>
      <c r="CK20" s="1454"/>
      <c r="CL20" s="1454"/>
      <c r="CM20" s="1454"/>
      <c r="CN20" s="1454"/>
    </row>
    <row r="21" spans="1:92" ht="21" customHeight="1" x14ac:dyDescent="0.2">
      <c r="A21" s="1031" t="s">
        <v>1642</v>
      </c>
      <c r="B21" s="980">
        <f>SUM(C21:G21)</f>
        <v>0</v>
      </c>
      <c r="C21" s="1030"/>
      <c r="D21" s="1029"/>
      <c r="E21" s="1029"/>
      <c r="F21" s="1029"/>
      <c r="G21" s="1028"/>
      <c r="H21" s="1019"/>
      <c r="I21" s="1013"/>
      <c r="J21" s="1013"/>
      <c r="K21" s="972"/>
      <c r="L21" s="972"/>
      <c r="CG21" s="1454"/>
      <c r="CH21" s="1454"/>
      <c r="CI21" s="1454"/>
      <c r="CJ21" s="1454"/>
      <c r="CK21" s="1454"/>
      <c r="CL21" s="1454"/>
      <c r="CM21" s="1454"/>
      <c r="CN21" s="1454"/>
    </row>
    <row r="22" spans="1:92" ht="21" customHeight="1" x14ac:dyDescent="0.2">
      <c r="A22" s="1027" t="s">
        <v>29</v>
      </c>
      <c r="B22" s="970">
        <f>SUM(C22:G22)</f>
        <v>0</v>
      </c>
      <c r="C22" s="1026"/>
      <c r="D22" s="1025"/>
      <c r="E22" s="1025"/>
      <c r="F22" s="1025"/>
      <c r="G22" s="969"/>
      <c r="H22" s="1019"/>
      <c r="I22" s="1013"/>
      <c r="J22" s="1013"/>
      <c r="K22" s="972"/>
      <c r="L22" s="972"/>
      <c r="CG22" s="1454"/>
      <c r="CH22" s="1454"/>
      <c r="CI22" s="1454"/>
      <c r="CJ22" s="1454"/>
      <c r="CK22" s="1454"/>
      <c r="CL22" s="1454"/>
      <c r="CM22" s="1454"/>
      <c r="CN22" s="1454"/>
    </row>
    <row r="23" spans="1:92" ht="21" customHeight="1" x14ac:dyDescent="0.2">
      <c r="A23" s="1027" t="s">
        <v>1635</v>
      </c>
      <c r="B23" s="970">
        <f>SUM(C23:G23)</f>
        <v>0</v>
      </c>
      <c r="C23" s="1026"/>
      <c r="D23" s="1025"/>
      <c r="E23" s="1025"/>
      <c r="F23" s="1025"/>
      <c r="G23" s="969"/>
      <c r="H23" s="1019"/>
      <c r="I23" s="1013"/>
      <c r="J23" s="1013"/>
      <c r="K23" s="972"/>
      <c r="L23" s="972"/>
      <c r="CG23" s="1454"/>
      <c r="CH23" s="1454"/>
      <c r="CI23" s="1454"/>
      <c r="CJ23" s="1454"/>
      <c r="CK23" s="1454"/>
      <c r="CL23" s="1454"/>
      <c r="CM23" s="1454"/>
      <c r="CN23" s="1454"/>
    </row>
    <row r="24" spans="1:92" ht="21" customHeight="1" x14ac:dyDescent="0.2">
      <c r="A24" s="1027" t="s">
        <v>1634</v>
      </c>
      <c r="B24" s="970">
        <f>SUM(C24:G24)</f>
        <v>0</v>
      </c>
      <c r="C24" s="1026"/>
      <c r="D24" s="1025"/>
      <c r="E24" s="1025"/>
      <c r="F24" s="1025"/>
      <c r="G24" s="969"/>
      <c r="H24" s="1019"/>
      <c r="I24" s="1013"/>
      <c r="J24" s="973"/>
      <c r="K24" s="972"/>
      <c r="L24" s="972"/>
      <c r="CG24" s="1454"/>
      <c r="CH24" s="1454"/>
      <c r="CI24" s="1454"/>
      <c r="CJ24" s="1454"/>
      <c r="CK24" s="1454"/>
      <c r="CL24" s="1454"/>
      <c r="CM24" s="1454"/>
      <c r="CN24" s="1454"/>
    </row>
    <row r="25" spans="1:92" ht="21" customHeight="1" x14ac:dyDescent="0.2">
      <c r="A25" s="1024" t="s">
        <v>1633</v>
      </c>
      <c r="B25" s="1023">
        <f>SUM(C25:G25)</f>
        <v>0</v>
      </c>
      <c r="C25" s="1022"/>
      <c r="D25" s="1021"/>
      <c r="E25" s="1021"/>
      <c r="F25" s="1021"/>
      <c r="G25" s="1020"/>
      <c r="H25" s="1019"/>
      <c r="I25" s="1013"/>
      <c r="J25" s="1013"/>
      <c r="K25" s="972"/>
      <c r="L25" s="972"/>
      <c r="CG25" s="1454"/>
      <c r="CH25" s="1454"/>
      <c r="CI25" s="1454"/>
      <c r="CJ25" s="1454"/>
      <c r="CK25" s="1454"/>
      <c r="CL25" s="1454"/>
      <c r="CM25" s="1454"/>
      <c r="CN25" s="1454"/>
    </row>
    <row r="26" spans="1:92" ht="24.75" customHeight="1" x14ac:dyDescent="0.2">
      <c r="A26" s="1037" t="s">
        <v>3789</v>
      </c>
      <c r="B26" s="974"/>
      <c r="C26" s="973"/>
      <c r="D26" s="974"/>
      <c r="E26" s="974"/>
      <c r="CG26" s="1454"/>
      <c r="CH26" s="1454"/>
      <c r="CI26" s="1454"/>
      <c r="CJ26" s="1454"/>
      <c r="CK26" s="1454"/>
      <c r="CL26" s="1454"/>
      <c r="CM26" s="1454"/>
      <c r="CN26" s="1454"/>
    </row>
    <row r="27" spans="1:92" ht="19.5" customHeight="1" x14ac:dyDescent="0.2">
      <c r="A27" s="1037" t="s">
        <v>3790</v>
      </c>
      <c r="B27" s="1012"/>
      <c r="C27" s="1006"/>
      <c r="D27" s="1006"/>
      <c r="E27" s="1006"/>
      <c r="F27" s="1006"/>
      <c r="G27" s="1006"/>
      <c r="H27" s="1006"/>
      <c r="I27" s="1018"/>
      <c r="J27" s="1018"/>
      <c r="K27" s="974"/>
      <c r="L27" s="974"/>
      <c r="CG27" s="1454"/>
      <c r="CH27" s="1454"/>
      <c r="CI27" s="1454"/>
      <c r="CJ27" s="1454"/>
      <c r="CK27" s="1454"/>
      <c r="CL27" s="1454"/>
      <c r="CM27" s="1454"/>
      <c r="CN27" s="1454"/>
    </row>
    <row r="28" spans="1:92" ht="23.25" customHeight="1" x14ac:dyDescent="0.2">
      <c r="A28" s="9773" t="s">
        <v>1627</v>
      </c>
      <c r="B28" s="9744"/>
      <c r="C28" s="9777" t="s">
        <v>24</v>
      </c>
      <c r="D28" s="9783" t="s">
        <v>856</v>
      </c>
      <c r="E28" s="9784"/>
      <c r="F28" s="9785"/>
      <c r="G28" s="9781" t="s">
        <v>1641</v>
      </c>
      <c r="H28" s="9781"/>
      <c r="I28" s="9781"/>
      <c r="J28" s="9781"/>
      <c r="K28" s="9781"/>
      <c r="L28" s="9782"/>
      <c r="N28" s="1012"/>
      <c r="BX28" s="165"/>
      <c r="BY28" s="165"/>
      <c r="BZ28" s="1452"/>
      <c r="CG28" s="1454"/>
      <c r="CH28" s="1454"/>
      <c r="CI28" s="1454"/>
      <c r="CJ28" s="1454"/>
      <c r="CK28" s="1454"/>
      <c r="CL28" s="1454"/>
      <c r="CM28" s="1454"/>
      <c r="CN28" s="1454"/>
    </row>
    <row r="29" spans="1:92" ht="24.75" customHeight="1" x14ac:dyDescent="0.2">
      <c r="A29" s="9774"/>
      <c r="B29" s="9746"/>
      <c r="C29" s="9778"/>
      <c r="D29" s="3559" t="s">
        <v>1603</v>
      </c>
      <c r="E29" s="3560" t="s">
        <v>33</v>
      </c>
      <c r="F29" s="3561" t="s">
        <v>1558</v>
      </c>
      <c r="G29" s="2200" t="s">
        <v>95</v>
      </c>
      <c r="H29" s="1005" t="s">
        <v>1640</v>
      </c>
      <c r="I29" s="1005" t="s">
        <v>1639</v>
      </c>
      <c r="J29" s="1005" t="s">
        <v>1638</v>
      </c>
      <c r="K29" s="1005" t="s">
        <v>1637</v>
      </c>
      <c r="L29" s="1005" t="s">
        <v>1636</v>
      </c>
      <c r="BW29" s="1452"/>
      <c r="BX29" s="1460"/>
      <c r="CG29" s="1454"/>
      <c r="CH29" s="1454"/>
      <c r="CI29" s="1454"/>
      <c r="CJ29" s="1454"/>
      <c r="CK29" s="1454"/>
      <c r="CL29" s="1454"/>
      <c r="CM29" s="1454"/>
      <c r="CN29" s="1454"/>
    </row>
    <row r="30" spans="1:92" ht="17.25" customHeight="1" x14ac:dyDescent="0.2">
      <c r="A30" s="9779" t="s">
        <v>29</v>
      </c>
      <c r="B30" s="9780"/>
      <c r="C30" s="1500">
        <f>SUM(D30:F30)</f>
        <v>0</v>
      </c>
      <c r="D30" s="1501"/>
      <c r="E30" s="2870"/>
      <c r="F30" s="2867"/>
      <c r="G30" s="1502"/>
      <c r="H30" s="1016"/>
      <c r="I30" s="1016"/>
      <c r="J30" s="1016"/>
      <c r="K30" s="1016"/>
      <c r="L30" s="1016"/>
      <c r="M30" s="1381" t="str">
        <f t="shared" ref="M30:M36" si="1">CA30</f>
        <v/>
      </c>
      <c r="BW30" s="1452"/>
      <c r="BX30" s="1460"/>
      <c r="CA30" s="1457" t="str">
        <f>IF(CG30=1," * La Suma de Personas por Origen de Derivación no puede ser Mayor a la suma de Personas por Edad. ","")</f>
        <v/>
      </c>
      <c r="CG30" s="1458">
        <f t="shared" ref="CG30:CG36" si="2">IF(SUM(G30:L30)&gt;C30,1,0)</f>
        <v>0</v>
      </c>
      <c r="CH30" s="1454"/>
      <c r="CI30" s="1454"/>
      <c r="CJ30" s="1454"/>
      <c r="CK30" s="1454"/>
      <c r="CL30" s="1454"/>
      <c r="CM30" s="1454"/>
      <c r="CN30" s="1454"/>
    </row>
    <row r="31" spans="1:92" ht="17.25" customHeight="1" x14ac:dyDescent="0.2">
      <c r="A31" s="2855" t="s">
        <v>1635</v>
      </c>
      <c r="B31" s="2856"/>
      <c r="C31" s="1500">
        <f t="shared" ref="C31:C36" si="3">SUM(D31:F31)</f>
        <v>0</v>
      </c>
      <c r="D31" s="1016"/>
      <c r="E31" s="2870"/>
      <c r="F31" s="2867"/>
      <c r="G31" s="1502"/>
      <c r="H31" s="1016"/>
      <c r="I31" s="1016"/>
      <c r="J31" s="1016"/>
      <c r="K31" s="1016"/>
      <c r="L31" s="1016"/>
      <c r="M31" s="1381" t="str">
        <f t="shared" si="1"/>
        <v/>
      </c>
      <c r="BW31" s="1452"/>
      <c r="BX31" s="1460"/>
      <c r="CA31" s="1457" t="str">
        <f t="shared" ref="CA31:CA36" si="4">IF(CG31=1," * La Suma de Personas por Origen de Derivación no puede ser Mayor a la suma de Personas por Edad. ","")</f>
        <v/>
      </c>
      <c r="CG31" s="1458">
        <f t="shared" si="2"/>
        <v>0</v>
      </c>
      <c r="CH31" s="1454"/>
      <c r="CI31" s="1454"/>
      <c r="CJ31" s="1454"/>
      <c r="CK31" s="1454"/>
      <c r="CL31" s="1454"/>
      <c r="CM31" s="1454"/>
      <c r="CN31" s="1454"/>
    </row>
    <row r="32" spans="1:92" ht="17.25" customHeight="1" x14ac:dyDescent="0.2">
      <c r="A32" s="2855" t="s">
        <v>1634</v>
      </c>
      <c r="B32" s="2856"/>
      <c r="C32" s="1500">
        <f t="shared" si="3"/>
        <v>0</v>
      </c>
      <c r="D32" s="1016"/>
      <c r="E32" s="2870"/>
      <c r="F32" s="2867"/>
      <c r="G32" s="1502"/>
      <c r="H32" s="1016"/>
      <c r="I32" s="1016"/>
      <c r="J32" s="1016"/>
      <c r="K32" s="1016"/>
      <c r="L32" s="1016"/>
      <c r="M32" s="1381" t="str">
        <f t="shared" si="1"/>
        <v/>
      </c>
      <c r="BW32" s="1452"/>
      <c r="BX32" s="1460"/>
      <c r="CA32" s="1457" t="str">
        <f t="shared" si="4"/>
        <v/>
      </c>
      <c r="CG32" s="1458">
        <f t="shared" si="2"/>
        <v>0</v>
      </c>
      <c r="CH32" s="1454"/>
      <c r="CI32" s="1454"/>
      <c r="CJ32" s="1454"/>
      <c r="CK32" s="1454"/>
      <c r="CL32" s="1454"/>
      <c r="CM32" s="1454"/>
      <c r="CN32" s="1454"/>
    </row>
    <row r="33" spans="1:92" ht="17.25" customHeight="1" x14ac:dyDescent="0.2">
      <c r="A33" s="2205" t="s">
        <v>1633</v>
      </c>
      <c r="B33" s="2857"/>
      <c r="C33" s="1503">
        <f t="shared" si="3"/>
        <v>0</v>
      </c>
      <c r="D33" s="1504"/>
      <c r="E33" s="2871"/>
      <c r="F33" s="2868"/>
      <c r="G33" s="1505"/>
      <c r="H33" s="1504"/>
      <c r="I33" s="1504"/>
      <c r="J33" s="1504"/>
      <c r="K33" s="1504"/>
      <c r="L33" s="1504"/>
      <c r="M33" s="1381" t="str">
        <f t="shared" si="1"/>
        <v/>
      </c>
      <c r="BW33" s="1452"/>
      <c r="BX33" s="1460"/>
      <c r="CA33" s="1457" t="str">
        <f t="shared" si="4"/>
        <v/>
      </c>
      <c r="CG33" s="1458">
        <f t="shared" si="2"/>
        <v>0</v>
      </c>
      <c r="CH33" s="1454"/>
      <c r="CI33" s="1454"/>
      <c r="CJ33" s="1454"/>
      <c r="CK33" s="1454"/>
      <c r="CL33" s="1454"/>
      <c r="CM33" s="1454"/>
      <c r="CN33" s="1454"/>
    </row>
    <row r="34" spans="1:92" ht="17.25" customHeight="1" x14ac:dyDescent="0.2">
      <c r="A34" s="9775" t="s">
        <v>1632</v>
      </c>
      <c r="B34" s="1506" t="s">
        <v>1631</v>
      </c>
      <c r="C34" s="1507">
        <f t="shared" si="3"/>
        <v>0</v>
      </c>
      <c r="D34" s="1508"/>
      <c r="E34" s="2870"/>
      <c r="F34" s="2867"/>
      <c r="G34" s="1509"/>
      <c r="H34" s="1508"/>
      <c r="I34" s="1508"/>
      <c r="J34" s="1508"/>
      <c r="K34" s="1508"/>
      <c r="L34" s="1508"/>
      <c r="M34" s="1381" t="str">
        <f t="shared" si="1"/>
        <v/>
      </c>
      <c r="BW34" s="1452"/>
      <c r="BX34" s="1460"/>
      <c r="CA34" s="1457" t="str">
        <f t="shared" si="4"/>
        <v/>
      </c>
      <c r="CG34" s="1458">
        <f t="shared" si="2"/>
        <v>0</v>
      </c>
      <c r="CH34" s="1454"/>
      <c r="CI34" s="1454"/>
      <c r="CJ34" s="1454"/>
      <c r="CK34" s="1454"/>
      <c r="CL34" s="1454"/>
      <c r="CM34" s="1454"/>
      <c r="CN34" s="1454"/>
    </row>
    <row r="35" spans="1:92" ht="17.25" customHeight="1" x14ac:dyDescent="0.2">
      <c r="A35" s="9776"/>
      <c r="B35" s="2205" t="s">
        <v>1630</v>
      </c>
      <c r="C35" s="1510">
        <f t="shared" si="3"/>
        <v>0</v>
      </c>
      <c r="D35" s="1511"/>
      <c r="E35" s="2872"/>
      <c r="F35" s="2869"/>
      <c r="G35" s="1512"/>
      <c r="H35" s="1511"/>
      <c r="I35" s="1511"/>
      <c r="J35" s="1511"/>
      <c r="K35" s="1511"/>
      <c r="L35" s="1511"/>
      <c r="M35" s="1381" t="str">
        <f t="shared" si="1"/>
        <v/>
      </c>
      <c r="BW35" s="1452"/>
      <c r="BX35" s="1460"/>
      <c r="CA35" s="1457" t="str">
        <f t="shared" si="4"/>
        <v/>
      </c>
      <c r="CG35" s="1458">
        <f t="shared" si="2"/>
        <v>0</v>
      </c>
      <c r="CH35" s="1454"/>
      <c r="CI35" s="1454"/>
      <c r="CJ35" s="1454"/>
      <c r="CK35" s="1454"/>
      <c r="CL35" s="1454"/>
      <c r="CM35" s="1454"/>
      <c r="CN35" s="1454"/>
    </row>
    <row r="36" spans="1:92" ht="17.25" customHeight="1" x14ac:dyDescent="0.2">
      <c r="A36" s="9771" t="s">
        <v>1629</v>
      </c>
      <c r="B36" s="9772"/>
      <c r="C36" s="2873">
        <f t="shared" si="3"/>
        <v>0</v>
      </c>
      <c r="D36" s="1511"/>
      <c r="E36" s="2872"/>
      <c r="F36" s="2869"/>
      <c r="G36" s="1512"/>
      <c r="H36" s="1511"/>
      <c r="I36" s="1511"/>
      <c r="J36" s="1511"/>
      <c r="K36" s="1511"/>
      <c r="L36" s="1511"/>
      <c r="M36" s="1381" t="str">
        <f t="shared" si="1"/>
        <v/>
      </c>
      <c r="BW36" s="1452"/>
      <c r="BX36" s="1460"/>
      <c r="CA36" s="1457" t="str">
        <f t="shared" si="4"/>
        <v/>
      </c>
      <c r="CG36" s="1458">
        <f t="shared" si="2"/>
        <v>0</v>
      </c>
      <c r="CH36" s="1454"/>
      <c r="CI36" s="1454"/>
      <c r="CJ36" s="1454"/>
      <c r="CK36" s="1454"/>
      <c r="CL36" s="1454"/>
      <c r="CM36" s="1454"/>
      <c r="CN36" s="1454"/>
    </row>
    <row r="37" spans="1:92" ht="23.25" customHeight="1" x14ac:dyDescent="0.2">
      <c r="A37" s="1513" t="s">
        <v>3791</v>
      </c>
      <c r="B37" s="972"/>
      <c r="C37" s="1017"/>
      <c r="D37" s="1011"/>
      <c r="E37" s="1011"/>
      <c r="F37" s="1011"/>
      <c r="G37" s="1011"/>
      <c r="H37" s="1011"/>
      <c r="I37" s="1011"/>
      <c r="J37" s="1011"/>
      <c r="K37" s="1011"/>
      <c r="L37" s="1011"/>
      <c r="M37" s="1514"/>
      <c r="CG37" s="1454"/>
      <c r="CH37" s="1454"/>
      <c r="CI37" s="1454"/>
      <c r="CJ37" s="1454"/>
      <c r="CK37" s="1454"/>
      <c r="CL37" s="1454"/>
      <c r="CM37" s="1454"/>
      <c r="CN37" s="1454"/>
    </row>
    <row r="38" spans="1:92" ht="28.5" customHeight="1" x14ac:dyDescent="0.2">
      <c r="A38" s="1005" t="s">
        <v>30</v>
      </c>
      <c r="B38" s="1005" t="s">
        <v>44</v>
      </c>
      <c r="C38" s="1013"/>
      <c r="D38" s="972"/>
      <c r="E38" s="972"/>
      <c r="F38" s="972"/>
      <c r="G38" s="1514"/>
      <c r="BR38" s="1452"/>
      <c r="BS38" s="1460"/>
      <c r="BT38" s="1460"/>
      <c r="CG38" s="1454"/>
      <c r="CH38" s="1454"/>
      <c r="CI38" s="1454"/>
      <c r="CJ38" s="1454"/>
      <c r="CK38" s="1454"/>
      <c r="CL38" s="1454"/>
      <c r="CM38" s="1454"/>
      <c r="CN38" s="1454"/>
    </row>
    <row r="39" spans="1:92" ht="16.5" customHeight="1" x14ac:dyDescent="0.2">
      <c r="A39" s="1500" t="s">
        <v>19</v>
      </c>
      <c r="B39" s="1016"/>
      <c r="C39" s="1013"/>
      <c r="D39" s="972"/>
      <c r="E39" s="972"/>
      <c r="F39" s="972"/>
      <c r="G39" s="1514"/>
      <c r="BR39" s="1452"/>
      <c r="BS39" s="1460"/>
      <c r="BT39" s="1460"/>
      <c r="CG39" s="1454"/>
      <c r="CH39" s="1454"/>
      <c r="CI39" s="1454"/>
      <c r="CJ39" s="1454"/>
      <c r="CK39" s="1454"/>
      <c r="CL39" s="1454"/>
      <c r="CM39" s="1454"/>
      <c r="CN39" s="1454"/>
    </row>
    <row r="40" spans="1:92" ht="16.5" customHeight="1" x14ac:dyDescent="0.2">
      <c r="A40" s="1500" t="s">
        <v>99</v>
      </c>
      <c r="B40" s="1016"/>
      <c r="C40" s="1013"/>
      <c r="D40" s="972"/>
      <c r="E40" s="972"/>
      <c r="F40" s="972"/>
      <c r="G40" s="1514"/>
      <c r="BR40" s="1452"/>
      <c r="BS40" s="1460"/>
      <c r="BT40" s="1460"/>
      <c r="CG40" s="1454"/>
      <c r="CH40" s="1454"/>
      <c r="CI40" s="1454"/>
      <c r="CJ40" s="1454"/>
      <c r="CK40" s="1454"/>
      <c r="CL40" s="1454"/>
      <c r="CM40" s="1454"/>
      <c r="CN40" s="1454"/>
    </row>
    <row r="41" spans="1:92" ht="16.5" customHeight="1" x14ac:dyDescent="0.2">
      <c r="A41" s="1500" t="s">
        <v>27</v>
      </c>
      <c r="B41" s="1016"/>
      <c r="C41" s="1013"/>
      <c r="D41" s="972"/>
      <c r="E41" s="972"/>
      <c r="F41" s="972"/>
      <c r="G41" s="1514"/>
      <c r="BR41" s="1452"/>
      <c r="BS41" s="1460"/>
      <c r="BT41" s="1460"/>
      <c r="CG41" s="1454"/>
      <c r="CH41" s="1454"/>
      <c r="CI41" s="1454"/>
      <c r="CJ41" s="1454"/>
      <c r="CK41" s="1454"/>
      <c r="CL41" s="1454"/>
      <c r="CM41" s="1454"/>
      <c r="CN41" s="1454"/>
    </row>
    <row r="42" spans="1:92" ht="16.5" customHeight="1" x14ac:dyDescent="0.2">
      <c r="A42" s="1500" t="s">
        <v>65</v>
      </c>
      <c r="B42" s="1016"/>
      <c r="C42" s="1013"/>
      <c r="D42" s="972"/>
      <c r="E42" s="972"/>
      <c r="F42" s="972"/>
      <c r="G42" s="1514"/>
      <c r="BR42" s="1452"/>
      <c r="BS42" s="1460"/>
      <c r="BT42" s="1460"/>
      <c r="CG42" s="1454"/>
      <c r="CH42" s="1454"/>
      <c r="CI42" s="1454"/>
      <c r="CJ42" s="1454"/>
      <c r="CK42" s="1454"/>
      <c r="CL42" s="1454"/>
      <c r="CM42" s="1454"/>
      <c r="CN42" s="1454"/>
    </row>
    <row r="43" spans="1:92" ht="16.5" customHeight="1" x14ac:dyDescent="0.2">
      <c r="A43" s="1500" t="s">
        <v>103</v>
      </c>
      <c r="B43" s="1016"/>
      <c r="C43" s="1013"/>
      <c r="D43" s="972"/>
      <c r="E43" s="972"/>
      <c r="F43" s="972"/>
      <c r="G43" s="1514"/>
      <c r="BR43" s="1452"/>
      <c r="BS43" s="1460"/>
      <c r="BT43" s="1460"/>
      <c r="CG43" s="1454"/>
      <c r="CH43" s="1454"/>
      <c r="CI43" s="1454"/>
      <c r="CJ43" s="1454"/>
      <c r="CK43" s="1454"/>
      <c r="CL43" s="1454"/>
      <c r="CM43" s="1454"/>
      <c r="CN43" s="1454"/>
    </row>
    <row r="44" spans="1:92" ht="16.5" customHeight="1" x14ac:dyDescent="0.2">
      <c r="A44" s="1500" t="s">
        <v>87</v>
      </c>
      <c r="B44" s="1016"/>
      <c r="C44" s="1013"/>
      <c r="D44" s="972"/>
      <c r="E44" s="972"/>
      <c r="F44" s="972"/>
      <c r="G44" s="1514"/>
      <c r="BR44" s="1452"/>
      <c r="BS44" s="1460"/>
      <c r="BT44" s="1460"/>
      <c r="CG44" s="1454"/>
      <c r="CH44" s="1454"/>
      <c r="CI44" s="1454"/>
      <c r="CJ44" s="1454"/>
      <c r="CK44" s="1454"/>
      <c r="CL44" s="1454"/>
      <c r="CM44" s="1454"/>
      <c r="CN44" s="1454"/>
    </row>
    <row r="45" spans="1:92" ht="16.5" customHeight="1" x14ac:dyDescent="0.2">
      <c r="A45" s="1500" t="s">
        <v>61</v>
      </c>
      <c r="B45" s="1016"/>
      <c r="C45" s="1013"/>
      <c r="D45" s="972"/>
      <c r="E45" s="972"/>
      <c r="F45" s="972"/>
      <c r="G45" s="1514"/>
      <c r="BR45" s="1452"/>
      <c r="BS45" s="1460"/>
      <c r="BT45" s="1460"/>
      <c r="CG45" s="1454"/>
      <c r="CH45" s="1454"/>
      <c r="CI45" s="1454"/>
      <c r="CJ45" s="1454"/>
      <c r="CK45" s="1454"/>
      <c r="CL45" s="1454"/>
      <c r="CM45" s="1454"/>
      <c r="CN45" s="1454"/>
    </row>
    <row r="46" spans="1:92" ht="16.5" customHeight="1" x14ac:dyDescent="0.2">
      <c r="A46" s="1515" t="s">
        <v>1628</v>
      </c>
      <c r="B46" s="1015"/>
      <c r="C46" s="1013"/>
      <c r="D46" s="972"/>
      <c r="E46" s="972"/>
      <c r="F46" s="972"/>
      <c r="G46" s="1514"/>
      <c r="BR46" s="1452"/>
      <c r="BS46" s="1460"/>
      <c r="BT46" s="1460"/>
      <c r="CG46" s="1454"/>
      <c r="CH46" s="1454"/>
      <c r="CI46" s="1454"/>
      <c r="CJ46" s="1454"/>
      <c r="CK46" s="1454"/>
      <c r="CL46" s="1454"/>
      <c r="CM46" s="1454"/>
      <c r="CN46" s="1454"/>
    </row>
    <row r="47" spans="1:92" ht="16.5" customHeight="1" x14ac:dyDescent="0.2">
      <c r="A47" s="1503" t="s">
        <v>62</v>
      </c>
      <c r="B47" s="1014"/>
      <c r="C47" s="1013"/>
      <c r="D47" s="972"/>
      <c r="E47" s="972"/>
      <c r="F47" s="972"/>
      <c r="G47" s="1514"/>
      <c r="BR47" s="1452"/>
      <c r="BS47" s="1460"/>
      <c r="BT47" s="1460"/>
      <c r="CG47" s="1454"/>
      <c r="CH47" s="1454"/>
      <c r="CI47" s="1454"/>
      <c r="CJ47" s="1454"/>
      <c r="CK47" s="1454"/>
      <c r="CL47" s="1454"/>
      <c r="CM47" s="1454"/>
      <c r="CN47" s="1454"/>
    </row>
    <row r="48" spans="1:92" ht="29.25" customHeight="1" x14ac:dyDescent="0.2">
      <c r="A48" s="3562" t="s">
        <v>3792</v>
      </c>
      <c r="B48" s="1012"/>
      <c r="D48" s="1011"/>
      <c r="E48" s="1011"/>
      <c r="F48" s="972"/>
      <c r="G48" s="972"/>
      <c r="H48" s="972"/>
      <c r="I48" s="972"/>
      <c r="J48" s="972"/>
      <c r="K48" s="972"/>
      <c r="L48" s="972"/>
      <c r="BU48" s="1452"/>
      <c r="BV48" s="1460"/>
      <c r="BW48" s="1460"/>
      <c r="CG48" s="1454"/>
      <c r="CH48" s="1454"/>
      <c r="CI48" s="1454"/>
      <c r="CJ48" s="1454"/>
      <c r="CK48" s="1454"/>
      <c r="CL48" s="1454"/>
      <c r="CM48" s="1454"/>
      <c r="CN48" s="1454"/>
    </row>
    <row r="49" spans="1:92" ht="32.25" customHeight="1" x14ac:dyDescent="0.2">
      <c r="A49" s="1005" t="s">
        <v>1627</v>
      </c>
      <c r="B49" s="1005" t="s">
        <v>24</v>
      </c>
      <c r="C49" s="1005" t="s">
        <v>1626</v>
      </c>
      <c r="D49" s="1005" t="s">
        <v>1625</v>
      </c>
      <c r="E49" s="1005" t="s">
        <v>2953</v>
      </c>
      <c r="F49" s="972"/>
      <c r="G49" s="972"/>
      <c r="H49" s="972"/>
      <c r="I49" s="972"/>
      <c r="J49" s="972"/>
      <c r="K49" s="972"/>
      <c r="L49" s="972"/>
      <c r="BU49" s="1452"/>
      <c r="BV49" s="1460"/>
      <c r="BW49" s="1460"/>
      <c r="CG49" s="1454"/>
      <c r="CH49" s="1454"/>
      <c r="CI49" s="1454"/>
      <c r="CJ49" s="1454"/>
      <c r="CK49" s="1454"/>
      <c r="CL49" s="1454"/>
      <c r="CM49" s="1454"/>
      <c r="CN49" s="1454"/>
    </row>
    <row r="50" spans="1:92" ht="21.75" customHeight="1" x14ac:dyDescent="0.2">
      <c r="A50" s="1517" t="s">
        <v>1624</v>
      </c>
      <c r="B50" s="1010">
        <f>SUM(C50:E50)</f>
        <v>0</v>
      </c>
      <c r="C50" s="1009"/>
      <c r="D50" s="1009"/>
      <c r="E50" s="1009"/>
      <c r="F50" s="972"/>
      <c r="G50" s="972"/>
      <c r="H50" s="972"/>
      <c r="I50" s="972"/>
      <c r="J50" s="972"/>
      <c r="K50" s="972"/>
      <c r="L50" s="972"/>
      <c r="BU50" s="1452"/>
      <c r="BV50" s="1460"/>
      <c r="BW50" s="1460"/>
      <c r="CG50" s="1454"/>
      <c r="CH50" s="1454"/>
      <c r="CI50" s="1454"/>
      <c r="CJ50" s="1454"/>
      <c r="CK50" s="1454"/>
      <c r="CL50" s="1454"/>
      <c r="CM50" s="1454"/>
      <c r="CN50" s="1454"/>
    </row>
    <row r="51" spans="1:92" ht="21.75" customHeight="1" x14ac:dyDescent="0.2">
      <c r="A51" s="1517" t="s">
        <v>1623</v>
      </c>
      <c r="B51" s="1010">
        <f>SUM(C51:E51)</f>
        <v>0</v>
      </c>
      <c r="C51" s="1009"/>
      <c r="D51" s="1009"/>
      <c r="E51" s="1009"/>
      <c r="F51" s="972"/>
      <c r="G51" s="972"/>
      <c r="H51" s="972"/>
      <c r="I51" s="972"/>
      <c r="J51" s="972"/>
      <c r="K51" s="972"/>
      <c r="L51" s="972"/>
      <c r="BU51" s="1452"/>
      <c r="BV51" s="1460"/>
      <c r="BW51" s="1460"/>
      <c r="CG51" s="1454"/>
      <c r="CH51" s="1454"/>
      <c r="CI51" s="1454"/>
      <c r="CJ51" s="1454"/>
      <c r="CK51" s="1454"/>
      <c r="CL51" s="1454"/>
      <c r="CM51" s="1454"/>
      <c r="CN51" s="1454"/>
    </row>
    <row r="52" spans="1:92" ht="21.75" customHeight="1" x14ac:dyDescent="0.2">
      <c r="A52" s="1503" t="s">
        <v>1622</v>
      </c>
      <c r="B52" s="1008">
        <f>SUM(C52:E52)</f>
        <v>0</v>
      </c>
      <c r="C52" s="1007"/>
      <c r="D52" s="1007"/>
      <c r="E52" s="1007"/>
      <c r="F52" s="972"/>
      <c r="G52" s="972"/>
      <c r="H52" s="972"/>
      <c r="I52" s="972"/>
      <c r="J52" s="972"/>
      <c r="K52" s="972"/>
      <c r="L52" s="972"/>
      <c r="BU52" s="1452"/>
      <c r="BV52" s="1460"/>
      <c r="BW52" s="1460"/>
      <c r="CG52" s="1454"/>
      <c r="CH52" s="1454"/>
      <c r="CI52" s="1454"/>
      <c r="CJ52" s="1454"/>
      <c r="CK52" s="1454"/>
      <c r="CL52" s="1454"/>
      <c r="CM52" s="1454"/>
      <c r="CN52" s="1454"/>
    </row>
    <row r="53" spans="1:92" ht="29.25" customHeight="1" x14ac:dyDescent="0.2">
      <c r="A53" s="1516" t="s">
        <v>3793</v>
      </c>
      <c r="B53" s="2383"/>
      <c r="C53" s="2384"/>
      <c r="D53" s="2384"/>
      <c r="E53" s="1645"/>
      <c r="F53" s="1645"/>
      <c r="G53" s="1645"/>
      <c r="H53" s="1645"/>
      <c r="I53" s="1645"/>
      <c r="J53" s="1646"/>
      <c r="K53" s="1646"/>
      <c r="L53" s="1646"/>
      <c r="BU53" s="1452"/>
      <c r="BV53" s="1460"/>
      <c r="BW53" s="1460"/>
      <c r="CG53" s="1454"/>
      <c r="CH53" s="1454"/>
      <c r="CI53" s="1454"/>
      <c r="CJ53" s="1454"/>
      <c r="CK53" s="1454"/>
      <c r="CL53" s="1454"/>
      <c r="CM53" s="1454"/>
      <c r="CN53" s="1454"/>
    </row>
    <row r="54" spans="1:92" ht="33.6" customHeight="1" x14ac:dyDescent="0.2">
      <c r="A54" s="2385" t="s">
        <v>2365</v>
      </c>
      <c r="B54" s="2385" t="s">
        <v>24</v>
      </c>
      <c r="C54" s="3563" t="s">
        <v>3707</v>
      </c>
      <c r="D54" s="3564" t="s">
        <v>3708</v>
      </c>
      <c r="E54" s="3565" t="s">
        <v>1558</v>
      </c>
      <c r="F54" s="3566" t="s">
        <v>2953</v>
      </c>
      <c r="G54" s="1645"/>
      <c r="H54" s="1645"/>
      <c r="I54" s="1645"/>
      <c r="J54" s="1646"/>
      <c r="K54" s="1646"/>
      <c r="L54" s="1646"/>
      <c r="BU54" s="1452"/>
      <c r="BV54" s="1460"/>
      <c r="BW54" s="1460"/>
      <c r="CG54" s="1454"/>
      <c r="CH54" s="1454"/>
      <c r="CI54" s="1454"/>
      <c r="CJ54" s="1454"/>
      <c r="CK54" s="1454"/>
      <c r="CL54" s="1454"/>
      <c r="CM54" s="1454"/>
      <c r="CN54" s="1454"/>
    </row>
    <row r="55" spans="1:92" ht="21.75" customHeight="1" x14ac:dyDescent="0.2">
      <c r="A55" s="2386" t="s">
        <v>2362</v>
      </c>
      <c r="B55" s="7211">
        <f>SUM(C55:E55)</f>
        <v>0</v>
      </c>
      <c r="C55" s="2853"/>
      <c r="D55" s="2874"/>
      <c r="E55" s="2968"/>
      <c r="F55" s="3270"/>
      <c r="G55" s="1645"/>
      <c r="H55" s="1645"/>
      <c r="I55" s="1645"/>
      <c r="J55" s="1646"/>
      <c r="K55" s="1646"/>
      <c r="L55" s="1646"/>
      <c r="BU55" s="1452"/>
      <c r="BV55" s="1460"/>
      <c r="BW55" s="1460"/>
      <c r="CG55" s="1454"/>
      <c r="CH55" s="1454"/>
      <c r="CI55" s="1454"/>
      <c r="CJ55" s="1454"/>
      <c r="CK55" s="1454"/>
      <c r="CL55" s="1454"/>
      <c r="CM55" s="1454"/>
      <c r="CN55" s="1454"/>
    </row>
    <row r="56" spans="1:92" ht="21.75" customHeight="1" x14ac:dyDescent="0.2">
      <c r="A56" s="2387" t="s">
        <v>2363</v>
      </c>
      <c r="B56" s="2388">
        <f>SUM(C56:E56)</f>
        <v>0</v>
      </c>
      <c r="C56" s="2548"/>
      <c r="D56" s="2547"/>
      <c r="E56" s="1671"/>
      <c r="F56" s="3270"/>
      <c r="G56" s="1645"/>
      <c r="H56" s="1645"/>
      <c r="I56" s="1645"/>
      <c r="J56" s="1646"/>
      <c r="K56" s="1646"/>
      <c r="L56" s="1646"/>
      <c r="BU56" s="1452"/>
      <c r="BV56" s="1460"/>
      <c r="BW56" s="1460"/>
      <c r="CG56" s="1454"/>
      <c r="CH56" s="1454"/>
      <c r="CI56" s="1454"/>
      <c r="CJ56" s="1454"/>
      <c r="CK56" s="1454"/>
      <c r="CL56" s="1454"/>
      <c r="CM56" s="1454"/>
      <c r="CN56" s="1454"/>
    </row>
    <row r="57" spans="1:92" ht="21.75" customHeight="1" x14ac:dyDescent="0.2">
      <c r="A57" s="2389" t="s">
        <v>2364</v>
      </c>
      <c r="B57" s="2390">
        <f>SUM(C57:E57)</f>
        <v>0</v>
      </c>
      <c r="C57" s="2796"/>
      <c r="D57" s="2533"/>
      <c r="E57" s="2893"/>
      <c r="F57" s="3271"/>
      <c r="G57" s="1648"/>
      <c r="H57" s="1648"/>
      <c r="I57" s="1648"/>
      <c r="J57" s="1649"/>
      <c r="K57" s="1649"/>
      <c r="L57" s="1649"/>
      <c r="BU57" s="1452"/>
      <c r="BV57" s="1460"/>
      <c r="BW57" s="1460"/>
      <c r="CG57" s="1454"/>
      <c r="CH57" s="1454"/>
      <c r="CI57" s="1454"/>
      <c r="CJ57" s="1454"/>
      <c r="CK57" s="1454"/>
      <c r="CL57" s="1454"/>
      <c r="CM57" s="1454"/>
      <c r="CN57" s="1454"/>
    </row>
    <row r="58" spans="1:92" ht="21.75" customHeight="1" x14ac:dyDescent="0.25">
      <c r="A58" s="1516" t="s">
        <v>3794</v>
      </c>
      <c r="B58" s="1188"/>
      <c r="C58" s="1188"/>
      <c r="D58" s="1188"/>
      <c r="E58" s="1188"/>
      <c r="F58" s="1648"/>
      <c r="G58" s="1648"/>
      <c r="H58" s="1648"/>
      <c r="I58" s="1648"/>
      <c r="J58" s="1649"/>
      <c r="K58" s="1649"/>
      <c r="L58" s="1649"/>
      <c r="BU58" s="1452"/>
      <c r="BV58" s="1460"/>
      <c r="BW58" s="1460"/>
      <c r="CG58" s="1454"/>
      <c r="CH58" s="1454"/>
      <c r="CI58" s="1454"/>
      <c r="CJ58" s="1454"/>
      <c r="CK58" s="1454"/>
      <c r="CL58" s="1454"/>
      <c r="CM58" s="1454"/>
      <c r="CN58" s="1454"/>
    </row>
    <row r="59" spans="1:92" ht="31.5" customHeight="1" x14ac:dyDescent="0.2">
      <c r="A59" s="2391" t="s">
        <v>41</v>
      </c>
      <c r="B59" s="1120" t="s">
        <v>2169</v>
      </c>
      <c r="C59" s="2165" t="s">
        <v>2170</v>
      </c>
      <c r="D59" s="2166" t="s">
        <v>2171</v>
      </c>
      <c r="E59" s="2164" t="s">
        <v>2172</v>
      </c>
      <c r="F59" s="1648"/>
      <c r="G59" s="1648"/>
      <c r="H59" s="1648"/>
      <c r="I59" s="1648"/>
      <c r="J59" s="1649"/>
      <c r="K59" s="1649"/>
      <c r="L59" s="1649"/>
      <c r="BU59" s="1452"/>
      <c r="BV59" s="1460"/>
      <c r="BW59" s="1460"/>
      <c r="CG59" s="1454"/>
      <c r="CH59" s="1454"/>
      <c r="CI59" s="1454"/>
      <c r="CJ59" s="1454"/>
      <c r="CK59" s="1454"/>
      <c r="CL59" s="1454"/>
      <c r="CM59" s="1454"/>
      <c r="CN59" s="1454"/>
    </row>
    <row r="60" spans="1:92" ht="21.75" customHeight="1" x14ac:dyDescent="0.2">
      <c r="A60" s="2392" t="s">
        <v>2173</v>
      </c>
      <c r="B60" s="1877"/>
      <c r="C60" s="1987"/>
      <c r="D60" s="1835"/>
      <c r="E60" s="1985"/>
      <c r="F60" s="1648"/>
      <c r="G60" s="1648"/>
      <c r="H60" s="1648"/>
      <c r="I60" s="1648"/>
      <c r="J60" s="1649"/>
      <c r="K60" s="1649"/>
      <c r="L60" s="1649"/>
      <c r="BU60" s="1452"/>
      <c r="BV60" s="1460"/>
      <c r="BW60" s="1460"/>
      <c r="CG60" s="1454"/>
      <c r="CH60" s="1454"/>
      <c r="CI60" s="1454"/>
      <c r="CJ60" s="1454"/>
      <c r="CK60" s="1454"/>
      <c r="CL60" s="1454"/>
      <c r="CM60" s="1454"/>
      <c r="CN60" s="1454"/>
    </row>
    <row r="61" spans="1:92" ht="21.75" customHeight="1" x14ac:dyDescent="0.2">
      <c r="A61" s="2393" t="s">
        <v>2174</v>
      </c>
      <c r="B61" s="1874"/>
      <c r="C61" s="2029"/>
      <c r="D61" s="1695"/>
      <c r="E61" s="1988"/>
      <c r="F61" s="1648"/>
      <c r="G61" s="1648"/>
      <c r="H61" s="1648"/>
      <c r="I61" s="1648"/>
      <c r="J61" s="1649"/>
      <c r="K61" s="1649"/>
      <c r="L61" s="1649"/>
      <c r="BU61" s="1452"/>
      <c r="BV61" s="1460"/>
      <c r="BW61" s="1460"/>
      <c r="CG61" s="1454"/>
      <c r="CH61" s="1454"/>
      <c r="CI61" s="1454"/>
      <c r="CJ61" s="1454"/>
      <c r="CK61" s="1454"/>
      <c r="CL61" s="1454"/>
      <c r="CM61" s="1454"/>
      <c r="CN61" s="1454"/>
    </row>
    <row r="62" spans="1:92" ht="21.75" customHeight="1" x14ac:dyDescent="0.2">
      <c r="A62" s="2393" t="s">
        <v>2175</v>
      </c>
      <c r="B62" s="1874"/>
      <c r="C62" s="2029"/>
      <c r="D62" s="1695"/>
      <c r="E62" s="1988"/>
      <c r="F62" s="1648"/>
      <c r="G62" s="1648"/>
      <c r="H62" s="1648"/>
      <c r="I62" s="1648"/>
      <c r="J62" s="1649"/>
      <c r="K62" s="1649"/>
      <c r="L62" s="1649"/>
      <c r="BU62" s="1452"/>
      <c r="BV62" s="1460"/>
      <c r="BW62" s="1460"/>
      <c r="CG62" s="1454"/>
      <c r="CH62" s="1454"/>
      <c r="CI62" s="1454"/>
      <c r="CJ62" s="1454"/>
      <c r="CK62" s="1454"/>
      <c r="CL62" s="1454"/>
      <c r="CM62" s="1454"/>
      <c r="CN62" s="1454"/>
    </row>
    <row r="63" spans="1:92" ht="21.75" customHeight="1" x14ac:dyDescent="0.2">
      <c r="A63" s="2393" t="s">
        <v>2176</v>
      </c>
      <c r="B63" s="1874"/>
      <c r="C63" s="2029"/>
      <c r="D63" s="1695"/>
      <c r="E63" s="1988"/>
      <c r="F63" s="1645"/>
      <c r="G63" s="1645"/>
      <c r="H63" s="1645"/>
      <c r="I63" s="1645"/>
      <c r="J63" s="1646"/>
      <c r="K63" s="1646"/>
      <c r="L63" s="1646"/>
      <c r="BU63" s="1452"/>
      <c r="BV63" s="1460"/>
      <c r="BW63" s="1460"/>
      <c r="CG63" s="1454"/>
      <c r="CH63" s="1454"/>
      <c r="CI63" s="1454"/>
      <c r="CJ63" s="1454"/>
      <c r="CK63" s="1454"/>
      <c r="CL63" s="1454"/>
      <c r="CM63" s="1454"/>
      <c r="CN63" s="1454"/>
    </row>
    <row r="64" spans="1:92" ht="21.75" customHeight="1" x14ac:dyDescent="0.2">
      <c r="A64" s="2393" t="s">
        <v>2177</v>
      </c>
      <c r="B64" s="1874"/>
      <c r="C64" s="2029"/>
      <c r="D64" s="1695"/>
      <c r="E64" s="1988"/>
      <c r="F64" s="1645"/>
      <c r="G64" s="1645"/>
      <c r="H64" s="1645"/>
      <c r="I64" s="1645"/>
      <c r="J64" s="1646"/>
      <c r="K64" s="1646"/>
      <c r="L64" s="1646"/>
      <c r="BU64" s="1452"/>
      <c r="BV64" s="1460"/>
      <c r="BW64" s="1460"/>
      <c r="CG64" s="1454"/>
      <c r="CH64" s="1454"/>
      <c r="CI64" s="1454"/>
      <c r="CJ64" s="1454"/>
      <c r="CK64" s="1454"/>
      <c r="CL64" s="1454"/>
      <c r="CM64" s="1454"/>
      <c r="CN64" s="1454"/>
    </row>
    <row r="65" spans="1:92" ht="21.75" customHeight="1" x14ac:dyDescent="0.2">
      <c r="A65" s="2394" t="s">
        <v>2178</v>
      </c>
      <c r="B65" s="1687"/>
      <c r="C65" s="1990"/>
      <c r="D65" s="1989"/>
      <c r="E65" s="1669"/>
      <c r="F65" s="1645"/>
      <c r="G65" s="1645"/>
      <c r="H65" s="1645"/>
      <c r="I65" s="1645"/>
      <c r="J65" s="1646"/>
      <c r="K65" s="1646"/>
      <c r="L65" s="1646"/>
      <c r="BU65" s="1452"/>
      <c r="BV65" s="1460"/>
      <c r="BW65" s="1460"/>
      <c r="CG65" s="1454"/>
      <c r="CH65" s="1454"/>
      <c r="CI65" s="1454"/>
      <c r="CJ65" s="1454"/>
      <c r="CK65" s="1454"/>
      <c r="CL65" s="1454"/>
      <c r="CM65" s="1454"/>
      <c r="CN65" s="1454"/>
    </row>
    <row r="66" spans="1:92" ht="21.75" customHeight="1" x14ac:dyDescent="0.2">
      <c r="A66" s="2395" t="s">
        <v>24</v>
      </c>
      <c r="B66" s="1194">
        <f>SUM(B60:B65)</f>
        <v>0</v>
      </c>
      <c r="C66" s="1999">
        <f>SUM(C60:C65)</f>
        <v>0</v>
      </c>
      <c r="D66" s="2077">
        <f>SUM(D60:D65)</f>
        <v>0</v>
      </c>
      <c r="E66" s="2056">
        <f>SUM(E60:E65)</f>
        <v>0</v>
      </c>
      <c r="F66" s="1651"/>
      <c r="G66" s="1645"/>
      <c r="H66" s="1645"/>
      <c r="I66" s="1645"/>
      <c r="J66" s="1646"/>
      <c r="K66" s="1646"/>
      <c r="L66" s="1646"/>
      <c r="BU66" s="1452"/>
      <c r="BV66" s="1460"/>
      <c r="BW66" s="1460"/>
      <c r="CG66" s="1454"/>
      <c r="CH66" s="1454"/>
      <c r="CI66" s="1454"/>
      <c r="CJ66" s="1454"/>
      <c r="CK66" s="1454"/>
      <c r="CL66" s="1454"/>
      <c r="CM66" s="1454"/>
      <c r="CN66" s="1454"/>
    </row>
    <row r="67" spans="1:92" ht="32.1" customHeight="1" x14ac:dyDescent="0.2">
      <c r="A67" s="9736" t="s">
        <v>3795</v>
      </c>
      <c r="B67" s="9737"/>
      <c r="C67" s="9737"/>
      <c r="D67" s="9737"/>
      <c r="E67" s="9738"/>
      <c r="F67" s="1006"/>
      <c r="G67" s="1006"/>
      <c r="H67" s="1006"/>
      <c r="I67" s="1006"/>
      <c r="J67" s="974"/>
      <c r="K67" s="972"/>
      <c r="L67" s="972"/>
    </row>
    <row r="68" spans="1:92" ht="31.5" customHeight="1" x14ac:dyDescent="0.2">
      <c r="A68" s="1005" t="s">
        <v>31</v>
      </c>
      <c r="B68" s="1005" t="s">
        <v>1621</v>
      </c>
      <c r="C68" s="1005" t="s">
        <v>24</v>
      </c>
      <c r="D68" s="2043" t="s">
        <v>1620</v>
      </c>
      <c r="E68" s="2044" t="s">
        <v>1619</v>
      </c>
      <c r="F68" s="2045" t="s">
        <v>1618</v>
      </c>
      <c r="G68" s="2045" t="s">
        <v>1413</v>
      </c>
      <c r="H68" s="2045" t="s">
        <v>32</v>
      </c>
      <c r="I68" s="1004" t="s">
        <v>33</v>
      </c>
      <c r="J68" s="1003"/>
      <c r="K68" s="960"/>
      <c r="L68" s="962"/>
      <c r="M68" s="290"/>
      <c r="N68" s="290"/>
      <c r="O68" s="290"/>
      <c r="P68" s="290"/>
      <c r="Q68" s="290"/>
      <c r="R68" s="290"/>
      <c r="S68" s="290"/>
      <c r="T68" s="290"/>
      <c r="U68" s="290"/>
      <c r="V68" s="290"/>
    </row>
    <row r="69" spans="1:92" ht="20.25" customHeight="1" x14ac:dyDescent="0.2">
      <c r="A69" s="9739" t="s">
        <v>1617</v>
      </c>
      <c r="B69" s="9740"/>
      <c r="C69" s="998">
        <f>SUM(D69:I69)</f>
        <v>0</v>
      </c>
      <c r="D69" s="2046"/>
      <c r="E69" s="2047"/>
      <c r="F69" s="2047"/>
      <c r="G69" s="2047"/>
      <c r="H69" s="2047"/>
      <c r="I69" s="1002"/>
      <c r="J69" s="1381" t="str">
        <f>CA69&amp;CB69&amp;CC69&amp;CD69&amp;CE69&amp;CF69</f>
        <v/>
      </c>
      <c r="K69" s="796"/>
      <c r="L69" s="796"/>
      <c r="M69" s="796"/>
      <c r="N69" s="796"/>
      <c r="O69" s="796"/>
      <c r="P69" s="796"/>
      <c r="Q69" s="796"/>
      <c r="R69" s="796"/>
      <c r="S69" s="796"/>
      <c r="T69" s="796"/>
      <c r="U69" s="796"/>
      <c r="V69" s="290"/>
      <c r="CA69" s="1457" t="str">
        <f>IF(D70+D71&gt;D69,"* La suma del Total egresados con apoyo psicosocial Hasta 28 días deben ser menor o igual al Total de Egresos de Hasta 28 días. ","")</f>
        <v/>
      </c>
      <c r="CB69" s="1457" t="str">
        <f>IF(E70+E71&gt;E69,"* La suma del Total egresados con apoyo psicosocial de 29 dias hasta menor de 1 año deben ser menor al Total de Egresos de de 29 dias hasta menor de 1 año. ","")</f>
        <v/>
      </c>
      <c r="CC69" s="1457" t="str">
        <f>IF(F70+F71&gt;F69,"* La suma del Total egresados con apoyo psicosocial de 1 a 4 años deben ser menor al Total de Egresos de 1 a 4 años. ","")</f>
        <v/>
      </c>
      <c r="CD69" s="1457" t="str">
        <f>IF(G70+G71&gt;G69,"* La suma del Total egresados con apoyo psicosocial de 9 años deben ser menor o igual al Total de Egresos de de 5 a 9 años. ","")</f>
        <v/>
      </c>
      <c r="CE69" s="1457" t="str">
        <f>IF(H70+H71&gt;H69,"* La suma del Total egresados con apoyo psicosocial de 10 a 14 años deben ser menor al Total de Egresos de 10 a 14 años. ","")</f>
        <v/>
      </c>
      <c r="CF69" s="1457" t="str">
        <f>IF(I70+I71&gt;I69,"* La suma del Total egresados con apoyo psicosocial de 15 a 19 años deben ser menor al Total de Egresos de 15 a 19 años. ","")</f>
        <v/>
      </c>
      <c r="CG69" s="1458">
        <f t="shared" ref="CG69:CL69" si="5">IF(D70+D71&gt;D69,1,0)</f>
        <v>0</v>
      </c>
      <c r="CH69" s="1458">
        <f t="shared" si="5"/>
        <v>0</v>
      </c>
      <c r="CI69" s="1458">
        <f t="shared" si="5"/>
        <v>0</v>
      </c>
      <c r="CJ69" s="1458">
        <f t="shared" si="5"/>
        <v>0</v>
      </c>
      <c r="CK69" s="1458">
        <f t="shared" si="5"/>
        <v>0</v>
      </c>
      <c r="CL69" s="1458">
        <f t="shared" si="5"/>
        <v>0</v>
      </c>
      <c r="CM69" s="1454"/>
      <c r="CN69" s="1454"/>
    </row>
    <row r="70" spans="1:92" ht="25.5" customHeight="1" x14ac:dyDescent="0.2">
      <c r="A70" s="9741" t="s">
        <v>1616</v>
      </c>
      <c r="B70" s="1317" t="s">
        <v>2055</v>
      </c>
      <c r="C70" s="1318">
        <f>SUM(D70:I70)</f>
        <v>0</v>
      </c>
      <c r="D70" s="2048"/>
      <c r="E70" s="2049"/>
      <c r="F70" s="2049"/>
      <c r="G70" s="2049"/>
      <c r="H70" s="2049"/>
      <c r="I70" s="992"/>
      <c r="J70" s="1381" t="str">
        <f>CA70&amp;CB70&amp;CC70&amp;CD70&amp;CE70&amp;CF70</f>
        <v/>
      </c>
      <c r="K70" s="796"/>
      <c r="L70" s="796"/>
      <c r="M70" s="796"/>
      <c r="N70" s="796"/>
      <c r="O70" s="796"/>
      <c r="P70" s="796"/>
      <c r="Q70" s="796"/>
      <c r="R70" s="796"/>
      <c r="S70" s="796"/>
      <c r="T70" s="796"/>
      <c r="U70" s="796"/>
      <c r="V70" s="290"/>
      <c r="CG70" s="1454"/>
      <c r="CH70" s="1454"/>
      <c r="CI70" s="1454"/>
      <c r="CJ70" s="1454"/>
      <c r="CK70" s="1454"/>
      <c r="CL70" s="1454"/>
      <c r="CM70" s="1454"/>
      <c r="CN70" s="1454"/>
    </row>
    <row r="71" spans="1:92" ht="27.75" customHeight="1" x14ac:dyDescent="0.2">
      <c r="A71" s="9742"/>
      <c r="B71" s="1001" t="s">
        <v>2056</v>
      </c>
      <c r="C71" s="1000">
        <f>SUM(D71:I71)</f>
        <v>0</v>
      </c>
      <c r="D71" s="2050"/>
      <c r="E71" s="2051"/>
      <c r="F71" s="2051"/>
      <c r="G71" s="2051"/>
      <c r="H71" s="2051"/>
      <c r="I71" s="999"/>
      <c r="J71" s="1381" t="str">
        <f>CA71&amp;CB71&amp;CC71&amp;CD71&amp;CE71&amp;CF71</f>
        <v/>
      </c>
      <c r="K71" s="796"/>
      <c r="L71" s="796"/>
      <c r="M71" s="796"/>
      <c r="N71" s="796"/>
      <c r="O71" s="796"/>
      <c r="P71" s="796"/>
      <c r="Q71" s="796"/>
      <c r="R71" s="796"/>
      <c r="S71" s="796"/>
      <c r="T71" s="796"/>
      <c r="U71" s="796"/>
      <c r="V71" s="290"/>
      <c r="CG71" s="1454"/>
      <c r="CH71" s="1454"/>
      <c r="CI71" s="1454"/>
      <c r="CJ71" s="1454"/>
      <c r="CK71" s="1454"/>
      <c r="CL71" s="1454"/>
      <c r="CM71" s="1454"/>
      <c r="CN71" s="1454"/>
    </row>
    <row r="72" spans="1:92" ht="29.25" customHeight="1" x14ac:dyDescent="0.2">
      <c r="A72" s="9741" t="s">
        <v>1615</v>
      </c>
      <c r="B72" s="1317" t="s">
        <v>2055</v>
      </c>
      <c r="C72" s="1318">
        <f>SUM(D72:I72)</f>
        <v>0</v>
      </c>
      <c r="D72" s="2052"/>
      <c r="E72" s="2053"/>
      <c r="F72" s="2053"/>
      <c r="G72" s="2053"/>
      <c r="H72" s="2053"/>
      <c r="I72" s="997"/>
      <c r="J72" s="1381" t="str">
        <f>CA72&amp;CB72&amp;CC72&amp;CD72&amp;CE72&amp;CF72</f>
        <v/>
      </c>
      <c r="K72" s="796"/>
      <c r="L72" s="796"/>
      <c r="M72" s="796"/>
      <c r="N72" s="796"/>
      <c r="O72" s="796"/>
      <c r="P72" s="796"/>
      <c r="Q72" s="796"/>
      <c r="R72" s="796"/>
      <c r="S72" s="796"/>
      <c r="T72" s="796"/>
      <c r="U72" s="796"/>
      <c r="V72" s="290"/>
      <c r="CG72" s="1454"/>
      <c r="CH72" s="1454"/>
      <c r="CI72" s="1454"/>
      <c r="CJ72" s="1454"/>
      <c r="CK72" s="1454"/>
      <c r="CL72" s="1454"/>
      <c r="CM72" s="1454"/>
      <c r="CN72" s="1454"/>
    </row>
    <row r="73" spans="1:92" ht="24.75" customHeight="1" x14ac:dyDescent="0.2">
      <c r="A73" s="9742"/>
      <c r="B73" s="1319" t="s">
        <v>2056</v>
      </c>
      <c r="C73" s="1320">
        <f>SUM(D73:I73)</f>
        <v>0</v>
      </c>
      <c r="D73" s="2054"/>
      <c r="E73" s="2055"/>
      <c r="F73" s="2055"/>
      <c r="G73" s="2055"/>
      <c r="H73" s="2055"/>
      <c r="I73" s="996"/>
      <c r="J73" s="1381" t="str">
        <f>CA73&amp;CB73&amp;CC73&amp;CD73&amp;CE73&amp;CF73</f>
        <v/>
      </c>
      <c r="K73" s="974"/>
      <c r="L73" s="974"/>
      <c r="M73" s="974"/>
      <c r="N73" s="974"/>
      <c r="O73" s="974"/>
      <c r="P73" s="974"/>
      <c r="Q73" s="974"/>
      <c r="R73" s="974"/>
      <c r="S73" s="974"/>
      <c r="T73" s="974"/>
      <c r="U73" s="974"/>
      <c r="V73" s="974"/>
      <c r="W73" s="974"/>
      <c r="CG73" s="1454"/>
      <c r="CH73" s="1454"/>
      <c r="CI73" s="1454"/>
      <c r="CJ73" s="1454"/>
      <c r="CK73" s="1454"/>
      <c r="CL73" s="1454"/>
      <c r="CM73" s="1454"/>
      <c r="CN73" s="1454"/>
    </row>
    <row r="74" spans="1:92" ht="32.1" customHeight="1" x14ac:dyDescent="0.2">
      <c r="A74" s="1518" t="s">
        <v>3796</v>
      </c>
      <c r="B74" s="1519"/>
      <c r="C74" s="1519"/>
      <c r="D74" s="972"/>
      <c r="E74" s="972"/>
      <c r="F74" s="972"/>
      <c r="G74" s="972"/>
      <c r="H74" s="995"/>
      <c r="I74" s="995"/>
      <c r="J74" s="974"/>
      <c r="K74" s="972"/>
      <c r="L74" s="972"/>
      <c r="M74" s="1514"/>
      <c r="CG74" s="1454"/>
      <c r="CH74" s="1454"/>
      <c r="CI74" s="1454"/>
      <c r="CJ74" s="1454"/>
      <c r="CK74" s="1454"/>
      <c r="CL74" s="1454"/>
      <c r="CM74" s="1454"/>
      <c r="CN74" s="1454"/>
    </row>
    <row r="75" spans="1:92" ht="15.75" customHeight="1" x14ac:dyDescent="0.2">
      <c r="A75" s="9744" t="s">
        <v>1165</v>
      </c>
      <c r="B75" s="9747" t="s">
        <v>1614</v>
      </c>
      <c r="C75" s="9744"/>
      <c r="D75" s="9747" t="s">
        <v>1613</v>
      </c>
      <c r="E75" s="9744"/>
      <c r="F75" s="9749" t="s">
        <v>1612</v>
      </c>
      <c r="G75" s="9750"/>
      <c r="H75" s="9750"/>
      <c r="I75" s="9751"/>
      <c r="J75" s="973"/>
      <c r="K75" s="972"/>
      <c r="L75" s="972"/>
      <c r="M75" s="1514"/>
      <c r="CG75" s="1454"/>
      <c r="CH75" s="1454"/>
      <c r="CI75" s="1454"/>
      <c r="CJ75" s="1454"/>
      <c r="CK75" s="1454"/>
      <c r="CL75" s="1454"/>
      <c r="CM75" s="1454"/>
      <c r="CN75" s="1454"/>
    </row>
    <row r="76" spans="1:92" ht="18.75" customHeight="1" x14ac:dyDescent="0.2">
      <c r="A76" s="9745"/>
      <c r="B76" s="9748"/>
      <c r="C76" s="9746"/>
      <c r="D76" s="9748"/>
      <c r="E76" s="9746"/>
      <c r="F76" s="9749" t="s">
        <v>1611</v>
      </c>
      <c r="G76" s="9751"/>
      <c r="H76" s="9749" t="s">
        <v>1610</v>
      </c>
      <c r="I76" s="9751"/>
      <c r="J76" s="1520"/>
      <c r="K76" s="972"/>
      <c r="L76" s="972"/>
      <c r="M76" s="1514"/>
      <c r="CG76" s="1454"/>
      <c r="CH76" s="1454"/>
      <c r="CI76" s="1454"/>
      <c r="CJ76" s="1454"/>
      <c r="CK76" s="1454"/>
      <c r="CL76" s="1454"/>
      <c r="CM76" s="1454"/>
      <c r="CN76" s="1454"/>
    </row>
    <row r="77" spans="1:92" ht="30" customHeight="1" x14ac:dyDescent="0.2">
      <c r="A77" s="9746"/>
      <c r="B77" s="983" t="s">
        <v>1603</v>
      </c>
      <c r="C77" s="2199" t="s">
        <v>1602</v>
      </c>
      <c r="D77" s="983" t="s">
        <v>1603</v>
      </c>
      <c r="E77" s="2200" t="s">
        <v>1602</v>
      </c>
      <c r="F77" s="983" t="s">
        <v>1603</v>
      </c>
      <c r="G77" s="2199" t="s">
        <v>1602</v>
      </c>
      <c r="H77" s="983" t="s">
        <v>1603</v>
      </c>
      <c r="I77" s="2200" t="s">
        <v>1602</v>
      </c>
      <c r="J77" s="1520"/>
      <c r="K77" s="972"/>
      <c r="L77" s="972"/>
      <c r="M77" s="1514"/>
      <c r="CG77" s="1454"/>
      <c r="CH77" s="1454"/>
      <c r="CI77" s="1454"/>
      <c r="CJ77" s="1454"/>
      <c r="CK77" s="1454"/>
      <c r="CL77" s="1454"/>
      <c r="CM77" s="1454"/>
      <c r="CN77" s="1454"/>
    </row>
    <row r="78" spans="1:92" ht="15.75" customHeight="1" x14ac:dyDescent="0.2">
      <c r="A78" s="994" t="s">
        <v>993</v>
      </c>
      <c r="B78" s="993"/>
      <c r="C78" s="992"/>
      <c r="D78" s="993"/>
      <c r="E78" s="992"/>
      <c r="F78" s="979"/>
      <c r="G78" s="991"/>
      <c r="H78" s="979"/>
      <c r="I78" s="991"/>
      <c r="J78" s="1381" t="str">
        <f>CA78</f>
        <v/>
      </c>
      <c r="K78" s="972"/>
      <c r="L78" s="972"/>
      <c r="M78" s="1514"/>
      <c r="CA78" s="1457" t="str">
        <f>IF(CG78=1," * La suma de los Pacientes Intervenidos debe ser mayor o igual a la Suma de Pacientes Programados menos la Suma de Pacientes Suspendidos. ","")</f>
        <v/>
      </c>
      <c r="CG78" s="1458">
        <f>IF(((F78+G78)-(H78+I78))&gt;(D78+E78),1,0)</f>
        <v>0</v>
      </c>
      <c r="CH78" s="1454"/>
      <c r="CI78" s="1454"/>
      <c r="CJ78" s="1454"/>
      <c r="CK78" s="1454"/>
      <c r="CL78" s="1454"/>
      <c r="CM78" s="1454"/>
      <c r="CN78" s="1454"/>
    </row>
    <row r="79" spans="1:92" ht="15.75" customHeight="1" x14ac:dyDescent="0.2">
      <c r="A79" s="971" t="s">
        <v>34</v>
      </c>
      <c r="B79" s="989"/>
      <c r="C79" s="988"/>
      <c r="D79" s="989"/>
      <c r="E79" s="988"/>
      <c r="F79" s="966"/>
      <c r="G79" s="987"/>
      <c r="H79" s="966"/>
      <c r="I79" s="987"/>
      <c r="J79" s="1381" t="str">
        <f t="shared" ref="J79:J89" si="6">CA79</f>
        <v/>
      </c>
      <c r="K79" s="972"/>
      <c r="L79" s="972"/>
      <c r="M79" s="1514"/>
      <c r="CA79" s="1457" t="str">
        <f t="shared" ref="CA79:CA88" si="7">IF(CG79=1," * La suma de los Pacientes Intervenidos debe ser mayor o igual a la Suma de Pacientes Programados menos la Suma de Pacientes Suspendidos. ","")</f>
        <v/>
      </c>
      <c r="CG79" s="1458">
        <f t="shared" ref="CG79:CG89" si="8">IF(((F79+G79)-(H79+I79))&gt;(D79+E79),1,0)</f>
        <v>0</v>
      </c>
      <c r="CH79" s="1454"/>
      <c r="CI79" s="1454"/>
      <c r="CJ79" s="1454"/>
      <c r="CK79" s="1454"/>
      <c r="CL79" s="1454"/>
      <c r="CM79" s="1454"/>
      <c r="CN79" s="1454"/>
    </row>
    <row r="80" spans="1:92" ht="15.75" customHeight="1" x14ac:dyDescent="0.2">
      <c r="A80" s="971" t="s">
        <v>1609</v>
      </c>
      <c r="B80" s="989"/>
      <c r="C80" s="988"/>
      <c r="D80" s="989"/>
      <c r="E80" s="988"/>
      <c r="F80" s="966"/>
      <c r="G80" s="987"/>
      <c r="H80" s="966"/>
      <c r="I80" s="987"/>
      <c r="J80" s="1381" t="str">
        <f t="shared" si="6"/>
        <v/>
      </c>
      <c r="K80" s="972"/>
      <c r="L80" s="972"/>
      <c r="M80" s="1514"/>
      <c r="CA80" s="1457" t="str">
        <f t="shared" si="7"/>
        <v/>
      </c>
      <c r="CG80" s="1458">
        <f t="shared" si="8"/>
        <v>0</v>
      </c>
      <c r="CH80" s="1454"/>
      <c r="CI80" s="1454"/>
      <c r="CJ80" s="1454"/>
      <c r="CK80" s="1454"/>
      <c r="CL80" s="1454"/>
      <c r="CM80" s="1454"/>
      <c r="CN80" s="1454"/>
    </row>
    <row r="81" spans="1:92" ht="15.75" customHeight="1" x14ac:dyDescent="0.2">
      <c r="A81" s="971" t="s">
        <v>35</v>
      </c>
      <c r="B81" s="989"/>
      <c r="C81" s="988"/>
      <c r="D81" s="989"/>
      <c r="E81" s="988"/>
      <c r="F81" s="966"/>
      <c r="G81" s="987"/>
      <c r="H81" s="966"/>
      <c r="I81" s="987"/>
      <c r="J81" s="1381" t="str">
        <f t="shared" si="6"/>
        <v/>
      </c>
      <c r="K81" s="972"/>
      <c r="L81" s="972"/>
      <c r="M81" s="1514"/>
      <c r="CA81" s="1457" t="str">
        <f t="shared" si="7"/>
        <v/>
      </c>
      <c r="CG81" s="1458">
        <f t="shared" si="8"/>
        <v>0</v>
      </c>
      <c r="CH81" s="1454"/>
      <c r="CI81" s="1454"/>
      <c r="CJ81" s="1454"/>
      <c r="CK81" s="1454"/>
      <c r="CL81" s="1454"/>
      <c r="CM81" s="1454"/>
      <c r="CN81" s="1454"/>
    </row>
    <row r="82" spans="1:92" ht="15.75" customHeight="1" x14ac:dyDescent="0.2">
      <c r="A82" s="971" t="s">
        <v>1608</v>
      </c>
      <c r="B82" s="989"/>
      <c r="C82" s="988"/>
      <c r="D82" s="989"/>
      <c r="E82" s="988"/>
      <c r="F82" s="966"/>
      <c r="G82" s="987"/>
      <c r="H82" s="966"/>
      <c r="I82" s="987"/>
      <c r="J82" s="1381" t="str">
        <f t="shared" si="6"/>
        <v/>
      </c>
      <c r="K82" s="972"/>
      <c r="L82" s="972"/>
      <c r="M82" s="1514"/>
      <c r="CA82" s="1457" t="str">
        <f t="shared" si="7"/>
        <v/>
      </c>
      <c r="CG82" s="1458">
        <f t="shared" si="8"/>
        <v>0</v>
      </c>
      <c r="CH82" s="1454"/>
      <c r="CI82" s="1454"/>
      <c r="CJ82" s="1454"/>
      <c r="CK82" s="1454"/>
      <c r="CL82" s="1454"/>
      <c r="CM82" s="1454"/>
      <c r="CN82" s="1454"/>
    </row>
    <row r="83" spans="1:92" ht="15.75" customHeight="1" x14ac:dyDescent="0.2">
      <c r="A83" s="971" t="s">
        <v>36</v>
      </c>
      <c r="B83" s="989"/>
      <c r="C83" s="988"/>
      <c r="D83" s="989"/>
      <c r="E83" s="988"/>
      <c r="F83" s="966"/>
      <c r="G83" s="987"/>
      <c r="H83" s="966"/>
      <c r="I83" s="987"/>
      <c r="J83" s="1381" t="str">
        <f t="shared" si="6"/>
        <v/>
      </c>
      <c r="K83" s="972"/>
      <c r="L83" s="972"/>
      <c r="M83" s="1514"/>
      <c r="CA83" s="1457" t="str">
        <f t="shared" si="7"/>
        <v/>
      </c>
      <c r="CG83" s="1458">
        <f t="shared" si="8"/>
        <v>0</v>
      </c>
      <c r="CH83" s="1454"/>
      <c r="CI83" s="1454"/>
      <c r="CJ83" s="1454"/>
      <c r="CK83" s="1454"/>
      <c r="CL83" s="1454"/>
      <c r="CM83" s="1454"/>
      <c r="CN83" s="1454"/>
    </row>
    <row r="84" spans="1:92" ht="15.75" customHeight="1" x14ac:dyDescent="0.2">
      <c r="A84" s="971" t="s">
        <v>37</v>
      </c>
      <c r="B84" s="989"/>
      <c r="C84" s="988"/>
      <c r="D84" s="989"/>
      <c r="E84" s="988"/>
      <c r="F84" s="966"/>
      <c r="G84" s="987"/>
      <c r="H84" s="966"/>
      <c r="I84" s="987"/>
      <c r="J84" s="1381" t="str">
        <f t="shared" si="6"/>
        <v/>
      </c>
      <c r="K84" s="972"/>
      <c r="L84" s="972"/>
      <c r="M84" s="1514"/>
      <c r="CA84" s="1457" t="str">
        <f t="shared" si="7"/>
        <v/>
      </c>
      <c r="CG84" s="1458">
        <f t="shared" si="8"/>
        <v>0</v>
      </c>
      <c r="CH84" s="1454"/>
      <c r="CI84" s="1454"/>
      <c r="CJ84" s="1454"/>
      <c r="CK84" s="1454"/>
      <c r="CL84" s="1454"/>
      <c r="CM84" s="1454"/>
      <c r="CN84" s="1454"/>
    </row>
    <row r="85" spans="1:92" ht="15.75" customHeight="1" x14ac:dyDescent="0.2">
      <c r="A85" s="971" t="s">
        <v>38</v>
      </c>
      <c r="B85" s="989"/>
      <c r="C85" s="988"/>
      <c r="D85" s="989"/>
      <c r="E85" s="988"/>
      <c r="F85" s="966"/>
      <c r="G85" s="987"/>
      <c r="H85" s="966"/>
      <c r="I85" s="987"/>
      <c r="J85" s="1381" t="str">
        <f t="shared" si="6"/>
        <v/>
      </c>
      <c r="K85" s="972"/>
      <c r="L85" s="972"/>
      <c r="M85" s="1514"/>
      <c r="CA85" s="1457" t="str">
        <f t="shared" si="7"/>
        <v/>
      </c>
      <c r="CG85" s="1458">
        <f t="shared" si="8"/>
        <v>0</v>
      </c>
      <c r="CH85" s="1454"/>
      <c r="CI85" s="1454"/>
      <c r="CJ85" s="1454"/>
      <c r="CK85" s="1454"/>
      <c r="CL85" s="1454"/>
      <c r="CM85" s="1454"/>
      <c r="CN85" s="1454"/>
    </row>
    <row r="86" spans="1:92" ht="15.75" customHeight="1" x14ac:dyDescent="0.2">
      <c r="A86" s="971" t="s">
        <v>999</v>
      </c>
      <c r="B86" s="989"/>
      <c r="C86" s="988"/>
      <c r="D86" s="989"/>
      <c r="E86" s="988"/>
      <c r="F86" s="966"/>
      <c r="G86" s="987"/>
      <c r="H86" s="966"/>
      <c r="I86" s="987"/>
      <c r="J86" s="1381" t="str">
        <f t="shared" si="6"/>
        <v/>
      </c>
      <c r="K86" s="972"/>
      <c r="L86" s="972"/>
      <c r="M86" s="1514"/>
      <c r="CA86" s="1457" t="str">
        <f t="shared" si="7"/>
        <v/>
      </c>
      <c r="CG86" s="1458">
        <f t="shared" si="8"/>
        <v>0</v>
      </c>
      <c r="CH86" s="1454"/>
      <c r="CI86" s="1454"/>
      <c r="CJ86" s="1454"/>
      <c r="CK86" s="1454"/>
      <c r="CL86" s="1454"/>
      <c r="CM86" s="1454"/>
      <c r="CN86" s="1454"/>
    </row>
    <row r="87" spans="1:92" ht="15.75" customHeight="1" x14ac:dyDescent="0.2">
      <c r="A87" s="971" t="s">
        <v>1607</v>
      </c>
      <c r="B87" s="989"/>
      <c r="C87" s="988"/>
      <c r="D87" s="989"/>
      <c r="E87" s="988"/>
      <c r="F87" s="966"/>
      <c r="G87" s="987"/>
      <c r="H87" s="990"/>
      <c r="I87" s="987"/>
      <c r="J87" s="1381" t="str">
        <f t="shared" si="6"/>
        <v/>
      </c>
      <c r="K87" s="972"/>
      <c r="L87" s="972"/>
      <c r="M87" s="1514"/>
      <c r="CA87" s="1457" t="str">
        <f t="shared" si="7"/>
        <v/>
      </c>
      <c r="CG87" s="1458">
        <f t="shared" si="8"/>
        <v>0</v>
      </c>
      <c r="CH87" s="1454"/>
      <c r="CI87" s="1454"/>
      <c r="CJ87" s="1454"/>
      <c r="CK87" s="1454"/>
      <c r="CL87" s="1454"/>
      <c r="CM87" s="1454"/>
      <c r="CN87" s="1454"/>
    </row>
    <row r="88" spans="1:92" ht="15.75" customHeight="1" x14ac:dyDescent="0.2">
      <c r="A88" s="971" t="s">
        <v>995</v>
      </c>
      <c r="B88" s="989"/>
      <c r="C88" s="988"/>
      <c r="D88" s="989"/>
      <c r="E88" s="988"/>
      <c r="F88" s="966"/>
      <c r="G88" s="987"/>
      <c r="H88" s="966"/>
      <c r="I88" s="987"/>
      <c r="J88" s="1381" t="str">
        <f t="shared" si="6"/>
        <v/>
      </c>
      <c r="K88" s="972"/>
      <c r="L88" s="972"/>
      <c r="M88" s="973"/>
      <c r="N88" s="972"/>
      <c r="O88" s="972"/>
      <c r="P88" s="1514"/>
      <c r="BX88" s="165"/>
      <c r="BY88" s="165"/>
      <c r="BZ88" s="165"/>
      <c r="CA88" s="1457" t="str">
        <f t="shared" si="7"/>
        <v/>
      </c>
      <c r="CG88" s="1458">
        <f t="shared" si="8"/>
        <v>0</v>
      </c>
      <c r="CH88" s="1454"/>
      <c r="CI88" s="1454"/>
      <c r="CJ88" s="1454"/>
      <c r="CK88" s="1454"/>
      <c r="CL88" s="1454"/>
      <c r="CM88" s="1454"/>
      <c r="CN88" s="1454"/>
    </row>
    <row r="89" spans="1:92" ht="15.75" customHeight="1" x14ac:dyDescent="0.2">
      <c r="A89" s="971" t="s">
        <v>1606</v>
      </c>
      <c r="B89" s="989"/>
      <c r="C89" s="988"/>
      <c r="D89" s="989"/>
      <c r="E89" s="988"/>
      <c r="F89" s="966"/>
      <c r="G89" s="987"/>
      <c r="H89" s="966"/>
      <c r="I89" s="987"/>
      <c r="J89" s="1381" t="str">
        <f t="shared" si="6"/>
        <v/>
      </c>
      <c r="K89" s="972"/>
      <c r="L89" s="972"/>
      <c r="M89" s="973"/>
      <c r="N89" s="972"/>
      <c r="O89" s="972"/>
      <c r="P89" s="1514"/>
      <c r="BX89" s="165"/>
      <c r="BY89" s="165"/>
      <c r="BZ89" s="165"/>
      <c r="CA89" s="1457" t="str">
        <f>IF(CG89=1," * La suma de los Pacientes Intervenidos debe ser mayor o igual a la Suma de Pacientes Programados menos la Suma de Pacientes Suspendidos. ","")</f>
        <v/>
      </c>
      <c r="CG89" s="1458">
        <f t="shared" si="8"/>
        <v>0</v>
      </c>
      <c r="CH89" s="1454"/>
      <c r="CI89" s="1454"/>
      <c r="CJ89" s="1454"/>
      <c r="CK89" s="1454"/>
      <c r="CL89" s="1454"/>
      <c r="CM89" s="1454"/>
      <c r="CN89" s="1454"/>
    </row>
    <row r="90" spans="1:92" ht="15.75" customHeight="1" x14ac:dyDescent="0.2">
      <c r="A90" s="971" t="s">
        <v>2573</v>
      </c>
      <c r="B90" s="989"/>
      <c r="C90" s="988"/>
      <c r="D90" s="989"/>
      <c r="E90" s="988"/>
      <c r="F90" s="966"/>
      <c r="G90" s="987"/>
      <c r="H90" s="966"/>
      <c r="I90" s="987"/>
      <c r="J90" s="1381"/>
      <c r="K90" s="1649"/>
      <c r="L90" s="1649"/>
      <c r="M90" s="3567"/>
      <c r="N90" s="1017"/>
      <c r="O90" s="1017"/>
      <c r="BX90" s="165"/>
      <c r="BY90" s="165"/>
      <c r="BZ90" s="165"/>
      <c r="CA90" s="1457"/>
      <c r="CG90" s="1458"/>
      <c r="CH90" s="1454"/>
      <c r="CI90" s="1454"/>
      <c r="CJ90" s="1454"/>
      <c r="CK90" s="1454"/>
      <c r="CL90" s="1454"/>
      <c r="CM90" s="1454"/>
      <c r="CN90" s="1454"/>
    </row>
    <row r="91" spans="1:92" ht="15.75" customHeight="1" x14ac:dyDescent="0.2">
      <c r="A91" s="986" t="s">
        <v>24</v>
      </c>
      <c r="B91" s="985">
        <f t="shared" ref="B91:I91" si="9">SUM(B78:B90)</f>
        <v>0</v>
      </c>
      <c r="C91" s="985">
        <f t="shared" si="9"/>
        <v>0</v>
      </c>
      <c r="D91" s="985">
        <f t="shared" si="9"/>
        <v>0</v>
      </c>
      <c r="E91" s="985">
        <f t="shared" si="9"/>
        <v>0</v>
      </c>
      <c r="F91" s="985">
        <f t="shared" si="9"/>
        <v>0</v>
      </c>
      <c r="G91" s="985">
        <f t="shared" si="9"/>
        <v>0</v>
      </c>
      <c r="H91" s="985">
        <f t="shared" si="9"/>
        <v>0</v>
      </c>
      <c r="I91" s="7434">
        <f t="shared" si="9"/>
        <v>0</v>
      </c>
      <c r="J91" s="7433"/>
      <c r="K91" s="972"/>
      <c r="L91" s="972"/>
      <c r="M91" s="1514"/>
      <c r="CG91" s="1454"/>
      <c r="CH91" s="1454"/>
      <c r="CI91" s="1454"/>
      <c r="CJ91" s="1454"/>
      <c r="CK91" s="1454"/>
      <c r="CL91" s="1454"/>
      <c r="CM91" s="1454"/>
      <c r="CN91" s="1454"/>
    </row>
    <row r="92" spans="1:92" ht="32.1" customHeight="1" x14ac:dyDescent="0.2">
      <c r="A92" s="9743" t="s">
        <v>3797</v>
      </c>
      <c r="B92" s="9743"/>
      <c r="C92" s="9743"/>
      <c r="D92" s="9743"/>
      <c r="E92" s="9743"/>
      <c r="F92" s="9743"/>
      <c r="G92" s="9743"/>
      <c r="H92" s="984"/>
      <c r="I92" s="984"/>
      <c r="J92" s="973"/>
      <c r="K92" s="972"/>
      <c r="L92" s="972"/>
      <c r="M92" s="1514"/>
      <c r="CG92" s="1454"/>
      <c r="CH92" s="1454"/>
      <c r="CI92" s="1454"/>
      <c r="CJ92" s="1454"/>
      <c r="CK92" s="1454"/>
      <c r="CL92" s="1454"/>
      <c r="CM92" s="1454"/>
      <c r="CN92" s="1454"/>
    </row>
    <row r="93" spans="1:92" ht="24" customHeight="1" x14ac:dyDescent="0.2">
      <c r="A93" s="9752" t="s">
        <v>1605</v>
      </c>
      <c r="B93" s="9749" t="s">
        <v>1604</v>
      </c>
      <c r="C93" s="9750"/>
      <c r="D93" s="9750"/>
      <c r="E93" s="9750"/>
      <c r="F93" s="9750"/>
      <c r="G93" s="9751"/>
      <c r="H93" s="974"/>
      <c r="I93" s="973"/>
      <c r="J93" s="972"/>
      <c r="K93" s="972"/>
      <c r="L93" s="1514"/>
      <c r="CG93" s="1454"/>
      <c r="CH93" s="1454"/>
      <c r="CI93" s="1454"/>
      <c r="CJ93" s="1454"/>
      <c r="CK93" s="1454"/>
      <c r="CL93" s="1454"/>
      <c r="CM93" s="1454"/>
      <c r="CN93" s="1454"/>
    </row>
    <row r="94" spans="1:92" ht="31.5" customHeight="1" x14ac:dyDescent="0.2">
      <c r="A94" s="9753"/>
      <c r="B94" s="2209" t="s">
        <v>927</v>
      </c>
      <c r="C94" s="983" t="s">
        <v>1603</v>
      </c>
      <c r="D94" s="2203" t="s">
        <v>1602</v>
      </c>
      <c r="E94" s="982" t="s">
        <v>1601</v>
      </c>
      <c r="F94" s="981" t="s">
        <v>1600</v>
      </c>
      <c r="G94" s="981" t="s">
        <v>135</v>
      </c>
      <c r="H94" s="974"/>
      <c r="I94" s="974"/>
      <c r="J94" s="973"/>
      <c r="K94" s="972"/>
      <c r="L94" s="972"/>
      <c r="M94" s="1514"/>
      <c r="CG94" s="1454"/>
      <c r="CH94" s="1454"/>
      <c r="CI94" s="1454"/>
      <c r="CJ94" s="1454"/>
      <c r="CK94" s="1454"/>
      <c r="CL94" s="1454"/>
      <c r="CM94" s="1454"/>
      <c r="CN94" s="1454"/>
    </row>
    <row r="95" spans="1:92" ht="16.5" customHeight="1" x14ac:dyDescent="0.2">
      <c r="A95" s="994" t="s">
        <v>1599</v>
      </c>
      <c r="B95" s="980">
        <f t="shared" ref="B95:B101" si="10">SUM(C95+D95)</f>
        <v>0</v>
      </c>
      <c r="C95" s="979"/>
      <c r="D95" s="978"/>
      <c r="E95" s="977"/>
      <c r="F95" s="976"/>
      <c r="G95" s="976"/>
      <c r="H95" s="1381" t="str">
        <f>CA95</f>
        <v/>
      </c>
      <c r="I95" s="974"/>
      <c r="J95" s="973"/>
      <c r="K95" s="972"/>
      <c r="L95" s="972"/>
      <c r="M95" s="1514"/>
      <c r="CA95" s="1457" t="str">
        <f>IF(CH95=1," * La suma de los Beneficiarios MAI, MLE y Otros debe seri igual al Total. ","")</f>
        <v/>
      </c>
      <c r="CB95" s="1457"/>
      <c r="CG95" s="1458"/>
      <c r="CH95" s="1458">
        <f t="shared" ref="CH95:CH101" si="11">IF(B95&lt;&gt;(E95+F95+G95),1,0)</f>
        <v>0</v>
      </c>
      <c r="CI95" s="1454"/>
      <c r="CJ95" s="1454"/>
      <c r="CK95" s="1454"/>
      <c r="CL95" s="1454"/>
      <c r="CM95" s="1454"/>
      <c r="CN95" s="1454"/>
    </row>
    <row r="96" spans="1:92" ht="16.5" customHeight="1" x14ac:dyDescent="0.2">
      <c r="A96" s="975" t="s">
        <v>1598</v>
      </c>
      <c r="B96" s="970">
        <f t="shared" si="10"/>
        <v>0</v>
      </c>
      <c r="C96" s="966"/>
      <c r="D96" s="965"/>
      <c r="E96" s="964"/>
      <c r="F96" s="969"/>
      <c r="G96" s="969"/>
      <c r="H96" s="1381" t="str">
        <f t="shared" ref="H96:H102" si="12">CA96</f>
        <v/>
      </c>
      <c r="I96" s="974"/>
      <c r="J96" s="973"/>
      <c r="K96" s="972"/>
      <c r="L96" s="972"/>
      <c r="M96" s="1514"/>
      <c r="CA96" s="1457" t="str">
        <f t="shared" ref="CA96:CA101" si="13">IF(CH96=1," * La suma de los Beneficiarios MAI, MLE y Otros debe seri igual al Total. ","")</f>
        <v/>
      </c>
      <c r="CB96" s="1457"/>
      <c r="CG96" s="1454"/>
      <c r="CH96" s="1458">
        <f t="shared" si="11"/>
        <v>0</v>
      </c>
      <c r="CI96" s="1454"/>
      <c r="CJ96" s="1454"/>
      <c r="CK96" s="1454"/>
      <c r="CL96" s="1454"/>
      <c r="CM96" s="1454"/>
      <c r="CN96" s="1454"/>
    </row>
    <row r="97" spans="1:92" ht="16.5" customHeight="1" x14ac:dyDescent="0.2">
      <c r="A97" s="971" t="s">
        <v>1597</v>
      </c>
      <c r="B97" s="970">
        <f t="shared" si="10"/>
        <v>0</v>
      </c>
      <c r="C97" s="966"/>
      <c r="D97" s="965"/>
      <c r="E97" s="964"/>
      <c r="F97" s="969"/>
      <c r="G97" s="969"/>
      <c r="H97" s="1381" t="str">
        <f t="shared" si="12"/>
        <v/>
      </c>
      <c r="I97" s="974"/>
      <c r="J97" s="973"/>
      <c r="K97" s="972"/>
      <c r="L97" s="972"/>
      <c r="M97" s="1514"/>
      <c r="CA97" s="1457" t="str">
        <f t="shared" si="13"/>
        <v/>
      </c>
      <c r="CB97" s="1457"/>
      <c r="CG97" s="1454"/>
      <c r="CH97" s="1458">
        <f t="shared" si="11"/>
        <v>0</v>
      </c>
      <c r="CI97" s="1454"/>
      <c r="CJ97" s="1454"/>
      <c r="CK97" s="1454"/>
      <c r="CL97" s="1454"/>
      <c r="CM97" s="1454"/>
      <c r="CN97" s="1454"/>
    </row>
    <row r="98" spans="1:92" ht="16.5" customHeight="1" x14ac:dyDescent="0.2">
      <c r="A98" s="971" t="s">
        <v>1596</v>
      </c>
      <c r="B98" s="970">
        <f t="shared" si="10"/>
        <v>0</v>
      </c>
      <c r="C98" s="966"/>
      <c r="D98" s="965"/>
      <c r="E98" s="964"/>
      <c r="F98" s="969"/>
      <c r="G98" s="969"/>
      <c r="H98" s="1381" t="str">
        <f t="shared" si="12"/>
        <v/>
      </c>
      <c r="I98" s="974"/>
      <c r="J98" s="973"/>
      <c r="K98" s="972"/>
      <c r="L98" s="972"/>
      <c r="M98" s="1514"/>
      <c r="CA98" s="1457" t="str">
        <f t="shared" si="13"/>
        <v/>
      </c>
      <c r="CB98" s="1457"/>
      <c r="CG98" s="1454"/>
      <c r="CH98" s="1458">
        <f t="shared" si="11"/>
        <v>0</v>
      </c>
      <c r="CI98" s="1454"/>
      <c r="CJ98" s="1454"/>
      <c r="CK98" s="1454"/>
      <c r="CL98" s="1454"/>
      <c r="CM98" s="1454"/>
      <c r="CN98" s="1454"/>
    </row>
    <row r="99" spans="1:92" ht="16.5" customHeight="1" x14ac:dyDescent="0.2">
      <c r="A99" s="971" t="s">
        <v>1595</v>
      </c>
      <c r="B99" s="970">
        <f t="shared" si="10"/>
        <v>0</v>
      </c>
      <c r="C99" s="966"/>
      <c r="D99" s="965"/>
      <c r="E99" s="964"/>
      <c r="F99" s="969"/>
      <c r="G99" s="969"/>
      <c r="H99" s="1381" t="str">
        <f t="shared" si="12"/>
        <v/>
      </c>
      <c r="I99" s="962"/>
      <c r="J99" s="961"/>
      <c r="K99" s="960"/>
      <c r="L99" s="960"/>
      <c r="M99" s="1521"/>
      <c r="N99" s="290"/>
      <c r="O99" s="290"/>
      <c r="P99" s="290"/>
      <c r="Q99" s="290"/>
      <c r="R99" s="290"/>
      <c r="S99" s="290"/>
      <c r="CA99" s="1457" t="str">
        <f t="shared" si="13"/>
        <v/>
      </c>
      <c r="CB99" s="1457"/>
      <c r="CG99" s="1454"/>
      <c r="CH99" s="1458">
        <f t="shared" si="11"/>
        <v>0</v>
      </c>
      <c r="CI99" s="1454"/>
      <c r="CJ99" s="1454"/>
      <c r="CK99" s="1454"/>
      <c r="CL99" s="1454"/>
      <c r="CM99" s="1454"/>
      <c r="CN99" s="1454"/>
    </row>
    <row r="100" spans="1:92" ht="16.5" customHeight="1" x14ac:dyDescent="0.2">
      <c r="A100" s="1693" t="s">
        <v>1594</v>
      </c>
      <c r="B100" s="970">
        <f t="shared" si="10"/>
        <v>0</v>
      </c>
      <c r="C100" s="966"/>
      <c r="D100" s="965"/>
      <c r="E100" s="964"/>
      <c r="F100" s="969"/>
      <c r="G100" s="969"/>
      <c r="H100" s="1381" t="str">
        <f t="shared" si="12"/>
        <v/>
      </c>
      <c r="I100" s="962"/>
      <c r="J100" s="961"/>
      <c r="K100" s="960"/>
      <c r="L100" s="960"/>
      <c r="M100" s="1521"/>
      <c r="N100" s="290"/>
      <c r="O100" s="290"/>
      <c r="P100" s="290"/>
      <c r="Q100" s="290"/>
      <c r="R100" s="290"/>
      <c r="S100" s="290"/>
      <c r="CA100" s="1457" t="str">
        <f t="shared" si="13"/>
        <v/>
      </c>
      <c r="CB100" s="1457"/>
      <c r="CG100" s="1454"/>
      <c r="CH100" s="1458">
        <f t="shared" si="11"/>
        <v>0</v>
      </c>
      <c r="CI100" s="1454"/>
      <c r="CJ100" s="1454"/>
      <c r="CK100" s="1454"/>
      <c r="CL100" s="1454"/>
      <c r="CM100" s="1454"/>
      <c r="CN100" s="1454"/>
    </row>
    <row r="101" spans="1:92" ht="16.5" customHeight="1" x14ac:dyDescent="0.2">
      <c r="A101" s="968" t="s">
        <v>1593</v>
      </c>
      <c r="B101" s="967">
        <f t="shared" si="10"/>
        <v>0</v>
      </c>
      <c r="C101" s="966"/>
      <c r="D101" s="965"/>
      <c r="E101" s="964"/>
      <c r="F101" s="963"/>
      <c r="G101" s="963"/>
      <c r="H101" s="1381" t="str">
        <f t="shared" si="12"/>
        <v/>
      </c>
      <c r="I101" s="962"/>
      <c r="J101" s="961"/>
      <c r="K101" s="960"/>
      <c r="L101" s="960"/>
      <c r="M101" s="1521"/>
      <c r="N101" s="290"/>
      <c r="O101" s="290"/>
      <c r="P101" s="290"/>
      <c r="Q101" s="290"/>
      <c r="R101" s="290"/>
      <c r="S101" s="290"/>
      <c r="CA101" s="1457" t="str">
        <f t="shared" si="13"/>
        <v/>
      </c>
      <c r="CB101" s="1457"/>
      <c r="CG101" s="1454"/>
      <c r="CH101" s="1458">
        <f t="shared" si="11"/>
        <v>0</v>
      </c>
      <c r="CI101" s="1454"/>
      <c r="CJ101" s="1454"/>
      <c r="CK101" s="1454"/>
      <c r="CL101" s="1454"/>
      <c r="CM101" s="1454"/>
      <c r="CN101" s="1454"/>
    </row>
    <row r="102" spans="1:92" ht="16.5" customHeight="1" x14ac:dyDescent="0.2">
      <c r="A102" s="959" t="s">
        <v>24</v>
      </c>
      <c r="B102" s="958">
        <f t="shared" ref="B102:G102" si="14">SUM(B95:B101)</f>
        <v>0</v>
      </c>
      <c r="C102" s="957">
        <f t="shared" si="14"/>
        <v>0</v>
      </c>
      <c r="D102" s="956">
        <f t="shared" si="14"/>
        <v>0</v>
      </c>
      <c r="E102" s="955">
        <f t="shared" si="14"/>
        <v>0</v>
      </c>
      <c r="F102" s="954">
        <f t="shared" si="14"/>
        <v>0</v>
      </c>
      <c r="G102" s="954">
        <f t="shared" si="14"/>
        <v>0</v>
      </c>
      <c r="H102" s="1381" t="str">
        <f t="shared" si="12"/>
        <v/>
      </c>
      <c r="I102" s="796"/>
      <c r="J102" s="796"/>
      <c r="K102" s="796"/>
      <c r="L102" s="796"/>
      <c r="M102" s="796"/>
      <c r="N102" s="796"/>
      <c r="O102" s="796"/>
      <c r="P102" s="796"/>
      <c r="Q102" s="796"/>
      <c r="R102" s="796"/>
      <c r="S102" s="796"/>
      <c r="CA102" s="1457" t="str">
        <f>IF(CG102=1," * El total de causas de suspensión debe coincidir con la suma de Suspendidos de la sección D. ","")</f>
        <v/>
      </c>
      <c r="CG102" s="1458">
        <f>IF(B102&lt;&gt;(H91+I91),1,0)</f>
        <v>0</v>
      </c>
      <c r="CH102" s="1458"/>
      <c r="CI102" s="1454"/>
      <c r="CJ102" s="1454"/>
      <c r="CK102" s="1454"/>
      <c r="CL102" s="1454"/>
      <c r="CM102" s="1454"/>
      <c r="CN102" s="1454"/>
    </row>
    <row r="103" spans="1:92" ht="19.899999999999999" customHeight="1" x14ac:dyDescent="0.25">
      <c r="A103" s="746" t="s">
        <v>3798</v>
      </c>
      <c r="B103"/>
      <c r="C103"/>
      <c r="D103"/>
      <c r="E103" s="1459"/>
    </row>
    <row r="104" spans="1:92" x14ac:dyDescent="0.2">
      <c r="A104" s="8446" t="s">
        <v>22</v>
      </c>
      <c r="B104" s="8611" t="s">
        <v>1</v>
      </c>
      <c r="C104" s="8430" t="s">
        <v>1280</v>
      </c>
      <c r="D104" s="8148"/>
      <c r="E104" s="8172"/>
      <c r="F104" s="9755" t="s">
        <v>361</v>
      </c>
      <c r="G104" s="9756"/>
    </row>
    <row r="105" spans="1:92" ht="21" x14ac:dyDescent="0.2">
      <c r="A105" s="9192"/>
      <c r="B105" s="9754"/>
      <c r="C105" s="2727" t="s">
        <v>3497</v>
      </c>
      <c r="D105" s="2730" t="s">
        <v>3498</v>
      </c>
      <c r="E105" s="6136" t="s">
        <v>3499</v>
      </c>
      <c r="F105" s="6138" t="s">
        <v>356</v>
      </c>
      <c r="G105" s="6139" t="s">
        <v>357</v>
      </c>
    </row>
    <row r="106" spans="1:92" ht="21.75" customHeight="1" x14ac:dyDescent="0.2">
      <c r="A106" s="2725" t="s">
        <v>1279</v>
      </c>
      <c r="B106" s="3404">
        <f>SUM(C106:E106)</f>
        <v>0</v>
      </c>
      <c r="C106" s="2728"/>
      <c r="D106" s="2726"/>
      <c r="E106" s="6137"/>
      <c r="F106" s="6140"/>
      <c r="G106" s="6141"/>
      <c r="H106" s="1381" t="str">
        <f>CA106&amp;CB106&amp;CC106&amp;CD106</f>
        <v/>
      </c>
      <c r="CA106" s="1457" t="str">
        <f>IF(CG106=1,"* No olvide digitar Trans Masculino (Digite 0 si no tiene). ","")</f>
        <v/>
      </c>
      <c r="CB106" s="1457" t="str">
        <f>IF(CH106=1,"* No olvide digitar Trans Femenino (Digite 0 si no tiene). ","")</f>
        <v/>
      </c>
      <c r="CC106" s="1457" t="str">
        <f>IF(CI106=1,"* La cantidad de Trans Masculinos no puede superar el Total. ","")</f>
        <v/>
      </c>
      <c r="CD106" s="1457" t="str">
        <f>IF(CJ106=1,"* La cantidad de Trans Femeninos no puede superar el Total. ","")</f>
        <v/>
      </c>
      <c r="CG106" s="1458">
        <f>IF(AND(B106&lt;&gt;0,F106=""),1,0)</f>
        <v>0</v>
      </c>
      <c r="CH106" s="1458">
        <f>IF(AND(B106&lt;&gt;0,G106=""),1,0)</f>
        <v>0</v>
      </c>
      <c r="CI106" s="1458">
        <f>IF(F106&gt;B106,1,0)</f>
        <v>0</v>
      </c>
      <c r="CJ106" s="1458">
        <f>IF(G106&gt;B106,1,0)</f>
        <v>0</v>
      </c>
      <c r="CK106" s="1458"/>
      <c r="CL106" s="1458"/>
      <c r="CM106" s="1458"/>
      <c r="CN106" s="1458"/>
    </row>
    <row r="107" spans="1:92" ht="21.75" customHeight="1" x14ac:dyDescent="0.2">
      <c r="A107" s="3345" t="s">
        <v>2629</v>
      </c>
      <c r="B107" s="3325">
        <f>SUM(C107:E107)</f>
        <v>0</v>
      </c>
      <c r="C107" s="3248"/>
      <c r="D107" s="2891"/>
      <c r="E107" s="3531"/>
      <c r="F107" s="2892"/>
      <c r="G107" s="3249"/>
      <c r="H107" s="1381" t="str">
        <f>CA107&amp;CB107&amp;CC107&amp;CD107</f>
        <v/>
      </c>
      <c r="CA107" s="1457" t="str">
        <f>IF(CG107=1,"* No olvide digitar Trans Masculino (Digite 0 si no tiene). ","")</f>
        <v/>
      </c>
      <c r="CB107" s="1457" t="str">
        <f>IF(CH107=1,"* No olvide digitar Trans Femenino (Digite 0 si no tiene). ","")</f>
        <v/>
      </c>
      <c r="CC107" s="1457" t="str">
        <f>IF(CI107=1,"* La cantidad de Trans Masculinos no puede superar el Total. ","")</f>
        <v/>
      </c>
      <c r="CD107" s="1457" t="str">
        <f>IF(CJ107=1,"* La cantidad de Trans Femeninos no puede superar el Total. ","")</f>
        <v/>
      </c>
      <c r="CG107" s="1458">
        <f>IF(AND(B107&lt;&gt;0,F107=""),1,0)</f>
        <v>0</v>
      </c>
      <c r="CH107" s="1458">
        <f>IF(AND(B107&lt;&gt;0,G107=""),1,0)</f>
        <v>0</v>
      </c>
      <c r="CI107" s="1458">
        <f>IF(F107&gt;B107,1,0)</f>
        <v>0</v>
      </c>
      <c r="CJ107" s="1458">
        <f>IF(G107&gt;B107,1,0)</f>
        <v>0</v>
      </c>
      <c r="CK107" s="1458"/>
      <c r="CL107" s="1458"/>
      <c r="CM107" s="1458"/>
      <c r="CN107" s="1458"/>
    </row>
    <row r="162" spans="1:104" s="1440" customFormat="1" ht="18.600000000000001" hidden="1" customHeight="1" x14ac:dyDescent="0.2">
      <c r="A162" s="1440">
        <f>SUM(B13:AE13,B21:B25,B39:B47,B50:B52,C30:C36,B55:B57,B66,C69:C73,B91:I91,B102,B106:B107)</f>
        <v>0</v>
      </c>
      <c r="B162" s="1440">
        <f>SUM(CG3:CN66)</f>
        <v>0</v>
      </c>
      <c r="BX162" s="1441"/>
      <c r="BY162" s="1441"/>
      <c r="BZ162" s="1441"/>
      <c r="CA162" s="1441"/>
      <c r="CB162" s="1441"/>
      <c r="CC162" s="1441"/>
      <c r="CD162" s="1441"/>
      <c r="CE162" s="1441"/>
      <c r="CF162" s="1441"/>
      <c r="CG162" s="1441"/>
      <c r="CH162" s="1441"/>
      <c r="CI162" s="1441"/>
      <c r="CJ162" s="1441"/>
      <c r="CK162" s="1441"/>
      <c r="CL162" s="1441"/>
      <c r="CM162" s="1441"/>
      <c r="CN162" s="1441"/>
      <c r="CO162" s="1441"/>
      <c r="CP162" s="1441"/>
      <c r="CQ162" s="1441"/>
      <c r="CR162" s="1441"/>
      <c r="CS162" s="1441"/>
      <c r="CT162" s="1441"/>
      <c r="CU162" s="1441"/>
      <c r="CV162" s="1441"/>
      <c r="CW162" s="1441"/>
      <c r="CX162" s="1441"/>
      <c r="CY162" s="1441"/>
      <c r="CZ162" s="1441"/>
    </row>
  </sheetData>
  <sheetProtection algorithmName="SHA-512" hashValue="ouw5sGQJZ5oTreb06HgEpsiIdZOlg65B6CzdWpO9kLQW7ZhGVS2jDRacS35XbL9bhYUg6xWpGnJepR5KfBcgtA==" saltValue="eqld22EEM14VmDMAVS6okw==" spinCount="100000" sheet="1" objects="1" scenarios="1"/>
  <mergeCells count="39">
    <mergeCell ref="A6:J6"/>
    <mergeCell ref="A36:B36"/>
    <mergeCell ref="A28:B29"/>
    <mergeCell ref="A34:A35"/>
    <mergeCell ref="C28:C29"/>
    <mergeCell ref="A30:B30"/>
    <mergeCell ref="G28:L28"/>
    <mergeCell ref="D28:F28"/>
    <mergeCell ref="E9:E12"/>
    <mergeCell ref="D9:D12"/>
    <mergeCell ref="C9:C12"/>
    <mergeCell ref="B9:B12"/>
    <mergeCell ref="A9:A12"/>
    <mergeCell ref="G9:Y9"/>
    <mergeCell ref="G10:J11"/>
    <mergeCell ref="AC10:AE11"/>
    <mergeCell ref="Z9:AE9"/>
    <mergeCell ref="F9:F12"/>
    <mergeCell ref="Z10:AB11"/>
    <mergeCell ref="P10:T11"/>
    <mergeCell ref="U10:Y11"/>
    <mergeCell ref="K10:O11"/>
    <mergeCell ref="A93:A94"/>
    <mergeCell ref="B93:G93"/>
    <mergeCell ref="A104:A105"/>
    <mergeCell ref="B104:B105"/>
    <mergeCell ref="C104:E104"/>
    <mergeCell ref="F104:G104"/>
    <mergeCell ref="A67:E67"/>
    <mergeCell ref="A69:B69"/>
    <mergeCell ref="A70:A71"/>
    <mergeCell ref="A72:A73"/>
    <mergeCell ref="A92:G92"/>
    <mergeCell ref="A75:A77"/>
    <mergeCell ref="B75:C76"/>
    <mergeCell ref="D75:E76"/>
    <mergeCell ref="F75:I75"/>
    <mergeCell ref="F76:G76"/>
    <mergeCell ref="H76:I76"/>
  </mergeCells>
  <dataValidations count="5">
    <dataValidation type="whole" allowBlank="1" showInputMessage="1" showErrorMessage="1" sqref="A66 B60:E66 C103:D104 D55:E57 D58:D66 C55:C66 B54" xr:uid="{00000000-0002-0000-0E00-000000000000}">
      <formula1>0</formula1>
      <formula2>1E+27</formula2>
    </dataValidation>
    <dataValidation allowBlank="1" showInputMessage="1" showErrorMessage="1" error="Valor no Permitido" sqref="A106 A103:A104 B103:B107 C103:E104" xr:uid="{00000000-0002-0000-0E00-000001000000}"/>
    <dataValidation type="whole" allowBlank="1" showInputMessage="1" showErrorMessage="1" sqref="D78:I91 C106:G107" xr:uid="{58C30495-9F49-422E-81B3-7477359CC073}">
      <formula1>0</formula1>
      <formula2>10000000</formula2>
    </dataValidation>
    <dataValidation type="whole" allowBlank="1" showInputMessage="1" showErrorMessage="1" sqref="C95:G101" xr:uid="{73890D57-A18C-4DA3-9D5F-0B9EA99C6DF5}">
      <formula1>0</formula1>
      <formula2>1000000</formula2>
    </dataValidation>
    <dataValidation type="whole" operator="greaterThanOrEqual" allowBlank="1" showInputMessage="1" showErrorMessage="1" sqref="B14:B17" xr:uid="{0C7434A4-A3EF-4FD6-A006-882BDF70E077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DZ206"/>
  <sheetViews>
    <sheetView showGridLines="0" zoomScaleNormal="100" workbookViewId="0">
      <selection activeCell="A6" sqref="A6:V6"/>
    </sheetView>
  </sheetViews>
  <sheetFormatPr baseColWidth="10" defaultColWidth="11.42578125" defaultRowHeight="14.25" x14ac:dyDescent="0.2"/>
  <cols>
    <col min="1" max="1" width="62.7109375" style="4651" customWidth="1"/>
    <col min="2" max="2" width="32.7109375" style="4651" customWidth="1"/>
    <col min="3" max="3" width="19.85546875" style="4651" customWidth="1"/>
    <col min="4" max="4" width="15.7109375" style="4651" customWidth="1"/>
    <col min="5" max="5" width="13.42578125" style="4651" customWidth="1"/>
    <col min="6" max="37" width="11.42578125" style="4651"/>
    <col min="38" max="38" width="11.85546875" style="4651" customWidth="1"/>
    <col min="39" max="71" width="11.42578125" style="4651"/>
    <col min="72" max="73" width="11.42578125" style="4657"/>
    <col min="74" max="76" width="11.85546875" style="4657" customWidth="1"/>
    <col min="77" max="77" width="11.85546875" style="4653" customWidth="1"/>
    <col min="78" max="78" width="12.7109375" style="4657" customWidth="1"/>
    <col min="79" max="104" width="12.7109375" style="4688" hidden="1" customWidth="1"/>
    <col min="105" max="130" width="11.42578125" style="4687" hidden="1" customWidth="1"/>
    <col min="131" max="16384" width="11.42578125" style="4651"/>
  </cols>
  <sheetData>
    <row r="1" spans="1:108" ht="16.149999999999999" customHeight="1" x14ac:dyDescent="0.2">
      <c r="A1" s="4173" t="s">
        <v>206</v>
      </c>
    </row>
    <row r="2" spans="1:108" ht="16.149999999999999" customHeight="1" x14ac:dyDescent="0.2">
      <c r="A2" s="4173" t="str">
        <f>CONCATENATE("COMUNA: ",NOMBRE!B2," - ","( ",NOMBRE!C2,NOMBRE!D2,NOMBRE!E2,NOMBRE!F2,NOMBRE!G2," )")</f>
        <v>COMUNA:  - (  )</v>
      </c>
    </row>
    <row r="3" spans="1:108" ht="16.149999999999999" customHeight="1" x14ac:dyDescent="0.2">
      <c r="A3" s="4173" t="str">
        <f>CONCATENATE("ESTABLECIMIENTO/ESTRATEGIA: ",NOMBRE!B3," - ","( ",NOMBRE!C3,NOMBRE!D3,NOMBRE!E3,NOMBRE!F3,NOMBRE!G3,NOMBRE!H3," )")</f>
        <v>ESTABLECIMIENTO/ESTRATEGIA:  - (  )</v>
      </c>
    </row>
    <row r="4" spans="1:108" ht="16.149999999999999" customHeight="1" x14ac:dyDescent="0.2">
      <c r="A4" s="4173" t="str">
        <f>CONCATENATE("MES: ",NOMBRE!B6," - ","( ",NOMBRE!C6,NOMBRE!D6," )")</f>
        <v>MES:  - (  )</v>
      </c>
    </row>
    <row r="5" spans="1:108" ht="16.149999999999999" customHeight="1" x14ac:dyDescent="0.2">
      <c r="A5" s="4173" t="str">
        <f>CONCATENATE("AÑO: ",NOMBRE!B7)</f>
        <v>AÑO: 2023</v>
      </c>
    </row>
    <row r="6" spans="1:108" ht="15" customHeight="1" x14ac:dyDescent="0.2">
      <c r="A6" s="8835" t="s">
        <v>1907</v>
      </c>
      <c r="B6" s="8835"/>
      <c r="C6" s="8835"/>
      <c r="D6" s="8835"/>
      <c r="E6" s="8835"/>
      <c r="F6" s="8835"/>
      <c r="G6" s="8835"/>
      <c r="H6" s="8835"/>
      <c r="I6" s="8835"/>
      <c r="J6" s="8835"/>
      <c r="K6" s="8835"/>
      <c r="L6" s="8835"/>
      <c r="M6" s="8835"/>
      <c r="N6" s="8835"/>
      <c r="O6" s="8835"/>
      <c r="P6" s="8835"/>
      <c r="Q6" s="8835"/>
      <c r="R6" s="8835"/>
      <c r="S6" s="8835"/>
      <c r="T6" s="8835"/>
      <c r="U6" s="8835"/>
      <c r="V6" s="8835"/>
    </row>
    <row r="7" spans="1:108" ht="15" x14ac:dyDescent="0.2">
      <c r="A7" s="4078"/>
      <c r="B7" s="4078"/>
      <c r="C7" s="4078"/>
      <c r="D7" s="4078"/>
      <c r="E7" s="4078"/>
      <c r="F7" s="4078"/>
      <c r="G7" s="4078"/>
      <c r="H7" s="4078"/>
      <c r="I7" s="4078"/>
      <c r="J7" s="4078"/>
      <c r="K7" s="4078"/>
      <c r="L7" s="4078"/>
      <c r="M7" s="4078"/>
      <c r="N7" s="4078"/>
      <c r="O7" s="4078"/>
      <c r="P7" s="4078"/>
      <c r="Q7" s="4078"/>
      <c r="R7" s="4078"/>
      <c r="S7" s="4078"/>
      <c r="T7" s="4078"/>
      <c r="U7" s="4078"/>
      <c r="V7" s="4078"/>
    </row>
    <row r="8" spans="1:108" ht="31.9" customHeight="1" x14ac:dyDescent="0.2">
      <c r="A8" s="5834" t="s">
        <v>2574</v>
      </c>
      <c r="B8" s="5835"/>
      <c r="C8" s="5835"/>
      <c r="D8" s="5835"/>
      <c r="E8" s="5835"/>
      <c r="F8" s="5835"/>
      <c r="G8" s="5835"/>
      <c r="H8" s="5835"/>
      <c r="I8" s="5835"/>
      <c r="J8" s="5835"/>
      <c r="K8" s="5835"/>
      <c r="L8" s="5835"/>
      <c r="M8" s="5835"/>
      <c r="N8" s="5835"/>
      <c r="O8" s="5835"/>
      <c r="P8" s="5835"/>
      <c r="Q8" s="5835"/>
      <c r="R8" s="5835"/>
      <c r="S8" s="5835"/>
      <c r="T8" s="5835"/>
      <c r="U8" s="5835"/>
      <c r="V8" s="5835"/>
      <c r="W8" s="5836"/>
      <c r="X8" s="5836"/>
      <c r="Y8" s="5836"/>
      <c r="Z8" s="5836"/>
      <c r="AA8" s="5836"/>
      <c r="AB8" s="5836"/>
      <c r="AC8" s="5836"/>
      <c r="AD8" s="5836"/>
      <c r="AE8" s="5836"/>
      <c r="AF8" s="5836"/>
      <c r="AG8" s="5836"/>
      <c r="AH8" s="5836"/>
      <c r="AI8" s="5836"/>
      <c r="AJ8" s="5836"/>
      <c r="AK8" s="5836"/>
    </row>
    <row r="9" spans="1:108" ht="16.149999999999999" customHeight="1" x14ac:dyDescent="0.2">
      <c r="A9" s="9801" t="s">
        <v>1908</v>
      </c>
      <c r="B9" s="9802" t="s">
        <v>24</v>
      </c>
      <c r="C9" s="9803"/>
      <c r="D9" s="9804"/>
      <c r="E9" s="9859" t="s">
        <v>2</v>
      </c>
      <c r="F9" s="9859"/>
      <c r="G9" s="9859"/>
      <c r="H9" s="9859"/>
      <c r="I9" s="9859"/>
      <c r="J9" s="9859"/>
      <c r="K9" s="9859"/>
      <c r="L9" s="9859"/>
      <c r="M9" s="9859"/>
      <c r="N9" s="9859"/>
      <c r="O9" s="9859"/>
      <c r="P9" s="9859"/>
      <c r="Q9" s="9859"/>
      <c r="R9" s="9859"/>
      <c r="S9" s="9859"/>
      <c r="T9" s="9859"/>
      <c r="U9" s="9859"/>
      <c r="V9" s="9859"/>
      <c r="W9" s="9859"/>
      <c r="X9" s="9859"/>
      <c r="Y9" s="9859"/>
      <c r="Z9" s="9859"/>
      <c r="AA9" s="9859"/>
      <c r="AB9" s="9859"/>
      <c r="AC9" s="9859"/>
      <c r="AD9" s="9859"/>
      <c r="AE9" s="9859"/>
      <c r="AF9" s="9859"/>
      <c r="AG9" s="9859"/>
      <c r="AH9" s="9859"/>
      <c r="AI9" s="9859"/>
      <c r="AJ9" s="9876"/>
      <c r="AK9" s="9860" t="s">
        <v>360</v>
      </c>
      <c r="AL9" s="9892" t="s">
        <v>359</v>
      </c>
      <c r="AM9" s="9892" t="s">
        <v>2893</v>
      </c>
      <c r="BX9" s="4653"/>
    </row>
    <row r="10" spans="1:108" ht="16.149999999999999" customHeight="1" x14ac:dyDescent="0.2">
      <c r="A10" s="8628"/>
      <c r="B10" s="9875"/>
      <c r="C10" s="9854"/>
      <c r="D10" s="9855"/>
      <c r="E10" s="9821" t="s">
        <v>1909</v>
      </c>
      <c r="F10" s="9801"/>
      <c r="G10" s="9821" t="s">
        <v>1910</v>
      </c>
      <c r="H10" s="9801"/>
      <c r="I10" s="9821" t="s">
        <v>1911</v>
      </c>
      <c r="J10" s="9801"/>
      <c r="K10" s="9820" t="s">
        <v>1912</v>
      </c>
      <c r="L10" s="9820"/>
      <c r="M10" s="9821" t="s">
        <v>1913</v>
      </c>
      <c r="N10" s="9801"/>
      <c r="O10" s="9820" t="s">
        <v>1914</v>
      </c>
      <c r="P10" s="9820"/>
      <c r="Q10" s="9821" t="s">
        <v>1915</v>
      </c>
      <c r="R10" s="9801"/>
      <c r="S10" s="9820" t="s">
        <v>124</v>
      </c>
      <c r="T10" s="9820"/>
      <c r="U10" s="9821" t="s">
        <v>125</v>
      </c>
      <c r="V10" s="9801"/>
      <c r="W10" s="9820" t="s">
        <v>126</v>
      </c>
      <c r="X10" s="9820"/>
      <c r="Y10" s="9821" t="s">
        <v>127</v>
      </c>
      <c r="Z10" s="9801"/>
      <c r="AA10" s="9820" t="s">
        <v>128</v>
      </c>
      <c r="AB10" s="9820"/>
      <c r="AC10" s="9821" t="s">
        <v>129</v>
      </c>
      <c r="AD10" s="9801"/>
      <c r="AE10" s="9820" t="s">
        <v>130</v>
      </c>
      <c r="AF10" s="9820"/>
      <c r="AG10" s="9821" t="s">
        <v>131</v>
      </c>
      <c r="AH10" s="9801"/>
      <c r="AI10" s="9820" t="s">
        <v>1916</v>
      </c>
      <c r="AJ10" s="9890"/>
      <c r="AK10" s="8689"/>
      <c r="AL10" s="9893"/>
      <c r="AM10" s="9893"/>
      <c r="BX10" s="4653"/>
    </row>
    <row r="11" spans="1:108" ht="16.149999999999999" customHeight="1" x14ac:dyDescent="0.2">
      <c r="A11" s="8628"/>
      <c r="B11" s="9805"/>
      <c r="C11" s="9806"/>
      <c r="D11" s="9807"/>
      <c r="E11" s="9829"/>
      <c r="F11" s="8629"/>
      <c r="G11" s="9829"/>
      <c r="H11" s="8629"/>
      <c r="I11" s="9829"/>
      <c r="J11" s="8629"/>
      <c r="K11" s="9830"/>
      <c r="L11" s="9830"/>
      <c r="M11" s="9829"/>
      <c r="N11" s="8629"/>
      <c r="O11" s="9830"/>
      <c r="P11" s="9830"/>
      <c r="Q11" s="9829"/>
      <c r="R11" s="8629"/>
      <c r="S11" s="9830"/>
      <c r="T11" s="9830"/>
      <c r="U11" s="9829"/>
      <c r="V11" s="8629"/>
      <c r="W11" s="9830"/>
      <c r="X11" s="9830"/>
      <c r="Y11" s="9829"/>
      <c r="Z11" s="8629"/>
      <c r="AA11" s="9830"/>
      <c r="AB11" s="9830"/>
      <c r="AC11" s="9829"/>
      <c r="AD11" s="8629"/>
      <c r="AE11" s="9830"/>
      <c r="AF11" s="9830"/>
      <c r="AG11" s="9829"/>
      <c r="AH11" s="8629"/>
      <c r="AI11" s="9830"/>
      <c r="AJ11" s="9891"/>
      <c r="AK11" s="8689"/>
      <c r="AL11" s="9893"/>
      <c r="AM11" s="9893"/>
      <c r="BX11" s="4653"/>
    </row>
    <row r="12" spans="1:108" ht="16.149999999999999" customHeight="1" x14ac:dyDescent="0.2">
      <c r="A12" s="8629"/>
      <c r="B12" s="4743" t="s">
        <v>42</v>
      </c>
      <c r="C12" s="5837" t="s">
        <v>17</v>
      </c>
      <c r="D12" s="4946" t="s">
        <v>18</v>
      </c>
      <c r="E12" s="4744" t="s">
        <v>17</v>
      </c>
      <c r="F12" s="4745" t="s">
        <v>18</v>
      </c>
      <c r="G12" s="4744" t="s">
        <v>17</v>
      </c>
      <c r="H12" s="4745" t="s">
        <v>18</v>
      </c>
      <c r="I12" s="4744" t="s">
        <v>17</v>
      </c>
      <c r="J12" s="4745" t="s">
        <v>18</v>
      </c>
      <c r="K12" s="5837" t="s">
        <v>17</v>
      </c>
      <c r="L12" s="4746" t="s">
        <v>18</v>
      </c>
      <c r="M12" s="4744" t="s">
        <v>17</v>
      </c>
      <c r="N12" s="4745" t="s">
        <v>18</v>
      </c>
      <c r="O12" s="5837" t="s">
        <v>17</v>
      </c>
      <c r="P12" s="4746" t="s">
        <v>18</v>
      </c>
      <c r="Q12" s="4744" t="s">
        <v>17</v>
      </c>
      <c r="R12" s="4745" t="s">
        <v>18</v>
      </c>
      <c r="S12" s="5837" t="s">
        <v>17</v>
      </c>
      <c r="T12" s="4746" t="s">
        <v>18</v>
      </c>
      <c r="U12" s="4744" t="s">
        <v>17</v>
      </c>
      <c r="V12" s="4745" t="s">
        <v>18</v>
      </c>
      <c r="W12" s="5837" t="s">
        <v>17</v>
      </c>
      <c r="X12" s="4746" t="s">
        <v>18</v>
      </c>
      <c r="Y12" s="4744" t="s">
        <v>17</v>
      </c>
      <c r="Z12" s="4745" t="s">
        <v>18</v>
      </c>
      <c r="AA12" s="5837" t="s">
        <v>17</v>
      </c>
      <c r="AB12" s="4746" t="s">
        <v>18</v>
      </c>
      <c r="AC12" s="4744" t="s">
        <v>17</v>
      </c>
      <c r="AD12" s="4745" t="s">
        <v>18</v>
      </c>
      <c r="AE12" s="5837" t="s">
        <v>17</v>
      </c>
      <c r="AF12" s="4746" t="s">
        <v>18</v>
      </c>
      <c r="AG12" s="4744" t="s">
        <v>17</v>
      </c>
      <c r="AH12" s="4745" t="s">
        <v>18</v>
      </c>
      <c r="AI12" s="5837" t="s">
        <v>17</v>
      </c>
      <c r="AJ12" s="5838" t="s">
        <v>18</v>
      </c>
      <c r="AK12" s="8723"/>
      <c r="AL12" s="9894"/>
      <c r="AM12" s="9894"/>
      <c r="BX12" s="4653"/>
    </row>
    <row r="13" spans="1:108" ht="16.149999999999999" customHeight="1" x14ac:dyDescent="0.2">
      <c r="A13" s="5839" t="s">
        <v>1917</v>
      </c>
      <c r="B13" s="5470">
        <f>SUM(C13+D13)</f>
        <v>0</v>
      </c>
      <c r="C13" s="5840">
        <f>SUM(E13+G13+I13+K13+M13+O13+Q13+S13+U13+W13+Y13+AA13+AC13+AE13+AG13+AI13)</f>
        <v>0</v>
      </c>
      <c r="D13" s="5841">
        <f>SUM(F13+H13+J13+L13+N13+P13+R13+T13+V13+X13+Z13+AB13+AD13+AF13+AH13+AJ13)</f>
        <v>0</v>
      </c>
      <c r="E13" s="5842"/>
      <c r="F13" s="5843"/>
      <c r="G13" s="5842"/>
      <c r="H13" s="5844"/>
      <c r="I13" s="5842"/>
      <c r="J13" s="5844"/>
      <c r="K13" s="5845"/>
      <c r="L13" s="5846"/>
      <c r="M13" s="5842"/>
      <c r="N13" s="5844"/>
      <c r="O13" s="5845"/>
      <c r="P13" s="5846"/>
      <c r="Q13" s="5842"/>
      <c r="R13" s="5844"/>
      <c r="S13" s="5845"/>
      <c r="T13" s="5846"/>
      <c r="U13" s="5842"/>
      <c r="V13" s="5844"/>
      <c r="W13" s="5845"/>
      <c r="X13" s="5846"/>
      <c r="Y13" s="5842"/>
      <c r="Z13" s="5844"/>
      <c r="AA13" s="5845"/>
      <c r="AB13" s="5846"/>
      <c r="AC13" s="5842"/>
      <c r="AD13" s="5844"/>
      <c r="AE13" s="5845"/>
      <c r="AF13" s="5846"/>
      <c r="AG13" s="5842"/>
      <c r="AH13" s="5844"/>
      <c r="AI13" s="5847"/>
      <c r="AJ13" s="5848"/>
      <c r="AK13" s="5843"/>
      <c r="AL13" s="5843"/>
      <c r="AM13" s="5843"/>
      <c r="AN13" s="4652"/>
      <c r="BX13" s="4653"/>
      <c r="DB13" s="4687">
        <v>0</v>
      </c>
      <c r="DD13" s="4687">
        <v>0</v>
      </c>
    </row>
    <row r="14" spans="1:108" ht="16.149999999999999" customHeight="1" x14ac:dyDescent="0.2">
      <c r="A14" s="5849" t="s">
        <v>1918</v>
      </c>
      <c r="B14" s="5475">
        <f t="shared" ref="B14:B23" si="0">SUM(C14+D14)</f>
        <v>0</v>
      </c>
      <c r="C14" s="5850">
        <f t="shared" ref="C14:D23" si="1">SUM(E14+G14+I14+K14+M14+O14+Q14+S14+U14+W14+Y14+AA14+AC14+AE14+AG14+AI14)</f>
        <v>0</v>
      </c>
      <c r="D14" s="5851">
        <f t="shared" si="1"/>
        <v>0</v>
      </c>
      <c r="E14" s="5476"/>
      <c r="F14" s="5478"/>
      <c r="G14" s="5476"/>
      <c r="H14" s="5477"/>
      <c r="I14" s="5476"/>
      <c r="J14" s="5477"/>
      <c r="K14" s="5479"/>
      <c r="L14" s="5483"/>
      <c r="M14" s="5476"/>
      <c r="N14" s="5477"/>
      <c r="O14" s="5479"/>
      <c r="P14" s="5483"/>
      <c r="Q14" s="5476"/>
      <c r="R14" s="5477"/>
      <c r="S14" s="5479"/>
      <c r="T14" s="5483"/>
      <c r="U14" s="5476"/>
      <c r="V14" s="5477"/>
      <c r="W14" s="5479"/>
      <c r="X14" s="5483"/>
      <c r="Y14" s="5476"/>
      <c r="Z14" s="5477"/>
      <c r="AA14" s="5479"/>
      <c r="AB14" s="5483"/>
      <c r="AC14" s="5476"/>
      <c r="AD14" s="5477"/>
      <c r="AE14" s="5479"/>
      <c r="AF14" s="5483"/>
      <c r="AG14" s="5476"/>
      <c r="AH14" s="5477"/>
      <c r="AI14" s="5480"/>
      <c r="AJ14" s="5852"/>
      <c r="AK14" s="5478"/>
      <c r="AL14" s="5478"/>
      <c r="AM14" s="5478"/>
      <c r="AN14" s="4652"/>
      <c r="BX14" s="4653"/>
      <c r="DB14" s="4687">
        <v>0</v>
      </c>
      <c r="DD14" s="4687">
        <v>0</v>
      </c>
    </row>
    <row r="15" spans="1:108" ht="16.149999999999999" customHeight="1" x14ac:dyDescent="0.2">
      <c r="A15" s="5849" t="s">
        <v>1919</v>
      </c>
      <c r="B15" s="5475">
        <f t="shared" si="0"/>
        <v>0</v>
      </c>
      <c r="C15" s="5850">
        <f t="shared" si="1"/>
        <v>0</v>
      </c>
      <c r="D15" s="5851">
        <f t="shared" si="1"/>
        <v>0</v>
      </c>
      <c r="E15" s="5476"/>
      <c r="F15" s="5478"/>
      <c r="G15" s="5476"/>
      <c r="H15" s="5477"/>
      <c r="I15" s="5476"/>
      <c r="J15" s="5477"/>
      <c r="K15" s="5479"/>
      <c r="L15" s="5483"/>
      <c r="M15" s="5476"/>
      <c r="N15" s="5477"/>
      <c r="O15" s="5479"/>
      <c r="P15" s="5483"/>
      <c r="Q15" s="5476"/>
      <c r="R15" s="5477"/>
      <c r="S15" s="5479"/>
      <c r="T15" s="5483"/>
      <c r="U15" s="5476"/>
      <c r="V15" s="5477"/>
      <c r="W15" s="5479"/>
      <c r="X15" s="5483"/>
      <c r="Y15" s="5476"/>
      <c r="Z15" s="5477"/>
      <c r="AA15" s="5479"/>
      <c r="AB15" s="5483"/>
      <c r="AC15" s="5476"/>
      <c r="AD15" s="5477"/>
      <c r="AE15" s="5479"/>
      <c r="AF15" s="5483"/>
      <c r="AG15" s="5476"/>
      <c r="AH15" s="5477"/>
      <c r="AI15" s="5480"/>
      <c r="AJ15" s="5852"/>
      <c r="AK15" s="5478"/>
      <c r="AL15" s="5478"/>
      <c r="AM15" s="5478"/>
      <c r="AN15" s="4652"/>
      <c r="BX15" s="4653"/>
    </row>
    <row r="16" spans="1:108" ht="16.149999999999999" customHeight="1" x14ac:dyDescent="0.2">
      <c r="A16" s="5849" t="s">
        <v>1920</v>
      </c>
      <c r="B16" s="5475">
        <f t="shared" si="0"/>
        <v>0</v>
      </c>
      <c r="C16" s="5850">
        <f t="shared" si="1"/>
        <v>0</v>
      </c>
      <c r="D16" s="5851">
        <f t="shared" si="1"/>
        <v>0</v>
      </c>
      <c r="E16" s="5476"/>
      <c r="F16" s="5478"/>
      <c r="G16" s="5476"/>
      <c r="H16" s="5477"/>
      <c r="I16" s="5476"/>
      <c r="J16" s="5477"/>
      <c r="K16" s="5479"/>
      <c r="L16" s="5483"/>
      <c r="M16" s="5476"/>
      <c r="N16" s="5477"/>
      <c r="O16" s="5479"/>
      <c r="P16" s="5483"/>
      <c r="Q16" s="5476"/>
      <c r="R16" s="5477"/>
      <c r="S16" s="5479"/>
      <c r="T16" s="5483"/>
      <c r="U16" s="5476"/>
      <c r="V16" s="5477"/>
      <c r="W16" s="5479"/>
      <c r="X16" s="5483"/>
      <c r="Y16" s="5476"/>
      <c r="Z16" s="5477"/>
      <c r="AA16" s="5479"/>
      <c r="AB16" s="5483"/>
      <c r="AC16" s="5476"/>
      <c r="AD16" s="5477"/>
      <c r="AE16" s="5479"/>
      <c r="AF16" s="5483"/>
      <c r="AG16" s="5476"/>
      <c r="AH16" s="5477"/>
      <c r="AI16" s="5480"/>
      <c r="AJ16" s="5852"/>
      <c r="AK16" s="5478"/>
      <c r="AL16" s="5478"/>
      <c r="AM16" s="5478"/>
      <c r="AN16" s="4652"/>
      <c r="BX16" s="4653"/>
    </row>
    <row r="17" spans="1:108" ht="16.149999999999999" customHeight="1" x14ac:dyDescent="0.2">
      <c r="A17" s="5853" t="s">
        <v>1921</v>
      </c>
      <c r="B17" s="5528">
        <f t="shared" si="0"/>
        <v>0</v>
      </c>
      <c r="C17" s="5854">
        <f t="shared" si="1"/>
        <v>0</v>
      </c>
      <c r="D17" s="5851">
        <f t="shared" si="1"/>
        <v>0</v>
      </c>
      <c r="E17" s="5476"/>
      <c r="F17" s="5478"/>
      <c r="G17" s="5476"/>
      <c r="H17" s="5477"/>
      <c r="I17" s="5476"/>
      <c r="J17" s="5477"/>
      <c r="K17" s="5479"/>
      <c r="L17" s="5483"/>
      <c r="M17" s="5476"/>
      <c r="N17" s="5477"/>
      <c r="O17" s="5479"/>
      <c r="P17" s="5483"/>
      <c r="Q17" s="5476"/>
      <c r="R17" s="5477"/>
      <c r="S17" s="5479"/>
      <c r="T17" s="5483"/>
      <c r="U17" s="5476"/>
      <c r="V17" s="5477"/>
      <c r="W17" s="5479"/>
      <c r="X17" s="5483"/>
      <c r="Y17" s="5476"/>
      <c r="Z17" s="5477"/>
      <c r="AA17" s="5479"/>
      <c r="AB17" s="5483"/>
      <c r="AC17" s="5476"/>
      <c r="AD17" s="5477"/>
      <c r="AE17" s="5479"/>
      <c r="AF17" s="5483"/>
      <c r="AG17" s="5476"/>
      <c r="AH17" s="5477"/>
      <c r="AI17" s="5480"/>
      <c r="AJ17" s="5852"/>
      <c r="AK17" s="5478"/>
      <c r="AL17" s="5478"/>
      <c r="AM17" s="5478"/>
      <c r="AN17" s="4652"/>
      <c r="BX17" s="4653"/>
    </row>
    <row r="18" spans="1:108" ht="16.149999999999999" customHeight="1" x14ac:dyDescent="0.2">
      <c r="A18" s="5855" t="s">
        <v>1922</v>
      </c>
      <c r="B18" s="5475">
        <f t="shared" si="0"/>
        <v>0</v>
      </c>
      <c r="C18" s="5850">
        <f t="shared" si="1"/>
        <v>0</v>
      </c>
      <c r="D18" s="5851">
        <f t="shared" si="1"/>
        <v>0</v>
      </c>
      <c r="E18" s="5476"/>
      <c r="F18" s="5478"/>
      <c r="G18" s="5476"/>
      <c r="H18" s="5477"/>
      <c r="I18" s="5476"/>
      <c r="J18" s="5477"/>
      <c r="K18" s="5479"/>
      <c r="L18" s="5483"/>
      <c r="M18" s="5476"/>
      <c r="N18" s="5477"/>
      <c r="O18" s="5479"/>
      <c r="P18" s="5483"/>
      <c r="Q18" s="5476"/>
      <c r="R18" s="5477"/>
      <c r="S18" s="5479"/>
      <c r="T18" s="5483"/>
      <c r="U18" s="5476"/>
      <c r="V18" s="5477"/>
      <c r="W18" s="5479"/>
      <c r="X18" s="5483"/>
      <c r="Y18" s="5476"/>
      <c r="Z18" s="5477"/>
      <c r="AA18" s="5479"/>
      <c r="AB18" s="5483"/>
      <c r="AC18" s="5476"/>
      <c r="AD18" s="5477"/>
      <c r="AE18" s="5479"/>
      <c r="AF18" s="5483"/>
      <c r="AG18" s="5476"/>
      <c r="AH18" s="5477"/>
      <c r="AI18" s="5480"/>
      <c r="AJ18" s="5852"/>
      <c r="AK18" s="5478"/>
      <c r="AL18" s="5478"/>
      <c r="AM18" s="5478"/>
      <c r="AN18" s="4652"/>
      <c r="BX18" s="4653"/>
    </row>
    <row r="19" spans="1:108" ht="26.25" customHeight="1" x14ac:dyDescent="0.2">
      <c r="A19" s="5441" t="s">
        <v>1923</v>
      </c>
      <c r="B19" s="5528">
        <f t="shared" si="0"/>
        <v>0</v>
      </c>
      <c r="C19" s="5854">
        <f t="shared" si="1"/>
        <v>0</v>
      </c>
      <c r="D19" s="5851">
        <f t="shared" si="1"/>
        <v>0</v>
      </c>
      <c r="E19" s="5476"/>
      <c r="F19" s="5478"/>
      <c r="G19" s="5476"/>
      <c r="H19" s="5477"/>
      <c r="I19" s="5856"/>
      <c r="J19" s="5857"/>
      <c r="K19" s="5858"/>
      <c r="L19" s="5859"/>
      <c r="M19" s="5856"/>
      <c r="N19" s="5857"/>
      <c r="O19" s="5858"/>
      <c r="P19" s="5859"/>
      <c r="Q19" s="5856"/>
      <c r="R19" s="5857"/>
      <c r="S19" s="5858"/>
      <c r="T19" s="5859"/>
      <c r="U19" s="5856"/>
      <c r="V19" s="5857"/>
      <c r="W19" s="5858"/>
      <c r="X19" s="5859"/>
      <c r="Y19" s="5856"/>
      <c r="Z19" s="5857"/>
      <c r="AA19" s="5858"/>
      <c r="AB19" s="5859"/>
      <c r="AC19" s="5856"/>
      <c r="AD19" s="5857"/>
      <c r="AE19" s="5858"/>
      <c r="AF19" s="5859"/>
      <c r="AG19" s="5856"/>
      <c r="AH19" s="5857"/>
      <c r="AI19" s="5860"/>
      <c r="AJ19" s="5861"/>
      <c r="AK19" s="5478"/>
      <c r="AL19" s="5478"/>
      <c r="AM19" s="5478"/>
      <c r="AN19" s="4652"/>
      <c r="BX19" s="4653"/>
      <c r="DB19" s="4687">
        <v>0</v>
      </c>
      <c r="DD19" s="4687">
        <v>0</v>
      </c>
    </row>
    <row r="20" spans="1:108" ht="19.149999999999999" customHeight="1" x14ac:dyDescent="0.2">
      <c r="A20" s="5855" t="s">
        <v>1924</v>
      </c>
      <c r="B20" s="5475">
        <f t="shared" si="0"/>
        <v>0</v>
      </c>
      <c r="C20" s="5850">
        <f t="shared" si="1"/>
        <v>0</v>
      </c>
      <c r="D20" s="5851">
        <f t="shared" si="1"/>
        <v>0</v>
      </c>
      <c r="E20" s="5856"/>
      <c r="F20" s="5862"/>
      <c r="G20" s="5476"/>
      <c r="H20" s="5477"/>
      <c r="I20" s="5476"/>
      <c r="J20" s="5477"/>
      <c r="K20" s="5479"/>
      <c r="L20" s="5483"/>
      <c r="M20" s="5476"/>
      <c r="N20" s="5477"/>
      <c r="O20" s="5479"/>
      <c r="P20" s="5483"/>
      <c r="Q20" s="5476"/>
      <c r="R20" s="5477"/>
      <c r="S20" s="5479"/>
      <c r="T20" s="5483"/>
      <c r="U20" s="5476"/>
      <c r="V20" s="5477"/>
      <c r="W20" s="5479"/>
      <c r="X20" s="5483"/>
      <c r="Y20" s="5476"/>
      <c r="Z20" s="5477"/>
      <c r="AA20" s="5479"/>
      <c r="AB20" s="5483"/>
      <c r="AC20" s="5476"/>
      <c r="AD20" s="5477"/>
      <c r="AE20" s="5479"/>
      <c r="AF20" s="5483"/>
      <c r="AG20" s="5476"/>
      <c r="AH20" s="5477"/>
      <c r="AI20" s="5480"/>
      <c r="AJ20" s="5852"/>
      <c r="AK20" s="5478"/>
      <c r="AL20" s="5478"/>
      <c r="AM20" s="5478"/>
      <c r="AN20" s="4652"/>
      <c r="BX20" s="4653"/>
      <c r="DB20" s="4687">
        <v>0</v>
      </c>
      <c r="DD20" s="4687">
        <v>0</v>
      </c>
    </row>
    <row r="21" spans="1:108" ht="25.5" customHeight="1" x14ac:dyDescent="0.2">
      <c r="A21" s="5441" t="s">
        <v>1925</v>
      </c>
      <c r="B21" s="5528">
        <f t="shared" si="0"/>
        <v>0</v>
      </c>
      <c r="C21" s="5854">
        <f t="shared" si="1"/>
        <v>0</v>
      </c>
      <c r="D21" s="5851">
        <f t="shared" si="1"/>
        <v>0</v>
      </c>
      <c r="E21" s="5856"/>
      <c r="F21" s="5862"/>
      <c r="G21" s="5856"/>
      <c r="H21" s="5857"/>
      <c r="I21" s="5856"/>
      <c r="J21" s="5857"/>
      <c r="K21" s="5858"/>
      <c r="L21" s="5859"/>
      <c r="M21" s="5856"/>
      <c r="N21" s="5857"/>
      <c r="O21" s="5858"/>
      <c r="P21" s="5859"/>
      <c r="Q21" s="5856"/>
      <c r="R21" s="5857"/>
      <c r="S21" s="5479"/>
      <c r="T21" s="5483"/>
      <c r="U21" s="5476"/>
      <c r="V21" s="5477"/>
      <c r="W21" s="5479"/>
      <c r="X21" s="5483"/>
      <c r="Y21" s="5476"/>
      <c r="Z21" s="5477"/>
      <c r="AA21" s="5479"/>
      <c r="AB21" s="5483"/>
      <c r="AC21" s="5476"/>
      <c r="AD21" s="5477"/>
      <c r="AE21" s="5479"/>
      <c r="AF21" s="5483"/>
      <c r="AG21" s="5476"/>
      <c r="AH21" s="5477"/>
      <c r="AI21" s="5480"/>
      <c r="AJ21" s="5852"/>
      <c r="AK21" s="5478"/>
      <c r="AL21" s="5478"/>
      <c r="AM21" s="5478"/>
      <c r="AN21" s="4652"/>
      <c r="BX21" s="4653"/>
      <c r="DB21" s="4687">
        <v>0</v>
      </c>
      <c r="DD21" s="4687">
        <v>0</v>
      </c>
    </row>
    <row r="22" spans="1:108" ht="16.149999999999999" customHeight="1" x14ac:dyDescent="0.2">
      <c r="A22" s="5855" t="s">
        <v>1926</v>
      </c>
      <c r="B22" s="5475">
        <f t="shared" si="0"/>
        <v>0</v>
      </c>
      <c r="C22" s="5850">
        <f t="shared" si="1"/>
        <v>0</v>
      </c>
      <c r="D22" s="5851">
        <f t="shared" si="1"/>
        <v>0</v>
      </c>
      <c r="E22" s="5476"/>
      <c r="F22" s="5478"/>
      <c r="G22" s="5476"/>
      <c r="H22" s="5477"/>
      <c r="I22" s="5476"/>
      <c r="J22" s="5477"/>
      <c r="K22" s="5479"/>
      <c r="L22" s="5483"/>
      <c r="M22" s="5476"/>
      <c r="N22" s="5477"/>
      <c r="O22" s="5479"/>
      <c r="P22" s="5483"/>
      <c r="Q22" s="5476"/>
      <c r="R22" s="5477"/>
      <c r="S22" s="5479"/>
      <c r="T22" s="5483"/>
      <c r="U22" s="5476"/>
      <c r="V22" s="5477"/>
      <c r="W22" s="5479"/>
      <c r="X22" s="5483"/>
      <c r="Y22" s="5476"/>
      <c r="Z22" s="5477"/>
      <c r="AA22" s="5479"/>
      <c r="AB22" s="5483"/>
      <c r="AC22" s="5476"/>
      <c r="AD22" s="5477"/>
      <c r="AE22" s="5479"/>
      <c r="AF22" s="5483"/>
      <c r="AG22" s="5476"/>
      <c r="AH22" s="5477"/>
      <c r="AI22" s="5480"/>
      <c r="AJ22" s="5852"/>
      <c r="AK22" s="5478"/>
      <c r="AL22" s="5478"/>
      <c r="AM22" s="5478"/>
      <c r="AN22" s="4652"/>
      <c r="BX22" s="4653"/>
      <c r="DB22" s="4687">
        <v>0</v>
      </c>
      <c r="DD22" s="4687">
        <v>0</v>
      </c>
    </row>
    <row r="23" spans="1:108" ht="26.25" customHeight="1" x14ac:dyDescent="0.2">
      <c r="A23" s="5863" t="s">
        <v>1927</v>
      </c>
      <c r="B23" s="5532">
        <f t="shared" si="0"/>
        <v>0</v>
      </c>
      <c r="C23" s="5864">
        <f t="shared" si="1"/>
        <v>0</v>
      </c>
      <c r="D23" s="5491">
        <f t="shared" si="1"/>
        <v>0</v>
      </c>
      <c r="E23" s="5492"/>
      <c r="F23" s="5494"/>
      <c r="G23" s="5492"/>
      <c r="H23" s="5493"/>
      <c r="I23" s="5492"/>
      <c r="J23" s="5493"/>
      <c r="K23" s="5495"/>
      <c r="L23" s="5496"/>
      <c r="M23" s="5492"/>
      <c r="N23" s="5493"/>
      <c r="O23" s="5495"/>
      <c r="P23" s="5496"/>
      <c r="Q23" s="5492"/>
      <c r="R23" s="5493"/>
      <c r="S23" s="5495"/>
      <c r="T23" s="5496"/>
      <c r="U23" s="5492"/>
      <c r="V23" s="5493"/>
      <c r="W23" s="5495"/>
      <c r="X23" s="5496"/>
      <c r="Y23" s="5492"/>
      <c r="Z23" s="5493"/>
      <c r="AA23" s="5495"/>
      <c r="AB23" s="5496"/>
      <c r="AC23" s="5492"/>
      <c r="AD23" s="5493"/>
      <c r="AE23" s="5495"/>
      <c r="AF23" s="5496"/>
      <c r="AG23" s="5492"/>
      <c r="AH23" s="5493"/>
      <c r="AI23" s="5499"/>
      <c r="AJ23" s="5865"/>
      <c r="AK23" s="5478"/>
      <c r="AL23" s="5478"/>
      <c r="AM23" s="5478"/>
      <c r="AN23" s="4652"/>
      <c r="BX23" s="4653"/>
    </row>
    <row r="24" spans="1:108" ht="16.149999999999999" customHeight="1" x14ac:dyDescent="0.2">
      <c r="A24" s="5866" t="s">
        <v>24</v>
      </c>
      <c r="B24" s="5867">
        <f t="shared" ref="B24:AM24" si="2">SUM(B13:B23)</f>
        <v>0</v>
      </c>
      <c r="C24" s="5868">
        <f t="shared" si="2"/>
        <v>0</v>
      </c>
      <c r="D24" s="5869">
        <f t="shared" si="2"/>
        <v>0</v>
      </c>
      <c r="E24" s="5870">
        <f t="shared" si="2"/>
        <v>0</v>
      </c>
      <c r="F24" s="5871">
        <f t="shared" si="2"/>
        <v>0</v>
      </c>
      <c r="G24" s="5870">
        <f t="shared" si="2"/>
        <v>0</v>
      </c>
      <c r="H24" s="5872">
        <f t="shared" si="2"/>
        <v>0</v>
      </c>
      <c r="I24" s="5870">
        <f t="shared" si="2"/>
        <v>0</v>
      </c>
      <c r="J24" s="5872">
        <f t="shared" si="2"/>
        <v>0</v>
      </c>
      <c r="K24" s="5873">
        <f t="shared" si="2"/>
        <v>0</v>
      </c>
      <c r="L24" s="5874">
        <f t="shared" si="2"/>
        <v>0</v>
      </c>
      <c r="M24" s="5870">
        <f t="shared" si="2"/>
        <v>0</v>
      </c>
      <c r="N24" s="5872">
        <f t="shared" si="2"/>
        <v>0</v>
      </c>
      <c r="O24" s="5873">
        <f t="shared" si="2"/>
        <v>0</v>
      </c>
      <c r="P24" s="5874">
        <f t="shared" si="2"/>
        <v>0</v>
      </c>
      <c r="Q24" s="5870">
        <f t="shared" si="2"/>
        <v>0</v>
      </c>
      <c r="R24" s="5872">
        <f t="shared" si="2"/>
        <v>0</v>
      </c>
      <c r="S24" s="5873">
        <f t="shared" si="2"/>
        <v>0</v>
      </c>
      <c r="T24" s="5874">
        <f t="shared" si="2"/>
        <v>0</v>
      </c>
      <c r="U24" s="5870">
        <f t="shared" si="2"/>
        <v>0</v>
      </c>
      <c r="V24" s="5872">
        <f t="shared" si="2"/>
        <v>0</v>
      </c>
      <c r="W24" s="5873">
        <f t="shared" si="2"/>
        <v>0</v>
      </c>
      <c r="X24" s="5874">
        <f t="shared" si="2"/>
        <v>0</v>
      </c>
      <c r="Y24" s="5870">
        <f t="shared" si="2"/>
        <v>0</v>
      </c>
      <c r="Z24" s="5872">
        <f t="shared" si="2"/>
        <v>0</v>
      </c>
      <c r="AA24" s="5873">
        <f t="shared" si="2"/>
        <v>0</v>
      </c>
      <c r="AB24" s="5874">
        <f t="shared" si="2"/>
        <v>0</v>
      </c>
      <c r="AC24" s="5870">
        <f t="shared" si="2"/>
        <v>0</v>
      </c>
      <c r="AD24" s="5872">
        <f t="shared" si="2"/>
        <v>0</v>
      </c>
      <c r="AE24" s="5873">
        <f t="shared" si="2"/>
        <v>0</v>
      </c>
      <c r="AF24" s="5874">
        <f t="shared" si="2"/>
        <v>0</v>
      </c>
      <c r="AG24" s="5870">
        <f t="shared" si="2"/>
        <v>0</v>
      </c>
      <c r="AH24" s="5872">
        <f t="shared" si="2"/>
        <v>0</v>
      </c>
      <c r="AI24" s="5873">
        <f t="shared" si="2"/>
        <v>0</v>
      </c>
      <c r="AJ24" s="5875">
        <f t="shared" si="2"/>
        <v>0</v>
      </c>
      <c r="AK24" s="5871">
        <f t="shared" si="2"/>
        <v>0</v>
      </c>
      <c r="AL24" s="5871">
        <f t="shared" si="2"/>
        <v>0</v>
      </c>
      <c r="AM24" s="5871">
        <f t="shared" si="2"/>
        <v>0</v>
      </c>
      <c r="AN24" s="4652"/>
      <c r="BX24" s="4653"/>
    </row>
    <row r="25" spans="1:108" ht="31.9" customHeight="1" x14ac:dyDescent="0.2">
      <c r="A25" s="4661" t="s">
        <v>1928</v>
      </c>
      <c r="B25" s="4328"/>
      <c r="C25" s="5876"/>
      <c r="D25" s="5876"/>
      <c r="E25" s="4328"/>
      <c r="F25" s="5877"/>
      <c r="G25" s="5877"/>
      <c r="H25" s="5877"/>
      <c r="I25" s="5877"/>
      <c r="J25" s="5877"/>
      <c r="K25" s="5877"/>
      <c r="L25" s="5877"/>
      <c r="M25" s="5877"/>
      <c r="N25" s="5877"/>
      <c r="O25" s="5877"/>
      <c r="P25" s="5877"/>
      <c r="Q25" s="5877"/>
      <c r="R25" s="5877"/>
      <c r="S25" s="5877"/>
      <c r="T25" s="5877"/>
      <c r="U25" s="5877"/>
      <c r="V25" s="5877"/>
      <c r="W25" s="5878"/>
      <c r="X25" s="5878"/>
      <c r="Y25" s="5878"/>
      <c r="Z25" s="5878"/>
      <c r="AA25" s="5878"/>
      <c r="AB25" s="5878"/>
      <c r="AC25" s="5878"/>
      <c r="AD25" s="5878"/>
      <c r="AE25" s="5878"/>
      <c r="AF25" s="5878"/>
      <c r="AG25" s="5878"/>
      <c r="AH25" s="5878"/>
      <c r="AI25" s="5878"/>
      <c r="AJ25" s="5878"/>
      <c r="AK25" s="5878"/>
      <c r="AL25" s="5878"/>
    </row>
    <row r="26" spans="1:108" ht="16.149999999999999" customHeight="1" x14ac:dyDescent="0.2">
      <c r="A26" s="9820" t="s">
        <v>1908</v>
      </c>
      <c r="B26" s="9801"/>
      <c r="C26" s="9802" t="s">
        <v>24</v>
      </c>
      <c r="D26" s="9803"/>
      <c r="E26" s="9804"/>
      <c r="F26" s="9845" t="s">
        <v>2</v>
      </c>
      <c r="G26" s="9846"/>
      <c r="H26" s="9846"/>
      <c r="I26" s="9846"/>
      <c r="J26" s="9846"/>
      <c r="K26" s="9846"/>
      <c r="L26" s="9846"/>
      <c r="M26" s="9846"/>
      <c r="N26" s="9846"/>
      <c r="O26" s="9846"/>
      <c r="P26" s="9846"/>
      <c r="Q26" s="9846"/>
      <c r="R26" s="9846"/>
      <c r="S26" s="9846"/>
      <c r="T26" s="9846"/>
      <c r="U26" s="9846"/>
      <c r="V26" s="9846"/>
      <c r="W26" s="9846"/>
      <c r="X26" s="9846"/>
      <c r="Y26" s="9846"/>
      <c r="Z26" s="9846"/>
      <c r="AA26" s="9846"/>
      <c r="AB26" s="9846"/>
      <c r="AC26" s="9846"/>
      <c r="AD26" s="9846"/>
      <c r="AE26" s="9846"/>
      <c r="AF26" s="9846"/>
      <c r="AG26" s="9846"/>
      <c r="AH26" s="9846"/>
      <c r="AI26" s="9846"/>
      <c r="AJ26" s="9846"/>
      <c r="AK26" s="9889"/>
      <c r="AL26" s="9860" t="s">
        <v>2477</v>
      </c>
      <c r="AM26" s="9860" t="s">
        <v>360</v>
      </c>
      <c r="AN26" s="9860" t="s">
        <v>359</v>
      </c>
    </row>
    <row r="27" spans="1:108" ht="16.149999999999999" customHeight="1" x14ac:dyDescent="0.2">
      <c r="A27" s="9841"/>
      <c r="B27" s="8628"/>
      <c r="C27" s="9875"/>
      <c r="D27" s="9854"/>
      <c r="E27" s="9855"/>
      <c r="F27" s="9821" t="s">
        <v>1909</v>
      </c>
      <c r="G27" s="9801"/>
      <c r="H27" s="9821" t="s">
        <v>1910</v>
      </c>
      <c r="I27" s="9801"/>
      <c r="J27" s="9821" t="s">
        <v>1911</v>
      </c>
      <c r="K27" s="9801"/>
      <c r="L27" s="9821" t="s">
        <v>1912</v>
      </c>
      <c r="M27" s="9801"/>
      <c r="N27" s="9821" t="s">
        <v>1913</v>
      </c>
      <c r="O27" s="9801"/>
      <c r="P27" s="9821" t="s">
        <v>1914</v>
      </c>
      <c r="Q27" s="9801"/>
      <c r="R27" s="9821" t="s">
        <v>1915</v>
      </c>
      <c r="S27" s="9801"/>
      <c r="T27" s="9821" t="s">
        <v>124</v>
      </c>
      <c r="U27" s="9801"/>
      <c r="V27" s="9821" t="s">
        <v>125</v>
      </c>
      <c r="W27" s="9801"/>
      <c r="X27" s="9821" t="s">
        <v>126</v>
      </c>
      <c r="Y27" s="9801"/>
      <c r="Z27" s="9821" t="s">
        <v>127</v>
      </c>
      <c r="AA27" s="9801"/>
      <c r="AB27" s="9821" t="s">
        <v>128</v>
      </c>
      <c r="AC27" s="9801"/>
      <c r="AD27" s="9821" t="s">
        <v>129</v>
      </c>
      <c r="AE27" s="9801"/>
      <c r="AF27" s="9821" t="s">
        <v>130</v>
      </c>
      <c r="AG27" s="9801"/>
      <c r="AH27" s="9821" t="s">
        <v>131</v>
      </c>
      <c r="AI27" s="9801"/>
      <c r="AJ27" s="9821" t="s">
        <v>1916</v>
      </c>
      <c r="AK27" s="9890"/>
      <c r="AL27" s="8689"/>
      <c r="AM27" s="8689"/>
      <c r="AN27" s="8689"/>
    </row>
    <row r="28" spans="1:108" ht="16.149999999999999" customHeight="1" x14ac:dyDescent="0.2">
      <c r="A28" s="9841"/>
      <c r="B28" s="8628"/>
      <c r="C28" s="9805"/>
      <c r="D28" s="9806"/>
      <c r="E28" s="9807"/>
      <c r="F28" s="9829"/>
      <c r="G28" s="8629"/>
      <c r="H28" s="9829"/>
      <c r="I28" s="8629"/>
      <c r="J28" s="9829"/>
      <c r="K28" s="8629"/>
      <c r="L28" s="9829"/>
      <c r="M28" s="8629"/>
      <c r="N28" s="9829"/>
      <c r="O28" s="8629"/>
      <c r="P28" s="9829"/>
      <c r="Q28" s="8629"/>
      <c r="R28" s="9829"/>
      <c r="S28" s="8629"/>
      <c r="T28" s="9829"/>
      <c r="U28" s="8629"/>
      <c r="V28" s="9829"/>
      <c r="W28" s="8629"/>
      <c r="X28" s="9829"/>
      <c r="Y28" s="8629"/>
      <c r="Z28" s="9829"/>
      <c r="AA28" s="8629"/>
      <c r="AB28" s="9829"/>
      <c r="AC28" s="8629"/>
      <c r="AD28" s="9829"/>
      <c r="AE28" s="8629"/>
      <c r="AF28" s="9829"/>
      <c r="AG28" s="8629"/>
      <c r="AH28" s="9829"/>
      <c r="AI28" s="8629"/>
      <c r="AJ28" s="9829"/>
      <c r="AK28" s="9891"/>
      <c r="AL28" s="8689"/>
      <c r="AM28" s="8689"/>
      <c r="AN28" s="8689"/>
    </row>
    <row r="29" spans="1:108" ht="16.149999999999999" customHeight="1" x14ac:dyDescent="0.2">
      <c r="A29" s="9830"/>
      <c r="B29" s="8629"/>
      <c r="C29" s="5879" t="s">
        <v>42</v>
      </c>
      <c r="D29" s="5880" t="s">
        <v>17</v>
      </c>
      <c r="E29" s="4940" t="s">
        <v>18</v>
      </c>
      <c r="F29" s="4939" t="s">
        <v>17</v>
      </c>
      <c r="G29" s="4940" t="s">
        <v>18</v>
      </c>
      <c r="H29" s="4939" t="s">
        <v>17</v>
      </c>
      <c r="I29" s="4940" t="s">
        <v>18</v>
      </c>
      <c r="J29" s="4939" t="s">
        <v>17</v>
      </c>
      <c r="K29" s="4940" t="s">
        <v>18</v>
      </c>
      <c r="L29" s="4939" t="s">
        <v>17</v>
      </c>
      <c r="M29" s="4940" t="s">
        <v>18</v>
      </c>
      <c r="N29" s="4939" t="s">
        <v>17</v>
      </c>
      <c r="O29" s="4940" t="s">
        <v>18</v>
      </c>
      <c r="P29" s="4939" t="s">
        <v>17</v>
      </c>
      <c r="Q29" s="4940" t="s">
        <v>18</v>
      </c>
      <c r="R29" s="4939" t="s">
        <v>17</v>
      </c>
      <c r="S29" s="4940" t="s">
        <v>18</v>
      </c>
      <c r="T29" s="4939" t="s">
        <v>17</v>
      </c>
      <c r="U29" s="4940" t="s">
        <v>18</v>
      </c>
      <c r="V29" s="4939" t="s">
        <v>17</v>
      </c>
      <c r="W29" s="4940" t="s">
        <v>18</v>
      </c>
      <c r="X29" s="4939" t="s">
        <v>17</v>
      </c>
      <c r="Y29" s="4940" t="s">
        <v>18</v>
      </c>
      <c r="Z29" s="4939" t="s">
        <v>17</v>
      </c>
      <c r="AA29" s="4940" t="s">
        <v>18</v>
      </c>
      <c r="AB29" s="4939" t="s">
        <v>17</v>
      </c>
      <c r="AC29" s="4940" t="s">
        <v>18</v>
      </c>
      <c r="AD29" s="4939" t="s">
        <v>17</v>
      </c>
      <c r="AE29" s="4940" t="s">
        <v>18</v>
      </c>
      <c r="AF29" s="4939" t="s">
        <v>17</v>
      </c>
      <c r="AG29" s="4940" t="s">
        <v>18</v>
      </c>
      <c r="AH29" s="4939" t="s">
        <v>17</v>
      </c>
      <c r="AI29" s="4940" t="s">
        <v>18</v>
      </c>
      <c r="AJ29" s="4939" t="s">
        <v>17</v>
      </c>
      <c r="AK29" s="5881" t="s">
        <v>18</v>
      </c>
      <c r="AL29" s="8723"/>
      <c r="AM29" s="8723"/>
      <c r="AN29" s="8723"/>
    </row>
    <row r="30" spans="1:108" ht="16.149999999999999" customHeight="1" x14ac:dyDescent="0.2">
      <c r="A30" s="9884" t="s">
        <v>1929</v>
      </c>
      <c r="B30" s="4729" t="s">
        <v>1930</v>
      </c>
      <c r="C30" s="5882">
        <f t="shared" ref="C30:C42" si="3">SUM(D30+E30)</f>
        <v>0</v>
      </c>
      <c r="D30" s="5883">
        <f t="shared" ref="D30:E32" si="4">SUM(F30+H30)</f>
        <v>0</v>
      </c>
      <c r="E30" s="5484">
        <f t="shared" si="4"/>
        <v>0</v>
      </c>
      <c r="F30" s="5471"/>
      <c r="G30" s="5473"/>
      <c r="H30" s="5471"/>
      <c r="I30" s="5472"/>
      <c r="J30" s="5884"/>
      <c r="K30" s="5885"/>
      <c r="L30" s="5884"/>
      <c r="M30" s="5885"/>
      <c r="N30" s="5884"/>
      <c r="O30" s="5885"/>
      <c r="P30" s="5884"/>
      <c r="Q30" s="5885"/>
      <c r="R30" s="5884"/>
      <c r="S30" s="5885"/>
      <c r="T30" s="5884"/>
      <c r="U30" s="5885"/>
      <c r="V30" s="5884"/>
      <c r="W30" s="5885"/>
      <c r="X30" s="5884"/>
      <c r="Y30" s="5885"/>
      <c r="Z30" s="5884"/>
      <c r="AA30" s="5885"/>
      <c r="AB30" s="5884"/>
      <c r="AC30" s="5885"/>
      <c r="AD30" s="5884"/>
      <c r="AE30" s="5885"/>
      <c r="AF30" s="5884"/>
      <c r="AG30" s="5885"/>
      <c r="AH30" s="5886"/>
      <c r="AI30" s="5885"/>
      <c r="AJ30" s="5887"/>
      <c r="AK30" s="5888"/>
      <c r="AL30" s="5843"/>
      <c r="AM30" s="5843"/>
      <c r="AN30" s="5843"/>
      <c r="AO30" s="4652"/>
      <c r="DB30" s="4687">
        <v>0</v>
      </c>
      <c r="DD30" s="4687">
        <v>0</v>
      </c>
    </row>
    <row r="31" spans="1:108" ht="16.149999999999999" customHeight="1" x14ac:dyDescent="0.2">
      <c r="A31" s="9885"/>
      <c r="B31" s="4840" t="s">
        <v>1931</v>
      </c>
      <c r="C31" s="5882">
        <f t="shared" si="3"/>
        <v>0</v>
      </c>
      <c r="D31" s="5883">
        <f t="shared" si="4"/>
        <v>0</v>
      </c>
      <c r="E31" s="5484">
        <f t="shared" si="4"/>
        <v>0</v>
      </c>
      <c r="F31" s="5471"/>
      <c r="G31" s="5473"/>
      <c r="H31" s="5471"/>
      <c r="I31" s="5472"/>
      <c r="J31" s="5884"/>
      <c r="K31" s="5885"/>
      <c r="L31" s="5884"/>
      <c r="M31" s="5885"/>
      <c r="N31" s="5884"/>
      <c r="O31" s="5885"/>
      <c r="P31" s="5884"/>
      <c r="Q31" s="5885"/>
      <c r="R31" s="5884"/>
      <c r="S31" s="5885"/>
      <c r="T31" s="5884"/>
      <c r="U31" s="5885"/>
      <c r="V31" s="5884"/>
      <c r="W31" s="5885"/>
      <c r="X31" s="5884"/>
      <c r="Y31" s="5885"/>
      <c r="Z31" s="5884"/>
      <c r="AA31" s="5885"/>
      <c r="AB31" s="5884"/>
      <c r="AC31" s="5885"/>
      <c r="AD31" s="5884"/>
      <c r="AE31" s="5885"/>
      <c r="AF31" s="5884"/>
      <c r="AG31" s="5885"/>
      <c r="AH31" s="5856"/>
      <c r="AI31" s="5885"/>
      <c r="AJ31" s="5887"/>
      <c r="AK31" s="5889"/>
      <c r="AL31" s="5478"/>
      <c r="AM31" s="5478"/>
      <c r="AN31" s="5478"/>
      <c r="AO31" s="4652"/>
      <c r="DB31" s="4687">
        <v>0</v>
      </c>
      <c r="DD31" s="4687">
        <v>0</v>
      </c>
    </row>
    <row r="32" spans="1:108" ht="16.149999999999999" customHeight="1" x14ac:dyDescent="0.2">
      <c r="A32" s="9885"/>
      <c r="B32" s="5459" t="s">
        <v>1932</v>
      </c>
      <c r="C32" s="5890">
        <f t="shared" si="3"/>
        <v>0</v>
      </c>
      <c r="D32" s="5891">
        <f t="shared" si="4"/>
        <v>0</v>
      </c>
      <c r="E32" s="5485">
        <f t="shared" si="4"/>
        <v>0</v>
      </c>
      <c r="F32" s="5892"/>
      <c r="G32" s="5893"/>
      <c r="H32" s="5892"/>
      <c r="I32" s="5894"/>
      <c r="J32" s="5895"/>
      <c r="K32" s="5896"/>
      <c r="L32" s="5895"/>
      <c r="M32" s="5896"/>
      <c r="N32" s="5895"/>
      <c r="O32" s="5896"/>
      <c r="P32" s="5895"/>
      <c r="Q32" s="5896"/>
      <c r="R32" s="5895"/>
      <c r="S32" s="5896"/>
      <c r="T32" s="5895"/>
      <c r="U32" s="5896"/>
      <c r="V32" s="5895"/>
      <c r="W32" s="5896"/>
      <c r="X32" s="5895"/>
      <c r="Y32" s="5896"/>
      <c r="Z32" s="5895"/>
      <c r="AA32" s="5896"/>
      <c r="AB32" s="5895"/>
      <c r="AC32" s="5896"/>
      <c r="AD32" s="5895"/>
      <c r="AE32" s="5896"/>
      <c r="AF32" s="5895"/>
      <c r="AG32" s="5896"/>
      <c r="AH32" s="5895"/>
      <c r="AI32" s="5896"/>
      <c r="AJ32" s="5897"/>
      <c r="AK32" s="5898"/>
      <c r="AL32" s="5488"/>
      <c r="AM32" s="5488"/>
      <c r="AN32" s="5488"/>
      <c r="AO32" s="4652"/>
      <c r="DB32" s="4687">
        <v>0</v>
      </c>
      <c r="DD32" s="4687">
        <v>0</v>
      </c>
    </row>
    <row r="33" spans="1:108" ht="16.149999999999999" customHeight="1" x14ac:dyDescent="0.2">
      <c r="A33" s="9886" t="s">
        <v>1933</v>
      </c>
      <c r="B33" s="4729" t="s">
        <v>1930</v>
      </c>
      <c r="C33" s="5899">
        <f t="shared" si="3"/>
        <v>0</v>
      </c>
      <c r="D33" s="5900">
        <f t="shared" ref="D33:E35" si="5">SUM(H33+J33+L33+N33+P33+R33+T33+V33+X33+Z33+AB33+AD33+AF33+AH33+AJ33)</f>
        <v>0</v>
      </c>
      <c r="E33" s="5841">
        <f t="shared" si="5"/>
        <v>0</v>
      </c>
      <c r="F33" s="5901"/>
      <c r="G33" s="5902"/>
      <c r="H33" s="5842"/>
      <c r="I33" s="5844"/>
      <c r="J33" s="5842"/>
      <c r="K33" s="5843"/>
      <c r="L33" s="5842"/>
      <c r="M33" s="5843"/>
      <c r="N33" s="5842"/>
      <c r="O33" s="5844"/>
      <c r="P33" s="5842"/>
      <c r="Q33" s="5843"/>
      <c r="R33" s="5842"/>
      <c r="S33" s="5843"/>
      <c r="T33" s="5842"/>
      <c r="U33" s="5843"/>
      <c r="V33" s="5842"/>
      <c r="W33" s="5844"/>
      <c r="X33" s="5842"/>
      <c r="Y33" s="5843"/>
      <c r="Z33" s="5842"/>
      <c r="AA33" s="5843"/>
      <c r="AB33" s="5842"/>
      <c r="AC33" s="5844"/>
      <c r="AD33" s="5842"/>
      <c r="AE33" s="5843"/>
      <c r="AF33" s="5842"/>
      <c r="AG33" s="5843"/>
      <c r="AH33" s="5842"/>
      <c r="AI33" s="5844"/>
      <c r="AJ33" s="5903"/>
      <c r="AK33" s="5848"/>
      <c r="AL33" s="5843"/>
      <c r="AM33" s="5843"/>
      <c r="AN33" s="5843"/>
      <c r="AO33" s="4652"/>
      <c r="DB33" s="4687">
        <v>0</v>
      </c>
      <c r="DD33" s="4687">
        <v>0</v>
      </c>
    </row>
    <row r="34" spans="1:108" ht="16.149999999999999" customHeight="1" x14ac:dyDescent="0.2">
      <c r="A34" s="9887"/>
      <c r="B34" s="4840" t="s">
        <v>1931</v>
      </c>
      <c r="C34" s="5882">
        <f t="shared" si="3"/>
        <v>0</v>
      </c>
      <c r="D34" s="5883">
        <f t="shared" si="5"/>
        <v>0</v>
      </c>
      <c r="E34" s="5484">
        <f t="shared" si="5"/>
        <v>0</v>
      </c>
      <c r="F34" s="5904"/>
      <c r="G34" s="5905"/>
      <c r="H34" s="5476"/>
      <c r="I34" s="5472"/>
      <c r="J34" s="5471"/>
      <c r="K34" s="5473"/>
      <c r="L34" s="5471"/>
      <c r="M34" s="5473"/>
      <c r="N34" s="5471"/>
      <c r="O34" s="5472"/>
      <c r="P34" s="5471"/>
      <c r="Q34" s="5473"/>
      <c r="R34" s="5471"/>
      <c r="S34" s="5473"/>
      <c r="T34" s="5471"/>
      <c r="U34" s="5473"/>
      <c r="V34" s="5471"/>
      <c r="W34" s="5472"/>
      <c r="X34" s="5471"/>
      <c r="Y34" s="5473"/>
      <c r="Z34" s="5471"/>
      <c r="AA34" s="5473"/>
      <c r="AB34" s="5471"/>
      <c r="AC34" s="5472"/>
      <c r="AD34" s="5471"/>
      <c r="AE34" s="5473"/>
      <c r="AF34" s="5471"/>
      <c r="AG34" s="5473"/>
      <c r="AH34" s="5471"/>
      <c r="AI34" s="5472"/>
      <c r="AJ34" s="5906"/>
      <c r="AK34" s="4714"/>
      <c r="AL34" s="5478"/>
      <c r="AM34" s="5478"/>
      <c r="AN34" s="5478"/>
      <c r="AO34" s="4652"/>
    </row>
    <row r="35" spans="1:108" ht="16.149999999999999" customHeight="1" x14ac:dyDescent="0.2">
      <c r="A35" s="9888"/>
      <c r="B35" s="5464" t="s">
        <v>1932</v>
      </c>
      <c r="C35" s="5890">
        <f t="shared" si="3"/>
        <v>0</v>
      </c>
      <c r="D35" s="5891">
        <f t="shared" si="5"/>
        <v>0</v>
      </c>
      <c r="E35" s="5484">
        <f t="shared" si="5"/>
        <v>0</v>
      </c>
      <c r="F35" s="5904"/>
      <c r="G35" s="5907"/>
      <c r="H35" s="5492"/>
      <c r="I35" s="5493"/>
      <c r="J35" s="5492"/>
      <c r="K35" s="5493"/>
      <c r="L35" s="5492"/>
      <c r="M35" s="5493"/>
      <c r="N35" s="5492"/>
      <c r="O35" s="5493"/>
      <c r="P35" s="5492"/>
      <c r="Q35" s="5493"/>
      <c r="R35" s="5492"/>
      <c r="S35" s="5493"/>
      <c r="T35" s="5492"/>
      <c r="U35" s="5493"/>
      <c r="V35" s="5492"/>
      <c r="W35" s="5493"/>
      <c r="X35" s="5492"/>
      <c r="Y35" s="5493"/>
      <c r="Z35" s="5492"/>
      <c r="AA35" s="5493"/>
      <c r="AB35" s="5492"/>
      <c r="AC35" s="5493"/>
      <c r="AD35" s="5492"/>
      <c r="AE35" s="5493"/>
      <c r="AF35" s="5492"/>
      <c r="AG35" s="5493"/>
      <c r="AH35" s="5492"/>
      <c r="AI35" s="5493"/>
      <c r="AJ35" s="5908"/>
      <c r="AK35" s="5865"/>
      <c r="AL35" s="5494"/>
      <c r="AM35" s="5494"/>
      <c r="AN35" s="5494"/>
      <c r="AO35" s="4652"/>
    </row>
    <row r="36" spans="1:108" ht="16.149999999999999" customHeight="1" x14ac:dyDescent="0.2">
      <c r="A36" s="9877" t="s">
        <v>1934</v>
      </c>
      <c r="B36" s="4729" t="s">
        <v>1935</v>
      </c>
      <c r="C36" s="5899">
        <f t="shared" si="3"/>
        <v>0</v>
      </c>
      <c r="D36" s="5900">
        <f>SUM(T36+V36+X36+Z36+AB36+AD36+AF36+AH36+AJ36)</f>
        <v>0</v>
      </c>
      <c r="E36" s="5841">
        <f>SUM(U36+W36+Y36+AA36+AC36+AE36+AG36+AI36+AK36)</f>
        <v>0</v>
      </c>
      <c r="F36" s="5909"/>
      <c r="G36" s="5910"/>
      <c r="H36" s="5909"/>
      <c r="I36" s="5910"/>
      <c r="J36" s="5909"/>
      <c r="K36" s="5910"/>
      <c r="L36" s="5909"/>
      <c r="M36" s="5910"/>
      <c r="N36" s="5909"/>
      <c r="O36" s="5910"/>
      <c r="P36" s="5909"/>
      <c r="Q36" s="5910"/>
      <c r="R36" s="5909"/>
      <c r="S36" s="5910"/>
      <c r="T36" s="5842"/>
      <c r="U36" s="5844"/>
      <c r="V36" s="5842"/>
      <c r="W36" s="5844"/>
      <c r="X36" s="5842"/>
      <c r="Y36" s="5844"/>
      <c r="Z36" s="5842"/>
      <c r="AA36" s="5844"/>
      <c r="AB36" s="5842"/>
      <c r="AC36" s="5844"/>
      <c r="AD36" s="5842"/>
      <c r="AE36" s="5844"/>
      <c r="AF36" s="5842"/>
      <c r="AG36" s="5844"/>
      <c r="AH36" s="5842"/>
      <c r="AI36" s="5844"/>
      <c r="AJ36" s="5903"/>
      <c r="AK36" s="5848"/>
      <c r="AL36" s="5843"/>
      <c r="AM36" s="5843"/>
      <c r="AN36" s="5843"/>
      <c r="AO36" s="4652"/>
      <c r="DB36" s="4687">
        <v>0</v>
      </c>
      <c r="DD36" s="4687">
        <v>0</v>
      </c>
    </row>
    <row r="37" spans="1:108" ht="16.149999999999999" customHeight="1" x14ac:dyDescent="0.2">
      <c r="A37" s="9878"/>
      <c r="B37" s="5464" t="s">
        <v>1936</v>
      </c>
      <c r="C37" s="5911">
        <f t="shared" si="3"/>
        <v>0</v>
      </c>
      <c r="D37" s="5912">
        <f t="shared" ref="D37:E42" si="6">SUM(F37+H37+J37+L37+N37+P37+R37+T37+V37+X37+Z37+AB37+AD37+AF37+AH37+AJ37)</f>
        <v>0</v>
      </c>
      <c r="E37" s="5491">
        <f t="shared" si="6"/>
        <v>0</v>
      </c>
      <c r="F37" s="5913"/>
      <c r="G37" s="5914"/>
      <c r="H37" s="5913"/>
      <c r="I37" s="5914"/>
      <c r="J37" s="5913"/>
      <c r="K37" s="5914"/>
      <c r="L37" s="5913"/>
      <c r="M37" s="5914"/>
      <c r="N37" s="5913"/>
      <c r="O37" s="5914"/>
      <c r="P37" s="5913"/>
      <c r="Q37" s="5914"/>
      <c r="R37" s="5913"/>
      <c r="S37" s="5914"/>
      <c r="T37" s="5492"/>
      <c r="U37" s="5493"/>
      <c r="V37" s="5492"/>
      <c r="W37" s="5493"/>
      <c r="X37" s="5492"/>
      <c r="Y37" s="5493"/>
      <c r="Z37" s="5492"/>
      <c r="AA37" s="5493"/>
      <c r="AB37" s="5492"/>
      <c r="AC37" s="5493"/>
      <c r="AD37" s="5492"/>
      <c r="AE37" s="5493"/>
      <c r="AF37" s="5492"/>
      <c r="AG37" s="5493"/>
      <c r="AH37" s="5492"/>
      <c r="AI37" s="5493"/>
      <c r="AJ37" s="5908"/>
      <c r="AK37" s="5865"/>
      <c r="AL37" s="5494"/>
      <c r="AM37" s="5494"/>
      <c r="AN37" s="5494"/>
      <c r="AO37" s="4652"/>
    </row>
    <row r="38" spans="1:108" ht="16.149999999999999" customHeight="1" x14ac:dyDescent="0.2">
      <c r="A38" s="9879" t="s">
        <v>1937</v>
      </c>
      <c r="B38" s="9880"/>
      <c r="C38" s="5915">
        <f t="shared" si="3"/>
        <v>0</v>
      </c>
      <c r="D38" s="5916">
        <f t="shared" si="6"/>
        <v>0</v>
      </c>
      <c r="E38" s="5484">
        <f t="shared" si="6"/>
        <v>0</v>
      </c>
      <c r="F38" s="5471"/>
      <c r="G38" s="5473"/>
      <c r="H38" s="5471"/>
      <c r="I38" s="5472"/>
      <c r="J38" s="5471"/>
      <c r="K38" s="5472"/>
      <c r="L38" s="5471"/>
      <c r="M38" s="5472"/>
      <c r="N38" s="5471"/>
      <c r="O38" s="5472"/>
      <c r="P38" s="5471"/>
      <c r="Q38" s="5472"/>
      <c r="R38" s="5471"/>
      <c r="S38" s="5472"/>
      <c r="T38" s="5471"/>
      <c r="U38" s="5472"/>
      <c r="V38" s="5471"/>
      <c r="W38" s="5472"/>
      <c r="X38" s="5471"/>
      <c r="Y38" s="5472"/>
      <c r="Z38" s="5471"/>
      <c r="AA38" s="5472"/>
      <c r="AB38" s="5471"/>
      <c r="AC38" s="5472"/>
      <c r="AD38" s="5471"/>
      <c r="AE38" s="5472"/>
      <c r="AF38" s="5471"/>
      <c r="AG38" s="5472"/>
      <c r="AH38" s="5471"/>
      <c r="AI38" s="5472"/>
      <c r="AJ38" s="5906"/>
      <c r="AK38" s="4714"/>
      <c r="AL38" s="5473"/>
      <c r="AM38" s="5473"/>
      <c r="AN38" s="5473"/>
      <c r="AO38" s="4652"/>
      <c r="DB38" s="4687">
        <v>0</v>
      </c>
      <c r="DD38" s="4687">
        <v>0</v>
      </c>
    </row>
    <row r="39" spans="1:108" ht="16.149999999999999" customHeight="1" x14ac:dyDescent="0.2">
      <c r="A39" s="9881" t="s">
        <v>1938</v>
      </c>
      <c r="B39" s="9825"/>
      <c r="C39" s="5917">
        <f t="shared" si="3"/>
        <v>0</v>
      </c>
      <c r="D39" s="5918">
        <f t="shared" si="6"/>
        <v>0</v>
      </c>
      <c r="E39" s="5851">
        <f t="shared" si="6"/>
        <v>0</v>
      </c>
      <c r="F39" s="5476"/>
      <c r="G39" s="5478"/>
      <c r="H39" s="5476"/>
      <c r="I39" s="5477"/>
      <c r="J39" s="5476"/>
      <c r="K39" s="5477"/>
      <c r="L39" s="5476"/>
      <c r="M39" s="5477"/>
      <c r="N39" s="5476"/>
      <c r="O39" s="5477"/>
      <c r="P39" s="5476"/>
      <c r="Q39" s="5477"/>
      <c r="R39" s="5476"/>
      <c r="S39" s="5477"/>
      <c r="T39" s="5476"/>
      <c r="U39" s="5477"/>
      <c r="V39" s="5476"/>
      <c r="W39" s="5477"/>
      <c r="X39" s="5476"/>
      <c r="Y39" s="5477"/>
      <c r="Z39" s="5476"/>
      <c r="AA39" s="5477"/>
      <c r="AB39" s="5476"/>
      <c r="AC39" s="5477"/>
      <c r="AD39" s="5476"/>
      <c r="AE39" s="5477"/>
      <c r="AF39" s="5476"/>
      <c r="AG39" s="5477"/>
      <c r="AH39" s="5476"/>
      <c r="AI39" s="5477"/>
      <c r="AJ39" s="5919"/>
      <c r="AK39" s="5852"/>
      <c r="AL39" s="5478"/>
      <c r="AM39" s="5478"/>
      <c r="AN39" s="5478"/>
      <c r="AO39" s="4652"/>
      <c r="DB39" s="4687">
        <v>0</v>
      </c>
      <c r="DD39" s="4687">
        <v>0</v>
      </c>
    </row>
    <row r="40" spans="1:108" ht="16.149999999999999" customHeight="1" x14ac:dyDescent="0.2">
      <c r="A40" s="9882" t="s">
        <v>1939</v>
      </c>
      <c r="B40" s="9883"/>
      <c r="C40" s="5920">
        <f t="shared" si="3"/>
        <v>0</v>
      </c>
      <c r="D40" s="5921">
        <f t="shared" si="6"/>
        <v>0</v>
      </c>
      <c r="E40" s="5851">
        <f t="shared" si="6"/>
        <v>0</v>
      </c>
      <c r="F40" s="5476"/>
      <c r="G40" s="5478"/>
      <c r="H40" s="5476"/>
      <c r="I40" s="5477"/>
      <c r="J40" s="5476"/>
      <c r="K40" s="5477"/>
      <c r="L40" s="5476"/>
      <c r="M40" s="5477"/>
      <c r="N40" s="5476"/>
      <c r="O40" s="5477"/>
      <c r="P40" s="5476"/>
      <c r="Q40" s="5477"/>
      <c r="R40" s="5476"/>
      <c r="S40" s="5477"/>
      <c r="T40" s="5476"/>
      <c r="U40" s="5477"/>
      <c r="V40" s="5476"/>
      <c r="W40" s="5477"/>
      <c r="X40" s="5476"/>
      <c r="Y40" s="5477"/>
      <c r="Z40" s="5476"/>
      <c r="AA40" s="5477"/>
      <c r="AB40" s="5476"/>
      <c r="AC40" s="5477"/>
      <c r="AD40" s="5476"/>
      <c r="AE40" s="5477"/>
      <c r="AF40" s="5476"/>
      <c r="AG40" s="5477"/>
      <c r="AH40" s="5476"/>
      <c r="AI40" s="5477"/>
      <c r="AJ40" s="5919"/>
      <c r="AK40" s="5852"/>
      <c r="AL40" s="5478"/>
      <c r="AM40" s="5478"/>
      <c r="AN40" s="5478"/>
      <c r="AO40" s="4652"/>
      <c r="DB40" s="4687">
        <v>0</v>
      </c>
      <c r="DD40" s="4687">
        <v>0</v>
      </c>
    </row>
    <row r="41" spans="1:108" ht="16.149999999999999" customHeight="1" x14ac:dyDescent="0.2">
      <c r="A41" s="9824" t="s">
        <v>1940</v>
      </c>
      <c r="B41" s="9825"/>
      <c r="C41" s="5917">
        <f t="shared" si="3"/>
        <v>0</v>
      </c>
      <c r="D41" s="5918">
        <f t="shared" si="6"/>
        <v>0</v>
      </c>
      <c r="E41" s="5851">
        <f t="shared" si="6"/>
        <v>0</v>
      </c>
      <c r="F41" s="5476"/>
      <c r="G41" s="5478"/>
      <c r="H41" s="5476"/>
      <c r="I41" s="5477"/>
      <c r="J41" s="5476"/>
      <c r="K41" s="5477"/>
      <c r="L41" s="5476"/>
      <c r="M41" s="5477"/>
      <c r="N41" s="5476"/>
      <c r="O41" s="5477"/>
      <c r="P41" s="5476"/>
      <c r="Q41" s="5477"/>
      <c r="R41" s="5476"/>
      <c r="S41" s="5477"/>
      <c r="T41" s="5476"/>
      <c r="U41" s="5477"/>
      <c r="V41" s="5476"/>
      <c r="W41" s="5477"/>
      <c r="X41" s="5476"/>
      <c r="Y41" s="5477"/>
      <c r="Z41" s="5476"/>
      <c r="AA41" s="5477"/>
      <c r="AB41" s="5476"/>
      <c r="AC41" s="5477"/>
      <c r="AD41" s="5476"/>
      <c r="AE41" s="5477"/>
      <c r="AF41" s="5476"/>
      <c r="AG41" s="5477"/>
      <c r="AH41" s="5476"/>
      <c r="AI41" s="5477"/>
      <c r="AJ41" s="5919"/>
      <c r="AK41" s="5852"/>
      <c r="AL41" s="5478"/>
      <c r="AM41" s="5478"/>
      <c r="AN41" s="5478"/>
      <c r="AO41" s="4652"/>
      <c r="DB41" s="4687">
        <v>0</v>
      </c>
      <c r="DD41" s="4687">
        <v>0</v>
      </c>
    </row>
    <row r="42" spans="1:108" ht="16.149999999999999" customHeight="1" x14ac:dyDescent="0.2">
      <c r="A42" s="9826" t="s">
        <v>1941</v>
      </c>
      <c r="B42" s="9827"/>
      <c r="C42" s="5922">
        <f t="shared" si="3"/>
        <v>0</v>
      </c>
      <c r="D42" s="5923">
        <f t="shared" si="6"/>
        <v>0</v>
      </c>
      <c r="E42" s="5851">
        <f t="shared" si="6"/>
        <v>0</v>
      </c>
      <c r="F42" s="5492"/>
      <c r="G42" s="5494"/>
      <c r="H42" s="5492"/>
      <c r="I42" s="5493"/>
      <c r="J42" s="5492"/>
      <c r="K42" s="5493"/>
      <c r="L42" s="5492"/>
      <c r="M42" s="5493"/>
      <c r="N42" s="5492"/>
      <c r="O42" s="5493"/>
      <c r="P42" s="5492"/>
      <c r="Q42" s="5493"/>
      <c r="R42" s="5492"/>
      <c r="S42" s="5493"/>
      <c r="T42" s="5492"/>
      <c r="U42" s="5493"/>
      <c r="V42" s="5492"/>
      <c r="W42" s="5493"/>
      <c r="X42" s="5492"/>
      <c r="Y42" s="5493"/>
      <c r="Z42" s="5492"/>
      <c r="AA42" s="5493"/>
      <c r="AB42" s="5492"/>
      <c r="AC42" s="5493"/>
      <c r="AD42" s="5492"/>
      <c r="AE42" s="5493"/>
      <c r="AF42" s="5492"/>
      <c r="AG42" s="5493"/>
      <c r="AH42" s="5492"/>
      <c r="AI42" s="5493"/>
      <c r="AJ42" s="5908"/>
      <c r="AK42" s="5865"/>
      <c r="AL42" s="5494"/>
      <c r="AM42" s="5494"/>
      <c r="AN42" s="5494"/>
      <c r="AO42" s="4652"/>
      <c r="DB42" s="4687">
        <v>0</v>
      </c>
      <c r="DD42" s="4687">
        <v>0</v>
      </c>
    </row>
    <row r="43" spans="1:108" ht="16.149999999999999" customHeight="1" x14ac:dyDescent="0.2">
      <c r="A43" s="9828" t="s">
        <v>24</v>
      </c>
      <c r="B43" s="9828"/>
      <c r="C43" s="5924">
        <f t="shared" ref="C43:AL43" si="7">SUM(C30:C42)</f>
        <v>0</v>
      </c>
      <c r="D43" s="5925">
        <f t="shared" si="7"/>
        <v>0</v>
      </c>
      <c r="E43" s="5926">
        <f t="shared" si="7"/>
        <v>0</v>
      </c>
      <c r="F43" s="5870">
        <f t="shared" si="7"/>
        <v>0</v>
      </c>
      <c r="G43" s="5871">
        <f t="shared" si="7"/>
        <v>0</v>
      </c>
      <c r="H43" s="5870">
        <f t="shared" si="7"/>
        <v>0</v>
      </c>
      <c r="I43" s="5871">
        <f t="shared" si="7"/>
        <v>0</v>
      </c>
      <c r="J43" s="5870">
        <f t="shared" si="7"/>
        <v>0</v>
      </c>
      <c r="K43" s="5871">
        <f t="shared" si="7"/>
        <v>0</v>
      </c>
      <c r="L43" s="5927">
        <f t="shared" si="7"/>
        <v>0</v>
      </c>
      <c r="M43" s="5872">
        <f t="shared" si="7"/>
        <v>0</v>
      </c>
      <c r="N43" s="5927">
        <f t="shared" si="7"/>
        <v>0</v>
      </c>
      <c r="O43" s="5872">
        <f t="shared" si="7"/>
        <v>0</v>
      </c>
      <c r="P43" s="5928">
        <f t="shared" si="7"/>
        <v>0</v>
      </c>
      <c r="Q43" s="5872">
        <f t="shared" si="7"/>
        <v>0</v>
      </c>
      <c r="R43" s="5927">
        <f t="shared" si="7"/>
        <v>0</v>
      </c>
      <c r="S43" s="5872">
        <f t="shared" si="7"/>
        <v>0</v>
      </c>
      <c r="T43" s="5870">
        <f t="shared" si="7"/>
        <v>0</v>
      </c>
      <c r="U43" s="5929">
        <f t="shared" si="7"/>
        <v>0</v>
      </c>
      <c r="V43" s="5870">
        <f t="shared" si="7"/>
        <v>0</v>
      </c>
      <c r="W43" s="5929">
        <f t="shared" si="7"/>
        <v>0</v>
      </c>
      <c r="X43" s="5870">
        <f t="shared" si="7"/>
        <v>0</v>
      </c>
      <c r="Y43" s="5929">
        <f t="shared" si="7"/>
        <v>0</v>
      </c>
      <c r="Z43" s="5927">
        <f t="shared" si="7"/>
        <v>0</v>
      </c>
      <c r="AA43" s="5872">
        <f t="shared" si="7"/>
        <v>0</v>
      </c>
      <c r="AB43" s="5927">
        <f t="shared" si="7"/>
        <v>0</v>
      </c>
      <c r="AC43" s="5872">
        <f t="shared" si="7"/>
        <v>0</v>
      </c>
      <c r="AD43" s="5928">
        <f t="shared" si="7"/>
        <v>0</v>
      </c>
      <c r="AE43" s="5872">
        <f t="shared" si="7"/>
        <v>0</v>
      </c>
      <c r="AF43" s="5927">
        <f t="shared" si="7"/>
        <v>0</v>
      </c>
      <c r="AG43" s="5872">
        <f t="shared" si="7"/>
        <v>0</v>
      </c>
      <c r="AH43" s="5927">
        <f t="shared" si="7"/>
        <v>0</v>
      </c>
      <c r="AI43" s="5872">
        <f t="shared" si="7"/>
        <v>0</v>
      </c>
      <c r="AJ43" s="5927">
        <f t="shared" si="7"/>
        <v>0</v>
      </c>
      <c r="AK43" s="5875">
        <f t="shared" si="7"/>
        <v>0</v>
      </c>
      <c r="AL43" s="7422">
        <f t="shared" si="7"/>
        <v>0</v>
      </c>
      <c r="AM43" s="7423">
        <f>SUM(AM30:AM42)</f>
        <v>0</v>
      </c>
      <c r="AN43" s="7424">
        <f>SUM(AN30:AN42)</f>
        <v>0</v>
      </c>
      <c r="AO43" s="4653"/>
      <c r="AP43" s="4657"/>
      <c r="AQ43" s="4657"/>
      <c r="AR43" s="4657"/>
      <c r="AS43" s="4657"/>
      <c r="AT43" s="4657"/>
      <c r="AU43" s="4657"/>
      <c r="AV43" s="4657"/>
      <c r="AW43" s="4657"/>
      <c r="AX43" s="4657"/>
      <c r="AY43" s="4657"/>
      <c r="AZ43" s="4657"/>
      <c r="BA43" s="4657"/>
      <c r="BB43" s="4657"/>
    </row>
    <row r="44" spans="1:108" ht="31.9" customHeight="1" x14ac:dyDescent="0.2">
      <c r="A44" s="4661" t="s">
        <v>3812</v>
      </c>
      <c r="B44" s="5878"/>
      <c r="C44" s="5878"/>
      <c r="D44" s="5878"/>
      <c r="E44" s="5878"/>
      <c r="F44" s="5878"/>
      <c r="G44" s="5878"/>
      <c r="H44" s="5878"/>
      <c r="I44" s="5878"/>
      <c r="J44" s="5878"/>
      <c r="K44" s="5878"/>
      <c r="L44" s="5878"/>
      <c r="M44" s="5878"/>
      <c r="N44" s="5878"/>
      <c r="O44" s="5878"/>
      <c r="P44" s="5878"/>
      <c r="Q44" s="5878"/>
      <c r="R44" s="5878"/>
      <c r="S44" s="5878"/>
      <c r="T44" s="5878"/>
      <c r="U44" s="5878"/>
      <c r="V44" s="5878"/>
      <c r="W44" s="5878"/>
      <c r="X44" s="5878"/>
      <c r="Y44" s="5878"/>
      <c r="Z44" s="5878"/>
      <c r="AA44" s="5878"/>
      <c r="AB44" s="5878"/>
      <c r="AC44" s="5878"/>
      <c r="AD44" s="5878"/>
      <c r="AE44" s="5878"/>
      <c r="AF44" s="5878"/>
      <c r="AG44" s="5878"/>
      <c r="AH44" s="5878"/>
      <c r="AI44" s="5878"/>
      <c r="AJ44" s="5878"/>
      <c r="AK44" s="5878"/>
      <c r="AL44" s="5836"/>
      <c r="AN44" s="4657"/>
      <c r="AO44" s="4657"/>
      <c r="AP44" s="4657"/>
      <c r="AQ44" s="4657"/>
      <c r="AR44" s="4657"/>
      <c r="AS44" s="4657"/>
      <c r="AT44" s="4657"/>
      <c r="AU44" s="4657"/>
      <c r="AV44" s="4657"/>
      <c r="AW44" s="4657"/>
      <c r="AX44" s="4657"/>
      <c r="AY44" s="4657"/>
      <c r="AZ44" s="4657"/>
      <c r="BA44" s="4657"/>
      <c r="BB44" s="4657"/>
      <c r="CG44" s="4688">
        <v>0</v>
      </c>
      <c r="DA44" s="4687">
        <v>0</v>
      </c>
    </row>
    <row r="45" spans="1:108" ht="12.75" customHeight="1" x14ac:dyDescent="0.2">
      <c r="A45" s="9831" t="s">
        <v>1942</v>
      </c>
      <c r="B45" s="9834" t="s">
        <v>24</v>
      </c>
      <c r="C45" s="9835"/>
      <c r="D45" s="9835"/>
      <c r="E45" s="9910" t="s">
        <v>2</v>
      </c>
      <c r="F45" s="9911"/>
      <c r="G45" s="9911"/>
      <c r="H45" s="9911"/>
      <c r="I45" s="9911"/>
      <c r="J45" s="9911"/>
      <c r="K45" s="9911"/>
      <c r="L45" s="9911"/>
      <c r="M45" s="9911"/>
      <c r="N45" s="9911"/>
      <c r="O45" s="9911"/>
      <c r="P45" s="9911"/>
      <c r="Q45" s="9911"/>
      <c r="R45" s="9911"/>
      <c r="S45" s="9911"/>
      <c r="T45" s="9911"/>
      <c r="U45" s="9911"/>
      <c r="V45" s="9911"/>
      <c r="W45" s="9911"/>
      <c r="X45" s="9911"/>
      <c r="Y45" s="9911"/>
      <c r="Z45" s="9911"/>
      <c r="AA45" s="9911"/>
      <c r="AB45" s="9911"/>
      <c r="AC45" s="9911"/>
      <c r="AD45" s="9911"/>
      <c r="AE45" s="9911"/>
      <c r="AF45" s="9911"/>
      <c r="AG45" s="9911"/>
      <c r="AH45" s="9911"/>
      <c r="AI45" s="9911"/>
      <c r="AJ45" s="9912"/>
      <c r="AK45" s="9913" t="s">
        <v>74</v>
      </c>
      <c r="AL45" s="9914"/>
      <c r="AM45" s="4657"/>
      <c r="AN45" s="4657"/>
      <c r="AO45" s="4657"/>
      <c r="AP45" s="4657"/>
      <c r="AQ45" s="4657"/>
      <c r="AR45" s="4657"/>
      <c r="AS45" s="4657"/>
      <c r="AT45" s="4657"/>
      <c r="AU45" s="4657"/>
      <c r="AV45" s="4657"/>
      <c r="AW45" s="4657"/>
      <c r="AX45" s="4657"/>
      <c r="AY45" s="4657"/>
      <c r="AZ45" s="4657"/>
      <c r="BA45" s="4657"/>
      <c r="BX45" s="4653"/>
      <c r="CG45" s="4688">
        <v>0</v>
      </c>
    </row>
    <row r="46" spans="1:108" ht="11.25" customHeight="1" x14ac:dyDescent="0.2">
      <c r="A46" s="9832"/>
      <c r="B46" s="9836"/>
      <c r="C46" s="9837"/>
      <c r="D46" s="9837"/>
      <c r="E46" s="9821" t="s">
        <v>1909</v>
      </c>
      <c r="F46" s="9801"/>
      <c r="G46" s="9821" t="s">
        <v>1910</v>
      </c>
      <c r="H46" s="9801"/>
      <c r="I46" s="9821" t="s">
        <v>1911</v>
      </c>
      <c r="J46" s="9801"/>
      <c r="K46" s="9821" t="s">
        <v>1912</v>
      </c>
      <c r="L46" s="9801"/>
      <c r="M46" s="9821" t="s">
        <v>1913</v>
      </c>
      <c r="N46" s="9801"/>
      <c r="O46" s="9821" t="s">
        <v>1914</v>
      </c>
      <c r="P46" s="9801"/>
      <c r="Q46" s="9821" t="s">
        <v>1915</v>
      </c>
      <c r="R46" s="9801"/>
      <c r="S46" s="9821" t="s">
        <v>124</v>
      </c>
      <c r="T46" s="9801"/>
      <c r="U46" s="9821" t="s">
        <v>125</v>
      </c>
      <c r="V46" s="9801"/>
      <c r="W46" s="9821" t="s">
        <v>126</v>
      </c>
      <c r="X46" s="9801"/>
      <c r="Y46" s="9821" t="s">
        <v>127</v>
      </c>
      <c r="Z46" s="9801"/>
      <c r="AA46" s="9821" t="s">
        <v>128</v>
      </c>
      <c r="AB46" s="9801"/>
      <c r="AC46" s="9821" t="s">
        <v>129</v>
      </c>
      <c r="AD46" s="9801"/>
      <c r="AE46" s="9821" t="s">
        <v>130</v>
      </c>
      <c r="AF46" s="9801"/>
      <c r="AG46" s="9821" t="s">
        <v>131</v>
      </c>
      <c r="AH46" s="9801"/>
      <c r="AI46" s="9821" t="s">
        <v>1916</v>
      </c>
      <c r="AJ46" s="9890"/>
      <c r="AK46" s="9915"/>
      <c r="AL46" s="9916"/>
      <c r="AM46" s="4657"/>
      <c r="AN46" s="4657"/>
      <c r="AO46" s="4657"/>
      <c r="AP46" s="4657"/>
      <c r="AQ46" s="4657"/>
      <c r="AR46" s="4657"/>
      <c r="AS46" s="4657"/>
      <c r="AT46" s="4657"/>
      <c r="AU46" s="4657"/>
      <c r="AV46" s="4657"/>
      <c r="AW46" s="4657"/>
      <c r="AX46" s="4657"/>
      <c r="AY46" s="4657"/>
      <c r="AZ46" s="4657"/>
      <c r="BA46" s="4657"/>
      <c r="BX46" s="4653"/>
      <c r="CG46" s="4688">
        <v>0</v>
      </c>
    </row>
    <row r="47" spans="1:108" ht="12" customHeight="1" x14ac:dyDescent="0.2">
      <c r="A47" s="9832"/>
      <c r="B47" s="9838"/>
      <c r="C47" s="9839"/>
      <c r="D47" s="9839"/>
      <c r="E47" s="9829"/>
      <c r="F47" s="8629"/>
      <c r="G47" s="9829"/>
      <c r="H47" s="8629"/>
      <c r="I47" s="9829"/>
      <c r="J47" s="8629"/>
      <c r="K47" s="9829"/>
      <c r="L47" s="8629"/>
      <c r="M47" s="9829"/>
      <c r="N47" s="8629"/>
      <c r="O47" s="9829"/>
      <c r="P47" s="8629"/>
      <c r="Q47" s="9829"/>
      <c r="R47" s="8629"/>
      <c r="S47" s="9829"/>
      <c r="T47" s="8629"/>
      <c r="U47" s="9829"/>
      <c r="V47" s="8629"/>
      <c r="W47" s="9829"/>
      <c r="X47" s="8629"/>
      <c r="Y47" s="9829"/>
      <c r="Z47" s="8629"/>
      <c r="AA47" s="9829"/>
      <c r="AB47" s="8629"/>
      <c r="AC47" s="9829"/>
      <c r="AD47" s="8629"/>
      <c r="AE47" s="9829"/>
      <c r="AF47" s="8629"/>
      <c r="AG47" s="9829"/>
      <c r="AH47" s="8629"/>
      <c r="AI47" s="9829"/>
      <c r="AJ47" s="9891"/>
      <c r="AK47" s="9917" t="s">
        <v>784</v>
      </c>
      <c r="AL47" s="9919" t="s">
        <v>783</v>
      </c>
      <c r="AM47" s="4657"/>
      <c r="AN47" s="4657"/>
      <c r="AO47" s="4657"/>
      <c r="AP47" s="4657"/>
      <c r="AQ47" s="4657"/>
      <c r="AR47" s="4657"/>
      <c r="AS47" s="4657"/>
      <c r="AT47" s="4657"/>
      <c r="AU47" s="4657"/>
      <c r="AV47" s="4657"/>
      <c r="AW47" s="4657"/>
      <c r="AX47" s="4657"/>
      <c r="AY47" s="4657"/>
      <c r="AZ47" s="4657"/>
      <c r="BA47" s="4657"/>
      <c r="BX47" s="4653"/>
    </row>
    <row r="48" spans="1:108" x14ac:dyDescent="0.2">
      <c r="A48" s="9833"/>
      <c r="B48" s="5949" t="s">
        <v>42</v>
      </c>
      <c r="C48" s="5950" t="s">
        <v>17</v>
      </c>
      <c r="D48" s="5951" t="s">
        <v>18</v>
      </c>
      <c r="E48" s="4943" t="s">
        <v>17</v>
      </c>
      <c r="F48" s="4745" t="s">
        <v>18</v>
      </c>
      <c r="G48" s="4943" t="s">
        <v>17</v>
      </c>
      <c r="H48" s="4745" t="s">
        <v>18</v>
      </c>
      <c r="I48" s="4943" t="s">
        <v>17</v>
      </c>
      <c r="J48" s="4940" t="s">
        <v>18</v>
      </c>
      <c r="K48" s="4943" t="s">
        <v>17</v>
      </c>
      <c r="L48" s="4745" t="s">
        <v>18</v>
      </c>
      <c r="M48" s="4943" t="s">
        <v>17</v>
      </c>
      <c r="N48" s="4745" t="s">
        <v>18</v>
      </c>
      <c r="O48" s="4943" t="s">
        <v>17</v>
      </c>
      <c r="P48" s="4745" t="s">
        <v>18</v>
      </c>
      <c r="Q48" s="4943" t="s">
        <v>17</v>
      </c>
      <c r="R48" s="4745" t="s">
        <v>18</v>
      </c>
      <c r="S48" s="4943" t="s">
        <v>17</v>
      </c>
      <c r="T48" s="4745" t="s">
        <v>18</v>
      </c>
      <c r="U48" s="4943" t="s">
        <v>17</v>
      </c>
      <c r="V48" s="4745" t="s">
        <v>18</v>
      </c>
      <c r="W48" s="4943" t="s">
        <v>17</v>
      </c>
      <c r="X48" s="4745" t="s">
        <v>18</v>
      </c>
      <c r="Y48" s="4943" t="s">
        <v>17</v>
      </c>
      <c r="Z48" s="4745" t="s">
        <v>18</v>
      </c>
      <c r="AA48" s="4943" t="s">
        <v>17</v>
      </c>
      <c r="AB48" s="4745" t="s">
        <v>18</v>
      </c>
      <c r="AC48" s="4943" t="s">
        <v>17</v>
      </c>
      <c r="AD48" s="4745" t="s">
        <v>18</v>
      </c>
      <c r="AE48" s="4943" t="s">
        <v>17</v>
      </c>
      <c r="AF48" s="4745" t="s">
        <v>18</v>
      </c>
      <c r="AG48" s="4943" t="s">
        <v>17</v>
      </c>
      <c r="AH48" s="4745" t="s">
        <v>18</v>
      </c>
      <c r="AI48" s="4943" t="s">
        <v>17</v>
      </c>
      <c r="AJ48" s="5881" t="s">
        <v>18</v>
      </c>
      <c r="AK48" s="9918"/>
      <c r="AL48" s="9920"/>
      <c r="AM48" s="4657"/>
      <c r="AN48" s="4657"/>
      <c r="AO48" s="4657"/>
      <c r="AP48" s="4657"/>
      <c r="AQ48" s="4657"/>
      <c r="AR48" s="4657"/>
      <c r="AS48" s="4657"/>
      <c r="AT48" s="4657"/>
      <c r="AU48" s="4657"/>
      <c r="AV48" s="4657"/>
      <c r="AW48" s="4657"/>
      <c r="AX48" s="4657"/>
      <c r="AY48" s="4657"/>
      <c r="AZ48" s="4657"/>
      <c r="BA48" s="4657"/>
      <c r="BX48" s="4653"/>
      <c r="CG48" s="4688">
        <v>0</v>
      </c>
    </row>
    <row r="49" spans="1:106" ht="27.6" customHeight="1" x14ac:dyDescent="0.2">
      <c r="A49" s="5952" t="s">
        <v>1943</v>
      </c>
      <c r="B49" s="5953">
        <f t="shared" ref="B49:B56" si="8">SUM(C49+D49)</f>
        <v>0</v>
      </c>
      <c r="C49" s="5954">
        <f>SUM(E49+G49)</f>
        <v>0</v>
      </c>
      <c r="D49" s="5955">
        <f>SUM(F49+H49)</f>
        <v>0</v>
      </c>
      <c r="E49" s="5956"/>
      <c r="F49" s="5957"/>
      <c r="G49" s="5956"/>
      <c r="H49" s="5957"/>
      <c r="I49" s="5901"/>
      <c r="J49" s="5958"/>
      <c r="K49" s="5901"/>
      <c r="L49" s="5902"/>
      <c r="M49" s="5901"/>
      <c r="N49" s="5902"/>
      <c r="O49" s="5901"/>
      <c r="P49" s="5902"/>
      <c r="Q49" s="5901"/>
      <c r="R49" s="5902"/>
      <c r="S49" s="5901"/>
      <c r="T49" s="5902"/>
      <c r="U49" s="5901"/>
      <c r="V49" s="5902"/>
      <c r="W49" s="5901"/>
      <c r="X49" s="5902"/>
      <c r="Y49" s="5901"/>
      <c r="Z49" s="5902"/>
      <c r="AA49" s="5901"/>
      <c r="AB49" s="5902"/>
      <c r="AC49" s="5901"/>
      <c r="AD49" s="5902"/>
      <c r="AE49" s="5901"/>
      <c r="AF49" s="5902"/>
      <c r="AG49" s="5901"/>
      <c r="AH49" s="5902"/>
      <c r="AI49" s="5901"/>
      <c r="AJ49" s="5959"/>
      <c r="AK49" s="5960"/>
      <c r="AL49" s="5961"/>
      <c r="AM49" s="5962"/>
      <c r="AN49" s="4684"/>
      <c r="AO49" s="4684"/>
      <c r="AP49" s="4684"/>
      <c r="AQ49" s="4684"/>
      <c r="AR49" s="4684"/>
      <c r="AS49" s="4684"/>
      <c r="AT49" s="4684"/>
      <c r="AU49" s="4684"/>
      <c r="AV49" s="4684"/>
      <c r="AW49" s="4684"/>
      <c r="AX49" s="4684"/>
      <c r="AY49" s="4657"/>
      <c r="AZ49" s="4657"/>
      <c r="BA49" s="4657"/>
      <c r="BX49" s="4653"/>
      <c r="CF49" s="4688">
        <v>0</v>
      </c>
      <c r="CG49" s="4688">
        <v>0</v>
      </c>
      <c r="DA49" s="4687">
        <v>0</v>
      </c>
      <c r="DB49" s="4687">
        <v>0</v>
      </c>
    </row>
    <row r="50" spans="1:106" ht="16.149999999999999" customHeight="1" x14ac:dyDescent="0.2">
      <c r="A50" s="5963" t="s">
        <v>1933</v>
      </c>
      <c r="B50" s="5964">
        <f t="shared" si="8"/>
        <v>0</v>
      </c>
      <c r="C50" s="5965">
        <f>SUM(G50+I50+K50+M50+O50+Q50+S50+U50+W50+Y50+AA50+AC50+AE50+AG50+AI50)</f>
        <v>0</v>
      </c>
      <c r="D50" s="5966">
        <f>SUM(H50+J50+L50+N50+P50+R50+T50+V50+X50+Z50+AB50+AD50+AF50+AH50+AJ50)</f>
        <v>0</v>
      </c>
      <c r="E50" s="5904"/>
      <c r="F50" s="5967"/>
      <c r="G50" s="5968"/>
      <c r="H50" s="5969"/>
      <c r="I50" s="5970"/>
      <c r="J50" s="5971"/>
      <c r="K50" s="5970"/>
      <c r="L50" s="5971"/>
      <c r="M50" s="5970"/>
      <c r="N50" s="5971"/>
      <c r="O50" s="5970"/>
      <c r="P50" s="5971"/>
      <c r="Q50" s="5970"/>
      <c r="R50" s="5971"/>
      <c r="S50" s="5972"/>
      <c r="T50" s="5973"/>
      <c r="U50" s="5972"/>
      <c r="V50" s="5973"/>
      <c r="W50" s="5972"/>
      <c r="X50" s="5973"/>
      <c r="Y50" s="5972"/>
      <c r="Z50" s="5973"/>
      <c r="AA50" s="5972"/>
      <c r="AB50" s="5973"/>
      <c r="AC50" s="5972"/>
      <c r="AD50" s="5973"/>
      <c r="AE50" s="5972"/>
      <c r="AF50" s="5973"/>
      <c r="AG50" s="5972"/>
      <c r="AH50" s="5973"/>
      <c r="AI50" s="5972"/>
      <c r="AJ50" s="5974"/>
      <c r="AK50" s="5975"/>
      <c r="AL50" s="5976"/>
      <c r="AM50" s="5962"/>
      <c r="AN50" s="4684"/>
      <c r="AO50" s="4684"/>
      <c r="AP50" s="4684"/>
      <c r="AQ50" s="4684"/>
      <c r="AR50" s="4684"/>
      <c r="AS50" s="4684"/>
      <c r="AT50" s="4684"/>
      <c r="AU50" s="4684"/>
      <c r="AV50" s="4684"/>
      <c r="AW50" s="4684"/>
      <c r="AX50" s="4684"/>
      <c r="AY50" s="4657"/>
      <c r="AZ50" s="4657"/>
      <c r="BA50" s="4657"/>
      <c r="BX50" s="4653"/>
      <c r="CF50" s="4688">
        <v>0</v>
      </c>
      <c r="DA50" s="4687">
        <v>0</v>
      </c>
      <c r="DB50" s="4687">
        <v>0</v>
      </c>
    </row>
    <row r="51" spans="1:106" ht="23.45" customHeight="1" x14ac:dyDescent="0.2">
      <c r="A51" s="5963" t="s">
        <v>1934</v>
      </c>
      <c r="B51" s="5977">
        <f t="shared" si="8"/>
        <v>0</v>
      </c>
      <c r="C51" s="5978">
        <f>SUM(S51+U51+W51+Y51+AA51+AC51+AE51+AG51+AI51)</f>
        <v>0</v>
      </c>
      <c r="D51" s="5979">
        <f>SUM(T51+V51+X51+Z51+AB51+AD51+AF51+AH51+AJ51)</f>
        <v>0</v>
      </c>
      <c r="E51" s="5904"/>
      <c r="F51" s="5905"/>
      <c r="G51" s="5904"/>
      <c r="H51" s="5905"/>
      <c r="I51" s="5904"/>
      <c r="J51" s="5905"/>
      <c r="K51" s="5904"/>
      <c r="L51" s="5905"/>
      <c r="M51" s="5904"/>
      <c r="N51" s="5905"/>
      <c r="O51" s="5904"/>
      <c r="P51" s="5958"/>
      <c r="Q51" s="5980"/>
      <c r="R51" s="5958"/>
      <c r="S51" s="5981"/>
      <c r="T51" s="5982"/>
      <c r="U51" s="5981"/>
      <c r="V51" s="5982"/>
      <c r="W51" s="5981"/>
      <c r="X51" s="5982"/>
      <c r="Y51" s="5981"/>
      <c r="Z51" s="5982"/>
      <c r="AA51" s="5981"/>
      <c r="AB51" s="5982"/>
      <c r="AC51" s="5981"/>
      <c r="AD51" s="5982"/>
      <c r="AE51" s="5981"/>
      <c r="AF51" s="5982"/>
      <c r="AG51" s="5981"/>
      <c r="AH51" s="5982"/>
      <c r="AI51" s="5981"/>
      <c r="AJ51" s="5983"/>
      <c r="AK51" s="5975"/>
      <c r="AL51" s="5976"/>
      <c r="AM51" s="5962"/>
      <c r="AN51" s="4684"/>
      <c r="AO51" s="4684"/>
      <c r="AP51" s="4684"/>
      <c r="AQ51" s="4684"/>
      <c r="AR51" s="4684"/>
      <c r="AS51" s="4684"/>
      <c r="AT51" s="4684"/>
      <c r="AU51" s="4684"/>
      <c r="AV51" s="4684"/>
      <c r="AW51" s="4684"/>
      <c r="AX51" s="4684"/>
      <c r="AY51" s="4657"/>
      <c r="AZ51" s="4657"/>
      <c r="BA51" s="4657"/>
      <c r="BX51" s="4653"/>
      <c r="CF51" s="4688">
        <v>0</v>
      </c>
      <c r="DA51" s="4687">
        <v>0</v>
      </c>
    </row>
    <row r="52" spans="1:106" ht="16.149999999999999" customHeight="1" x14ac:dyDescent="0.2">
      <c r="A52" s="5984" t="s">
        <v>1937</v>
      </c>
      <c r="B52" s="5501">
        <f t="shared" si="8"/>
        <v>0</v>
      </c>
      <c r="C52" s="5934">
        <f t="shared" ref="C52:D56" si="9">SUM(E52+G52+I52+K52+M52+O52+Q52+S52+U52+W52+Y52+AA52+AC52+AE52+AG52+AI52)</f>
        <v>0</v>
      </c>
      <c r="D52" s="5935">
        <f t="shared" si="9"/>
        <v>0</v>
      </c>
      <c r="E52" s="5471"/>
      <c r="F52" s="5473"/>
      <c r="G52" s="5471"/>
      <c r="H52" s="5473"/>
      <c r="I52" s="5471"/>
      <c r="J52" s="5473"/>
      <c r="K52" s="5471"/>
      <c r="L52" s="5473"/>
      <c r="M52" s="5471"/>
      <c r="N52" s="5473"/>
      <c r="O52" s="5471"/>
      <c r="P52" s="5473"/>
      <c r="Q52" s="5471"/>
      <c r="R52" s="5473"/>
      <c r="S52" s="5471"/>
      <c r="T52" s="5473"/>
      <c r="U52" s="5471"/>
      <c r="V52" s="5473"/>
      <c r="W52" s="5471"/>
      <c r="X52" s="5473"/>
      <c r="Y52" s="5471"/>
      <c r="Z52" s="5473"/>
      <c r="AA52" s="5471"/>
      <c r="AB52" s="5473"/>
      <c r="AC52" s="5471"/>
      <c r="AD52" s="5473"/>
      <c r="AE52" s="5471"/>
      <c r="AF52" s="5473"/>
      <c r="AG52" s="5471"/>
      <c r="AH52" s="5473"/>
      <c r="AI52" s="5471"/>
      <c r="AJ52" s="5985"/>
      <c r="AK52" s="5975"/>
      <c r="AL52" s="5976"/>
      <c r="AM52" s="5962"/>
      <c r="AN52" s="4684"/>
      <c r="AO52" s="4684"/>
      <c r="AP52" s="4684"/>
      <c r="AQ52" s="4684"/>
      <c r="AR52" s="4684"/>
      <c r="AS52" s="4684"/>
      <c r="AT52" s="4684"/>
      <c r="AU52" s="4684"/>
      <c r="AV52" s="4684"/>
      <c r="AW52" s="4684"/>
      <c r="AX52" s="4684"/>
      <c r="AY52" s="4657"/>
      <c r="AZ52" s="4657"/>
      <c r="BA52" s="4657"/>
      <c r="BX52" s="4653"/>
      <c r="CF52" s="4688">
        <v>0</v>
      </c>
      <c r="DA52" s="4687">
        <v>0</v>
      </c>
    </row>
    <row r="53" spans="1:106" ht="16.149999999999999" customHeight="1" x14ac:dyDescent="0.2">
      <c r="A53" s="5986" t="s">
        <v>1938</v>
      </c>
      <c r="B53" s="5940">
        <f t="shared" si="8"/>
        <v>0</v>
      </c>
      <c r="C53" s="5941">
        <f t="shared" si="9"/>
        <v>0</v>
      </c>
      <c r="D53" s="5979">
        <f t="shared" si="9"/>
        <v>0</v>
      </c>
      <c r="E53" s="5972"/>
      <c r="F53" s="5973"/>
      <c r="G53" s="5972"/>
      <c r="H53" s="5973"/>
      <c r="I53" s="5972"/>
      <c r="J53" s="5973"/>
      <c r="K53" s="5972"/>
      <c r="L53" s="5982"/>
      <c r="M53" s="5981"/>
      <c r="N53" s="5982"/>
      <c r="O53" s="5981"/>
      <c r="P53" s="5982"/>
      <c r="Q53" s="5981"/>
      <c r="R53" s="5982"/>
      <c r="S53" s="5981"/>
      <c r="T53" s="5982"/>
      <c r="U53" s="5981"/>
      <c r="V53" s="5982"/>
      <c r="W53" s="5981"/>
      <c r="X53" s="5982"/>
      <c r="Y53" s="5981"/>
      <c r="Z53" s="5982"/>
      <c r="AA53" s="5981"/>
      <c r="AB53" s="5982"/>
      <c r="AC53" s="5981"/>
      <c r="AD53" s="5982"/>
      <c r="AE53" s="5981"/>
      <c r="AF53" s="5982"/>
      <c r="AG53" s="5981"/>
      <c r="AH53" s="5982"/>
      <c r="AI53" s="5981"/>
      <c r="AJ53" s="5983"/>
      <c r="AK53" s="5975"/>
      <c r="AL53" s="5976"/>
      <c r="AM53" s="5962"/>
      <c r="AN53" s="4684"/>
      <c r="AO53" s="4684"/>
      <c r="AP53" s="4684"/>
      <c r="AQ53" s="4684"/>
      <c r="AR53" s="4684"/>
      <c r="AS53" s="4684"/>
      <c r="AT53" s="4684"/>
      <c r="AU53" s="4684"/>
      <c r="AV53" s="4684"/>
      <c r="AW53" s="4684"/>
      <c r="AX53" s="4684"/>
      <c r="AY53" s="4657"/>
      <c r="AZ53" s="4657"/>
      <c r="BA53" s="4657"/>
      <c r="BX53" s="4653"/>
      <c r="CF53" s="4688">
        <v>0</v>
      </c>
    </row>
    <row r="54" spans="1:106" ht="16.149999999999999" customHeight="1" x14ac:dyDescent="0.2">
      <c r="A54" s="5987" t="s">
        <v>1944</v>
      </c>
      <c r="B54" s="5940">
        <f t="shared" si="8"/>
        <v>0</v>
      </c>
      <c r="C54" s="5941">
        <f t="shared" si="9"/>
        <v>0</v>
      </c>
      <c r="D54" s="5966">
        <f t="shared" si="9"/>
        <v>0</v>
      </c>
      <c r="E54" s="5972"/>
      <c r="F54" s="5973"/>
      <c r="G54" s="5972"/>
      <c r="H54" s="5973"/>
      <c r="I54" s="5972"/>
      <c r="J54" s="5973"/>
      <c r="K54" s="5972"/>
      <c r="L54" s="5973"/>
      <c r="M54" s="5972"/>
      <c r="N54" s="5973"/>
      <c r="O54" s="5972"/>
      <c r="P54" s="5973"/>
      <c r="Q54" s="5972"/>
      <c r="R54" s="5973"/>
      <c r="S54" s="5972"/>
      <c r="T54" s="5973"/>
      <c r="U54" s="5972"/>
      <c r="V54" s="5973"/>
      <c r="W54" s="5972"/>
      <c r="X54" s="5973"/>
      <c r="Y54" s="5972"/>
      <c r="Z54" s="5973"/>
      <c r="AA54" s="5972"/>
      <c r="AB54" s="5973"/>
      <c r="AC54" s="5972"/>
      <c r="AD54" s="5973"/>
      <c r="AE54" s="5972"/>
      <c r="AF54" s="5973"/>
      <c r="AG54" s="5972"/>
      <c r="AH54" s="5973"/>
      <c r="AI54" s="5972"/>
      <c r="AJ54" s="5974"/>
      <c r="AK54" s="5988"/>
      <c r="AL54" s="5989"/>
      <c r="AM54" s="5962"/>
      <c r="AN54" s="4684"/>
      <c r="AO54" s="4684"/>
      <c r="AP54" s="4684"/>
      <c r="AQ54" s="4684"/>
      <c r="AR54" s="4684"/>
      <c r="AS54" s="4684"/>
      <c r="AT54" s="4684"/>
      <c r="AU54" s="4684"/>
      <c r="AV54" s="4684"/>
      <c r="AW54" s="4684"/>
      <c r="AX54" s="4684"/>
      <c r="AY54" s="4657"/>
      <c r="AZ54" s="4657"/>
      <c r="BA54" s="4657"/>
      <c r="BX54" s="4653"/>
      <c r="CF54" s="4688">
        <v>0</v>
      </c>
    </row>
    <row r="55" spans="1:106" ht="21.6" customHeight="1" x14ac:dyDescent="0.2">
      <c r="A55" s="5990" t="s">
        <v>1940</v>
      </c>
      <c r="B55" s="5991">
        <f t="shared" si="8"/>
        <v>0</v>
      </c>
      <c r="C55" s="5992">
        <f t="shared" si="9"/>
        <v>0</v>
      </c>
      <c r="D55" s="5966">
        <f t="shared" si="9"/>
        <v>0</v>
      </c>
      <c r="E55" s="5972"/>
      <c r="F55" s="5973"/>
      <c r="G55" s="5972"/>
      <c r="H55" s="5973"/>
      <c r="I55" s="5972"/>
      <c r="J55" s="5973"/>
      <c r="K55" s="5972"/>
      <c r="L55" s="5973"/>
      <c r="M55" s="5972"/>
      <c r="N55" s="5973"/>
      <c r="O55" s="5972"/>
      <c r="P55" s="5973"/>
      <c r="Q55" s="5972"/>
      <c r="R55" s="5973"/>
      <c r="S55" s="5972"/>
      <c r="T55" s="5973"/>
      <c r="U55" s="5972"/>
      <c r="V55" s="5973"/>
      <c r="W55" s="5972"/>
      <c r="X55" s="5973"/>
      <c r="Y55" s="5972"/>
      <c r="Z55" s="5973"/>
      <c r="AA55" s="5972"/>
      <c r="AB55" s="5973"/>
      <c r="AC55" s="5972"/>
      <c r="AD55" s="5973"/>
      <c r="AE55" s="5972"/>
      <c r="AF55" s="5973"/>
      <c r="AG55" s="5972"/>
      <c r="AH55" s="5973"/>
      <c r="AI55" s="5972"/>
      <c r="AJ55" s="5974"/>
      <c r="AK55" s="5988"/>
      <c r="AL55" s="5989"/>
      <c r="AM55" s="5962"/>
      <c r="AN55" s="4684"/>
      <c r="AO55" s="4684"/>
      <c r="AP55" s="4684"/>
      <c r="AQ55" s="4684"/>
      <c r="AR55" s="4684"/>
      <c r="AS55" s="4684"/>
      <c r="AT55" s="4684"/>
      <c r="AU55" s="4684"/>
      <c r="AV55" s="4684"/>
      <c r="AW55" s="4684"/>
      <c r="AX55" s="4684"/>
      <c r="AY55" s="4657"/>
      <c r="AZ55" s="4657"/>
      <c r="BA55" s="4657"/>
      <c r="BX55" s="4653"/>
      <c r="CF55" s="4688">
        <v>0</v>
      </c>
      <c r="CG55" s="4688">
        <v>0</v>
      </c>
      <c r="CH55" s="4688">
        <v>0</v>
      </c>
    </row>
    <row r="56" spans="1:106" ht="16.149999999999999" customHeight="1" x14ac:dyDescent="0.2">
      <c r="A56" s="5993" t="s">
        <v>1941</v>
      </c>
      <c r="B56" s="5994">
        <f t="shared" si="8"/>
        <v>0</v>
      </c>
      <c r="C56" s="5995">
        <f t="shared" si="9"/>
        <v>0</v>
      </c>
      <c r="D56" s="5996">
        <f t="shared" si="9"/>
        <v>0</v>
      </c>
      <c r="E56" s="5997"/>
      <c r="F56" s="5998"/>
      <c r="G56" s="5997"/>
      <c r="H56" s="5998"/>
      <c r="I56" s="5997"/>
      <c r="J56" s="5998"/>
      <c r="K56" s="5997"/>
      <c r="L56" s="5998"/>
      <c r="M56" s="5997"/>
      <c r="N56" s="5998"/>
      <c r="O56" s="5997"/>
      <c r="P56" s="5998"/>
      <c r="Q56" s="5997"/>
      <c r="R56" s="5998"/>
      <c r="S56" s="5997"/>
      <c r="T56" s="5998"/>
      <c r="U56" s="5997"/>
      <c r="V56" s="5998"/>
      <c r="W56" s="5997"/>
      <c r="X56" s="5998"/>
      <c r="Y56" s="5997"/>
      <c r="Z56" s="5998"/>
      <c r="AA56" s="5997"/>
      <c r="AB56" s="5998"/>
      <c r="AC56" s="5997"/>
      <c r="AD56" s="5998"/>
      <c r="AE56" s="5997"/>
      <c r="AF56" s="5998"/>
      <c r="AG56" s="5997"/>
      <c r="AH56" s="5998"/>
      <c r="AI56" s="5997"/>
      <c r="AJ56" s="5999"/>
      <c r="AK56" s="6000"/>
      <c r="AL56" s="6001"/>
      <c r="AN56" s="4684"/>
      <c r="AO56" s="4684"/>
      <c r="AP56" s="4684"/>
      <c r="AQ56" s="4684"/>
      <c r="AR56" s="4684"/>
      <c r="AS56" s="4684"/>
      <c r="AT56" s="4684"/>
      <c r="AU56" s="4684"/>
      <c r="AV56" s="4684"/>
      <c r="AW56" s="4684"/>
      <c r="AX56" s="4684"/>
      <c r="AY56" s="4657"/>
      <c r="AZ56" s="4657"/>
      <c r="BA56" s="4657"/>
      <c r="BX56" s="4653"/>
      <c r="CF56" s="4688">
        <v>0</v>
      </c>
      <c r="DB56" s="4687">
        <v>0</v>
      </c>
    </row>
    <row r="57" spans="1:106" ht="31.9" customHeight="1" x14ac:dyDescent="0.2">
      <c r="A57" s="4661" t="s">
        <v>3813</v>
      </c>
      <c r="B57" s="5930"/>
      <c r="C57" s="5878"/>
      <c r="D57" s="5878"/>
      <c r="E57" s="5878"/>
      <c r="Q57" s="4328"/>
      <c r="R57" s="4328"/>
      <c r="S57" s="4328"/>
      <c r="T57" s="4328"/>
      <c r="U57" s="4328"/>
      <c r="V57" s="4328"/>
      <c r="AM57" s="4657"/>
      <c r="AN57" s="4657"/>
      <c r="AO57" s="4657"/>
      <c r="AP57" s="4657"/>
      <c r="AQ57" s="4657"/>
      <c r="AR57" s="4657"/>
      <c r="AS57" s="4657"/>
      <c r="AT57" s="4657"/>
      <c r="AU57" s="4657"/>
      <c r="AV57" s="4657"/>
      <c r="AW57" s="4657"/>
      <c r="AX57" s="4657"/>
      <c r="AY57" s="4657"/>
      <c r="AZ57" s="4657"/>
      <c r="BA57" s="4657"/>
      <c r="BB57" s="4657"/>
      <c r="DA57" s="4687">
        <v>0</v>
      </c>
    </row>
    <row r="58" spans="1:106" ht="16.149999999999999" customHeight="1" x14ac:dyDescent="0.2">
      <c r="A58" s="9801" t="s">
        <v>0</v>
      </c>
      <c r="B58" s="9821" t="s">
        <v>24</v>
      </c>
      <c r="C58" s="9820"/>
      <c r="D58" s="9820"/>
      <c r="E58" s="9845" t="s">
        <v>2</v>
      </c>
      <c r="F58" s="9846"/>
      <c r="G58" s="9846"/>
      <c r="H58" s="9846"/>
      <c r="I58" s="9846"/>
      <c r="J58" s="9846"/>
      <c r="K58" s="9846"/>
      <c r="L58" s="9846"/>
      <c r="M58" s="9846"/>
      <c r="N58" s="9846"/>
      <c r="O58" s="9846"/>
      <c r="P58" s="9846"/>
      <c r="Q58" s="9846"/>
      <c r="R58" s="9846"/>
      <c r="S58" s="9846"/>
      <c r="T58" s="9846"/>
      <c r="U58" s="9846"/>
      <c r="V58" s="9846"/>
      <c r="W58" s="9846"/>
      <c r="X58" s="9846"/>
      <c r="Y58" s="9846"/>
      <c r="Z58" s="9846"/>
      <c r="AA58" s="9846"/>
      <c r="AB58" s="9846"/>
      <c r="AC58" s="9846"/>
      <c r="AD58" s="9846"/>
      <c r="AE58" s="9846"/>
      <c r="AF58" s="9846"/>
      <c r="AG58" s="9846"/>
      <c r="AH58" s="9846"/>
      <c r="AI58" s="9846"/>
      <c r="AJ58" s="9889"/>
      <c r="AK58" s="9874" t="s">
        <v>358</v>
      </c>
      <c r="AL58" s="4627"/>
      <c r="AM58" s="4657"/>
      <c r="AN58" s="4657"/>
      <c r="AO58" s="4657"/>
      <c r="AP58" s="4657"/>
      <c r="AQ58" s="4657"/>
      <c r="AR58" s="4657"/>
      <c r="AS58" s="4657"/>
      <c r="AT58" s="4657"/>
      <c r="AU58" s="4657"/>
      <c r="AV58" s="4657"/>
      <c r="AW58" s="4657"/>
      <c r="AX58" s="4657"/>
      <c r="AY58" s="4657"/>
      <c r="AZ58" s="4657"/>
      <c r="BA58" s="4657"/>
      <c r="BX58" s="4653"/>
    </row>
    <row r="59" spans="1:106" ht="16.149999999999999" customHeight="1" x14ac:dyDescent="0.2">
      <c r="A59" s="8628"/>
      <c r="B59" s="9840"/>
      <c r="C59" s="9841"/>
      <c r="D59" s="8628"/>
      <c r="E59" s="9821" t="s">
        <v>1909</v>
      </c>
      <c r="F59" s="9801"/>
      <c r="G59" s="9820" t="s">
        <v>1910</v>
      </c>
      <c r="H59" s="9820"/>
      <c r="I59" s="9821" t="s">
        <v>1911</v>
      </c>
      <c r="J59" s="9801"/>
      <c r="K59" s="9820" t="s">
        <v>1912</v>
      </c>
      <c r="L59" s="9820"/>
      <c r="M59" s="9821" t="s">
        <v>1913</v>
      </c>
      <c r="N59" s="9801"/>
      <c r="O59" s="9821" t="s">
        <v>1914</v>
      </c>
      <c r="P59" s="9801"/>
      <c r="Q59" s="9820" t="s">
        <v>1915</v>
      </c>
      <c r="R59" s="9820"/>
      <c r="S59" s="9821" t="s">
        <v>124</v>
      </c>
      <c r="T59" s="9801"/>
      <c r="U59" s="9820" t="s">
        <v>125</v>
      </c>
      <c r="V59" s="9820"/>
      <c r="W59" s="9821" t="s">
        <v>126</v>
      </c>
      <c r="X59" s="9801"/>
      <c r="Y59" s="9820" t="s">
        <v>127</v>
      </c>
      <c r="Z59" s="9820"/>
      <c r="AA59" s="9821" t="s">
        <v>128</v>
      </c>
      <c r="AB59" s="9801"/>
      <c r="AC59" s="9820" t="s">
        <v>129</v>
      </c>
      <c r="AD59" s="9820"/>
      <c r="AE59" s="9821" t="s">
        <v>130</v>
      </c>
      <c r="AF59" s="9801"/>
      <c r="AG59" s="9820" t="s">
        <v>131</v>
      </c>
      <c r="AH59" s="9820"/>
      <c r="AI59" s="9821" t="s">
        <v>1916</v>
      </c>
      <c r="AJ59" s="9890"/>
      <c r="AK59" s="9874"/>
      <c r="AL59" s="4627"/>
      <c r="AM59" s="4657"/>
      <c r="AN59" s="4657"/>
      <c r="AO59" s="4657"/>
      <c r="AP59" s="4657"/>
      <c r="AQ59" s="4657"/>
      <c r="AR59" s="4657"/>
      <c r="AS59" s="4657"/>
      <c r="AT59" s="4657"/>
      <c r="AU59" s="4657"/>
      <c r="AV59" s="4657"/>
      <c r="AW59" s="4657"/>
      <c r="AX59" s="4657"/>
      <c r="AY59" s="4657"/>
      <c r="AZ59" s="4657"/>
      <c r="BA59" s="4657"/>
      <c r="BX59" s="4653"/>
    </row>
    <row r="60" spans="1:106" ht="16.149999999999999" customHeight="1" x14ac:dyDescent="0.2">
      <c r="A60" s="8628"/>
      <c r="B60" s="9829"/>
      <c r="C60" s="9830"/>
      <c r="D60" s="8629"/>
      <c r="E60" s="9829"/>
      <c r="F60" s="8629"/>
      <c r="G60" s="9830"/>
      <c r="H60" s="9830"/>
      <c r="I60" s="9829"/>
      <c r="J60" s="8629"/>
      <c r="K60" s="9830"/>
      <c r="L60" s="9830"/>
      <c r="M60" s="9829"/>
      <c r="N60" s="8629"/>
      <c r="O60" s="9829"/>
      <c r="P60" s="8629"/>
      <c r="Q60" s="9830"/>
      <c r="R60" s="9830"/>
      <c r="S60" s="9829"/>
      <c r="T60" s="8629"/>
      <c r="U60" s="9830"/>
      <c r="V60" s="9830"/>
      <c r="W60" s="9829"/>
      <c r="X60" s="8629"/>
      <c r="Y60" s="9830"/>
      <c r="Z60" s="9830"/>
      <c r="AA60" s="9829"/>
      <c r="AB60" s="8629"/>
      <c r="AC60" s="9830"/>
      <c r="AD60" s="9830"/>
      <c r="AE60" s="9829"/>
      <c r="AF60" s="8629"/>
      <c r="AG60" s="9830"/>
      <c r="AH60" s="9830"/>
      <c r="AI60" s="9829"/>
      <c r="AJ60" s="9891"/>
      <c r="AK60" s="9874"/>
      <c r="AL60" s="4627"/>
      <c r="AM60" s="4657"/>
      <c r="AN60" s="4657"/>
      <c r="AO60" s="4657"/>
      <c r="AP60" s="4657"/>
      <c r="AQ60" s="4657"/>
      <c r="AR60" s="4657"/>
      <c r="AS60" s="4657"/>
      <c r="AT60" s="4657"/>
      <c r="AU60" s="4657"/>
      <c r="AV60" s="4657"/>
      <c r="AW60" s="4657"/>
      <c r="AX60" s="4657"/>
      <c r="AY60" s="4657"/>
      <c r="AZ60" s="4657"/>
      <c r="BA60" s="4657"/>
      <c r="BX60" s="4653"/>
      <c r="CG60" s="4688">
        <v>0</v>
      </c>
      <c r="CH60" s="4688">
        <v>0</v>
      </c>
    </row>
    <row r="61" spans="1:106" ht="16.149999999999999" customHeight="1" x14ac:dyDescent="0.2">
      <c r="A61" s="8629"/>
      <c r="B61" s="5508" t="s">
        <v>42</v>
      </c>
      <c r="C61" s="5932" t="s">
        <v>17</v>
      </c>
      <c r="D61" s="4940" t="s">
        <v>18</v>
      </c>
      <c r="E61" s="5879" t="s">
        <v>17</v>
      </c>
      <c r="F61" s="4940" t="s">
        <v>18</v>
      </c>
      <c r="G61" s="5932" t="s">
        <v>17</v>
      </c>
      <c r="H61" s="6002" t="s">
        <v>18</v>
      </c>
      <c r="I61" s="5879" t="s">
        <v>17</v>
      </c>
      <c r="J61" s="4940" t="s">
        <v>18</v>
      </c>
      <c r="K61" s="5932" t="s">
        <v>17</v>
      </c>
      <c r="L61" s="6002" t="s">
        <v>18</v>
      </c>
      <c r="M61" s="5879" t="s">
        <v>17</v>
      </c>
      <c r="N61" s="4940" t="s">
        <v>18</v>
      </c>
      <c r="O61" s="5879" t="s">
        <v>17</v>
      </c>
      <c r="P61" s="4940" t="s">
        <v>18</v>
      </c>
      <c r="Q61" s="5932" t="s">
        <v>17</v>
      </c>
      <c r="R61" s="6002" t="s">
        <v>18</v>
      </c>
      <c r="S61" s="5879" t="s">
        <v>17</v>
      </c>
      <c r="T61" s="4940" t="s">
        <v>18</v>
      </c>
      <c r="U61" s="5932" t="s">
        <v>17</v>
      </c>
      <c r="V61" s="6002" t="s">
        <v>18</v>
      </c>
      <c r="W61" s="5879" t="s">
        <v>17</v>
      </c>
      <c r="X61" s="4940" t="s">
        <v>18</v>
      </c>
      <c r="Y61" s="5932" t="s">
        <v>17</v>
      </c>
      <c r="Z61" s="6002" t="s">
        <v>18</v>
      </c>
      <c r="AA61" s="5879" t="s">
        <v>17</v>
      </c>
      <c r="AB61" s="4940" t="s">
        <v>18</v>
      </c>
      <c r="AC61" s="5932" t="s">
        <v>17</v>
      </c>
      <c r="AD61" s="6002" t="s">
        <v>18</v>
      </c>
      <c r="AE61" s="5879" t="s">
        <v>17</v>
      </c>
      <c r="AF61" s="4940" t="s">
        <v>18</v>
      </c>
      <c r="AG61" s="5932" t="s">
        <v>17</v>
      </c>
      <c r="AH61" s="6002" t="s">
        <v>18</v>
      </c>
      <c r="AI61" s="5879" t="s">
        <v>17</v>
      </c>
      <c r="AJ61" s="6003" t="s">
        <v>18</v>
      </c>
      <c r="AK61" s="9874"/>
      <c r="AL61" s="4627"/>
      <c r="AM61" s="4657"/>
      <c r="AN61" s="4657"/>
      <c r="AO61" s="4657"/>
      <c r="AP61" s="4657"/>
      <c r="AQ61" s="4657"/>
      <c r="AR61" s="4657"/>
      <c r="AS61" s="4657"/>
      <c r="AT61" s="4657"/>
      <c r="AU61" s="4657"/>
      <c r="AV61" s="4657"/>
      <c r="AW61" s="4657"/>
      <c r="AX61" s="4657"/>
      <c r="AY61" s="4657"/>
      <c r="AZ61" s="4657"/>
      <c r="BA61" s="4657"/>
      <c r="BX61" s="4653"/>
      <c r="CG61" s="4688">
        <v>0</v>
      </c>
    </row>
    <row r="62" spans="1:106" ht="16.149999999999999" customHeight="1" x14ac:dyDescent="0.2">
      <c r="A62" s="5948" t="s">
        <v>19</v>
      </c>
      <c r="B62" s="5929">
        <f>SUM(C62+D62)</f>
        <v>0</v>
      </c>
      <c r="C62" s="5873">
        <f>SUM(E62+G62+I62+K62+M62+O62+Q62+S62+U62+W62+Y62+AA62+AC62+AE62+AG62+AI62)</f>
        <v>0</v>
      </c>
      <c r="D62" s="5871">
        <f>SUM(F62+H62+J62+L62+N62+P62+R62+T62+V62+X62+Z62+AB62+AD62+AF62+AH62+AJ62)</f>
        <v>0</v>
      </c>
      <c r="E62" s="4256"/>
      <c r="F62" s="4261"/>
      <c r="G62" s="5435"/>
      <c r="H62" s="6004"/>
      <c r="I62" s="4256"/>
      <c r="J62" s="4258"/>
      <c r="K62" s="5435"/>
      <c r="L62" s="6004"/>
      <c r="M62" s="4256"/>
      <c r="N62" s="4258"/>
      <c r="O62" s="4256"/>
      <c r="P62" s="4258"/>
      <c r="Q62" s="5435"/>
      <c r="R62" s="6004"/>
      <c r="S62" s="4256"/>
      <c r="T62" s="4258"/>
      <c r="U62" s="5435"/>
      <c r="V62" s="6004"/>
      <c r="W62" s="4256"/>
      <c r="X62" s="4258"/>
      <c r="Y62" s="5435"/>
      <c r="Z62" s="6004"/>
      <c r="AA62" s="4256"/>
      <c r="AB62" s="4258"/>
      <c r="AC62" s="5435"/>
      <c r="AD62" s="6004"/>
      <c r="AE62" s="4256"/>
      <c r="AF62" s="4258"/>
      <c r="AG62" s="5435"/>
      <c r="AH62" s="6004"/>
      <c r="AI62" s="4256"/>
      <c r="AJ62" s="5434"/>
      <c r="AK62" s="4261"/>
      <c r="AL62" s="5962"/>
      <c r="AM62" s="4684"/>
      <c r="AN62" s="4684"/>
      <c r="AO62" s="4684"/>
      <c r="AP62" s="4684"/>
      <c r="AQ62" s="4684"/>
      <c r="AR62" s="4684"/>
      <c r="AS62" s="4684"/>
      <c r="AT62" s="4684"/>
      <c r="AU62" s="4684"/>
      <c r="AV62" s="4684"/>
      <c r="AW62" s="4684"/>
      <c r="AX62" s="4657"/>
      <c r="AY62" s="4657"/>
      <c r="AZ62" s="4657"/>
      <c r="BA62" s="4657"/>
      <c r="BX62" s="4653"/>
      <c r="CF62" s="4688">
        <v>0</v>
      </c>
      <c r="CG62" s="4688">
        <v>0</v>
      </c>
      <c r="CH62" s="4688">
        <v>0</v>
      </c>
      <c r="DB62" s="4687">
        <v>0</v>
      </c>
    </row>
    <row r="63" spans="1:106" ht="31.9" customHeight="1" x14ac:dyDescent="0.2">
      <c r="A63" s="4661" t="s">
        <v>3814</v>
      </c>
      <c r="B63" s="5930"/>
      <c r="C63" s="5878"/>
      <c r="D63" s="5878"/>
      <c r="E63" s="5878"/>
      <c r="M63" s="4661"/>
      <c r="N63" s="4302"/>
      <c r="O63" s="4302"/>
      <c r="P63" s="4302"/>
      <c r="Q63" s="4328"/>
      <c r="R63" s="4328"/>
      <c r="S63" s="4328"/>
      <c r="T63" s="4328"/>
      <c r="AM63" s="4627"/>
      <c r="AN63" s="4657"/>
      <c r="AO63" s="4657"/>
      <c r="AP63" s="4657"/>
      <c r="AQ63" s="4657"/>
      <c r="AR63" s="4657"/>
      <c r="AS63" s="4657"/>
      <c r="AT63" s="4657"/>
      <c r="AU63" s="4657"/>
      <c r="AV63" s="4657"/>
      <c r="AW63" s="4657"/>
      <c r="AX63" s="4657"/>
      <c r="AY63" s="4657"/>
      <c r="AZ63" s="4657"/>
      <c r="BA63" s="4657"/>
      <c r="BB63" s="4657"/>
      <c r="DA63" s="4687">
        <v>0</v>
      </c>
    </row>
    <row r="64" spans="1:106" ht="16.149999999999999" customHeight="1" x14ac:dyDescent="0.2">
      <c r="A64" s="9801" t="s">
        <v>0</v>
      </c>
      <c r="B64" s="9821" t="s">
        <v>24</v>
      </c>
      <c r="C64" s="9820"/>
      <c r="D64" s="9801"/>
      <c r="E64" s="9845" t="s">
        <v>2</v>
      </c>
      <c r="F64" s="9846"/>
      <c r="G64" s="9846"/>
      <c r="H64" s="9846"/>
      <c r="I64" s="9846"/>
      <c r="J64" s="9846"/>
      <c r="K64" s="9846"/>
      <c r="L64" s="9846"/>
      <c r="M64" s="9846"/>
      <c r="N64" s="9846"/>
      <c r="O64" s="9846"/>
      <c r="P64" s="9846"/>
      <c r="Q64" s="9846"/>
      <c r="R64" s="9846"/>
      <c r="S64" s="9846"/>
      <c r="T64" s="9846"/>
      <c r="U64" s="9846"/>
      <c r="V64" s="9846"/>
      <c r="W64" s="9846"/>
      <c r="X64" s="9846"/>
      <c r="Y64" s="9846"/>
      <c r="Z64" s="9846"/>
      <c r="AA64" s="9846"/>
      <c r="AB64" s="9846"/>
      <c r="AC64" s="9846"/>
      <c r="AD64" s="9846"/>
      <c r="AE64" s="9846"/>
      <c r="AF64" s="9846"/>
      <c r="AG64" s="9846"/>
      <c r="AH64" s="9846"/>
      <c r="AI64" s="9846"/>
      <c r="AJ64" s="9889"/>
      <c r="AK64" s="9860" t="s">
        <v>358</v>
      </c>
      <c r="AL64" s="4627"/>
      <c r="AM64" s="4657"/>
      <c r="AN64" s="4657"/>
      <c r="AO64" s="4657"/>
      <c r="AP64" s="4657"/>
      <c r="AQ64" s="4657"/>
      <c r="AR64" s="4657"/>
      <c r="AS64" s="4657"/>
      <c r="AT64" s="4657"/>
      <c r="AU64" s="4657"/>
      <c r="AV64" s="4657"/>
      <c r="AW64" s="4657"/>
      <c r="AX64" s="4657"/>
      <c r="AY64" s="4657"/>
      <c r="AZ64" s="4657"/>
      <c r="BA64" s="4657"/>
      <c r="BX64" s="4653"/>
    </row>
    <row r="65" spans="1:108" ht="16.149999999999999" customHeight="1" x14ac:dyDescent="0.2">
      <c r="A65" s="8628"/>
      <c r="B65" s="9840"/>
      <c r="C65" s="9841"/>
      <c r="D65" s="8628"/>
      <c r="E65" s="9822" t="s">
        <v>1909</v>
      </c>
      <c r="F65" s="9823"/>
      <c r="G65" s="9819" t="s">
        <v>1910</v>
      </c>
      <c r="H65" s="9819"/>
      <c r="I65" s="9822" t="s">
        <v>1911</v>
      </c>
      <c r="J65" s="9823"/>
      <c r="K65" s="9819" t="s">
        <v>1912</v>
      </c>
      <c r="L65" s="9819"/>
      <c r="M65" s="9822" t="s">
        <v>1913</v>
      </c>
      <c r="N65" s="9823"/>
      <c r="O65" s="9819" t="s">
        <v>1914</v>
      </c>
      <c r="P65" s="9819"/>
      <c r="Q65" s="9822" t="s">
        <v>1915</v>
      </c>
      <c r="R65" s="9823"/>
      <c r="S65" s="9819" t="s">
        <v>124</v>
      </c>
      <c r="T65" s="9819"/>
      <c r="U65" s="9822" t="s">
        <v>125</v>
      </c>
      <c r="V65" s="9823"/>
      <c r="W65" s="9819" t="s">
        <v>126</v>
      </c>
      <c r="X65" s="9819"/>
      <c r="Y65" s="9822" t="s">
        <v>127</v>
      </c>
      <c r="Z65" s="9823"/>
      <c r="AA65" s="9819" t="s">
        <v>128</v>
      </c>
      <c r="AB65" s="9819"/>
      <c r="AC65" s="9822" t="s">
        <v>129</v>
      </c>
      <c r="AD65" s="9823"/>
      <c r="AE65" s="9819" t="s">
        <v>130</v>
      </c>
      <c r="AF65" s="9819"/>
      <c r="AG65" s="9822" t="s">
        <v>131</v>
      </c>
      <c r="AH65" s="9823"/>
      <c r="AI65" s="9822" t="s">
        <v>1916</v>
      </c>
      <c r="AJ65" s="9898"/>
      <c r="AK65" s="8689"/>
      <c r="AL65" s="4627"/>
      <c r="AM65" s="4657"/>
      <c r="AN65" s="4657"/>
      <c r="AO65" s="4657"/>
      <c r="AP65" s="4657"/>
      <c r="AQ65" s="4657"/>
      <c r="AR65" s="4657"/>
      <c r="AS65" s="4657"/>
      <c r="AT65" s="4657"/>
      <c r="AU65" s="4657"/>
      <c r="AV65" s="4657"/>
      <c r="AW65" s="4657"/>
      <c r="AX65" s="4657"/>
      <c r="AY65" s="4657"/>
      <c r="AZ65" s="4657"/>
      <c r="BA65" s="4657"/>
      <c r="BX65" s="4653"/>
    </row>
    <row r="66" spans="1:108" ht="16.149999999999999" customHeight="1" x14ac:dyDescent="0.2">
      <c r="A66" s="8629"/>
      <c r="B66" s="5508" t="s">
        <v>42</v>
      </c>
      <c r="C66" s="5932" t="s">
        <v>17</v>
      </c>
      <c r="D66" s="4940" t="s">
        <v>18</v>
      </c>
      <c r="E66" s="4744" t="s">
        <v>17</v>
      </c>
      <c r="F66" s="4745" t="s">
        <v>18</v>
      </c>
      <c r="G66" s="5837" t="s">
        <v>17</v>
      </c>
      <c r="H66" s="4746" t="s">
        <v>18</v>
      </c>
      <c r="I66" s="4744" t="s">
        <v>17</v>
      </c>
      <c r="J66" s="4745" t="s">
        <v>18</v>
      </c>
      <c r="K66" s="5837" t="s">
        <v>17</v>
      </c>
      <c r="L66" s="4746" t="s">
        <v>18</v>
      </c>
      <c r="M66" s="4744" t="s">
        <v>17</v>
      </c>
      <c r="N66" s="4745" t="s">
        <v>18</v>
      </c>
      <c r="O66" s="5837" t="s">
        <v>17</v>
      </c>
      <c r="P66" s="4746" t="s">
        <v>18</v>
      </c>
      <c r="Q66" s="4744" t="s">
        <v>17</v>
      </c>
      <c r="R66" s="4745" t="s">
        <v>18</v>
      </c>
      <c r="S66" s="5837" t="s">
        <v>17</v>
      </c>
      <c r="T66" s="4746" t="s">
        <v>18</v>
      </c>
      <c r="U66" s="4744" t="s">
        <v>17</v>
      </c>
      <c r="V66" s="4745" t="s">
        <v>18</v>
      </c>
      <c r="W66" s="5837" t="s">
        <v>17</v>
      </c>
      <c r="X66" s="4746" t="s">
        <v>18</v>
      </c>
      <c r="Y66" s="4744" t="s">
        <v>17</v>
      </c>
      <c r="Z66" s="4745" t="s">
        <v>18</v>
      </c>
      <c r="AA66" s="5837" t="s">
        <v>17</v>
      </c>
      <c r="AB66" s="4746" t="s">
        <v>18</v>
      </c>
      <c r="AC66" s="4744" t="s">
        <v>17</v>
      </c>
      <c r="AD66" s="4745" t="s">
        <v>18</v>
      </c>
      <c r="AE66" s="5837" t="s">
        <v>17</v>
      </c>
      <c r="AF66" s="4746" t="s">
        <v>18</v>
      </c>
      <c r="AG66" s="4744" t="s">
        <v>17</v>
      </c>
      <c r="AH66" s="4745" t="s">
        <v>18</v>
      </c>
      <c r="AI66" s="4744" t="s">
        <v>17</v>
      </c>
      <c r="AJ66" s="5881" t="s">
        <v>18</v>
      </c>
      <c r="AK66" s="8723"/>
      <c r="AL66" s="4627"/>
      <c r="AM66" s="4657"/>
      <c r="AN66" s="4657"/>
      <c r="AO66" s="4657"/>
      <c r="AP66" s="4657"/>
      <c r="AQ66" s="4657"/>
      <c r="AR66" s="4657"/>
      <c r="AS66" s="4657"/>
      <c r="AT66" s="4657"/>
      <c r="AU66" s="4657"/>
      <c r="AV66" s="4657"/>
      <c r="AW66" s="4657"/>
      <c r="AX66" s="4657"/>
      <c r="AY66" s="4657"/>
      <c r="AZ66" s="4657"/>
      <c r="BA66" s="4657"/>
      <c r="BX66" s="4653"/>
    </row>
    <row r="67" spans="1:108" ht="16.149999999999999" customHeight="1" x14ac:dyDescent="0.2">
      <c r="A67" s="6005" t="s">
        <v>19</v>
      </c>
      <c r="B67" s="6006">
        <f>SUM(C67+D67)</f>
        <v>0</v>
      </c>
      <c r="C67" s="6007">
        <f t="shared" ref="C67:D69" si="10">SUM(E67+G67+I67+K67+M67+O67+Q67+S67+U67+W67+Y67+AA67+AC67+AE67+AG67+AI67)</f>
        <v>0</v>
      </c>
      <c r="D67" s="6008">
        <f t="shared" si="10"/>
        <v>0</v>
      </c>
      <c r="E67" s="4281"/>
      <c r="F67" s="5515"/>
      <c r="G67" s="5513"/>
      <c r="H67" s="6009"/>
      <c r="I67" s="4281"/>
      <c r="J67" s="5375"/>
      <c r="K67" s="5513"/>
      <c r="L67" s="6009"/>
      <c r="M67" s="4281"/>
      <c r="N67" s="5375"/>
      <c r="O67" s="5513"/>
      <c r="P67" s="6009"/>
      <c r="Q67" s="4281"/>
      <c r="R67" s="5375"/>
      <c r="S67" s="5513"/>
      <c r="T67" s="6009"/>
      <c r="U67" s="4281"/>
      <c r="V67" s="5375"/>
      <c r="W67" s="5513"/>
      <c r="X67" s="6009"/>
      <c r="Y67" s="4281"/>
      <c r="Z67" s="5375"/>
      <c r="AA67" s="5513"/>
      <c r="AB67" s="6009"/>
      <c r="AC67" s="4281"/>
      <c r="AD67" s="5375"/>
      <c r="AE67" s="5513"/>
      <c r="AF67" s="6009"/>
      <c r="AG67" s="4281"/>
      <c r="AH67" s="5375"/>
      <c r="AI67" s="6010"/>
      <c r="AJ67" s="4824"/>
      <c r="AK67" s="6011"/>
      <c r="AL67" s="5962"/>
      <c r="AM67" s="4684"/>
      <c r="AN67" s="4684"/>
      <c r="AO67" s="4684"/>
      <c r="AP67" s="4684"/>
      <c r="AQ67" s="4684"/>
      <c r="AR67" s="4684"/>
      <c r="AS67" s="4684"/>
      <c r="AT67" s="4684"/>
      <c r="AU67" s="4684"/>
      <c r="AV67" s="4684"/>
      <c r="AW67" s="4684"/>
      <c r="AX67" s="4657"/>
      <c r="AY67" s="4657"/>
      <c r="AZ67" s="4657"/>
      <c r="BA67" s="4657"/>
      <c r="BX67" s="4653"/>
      <c r="CF67" s="4688">
        <v>0</v>
      </c>
      <c r="CG67" s="4688">
        <v>0</v>
      </c>
      <c r="DB67" s="4687">
        <v>0</v>
      </c>
    </row>
    <row r="68" spans="1:108" ht="16.149999999999999" customHeight="1" x14ac:dyDescent="0.2">
      <c r="A68" s="4286" t="s">
        <v>99</v>
      </c>
      <c r="B68" s="5991">
        <f>SUM(C68+D68)</f>
        <v>0</v>
      </c>
      <c r="C68" s="5992">
        <f t="shared" si="10"/>
        <v>0</v>
      </c>
      <c r="D68" s="6012">
        <f t="shared" si="10"/>
        <v>0</v>
      </c>
      <c r="E68" s="5387"/>
      <c r="F68" s="5389"/>
      <c r="G68" s="5442"/>
      <c r="H68" s="5527"/>
      <c r="I68" s="5387"/>
      <c r="J68" s="4530"/>
      <c r="K68" s="5442"/>
      <c r="L68" s="5527"/>
      <c r="M68" s="5387"/>
      <c r="N68" s="4530"/>
      <c r="O68" s="5442"/>
      <c r="P68" s="5527"/>
      <c r="Q68" s="5387"/>
      <c r="R68" s="4530"/>
      <c r="S68" s="5442"/>
      <c r="T68" s="5527"/>
      <c r="U68" s="5387"/>
      <c r="V68" s="4530"/>
      <c r="W68" s="5442"/>
      <c r="X68" s="5527"/>
      <c r="Y68" s="5387"/>
      <c r="Z68" s="4530"/>
      <c r="AA68" s="5442"/>
      <c r="AB68" s="5527"/>
      <c r="AC68" s="5387"/>
      <c r="AD68" s="4530"/>
      <c r="AE68" s="5442"/>
      <c r="AF68" s="5527"/>
      <c r="AG68" s="5387"/>
      <c r="AH68" s="4530"/>
      <c r="AI68" s="6013"/>
      <c r="AJ68" s="5388"/>
      <c r="AK68" s="5389"/>
      <c r="AL68" s="5962"/>
      <c r="AM68" s="4684"/>
      <c r="AN68" s="4684"/>
      <c r="AO68" s="4684"/>
      <c r="AP68" s="4684"/>
      <c r="AQ68" s="4684"/>
      <c r="AR68" s="4684"/>
      <c r="AS68" s="4684"/>
      <c r="AT68" s="4684"/>
      <c r="AU68" s="4684"/>
      <c r="AV68" s="4684"/>
      <c r="AW68" s="4684"/>
      <c r="AX68" s="4657"/>
      <c r="AY68" s="4657"/>
      <c r="AZ68" s="4657"/>
      <c r="BA68" s="4657"/>
      <c r="BX68" s="4653"/>
      <c r="CF68" s="4688">
        <v>0</v>
      </c>
      <c r="CG68" s="4688">
        <v>0</v>
      </c>
      <c r="CH68" s="4688">
        <v>0</v>
      </c>
    </row>
    <row r="69" spans="1:108" ht="16.149999999999999" customHeight="1" x14ac:dyDescent="0.2">
      <c r="A69" s="6014" t="s">
        <v>103</v>
      </c>
      <c r="B69" s="6015">
        <f>SUM(C69+D69)</f>
        <v>0</v>
      </c>
      <c r="C69" s="6016">
        <f t="shared" si="10"/>
        <v>0</v>
      </c>
      <c r="D69" s="6017">
        <f t="shared" si="10"/>
        <v>0</v>
      </c>
      <c r="E69" s="5454"/>
      <c r="F69" s="5455"/>
      <c r="G69" s="5458"/>
      <c r="H69" s="5943"/>
      <c r="I69" s="5454"/>
      <c r="J69" s="5456"/>
      <c r="K69" s="5458"/>
      <c r="L69" s="5943"/>
      <c r="M69" s="5454"/>
      <c r="N69" s="5456"/>
      <c r="O69" s="5458"/>
      <c r="P69" s="5943"/>
      <c r="Q69" s="5454"/>
      <c r="R69" s="5456"/>
      <c r="S69" s="5458"/>
      <c r="T69" s="5943"/>
      <c r="U69" s="5454"/>
      <c r="V69" s="5456"/>
      <c r="W69" s="5458"/>
      <c r="X69" s="5943"/>
      <c r="Y69" s="5454"/>
      <c r="Z69" s="5456"/>
      <c r="AA69" s="5458"/>
      <c r="AB69" s="5943"/>
      <c r="AC69" s="5454"/>
      <c r="AD69" s="5456"/>
      <c r="AE69" s="5458"/>
      <c r="AF69" s="5943"/>
      <c r="AG69" s="5454"/>
      <c r="AH69" s="5456"/>
      <c r="AI69" s="5944"/>
      <c r="AJ69" s="5457"/>
      <c r="AK69" s="5460"/>
      <c r="AL69" s="5962"/>
      <c r="AM69" s="4684"/>
      <c r="AN69" s="4684"/>
      <c r="AO69" s="4684"/>
      <c r="AP69" s="4684"/>
      <c r="AQ69" s="4684"/>
      <c r="AR69" s="4684"/>
      <c r="AS69" s="4684"/>
      <c r="AT69" s="4684"/>
      <c r="AU69" s="4684"/>
      <c r="AV69" s="4684"/>
      <c r="AW69" s="4684"/>
      <c r="AX69" s="4657"/>
      <c r="AY69" s="4657"/>
      <c r="AZ69" s="4657"/>
      <c r="BA69" s="4657"/>
      <c r="BX69" s="4653"/>
      <c r="CF69" s="4688">
        <v>0</v>
      </c>
      <c r="CG69" s="4688">
        <v>0</v>
      </c>
      <c r="CH69" s="4688">
        <v>0</v>
      </c>
    </row>
    <row r="70" spans="1:108" ht="16.149999999999999" customHeight="1" x14ac:dyDescent="0.2">
      <c r="A70" s="6018" t="s">
        <v>24</v>
      </c>
      <c r="B70" s="5929">
        <f t="shared" ref="B70:K70" si="11">SUM(B67:B69)</f>
        <v>0</v>
      </c>
      <c r="C70" s="5873">
        <f t="shared" si="11"/>
        <v>0</v>
      </c>
      <c r="D70" s="5871">
        <f t="shared" si="11"/>
        <v>0</v>
      </c>
      <c r="E70" s="5431">
        <f t="shared" si="11"/>
        <v>0</v>
      </c>
      <c r="F70" s="5433">
        <f t="shared" si="11"/>
        <v>0</v>
      </c>
      <c r="G70" s="5453">
        <f t="shared" si="11"/>
        <v>0</v>
      </c>
      <c r="H70" s="5946">
        <f t="shared" si="11"/>
        <v>0</v>
      </c>
      <c r="I70" s="5431">
        <f t="shared" si="11"/>
        <v>0</v>
      </c>
      <c r="J70" s="5451">
        <f t="shared" si="11"/>
        <v>0</v>
      </c>
      <c r="K70" s="5453">
        <f t="shared" si="11"/>
        <v>0</v>
      </c>
      <c r="L70" s="5946">
        <f t="shared" ref="L70:AK70" si="12">SUM(L67:L69)</f>
        <v>0</v>
      </c>
      <c r="M70" s="5431">
        <f t="shared" si="12"/>
        <v>0</v>
      </c>
      <c r="N70" s="5451">
        <f t="shared" si="12"/>
        <v>0</v>
      </c>
      <c r="O70" s="5453">
        <f t="shared" si="12"/>
        <v>0</v>
      </c>
      <c r="P70" s="5946">
        <f t="shared" si="12"/>
        <v>0</v>
      </c>
      <c r="Q70" s="5431">
        <f t="shared" si="12"/>
        <v>0</v>
      </c>
      <c r="R70" s="5451">
        <f t="shared" si="12"/>
        <v>0</v>
      </c>
      <c r="S70" s="5453">
        <f t="shared" si="12"/>
        <v>0</v>
      </c>
      <c r="T70" s="5946">
        <f t="shared" si="12"/>
        <v>0</v>
      </c>
      <c r="U70" s="5431">
        <f t="shared" si="12"/>
        <v>0</v>
      </c>
      <c r="V70" s="5451">
        <f t="shared" si="12"/>
        <v>0</v>
      </c>
      <c r="W70" s="5453">
        <f t="shared" si="12"/>
        <v>0</v>
      </c>
      <c r="X70" s="5946">
        <f t="shared" si="12"/>
        <v>0</v>
      </c>
      <c r="Y70" s="5431">
        <f t="shared" si="12"/>
        <v>0</v>
      </c>
      <c r="Z70" s="5451">
        <f t="shared" si="12"/>
        <v>0</v>
      </c>
      <c r="AA70" s="5453">
        <f t="shared" si="12"/>
        <v>0</v>
      </c>
      <c r="AB70" s="5946">
        <f t="shared" si="12"/>
        <v>0</v>
      </c>
      <c r="AC70" s="5431">
        <f t="shared" si="12"/>
        <v>0</v>
      </c>
      <c r="AD70" s="5451">
        <f t="shared" si="12"/>
        <v>0</v>
      </c>
      <c r="AE70" s="5453">
        <f t="shared" si="12"/>
        <v>0</v>
      </c>
      <c r="AF70" s="5946">
        <f t="shared" si="12"/>
        <v>0</v>
      </c>
      <c r="AG70" s="5431">
        <f t="shared" si="12"/>
        <v>0</v>
      </c>
      <c r="AH70" s="5451">
        <f t="shared" si="12"/>
        <v>0</v>
      </c>
      <c r="AI70" s="5947">
        <f t="shared" si="12"/>
        <v>0</v>
      </c>
      <c r="AJ70" s="5452">
        <f t="shared" si="12"/>
        <v>0</v>
      </c>
      <c r="AK70" s="5433">
        <f t="shared" si="12"/>
        <v>0</v>
      </c>
      <c r="AL70" s="6019"/>
      <c r="AM70" s="4657"/>
      <c r="AN70" s="4657"/>
      <c r="AO70" s="4657"/>
      <c r="AP70" s="4657"/>
      <c r="AQ70" s="4657"/>
      <c r="AR70" s="4657"/>
      <c r="AS70" s="4657"/>
      <c r="AT70" s="4657"/>
      <c r="AU70" s="4657"/>
      <c r="AV70" s="4657"/>
      <c r="AW70" s="4657"/>
      <c r="AX70" s="4657"/>
      <c r="AY70" s="4657"/>
      <c r="AZ70" s="4657"/>
      <c r="BA70" s="4657"/>
      <c r="BX70" s="4653"/>
    </row>
    <row r="71" spans="1:108" ht="25.15" customHeight="1" x14ac:dyDescent="0.2">
      <c r="A71" s="5466" t="s">
        <v>3815</v>
      </c>
      <c r="B71" s="5930"/>
      <c r="C71" s="5878"/>
      <c r="D71" s="5878"/>
      <c r="E71" s="5878"/>
      <c r="M71" s="4661"/>
      <c r="N71" s="4302"/>
      <c r="O71" s="4302"/>
      <c r="P71" s="4302"/>
      <c r="Q71" s="4328"/>
      <c r="R71" s="4328"/>
      <c r="S71" s="4328"/>
      <c r="T71" s="4328"/>
      <c r="AL71" s="4657"/>
      <c r="AM71" s="4657"/>
      <c r="AN71" s="5931"/>
      <c r="AO71" s="4657"/>
      <c r="AP71" s="4657"/>
      <c r="AQ71" s="4657"/>
      <c r="AR71" s="4657"/>
      <c r="AS71" s="4657"/>
      <c r="AT71" s="4657"/>
      <c r="AU71" s="4657"/>
      <c r="AV71" s="4657"/>
      <c r="AW71" s="4657"/>
      <c r="AX71" s="4657"/>
      <c r="AY71" s="4657"/>
      <c r="AZ71" s="4657"/>
      <c r="BA71" s="4657"/>
      <c r="BB71" s="4657"/>
    </row>
    <row r="72" spans="1:108" ht="16.149999999999999" customHeight="1" x14ac:dyDescent="0.2">
      <c r="A72" s="9801" t="s">
        <v>0</v>
      </c>
      <c r="B72" s="9821" t="s">
        <v>24</v>
      </c>
      <c r="C72" s="9820"/>
      <c r="D72" s="9801"/>
      <c r="E72" s="9845" t="s">
        <v>2</v>
      </c>
      <c r="F72" s="9846"/>
      <c r="G72" s="9846"/>
      <c r="H72" s="9846"/>
      <c r="I72" s="9846"/>
      <c r="J72" s="9846"/>
      <c r="K72" s="9846"/>
      <c r="L72" s="9846"/>
      <c r="M72" s="9846"/>
      <c r="N72" s="9846"/>
      <c r="O72" s="9846"/>
      <c r="P72" s="9846"/>
      <c r="Q72" s="9846"/>
      <c r="R72" s="9846"/>
      <c r="S72" s="9846"/>
      <c r="T72" s="9846"/>
      <c r="U72" s="9846"/>
      <c r="V72" s="9846"/>
      <c r="W72" s="9846"/>
      <c r="X72" s="9846"/>
      <c r="Y72" s="9846"/>
      <c r="Z72" s="9846"/>
      <c r="AA72" s="9846"/>
      <c r="AB72" s="9846"/>
      <c r="AC72" s="9846"/>
      <c r="AD72" s="9846"/>
      <c r="AE72" s="9846"/>
      <c r="AF72" s="9846"/>
      <c r="AG72" s="9846"/>
      <c r="AH72" s="9846"/>
      <c r="AI72" s="9846"/>
      <c r="AJ72" s="9889"/>
      <c r="AK72" s="9895" t="s">
        <v>358</v>
      </c>
      <c r="AL72" s="9892" t="s">
        <v>2893</v>
      </c>
      <c r="AM72" s="4657"/>
      <c r="AN72" s="4657"/>
      <c r="AO72" s="4657"/>
      <c r="AP72" s="4657"/>
      <c r="AQ72" s="4657"/>
      <c r="AR72" s="4657"/>
      <c r="AS72" s="4657"/>
      <c r="AT72" s="4657"/>
      <c r="AU72" s="4657"/>
      <c r="AV72" s="4657"/>
      <c r="AW72" s="4657"/>
      <c r="AX72" s="4657"/>
      <c r="AY72" s="4657"/>
      <c r="AZ72" s="4657"/>
      <c r="BA72" s="4657"/>
      <c r="BX72" s="4653"/>
    </row>
    <row r="73" spans="1:108" ht="16.149999999999999" customHeight="1" x14ac:dyDescent="0.2">
      <c r="A73" s="8628"/>
      <c r="B73" s="9829"/>
      <c r="C73" s="9830"/>
      <c r="D73" s="8629"/>
      <c r="E73" s="9822" t="s">
        <v>1909</v>
      </c>
      <c r="F73" s="9823"/>
      <c r="G73" s="9822" t="s">
        <v>1910</v>
      </c>
      <c r="H73" s="9823"/>
      <c r="I73" s="9822" t="s">
        <v>1911</v>
      </c>
      <c r="J73" s="9823"/>
      <c r="K73" s="9822" t="s">
        <v>1912</v>
      </c>
      <c r="L73" s="9823"/>
      <c r="M73" s="9822" t="s">
        <v>1913</v>
      </c>
      <c r="N73" s="9823"/>
      <c r="O73" s="9822" t="s">
        <v>1914</v>
      </c>
      <c r="P73" s="9823"/>
      <c r="Q73" s="9822" t="s">
        <v>1915</v>
      </c>
      <c r="R73" s="9823"/>
      <c r="S73" s="9822" t="s">
        <v>124</v>
      </c>
      <c r="T73" s="9823"/>
      <c r="U73" s="9822" t="s">
        <v>125</v>
      </c>
      <c r="V73" s="9823"/>
      <c r="W73" s="9822" t="s">
        <v>126</v>
      </c>
      <c r="X73" s="9823"/>
      <c r="Y73" s="9822" t="s">
        <v>127</v>
      </c>
      <c r="Z73" s="9823"/>
      <c r="AA73" s="9822" t="s">
        <v>128</v>
      </c>
      <c r="AB73" s="9823"/>
      <c r="AC73" s="9822" t="s">
        <v>129</v>
      </c>
      <c r="AD73" s="9823"/>
      <c r="AE73" s="9822" t="s">
        <v>130</v>
      </c>
      <c r="AF73" s="9823"/>
      <c r="AG73" s="9822" t="s">
        <v>131</v>
      </c>
      <c r="AH73" s="9823"/>
      <c r="AI73" s="9822" t="s">
        <v>1916</v>
      </c>
      <c r="AJ73" s="9898"/>
      <c r="AK73" s="9896"/>
      <c r="AL73" s="9893"/>
      <c r="AM73" s="4657"/>
      <c r="AN73" s="4657"/>
      <c r="AO73" s="4657"/>
      <c r="AP73" s="4657"/>
      <c r="AQ73" s="4657"/>
      <c r="AR73" s="4657"/>
      <c r="AS73" s="4657"/>
      <c r="AT73" s="4657"/>
      <c r="AU73" s="4657"/>
      <c r="AV73" s="4657"/>
      <c r="AW73" s="4657"/>
      <c r="AX73" s="4657"/>
      <c r="AY73" s="4657"/>
      <c r="AZ73" s="4657"/>
      <c r="BA73" s="4657"/>
      <c r="BX73" s="4653"/>
    </row>
    <row r="74" spans="1:108" ht="16.149999999999999" customHeight="1" x14ac:dyDescent="0.2">
      <c r="A74" s="8629"/>
      <c r="B74" s="5508" t="s">
        <v>42</v>
      </c>
      <c r="C74" s="5932" t="s">
        <v>17</v>
      </c>
      <c r="D74" s="4940" t="s">
        <v>18</v>
      </c>
      <c r="E74" s="5428" t="s">
        <v>17</v>
      </c>
      <c r="F74" s="5429" t="s">
        <v>18</v>
      </c>
      <c r="G74" s="5467" t="s">
        <v>17</v>
      </c>
      <c r="H74" s="5468" t="s">
        <v>18</v>
      </c>
      <c r="I74" s="5428" t="s">
        <v>17</v>
      </c>
      <c r="J74" s="5429" t="s">
        <v>18</v>
      </c>
      <c r="K74" s="5428" t="s">
        <v>17</v>
      </c>
      <c r="L74" s="5429" t="s">
        <v>18</v>
      </c>
      <c r="M74" s="5467" t="s">
        <v>17</v>
      </c>
      <c r="N74" s="5468" t="s">
        <v>18</v>
      </c>
      <c r="O74" s="5428" t="s">
        <v>17</v>
      </c>
      <c r="P74" s="5429" t="s">
        <v>18</v>
      </c>
      <c r="Q74" s="5467" t="s">
        <v>17</v>
      </c>
      <c r="R74" s="5468" t="s">
        <v>18</v>
      </c>
      <c r="S74" s="5428" t="s">
        <v>17</v>
      </c>
      <c r="T74" s="5429" t="s">
        <v>18</v>
      </c>
      <c r="U74" s="5467" t="s">
        <v>17</v>
      </c>
      <c r="V74" s="5468" t="s">
        <v>18</v>
      </c>
      <c r="W74" s="5428" t="s">
        <v>17</v>
      </c>
      <c r="X74" s="5429" t="s">
        <v>18</v>
      </c>
      <c r="Y74" s="5467" t="s">
        <v>17</v>
      </c>
      <c r="Z74" s="5468" t="s">
        <v>18</v>
      </c>
      <c r="AA74" s="5428" t="s">
        <v>17</v>
      </c>
      <c r="AB74" s="5429" t="s">
        <v>18</v>
      </c>
      <c r="AC74" s="5467" t="s">
        <v>17</v>
      </c>
      <c r="AD74" s="5468" t="s">
        <v>18</v>
      </c>
      <c r="AE74" s="5428" t="s">
        <v>17</v>
      </c>
      <c r="AF74" s="5429" t="s">
        <v>18</v>
      </c>
      <c r="AG74" s="5467" t="s">
        <v>17</v>
      </c>
      <c r="AH74" s="5468" t="s">
        <v>18</v>
      </c>
      <c r="AI74" s="5428" t="s">
        <v>17</v>
      </c>
      <c r="AJ74" s="5430" t="s">
        <v>18</v>
      </c>
      <c r="AK74" s="9897"/>
      <c r="AL74" s="9894"/>
      <c r="AM74" s="4657"/>
      <c r="AN74" s="4657"/>
      <c r="AO74" s="4657"/>
      <c r="AP74" s="4657"/>
      <c r="AQ74" s="4657"/>
      <c r="AR74" s="4657"/>
      <c r="AS74" s="4657"/>
      <c r="AT74" s="4657"/>
      <c r="AU74" s="4657"/>
      <c r="AV74" s="4657"/>
      <c r="AW74" s="4657"/>
      <c r="AX74" s="4657"/>
      <c r="AY74" s="4657"/>
      <c r="AZ74" s="4657"/>
      <c r="BA74" s="4657"/>
      <c r="BX74" s="4653"/>
    </row>
    <row r="75" spans="1:108" ht="16.149999999999999" customHeight="1" x14ac:dyDescent="0.2">
      <c r="A75" s="5933" t="s">
        <v>99</v>
      </c>
      <c r="B75" s="5501">
        <f>SUM(C75+D75)</f>
        <v>0</v>
      </c>
      <c r="C75" s="5934">
        <f>SUM(E75+G75+I75+K75+M75+O75+Q75+S75+U75+W75+Y75+AA75+AC75+AE75+AG75+AI75)</f>
        <v>0</v>
      </c>
      <c r="D75" s="5935">
        <f>SUM(F75+H75+J75+L75+N75+P75+R75+T75+V75+X75+Z75+AB75+AD75+AF75+AH75+AJ75)</f>
        <v>0</v>
      </c>
      <c r="E75" s="5439"/>
      <c r="F75" s="4428"/>
      <c r="G75" s="5440"/>
      <c r="H75" s="5936"/>
      <c r="I75" s="5439"/>
      <c r="J75" s="5381"/>
      <c r="K75" s="5439"/>
      <c r="L75" s="5381"/>
      <c r="M75" s="5440"/>
      <c r="N75" s="5936"/>
      <c r="O75" s="5439"/>
      <c r="P75" s="5381"/>
      <c r="Q75" s="5440"/>
      <c r="R75" s="5936"/>
      <c r="S75" s="5439"/>
      <c r="T75" s="5381"/>
      <c r="U75" s="5440"/>
      <c r="V75" s="5936"/>
      <c r="W75" s="5439"/>
      <c r="X75" s="5381"/>
      <c r="Y75" s="5440"/>
      <c r="Z75" s="5936"/>
      <c r="AA75" s="5439"/>
      <c r="AB75" s="5381"/>
      <c r="AC75" s="5440"/>
      <c r="AD75" s="5936"/>
      <c r="AE75" s="5439"/>
      <c r="AF75" s="5381"/>
      <c r="AG75" s="5440"/>
      <c r="AH75" s="5936"/>
      <c r="AI75" s="5937"/>
      <c r="AJ75" s="4295"/>
      <c r="AK75" s="4428"/>
      <c r="AL75" s="5938"/>
      <c r="AM75" s="4653"/>
      <c r="AN75" s="4657"/>
      <c r="AO75" s="4657"/>
      <c r="AP75" s="4657"/>
      <c r="AQ75" s="4657"/>
      <c r="AR75" s="4657"/>
      <c r="AS75" s="4657"/>
      <c r="AT75" s="4657"/>
      <c r="AU75" s="4657"/>
      <c r="AV75" s="4657"/>
      <c r="AW75" s="4657"/>
      <c r="AX75" s="4657"/>
      <c r="AY75" s="4657"/>
      <c r="AZ75" s="4657"/>
      <c r="BA75" s="4657"/>
      <c r="BX75" s="4653"/>
      <c r="DB75" s="4687">
        <v>0</v>
      </c>
    </row>
    <row r="76" spans="1:108" ht="16.149999999999999" customHeight="1" x14ac:dyDescent="0.2">
      <c r="A76" s="5939" t="s">
        <v>103</v>
      </c>
      <c r="B76" s="5940">
        <f>SUM(C76+D76)</f>
        <v>0</v>
      </c>
      <c r="C76" s="5941">
        <f>SUM(E76+G76+I76+K76+M76+O76+Q76+S76+U76+W76+Y76+AA76+AC76+AE76+AG76+AI76)</f>
        <v>0</v>
      </c>
      <c r="D76" s="5942">
        <f>SUM(F76+H76+J76+L76+N76+P76+R76+T76+V76+X76+Z76+AB76+AD76+AF76+AH76+AJ76)</f>
        <v>0</v>
      </c>
      <c r="E76" s="5454"/>
      <c r="F76" s="5455"/>
      <c r="G76" s="5458"/>
      <c r="H76" s="5943"/>
      <c r="I76" s="5454"/>
      <c r="J76" s="5456"/>
      <c r="K76" s="5454"/>
      <c r="L76" s="5456"/>
      <c r="M76" s="5458"/>
      <c r="N76" s="5943"/>
      <c r="O76" s="5454"/>
      <c r="P76" s="5456"/>
      <c r="Q76" s="5458"/>
      <c r="R76" s="5943"/>
      <c r="S76" s="5454"/>
      <c r="T76" s="5456"/>
      <c r="U76" s="5458"/>
      <c r="V76" s="5943"/>
      <c r="W76" s="5454"/>
      <c r="X76" s="5456"/>
      <c r="Y76" s="5458"/>
      <c r="Z76" s="5943"/>
      <c r="AA76" s="5454"/>
      <c r="AB76" s="5456"/>
      <c r="AC76" s="5458"/>
      <c r="AD76" s="5943"/>
      <c r="AE76" s="5505"/>
      <c r="AF76" s="5512"/>
      <c r="AG76" s="5458"/>
      <c r="AH76" s="5943"/>
      <c r="AI76" s="5944"/>
      <c r="AJ76" s="5457"/>
      <c r="AK76" s="5460"/>
      <c r="AL76" s="5461"/>
      <c r="AM76" s="4653"/>
      <c r="AN76" s="4657"/>
      <c r="AO76" s="4657"/>
      <c r="AP76" s="4657"/>
      <c r="AQ76" s="4657"/>
      <c r="AR76" s="4657"/>
      <c r="AS76" s="4657"/>
      <c r="AT76" s="4657"/>
      <c r="AU76" s="4657"/>
      <c r="AV76" s="4657"/>
      <c r="AW76" s="4657"/>
      <c r="AX76" s="4657"/>
      <c r="AY76" s="4657"/>
      <c r="AZ76" s="4657"/>
      <c r="BA76" s="4657"/>
      <c r="BX76" s="4653"/>
      <c r="CG76" s="4688">
        <v>0</v>
      </c>
      <c r="DB76" s="4687">
        <v>0</v>
      </c>
      <c r="DD76" s="4687">
        <v>0</v>
      </c>
    </row>
    <row r="77" spans="1:108" ht="16.149999999999999" customHeight="1" x14ac:dyDescent="0.2">
      <c r="A77" s="5945" t="s">
        <v>24</v>
      </c>
      <c r="B77" s="5929">
        <f t="shared" ref="B77:AK77" si="13">SUM(B75:B76)</f>
        <v>0</v>
      </c>
      <c r="C77" s="5873">
        <f>SUM(C75:C76)</f>
        <v>0</v>
      </c>
      <c r="D77" s="5871">
        <f t="shared" si="13"/>
        <v>0</v>
      </c>
      <c r="E77" s="5431">
        <f>SUM(E75:E76)</f>
        <v>0</v>
      </c>
      <c r="F77" s="5433">
        <f t="shared" si="13"/>
        <v>0</v>
      </c>
      <c r="G77" s="5453">
        <f t="shared" si="13"/>
        <v>0</v>
      </c>
      <c r="H77" s="5946">
        <f t="shared" si="13"/>
        <v>0</v>
      </c>
      <c r="I77" s="5431">
        <f t="shared" si="13"/>
        <v>0</v>
      </c>
      <c r="J77" s="5451">
        <f t="shared" si="13"/>
        <v>0</v>
      </c>
      <c r="K77" s="5431">
        <f t="shared" si="13"/>
        <v>0</v>
      </c>
      <c r="L77" s="5451">
        <f t="shared" si="13"/>
        <v>0</v>
      </c>
      <c r="M77" s="5453">
        <f t="shared" si="13"/>
        <v>0</v>
      </c>
      <c r="N77" s="5946">
        <f t="shared" si="13"/>
        <v>0</v>
      </c>
      <c r="O77" s="5431">
        <f t="shared" si="13"/>
        <v>0</v>
      </c>
      <c r="P77" s="5451">
        <f t="shared" si="13"/>
        <v>0</v>
      </c>
      <c r="Q77" s="5453">
        <f t="shared" si="13"/>
        <v>0</v>
      </c>
      <c r="R77" s="5946">
        <f t="shared" si="13"/>
        <v>0</v>
      </c>
      <c r="S77" s="5431">
        <f t="shared" si="13"/>
        <v>0</v>
      </c>
      <c r="T77" s="5451">
        <f t="shared" si="13"/>
        <v>0</v>
      </c>
      <c r="U77" s="5453">
        <f t="shared" si="13"/>
        <v>0</v>
      </c>
      <c r="V77" s="5946">
        <f t="shared" si="13"/>
        <v>0</v>
      </c>
      <c r="W77" s="5431">
        <f t="shared" si="13"/>
        <v>0</v>
      </c>
      <c r="X77" s="5451">
        <f t="shared" si="13"/>
        <v>0</v>
      </c>
      <c r="Y77" s="5453">
        <f t="shared" si="13"/>
        <v>0</v>
      </c>
      <c r="Z77" s="5946">
        <f t="shared" si="13"/>
        <v>0</v>
      </c>
      <c r="AA77" s="5431">
        <f t="shared" si="13"/>
        <v>0</v>
      </c>
      <c r="AB77" s="5451">
        <f t="shared" si="13"/>
        <v>0</v>
      </c>
      <c r="AC77" s="5453">
        <f t="shared" si="13"/>
        <v>0</v>
      </c>
      <c r="AD77" s="5432">
        <f t="shared" si="13"/>
        <v>0</v>
      </c>
      <c r="AE77" s="5432">
        <f t="shared" si="13"/>
        <v>0</v>
      </c>
      <c r="AF77" s="5432">
        <f t="shared" si="13"/>
        <v>0</v>
      </c>
      <c r="AG77" s="5432">
        <f t="shared" si="13"/>
        <v>0</v>
      </c>
      <c r="AH77" s="5946">
        <f t="shared" si="13"/>
        <v>0</v>
      </c>
      <c r="AI77" s="5947">
        <f t="shared" si="13"/>
        <v>0</v>
      </c>
      <c r="AJ77" s="5452">
        <f t="shared" si="13"/>
        <v>0</v>
      </c>
      <c r="AK77" s="5433">
        <f t="shared" si="13"/>
        <v>0</v>
      </c>
      <c r="AL77" s="5948">
        <f>SUM(AL75:AL76)</f>
        <v>0</v>
      </c>
      <c r="AM77" s="4657"/>
      <c r="AN77" s="4657"/>
      <c r="AO77" s="4657"/>
      <c r="AP77" s="4657"/>
      <c r="AQ77" s="4657"/>
      <c r="AR77" s="4657"/>
      <c r="AS77" s="4657"/>
      <c r="AT77" s="4657"/>
      <c r="AU77" s="4657"/>
      <c r="AV77" s="4657"/>
      <c r="AW77" s="4657"/>
      <c r="AX77" s="4657"/>
      <c r="AY77" s="4657"/>
      <c r="AZ77" s="4657"/>
      <c r="BA77" s="4657"/>
      <c r="BX77" s="4653"/>
      <c r="CG77" s="4688">
        <v>0</v>
      </c>
    </row>
    <row r="78" spans="1:108" ht="31.9" customHeight="1" x14ac:dyDescent="0.2">
      <c r="A78" s="4661" t="s">
        <v>1945</v>
      </c>
      <c r="B78" s="5930"/>
      <c r="C78" s="5878"/>
      <c r="D78" s="5878"/>
      <c r="E78" s="5878"/>
      <c r="F78" s="4661"/>
      <c r="M78" s="4661"/>
      <c r="Q78" s="4328"/>
      <c r="R78" s="4328"/>
      <c r="S78" s="4328"/>
      <c r="T78" s="4328"/>
      <c r="U78" s="4328"/>
      <c r="V78" s="4328"/>
      <c r="AM78" s="4657"/>
      <c r="AN78" s="4657"/>
      <c r="AO78" s="4657"/>
      <c r="AP78" s="4657"/>
      <c r="AQ78" s="4657"/>
      <c r="AR78" s="4657"/>
      <c r="AS78" s="4657"/>
      <c r="AT78" s="4657"/>
      <c r="AU78" s="4657"/>
      <c r="AV78" s="4657"/>
      <c r="AW78" s="4657"/>
      <c r="AX78" s="4657"/>
      <c r="AY78" s="4657"/>
      <c r="AZ78" s="4657"/>
    </row>
    <row r="79" spans="1:108" ht="16.149999999999999" customHeight="1" x14ac:dyDescent="0.2">
      <c r="A79" s="9801" t="s">
        <v>1908</v>
      </c>
      <c r="B79" s="9821" t="s">
        <v>24</v>
      </c>
      <c r="C79" s="9820"/>
      <c r="D79" s="9801"/>
      <c r="E79" s="9850" t="s">
        <v>2</v>
      </c>
      <c r="F79" s="9859"/>
      <c r="G79" s="9859"/>
      <c r="H79" s="9859"/>
      <c r="I79" s="9859"/>
      <c r="J79" s="9859"/>
      <c r="K79" s="9859"/>
      <c r="L79" s="9859"/>
      <c r="M79" s="9859"/>
      <c r="N79" s="9859"/>
      <c r="O79" s="9859"/>
      <c r="P79" s="9859"/>
      <c r="Q79" s="9859"/>
      <c r="R79" s="9859"/>
      <c r="S79" s="9859"/>
      <c r="T79" s="9859"/>
      <c r="U79" s="9859"/>
      <c r="V79" s="9859"/>
      <c r="W79" s="9859"/>
      <c r="X79" s="9859"/>
      <c r="Y79" s="9859"/>
      <c r="Z79" s="9859"/>
      <c r="AA79" s="9859"/>
      <c r="AB79" s="9859"/>
      <c r="AC79" s="9859"/>
      <c r="AD79" s="9859"/>
      <c r="AE79" s="9859"/>
      <c r="AF79" s="9859"/>
      <c r="AG79" s="9859"/>
      <c r="AH79" s="9859"/>
      <c r="AI79" s="9859"/>
      <c r="AJ79" s="9851"/>
      <c r="AL79" s="4657"/>
      <c r="AM79" s="4657"/>
      <c r="AN79" s="4657"/>
      <c r="AO79" s="4657"/>
      <c r="AP79" s="4657"/>
      <c r="AQ79" s="4657"/>
      <c r="AR79" s="4657"/>
      <c r="AS79" s="4657"/>
      <c r="AT79" s="4657"/>
      <c r="AU79" s="4657"/>
      <c r="AV79" s="4657"/>
      <c r="AW79" s="4657"/>
      <c r="AX79" s="4657"/>
      <c r="AY79" s="4657"/>
      <c r="BX79" s="4653"/>
    </row>
    <row r="80" spans="1:108" ht="16.149999999999999" customHeight="1" x14ac:dyDescent="0.2">
      <c r="A80" s="8628"/>
      <c r="B80" s="9829"/>
      <c r="C80" s="9830"/>
      <c r="D80" s="8629"/>
      <c r="E80" s="9822" t="s">
        <v>1909</v>
      </c>
      <c r="F80" s="9823"/>
      <c r="G80" s="9819" t="s">
        <v>1910</v>
      </c>
      <c r="H80" s="9819"/>
      <c r="I80" s="9822" t="s">
        <v>1911</v>
      </c>
      <c r="J80" s="9823"/>
      <c r="K80" s="9819" t="s">
        <v>1912</v>
      </c>
      <c r="L80" s="9819"/>
      <c r="M80" s="9822" t="s">
        <v>1913</v>
      </c>
      <c r="N80" s="9823"/>
      <c r="O80" s="9820" t="s">
        <v>1914</v>
      </c>
      <c r="P80" s="9820"/>
      <c r="Q80" s="9821" t="s">
        <v>1915</v>
      </c>
      <c r="R80" s="9801"/>
      <c r="S80" s="9821" t="s">
        <v>124</v>
      </c>
      <c r="T80" s="9801"/>
      <c r="U80" s="9820" t="s">
        <v>125</v>
      </c>
      <c r="V80" s="9820"/>
      <c r="W80" s="9821" t="s">
        <v>126</v>
      </c>
      <c r="X80" s="9801"/>
      <c r="Y80" s="9820" t="s">
        <v>127</v>
      </c>
      <c r="Z80" s="9820"/>
      <c r="AA80" s="9821" t="s">
        <v>128</v>
      </c>
      <c r="AB80" s="9801"/>
      <c r="AC80" s="9820" t="s">
        <v>129</v>
      </c>
      <c r="AD80" s="9820"/>
      <c r="AE80" s="9821" t="s">
        <v>130</v>
      </c>
      <c r="AF80" s="9801"/>
      <c r="AG80" s="9820" t="s">
        <v>131</v>
      </c>
      <c r="AH80" s="9820"/>
      <c r="AI80" s="9821" t="s">
        <v>1916</v>
      </c>
      <c r="AJ80" s="9801"/>
      <c r="AK80" s="4328"/>
      <c r="AL80" s="4627"/>
      <c r="AM80" s="4627"/>
      <c r="AN80" s="4657"/>
      <c r="AO80" s="4657"/>
      <c r="AP80" s="4657"/>
      <c r="AQ80" s="4657"/>
      <c r="AR80" s="4657"/>
      <c r="AS80" s="4657"/>
      <c r="AT80" s="4657"/>
      <c r="AU80" s="4657"/>
      <c r="AV80" s="4657"/>
      <c r="AW80" s="4657"/>
      <c r="AX80" s="4657"/>
      <c r="AY80" s="4657"/>
      <c r="BX80" s="4653"/>
    </row>
    <row r="81" spans="1:76" ht="16.149999999999999" customHeight="1" x14ac:dyDescent="0.2">
      <c r="A81" s="8629"/>
      <c r="B81" s="5508" t="s">
        <v>42</v>
      </c>
      <c r="C81" s="5932" t="s">
        <v>17</v>
      </c>
      <c r="D81" s="4947" t="s">
        <v>18</v>
      </c>
      <c r="E81" s="5879" t="s">
        <v>17</v>
      </c>
      <c r="F81" s="4940" t="s">
        <v>18</v>
      </c>
      <c r="G81" s="5932" t="s">
        <v>17</v>
      </c>
      <c r="H81" s="6002" t="s">
        <v>18</v>
      </c>
      <c r="I81" s="5879" t="s">
        <v>17</v>
      </c>
      <c r="J81" s="4940" t="s">
        <v>18</v>
      </c>
      <c r="K81" s="5932" t="s">
        <v>17</v>
      </c>
      <c r="L81" s="6002" t="s">
        <v>18</v>
      </c>
      <c r="M81" s="5879" t="s">
        <v>17</v>
      </c>
      <c r="N81" s="4940" t="s">
        <v>18</v>
      </c>
      <c r="O81" s="5932" t="s">
        <v>17</v>
      </c>
      <c r="P81" s="6002" t="s">
        <v>18</v>
      </c>
      <c r="Q81" s="5879" t="s">
        <v>17</v>
      </c>
      <c r="R81" s="4940" t="s">
        <v>18</v>
      </c>
      <c r="S81" s="5879" t="s">
        <v>17</v>
      </c>
      <c r="T81" s="4940" t="s">
        <v>18</v>
      </c>
      <c r="U81" s="5932" t="s">
        <v>17</v>
      </c>
      <c r="V81" s="6002" t="s">
        <v>18</v>
      </c>
      <c r="W81" s="5879" t="s">
        <v>17</v>
      </c>
      <c r="X81" s="4940" t="s">
        <v>18</v>
      </c>
      <c r="Y81" s="5932" t="s">
        <v>17</v>
      </c>
      <c r="Z81" s="6002" t="s">
        <v>18</v>
      </c>
      <c r="AA81" s="5879" t="s">
        <v>17</v>
      </c>
      <c r="AB81" s="4940" t="s">
        <v>18</v>
      </c>
      <c r="AC81" s="5932" t="s">
        <v>17</v>
      </c>
      <c r="AD81" s="6002" t="s">
        <v>18</v>
      </c>
      <c r="AE81" s="5879" t="s">
        <v>17</v>
      </c>
      <c r="AF81" s="4940" t="s">
        <v>18</v>
      </c>
      <c r="AG81" s="5932" t="s">
        <v>17</v>
      </c>
      <c r="AH81" s="6002" t="s">
        <v>18</v>
      </c>
      <c r="AI81" s="5879" t="s">
        <v>17</v>
      </c>
      <c r="AJ81" s="4940" t="s">
        <v>18</v>
      </c>
      <c r="AK81" s="4328"/>
      <c r="AL81" s="4627"/>
      <c r="AM81" s="4627"/>
      <c r="AN81" s="4657"/>
      <c r="AO81" s="4657"/>
      <c r="AP81" s="4657"/>
      <c r="AQ81" s="4657"/>
      <c r="AR81" s="4657"/>
      <c r="AS81" s="4657"/>
      <c r="AT81" s="4657"/>
      <c r="AU81" s="4657"/>
      <c r="AV81" s="4657"/>
      <c r="AW81" s="4657"/>
      <c r="AX81" s="4657"/>
      <c r="AY81" s="4657"/>
      <c r="BX81" s="4653"/>
    </row>
    <row r="82" spans="1:76" ht="16.149999999999999" customHeight="1" x14ac:dyDescent="0.2">
      <c r="A82" s="5497" t="s">
        <v>1946</v>
      </c>
      <c r="B82" s="5501">
        <f t="shared" ref="B82:B87" si="14">SUM(C82+D82)</f>
        <v>0</v>
      </c>
      <c r="C82" s="5934">
        <f>SUM(E82+G82)</f>
        <v>0</v>
      </c>
      <c r="D82" s="6012">
        <f>SUM(F82+H82)</f>
        <v>0</v>
      </c>
      <c r="E82" s="4281"/>
      <c r="F82" s="5515"/>
      <c r="G82" s="5513"/>
      <c r="H82" s="6009"/>
      <c r="I82" s="5901"/>
      <c r="J82" s="6020"/>
      <c r="K82" s="6021"/>
      <c r="L82" s="6022"/>
      <c r="M82" s="5901"/>
      <c r="N82" s="6020"/>
      <c r="O82" s="6021"/>
      <c r="P82" s="6022"/>
      <c r="Q82" s="5901"/>
      <c r="R82" s="6020"/>
      <c r="S82" s="5901"/>
      <c r="T82" s="6020"/>
      <c r="U82" s="6021"/>
      <c r="V82" s="6022"/>
      <c r="W82" s="5901"/>
      <c r="X82" s="6020"/>
      <c r="Y82" s="6021"/>
      <c r="Z82" s="6022"/>
      <c r="AA82" s="5901"/>
      <c r="AB82" s="6020"/>
      <c r="AC82" s="6021"/>
      <c r="AD82" s="6022"/>
      <c r="AE82" s="5901"/>
      <c r="AF82" s="6020"/>
      <c r="AG82" s="6021"/>
      <c r="AH82" s="6022"/>
      <c r="AI82" s="6023"/>
      <c r="AJ82" s="6020"/>
      <c r="AK82" s="6024"/>
      <c r="AL82" s="4627"/>
      <c r="AM82" s="4627"/>
      <c r="AN82" s="4657"/>
      <c r="AO82" s="4657"/>
      <c r="AP82" s="4657"/>
      <c r="AQ82" s="4657"/>
      <c r="AR82" s="4657"/>
      <c r="AS82" s="4657"/>
      <c r="AT82" s="4657"/>
      <c r="AU82" s="4657"/>
      <c r="AV82" s="4657"/>
      <c r="AW82" s="4657"/>
      <c r="AX82" s="4657"/>
      <c r="AY82" s="4657"/>
      <c r="BX82" s="4653"/>
    </row>
    <row r="83" spans="1:76" ht="16.149999999999999" customHeight="1" x14ac:dyDescent="0.2">
      <c r="A83" s="5849" t="s">
        <v>1937</v>
      </c>
      <c r="B83" s="5991">
        <f t="shared" si="14"/>
        <v>0</v>
      </c>
      <c r="C83" s="5992">
        <f>SUM(E83+G83+I83+K83+M83+O83+Q83+S83+U83+W83+Y83+AA83+AC83+AE83+AG83+AI83)</f>
        <v>0</v>
      </c>
      <c r="D83" s="6012">
        <f>SUM(F83+H83+J83+L83+N83+P83+R83+T83+V83+X83+Z83+AB83+AD83+AF83+AH83+AJ83)</f>
        <v>0</v>
      </c>
      <c r="E83" s="5387"/>
      <c r="F83" s="5389"/>
      <c r="G83" s="5442"/>
      <c r="H83" s="5527"/>
      <c r="I83" s="5387"/>
      <c r="J83" s="4530"/>
      <c r="K83" s="5442"/>
      <c r="L83" s="5527"/>
      <c r="M83" s="5387"/>
      <c r="N83" s="4530"/>
      <c r="O83" s="5442"/>
      <c r="P83" s="5527"/>
      <c r="Q83" s="5387"/>
      <c r="R83" s="4530"/>
      <c r="S83" s="5387"/>
      <c r="T83" s="4530"/>
      <c r="U83" s="5442"/>
      <c r="V83" s="5527"/>
      <c r="W83" s="5387"/>
      <c r="X83" s="4530"/>
      <c r="Y83" s="5442"/>
      <c r="Z83" s="5527"/>
      <c r="AA83" s="5387"/>
      <c r="AB83" s="4530"/>
      <c r="AC83" s="5442"/>
      <c r="AD83" s="5527"/>
      <c r="AE83" s="5387"/>
      <c r="AF83" s="4530"/>
      <c r="AG83" s="5442"/>
      <c r="AH83" s="5527"/>
      <c r="AI83" s="6013"/>
      <c r="AJ83" s="4530"/>
      <c r="AK83" s="6024"/>
      <c r="AL83" s="4627"/>
      <c r="AM83" s="4627"/>
      <c r="AN83" s="4657"/>
      <c r="AO83" s="4657"/>
      <c r="AP83" s="4657"/>
      <c r="AQ83" s="4657"/>
      <c r="AR83" s="4657"/>
      <c r="AS83" s="4657"/>
      <c r="AT83" s="4657"/>
      <c r="AU83" s="4657"/>
      <c r="AV83" s="4657"/>
      <c r="AW83" s="4657"/>
      <c r="AX83" s="4657"/>
      <c r="AY83" s="4657"/>
      <c r="BX83" s="4653"/>
    </row>
    <row r="84" spans="1:76" ht="16.149999999999999" customHeight="1" x14ac:dyDescent="0.2">
      <c r="A84" s="5849" t="s">
        <v>1938</v>
      </c>
      <c r="B84" s="5991">
        <f t="shared" si="14"/>
        <v>0</v>
      </c>
      <c r="C84" s="5992">
        <f>SUM(E84+G84+I84+K84+M84+O84+Q84+S84+U84+W84+Y84+AA84+AC84+AE84+AG84+AI84)</f>
        <v>0</v>
      </c>
      <c r="D84" s="6012">
        <f>SUM(F84+H84+J84+L84+N84+P84+R84+T84+V84+X84+Z84+AB84+AD84+AF84+AH84+AJ84)</f>
        <v>0</v>
      </c>
      <c r="E84" s="5387"/>
      <c r="F84" s="5389"/>
      <c r="G84" s="5442"/>
      <c r="H84" s="5527"/>
      <c r="I84" s="5387"/>
      <c r="J84" s="4530"/>
      <c r="K84" s="5442"/>
      <c r="L84" s="5527"/>
      <c r="M84" s="5387"/>
      <c r="N84" s="4530"/>
      <c r="O84" s="5442"/>
      <c r="P84" s="5527"/>
      <c r="Q84" s="5387"/>
      <c r="R84" s="4530"/>
      <c r="S84" s="5387"/>
      <c r="T84" s="4530"/>
      <c r="U84" s="5442"/>
      <c r="V84" s="5527"/>
      <c r="W84" s="5387"/>
      <c r="X84" s="4530"/>
      <c r="Y84" s="5442"/>
      <c r="Z84" s="5527"/>
      <c r="AA84" s="5387"/>
      <c r="AB84" s="4530"/>
      <c r="AC84" s="5442"/>
      <c r="AD84" s="5527"/>
      <c r="AE84" s="5387"/>
      <c r="AF84" s="4530"/>
      <c r="AG84" s="5442"/>
      <c r="AH84" s="5527"/>
      <c r="AI84" s="6013"/>
      <c r="AJ84" s="4530"/>
      <c r="AK84" s="6024"/>
      <c r="AL84" s="4328"/>
      <c r="AM84" s="4328"/>
      <c r="BX84" s="4653"/>
    </row>
    <row r="85" spans="1:76" ht="16.149999999999999" customHeight="1" x14ac:dyDescent="0.2">
      <c r="A85" s="5849" t="s">
        <v>57</v>
      </c>
      <c r="B85" s="5991">
        <f t="shared" si="14"/>
        <v>0</v>
      </c>
      <c r="C85" s="5992">
        <f>SUM(G85+I85+K85+M85+O85+Q85+S85+U85+W85+Y85+AA85+AC85+AE85+AG85+AI85)</f>
        <v>0</v>
      </c>
      <c r="D85" s="6012">
        <f>SUM(H85+J85+L85+N85+P85+R85+T85+V85+X85+Z85+AB85+AD85+AF85+AH85+AJ85)</f>
        <v>0</v>
      </c>
      <c r="E85" s="5904"/>
      <c r="F85" s="5905"/>
      <c r="G85" s="5442"/>
      <c r="H85" s="5527"/>
      <c r="I85" s="5387"/>
      <c r="J85" s="4530"/>
      <c r="K85" s="5442"/>
      <c r="L85" s="5527"/>
      <c r="M85" s="5387"/>
      <c r="N85" s="4530"/>
      <c r="O85" s="5442"/>
      <c r="P85" s="5527"/>
      <c r="Q85" s="5387"/>
      <c r="R85" s="4530"/>
      <c r="S85" s="5387"/>
      <c r="T85" s="4530"/>
      <c r="U85" s="5442"/>
      <c r="V85" s="5527"/>
      <c r="W85" s="5387"/>
      <c r="X85" s="4530"/>
      <c r="Y85" s="5442"/>
      <c r="Z85" s="5527"/>
      <c r="AA85" s="5387"/>
      <c r="AB85" s="4530"/>
      <c r="AC85" s="5442"/>
      <c r="AD85" s="5527"/>
      <c r="AE85" s="5387"/>
      <c r="AF85" s="4530"/>
      <c r="AG85" s="5442"/>
      <c r="AH85" s="5527"/>
      <c r="AI85" s="6013"/>
      <c r="AJ85" s="4530"/>
      <c r="AK85" s="6024"/>
      <c r="AL85" s="4328"/>
      <c r="AM85" s="4328"/>
      <c r="BX85" s="4653"/>
    </row>
    <row r="86" spans="1:76" ht="16.149999999999999" customHeight="1" x14ac:dyDescent="0.2">
      <c r="A86" s="5849" t="s">
        <v>58</v>
      </c>
      <c r="B86" s="5991">
        <f t="shared" si="14"/>
        <v>0</v>
      </c>
      <c r="C86" s="5992">
        <f>SUM(S86+U86+W86+Y86+AA86+AC86+AE86+AG86+AI86)</f>
        <v>0</v>
      </c>
      <c r="D86" s="6012">
        <f>SUM(T86+V86+X86+Z86+AB86+AD86+AF86+AH86+AJ86)</f>
        <v>0</v>
      </c>
      <c r="E86" s="5904"/>
      <c r="F86" s="5905"/>
      <c r="G86" s="6025"/>
      <c r="H86" s="6026"/>
      <c r="I86" s="5904"/>
      <c r="J86" s="6027"/>
      <c r="K86" s="6025"/>
      <c r="L86" s="6026"/>
      <c r="M86" s="5904"/>
      <c r="N86" s="6027"/>
      <c r="O86" s="6025"/>
      <c r="P86" s="6026"/>
      <c r="Q86" s="5904"/>
      <c r="R86" s="6027"/>
      <c r="S86" s="5387"/>
      <c r="T86" s="4530"/>
      <c r="U86" s="5442"/>
      <c r="V86" s="5527"/>
      <c r="W86" s="5387"/>
      <c r="X86" s="4530"/>
      <c r="Y86" s="5442"/>
      <c r="Z86" s="5527"/>
      <c r="AA86" s="5387"/>
      <c r="AB86" s="4530"/>
      <c r="AC86" s="5442"/>
      <c r="AD86" s="5527"/>
      <c r="AE86" s="5387"/>
      <c r="AF86" s="4530"/>
      <c r="AG86" s="5442"/>
      <c r="AH86" s="5527"/>
      <c r="AI86" s="6013"/>
      <c r="AJ86" s="4530"/>
      <c r="AK86" s="6024"/>
      <c r="AL86" s="4328"/>
      <c r="AM86" s="4328"/>
      <c r="BX86" s="4653"/>
    </row>
    <row r="87" spans="1:76" ht="16.149999999999999" customHeight="1" x14ac:dyDescent="0.2">
      <c r="A87" s="6028" t="s">
        <v>1941</v>
      </c>
      <c r="B87" s="6029">
        <f t="shared" si="14"/>
        <v>0</v>
      </c>
      <c r="C87" s="6030">
        <f>SUM(E87+G87+I87+K87+M87+O87+Q87+S87+U87+W87+Y87+AA87+AC87+AE87+AG87+AI87)</f>
        <v>0</v>
      </c>
      <c r="D87" s="6012">
        <f>SUM(F87+H87+J87+L87+N87+P87+R87+T87+V87+X87+Z87+AB87+AD87+AF87+AH87+AJ87)</f>
        <v>0</v>
      </c>
      <c r="E87" s="5505"/>
      <c r="F87" s="5450"/>
      <c r="G87" s="5504"/>
      <c r="H87" s="6031"/>
      <c r="I87" s="5505"/>
      <c r="J87" s="5512"/>
      <c r="K87" s="5504"/>
      <c r="L87" s="6031"/>
      <c r="M87" s="5505"/>
      <c r="N87" s="5512"/>
      <c r="O87" s="5504"/>
      <c r="P87" s="6031"/>
      <c r="Q87" s="5505"/>
      <c r="R87" s="5512"/>
      <c r="S87" s="5505"/>
      <c r="T87" s="5512"/>
      <c r="U87" s="5504"/>
      <c r="V87" s="6031"/>
      <c r="W87" s="5505"/>
      <c r="X87" s="5512"/>
      <c r="Y87" s="5504"/>
      <c r="Z87" s="6031"/>
      <c r="AA87" s="5505"/>
      <c r="AB87" s="5512"/>
      <c r="AC87" s="5504"/>
      <c r="AD87" s="6031"/>
      <c r="AE87" s="5505"/>
      <c r="AF87" s="5512"/>
      <c r="AG87" s="5504"/>
      <c r="AH87" s="6031"/>
      <c r="AI87" s="6032"/>
      <c r="AJ87" s="5512"/>
      <c r="AK87" s="6024"/>
      <c r="AL87" s="4328"/>
      <c r="AM87" s="4328"/>
      <c r="BX87" s="4653"/>
    </row>
    <row r="88" spans="1:76" ht="16.149999999999999" customHeight="1" x14ac:dyDescent="0.2">
      <c r="A88" s="5945" t="s">
        <v>24</v>
      </c>
      <c r="B88" s="5929">
        <f t="shared" ref="B88:AJ88" si="15">SUM(B82:B87)</f>
        <v>0</v>
      </c>
      <c r="C88" s="5873">
        <f t="shared" si="15"/>
        <v>0</v>
      </c>
      <c r="D88" s="5871">
        <f t="shared" si="15"/>
        <v>0</v>
      </c>
      <c r="E88" s="5431">
        <f>SUM(E82:E87)</f>
        <v>0</v>
      </c>
      <c r="F88" s="5433">
        <f t="shared" si="15"/>
        <v>0</v>
      </c>
      <c r="G88" s="5453">
        <f t="shared" si="15"/>
        <v>0</v>
      </c>
      <c r="H88" s="5946">
        <f t="shared" si="15"/>
        <v>0</v>
      </c>
      <c r="I88" s="5431">
        <f t="shared" si="15"/>
        <v>0</v>
      </c>
      <c r="J88" s="5451">
        <f t="shared" si="15"/>
        <v>0</v>
      </c>
      <c r="K88" s="5453">
        <f t="shared" si="15"/>
        <v>0</v>
      </c>
      <c r="L88" s="5946">
        <f t="shared" si="15"/>
        <v>0</v>
      </c>
      <c r="M88" s="5431">
        <f t="shared" si="15"/>
        <v>0</v>
      </c>
      <c r="N88" s="5451">
        <f t="shared" si="15"/>
        <v>0</v>
      </c>
      <c r="O88" s="5453">
        <f t="shared" si="15"/>
        <v>0</v>
      </c>
      <c r="P88" s="5946">
        <f t="shared" si="15"/>
        <v>0</v>
      </c>
      <c r="Q88" s="5431">
        <f t="shared" si="15"/>
        <v>0</v>
      </c>
      <c r="R88" s="5451">
        <f t="shared" si="15"/>
        <v>0</v>
      </c>
      <c r="S88" s="5431">
        <f t="shared" si="15"/>
        <v>0</v>
      </c>
      <c r="T88" s="5451">
        <f t="shared" si="15"/>
        <v>0</v>
      </c>
      <c r="U88" s="5453">
        <f t="shared" si="15"/>
        <v>0</v>
      </c>
      <c r="V88" s="5946">
        <f t="shared" si="15"/>
        <v>0</v>
      </c>
      <c r="W88" s="5431">
        <f t="shared" si="15"/>
        <v>0</v>
      </c>
      <c r="X88" s="5451">
        <f t="shared" si="15"/>
        <v>0</v>
      </c>
      <c r="Y88" s="5453">
        <f t="shared" si="15"/>
        <v>0</v>
      </c>
      <c r="Z88" s="5946">
        <f t="shared" si="15"/>
        <v>0</v>
      </c>
      <c r="AA88" s="5431">
        <f t="shared" si="15"/>
        <v>0</v>
      </c>
      <c r="AB88" s="5451">
        <f t="shared" si="15"/>
        <v>0</v>
      </c>
      <c r="AC88" s="5453">
        <f t="shared" si="15"/>
        <v>0</v>
      </c>
      <c r="AD88" s="5946">
        <f t="shared" si="15"/>
        <v>0</v>
      </c>
      <c r="AE88" s="5431">
        <f t="shared" si="15"/>
        <v>0</v>
      </c>
      <c r="AF88" s="5451">
        <f t="shared" si="15"/>
        <v>0</v>
      </c>
      <c r="AG88" s="5453">
        <f t="shared" si="15"/>
        <v>0</v>
      </c>
      <c r="AH88" s="5946">
        <f t="shared" si="15"/>
        <v>0</v>
      </c>
      <c r="AI88" s="5947">
        <f t="shared" si="15"/>
        <v>0</v>
      </c>
      <c r="AJ88" s="5451">
        <f t="shared" si="15"/>
        <v>0</v>
      </c>
      <c r="AK88" s="6024"/>
      <c r="AL88" s="4328"/>
      <c r="AM88" s="4328"/>
      <c r="BX88" s="4653"/>
    </row>
    <row r="89" spans="1:76" ht="16.149999999999999" customHeight="1" x14ac:dyDescent="0.2">
      <c r="A89" s="4661" t="s">
        <v>3599</v>
      </c>
      <c r="B89" s="6033"/>
      <c r="C89" s="4328"/>
      <c r="D89" s="4328"/>
      <c r="E89" s="4328"/>
      <c r="F89" s="4302"/>
      <c r="G89" s="4302"/>
      <c r="H89" s="4302"/>
      <c r="I89" s="4302"/>
      <c r="J89" s="4302"/>
      <c r="K89" s="4302"/>
      <c r="L89" s="4302"/>
      <c r="M89" s="4302"/>
      <c r="N89" s="4302"/>
      <c r="O89" s="4302"/>
      <c r="P89" s="4302"/>
      <c r="Q89" s="4302"/>
      <c r="R89" s="4302"/>
      <c r="S89" s="4302"/>
      <c r="T89" s="4302"/>
      <c r="U89" s="4302"/>
      <c r="V89" s="4302"/>
      <c r="W89" s="4302"/>
      <c r="X89" s="4302"/>
      <c r="Y89" s="4302"/>
      <c r="Z89" s="4302"/>
      <c r="AA89" s="4302"/>
      <c r="AB89" s="4302"/>
      <c r="AC89" s="4302"/>
      <c r="AD89" s="4302"/>
      <c r="AE89" s="4302"/>
      <c r="AF89" s="4302"/>
      <c r="AG89" s="4302"/>
      <c r="AH89" s="4302"/>
      <c r="AI89" s="4302"/>
      <c r="AJ89" s="4302"/>
      <c r="AK89" s="6024"/>
      <c r="AL89" s="4328"/>
      <c r="AM89" s="4328"/>
      <c r="BX89" s="4653"/>
    </row>
    <row r="90" spans="1:76" ht="16.149999999999999" customHeight="1" x14ac:dyDescent="0.2">
      <c r="A90" s="9808" t="s">
        <v>0</v>
      </c>
      <c r="B90" s="9808"/>
      <c r="C90" s="9808" t="s">
        <v>24</v>
      </c>
      <c r="D90" s="9809" t="s">
        <v>3600</v>
      </c>
      <c r="E90" s="9811" t="s">
        <v>3601</v>
      </c>
      <c r="F90" s="4302"/>
      <c r="G90" s="4302"/>
      <c r="H90" s="4302"/>
      <c r="I90" s="4302"/>
      <c r="J90" s="4302"/>
      <c r="K90" s="4302"/>
      <c r="L90" s="4302"/>
      <c r="M90" s="4302"/>
      <c r="N90" s="4302"/>
      <c r="O90" s="4302"/>
      <c r="P90" s="4302"/>
      <c r="Q90" s="4302"/>
      <c r="R90" s="4302"/>
      <c r="S90" s="4302"/>
      <c r="T90" s="4302"/>
      <c r="U90" s="4302"/>
      <c r="V90" s="4302"/>
      <c r="W90" s="4302"/>
      <c r="X90" s="4302"/>
      <c r="Y90" s="4302"/>
      <c r="Z90" s="4302"/>
      <c r="AA90" s="4302"/>
      <c r="AB90" s="4302"/>
      <c r="AC90" s="4302"/>
      <c r="AD90" s="4302"/>
      <c r="AE90" s="4302"/>
      <c r="AF90" s="4302"/>
      <c r="AG90" s="4302"/>
      <c r="AH90" s="4302"/>
      <c r="AI90" s="4302"/>
      <c r="AJ90" s="4302"/>
      <c r="AK90" s="6024"/>
      <c r="AL90" s="4328"/>
      <c r="AM90" s="4328"/>
      <c r="BX90" s="4653"/>
    </row>
    <row r="91" spans="1:76" ht="16.149999999999999" customHeight="1" x14ac:dyDescent="0.2">
      <c r="A91" s="9808"/>
      <c r="B91" s="9808"/>
      <c r="C91" s="9808"/>
      <c r="D91" s="9810"/>
      <c r="E91" s="9812"/>
      <c r="F91" s="4302"/>
      <c r="G91" s="4302"/>
      <c r="H91" s="4302"/>
      <c r="I91" s="4302"/>
      <c r="J91" s="4302"/>
      <c r="K91" s="4302"/>
      <c r="L91" s="4302"/>
      <c r="M91" s="4302"/>
      <c r="N91" s="4302"/>
      <c r="O91" s="4302"/>
      <c r="P91" s="4302"/>
      <c r="Q91" s="4302"/>
      <c r="R91" s="4302"/>
      <c r="S91" s="4302"/>
      <c r="T91" s="4302"/>
      <c r="U91" s="4302"/>
      <c r="V91" s="4302"/>
      <c r="W91" s="4302"/>
      <c r="X91" s="4302"/>
      <c r="Y91" s="4302"/>
      <c r="Z91" s="4302"/>
      <c r="AA91" s="4302"/>
      <c r="AB91" s="4302"/>
      <c r="AC91" s="4302"/>
      <c r="AD91" s="4302"/>
      <c r="AE91" s="4302"/>
      <c r="AF91" s="4302"/>
      <c r="AG91" s="4302"/>
      <c r="AH91" s="4302"/>
      <c r="AI91" s="4302"/>
      <c r="AJ91" s="4302"/>
      <c r="AK91" s="6024"/>
      <c r="AL91" s="4328"/>
      <c r="AM91" s="4328"/>
      <c r="BX91" s="4653"/>
    </row>
    <row r="92" spans="1:76" ht="16.149999999999999" customHeight="1" x14ac:dyDescent="0.2">
      <c r="A92" s="8920" t="s">
        <v>19</v>
      </c>
      <c r="B92" s="8921"/>
      <c r="C92" s="6034">
        <f>SUM(D92+E92)</f>
        <v>0</v>
      </c>
      <c r="D92" s="5471"/>
      <c r="E92" s="6035"/>
      <c r="F92" s="4302"/>
      <c r="G92" s="4302"/>
      <c r="H92" s="4302"/>
      <c r="I92" s="4302"/>
      <c r="J92" s="4302"/>
      <c r="K92" s="4302"/>
      <c r="L92" s="4302"/>
      <c r="M92" s="4302"/>
      <c r="N92" s="4302"/>
      <c r="O92" s="4302"/>
      <c r="P92" s="4302"/>
      <c r="Q92" s="4302"/>
      <c r="R92" s="4302"/>
      <c r="S92" s="4302"/>
      <c r="T92" s="4302"/>
      <c r="U92" s="4302"/>
      <c r="V92" s="4302"/>
      <c r="W92" s="4302"/>
      <c r="X92" s="4302"/>
      <c r="Y92" s="4302"/>
      <c r="Z92" s="4302"/>
      <c r="AA92" s="4302"/>
      <c r="AB92" s="4302"/>
      <c r="AC92" s="4302"/>
      <c r="AD92" s="4302"/>
      <c r="AE92" s="4302"/>
      <c r="AF92" s="4302"/>
      <c r="AG92" s="4302"/>
      <c r="AH92" s="4302"/>
      <c r="AI92" s="4302"/>
      <c r="AJ92" s="4302"/>
      <c r="AK92" s="6024"/>
      <c r="AL92" s="4328"/>
      <c r="AM92" s="4328"/>
      <c r="BX92" s="4653"/>
    </row>
    <row r="93" spans="1:76" ht="16.149999999999999" customHeight="1" x14ac:dyDescent="0.2">
      <c r="A93" s="9813" t="s">
        <v>103</v>
      </c>
      <c r="B93" s="9814"/>
      <c r="C93" s="6034">
        <f>SUM(D93+E93)</f>
        <v>0</v>
      </c>
      <c r="D93" s="6036"/>
      <c r="E93" s="6035"/>
      <c r="F93" s="4302"/>
      <c r="G93" s="4302"/>
      <c r="H93" s="4302"/>
      <c r="I93" s="4302"/>
      <c r="J93" s="4302"/>
      <c r="K93" s="4302"/>
      <c r="L93" s="4302"/>
      <c r="M93" s="4302"/>
      <c r="N93" s="4302"/>
      <c r="O93" s="4302"/>
      <c r="P93" s="4302"/>
      <c r="Q93" s="4302"/>
      <c r="R93" s="4302"/>
      <c r="S93" s="4302"/>
      <c r="T93" s="4302"/>
      <c r="U93" s="4302"/>
      <c r="V93" s="4302"/>
      <c r="W93" s="4302"/>
      <c r="X93" s="4302"/>
      <c r="Y93" s="4302"/>
      <c r="Z93" s="4302"/>
      <c r="AA93" s="4302"/>
      <c r="AB93" s="4302"/>
      <c r="AC93" s="4302"/>
      <c r="AD93" s="4302"/>
      <c r="AE93" s="4302"/>
      <c r="AF93" s="4302"/>
      <c r="AG93" s="4302"/>
      <c r="AH93" s="4302"/>
      <c r="AI93" s="4302"/>
      <c r="AJ93" s="4302"/>
      <c r="AK93" s="6024"/>
      <c r="AL93" s="4328"/>
      <c r="AM93" s="4328"/>
      <c r="BX93" s="4653"/>
    </row>
    <row r="94" spans="1:76" ht="16.149999999999999" customHeight="1" x14ac:dyDescent="0.2">
      <c r="A94" s="9815" t="s">
        <v>99</v>
      </c>
      <c r="B94" s="9816"/>
      <c r="C94" s="6034">
        <f>SUM(D94+E94)</f>
        <v>0</v>
      </c>
      <c r="D94" s="6036"/>
      <c r="E94" s="6035"/>
      <c r="F94" s="4302"/>
      <c r="G94" s="4302"/>
      <c r="H94" s="4302"/>
      <c r="I94" s="4302"/>
      <c r="J94" s="4302"/>
      <c r="K94" s="4302"/>
      <c r="L94" s="4302"/>
      <c r="M94" s="4302"/>
      <c r="N94" s="4302"/>
      <c r="O94" s="4302"/>
      <c r="P94" s="4302"/>
      <c r="Q94" s="4302"/>
      <c r="R94" s="4302"/>
      <c r="S94" s="4302"/>
      <c r="T94" s="4302"/>
      <c r="U94" s="4302"/>
      <c r="V94" s="4302"/>
      <c r="W94" s="4302"/>
      <c r="X94" s="4302"/>
      <c r="Y94" s="4302"/>
      <c r="Z94" s="4302"/>
      <c r="AA94" s="4302"/>
      <c r="AB94" s="4302"/>
      <c r="AC94" s="4302"/>
      <c r="AD94" s="4302"/>
      <c r="AE94" s="4302"/>
      <c r="AF94" s="4302"/>
      <c r="AG94" s="4302"/>
      <c r="AH94" s="4302"/>
      <c r="AI94" s="4302"/>
      <c r="AJ94" s="4302"/>
      <c r="AK94" s="6024"/>
      <c r="AL94" s="4328"/>
      <c r="AM94" s="4328"/>
      <c r="BX94" s="4653"/>
    </row>
    <row r="95" spans="1:76" ht="16.149999999999999" customHeight="1" x14ac:dyDescent="0.2">
      <c r="A95" s="9817" t="s">
        <v>24</v>
      </c>
      <c r="B95" s="9818"/>
      <c r="C95" s="6037">
        <f>SUM(C92:C94)</f>
        <v>0</v>
      </c>
      <c r="D95" s="6038">
        <f>SUM(D92:D94)</f>
        <v>0</v>
      </c>
      <c r="E95" s="6039">
        <f>SUM(E92:E94)</f>
        <v>0</v>
      </c>
      <c r="F95" s="4302"/>
      <c r="G95" s="4302"/>
      <c r="H95" s="4302"/>
      <c r="I95" s="4302"/>
      <c r="J95" s="4302"/>
      <c r="K95" s="4302"/>
      <c r="L95" s="4302"/>
      <c r="M95" s="4302"/>
      <c r="N95" s="4302"/>
      <c r="O95" s="4302"/>
      <c r="P95" s="4302"/>
      <c r="Q95" s="4302"/>
      <c r="R95" s="4302"/>
      <c r="S95" s="4302"/>
      <c r="T95" s="4302"/>
      <c r="U95" s="4302"/>
      <c r="V95" s="4302"/>
      <c r="W95" s="4302"/>
      <c r="X95" s="4302"/>
      <c r="Y95" s="4302"/>
      <c r="Z95" s="4302"/>
      <c r="AA95" s="4302"/>
      <c r="AB95" s="4302"/>
      <c r="AC95" s="4302"/>
      <c r="AD95" s="4302"/>
      <c r="AE95" s="4302"/>
      <c r="AF95" s="4302"/>
      <c r="AG95" s="4302"/>
      <c r="AH95" s="4302"/>
      <c r="AI95" s="4302"/>
      <c r="AJ95" s="4302"/>
      <c r="AK95" s="6024"/>
      <c r="AL95" s="4328"/>
      <c r="AM95" s="4328"/>
      <c r="BX95" s="4653"/>
    </row>
    <row r="96" spans="1:76" ht="31.9" customHeight="1" x14ac:dyDescent="0.2">
      <c r="A96" s="6040" t="s">
        <v>3602</v>
      </c>
      <c r="B96" s="4173"/>
      <c r="C96" s="4328"/>
      <c r="D96" s="4328"/>
      <c r="E96" s="4328"/>
      <c r="F96" s="4328"/>
      <c r="G96" s="4328"/>
      <c r="H96" s="4328"/>
      <c r="I96" s="4328"/>
      <c r="J96" s="4328"/>
      <c r="K96" s="4328"/>
      <c r="L96" s="4328"/>
      <c r="M96" s="4328"/>
      <c r="N96" s="4328"/>
      <c r="O96" s="4328"/>
      <c r="P96" s="4328"/>
      <c r="Q96" s="4328"/>
      <c r="R96" s="4328"/>
      <c r="S96" s="4328"/>
      <c r="T96" s="4328"/>
      <c r="U96" s="4328"/>
      <c r="V96" s="4328"/>
      <c r="AM96" s="4657"/>
      <c r="AN96" s="4657"/>
      <c r="AO96" s="4657"/>
      <c r="AP96" s="4657"/>
      <c r="AQ96" s="4657"/>
      <c r="AR96" s="4657"/>
      <c r="AS96" s="4657"/>
      <c r="AT96" s="4657"/>
      <c r="AU96" s="4657"/>
      <c r="AV96" s="4657"/>
      <c r="AW96" s="4657"/>
      <c r="AX96" s="4657"/>
      <c r="AY96" s="4657"/>
      <c r="AZ96" s="4657"/>
      <c r="BA96" s="4657"/>
    </row>
    <row r="97" spans="1:85" ht="16.149999999999999" customHeight="1" x14ac:dyDescent="0.2">
      <c r="A97" s="9801" t="s">
        <v>1947</v>
      </c>
      <c r="B97" s="9802" t="s">
        <v>24</v>
      </c>
      <c r="C97" s="9803"/>
      <c r="D97" s="9804"/>
      <c r="E97" s="9845" t="s">
        <v>2</v>
      </c>
      <c r="F97" s="9846"/>
      <c r="G97" s="9846"/>
      <c r="H97" s="9846"/>
      <c r="I97" s="9846"/>
      <c r="J97" s="9846"/>
      <c r="K97" s="9846"/>
      <c r="L97" s="9846"/>
      <c r="M97" s="9846"/>
      <c r="N97" s="9846"/>
      <c r="O97" s="9846"/>
      <c r="P97" s="9846"/>
      <c r="Q97" s="9846"/>
      <c r="R97" s="9846"/>
      <c r="S97" s="9846"/>
      <c r="T97" s="9846"/>
      <c r="U97" s="9846"/>
      <c r="V97" s="9846"/>
      <c r="W97" s="9846"/>
      <c r="X97" s="9846"/>
      <c r="Y97" s="9846"/>
      <c r="Z97" s="9846"/>
      <c r="AA97" s="9846"/>
      <c r="AB97" s="9846"/>
      <c r="AC97" s="9846"/>
      <c r="AD97" s="9846"/>
      <c r="AE97" s="9846"/>
      <c r="AF97" s="9846"/>
      <c r="AG97" s="9846"/>
      <c r="AH97" s="9846"/>
      <c r="AI97" s="9846"/>
      <c r="AJ97" s="9873"/>
      <c r="AK97" s="4657"/>
      <c r="AL97" s="4657"/>
      <c r="AM97" s="4657"/>
      <c r="AN97" s="4657"/>
      <c r="AO97" s="4657"/>
      <c r="AP97" s="4657"/>
      <c r="AQ97" s="4657"/>
      <c r="AR97" s="4657"/>
      <c r="AS97" s="4657"/>
      <c r="AT97" s="4657"/>
      <c r="AU97" s="4657"/>
      <c r="AV97" s="4657"/>
      <c r="AW97" s="4657"/>
      <c r="AX97" s="4657"/>
      <c r="AY97" s="4657"/>
      <c r="BW97" s="4653"/>
      <c r="BX97" s="4653"/>
    </row>
    <row r="98" spans="1:85" ht="16.149999999999999" customHeight="1" x14ac:dyDescent="0.2">
      <c r="A98" s="8628"/>
      <c r="B98" s="9805"/>
      <c r="C98" s="9806"/>
      <c r="D98" s="9807"/>
      <c r="E98" s="9822" t="s">
        <v>1909</v>
      </c>
      <c r="F98" s="9823"/>
      <c r="G98" s="9822" t="s">
        <v>1910</v>
      </c>
      <c r="H98" s="9823"/>
      <c r="I98" s="9822" t="s">
        <v>1911</v>
      </c>
      <c r="J98" s="9823"/>
      <c r="K98" s="9819" t="s">
        <v>1912</v>
      </c>
      <c r="L98" s="9819"/>
      <c r="M98" s="9822" t="s">
        <v>1913</v>
      </c>
      <c r="N98" s="9823"/>
      <c r="O98" s="9819" t="s">
        <v>1914</v>
      </c>
      <c r="P98" s="9819"/>
      <c r="Q98" s="9822" t="s">
        <v>1915</v>
      </c>
      <c r="R98" s="9823"/>
      <c r="S98" s="9819" t="s">
        <v>124</v>
      </c>
      <c r="T98" s="9819"/>
      <c r="U98" s="9822" t="s">
        <v>125</v>
      </c>
      <c r="V98" s="9823"/>
      <c r="W98" s="9819" t="s">
        <v>126</v>
      </c>
      <c r="X98" s="9819"/>
      <c r="Y98" s="9822" t="s">
        <v>127</v>
      </c>
      <c r="Z98" s="9823"/>
      <c r="AA98" s="9819" t="s">
        <v>128</v>
      </c>
      <c r="AB98" s="9819"/>
      <c r="AC98" s="9822" t="s">
        <v>129</v>
      </c>
      <c r="AD98" s="9823"/>
      <c r="AE98" s="9819" t="s">
        <v>130</v>
      </c>
      <c r="AF98" s="9819"/>
      <c r="AG98" s="9822" t="s">
        <v>131</v>
      </c>
      <c r="AH98" s="9823"/>
      <c r="AI98" s="9822" t="s">
        <v>1916</v>
      </c>
      <c r="AJ98" s="9823"/>
      <c r="AK98" s="4657"/>
      <c r="AL98" s="4657"/>
      <c r="AM98" s="4657"/>
      <c r="AN98" s="4657"/>
      <c r="AO98" s="4657"/>
      <c r="AP98" s="4657"/>
      <c r="AQ98" s="4657"/>
      <c r="AR98" s="4657"/>
      <c r="AS98" s="4657"/>
      <c r="AT98" s="4657"/>
      <c r="AU98" s="4657"/>
      <c r="AV98" s="4657"/>
      <c r="AW98" s="4657"/>
      <c r="AX98" s="4657"/>
      <c r="AY98" s="4657"/>
      <c r="BW98" s="4653"/>
      <c r="BX98" s="4653"/>
    </row>
    <row r="99" spans="1:85" ht="16.149999999999999" customHeight="1" x14ac:dyDescent="0.2">
      <c r="A99" s="8629"/>
      <c r="B99" s="5508" t="s">
        <v>42</v>
      </c>
      <c r="C99" s="5932" t="s">
        <v>17</v>
      </c>
      <c r="D99" s="4940" t="s">
        <v>18</v>
      </c>
      <c r="E99" s="5879" t="s">
        <v>17</v>
      </c>
      <c r="F99" s="4940" t="s">
        <v>18</v>
      </c>
      <c r="G99" s="5879" t="s">
        <v>17</v>
      </c>
      <c r="H99" s="4940" t="s">
        <v>18</v>
      </c>
      <c r="I99" s="5879" t="s">
        <v>17</v>
      </c>
      <c r="J99" s="4940" t="s">
        <v>18</v>
      </c>
      <c r="K99" s="5932" t="s">
        <v>17</v>
      </c>
      <c r="L99" s="6002" t="s">
        <v>18</v>
      </c>
      <c r="M99" s="5879" t="s">
        <v>17</v>
      </c>
      <c r="N99" s="4940" t="s">
        <v>18</v>
      </c>
      <c r="O99" s="5932" t="s">
        <v>17</v>
      </c>
      <c r="P99" s="6002" t="s">
        <v>18</v>
      </c>
      <c r="Q99" s="5879" t="s">
        <v>17</v>
      </c>
      <c r="R99" s="4940" t="s">
        <v>18</v>
      </c>
      <c r="S99" s="5932" t="s">
        <v>17</v>
      </c>
      <c r="T99" s="6002" t="s">
        <v>18</v>
      </c>
      <c r="U99" s="5879" t="s">
        <v>17</v>
      </c>
      <c r="V99" s="4940" t="s">
        <v>18</v>
      </c>
      <c r="W99" s="5932" t="s">
        <v>17</v>
      </c>
      <c r="X99" s="6002" t="s">
        <v>18</v>
      </c>
      <c r="Y99" s="5879" t="s">
        <v>17</v>
      </c>
      <c r="Z99" s="4940" t="s">
        <v>18</v>
      </c>
      <c r="AA99" s="5932" t="s">
        <v>17</v>
      </c>
      <c r="AB99" s="6002" t="s">
        <v>18</v>
      </c>
      <c r="AC99" s="5879" t="s">
        <v>17</v>
      </c>
      <c r="AD99" s="4940" t="s">
        <v>18</v>
      </c>
      <c r="AE99" s="5932" t="s">
        <v>17</v>
      </c>
      <c r="AF99" s="6002" t="s">
        <v>18</v>
      </c>
      <c r="AG99" s="5879" t="s">
        <v>17</v>
      </c>
      <c r="AH99" s="4940" t="s">
        <v>18</v>
      </c>
      <c r="AI99" s="5879" t="s">
        <v>17</v>
      </c>
      <c r="AJ99" s="4940" t="s">
        <v>18</v>
      </c>
      <c r="AK99" s="4657"/>
      <c r="AL99" s="4657"/>
      <c r="AM99" s="4657"/>
      <c r="AN99" s="4657"/>
      <c r="AO99" s="4657"/>
      <c r="AP99" s="4657"/>
      <c r="AQ99" s="4657"/>
      <c r="AR99" s="4657"/>
      <c r="AS99" s="4657"/>
      <c r="AT99" s="4657"/>
      <c r="AU99" s="4657"/>
      <c r="AV99" s="4657"/>
      <c r="AW99" s="4657"/>
      <c r="AX99" s="4657"/>
      <c r="AY99" s="4657"/>
      <c r="BW99" s="4653"/>
      <c r="BX99" s="4653"/>
    </row>
    <row r="100" spans="1:85" ht="16.350000000000001" customHeight="1" x14ac:dyDescent="0.2">
      <c r="A100" s="5497" t="s">
        <v>1948</v>
      </c>
      <c r="B100" s="6006">
        <f t="shared" ref="B100:B108" si="16">SUM(C100+D100)</f>
        <v>0</v>
      </c>
      <c r="C100" s="6007">
        <f t="shared" ref="C100:D106" si="17">SUM(I100+K100+M100+O100+Q100+S100+U100+W100+Y100+AA100+AC100+AE100+AG100+AI100)</f>
        <v>0</v>
      </c>
      <c r="D100" s="6008">
        <f t="shared" si="17"/>
        <v>0</v>
      </c>
      <c r="E100" s="5909"/>
      <c r="F100" s="6041"/>
      <c r="G100" s="5909"/>
      <c r="H100" s="6041"/>
      <c r="I100" s="5842"/>
      <c r="J100" s="5844"/>
      <c r="K100" s="5845"/>
      <c r="L100" s="5846"/>
      <c r="M100" s="5842"/>
      <c r="N100" s="5844"/>
      <c r="O100" s="5845"/>
      <c r="P100" s="5846"/>
      <c r="Q100" s="5842"/>
      <c r="R100" s="5844"/>
      <c r="S100" s="5845"/>
      <c r="T100" s="5846"/>
      <c r="U100" s="5842"/>
      <c r="V100" s="5844"/>
      <c r="W100" s="5845"/>
      <c r="X100" s="5846"/>
      <c r="Y100" s="5842"/>
      <c r="Z100" s="5844"/>
      <c r="AA100" s="5845"/>
      <c r="AB100" s="5846"/>
      <c r="AC100" s="5842"/>
      <c r="AD100" s="5844"/>
      <c r="AE100" s="5845"/>
      <c r="AF100" s="5846"/>
      <c r="AG100" s="5842"/>
      <c r="AH100" s="5844"/>
      <c r="AI100" s="5847"/>
      <c r="AJ100" s="5844"/>
      <c r="AK100" s="5962"/>
      <c r="AL100" s="4684"/>
      <c r="AM100" s="4684"/>
      <c r="AN100" s="4684"/>
      <c r="AO100" s="4684"/>
      <c r="AP100" s="4684"/>
      <c r="AQ100" s="4684"/>
      <c r="AR100" s="4684"/>
      <c r="AS100" s="4684"/>
      <c r="AT100" s="4684"/>
      <c r="AU100" s="4684"/>
      <c r="AV100" s="4684"/>
      <c r="AW100" s="4657"/>
      <c r="AX100" s="4657"/>
      <c r="AY100" s="4657"/>
      <c r="BW100" s="4653"/>
      <c r="BX100" s="4653"/>
      <c r="CE100" s="4688">
        <v>0</v>
      </c>
    </row>
    <row r="101" spans="1:85" ht="16.350000000000001" customHeight="1" x14ac:dyDescent="0.2">
      <c r="A101" s="5849" t="s">
        <v>1949</v>
      </c>
      <c r="B101" s="5501">
        <f t="shared" si="16"/>
        <v>0</v>
      </c>
      <c r="C101" s="5934">
        <f t="shared" si="17"/>
        <v>0</v>
      </c>
      <c r="D101" s="5935">
        <f t="shared" si="17"/>
        <v>0</v>
      </c>
      <c r="E101" s="5884"/>
      <c r="F101" s="6042"/>
      <c r="G101" s="5884"/>
      <c r="H101" s="6042"/>
      <c r="I101" s="5471"/>
      <c r="J101" s="5472"/>
      <c r="K101" s="5474"/>
      <c r="L101" s="6043"/>
      <c r="M101" s="5471"/>
      <c r="N101" s="5472"/>
      <c r="O101" s="5474"/>
      <c r="P101" s="6043"/>
      <c r="Q101" s="5471"/>
      <c r="R101" s="5472"/>
      <c r="S101" s="5474"/>
      <c r="T101" s="6043"/>
      <c r="U101" s="5471"/>
      <c r="V101" s="5472"/>
      <c r="W101" s="5474"/>
      <c r="X101" s="6043"/>
      <c r="Y101" s="5471"/>
      <c r="Z101" s="5472"/>
      <c r="AA101" s="5474"/>
      <c r="AB101" s="6043"/>
      <c r="AC101" s="5471"/>
      <c r="AD101" s="5472"/>
      <c r="AE101" s="5474"/>
      <c r="AF101" s="6043"/>
      <c r="AG101" s="5471"/>
      <c r="AH101" s="5472"/>
      <c r="AI101" s="4677"/>
      <c r="AJ101" s="5472"/>
      <c r="AK101" s="5962"/>
      <c r="AL101" s="4684"/>
      <c r="AM101" s="4684"/>
      <c r="AN101" s="4684"/>
      <c r="AO101" s="4684"/>
      <c r="AP101" s="4684"/>
      <c r="AQ101" s="4684"/>
      <c r="AR101" s="4684"/>
      <c r="AS101" s="4684"/>
      <c r="AT101" s="4684"/>
      <c r="AU101" s="4684"/>
      <c r="AV101" s="4684"/>
      <c r="AW101" s="4657"/>
      <c r="AX101" s="4657"/>
      <c r="AY101" s="4657"/>
      <c r="BW101" s="4653"/>
      <c r="BX101" s="4653"/>
      <c r="CE101" s="4688">
        <v>0</v>
      </c>
    </row>
    <row r="102" spans="1:85" ht="16.350000000000001" customHeight="1" x14ac:dyDescent="0.2">
      <c r="A102" s="5849" t="s">
        <v>1950</v>
      </c>
      <c r="B102" s="5991">
        <f t="shared" si="16"/>
        <v>0</v>
      </c>
      <c r="C102" s="5992">
        <f t="shared" si="17"/>
        <v>0</v>
      </c>
      <c r="D102" s="6012">
        <f>SUM(J102+L102+N102+P102+R102+T102+V102+X102+Z102+AB102+AD102+AF102+AH102+AJ102)</f>
        <v>0</v>
      </c>
      <c r="E102" s="5884"/>
      <c r="F102" s="6042"/>
      <c r="G102" s="5884"/>
      <c r="H102" s="6042"/>
      <c r="I102" s="5471"/>
      <c r="J102" s="5472"/>
      <c r="K102" s="5474"/>
      <c r="L102" s="6043"/>
      <c r="M102" s="5471"/>
      <c r="N102" s="5472"/>
      <c r="O102" s="5474"/>
      <c r="P102" s="6043"/>
      <c r="Q102" s="5471"/>
      <c r="R102" s="5472"/>
      <c r="S102" s="5474"/>
      <c r="T102" s="6043"/>
      <c r="U102" s="5471"/>
      <c r="V102" s="5472"/>
      <c r="W102" s="5474"/>
      <c r="X102" s="6043"/>
      <c r="Y102" s="5471"/>
      <c r="Z102" s="5472"/>
      <c r="AA102" s="5474"/>
      <c r="AB102" s="6043"/>
      <c r="AC102" s="5471"/>
      <c r="AD102" s="5472"/>
      <c r="AE102" s="5474"/>
      <c r="AF102" s="6043"/>
      <c r="AG102" s="5471"/>
      <c r="AH102" s="5472"/>
      <c r="AI102" s="4677"/>
      <c r="AJ102" s="5472"/>
      <c r="AK102" s="5962"/>
      <c r="AL102" s="4684"/>
      <c r="AM102" s="4684"/>
      <c r="AN102" s="4684"/>
      <c r="AO102" s="4684"/>
      <c r="AP102" s="4684"/>
      <c r="AQ102" s="4684"/>
      <c r="AR102" s="4684"/>
      <c r="AS102" s="4684"/>
      <c r="AT102" s="4684"/>
      <c r="AU102" s="4684"/>
      <c r="AV102" s="4684"/>
      <c r="AW102" s="4657"/>
      <c r="AX102" s="4657"/>
      <c r="AY102" s="4657"/>
      <c r="BW102" s="4653"/>
      <c r="BX102" s="4653"/>
      <c r="CE102" s="4688">
        <v>0</v>
      </c>
    </row>
    <row r="103" spans="1:85" ht="16.350000000000001" customHeight="1" x14ac:dyDescent="0.2">
      <c r="A103" s="5849" t="s">
        <v>1951</v>
      </c>
      <c r="B103" s="5991">
        <f t="shared" si="16"/>
        <v>0</v>
      </c>
      <c r="C103" s="5992">
        <f>SUM(I103+K103+M103+O103+Q103+S103+U103+W103+Y103+AA103+AC103+AE103+AG103+AI103)</f>
        <v>0</v>
      </c>
      <c r="D103" s="6012">
        <f t="shared" si="17"/>
        <v>0</v>
      </c>
      <c r="E103" s="5884"/>
      <c r="F103" s="6042"/>
      <c r="G103" s="5884"/>
      <c r="H103" s="6042"/>
      <c r="I103" s="5471"/>
      <c r="J103" s="5472"/>
      <c r="K103" s="5474"/>
      <c r="L103" s="6043"/>
      <c r="M103" s="5471"/>
      <c r="N103" s="5472"/>
      <c r="O103" s="5474"/>
      <c r="P103" s="6043"/>
      <c r="Q103" s="5471"/>
      <c r="R103" s="5472"/>
      <c r="S103" s="5474"/>
      <c r="T103" s="6043"/>
      <c r="U103" s="5471"/>
      <c r="V103" s="5472"/>
      <c r="W103" s="5474"/>
      <c r="X103" s="6043"/>
      <c r="Y103" s="5471"/>
      <c r="Z103" s="5472"/>
      <c r="AA103" s="5474"/>
      <c r="AB103" s="6043"/>
      <c r="AC103" s="5471"/>
      <c r="AD103" s="5472"/>
      <c r="AE103" s="5474"/>
      <c r="AF103" s="6043"/>
      <c r="AG103" s="5471"/>
      <c r="AH103" s="5472"/>
      <c r="AI103" s="4677"/>
      <c r="AJ103" s="5472"/>
      <c r="AK103" s="5962"/>
      <c r="AL103" s="4684"/>
      <c r="AM103" s="4684"/>
      <c r="AN103" s="4684"/>
      <c r="AO103" s="4684"/>
      <c r="AP103" s="4684"/>
      <c r="AQ103" s="4684"/>
      <c r="AR103" s="4684"/>
      <c r="AS103" s="4684"/>
      <c r="AT103" s="4684"/>
      <c r="AU103" s="4684"/>
      <c r="AV103" s="4684"/>
      <c r="AW103" s="4657"/>
      <c r="AX103" s="4657"/>
      <c r="AY103" s="4657"/>
      <c r="BW103" s="4653"/>
      <c r="BX103" s="4653"/>
      <c r="CE103" s="4688">
        <v>0</v>
      </c>
    </row>
    <row r="104" spans="1:85" ht="16.350000000000001" customHeight="1" x14ac:dyDescent="0.2">
      <c r="A104" s="5849" t="s">
        <v>1952</v>
      </c>
      <c r="B104" s="5991">
        <f t="shared" si="16"/>
        <v>0</v>
      </c>
      <c r="C104" s="5992">
        <f>SUM(I104+K104+M104+O104+Q104+S104+U104+W104+Y104+AA104+AC104+AE104+AG104+AI104)</f>
        <v>0</v>
      </c>
      <c r="D104" s="6012">
        <f t="shared" si="17"/>
        <v>0</v>
      </c>
      <c r="E104" s="5856"/>
      <c r="F104" s="5862"/>
      <c r="G104" s="5856"/>
      <c r="H104" s="5862"/>
      <c r="I104" s="5476"/>
      <c r="J104" s="5477"/>
      <c r="K104" s="5479"/>
      <c r="L104" s="5483"/>
      <c r="M104" s="5476"/>
      <c r="N104" s="5477"/>
      <c r="O104" s="5479"/>
      <c r="P104" s="5483"/>
      <c r="Q104" s="5476"/>
      <c r="R104" s="5477"/>
      <c r="S104" s="5479"/>
      <c r="T104" s="5483"/>
      <c r="U104" s="5476"/>
      <c r="V104" s="5477"/>
      <c r="W104" s="5479"/>
      <c r="X104" s="5483"/>
      <c r="Y104" s="5476"/>
      <c r="Z104" s="5477"/>
      <c r="AA104" s="5479"/>
      <c r="AB104" s="5483"/>
      <c r="AC104" s="5476"/>
      <c r="AD104" s="5477"/>
      <c r="AE104" s="5479"/>
      <c r="AF104" s="5483"/>
      <c r="AG104" s="5476"/>
      <c r="AH104" s="5477"/>
      <c r="AI104" s="5480"/>
      <c r="AJ104" s="5477"/>
      <c r="AK104" s="5962"/>
      <c r="AL104" s="4684"/>
      <c r="AM104" s="4684"/>
      <c r="AN104" s="4684"/>
      <c r="AO104" s="4684"/>
      <c r="AP104" s="4684"/>
      <c r="AQ104" s="4684"/>
      <c r="AR104" s="4684"/>
      <c r="AS104" s="4684"/>
      <c r="AT104" s="4684"/>
      <c r="AU104" s="4684"/>
      <c r="AV104" s="4684"/>
      <c r="AW104" s="4657"/>
      <c r="AX104" s="4657"/>
      <c r="AY104" s="4657"/>
      <c r="BW104" s="4653"/>
      <c r="BX104" s="4653"/>
      <c r="CE104" s="4688">
        <v>0</v>
      </c>
    </row>
    <row r="105" spans="1:85" ht="16.350000000000001" customHeight="1" x14ac:dyDescent="0.2">
      <c r="A105" s="5849" t="s">
        <v>1953</v>
      </c>
      <c r="B105" s="5991">
        <f t="shared" si="16"/>
        <v>0</v>
      </c>
      <c r="C105" s="5992">
        <f t="shared" si="17"/>
        <v>0</v>
      </c>
      <c r="D105" s="6012">
        <f t="shared" si="17"/>
        <v>0</v>
      </c>
      <c r="E105" s="5856"/>
      <c r="F105" s="5862"/>
      <c r="G105" s="5856"/>
      <c r="H105" s="5862"/>
      <c r="I105" s="5476"/>
      <c r="J105" s="5477"/>
      <c r="K105" s="5479"/>
      <c r="L105" s="5483"/>
      <c r="M105" s="5476"/>
      <c r="N105" s="5477"/>
      <c r="O105" s="5479"/>
      <c r="P105" s="5483"/>
      <c r="Q105" s="5476"/>
      <c r="R105" s="5477"/>
      <c r="S105" s="5479"/>
      <c r="T105" s="5483"/>
      <c r="U105" s="5476"/>
      <c r="V105" s="5477"/>
      <c r="W105" s="5479"/>
      <c r="X105" s="5483"/>
      <c r="Y105" s="5476"/>
      <c r="Z105" s="5477"/>
      <c r="AA105" s="5479"/>
      <c r="AB105" s="5483"/>
      <c r="AC105" s="5476"/>
      <c r="AD105" s="5477"/>
      <c r="AE105" s="5479"/>
      <c r="AF105" s="5483"/>
      <c r="AG105" s="5476"/>
      <c r="AH105" s="5477"/>
      <c r="AI105" s="5480"/>
      <c r="AJ105" s="5477"/>
      <c r="AK105" s="5962"/>
      <c r="AL105" s="4684"/>
      <c r="AM105" s="4684"/>
      <c r="AN105" s="4684"/>
      <c r="AO105" s="4684"/>
      <c r="AP105" s="4684"/>
      <c r="AQ105" s="4684"/>
      <c r="AR105" s="4684"/>
      <c r="AS105" s="4684"/>
      <c r="AT105" s="4684"/>
      <c r="AU105" s="4684"/>
      <c r="AV105" s="4684"/>
      <c r="AW105" s="4657"/>
      <c r="AX105" s="4657"/>
      <c r="AY105" s="4657"/>
      <c r="BW105" s="4653"/>
      <c r="BX105" s="4653"/>
      <c r="CE105" s="4688">
        <v>0</v>
      </c>
    </row>
    <row r="106" spans="1:85" ht="16.350000000000001" customHeight="1" x14ac:dyDescent="0.2">
      <c r="A106" s="5849" t="s">
        <v>1954</v>
      </c>
      <c r="B106" s="5991">
        <f t="shared" si="16"/>
        <v>0</v>
      </c>
      <c r="C106" s="5992">
        <f t="shared" si="17"/>
        <v>0</v>
      </c>
      <c r="D106" s="6012">
        <f t="shared" si="17"/>
        <v>0</v>
      </c>
      <c r="E106" s="5856"/>
      <c r="F106" s="5862"/>
      <c r="G106" s="5856"/>
      <c r="H106" s="5862"/>
      <c r="I106" s="5476"/>
      <c r="J106" s="5477"/>
      <c r="K106" s="5479"/>
      <c r="L106" s="5483"/>
      <c r="M106" s="5476"/>
      <c r="N106" s="5477"/>
      <c r="O106" s="5479"/>
      <c r="P106" s="5483"/>
      <c r="Q106" s="5476"/>
      <c r="R106" s="5477"/>
      <c r="S106" s="5479"/>
      <c r="T106" s="5483"/>
      <c r="U106" s="5476"/>
      <c r="V106" s="5477"/>
      <c r="W106" s="5479"/>
      <c r="X106" s="5483"/>
      <c r="Y106" s="5476"/>
      <c r="Z106" s="5477"/>
      <c r="AA106" s="5479"/>
      <c r="AB106" s="5483"/>
      <c r="AC106" s="5476"/>
      <c r="AD106" s="5477"/>
      <c r="AE106" s="5479"/>
      <c r="AF106" s="5483"/>
      <c r="AG106" s="5476"/>
      <c r="AH106" s="5477"/>
      <c r="AI106" s="5480"/>
      <c r="AJ106" s="5477"/>
      <c r="AK106" s="5962"/>
      <c r="AL106" s="4684"/>
      <c r="AM106" s="4684"/>
      <c r="AN106" s="4684"/>
      <c r="AO106" s="4684"/>
      <c r="AP106" s="4684"/>
      <c r="AQ106" s="4684"/>
      <c r="AR106" s="4684"/>
      <c r="AS106" s="4684"/>
      <c r="AT106" s="4684"/>
      <c r="AU106" s="4684"/>
      <c r="AV106" s="4684"/>
      <c r="AW106" s="4657"/>
      <c r="AX106" s="4657"/>
      <c r="AY106" s="4657"/>
      <c r="BW106" s="4653"/>
      <c r="BX106" s="4653"/>
      <c r="CE106" s="4688">
        <v>0</v>
      </c>
    </row>
    <row r="107" spans="1:85" ht="16.350000000000001" customHeight="1" x14ac:dyDescent="0.2">
      <c r="A107" s="6044" t="s">
        <v>1955</v>
      </c>
      <c r="B107" s="5991">
        <f t="shared" si="16"/>
        <v>0</v>
      </c>
      <c r="C107" s="6045">
        <f>SUM(E107+G107+I107+K107+M107+O107+Q107+S107+U107+W107+Y107+AA107+AC107+AE107+AG107+AI107)</f>
        <v>0</v>
      </c>
      <c r="D107" s="6012">
        <f>SUM(F107+H107+J107+L107+N107+P107+R107+T107+V107+X107+Z107+AB107+AD107+AF107+AH107+AJ107)</f>
        <v>0</v>
      </c>
      <c r="E107" s="5486"/>
      <c r="F107" s="5487"/>
      <c r="G107" s="5486"/>
      <c r="H107" s="5487"/>
      <c r="I107" s="5486"/>
      <c r="J107" s="5487"/>
      <c r="K107" s="5489"/>
      <c r="L107" s="5490"/>
      <c r="M107" s="5486"/>
      <c r="N107" s="5487"/>
      <c r="O107" s="5489"/>
      <c r="P107" s="5490"/>
      <c r="Q107" s="5486"/>
      <c r="R107" s="5487"/>
      <c r="S107" s="5489"/>
      <c r="T107" s="5490"/>
      <c r="U107" s="5486"/>
      <c r="V107" s="5487"/>
      <c r="W107" s="5489"/>
      <c r="X107" s="5490"/>
      <c r="Y107" s="5486"/>
      <c r="Z107" s="5487"/>
      <c r="AA107" s="5489"/>
      <c r="AB107" s="5490"/>
      <c r="AC107" s="5486"/>
      <c r="AD107" s="5487"/>
      <c r="AE107" s="5489"/>
      <c r="AF107" s="5490"/>
      <c r="AG107" s="5486"/>
      <c r="AH107" s="5487"/>
      <c r="AI107" s="6046"/>
      <c r="AJ107" s="5487"/>
      <c r="AK107" s="5962"/>
      <c r="AL107" s="4684"/>
      <c r="AM107" s="4684"/>
      <c r="AN107" s="4684"/>
      <c r="AO107" s="4684"/>
      <c r="AP107" s="4684"/>
      <c r="AQ107" s="4684"/>
      <c r="AR107" s="4684"/>
      <c r="AS107" s="4684"/>
      <c r="AT107" s="4684"/>
      <c r="AU107" s="4684"/>
      <c r="AV107" s="4684"/>
      <c r="AW107" s="4657"/>
      <c r="AX107" s="4657"/>
      <c r="AY107" s="4657"/>
      <c r="BW107" s="4653"/>
      <c r="BX107" s="4653"/>
      <c r="CE107" s="4688">
        <v>0</v>
      </c>
      <c r="CG107" s="4688">
        <v>0</v>
      </c>
    </row>
    <row r="108" spans="1:85" ht="16.350000000000001" customHeight="1" x14ac:dyDescent="0.2">
      <c r="A108" s="6047" t="s">
        <v>2359</v>
      </c>
      <c r="B108" s="6048">
        <f t="shared" si="16"/>
        <v>0</v>
      </c>
      <c r="C108" s="6049">
        <f>SUM(E108+G108+I108+K108+M108+O108+Q108+S108+U108+W108+Y108+AA108+AC108+AE108+AG108+AI108)</f>
        <v>0</v>
      </c>
      <c r="D108" s="6017">
        <f>SUM(F108+H108+J108+L108+N108+P108+R108+T108+V108+X108+Z108+AB108+AD108+AF108+AH108+AJ108)</f>
        <v>0</v>
      </c>
      <c r="E108" s="5492"/>
      <c r="F108" s="5493"/>
      <c r="G108" s="5492"/>
      <c r="H108" s="5493"/>
      <c r="I108" s="5492"/>
      <c r="J108" s="5493"/>
      <c r="K108" s="5495"/>
      <c r="L108" s="5496"/>
      <c r="M108" s="5492"/>
      <c r="N108" s="5493"/>
      <c r="O108" s="5495"/>
      <c r="P108" s="5496"/>
      <c r="Q108" s="5492"/>
      <c r="R108" s="5493"/>
      <c r="S108" s="5495"/>
      <c r="T108" s="5496"/>
      <c r="U108" s="5492"/>
      <c r="V108" s="5493"/>
      <c r="W108" s="5495"/>
      <c r="X108" s="5496"/>
      <c r="Y108" s="5492"/>
      <c r="Z108" s="5493"/>
      <c r="AA108" s="5495"/>
      <c r="AB108" s="5496"/>
      <c r="AC108" s="5492"/>
      <c r="AD108" s="5493"/>
      <c r="AE108" s="5495"/>
      <c r="AF108" s="5496"/>
      <c r="AG108" s="5492"/>
      <c r="AH108" s="5493"/>
      <c r="AI108" s="5499"/>
      <c r="AJ108" s="5493"/>
      <c r="AK108" s="5962"/>
      <c r="AL108" s="4684"/>
      <c r="AM108" s="4684"/>
      <c r="AN108" s="4684"/>
      <c r="AO108" s="4684"/>
      <c r="AP108" s="4684"/>
      <c r="AQ108" s="4684"/>
      <c r="AR108" s="4684"/>
      <c r="AS108" s="4684"/>
      <c r="AT108" s="4684"/>
      <c r="AU108" s="4684"/>
      <c r="AV108" s="4684"/>
      <c r="AW108" s="4657"/>
      <c r="AX108" s="4657"/>
      <c r="AY108" s="4657"/>
      <c r="BW108" s="4653"/>
      <c r="BX108" s="4653"/>
      <c r="CE108" s="4688">
        <v>0</v>
      </c>
      <c r="CG108" s="4688">
        <v>0</v>
      </c>
    </row>
    <row r="109" spans="1:85" ht="31.9" customHeight="1" x14ac:dyDescent="0.2">
      <c r="A109" s="5466" t="s">
        <v>3603</v>
      </c>
      <c r="B109" s="4173"/>
      <c r="C109" s="4328"/>
      <c r="D109" s="4328"/>
      <c r="E109" s="4328"/>
      <c r="F109" s="4328"/>
      <c r="G109" s="4328"/>
      <c r="H109" s="4328"/>
      <c r="I109" s="4328"/>
      <c r="J109" s="4328"/>
      <c r="K109" s="4328"/>
      <c r="L109" s="4328"/>
      <c r="M109" s="4328"/>
      <c r="N109" s="4328"/>
      <c r="O109" s="4328"/>
      <c r="P109" s="4328"/>
      <c r="Q109" s="4328"/>
      <c r="R109" s="4328"/>
      <c r="S109" s="4328"/>
      <c r="T109" s="4328"/>
      <c r="U109" s="4328"/>
      <c r="V109" s="4328"/>
      <c r="AM109" s="4657"/>
      <c r="AN109" s="4657"/>
      <c r="AO109" s="4657"/>
      <c r="AP109" s="4657"/>
      <c r="AQ109" s="4657"/>
      <c r="AR109" s="4657"/>
      <c r="AS109" s="4657"/>
      <c r="AT109" s="4657"/>
      <c r="AU109" s="4657"/>
      <c r="AV109" s="4657"/>
      <c r="AW109" s="4657"/>
      <c r="AX109" s="4657"/>
      <c r="AY109" s="4657"/>
      <c r="AZ109" s="4657"/>
      <c r="BA109" s="4657"/>
      <c r="CG109" s="4688">
        <v>0</v>
      </c>
    </row>
    <row r="110" spans="1:85" ht="18" customHeight="1" x14ac:dyDescent="0.2">
      <c r="A110" s="9801" t="s">
        <v>1956</v>
      </c>
      <c r="B110" s="9802" t="s">
        <v>24</v>
      </c>
      <c r="C110" s="9803"/>
      <c r="D110" s="9804"/>
      <c r="E110" s="9845" t="s">
        <v>2</v>
      </c>
      <c r="F110" s="9846"/>
      <c r="G110" s="9846"/>
      <c r="H110" s="9846"/>
      <c r="I110" s="9846"/>
      <c r="J110" s="9846"/>
      <c r="K110" s="9846"/>
      <c r="L110" s="9846"/>
      <c r="M110" s="9846"/>
      <c r="N110" s="9846"/>
      <c r="O110" s="9846"/>
      <c r="P110" s="9846"/>
      <c r="Q110" s="9846"/>
      <c r="R110" s="9846"/>
      <c r="S110" s="9846"/>
      <c r="T110" s="9846"/>
      <c r="U110" s="9846"/>
      <c r="V110" s="9846"/>
      <c r="W110" s="9846"/>
      <c r="X110" s="9846"/>
      <c r="Y110" s="9846"/>
      <c r="Z110" s="9846"/>
      <c r="AA110" s="9846"/>
      <c r="AB110" s="9846"/>
      <c r="AC110" s="9846"/>
      <c r="AD110" s="9846"/>
      <c r="AE110" s="9846"/>
      <c r="AF110" s="9846"/>
      <c r="AG110" s="9846"/>
      <c r="AH110" s="9846"/>
      <c r="AI110" s="9846"/>
      <c r="AJ110" s="9873"/>
      <c r="AL110" s="4657"/>
      <c r="AM110" s="4657"/>
      <c r="AN110" s="4657"/>
      <c r="AO110" s="4657"/>
      <c r="AP110" s="4657"/>
      <c r="AQ110" s="4657"/>
      <c r="AR110" s="4657"/>
      <c r="AS110" s="4657"/>
      <c r="AT110" s="4657"/>
      <c r="AU110" s="4657"/>
      <c r="AV110" s="4657"/>
      <c r="AW110" s="4657"/>
      <c r="AX110" s="4657"/>
      <c r="AY110" s="4657"/>
      <c r="AZ110" s="4657"/>
      <c r="BX110" s="4653"/>
      <c r="CG110" s="4688">
        <v>0</v>
      </c>
    </row>
    <row r="111" spans="1:85" ht="18" customHeight="1" x14ac:dyDescent="0.2">
      <c r="A111" s="8628"/>
      <c r="B111" s="9805"/>
      <c r="C111" s="9806"/>
      <c r="D111" s="9807"/>
      <c r="E111" s="9822" t="s">
        <v>1909</v>
      </c>
      <c r="F111" s="9823"/>
      <c r="G111" s="9822" t="s">
        <v>1910</v>
      </c>
      <c r="H111" s="9823"/>
      <c r="I111" s="9822" t="s">
        <v>1911</v>
      </c>
      <c r="J111" s="9823"/>
      <c r="K111" s="9819" t="s">
        <v>1912</v>
      </c>
      <c r="L111" s="9819"/>
      <c r="M111" s="9822" t="s">
        <v>1913</v>
      </c>
      <c r="N111" s="9823"/>
      <c r="O111" s="9819" t="s">
        <v>1914</v>
      </c>
      <c r="P111" s="9819"/>
      <c r="Q111" s="9822" t="s">
        <v>1915</v>
      </c>
      <c r="R111" s="9823"/>
      <c r="S111" s="9819" t="s">
        <v>124</v>
      </c>
      <c r="T111" s="9819"/>
      <c r="U111" s="9822" t="s">
        <v>125</v>
      </c>
      <c r="V111" s="9823"/>
      <c r="W111" s="9819" t="s">
        <v>126</v>
      </c>
      <c r="X111" s="9819"/>
      <c r="Y111" s="9822" t="s">
        <v>127</v>
      </c>
      <c r="Z111" s="9823"/>
      <c r="AA111" s="9819" t="s">
        <v>128</v>
      </c>
      <c r="AB111" s="9819"/>
      <c r="AC111" s="9822" t="s">
        <v>129</v>
      </c>
      <c r="AD111" s="9823"/>
      <c r="AE111" s="9819" t="s">
        <v>130</v>
      </c>
      <c r="AF111" s="9819"/>
      <c r="AG111" s="9822" t="s">
        <v>131</v>
      </c>
      <c r="AH111" s="9823"/>
      <c r="AI111" s="9819" t="s">
        <v>1916</v>
      </c>
      <c r="AJ111" s="9823"/>
      <c r="AL111" s="4657"/>
      <c r="AM111" s="4657"/>
      <c r="AN111" s="4657"/>
      <c r="AO111" s="4657"/>
      <c r="AP111" s="4657"/>
      <c r="AQ111" s="4657"/>
      <c r="AR111" s="4657"/>
      <c r="AS111" s="4657"/>
      <c r="AT111" s="4657"/>
      <c r="AU111" s="4657"/>
      <c r="AV111" s="4657"/>
      <c r="AW111" s="4657"/>
      <c r="AX111" s="4657"/>
      <c r="AY111" s="4657"/>
      <c r="AZ111" s="4657"/>
      <c r="BX111" s="4653"/>
      <c r="CG111" s="4688">
        <v>0</v>
      </c>
    </row>
    <row r="112" spans="1:85" ht="17.25" customHeight="1" x14ac:dyDescent="0.2">
      <c r="A112" s="8629"/>
      <c r="B112" s="5508" t="s">
        <v>42</v>
      </c>
      <c r="C112" s="5932" t="s">
        <v>17</v>
      </c>
      <c r="D112" s="4940" t="s">
        <v>18</v>
      </c>
      <c r="E112" s="5879" t="s">
        <v>17</v>
      </c>
      <c r="F112" s="4940" t="s">
        <v>18</v>
      </c>
      <c r="G112" s="5879" t="s">
        <v>17</v>
      </c>
      <c r="H112" s="4940" t="s">
        <v>18</v>
      </c>
      <c r="I112" s="5879" t="s">
        <v>17</v>
      </c>
      <c r="J112" s="4940" t="s">
        <v>18</v>
      </c>
      <c r="K112" s="5932" t="s">
        <v>17</v>
      </c>
      <c r="L112" s="6002" t="s">
        <v>18</v>
      </c>
      <c r="M112" s="5879" t="s">
        <v>17</v>
      </c>
      <c r="N112" s="4940" t="s">
        <v>18</v>
      </c>
      <c r="O112" s="5932" t="s">
        <v>17</v>
      </c>
      <c r="P112" s="6002" t="s">
        <v>18</v>
      </c>
      <c r="Q112" s="5879" t="s">
        <v>17</v>
      </c>
      <c r="R112" s="4940" t="s">
        <v>18</v>
      </c>
      <c r="S112" s="5932" t="s">
        <v>17</v>
      </c>
      <c r="T112" s="6002" t="s">
        <v>18</v>
      </c>
      <c r="U112" s="5879" t="s">
        <v>17</v>
      </c>
      <c r="V112" s="4940" t="s">
        <v>18</v>
      </c>
      <c r="W112" s="5932" t="s">
        <v>17</v>
      </c>
      <c r="X112" s="6002" t="s">
        <v>18</v>
      </c>
      <c r="Y112" s="5879" t="s">
        <v>17</v>
      </c>
      <c r="Z112" s="4940" t="s">
        <v>18</v>
      </c>
      <c r="AA112" s="5932" t="s">
        <v>17</v>
      </c>
      <c r="AB112" s="6002" t="s">
        <v>18</v>
      </c>
      <c r="AC112" s="5879" t="s">
        <v>17</v>
      </c>
      <c r="AD112" s="4940" t="s">
        <v>18</v>
      </c>
      <c r="AE112" s="5932" t="s">
        <v>17</v>
      </c>
      <c r="AF112" s="6002" t="s">
        <v>18</v>
      </c>
      <c r="AG112" s="5879" t="s">
        <v>17</v>
      </c>
      <c r="AH112" s="4940" t="s">
        <v>18</v>
      </c>
      <c r="AI112" s="5932" t="s">
        <v>17</v>
      </c>
      <c r="AJ112" s="4940" t="s">
        <v>18</v>
      </c>
      <c r="AL112" s="4657"/>
      <c r="AM112" s="4657"/>
      <c r="AN112" s="4657"/>
      <c r="AO112" s="4657"/>
      <c r="AP112" s="4657"/>
      <c r="AQ112" s="4657"/>
      <c r="AR112" s="4657"/>
      <c r="AS112" s="4657"/>
      <c r="AT112" s="4657"/>
      <c r="AU112" s="4657"/>
      <c r="AV112" s="4657"/>
      <c r="AW112" s="4657"/>
      <c r="AX112" s="4657"/>
      <c r="AY112" s="4657"/>
      <c r="AZ112" s="4657"/>
      <c r="BX112" s="4653"/>
      <c r="CG112" s="4688">
        <v>0</v>
      </c>
    </row>
    <row r="113" spans="1:85" ht="16.149999999999999" customHeight="1" x14ac:dyDescent="0.2">
      <c r="A113" s="6050" t="s">
        <v>1957</v>
      </c>
      <c r="B113" s="5470">
        <f>SUM(C113:D113)</f>
        <v>0</v>
      </c>
      <c r="C113" s="5840">
        <f t="shared" ref="C113:D115" si="18">+E113+G113+I113+K113+M113+O113+Q113+S113+U113+W113+Y113+AA113+AC113+AE113+AG113+AI113</f>
        <v>0</v>
      </c>
      <c r="D113" s="5851">
        <f t="shared" si="18"/>
        <v>0</v>
      </c>
      <c r="E113" s="5471"/>
      <c r="F113" s="5472"/>
      <c r="G113" s="5471"/>
      <c r="H113" s="5472"/>
      <c r="I113" s="5471"/>
      <c r="J113" s="5472"/>
      <c r="K113" s="5471"/>
      <c r="L113" s="5472"/>
      <c r="M113" s="5471"/>
      <c r="N113" s="5472"/>
      <c r="O113" s="5471"/>
      <c r="P113" s="5472"/>
      <c r="Q113" s="5471"/>
      <c r="R113" s="5472"/>
      <c r="S113" s="5471"/>
      <c r="T113" s="5472"/>
      <c r="U113" s="5471"/>
      <c r="V113" s="5472"/>
      <c r="W113" s="5471"/>
      <c r="X113" s="5472"/>
      <c r="Y113" s="5471"/>
      <c r="Z113" s="5472"/>
      <c r="AA113" s="5471"/>
      <c r="AB113" s="5472"/>
      <c r="AC113" s="5471"/>
      <c r="AD113" s="5472"/>
      <c r="AE113" s="5471"/>
      <c r="AF113" s="5472"/>
      <c r="AG113" s="5471"/>
      <c r="AH113" s="5472"/>
      <c r="AI113" s="5471"/>
      <c r="AJ113" s="5472"/>
      <c r="AL113" s="4657"/>
      <c r="AM113" s="4657"/>
      <c r="AN113" s="4657"/>
      <c r="AO113" s="4657"/>
      <c r="AP113" s="4657"/>
      <c r="AQ113" s="4657"/>
      <c r="AR113" s="4657"/>
      <c r="AS113" s="4657"/>
      <c r="AT113" s="4657"/>
      <c r="AU113" s="4657"/>
      <c r="AV113" s="4657"/>
      <c r="AW113" s="4657"/>
      <c r="AX113" s="4657"/>
      <c r="AY113" s="4657"/>
      <c r="AZ113" s="4657"/>
      <c r="BX113" s="4653"/>
      <c r="CG113" s="4688">
        <v>0</v>
      </c>
    </row>
    <row r="114" spans="1:85" ht="16.149999999999999" customHeight="1" x14ac:dyDescent="0.2">
      <c r="A114" s="5853" t="s">
        <v>1958</v>
      </c>
      <c r="B114" s="5475">
        <f>SUM(C114:D114)</f>
        <v>0</v>
      </c>
      <c r="C114" s="5850">
        <f t="shared" si="18"/>
        <v>0</v>
      </c>
      <c r="D114" s="5851">
        <f t="shared" si="18"/>
        <v>0</v>
      </c>
      <c r="E114" s="5471"/>
      <c r="F114" s="5472"/>
      <c r="G114" s="5471"/>
      <c r="H114" s="5472"/>
      <c r="I114" s="5471"/>
      <c r="J114" s="5472"/>
      <c r="K114" s="5471"/>
      <c r="L114" s="5472"/>
      <c r="M114" s="5471"/>
      <c r="N114" s="5472"/>
      <c r="O114" s="5471"/>
      <c r="P114" s="5472"/>
      <c r="Q114" s="5471"/>
      <c r="R114" s="5472"/>
      <c r="S114" s="5471"/>
      <c r="T114" s="5472"/>
      <c r="U114" s="5471"/>
      <c r="V114" s="5472"/>
      <c r="W114" s="5471"/>
      <c r="X114" s="5472"/>
      <c r="Y114" s="5471"/>
      <c r="Z114" s="5472"/>
      <c r="AA114" s="5471"/>
      <c r="AB114" s="5472"/>
      <c r="AC114" s="5471"/>
      <c r="AD114" s="5472"/>
      <c r="AE114" s="5471"/>
      <c r="AF114" s="5472"/>
      <c r="AG114" s="5471"/>
      <c r="AH114" s="5472"/>
      <c r="AI114" s="5471"/>
      <c r="AJ114" s="5472"/>
      <c r="AL114" s="4657"/>
      <c r="AM114" s="4657"/>
      <c r="AN114" s="4657"/>
      <c r="AO114" s="4657"/>
      <c r="AP114" s="4657"/>
      <c r="AQ114" s="4657"/>
      <c r="AR114" s="4657"/>
      <c r="AS114" s="4657"/>
      <c r="AT114" s="4657"/>
      <c r="AU114" s="4657"/>
      <c r="AV114" s="4657"/>
      <c r="AW114" s="4657"/>
      <c r="AX114" s="4657"/>
      <c r="AY114" s="4657"/>
      <c r="AZ114" s="4657"/>
      <c r="BX114" s="4653"/>
      <c r="CG114" s="4688">
        <v>0</v>
      </c>
    </row>
    <row r="115" spans="1:85" ht="16.149999999999999" customHeight="1" x14ac:dyDescent="0.2">
      <c r="A115" s="5939" t="s">
        <v>1959</v>
      </c>
      <c r="B115" s="5498">
        <f>SUM(C115:D115)</f>
        <v>0</v>
      </c>
      <c r="C115" s="6051">
        <f t="shared" si="18"/>
        <v>0</v>
      </c>
      <c r="D115" s="5491">
        <f t="shared" si="18"/>
        <v>0</v>
      </c>
      <c r="E115" s="5492"/>
      <c r="F115" s="5493"/>
      <c r="G115" s="5492"/>
      <c r="H115" s="5493"/>
      <c r="I115" s="5492"/>
      <c r="J115" s="5493"/>
      <c r="K115" s="5492"/>
      <c r="L115" s="5493"/>
      <c r="M115" s="5492"/>
      <c r="N115" s="5493"/>
      <c r="O115" s="5492"/>
      <c r="P115" s="5493"/>
      <c r="Q115" s="5492"/>
      <c r="R115" s="5493"/>
      <c r="S115" s="5492"/>
      <c r="T115" s="5493"/>
      <c r="U115" s="5492"/>
      <c r="V115" s="5493"/>
      <c r="W115" s="5492"/>
      <c r="X115" s="5493"/>
      <c r="Y115" s="5492"/>
      <c r="Z115" s="5493"/>
      <c r="AA115" s="5492"/>
      <c r="AB115" s="5493"/>
      <c r="AC115" s="5492"/>
      <c r="AD115" s="5493"/>
      <c r="AE115" s="5492"/>
      <c r="AF115" s="5493"/>
      <c r="AG115" s="5492"/>
      <c r="AH115" s="5493"/>
      <c r="AI115" s="5492"/>
      <c r="AJ115" s="5493"/>
      <c r="AL115" s="4657"/>
      <c r="AM115" s="4657"/>
      <c r="AN115" s="4657"/>
      <c r="AO115" s="4657"/>
      <c r="AP115" s="4657"/>
      <c r="AQ115" s="4657"/>
      <c r="AR115" s="4657"/>
      <c r="AS115" s="4657"/>
      <c r="AT115" s="4657"/>
      <c r="AU115" s="4657"/>
      <c r="AV115" s="4657"/>
      <c r="AW115" s="4657"/>
      <c r="AX115" s="4657"/>
      <c r="AY115" s="4657"/>
      <c r="AZ115" s="4657"/>
      <c r="BX115" s="4653"/>
      <c r="CG115" s="4688">
        <v>0</v>
      </c>
    </row>
    <row r="116" spans="1:85" ht="31.9" customHeight="1" x14ac:dyDescent="0.2">
      <c r="A116" s="5466" t="s">
        <v>3604</v>
      </c>
      <c r="B116" s="4173"/>
      <c r="C116" s="4328"/>
      <c r="D116" s="4328"/>
      <c r="E116" s="4328"/>
      <c r="F116" s="4328"/>
      <c r="AM116" s="4657"/>
      <c r="AN116" s="4657"/>
      <c r="AO116" s="4657"/>
      <c r="AP116" s="4657"/>
      <c r="AQ116" s="4657"/>
      <c r="AR116" s="4657"/>
      <c r="AS116" s="4657"/>
      <c r="AT116" s="4657"/>
      <c r="AU116" s="4657"/>
      <c r="AV116" s="4657"/>
      <c r="AW116" s="4657"/>
      <c r="AX116" s="4657"/>
      <c r="AY116" s="4657"/>
      <c r="AZ116" s="4657"/>
      <c r="BA116" s="4657"/>
    </row>
    <row r="117" spans="1:85" ht="21" customHeight="1" x14ac:dyDescent="0.2">
      <c r="A117" s="9801" t="s">
        <v>1956</v>
      </c>
      <c r="B117" s="9802" t="s">
        <v>24</v>
      </c>
      <c r="C117" s="9803"/>
      <c r="D117" s="9804"/>
      <c r="E117" s="9845" t="s">
        <v>2</v>
      </c>
      <c r="F117" s="9846"/>
      <c r="G117" s="9846"/>
      <c r="H117" s="9846"/>
      <c r="I117" s="9846"/>
      <c r="J117" s="9846"/>
      <c r="K117" s="9846"/>
      <c r="L117" s="9846"/>
      <c r="M117" s="9846"/>
      <c r="N117" s="9846"/>
      <c r="O117" s="9846"/>
      <c r="P117" s="9846"/>
      <c r="Q117" s="9846"/>
      <c r="R117" s="9846"/>
      <c r="S117" s="9846"/>
      <c r="T117" s="9846"/>
      <c r="U117" s="9846"/>
      <c r="V117" s="9846"/>
      <c r="W117" s="9846"/>
      <c r="X117" s="9846"/>
      <c r="Y117" s="9846"/>
      <c r="Z117" s="9846"/>
      <c r="AA117" s="9846"/>
      <c r="AB117" s="9846"/>
      <c r="AC117" s="9846"/>
      <c r="AD117" s="9846"/>
      <c r="AE117" s="9846"/>
      <c r="AF117" s="9846"/>
      <c r="AG117" s="9846"/>
      <c r="AH117" s="9846"/>
      <c r="AI117" s="9846"/>
      <c r="AJ117" s="9873"/>
      <c r="AL117" s="4657"/>
      <c r="AM117" s="4657"/>
      <c r="AN117" s="4657"/>
      <c r="AO117" s="4657"/>
      <c r="AP117" s="4657"/>
      <c r="AQ117" s="4657"/>
      <c r="AR117" s="4657"/>
      <c r="AS117" s="4657"/>
      <c r="AT117" s="4657"/>
      <c r="AU117" s="4657"/>
      <c r="AV117" s="4657"/>
      <c r="AW117" s="4657"/>
      <c r="AX117" s="4657"/>
      <c r="AY117" s="4657"/>
      <c r="AZ117" s="4657"/>
      <c r="BX117" s="4653"/>
    </row>
    <row r="118" spans="1:85" ht="16.5" customHeight="1" x14ac:dyDescent="0.2">
      <c r="A118" s="8628"/>
      <c r="B118" s="9805"/>
      <c r="C118" s="9806"/>
      <c r="D118" s="9807"/>
      <c r="E118" s="9822" t="s">
        <v>1909</v>
      </c>
      <c r="F118" s="9823"/>
      <c r="G118" s="9822" t="s">
        <v>1910</v>
      </c>
      <c r="H118" s="9823"/>
      <c r="I118" s="9822" t="s">
        <v>1911</v>
      </c>
      <c r="J118" s="9823"/>
      <c r="K118" s="9819" t="s">
        <v>1912</v>
      </c>
      <c r="L118" s="9819"/>
      <c r="M118" s="9822" t="s">
        <v>1913</v>
      </c>
      <c r="N118" s="9823"/>
      <c r="O118" s="9819" t="s">
        <v>1914</v>
      </c>
      <c r="P118" s="9819"/>
      <c r="Q118" s="9822" t="s">
        <v>1915</v>
      </c>
      <c r="R118" s="9823"/>
      <c r="S118" s="9819" t="s">
        <v>124</v>
      </c>
      <c r="T118" s="9819"/>
      <c r="U118" s="9822" t="s">
        <v>125</v>
      </c>
      <c r="V118" s="9823"/>
      <c r="W118" s="9819" t="s">
        <v>126</v>
      </c>
      <c r="X118" s="9819"/>
      <c r="Y118" s="9822" t="s">
        <v>127</v>
      </c>
      <c r="Z118" s="9823"/>
      <c r="AA118" s="9819" t="s">
        <v>128</v>
      </c>
      <c r="AB118" s="9819"/>
      <c r="AC118" s="9822" t="s">
        <v>129</v>
      </c>
      <c r="AD118" s="9823"/>
      <c r="AE118" s="9819" t="s">
        <v>130</v>
      </c>
      <c r="AF118" s="9819"/>
      <c r="AG118" s="9822" t="s">
        <v>131</v>
      </c>
      <c r="AH118" s="9823"/>
      <c r="AI118" s="9819" t="s">
        <v>1916</v>
      </c>
      <c r="AJ118" s="9823"/>
      <c r="AL118" s="4657"/>
      <c r="AM118" s="4657"/>
      <c r="AN118" s="4657"/>
      <c r="AO118" s="4657"/>
      <c r="AP118" s="4657"/>
      <c r="AQ118" s="4657"/>
      <c r="AR118" s="4657"/>
      <c r="AS118" s="4657"/>
      <c r="AT118" s="4657"/>
      <c r="AU118" s="4657"/>
      <c r="AV118" s="4657"/>
      <c r="AW118" s="4657"/>
      <c r="AX118" s="4657"/>
      <c r="AY118" s="4657"/>
      <c r="AZ118" s="4657"/>
      <c r="BX118" s="4653"/>
    </row>
    <row r="119" spans="1:85" ht="16.5" customHeight="1" x14ac:dyDescent="0.2">
      <c r="A119" s="8629"/>
      <c r="B119" s="5508" t="s">
        <v>42</v>
      </c>
      <c r="C119" s="5932" t="s">
        <v>17</v>
      </c>
      <c r="D119" s="4940" t="s">
        <v>18</v>
      </c>
      <c r="E119" s="5879" t="s">
        <v>17</v>
      </c>
      <c r="F119" s="4940" t="s">
        <v>18</v>
      </c>
      <c r="G119" s="5879" t="s">
        <v>17</v>
      </c>
      <c r="H119" s="4940" t="s">
        <v>18</v>
      </c>
      <c r="I119" s="5879" t="s">
        <v>17</v>
      </c>
      <c r="J119" s="4940" t="s">
        <v>18</v>
      </c>
      <c r="K119" s="5932" t="s">
        <v>17</v>
      </c>
      <c r="L119" s="6002" t="s">
        <v>18</v>
      </c>
      <c r="M119" s="5879" t="s">
        <v>17</v>
      </c>
      <c r="N119" s="4940" t="s">
        <v>18</v>
      </c>
      <c r="O119" s="5932" t="s">
        <v>17</v>
      </c>
      <c r="P119" s="6002" t="s">
        <v>18</v>
      </c>
      <c r="Q119" s="5879" t="s">
        <v>17</v>
      </c>
      <c r="R119" s="4940" t="s">
        <v>18</v>
      </c>
      <c r="S119" s="5932" t="s">
        <v>17</v>
      </c>
      <c r="T119" s="6002" t="s">
        <v>18</v>
      </c>
      <c r="U119" s="5879" t="s">
        <v>17</v>
      </c>
      <c r="V119" s="4940" t="s">
        <v>18</v>
      </c>
      <c r="W119" s="5932" t="s">
        <v>17</v>
      </c>
      <c r="X119" s="6002" t="s">
        <v>18</v>
      </c>
      <c r="Y119" s="5879" t="s">
        <v>17</v>
      </c>
      <c r="Z119" s="4940" t="s">
        <v>18</v>
      </c>
      <c r="AA119" s="5932" t="s">
        <v>17</v>
      </c>
      <c r="AB119" s="6002" t="s">
        <v>18</v>
      </c>
      <c r="AC119" s="5879" t="s">
        <v>17</v>
      </c>
      <c r="AD119" s="4940" t="s">
        <v>18</v>
      </c>
      <c r="AE119" s="5932" t="s">
        <v>17</v>
      </c>
      <c r="AF119" s="6002" t="s">
        <v>18</v>
      </c>
      <c r="AG119" s="5879" t="s">
        <v>17</v>
      </c>
      <c r="AH119" s="4940" t="s">
        <v>18</v>
      </c>
      <c r="AI119" s="5932" t="s">
        <v>17</v>
      </c>
      <c r="AJ119" s="4940" t="s">
        <v>18</v>
      </c>
      <c r="BX119" s="4653"/>
    </row>
    <row r="120" spans="1:85" ht="16.149999999999999" customHeight="1" x14ac:dyDescent="0.2">
      <c r="A120" s="6050" t="s">
        <v>1957</v>
      </c>
      <c r="B120" s="5481">
        <f>SUM(C120+D120)</f>
        <v>0</v>
      </c>
      <c r="C120" s="5850">
        <f>+E120+G120+I120+K120+M120+O120+Q120+S120+U120+W120+Y120+AA120+AC120+AE120+AG120+AI120</f>
        <v>0</v>
      </c>
      <c r="D120" s="5851">
        <f>+F120+H120+J120+L120+N120+P120+R120+T120+V120+X120+Z120+AB120+AD120+AF120+AH120+AJ120</f>
        <v>0</v>
      </c>
      <c r="E120" s="5842"/>
      <c r="F120" s="5843"/>
      <c r="G120" s="5842"/>
      <c r="H120" s="5843"/>
      <c r="I120" s="5842"/>
      <c r="J120" s="5843"/>
      <c r="K120" s="5842"/>
      <c r="L120" s="5843"/>
      <c r="M120" s="5842"/>
      <c r="N120" s="5843"/>
      <c r="O120" s="5842"/>
      <c r="P120" s="5843"/>
      <c r="Q120" s="5842"/>
      <c r="R120" s="5843"/>
      <c r="S120" s="5842"/>
      <c r="T120" s="5843"/>
      <c r="U120" s="5842"/>
      <c r="V120" s="5843"/>
      <c r="W120" s="5842"/>
      <c r="X120" s="5843"/>
      <c r="Y120" s="5842"/>
      <c r="Z120" s="5843"/>
      <c r="AA120" s="5842"/>
      <c r="AB120" s="5843"/>
      <c r="AC120" s="5842"/>
      <c r="AD120" s="5843"/>
      <c r="AE120" s="5842"/>
      <c r="AF120" s="5843"/>
      <c r="AG120" s="5842"/>
      <c r="AH120" s="5843"/>
      <c r="AI120" s="5842"/>
      <c r="AJ120" s="5843"/>
      <c r="BX120" s="4653"/>
    </row>
    <row r="121" spans="1:85" ht="16.149999999999999" customHeight="1" x14ac:dyDescent="0.2">
      <c r="A121" s="5853" t="s">
        <v>1960</v>
      </c>
      <c r="B121" s="5475">
        <f>SUM(C121+D121)</f>
        <v>0</v>
      </c>
      <c r="C121" s="5850">
        <f t="shared" ref="C121:D124" si="19">+E121+G121+I121+K121+M121+O121+Q121+S121+U121+W121+Y121+AA121+AC121+AE121+AG121+AI121</f>
        <v>0</v>
      </c>
      <c r="D121" s="5851">
        <f t="shared" si="19"/>
        <v>0</v>
      </c>
      <c r="E121" s="5476"/>
      <c r="F121" s="5478"/>
      <c r="G121" s="5476"/>
      <c r="H121" s="5478"/>
      <c r="I121" s="5476"/>
      <c r="J121" s="5478"/>
      <c r="K121" s="5476"/>
      <c r="L121" s="5478"/>
      <c r="M121" s="5476"/>
      <c r="N121" s="5478"/>
      <c r="O121" s="5476"/>
      <c r="P121" s="5478"/>
      <c r="Q121" s="5476"/>
      <c r="R121" s="5478"/>
      <c r="S121" s="5476"/>
      <c r="T121" s="5478"/>
      <c r="U121" s="5476"/>
      <c r="V121" s="5478"/>
      <c r="W121" s="5476"/>
      <c r="X121" s="5478"/>
      <c r="Y121" s="5476"/>
      <c r="Z121" s="5478"/>
      <c r="AA121" s="5476"/>
      <c r="AB121" s="5478"/>
      <c r="AC121" s="5476"/>
      <c r="AD121" s="5478"/>
      <c r="AE121" s="5476"/>
      <c r="AF121" s="5478"/>
      <c r="AG121" s="5476"/>
      <c r="AH121" s="5478"/>
      <c r="AI121" s="5476"/>
      <c r="AJ121" s="5478"/>
      <c r="BX121" s="4653"/>
    </row>
    <row r="122" spans="1:85" ht="16.149999999999999" customHeight="1" x14ac:dyDescent="0.2">
      <c r="A122" s="5853" t="s">
        <v>1194</v>
      </c>
      <c r="B122" s="5475">
        <f>SUM(C122+D122)</f>
        <v>0</v>
      </c>
      <c r="C122" s="5850">
        <f t="shared" si="19"/>
        <v>0</v>
      </c>
      <c r="D122" s="5851">
        <f t="shared" si="19"/>
        <v>0</v>
      </c>
      <c r="E122" s="5486"/>
      <c r="F122" s="5488"/>
      <c r="G122" s="5486"/>
      <c r="H122" s="5488"/>
      <c r="I122" s="5486"/>
      <c r="J122" s="5488"/>
      <c r="K122" s="5486"/>
      <c r="L122" s="5488"/>
      <c r="M122" s="5486"/>
      <c r="N122" s="5488"/>
      <c r="O122" s="5486"/>
      <c r="P122" s="5488"/>
      <c r="Q122" s="5486"/>
      <c r="R122" s="5488"/>
      <c r="S122" s="5486"/>
      <c r="T122" s="5488"/>
      <c r="U122" s="5486"/>
      <c r="V122" s="5488"/>
      <c r="W122" s="5486"/>
      <c r="X122" s="5488"/>
      <c r="Y122" s="5486"/>
      <c r="Z122" s="5488"/>
      <c r="AA122" s="5486"/>
      <c r="AB122" s="5488"/>
      <c r="AC122" s="5486"/>
      <c r="AD122" s="5488"/>
      <c r="AE122" s="5486"/>
      <c r="AF122" s="5488"/>
      <c r="AG122" s="5486"/>
      <c r="AH122" s="5488"/>
      <c r="AI122" s="5486"/>
      <c r="AJ122" s="5488"/>
      <c r="BX122" s="4653"/>
    </row>
    <row r="123" spans="1:85" ht="16.149999999999999" customHeight="1" x14ac:dyDescent="0.2">
      <c r="A123" s="6052" t="s">
        <v>1959</v>
      </c>
      <c r="B123" s="5475">
        <f>SUM(C123+D123)</f>
        <v>0</v>
      </c>
      <c r="C123" s="5850">
        <f t="shared" si="19"/>
        <v>0</v>
      </c>
      <c r="D123" s="5851">
        <f t="shared" si="19"/>
        <v>0</v>
      </c>
      <c r="E123" s="5486"/>
      <c r="F123" s="5488"/>
      <c r="G123" s="5486"/>
      <c r="H123" s="5488"/>
      <c r="I123" s="5486"/>
      <c r="J123" s="5488"/>
      <c r="K123" s="5486"/>
      <c r="L123" s="5488"/>
      <c r="M123" s="5486"/>
      <c r="N123" s="5488"/>
      <c r="O123" s="5486"/>
      <c r="P123" s="5488"/>
      <c r="Q123" s="5486"/>
      <c r="R123" s="5488"/>
      <c r="S123" s="5486"/>
      <c r="T123" s="5488"/>
      <c r="U123" s="5486"/>
      <c r="V123" s="5488"/>
      <c r="W123" s="5486"/>
      <c r="X123" s="5488"/>
      <c r="Y123" s="5486"/>
      <c r="Z123" s="5488"/>
      <c r="AA123" s="5486"/>
      <c r="AB123" s="5488"/>
      <c r="AC123" s="5486"/>
      <c r="AD123" s="5488"/>
      <c r="AE123" s="5486"/>
      <c r="AF123" s="5488"/>
      <c r="AG123" s="5486"/>
      <c r="AH123" s="5488"/>
      <c r="AI123" s="5486"/>
      <c r="AJ123" s="5488"/>
      <c r="BX123" s="4653"/>
    </row>
    <row r="124" spans="1:85" ht="16.149999999999999" customHeight="1" x14ac:dyDescent="0.2">
      <c r="A124" s="6053" t="s">
        <v>1961</v>
      </c>
      <c r="B124" s="6054">
        <f>SUM(C124+D124)</f>
        <v>0</v>
      </c>
      <c r="C124" s="5922">
        <f t="shared" si="19"/>
        <v>0</v>
      </c>
      <c r="D124" s="5491">
        <f t="shared" si="19"/>
        <v>0</v>
      </c>
      <c r="E124" s="5492"/>
      <c r="F124" s="5494"/>
      <c r="G124" s="5492"/>
      <c r="H124" s="5494"/>
      <c r="I124" s="5492"/>
      <c r="J124" s="5494"/>
      <c r="K124" s="5492"/>
      <c r="L124" s="5494"/>
      <c r="M124" s="5492"/>
      <c r="N124" s="5494"/>
      <c r="O124" s="5492"/>
      <c r="P124" s="5494"/>
      <c r="Q124" s="5492"/>
      <c r="R124" s="5494"/>
      <c r="S124" s="5492"/>
      <c r="T124" s="5494"/>
      <c r="U124" s="5492"/>
      <c r="V124" s="5494"/>
      <c r="W124" s="5492"/>
      <c r="X124" s="5494"/>
      <c r="Y124" s="5492"/>
      <c r="Z124" s="5494"/>
      <c r="AA124" s="5492"/>
      <c r="AB124" s="5494"/>
      <c r="AC124" s="5492"/>
      <c r="AD124" s="5494"/>
      <c r="AE124" s="5492"/>
      <c r="AF124" s="5494"/>
      <c r="AG124" s="5492"/>
      <c r="AH124" s="5494"/>
      <c r="AI124" s="5492"/>
      <c r="AJ124" s="5494"/>
      <c r="BX124" s="4653"/>
    </row>
    <row r="125" spans="1:85" ht="31.9" customHeight="1" x14ac:dyDescent="0.2">
      <c r="A125" s="4661" t="s">
        <v>3605</v>
      </c>
      <c r="B125" s="4328"/>
      <c r="C125" s="4328"/>
      <c r="D125" s="4328"/>
      <c r="E125" s="4328"/>
      <c r="F125" s="5835"/>
      <c r="G125" s="5835"/>
      <c r="H125" s="4328"/>
      <c r="I125" s="4328"/>
      <c r="J125" s="4328"/>
      <c r="K125" s="4328"/>
      <c r="L125" s="4328"/>
      <c r="M125" s="4328"/>
      <c r="N125" s="4328"/>
      <c r="O125" s="4328"/>
      <c r="P125" s="4328"/>
      <c r="Q125" s="4328"/>
      <c r="R125" s="4328"/>
      <c r="S125" s="4328"/>
      <c r="T125" s="4328"/>
    </row>
    <row r="126" spans="1:85" ht="16.149999999999999" customHeight="1" x14ac:dyDescent="0.2">
      <c r="A126" s="9842" t="s">
        <v>1908</v>
      </c>
      <c r="B126" s="9803" t="s">
        <v>24</v>
      </c>
      <c r="C126" s="9803"/>
      <c r="D126" s="9804"/>
      <c r="E126" s="9845" t="s">
        <v>2</v>
      </c>
      <c r="F126" s="9846"/>
      <c r="G126" s="9846"/>
      <c r="H126" s="9846"/>
      <c r="I126" s="9846"/>
      <c r="J126" s="9846"/>
      <c r="K126" s="9846"/>
      <c r="L126" s="9846"/>
      <c r="M126" s="9846"/>
      <c r="N126" s="9846"/>
      <c r="O126" s="9846"/>
      <c r="P126" s="9846"/>
      <c r="Q126" s="9846"/>
      <c r="R126" s="9846"/>
      <c r="S126" s="9846"/>
      <c r="T126" s="9846"/>
      <c r="U126" s="9846"/>
      <c r="V126" s="9846"/>
      <c r="W126" s="9846"/>
      <c r="X126" s="9846"/>
      <c r="Y126" s="9846"/>
      <c r="Z126" s="9846"/>
      <c r="AA126" s="9846"/>
      <c r="AB126" s="9846"/>
      <c r="AC126" s="9846"/>
      <c r="AD126" s="9846"/>
      <c r="AE126" s="9846"/>
      <c r="AF126" s="9846"/>
      <c r="AG126" s="9846"/>
      <c r="AH126" s="9846"/>
      <c r="AI126" s="9846"/>
      <c r="AJ126" s="9847"/>
      <c r="AK126" s="9908" t="s">
        <v>2893</v>
      </c>
      <c r="BW126" s="4653"/>
      <c r="BX126" s="4653"/>
    </row>
    <row r="127" spans="1:85" ht="16.149999999999999" customHeight="1" x14ac:dyDescent="0.2">
      <c r="A127" s="9843"/>
      <c r="B127" s="9806"/>
      <c r="C127" s="9806"/>
      <c r="D127" s="9807"/>
      <c r="E127" s="9822" t="s">
        <v>1909</v>
      </c>
      <c r="F127" s="9823"/>
      <c r="G127" s="9822" t="s">
        <v>1910</v>
      </c>
      <c r="H127" s="9823"/>
      <c r="I127" s="9819" t="s">
        <v>1911</v>
      </c>
      <c r="J127" s="9819"/>
      <c r="K127" s="9822" t="s">
        <v>1912</v>
      </c>
      <c r="L127" s="9823"/>
      <c r="M127" s="9820" t="s">
        <v>1913</v>
      </c>
      <c r="N127" s="9820"/>
      <c r="O127" s="9821" t="s">
        <v>1914</v>
      </c>
      <c r="P127" s="9801"/>
      <c r="Q127" s="9820" t="s">
        <v>1915</v>
      </c>
      <c r="R127" s="9820"/>
      <c r="S127" s="9821" t="s">
        <v>124</v>
      </c>
      <c r="T127" s="9801"/>
      <c r="U127" s="9820" t="s">
        <v>125</v>
      </c>
      <c r="V127" s="9820"/>
      <c r="W127" s="9821" t="s">
        <v>126</v>
      </c>
      <c r="X127" s="9801"/>
      <c r="Y127" s="9820" t="s">
        <v>127</v>
      </c>
      <c r="Z127" s="9820"/>
      <c r="AA127" s="9821" t="s">
        <v>128</v>
      </c>
      <c r="AB127" s="9801"/>
      <c r="AC127" s="9820" t="s">
        <v>129</v>
      </c>
      <c r="AD127" s="9820"/>
      <c r="AE127" s="9821" t="s">
        <v>130</v>
      </c>
      <c r="AF127" s="9801"/>
      <c r="AG127" s="9820" t="s">
        <v>131</v>
      </c>
      <c r="AH127" s="9820"/>
      <c r="AI127" s="9848" t="s">
        <v>1916</v>
      </c>
      <c r="AJ127" s="9849"/>
      <c r="AK127" s="9896"/>
      <c r="BW127" s="4653"/>
      <c r="BX127" s="4653"/>
    </row>
    <row r="128" spans="1:85" ht="16.149999999999999" customHeight="1" x14ac:dyDescent="0.2">
      <c r="A128" s="9844"/>
      <c r="B128" s="5511" t="s">
        <v>42</v>
      </c>
      <c r="C128" s="6055" t="s">
        <v>17</v>
      </c>
      <c r="D128" s="4941" t="s">
        <v>18</v>
      </c>
      <c r="E128" s="5879" t="s">
        <v>17</v>
      </c>
      <c r="F128" s="4940" t="s">
        <v>18</v>
      </c>
      <c r="G128" s="5879" t="s">
        <v>17</v>
      </c>
      <c r="H128" s="4940" t="s">
        <v>18</v>
      </c>
      <c r="I128" s="5932" t="s">
        <v>17</v>
      </c>
      <c r="J128" s="6002" t="s">
        <v>18</v>
      </c>
      <c r="K128" s="5879" t="s">
        <v>17</v>
      </c>
      <c r="L128" s="4940" t="s">
        <v>18</v>
      </c>
      <c r="M128" s="5932" t="s">
        <v>17</v>
      </c>
      <c r="N128" s="6002" t="s">
        <v>18</v>
      </c>
      <c r="O128" s="5879" t="s">
        <v>17</v>
      </c>
      <c r="P128" s="4940" t="s">
        <v>18</v>
      </c>
      <c r="Q128" s="5932" t="s">
        <v>17</v>
      </c>
      <c r="R128" s="6002" t="s">
        <v>18</v>
      </c>
      <c r="S128" s="5879" t="s">
        <v>17</v>
      </c>
      <c r="T128" s="4940" t="s">
        <v>18</v>
      </c>
      <c r="U128" s="5932" t="s">
        <v>17</v>
      </c>
      <c r="V128" s="6002" t="s">
        <v>18</v>
      </c>
      <c r="W128" s="5879" t="s">
        <v>17</v>
      </c>
      <c r="X128" s="4940" t="s">
        <v>18</v>
      </c>
      <c r="Y128" s="5932" t="s">
        <v>17</v>
      </c>
      <c r="Z128" s="6002" t="s">
        <v>18</v>
      </c>
      <c r="AA128" s="5879" t="s">
        <v>17</v>
      </c>
      <c r="AB128" s="4940" t="s">
        <v>18</v>
      </c>
      <c r="AC128" s="5932" t="s">
        <v>17</v>
      </c>
      <c r="AD128" s="6002" t="s">
        <v>18</v>
      </c>
      <c r="AE128" s="5879" t="s">
        <v>17</v>
      </c>
      <c r="AF128" s="4940" t="s">
        <v>18</v>
      </c>
      <c r="AG128" s="5932" t="s">
        <v>17</v>
      </c>
      <c r="AH128" s="6002" t="s">
        <v>18</v>
      </c>
      <c r="AI128" s="5879" t="s">
        <v>17</v>
      </c>
      <c r="AJ128" s="6056" t="s">
        <v>18</v>
      </c>
      <c r="AK128" s="9909"/>
      <c r="BW128" s="4653"/>
      <c r="BX128" s="4653"/>
    </row>
    <row r="129" spans="1:84" ht="16.149999999999999" customHeight="1" x14ac:dyDescent="0.2">
      <c r="A129" s="6057" t="s">
        <v>1962</v>
      </c>
      <c r="B129" s="5526">
        <f t="shared" ref="B129:B134" si="20">SUM(C129+D129)</f>
        <v>0</v>
      </c>
      <c r="C129" s="6045">
        <f>SUM(E129+G129+I129+K129+M129+O129+Q129+S129+U129+W129+Y129+AA129+AC129+AE129+AG129+AI129)</f>
        <v>0</v>
      </c>
      <c r="D129" s="6058">
        <f>SUM(F129+H129+J129+L129+N129+P129+R129+T129+V129+X129+Z129+AB129+AD129+AF129+AH129+AJ129)</f>
        <v>0</v>
      </c>
      <c r="E129" s="5842"/>
      <c r="F129" s="5843"/>
      <c r="G129" s="5842"/>
      <c r="H129" s="5844"/>
      <c r="I129" s="5845"/>
      <c r="J129" s="5846"/>
      <c r="K129" s="5842"/>
      <c r="L129" s="5844"/>
      <c r="M129" s="5845"/>
      <c r="N129" s="5846"/>
      <c r="O129" s="5842"/>
      <c r="P129" s="5844"/>
      <c r="Q129" s="5845"/>
      <c r="R129" s="5846"/>
      <c r="S129" s="5842"/>
      <c r="T129" s="5844"/>
      <c r="U129" s="5845"/>
      <c r="V129" s="5846"/>
      <c r="W129" s="5842"/>
      <c r="X129" s="5844"/>
      <c r="Y129" s="5845"/>
      <c r="Z129" s="5846"/>
      <c r="AA129" s="5842"/>
      <c r="AB129" s="5844"/>
      <c r="AC129" s="5845"/>
      <c r="AD129" s="5846"/>
      <c r="AE129" s="5903"/>
      <c r="AF129" s="5844"/>
      <c r="AG129" s="5845"/>
      <c r="AH129" s="5846"/>
      <c r="AI129" s="5903"/>
      <c r="AJ129" s="6059"/>
      <c r="AK129" s="6060"/>
      <c r="BW129" s="4653"/>
      <c r="BX129" s="4653"/>
    </row>
    <row r="130" spans="1:84" ht="16.149999999999999" customHeight="1" x14ac:dyDescent="0.2">
      <c r="A130" s="6061" t="s">
        <v>1963</v>
      </c>
      <c r="B130" s="6062">
        <f t="shared" si="20"/>
        <v>0</v>
      </c>
      <c r="C130" s="6063">
        <f>SUM(E130+G130)</f>
        <v>0</v>
      </c>
      <c r="D130" s="6058">
        <f>SUM(F130+H130)</f>
        <v>0</v>
      </c>
      <c r="E130" s="5476"/>
      <c r="F130" s="5478"/>
      <c r="G130" s="5476"/>
      <c r="H130" s="5477"/>
      <c r="I130" s="5858"/>
      <c r="J130" s="5859"/>
      <c r="K130" s="5856"/>
      <c r="L130" s="5857"/>
      <c r="M130" s="5858"/>
      <c r="N130" s="5859"/>
      <c r="O130" s="5856"/>
      <c r="P130" s="5857"/>
      <c r="Q130" s="5858"/>
      <c r="R130" s="5859"/>
      <c r="S130" s="5856"/>
      <c r="T130" s="5857"/>
      <c r="U130" s="5858"/>
      <c r="V130" s="5859"/>
      <c r="W130" s="5856"/>
      <c r="X130" s="5857"/>
      <c r="Y130" s="5858"/>
      <c r="Z130" s="5859"/>
      <c r="AA130" s="5856"/>
      <c r="AB130" s="5857"/>
      <c r="AC130" s="5858"/>
      <c r="AD130" s="5859"/>
      <c r="AE130" s="6064"/>
      <c r="AF130" s="5857"/>
      <c r="AG130" s="5858"/>
      <c r="AH130" s="5859"/>
      <c r="AI130" s="6064"/>
      <c r="AJ130" s="6065"/>
      <c r="AK130" s="6066"/>
      <c r="BW130" s="4653"/>
      <c r="BX130" s="4653"/>
    </row>
    <row r="131" spans="1:84" ht="16.149999999999999" customHeight="1" x14ac:dyDescent="0.2">
      <c r="A131" s="6061" t="s">
        <v>1964</v>
      </c>
      <c r="B131" s="6062">
        <f t="shared" si="20"/>
        <v>0</v>
      </c>
      <c r="C131" s="6063">
        <f>SUM(G131+I131+K131+M131+O131+Q131+S131+U131+W131+Y131+AA131+AC131+AE131+AG131+AI131)</f>
        <v>0</v>
      </c>
      <c r="D131" s="6058">
        <f>SUM(H131+J131+L131+N131+P131+R131+T131+V131+X131+Z131+AB131+AD131+AF131+AH131+AJ131)</f>
        <v>0</v>
      </c>
      <c r="E131" s="5904"/>
      <c r="F131" s="5905"/>
      <c r="G131" s="5476"/>
      <c r="H131" s="5477"/>
      <c r="I131" s="5479"/>
      <c r="J131" s="5483"/>
      <c r="K131" s="5476"/>
      <c r="L131" s="5477"/>
      <c r="M131" s="5479"/>
      <c r="N131" s="5483"/>
      <c r="O131" s="5476"/>
      <c r="P131" s="5477"/>
      <c r="Q131" s="5479"/>
      <c r="R131" s="5483"/>
      <c r="S131" s="5476"/>
      <c r="T131" s="5477"/>
      <c r="U131" s="5479"/>
      <c r="V131" s="5483"/>
      <c r="W131" s="5476"/>
      <c r="X131" s="5477"/>
      <c r="Y131" s="5479"/>
      <c r="Z131" s="5483"/>
      <c r="AA131" s="5476"/>
      <c r="AB131" s="5477"/>
      <c r="AC131" s="5479"/>
      <c r="AD131" s="5483"/>
      <c r="AE131" s="5919"/>
      <c r="AF131" s="5477"/>
      <c r="AG131" s="5479"/>
      <c r="AH131" s="5483"/>
      <c r="AI131" s="5919"/>
      <c r="AJ131" s="6067"/>
      <c r="AK131" s="6066"/>
      <c r="BW131" s="4653"/>
      <c r="BX131" s="4653"/>
    </row>
    <row r="132" spans="1:84" ht="16.149999999999999" customHeight="1" x14ac:dyDescent="0.2">
      <c r="A132" s="6061" t="s">
        <v>56</v>
      </c>
      <c r="B132" s="6062">
        <f t="shared" si="20"/>
        <v>0</v>
      </c>
      <c r="C132" s="6063">
        <f>SUM(E132+G132+I132+K132+M132+O132+Q132+S132+U132+W132+Y132+AA132+AC132+AE132+AG132+AI132)</f>
        <v>0</v>
      </c>
      <c r="D132" s="6058">
        <f>SUM(F132+H132+J132+L132+N132+P132+R132+T132+V132+X132+Z132+AB132+AD132+AF132+AH132+AJ132)</f>
        <v>0</v>
      </c>
      <c r="E132" s="5476"/>
      <c r="F132" s="5478"/>
      <c r="G132" s="5476"/>
      <c r="H132" s="5477"/>
      <c r="I132" s="5479"/>
      <c r="J132" s="5483"/>
      <c r="K132" s="5476"/>
      <c r="L132" s="5477"/>
      <c r="M132" s="5479"/>
      <c r="N132" s="5483"/>
      <c r="O132" s="5476"/>
      <c r="P132" s="5477"/>
      <c r="Q132" s="5479"/>
      <c r="R132" s="5483"/>
      <c r="S132" s="5476"/>
      <c r="T132" s="5477"/>
      <c r="U132" s="5479"/>
      <c r="V132" s="5483"/>
      <c r="W132" s="5476"/>
      <c r="X132" s="5477"/>
      <c r="Y132" s="5479"/>
      <c r="Z132" s="5483"/>
      <c r="AA132" s="5476"/>
      <c r="AB132" s="5477"/>
      <c r="AC132" s="5479"/>
      <c r="AD132" s="5483"/>
      <c r="AE132" s="5919"/>
      <c r="AF132" s="5477"/>
      <c r="AG132" s="5479"/>
      <c r="AH132" s="5483"/>
      <c r="AI132" s="5919"/>
      <c r="AJ132" s="6067"/>
      <c r="AK132" s="6066"/>
      <c r="BW132" s="4653"/>
      <c r="BX132" s="4653"/>
    </row>
    <row r="133" spans="1:84" ht="16.149999999999999" customHeight="1" x14ac:dyDescent="0.2">
      <c r="A133" s="6061" t="s">
        <v>1965</v>
      </c>
      <c r="B133" s="6062">
        <f t="shared" si="20"/>
        <v>0</v>
      </c>
      <c r="C133" s="6063">
        <f>SUM(S133+U133+W133+Y133+AA133+AC133+AE133+AG133+AI133)</f>
        <v>0</v>
      </c>
      <c r="D133" s="6058">
        <f>SUM(T133+V133+X133+Z133+AB133+AD133+AF133+AH133+AJ133)</f>
        <v>0</v>
      </c>
      <c r="E133" s="5856"/>
      <c r="F133" s="5862"/>
      <c r="G133" s="5856"/>
      <c r="H133" s="5857"/>
      <c r="I133" s="5858"/>
      <c r="J133" s="5859"/>
      <c r="K133" s="5856"/>
      <c r="L133" s="5857"/>
      <c r="M133" s="5858"/>
      <c r="N133" s="5859"/>
      <c r="O133" s="5856"/>
      <c r="P133" s="5857"/>
      <c r="Q133" s="5858"/>
      <c r="R133" s="5859"/>
      <c r="S133" s="5476"/>
      <c r="T133" s="5477"/>
      <c r="U133" s="5479"/>
      <c r="V133" s="5483"/>
      <c r="W133" s="5476"/>
      <c r="X133" s="5477"/>
      <c r="Y133" s="5479"/>
      <c r="Z133" s="5483"/>
      <c r="AA133" s="5476"/>
      <c r="AB133" s="5477"/>
      <c r="AC133" s="5479"/>
      <c r="AD133" s="5483"/>
      <c r="AE133" s="5919"/>
      <c r="AF133" s="5477"/>
      <c r="AG133" s="5479"/>
      <c r="AH133" s="5483"/>
      <c r="AI133" s="5919"/>
      <c r="AJ133" s="6067"/>
      <c r="AK133" s="6066"/>
      <c r="BW133" s="4653"/>
      <c r="BX133" s="4653"/>
    </row>
    <row r="134" spans="1:84" ht="16.149999999999999" customHeight="1" x14ac:dyDescent="0.2">
      <c r="A134" s="6068" t="s">
        <v>59</v>
      </c>
      <c r="B134" s="6062">
        <f t="shared" si="20"/>
        <v>0</v>
      </c>
      <c r="C134" s="6063">
        <f>SUM(E134+G134+I134+K134+M134+O134+Q134+S134+U134+W134+Y134+AA134+AC134+AE134+AG134+AI134)</f>
        <v>0</v>
      </c>
      <c r="D134" s="6058">
        <f>SUM(F134+H134+J134+L134+N134+P134+R134+T134+V134+X134+Z134+AB134+AD134+AF134+AH134+AJ134)</f>
        <v>0</v>
      </c>
      <c r="E134" s="5492"/>
      <c r="F134" s="5494"/>
      <c r="G134" s="5492"/>
      <c r="H134" s="5493"/>
      <c r="I134" s="5495"/>
      <c r="J134" s="5496"/>
      <c r="K134" s="5492"/>
      <c r="L134" s="5493"/>
      <c r="M134" s="5495"/>
      <c r="N134" s="5496"/>
      <c r="O134" s="5492"/>
      <c r="P134" s="5493"/>
      <c r="Q134" s="5495"/>
      <c r="R134" s="5496"/>
      <c r="S134" s="5492"/>
      <c r="T134" s="5493"/>
      <c r="U134" s="5495"/>
      <c r="V134" s="5496"/>
      <c r="W134" s="5492"/>
      <c r="X134" s="5493"/>
      <c r="Y134" s="5495"/>
      <c r="Z134" s="5496"/>
      <c r="AA134" s="5492"/>
      <c r="AB134" s="5493"/>
      <c r="AC134" s="5495"/>
      <c r="AD134" s="5496"/>
      <c r="AE134" s="5908"/>
      <c r="AF134" s="5493"/>
      <c r="AG134" s="5495"/>
      <c r="AH134" s="5496"/>
      <c r="AI134" s="5908"/>
      <c r="AJ134" s="6069"/>
      <c r="AK134" s="4723"/>
      <c r="BW134" s="4653"/>
      <c r="BX134" s="4653"/>
    </row>
    <row r="135" spans="1:84" ht="16.149999999999999" customHeight="1" x14ac:dyDescent="0.2">
      <c r="A135" s="6070" t="s">
        <v>24</v>
      </c>
      <c r="B135" s="6071">
        <f t="shared" ref="B135:AJ135" si="21">SUM(B129:B134)</f>
        <v>0</v>
      </c>
      <c r="C135" s="6072">
        <f t="shared" si="21"/>
        <v>0</v>
      </c>
      <c r="D135" s="6073">
        <f t="shared" si="21"/>
        <v>0</v>
      </c>
      <c r="E135" s="6074">
        <f>SUM(E129:E134)</f>
        <v>0</v>
      </c>
      <c r="F135" s="6073">
        <f t="shared" si="21"/>
        <v>0</v>
      </c>
      <c r="G135" s="6074">
        <f>SUM(G129:G134)</f>
        <v>0</v>
      </c>
      <c r="H135" s="6073">
        <f t="shared" si="21"/>
        <v>0</v>
      </c>
      <c r="I135" s="6072">
        <f t="shared" si="21"/>
        <v>0</v>
      </c>
      <c r="J135" s="6075">
        <f t="shared" si="21"/>
        <v>0</v>
      </c>
      <c r="K135" s="6074">
        <f t="shared" si="21"/>
        <v>0</v>
      </c>
      <c r="L135" s="6076">
        <f t="shared" si="21"/>
        <v>0</v>
      </c>
      <c r="M135" s="6072">
        <f t="shared" si="21"/>
        <v>0</v>
      </c>
      <c r="N135" s="6076">
        <f t="shared" si="21"/>
        <v>0</v>
      </c>
      <c r="O135" s="6072">
        <f t="shared" si="21"/>
        <v>0</v>
      </c>
      <c r="P135" s="6076">
        <f t="shared" si="21"/>
        <v>0</v>
      </c>
      <c r="Q135" s="6072">
        <f t="shared" si="21"/>
        <v>0</v>
      </c>
      <c r="R135" s="6075">
        <f t="shared" si="21"/>
        <v>0</v>
      </c>
      <c r="S135" s="6074">
        <f t="shared" si="21"/>
        <v>0</v>
      </c>
      <c r="T135" s="6076">
        <f t="shared" si="21"/>
        <v>0</v>
      </c>
      <c r="U135" s="6072">
        <f t="shared" si="21"/>
        <v>0</v>
      </c>
      <c r="V135" s="6075">
        <f t="shared" si="21"/>
        <v>0</v>
      </c>
      <c r="W135" s="6074">
        <f t="shared" si="21"/>
        <v>0</v>
      </c>
      <c r="X135" s="6076">
        <f t="shared" si="21"/>
        <v>0</v>
      </c>
      <c r="Y135" s="6072">
        <f t="shared" si="21"/>
        <v>0</v>
      </c>
      <c r="Z135" s="6075">
        <f t="shared" si="21"/>
        <v>0</v>
      </c>
      <c r="AA135" s="6074">
        <f t="shared" si="21"/>
        <v>0</v>
      </c>
      <c r="AB135" s="6076">
        <f t="shared" si="21"/>
        <v>0</v>
      </c>
      <c r="AC135" s="6072">
        <f t="shared" si="21"/>
        <v>0</v>
      </c>
      <c r="AD135" s="6075">
        <f t="shared" si="21"/>
        <v>0</v>
      </c>
      <c r="AE135" s="6074">
        <f t="shared" si="21"/>
        <v>0</v>
      </c>
      <c r="AF135" s="6076">
        <f t="shared" si="21"/>
        <v>0</v>
      </c>
      <c r="AG135" s="6072">
        <f t="shared" si="21"/>
        <v>0</v>
      </c>
      <c r="AH135" s="6075">
        <f t="shared" si="21"/>
        <v>0</v>
      </c>
      <c r="AI135" s="6077">
        <f t="shared" si="21"/>
        <v>0</v>
      </c>
      <c r="AJ135" s="6078">
        <f t="shared" si="21"/>
        <v>0</v>
      </c>
      <c r="AK135" s="6079">
        <f>SUM(AK129:AK134)</f>
        <v>0</v>
      </c>
      <c r="BW135" s="4653"/>
      <c r="BX135" s="4653"/>
    </row>
    <row r="136" spans="1:84" ht="18.75" customHeight="1" x14ac:dyDescent="0.2">
      <c r="A136" s="5510" t="s">
        <v>3606</v>
      </c>
      <c r="B136" s="6080"/>
      <c r="C136" s="6080"/>
      <c r="D136" s="6080"/>
      <c r="E136" s="5507"/>
      <c r="F136" s="5507"/>
      <c r="G136" s="5507"/>
      <c r="H136" s="5507"/>
      <c r="I136" s="5507"/>
      <c r="J136" s="5507"/>
      <c r="K136" s="5507"/>
      <c r="L136" s="4173"/>
      <c r="M136" s="4173"/>
      <c r="N136" s="4173"/>
      <c r="O136" s="6081"/>
      <c r="P136" s="4328"/>
      <c r="Q136" s="4328"/>
      <c r="R136" s="4328"/>
      <c r="S136" s="4328"/>
      <c r="T136" s="4328"/>
      <c r="U136" s="4328"/>
      <c r="V136" s="4328"/>
    </row>
    <row r="137" spans="1:84" ht="18.75" customHeight="1" x14ac:dyDescent="0.2">
      <c r="A137" s="9865" t="s">
        <v>3607</v>
      </c>
      <c r="B137" s="9865"/>
      <c r="C137" s="9865"/>
      <c r="D137" s="9865"/>
      <c r="E137" s="9865"/>
      <c r="F137" s="4328"/>
      <c r="G137" s="5507"/>
      <c r="H137" s="5507"/>
      <c r="I137" s="5507"/>
      <c r="J137" s="5507"/>
      <c r="K137" s="5507"/>
      <c r="L137" s="4173"/>
      <c r="M137" s="4173"/>
      <c r="N137" s="4173"/>
      <c r="O137" s="6081"/>
    </row>
    <row r="138" spans="1:84" ht="18" customHeight="1" x14ac:dyDescent="0.2">
      <c r="A138" s="9801" t="s">
        <v>1956</v>
      </c>
      <c r="B138" s="9803" t="s">
        <v>24</v>
      </c>
      <c r="C138" s="9803"/>
      <c r="D138" s="9804"/>
      <c r="E138" s="9845" t="s">
        <v>2</v>
      </c>
      <c r="F138" s="9846"/>
      <c r="G138" s="9846"/>
      <c r="H138" s="9846"/>
      <c r="I138" s="9846"/>
      <c r="J138" s="9846"/>
      <c r="K138" s="9846"/>
      <c r="L138" s="9846"/>
      <c r="M138" s="9846"/>
      <c r="N138" s="9846"/>
      <c r="O138" s="9846"/>
      <c r="P138" s="9846"/>
      <c r="Q138" s="9846"/>
      <c r="R138" s="9846"/>
      <c r="S138" s="9846"/>
      <c r="T138" s="9846"/>
      <c r="U138" s="9846"/>
      <c r="V138" s="9846"/>
      <c r="W138" s="9846"/>
      <c r="X138" s="9846"/>
      <c r="Y138" s="9846"/>
      <c r="Z138" s="9846"/>
      <c r="AA138" s="9846"/>
      <c r="AB138" s="9846"/>
      <c r="AC138" s="9846"/>
      <c r="AD138" s="9846"/>
      <c r="AE138" s="9846"/>
      <c r="AF138" s="9846"/>
      <c r="AG138" s="9846"/>
      <c r="AH138" s="9846"/>
      <c r="AI138" s="9846"/>
      <c r="AJ138" s="9873"/>
      <c r="BX138" s="4653"/>
    </row>
    <row r="139" spans="1:84" ht="12" customHeight="1" x14ac:dyDescent="0.2">
      <c r="A139" s="8628"/>
      <c r="B139" s="9806"/>
      <c r="C139" s="9806"/>
      <c r="D139" s="9807"/>
      <c r="E139" s="9822" t="s">
        <v>1909</v>
      </c>
      <c r="F139" s="9823"/>
      <c r="G139" s="9822" t="s">
        <v>1910</v>
      </c>
      <c r="H139" s="9823"/>
      <c r="I139" s="9819" t="s">
        <v>1911</v>
      </c>
      <c r="J139" s="9819"/>
      <c r="K139" s="9822" t="s">
        <v>1912</v>
      </c>
      <c r="L139" s="9823"/>
      <c r="M139" s="9820" t="s">
        <v>1913</v>
      </c>
      <c r="N139" s="9820"/>
      <c r="O139" s="9821" t="s">
        <v>1914</v>
      </c>
      <c r="P139" s="9801"/>
      <c r="Q139" s="9820" t="s">
        <v>1915</v>
      </c>
      <c r="R139" s="9820"/>
      <c r="S139" s="9821" t="s">
        <v>124</v>
      </c>
      <c r="T139" s="9801"/>
      <c r="U139" s="9820" t="s">
        <v>125</v>
      </c>
      <c r="V139" s="9820"/>
      <c r="W139" s="9821" t="s">
        <v>126</v>
      </c>
      <c r="X139" s="9801"/>
      <c r="Y139" s="9820" t="s">
        <v>127</v>
      </c>
      <c r="Z139" s="9820"/>
      <c r="AA139" s="9821" t="s">
        <v>128</v>
      </c>
      <c r="AB139" s="9801"/>
      <c r="AC139" s="9820" t="s">
        <v>129</v>
      </c>
      <c r="AD139" s="9820"/>
      <c r="AE139" s="9821" t="s">
        <v>130</v>
      </c>
      <c r="AF139" s="9801"/>
      <c r="AG139" s="9820" t="s">
        <v>131</v>
      </c>
      <c r="AH139" s="9820"/>
      <c r="AI139" s="9848" t="s">
        <v>1916</v>
      </c>
      <c r="AJ139" s="9874"/>
      <c r="BX139" s="4653"/>
    </row>
    <row r="140" spans="1:84" ht="15" customHeight="1" x14ac:dyDescent="0.2">
      <c r="A140" s="8629"/>
      <c r="B140" s="4940" t="s">
        <v>42</v>
      </c>
      <c r="C140" s="5932" t="s">
        <v>17</v>
      </c>
      <c r="D140" s="4940" t="s">
        <v>18</v>
      </c>
      <c r="E140" s="5879" t="s">
        <v>17</v>
      </c>
      <c r="F140" s="4940" t="s">
        <v>18</v>
      </c>
      <c r="G140" s="5879" t="s">
        <v>17</v>
      </c>
      <c r="H140" s="4940" t="s">
        <v>18</v>
      </c>
      <c r="I140" s="5932" t="s">
        <v>17</v>
      </c>
      <c r="J140" s="6002" t="s">
        <v>18</v>
      </c>
      <c r="K140" s="5879" t="s">
        <v>17</v>
      </c>
      <c r="L140" s="4940" t="s">
        <v>18</v>
      </c>
      <c r="M140" s="5932" t="s">
        <v>17</v>
      </c>
      <c r="N140" s="6002" t="s">
        <v>18</v>
      </c>
      <c r="O140" s="5879" t="s">
        <v>17</v>
      </c>
      <c r="P140" s="4940" t="s">
        <v>18</v>
      </c>
      <c r="Q140" s="5932" t="s">
        <v>17</v>
      </c>
      <c r="R140" s="6002" t="s">
        <v>18</v>
      </c>
      <c r="S140" s="5879" t="s">
        <v>17</v>
      </c>
      <c r="T140" s="4940" t="s">
        <v>18</v>
      </c>
      <c r="U140" s="5932" t="s">
        <v>17</v>
      </c>
      <c r="V140" s="6002" t="s">
        <v>18</v>
      </c>
      <c r="W140" s="5879" t="s">
        <v>17</v>
      </c>
      <c r="X140" s="4940" t="s">
        <v>18</v>
      </c>
      <c r="Y140" s="5932" t="s">
        <v>17</v>
      </c>
      <c r="Z140" s="6002" t="s">
        <v>18</v>
      </c>
      <c r="AA140" s="5879" t="s">
        <v>17</v>
      </c>
      <c r="AB140" s="4940" t="s">
        <v>18</v>
      </c>
      <c r="AC140" s="5932" t="s">
        <v>17</v>
      </c>
      <c r="AD140" s="6002" t="s">
        <v>18</v>
      </c>
      <c r="AE140" s="5879" t="s">
        <v>17</v>
      </c>
      <c r="AF140" s="4940" t="s">
        <v>18</v>
      </c>
      <c r="AG140" s="5932" t="s">
        <v>17</v>
      </c>
      <c r="AH140" s="6002" t="s">
        <v>18</v>
      </c>
      <c r="AI140" s="5879" t="s">
        <v>17</v>
      </c>
      <c r="AJ140" s="4940" t="s">
        <v>18</v>
      </c>
      <c r="BW140" s="4653"/>
      <c r="BX140" s="4653"/>
    </row>
    <row r="141" spans="1:84" ht="16.149999999999999" customHeight="1" x14ac:dyDescent="0.2">
      <c r="A141" s="6082" t="s">
        <v>1966</v>
      </c>
      <c r="B141" s="6083">
        <f t="shared" ref="B141:B146" si="22">SUM(C141+D141)</f>
        <v>0</v>
      </c>
      <c r="C141" s="6063">
        <f t="shared" ref="C141:D146" si="23">SUM(E141+G141+I141+K141+M141+O141+Q141+S141+U141+W141+Y141+AA141+AC141+AE141+AG141+AI141)</f>
        <v>0</v>
      </c>
      <c r="D141" s="6058">
        <f t="shared" si="23"/>
        <v>0</v>
      </c>
      <c r="E141" s="5444"/>
      <c r="F141" s="5460"/>
      <c r="G141" s="5444"/>
      <c r="H141" s="5460"/>
      <c r="I141" s="5444"/>
      <c r="J141" s="5460"/>
      <c r="K141" s="5444"/>
      <c r="L141" s="5460"/>
      <c r="M141" s="5444"/>
      <c r="N141" s="5460"/>
      <c r="O141" s="5444"/>
      <c r="P141" s="5460"/>
      <c r="Q141" s="5444"/>
      <c r="R141" s="5460"/>
      <c r="S141" s="5444"/>
      <c r="T141" s="5460"/>
      <c r="U141" s="5444"/>
      <c r="V141" s="5460"/>
      <c r="W141" s="5444"/>
      <c r="X141" s="5460"/>
      <c r="Y141" s="5444"/>
      <c r="Z141" s="5460"/>
      <c r="AA141" s="5444"/>
      <c r="AB141" s="5460"/>
      <c r="AC141" s="5444"/>
      <c r="AD141" s="5460"/>
      <c r="AE141" s="5444"/>
      <c r="AF141" s="5460"/>
      <c r="AG141" s="5444"/>
      <c r="AH141" s="5460"/>
      <c r="AI141" s="5444"/>
      <c r="AJ141" s="5460"/>
      <c r="BW141" s="4653"/>
      <c r="BX141" s="4653"/>
    </row>
    <row r="142" spans="1:84" ht="16.149999999999999" customHeight="1" x14ac:dyDescent="0.2">
      <c r="A142" s="4840" t="s">
        <v>138</v>
      </c>
      <c r="B142" s="6084">
        <f t="shared" si="22"/>
        <v>0</v>
      </c>
      <c r="C142" s="6063">
        <f t="shared" si="23"/>
        <v>0</v>
      </c>
      <c r="D142" s="6058">
        <f t="shared" si="23"/>
        <v>0</v>
      </c>
      <c r="E142" s="5454"/>
      <c r="F142" s="5455"/>
      <c r="G142" s="5454"/>
      <c r="H142" s="5455"/>
      <c r="I142" s="5454"/>
      <c r="J142" s="5455"/>
      <c r="K142" s="5454"/>
      <c r="L142" s="5455"/>
      <c r="M142" s="5454"/>
      <c r="N142" s="5455"/>
      <c r="O142" s="5454"/>
      <c r="P142" s="5455"/>
      <c r="Q142" s="5454"/>
      <c r="R142" s="5455"/>
      <c r="S142" s="5454"/>
      <c r="T142" s="5455"/>
      <c r="U142" s="5454"/>
      <c r="V142" s="5455"/>
      <c r="W142" s="5454"/>
      <c r="X142" s="5455"/>
      <c r="Y142" s="5454"/>
      <c r="Z142" s="5455"/>
      <c r="AA142" s="5454"/>
      <c r="AB142" s="5455"/>
      <c r="AC142" s="5454"/>
      <c r="AD142" s="5455"/>
      <c r="AE142" s="5454"/>
      <c r="AF142" s="5455"/>
      <c r="AG142" s="5454"/>
      <c r="AH142" s="5455"/>
      <c r="AI142" s="5454"/>
      <c r="AJ142" s="5455"/>
      <c r="BW142" s="4653"/>
      <c r="BX142" s="4653"/>
    </row>
    <row r="143" spans="1:84" ht="11.45" customHeight="1" x14ac:dyDescent="0.2">
      <c r="A143" s="5517" t="s">
        <v>1967</v>
      </c>
      <c r="B143" s="6084">
        <f t="shared" si="22"/>
        <v>0</v>
      </c>
      <c r="C143" s="6063">
        <f t="shared" si="23"/>
        <v>0</v>
      </c>
      <c r="D143" s="6058">
        <f t="shared" si="23"/>
        <v>0</v>
      </c>
      <c r="E143" s="5454"/>
      <c r="F143" s="5455"/>
      <c r="G143" s="5454"/>
      <c r="H143" s="5455"/>
      <c r="I143" s="5454"/>
      <c r="J143" s="5455"/>
      <c r="K143" s="5454"/>
      <c r="L143" s="5455"/>
      <c r="M143" s="5454"/>
      <c r="N143" s="5455"/>
      <c r="O143" s="5454"/>
      <c r="P143" s="5455"/>
      <c r="Q143" s="5454"/>
      <c r="R143" s="5455"/>
      <c r="S143" s="5454"/>
      <c r="T143" s="5455"/>
      <c r="U143" s="5454"/>
      <c r="V143" s="5455"/>
      <c r="W143" s="5454"/>
      <c r="X143" s="5455"/>
      <c r="Y143" s="5454"/>
      <c r="Z143" s="5455"/>
      <c r="AA143" s="5454"/>
      <c r="AB143" s="5455"/>
      <c r="AC143" s="5454"/>
      <c r="AD143" s="5455"/>
      <c r="AE143" s="5454"/>
      <c r="AF143" s="5455"/>
      <c r="AG143" s="5454"/>
      <c r="AH143" s="4530"/>
      <c r="AI143" s="5454"/>
      <c r="AJ143" s="5455"/>
      <c r="BW143" s="4653"/>
      <c r="BX143" s="4653"/>
      <c r="CF143" s="4688">
        <v>0</v>
      </c>
    </row>
    <row r="144" spans="1:84" ht="15.75" customHeight="1" x14ac:dyDescent="0.2">
      <c r="A144" s="4840" t="s">
        <v>1968</v>
      </c>
      <c r="B144" s="6084">
        <f t="shared" si="22"/>
        <v>0</v>
      </c>
      <c r="C144" s="6063">
        <f t="shared" si="23"/>
        <v>0</v>
      </c>
      <c r="D144" s="6058">
        <f t="shared" si="23"/>
        <v>0</v>
      </c>
      <c r="E144" s="5454"/>
      <c r="F144" s="5455"/>
      <c r="G144" s="5454"/>
      <c r="H144" s="5455"/>
      <c r="I144" s="5454"/>
      <c r="J144" s="5455"/>
      <c r="K144" s="5454"/>
      <c r="L144" s="5455"/>
      <c r="M144" s="5454"/>
      <c r="N144" s="5455"/>
      <c r="O144" s="5454"/>
      <c r="P144" s="5455"/>
      <c r="Q144" s="5454"/>
      <c r="R144" s="5455"/>
      <c r="S144" s="5454"/>
      <c r="T144" s="5455"/>
      <c r="U144" s="5454"/>
      <c r="V144" s="5455"/>
      <c r="W144" s="5454"/>
      <c r="X144" s="5455"/>
      <c r="Y144" s="5454"/>
      <c r="Z144" s="5455"/>
      <c r="AA144" s="5454"/>
      <c r="AB144" s="5455"/>
      <c r="AC144" s="5454"/>
      <c r="AD144" s="5455"/>
      <c r="AE144" s="5454"/>
      <c r="AF144" s="5455"/>
      <c r="AG144" s="5454"/>
      <c r="AH144" s="5455"/>
      <c r="AI144" s="5454"/>
      <c r="AJ144" s="5455"/>
      <c r="BW144" s="4653"/>
      <c r="BX144" s="4653"/>
      <c r="CF144" s="4688">
        <v>0</v>
      </c>
    </row>
    <row r="145" spans="1:85" ht="16.149999999999999" customHeight="1" x14ac:dyDescent="0.2">
      <c r="A145" s="4840" t="s">
        <v>1969</v>
      </c>
      <c r="B145" s="6084">
        <f t="shared" si="22"/>
        <v>0</v>
      </c>
      <c r="C145" s="6063">
        <f t="shared" si="23"/>
        <v>0</v>
      </c>
      <c r="D145" s="6058">
        <f t="shared" si="23"/>
        <v>0</v>
      </c>
      <c r="E145" s="5454"/>
      <c r="F145" s="5455"/>
      <c r="G145" s="5454"/>
      <c r="H145" s="5455"/>
      <c r="I145" s="5454"/>
      <c r="J145" s="5455"/>
      <c r="K145" s="5454"/>
      <c r="L145" s="5455"/>
      <c r="M145" s="5454"/>
      <c r="N145" s="5455"/>
      <c r="O145" s="5454"/>
      <c r="P145" s="5455"/>
      <c r="Q145" s="5454"/>
      <c r="R145" s="5455"/>
      <c r="S145" s="5454"/>
      <c r="T145" s="5455"/>
      <c r="U145" s="5454"/>
      <c r="V145" s="5455"/>
      <c r="W145" s="5454"/>
      <c r="X145" s="5455"/>
      <c r="Y145" s="5454"/>
      <c r="Z145" s="5455"/>
      <c r="AA145" s="5454"/>
      <c r="AB145" s="5455"/>
      <c r="AC145" s="5454"/>
      <c r="AD145" s="5455"/>
      <c r="AE145" s="5454"/>
      <c r="AF145" s="5455"/>
      <c r="AG145" s="5454"/>
      <c r="AH145" s="5455"/>
      <c r="AI145" s="5454"/>
      <c r="AJ145" s="5455"/>
      <c r="BW145" s="4653"/>
      <c r="BX145" s="4653"/>
      <c r="CF145" s="4688">
        <v>0</v>
      </c>
    </row>
    <row r="146" spans="1:85" ht="12" customHeight="1" x14ac:dyDescent="0.2">
      <c r="A146" s="5520" t="s">
        <v>28</v>
      </c>
      <c r="B146" s="6084">
        <f t="shared" si="22"/>
        <v>0</v>
      </c>
      <c r="C146" s="6063">
        <f t="shared" si="23"/>
        <v>0</v>
      </c>
      <c r="D146" s="6058">
        <f t="shared" si="23"/>
        <v>0</v>
      </c>
      <c r="E146" s="5454"/>
      <c r="F146" s="5455"/>
      <c r="G146" s="5454"/>
      <c r="H146" s="5455"/>
      <c r="I146" s="5454"/>
      <c r="J146" s="5455"/>
      <c r="K146" s="5454"/>
      <c r="L146" s="5455"/>
      <c r="M146" s="5454"/>
      <c r="N146" s="5455"/>
      <c r="O146" s="5454"/>
      <c r="P146" s="5455"/>
      <c r="Q146" s="5454"/>
      <c r="R146" s="5455"/>
      <c r="S146" s="5454"/>
      <c r="T146" s="5455"/>
      <c r="U146" s="5454"/>
      <c r="V146" s="5455"/>
      <c r="W146" s="5454"/>
      <c r="X146" s="5455"/>
      <c r="Y146" s="5454"/>
      <c r="Z146" s="5455"/>
      <c r="AA146" s="5454"/>
      <c r="AB146" s="5455"/>
      <c r="AC146" s="5454"/>
      <c r="AD146" s="5455"/>
      <c r="AE146" s="5454"/>
      <c r="AF146" s="5455"/>
      <c r="AG146" s="5454"/>
      <c r="AH146" s="5455"/>
      <c r="AI146" s="5454"/>
      <c r="AJ146" s="5455"/>
      <c r="BW146" s="4653"/>
      <c r="BX146" s="4653"/>
      <c r="CF146" s="4688">
        <v>0</v>
      </c>
    </row>
    <row r="147" spans="1:85" ht="16.149999999999999" customHeight="1" x14ac:dyDescent="0.2">
      <c r="A147" s="6018" t="s">
        <v>24</v>
      </c>
      <c r="B147" s="5433">
        <f>SUM(B141:B146)</f>
        <v>0</v>
      </c>
      <c r="C147" s="5431">
        <f>SUM(C141:C146)</f>
        <v>0</v>
      </c>
      <c r="D147" s="5433">
        <f>SUM(D141:D146)</f>
        <v>0</v>
      </c>
      <c r="E147" s="5431">
        <f>SUM(E141:E146)</f>
        <v>0</v>
      </c>
      <c r="F147" s="5451">
        <f t="shared" ref="F147:AJ147" si="24">SUM(F141:F146)</f>
        <v>0</v>
      </c>
      <c r="G147" s="5431">
        <f t="shared" si="24"/>
        <v>0</v>
      </c>
      <c r="H147" s="5451">
        <f t="shared" si="24"/>
        <v>0</v>
      </c>
      <c r="I147" s="5431">
        <f t="shared" si="24"/>
        <v>0</v>
      </c>
      <c r="J147" s="5451">
        <f t="shared" si="24"/>
        <v>0</v>
      </c>
      <c r="K147" s="5431">
        <f t="shared" si="24"/>
        <v>0</v>
      </c>
      <c r="L147" s="5451">
        <f t="shared" si="24"/>
        <v>0</v>
      </c>
      <c r="M147" s="5431">
        <f t="shared" si="24"/>
        <v>0</v>
      </c>
      <c r="N147" s="5451">
        <f t="shared" si="24"/>
        <v>0</v>
      </c>
      <c r="O147" s="5431">
        <f t="shared" si="24"/>
        <v>0</v>
      </c>
      <c r="P147" s="5451">
        <f t="shared" si="24"/>
        <v>0</v>
      </c>
      <c r="Q147" s="5431">
        <f t="shared" si="24"/>
        <v>0</v>
      </c>
      <c r="R147" s="5451">
        <f t="shared" si="24"/>
        <v>0</v>
      </c>
      <c r="S147" s="5431">
        <f t="shared" si="24"/>
        <v>0</v>
      </c>
      <c r="T147" s="5451">
        <f t="shared" si="24"/>
        <v>0</v>
      </c>
      <c r="U147" s="5431">
        <f t="shared" si="24"/>
        <v>0</v>
      </c>
      <c r="V147" s="5451">
        <f t="shared" si="24"/>
        <v>0</v>
      </c>
      <c r="W147" s="5431">
        <f t="shared" si="24"/>
        <v>0</v>
      </c>
      <c r="X147" s="5451">
        <f t="shared" si="24"/>
        <v>0</v>
      </c>
      <c r="Y147" s="5431">
        <f t="shared" si="24"/>
        <v>0</v>
      </c>
      <c r="Z147" s="5451">
        <f t="shared" si="24"/>
        <v>0</v>
      </c>
      <c r="AA147" s="5431">
        <f t="shared" si="24"/>
        <v>0</v>
      </c>
      <c r="AB147" s="5451">
        <f t="shared" si="24"/>
        <v>0</v>
      </c>
      <c r="AC147" s="5431">
        <f t="shared" si="24"/>
        <v>0</v>
      </c>
      <c r="AD147" s="5451">
        <f t="shared" si="24"/>
        <v>0</v>
      </c>
      <c r="AE147" s="5431">
        <f t="shared" si="24"/>
        <v>0</v>
      </c>
      <c r="AF147" s="5451">
        <f t="shared" si="24"/>
        <v>0</v>
      </c>
      <c r="AG147" s="5431">
        <f t="shared" si="24"/>
        <v>0</v>
      </c>
      <c r="AH147" s="5451">
        <f t="shared" si="24"/>
        <v>0</v>
      </c>
      <c r="AI147" s="5431">
        <f t="shared" si="24"/>
        <v>0</v>
      </c>
      <c r="AJ147" s="5451">
        <f t="shared" si="24"/>
        <v>0</v>
      </c>
      <c r="BW147" s="4653"/>
      <c r="BX147" s="4653"/>
      <c r="CF147" s="4688">
        <v>0</v>
      </c>
    </row>
    <row r="148" spans="1:85" ht="31.9" customHeight="1" x14ac:dyDescent="0.2">
      <c r="A148" s="6085" t="s">
        <v>3608</v>
      </c>
      <c r="B148" s="6085"/>
      <c r="C148" s="6085"/>
      <c r="D148" s="6085"/>
      <c r="E148" s="6040"/>
      <c r="F148" s="6040"/>
      <c r="G148" s="6040"/>
      <c r="H148" s="5507"/>
      <c r="I148" s="5507"/>
      <c r="J148" s="5507"/>
      <c r="K148" s="5507"/>
      <c r="L148" s="4173"/>
      <c r="M148" s="4173"/>
      <c r="N148" s="4173"/>
      <c r="O148" s="6081"/>
      <c r="CG148" s="4688">
        <v>0</v>
      </c>
    </row>
    <row r="149" spans="1:85" ht="36" customHeight="1" x14ac:dyDescent="0.2">
      <c r="A149" s="9871" t="s">
        <v>132</v>
      </c>
      <c r="B149" s="9872"/>
      <c r="C149" s="6086" t="s">
        <v>2802</v>
      </c>
      <c r="D149" s="5509" t="s">
        <v>2801</v>
      </c>
      <c r="E149" s="4627"/>
      <c r="F149" s="4627"/>
      <c r="G149" s="4627"/>
      <c r="H149" s="4627"/>
      <c r="I149" s="4627"/>
      <c r="J149" s="4627"/>
      <c r="K149" s="4627"/>
      <c r="L149" s="4627"/>
      <c r="M149" s="4657"/>
      <c r="N149" s="4657"/>
      <c r="O149" s="4657"/>
      <c r="P149" s="4657"/>
      <c r="Q149" s="4657"/>
      <c r="R149" s="4657"/>
      <c r="S149" s="4657"/>
      <c r="T149" s="4657"/>
      <c r="BV149" s="4653"/>
      <c r="BW149" s="4653"/>
      <c r="BX149" s="4653" t="s">
        <v>2112</v>
      </c>
      <c r="CF149" s="4688">
        <v>0</v>
      </c>
    </row>
    <row r="150" spans="1:85" ht="16.149999999999999" customHeight="1" x14ac:dyDescent="0.2">
      <c r="A150" s="9866" t="s">
        <v>1968</v>
      </c>
      <c r="B150" s="6087" t="s">
        <v>1970</v>
      </c>
      <c r="C150" s="5842"/>
      <c r="D150" s="6088"/>
      <c r="E150" s="5962"/>
      <c r="F150" s="4684"/>
      <c r="G150" s="4684"/>
      <c r="H150" s="4684"/>
      <c r="I150" s="4684"/>
      <c r="J150" s="4684"/>
      <c r="K150" s="4684"/>
      <c r="L150" s="4684"/>
      <c r="M150" s="4684"/>
      <c r="N150" s="4684"/>
      <c r="O150" s="4684"/>
      <c r="P150" s="4684"/>
      <c r="Q150" s="4627"/>
      <c r="R150" s="4627"/>
      <c r="S150" s="4657"/>
      <c r="T150" s="4657"/>
      <c r="BV150" s="4653"/>
      <c r="BW150" s="4653"/>
      <c r="BX150" s="4653"/>
      <c r="CD150" s="4688">
        <v>0</v>
      </c>
      <c r="CF150" s="4688">
        <v>0</v>
      </c>
    </row>
    <row r="151" spans="1:85" ht="16.149999999999999" customHeight="1" x14ac:dyDescent="0.2">
      <c r="A151" s="9867"/>
      <c r="B151" s="6089" t="s">
        <v>1971</v>
      </c>
      <c r="C151" s="5476"/>
      <c r="D151" s="5482"/>
      <c r="E151" s="5962"/>
      <c r="F151" s="4684"/>
      <c r="G151" s="4684"/>
      <c r="H151" s="4684"/>
      <c r="I151" s="4684"/>
      <c r="J151" s="4684"/>
      <c r="K151" s="4684"/>
      <c r="L151" s="4684"/>
      <c r="M151" s="4684"/>
      <c r="N151" s="4684"/>
      <c r="O151" s="4684"/>
      <c r="P151" s="4684"/>
      <c r="Q151" s="4627"/>
      <c r="R151" s="4627"/>
      <c r="S151" s="4657"/>
      <c r="T151" s="4657"/>
      <c r="BV151" s="4653"/>
      <c r="BW151" s="4653"/>
      <c r="BX151" s="4653"/>
      <c r="CD151" s="4688">
        <v>0</v>
      </c>
      <c r="CF151" s="4688">
        <v>0</v>
      </c>
    </row>
    <row r="152" spans="1:85" ht="16.149999999999999" customHeight="1" x14ac:dyDescent="0.2">
      <c r="A152" s="9867"/>
      <c r="B152" s="6089" t="s">
        <v>1197</v>
      </c>
      <c r="C152" s="5476"/>
      <c r="D152" s="5482"/>
      <c r="E152" s="5962"/>
      <c r="F152" s="4684"/>
      <c r="G152" s="4684"/>
      <c r="H152" s="4684"/>
      <c r="I152" s="4684"/>
      <c r="J152" s="4684"/>
      <c r="K152" s="4684"/>
      <c r="L152" s="4684"/>
      <c r="M152" s="4684"/>
      <c r="N152" s="4684"/>
      <c r="O152" s="4684"/>
      <c r="P152" s="4684"/>
      <c r="Q152" s="4627"/>
      <c r="R152" s="4627"/>
      <c r="S152" s="4657"/>
      <c r="T152" s="4657"/>
      <c r="BV152" s="4653"/>
      <c r="BW152" s="4653"/>
      <c r="BX152" s="4653"/>
      <c r="CD152" s="4688">
        <v>0</v>
      </c>
    </row>
    <row r="153" spans="1:85" ht="16.149999999999999" customHeight="1" x14ac:dyDescent="0.2">
      <c r="A153" s="9868"/>
      <c r="B153" s="6090" t="s">
        <v>1972</v>
      </c>
      <c r="C153" s="5492"/>
      <c r="D153" s="5493"/>
      <c r="E153" s="5962"/>
      <c r="F153" s="4684"/>
      <c r="G153" s="4684"/>
      <c r="H153" s="4684"/>
      <c r="I153" s="4684"/>
      <c r="J153" s="4684"/>
      <c r="K153" s="4684"/>
      <c r="L153" s="4684"/>
      <c r="M153" s="4684"/>
      <c r="N153" s="4684"/>
      <c r="O153" s="4684"/>
      <c r="P153" s="4684"/>
      <c r="Q153" s="4627"/>
      <c r="R153" s="4627"/>
      <c r="S153" s="4657"/>
      <c r="T153" s="4657"/>
      <c r="BV153" s="4653"/>
      <c r="BW153" s="4653"/>
      <c r="BX153" s="4653"/>
      <c r="CD153" s="4688">
        <v>0</v>
      </c>
    </row>
    <row r="154" spans="1:85" ht="16.149999999999999" customHeight="1" x14ac:dyDescent="0.2">
      <c r="A154" s="9866" t="s">
        <v>1966</v>
      </c>
      <c r="B154" s="6087" t="s">
        <v>1970</v>
      </c>
      <c r="C154" s="5471"/>
      <c r="D154" s="6091"/>
      <c r="E154" s="5962"/>
      <c r="F154" s="4684"/>
      <c r="G154" s="4684"/>
      <c r="H154" s="4684"/>
      <c r="I154" s="4684"/>
      <c r="J154" s="4684"/>
      <c r="K154" s="4684"/>
      <c r="L154" s="4684"/>
      <c r="M154" s="4684"/>
      <c r="N154" s="4684"/>
      <c r="O154" s="4684"/>
      <c r="P154" s="4684"/>
      <c r="Q154" s="4627"/>
      <c r="R154" s="4627"/>
      <c r="S154" s="4657"/>
      <c r="T154" s="4657"/>
      <c r="BV154" s="4653"/>
      <c r="BW154" s="4653"/>
      <c r="BX154" s="4653"/>
      <c r="CD154" s="4688">
        <v>0</v>
      </c>
    </row>
    <row r="155" spans="1:85" ht="16.149999999999999" customHeight="1" x14ac:dyDescent="0.2">
      <c r="A155" s="9867"/>
      <c r="B155" s="6089" t="s">
        <v>1971</v>
      </c>
      <c r="C155" s="5476"/>
      <c r="D155" s="5477"/>
      <c r="E155" s="6092"/>
      <c r="F155" s="4684"/>
      <c r="G155" s="4684"/>
      <c r="H155" s="4684"/>
      <c r="I155" s="4684"/>
      <c r="J155" s="4684"/>
      <c r="K155" s="4684"/>
      <c r="L155" s="4684"/>
      <c r="M155" s="4684"/>
      <c r="N155" s="4684"/>
      <c r="O155" s="4684"/>
      <c r="P155" s="4684"/>
      <c r="Q155" s="4627"/>
      <c r="R155" s="4627"/>
      <c r="S155" s="4657"/>
      <c r="T155" s="4657"/>
      <c r="BV155" s="4653"/>
      <c r="BW155" s="4653"/>
      <c r="BX155" s="4653"/>
      <c r="CD155" s="4688">
        <v>0</v>
      </c>
    </row>
    <row r="156" spans="1:85" ht="16.149999999999999" customHeight="1" x14ac:dyDescent="0.2">
      <c r="A156" s="9867"/>
      <c r="B156" s="6089" t="s">
        <v>1197</v>
      </c>
      <c r="C156" s="5476"/>
      <c r="D156" s="5477"/>
      <c r="E156" s="6092"/>
      <c r="F156" s="4684"/>
      <c r="G156" s="4684"/>
      <c r="H156" s="4684"/>
      <c r="I156" s="4684"/>
      <c r="J156" s="4684"/>
      <c r="K156" s="4684"/>
      <c r="L156" s="4684"/>
      <c r="M156" s="4684"/>
      <c r="N156" s="4684"/>
      <c r="O156" s="4684"/>
      <c r="P156" s="4684"/>
      <c r="Q156" s="4627"/>
      <c r="R156" s="4627"/>
      <c r="S156" s="4657"/>
      <c r="T156" s="4657"/>
      <c r="BV156" s="4653"/>
      <c r="BW156" s="4653"/>
      <c r="BX156" s="4653"/>
      <c r="CD156" s="4688">
        <v>0</v>
      </c>
    </row>
    <row r="157" spans="1:85" ht="16.149999999999999" customHeight="1" x14ac:dyDescent="0.2">
      <c r="A157" s="9868"/>
      <c r="B157" s="6090" t="s">
        <v>1972</v>
      </c>
      <c r="C157" s="5492"/>
      <c r="D157" s="5493"/>
      <c r="E157" s="6092"/>
      <c r="F157" s="4684"/>
      <c r="G157" s="4684"/>
      <c r="H157" s="4684"/>
      <c r="I157" s="4684"/>
      <c r="J157" s="4684"/>
      <c r="K157" s="4684"/>
      <c r="L157" s="4684"/>
      <c r="M157" s="4684"/>
      <c r="N157" s="4684"/>
      <c r="O157" s="4684"/>
      <c r="P157" s="4684"/>
      <c r="Q157" s="4627"/>
      <c r="R157" s="4627"/>
      <c r="S157" s="4657"/>
      <c r="T157" s="4657"/>
      <c r="BV157" s="4653"/>
      <c r="BW157" s="4653"/>
      <c r="BX157" s="4653"/>
      <c r="CD157" s="4688">
        <v>0</v>
      </c>
    </row>
    <row r="158" spans="1:85" ht="16.149999999999999" customHeight="1" x14ac:dyDescent="0.2">
      <c r="A158" s="9850" t="s">
        <v>24</v>
      </c>
      <c r="B158" s="9851"/>
      <c r="C158" s="6093">
        <f>SUM(C150:C157)</f>
        <v>0</v>
      </c>
      <c r="D158" s="6094">
        <f>SUM(D150:D157)</f>
        <v>0</v>
      </c>
      <c r="E158" s="6019"/>
      <c r="F158" s="4627"/>
      <c r="G158" s="4627"/>
      <c r="H158" s="4627"/>
      <c r="I158" s="4627"/>
      <c r="J158" s="4627"/>
      <c r="K158" s="4627"/>
      <c r="L158" s="4627"/>
      <c r="M158" s="4627"/>
      <c r="N158" s="4627"/>
      <c r="O158" s="4627"/>
      <c r="P158" s="4627"/>
      <c r="Q158" s="4627"/>
      <c r="R158" s="4627"/>
      <c r="S158" s="4657"/>
      <c r="T158" s="4657"/>
      <c r="BV158" s="4653"/>
      <c r="BW158" s="4653"/>
      <c r="BX158" s="4653"/>
    </row>
    <row r="159" spans="1:85" ht="31.9" customHeight="1" x14ac:dyDescent="0.2">
      <c r="A159" s="5510" t="s">
        <v>3609</v>
      </c>
      <c r="B159" s="6080"/>
      <c r="C159" s="6080"/>
      <c r="D159" s="6080"/>
      <c r="E159" s="5507"/>
      <c r="F159" s="5507"/>
      <c r="G159" s="6081"/>
      <c r="H159" s="6095"/>
      <c r="I159" s="4627"/>
      <c r="J159" s="6095"/>
      <c r="K159" s="6096"/>
      <c r="L159" s="6096"/>
      <c r="M159" s="6096"/>
      <c r="N159" s="6097"/>
      <c r="O159" s="4627"/>
      <c r="P159" s="4627"/>
      <c r="Q159" s="4627"/>
      <c r="R159" s="4627"/>
      <c r="S159" s="4627"/>
      <c r="T159" s="4627"/>
      <c r="U159" s="4627"/>
      <c r="V159" s="4657"/>
      <c r="W159" s="4657"/>
    </row>
    <row r="160" spans="1:85" ht="18" customHeight="1" x14ac:dyDescent="0.2">
      <c r="A160" s="9869" t="s">
        <v>1687</v>
      </c>
      <c r="B160" s="9803" t="s">
        <v>24</v>
      </c>
      <c r="C160" s="9803"/>
      <c r="D160" s="9804"/>
      <c r="E160" s="9845" t="s">
        <v>2</v>
      </c>
      <c r="F160" s="9846"/>
      <c r="G160" s="9846"/>
      <c r="H160" s="9846"/>
      <c r="I160" s="9846"/>
      <c r="J160" s="9846"/>
      <c r="K160" s="9846"/>
      <c r="L160" s="9846"/>
      <c r="M160" s="9846"/>
      <c r="N160" s="9846"/>
      <c r="O160" s="9846"/>
      <c r="P160" s="9846"/>
      <c r="Q160" s="9846"/>
      <c r="R160" s="9846"/>
      <c r="S160" s="9846"/>
      <c r="T160" s="9846"/>
      <c r="U160" s="9846"/>
      <c r="V160" s="9846"/>
      <c r="W160" s="9846"/>
      <c r="X160" s="9846"/>
      <c r="Y160" s="9846"/>
      <c r="Z160" s="9846"/>
      <c r="AA160" s="9846"/>
      <c r="AB160" s="9846"/>
      <c r="AC160" s="9846"/>
      <c r="AD160" s="9846"/>
      <c r="AE160" s="9846"/>
      <c r="AF160" s="9846"/>
      <c r="AG160" s="9846"/>
      <c r="AH160" s="9846"/>
      <c r="AI160" s="9846"/>
      <c r="AJ160" s="9873"/>
      <c r="BY160" s="4657"/>
    </row>
    <row r="161" spans="1:77" ht="15" customHeight="1" x14ac:dyDescent="0.2">
      <c r="A161" s="8730"/>
      <c r="B161" s="9806"/>
      <c r="C161" s="9806"/>
      <c r="D161" s="9807"/>
      <c r="E161" s="9822" t="s">
        <v>1909</v>
      </c>
      <c r="F161" s="9823"/>
      <c r="G161" s="9819" t="s">
        <v>1910</v>
      </c>
      <c r="H161" s="9819"/>
      <c r="I161" s="9822" t="s">
        <v>1911</v>
      </c>
      <c r="J161" s="9823"/>
      <c r="K161" s="9819" t="s">
        <v>1912</v>
      </c>
      <c r="L161" s="9819"/>
      <c r="M161" s="9822" t="s">
        <v>1913</v>
      </c>
      <c r="N161" s="9823"/>
      <c r="O161" s="9820" t="s">
        <v>1914</v>
      </c>
      <c r="P161" s="9820"/>
      <c r="Q161" s="9821" t="s">
        <v>1915</v>
      </c>
      <c r="R161" s="9801"/>
      <c r="S161" s="9821" t="s">
        <v>124</v>
      </c>
      <c r="T161" s="9801"/>
      <c r="U161" s="9820" t="s">
        <v>125</v>
      </c>
      <c r="V161" s="9820"/>
      <c r="W161" s="9821" t="s">
        <v>126</v>
      </c>
      <c r="X161" s="9801"/>
      <c r="Y161" s="9820" t="s">
        <v>127</v>
      </c>
      <c r="Z161" s="9820"/>
      <c r="AA161" s="9821" t="s">
        <v>128</v>
      </c>
      <c r="AB161" s="9801"/>
      <c r="AC161" s="9820" t="s">
        <v>129</v>
      </c>
      <c r="AD161" s="9820"/>
      <c r="AE161" s="9821" t="s">
        <v>130</v>
      </c>
      <c r="AF161" s="9801"/>
      <c r="AG161" s="9820" t="s">
        <v>131</v>
      </c>
      <c r="AH161" s="9820"/>
      <c r="AI161" s="9821" t="s">
        <v>1916</v>
      </c>
      <c r="AJ161" s="9801"/>
      <c r="BY161" s="4657"/>
    </row>
    <row r="162" spans="1:77" ht="15.75" customHeight="1" x14ac:dyDescent="0.2">
      <c r="A162" s="9870"/>
      <c r="B162" s="4941" t="s">
        <v>42</v>
      </c>
      <c r="C162" s="6055" t="s">
        <v>17</v>
      </c>
      <c r="D162" s="6098" t="s">
        <v>18</v>
      </c>
      <c r="E162" s="5932" t="s">
        <v>17</v>
      </c>
      <c r="F162" s="6099" t="s">
        <v>18</v>
      </c>
      <c r="G162" s="5932" t="s">
        <v>17</v>
      </c>
      <c r="H162" s="6099" t="s">
        <v>18</v>
      </c>
      <c r="I162" s="5932" t="s">
        <v>17</v>
      </c>
      <c r="J162" s="6099" t="s">
        <v>18</v>
      </c>
      <c r="K162" s="5932" t="s">
        <v>17</v>
      </c>
      <c r="L162" s="6099" t="s">
        <v>18</v>
      </c>
      <c r="M162" s="5932" t="s">
        <v>17</v>
      </c>
      <c r="N162" s="6099" t="s">
        <v>18</v>
      </c>
      <c r="O162" s="5932" t="s">
        <v>17</v>
      </c>
      <c r="P162" s="6099" t="s">
        <v>18</v>
      </c>
      <c r="Q162" s="5932" t="s">
        <v>17</v>
      </c>
      <c r="R162" s="6099" t="s">
        <v>18</v>
      </c>
      <c r="S162" s="5932" t="s">
        <v>17</v>
      </c>
      <c r="T162" s="6099" t="s">
        <v>18</v>
      </c>
      <c r="U162" s="5932" t="s">
        <v>17</v>
      </c>
      <c r="V162" s="6099" t="s">
        <v>18</v>
      </c>
      <c r="W162" s="5932" t="s">
        <v>17</v>
      </c>
      <c r="X162" s="6099" t="s">
        <v>18</v>
      </c>
      <c r="Y162" s="5932" t="s">
        <v>17</v>
      </c>
      <c r="Z162" s="6099" t="s">
        <v>18</v>
      </c>
      <c r="AA162" s="5932" t="s">
        <v>17</v>
      </c>
      <c r="AB162" s="6099" t="s">
        <v>18</v>
      </c>
      <c r="AC162" s="5932" t="s">
        <v>17</v>
      </c>
      <c r="AD162" s="6099" t="s">
        <v>18</v>
      </c>
      <c r="AE162" s="5932" t="s">
        <v>17</v>
      </c>
      <c r="AF162" s="6099" t="s">
        <v>18</v>
      </c>
      <c r="AG162" s="5932" t="s">
        <v>17</v>
      </c>
      <c r="AH162" s="6099" t="s">
        <v>18</v>
      </c>
      <c r="AI162" s="5932" t="s">
        <v>17</v>
      </c>
      <c r="AJ162" s="4940" t="s">
        <v>18</v>
      </c>
      <c r="BY162" s="4657"/>
    </row>
    <row r="163" spans="1:77" ht="15.95" customHeight="1" x14ac:dyDescent="0.2">
      <c r="A163" s="6100" t="s">
        <v>1974</v>
      </c>
      <c r="B163" s="6101">
        <f>SUM(C163:D163)</f>
        <v>0</v>
      </c>
      <c r="C163" s="6102">
        <f t="shared" ref="C163:D167" si="25">+E163+G163+I163+K163+M163+O163+Q163+S163+U163+W163+Y163+AA163+AC163+AE163+AG163+AI163</f>
        <v>0</v>
      </c>
      <c r="D163" s="6103">
        <f t="shared" si="25"/>
        <v>0</v>
      </c>
      <c r="E163" s="5845"/>
      <c r="F163" s="5472"/>
      <c r="G163" s="5845"/>
      <c r="H163" s="5472"/>
      <c r="I163" s="5845"/>
      <c r="J163" s="5472"/>
      <c r="K163" s="5845"/>
      <c r="L163" s="5472"/>
      <c r="M163" s="5845"/>
      <c r="N163" s="5472"/>
      <c r="O163" s="5845"/>
      <c r="P163" s="5472"/>
      <c r="Q163" s="5845"/>
      <c r="R163" s="5472"/>
      <c r="S163" s="5845"/>
      <c r="T163" s="5472"/>
      <c r="U163" s="5845"/>
      <c r="V163" s="5472"/>
      <c r="W163" s="5845"/>
      <c r="X163" s="5472"/>
      <c r="Y163" s="5845"/>
      <c r="Z163" s="5472"/>
      <c r="AA163" s="5845"/>
      <c r="AB163" s="5472"/>
      <c r="AC163" s="5845"/>
      <c r="AD163" s="5472"/>
      <c r="AE163" s="5845"/>
      <c r="AF163" s="5472"/>
      <c r="AG163" s="5845"/>
      <c r="AH163" s="5472"/>
      <c r="AI163" s="5474"/>
      <c r="AJ163" s="5472"/>
      <c r="AK163" s="4652"/>
      <c r="BW163" s="4653"/>
      <c r="BX163" s="4653"/>
    </row>
    <row r="164" spans="1:77" ht="15.95" customHeight="1" x14ac:dyDescent="0.2">
      <c r="A164" s="6104" t="s">
        <v>1975</v>
      </c>
      <c r="B164" s="6105">
        <f>SUM(C164:D164)</f>
        <v>0</v>
      </c>
      <c r="C164" s="6106">
        <f t="shared" si="25"/>
        <v>0</v>
      </c>
      <c r="D164" s="6107">
        <f t="shared" si="25"/>
        <v>0</v>
      </c>
      <c r="E164" s="5479"/>
      <c r="F164" s="5477"/>
      <c r="G164" s="5479"/>
      <c r="H164" s="5477"/>
      <c r="I164" s="5479"/>
      <c r="J164" s="5477"/>
      <c r="K164" s="5479"/>
      <c r="L164" s="5477"/>
      <c r="M164" s="5479"/>
      <c r="N164" s="5477"/>
      <c r="O164" s="5479"/>
      <c r="P164" s="5477"/>
      <c r="Q164" s="5479"/>
      <c r="R164" s="5477"/>
      <c r="S164" s="5479"/>
      <c r="T164" s="5477"/>
      <c r="U164" s="5479"/>
      <c r="V164" s="5477"/>
      <c r="W164" s="5479"/>
      <c r="X164" s="5477"/>
      <c r="Y164" s="5479"/>
      <c r="Z164" s="5477"/>
      <c r="AA164" s="5479"/>
      <c r="AB164" s="5477"/>
      <c r="AC164" s="5479"/>
      <c r="AD164" s="5477"/>
      <c r="AE164" s="5479"/>
      <c r="AF164" s="5477"/>
      <c r="AG164" s="5479"/>
      <c r="AH164" s="5477"/>
      <c r="AI164" s="5479"/>
      <c r="AJ164" s="5477"/>
      <c r="AK164" s="4652"/>
      <c r="BW164" s="4653"/>
      <c r="BX164" s="4653"/>
    </row>
    <row r="165" spans="1:77" ht="15.95" customHeight="1" x14ac:dyDescent="0.2">
      <c r="A165" s="6044" t="s">
        <v>1976</v>
      </c>
      <c r="B165" s="6105">
        <f>SUM(C165:D165)</f>
        <v>0</v>
      </c>
      <c r="C165" s="6108">
        <f t="shared" si="25"/>
        <v>0</v>
      </c>
      <c r="D165" s="6109">
        <f t="shared" si="25"/>
        <v>0</v>
      </c>
      <c r="E165" s="5489"/>
      <c r="F165" s="5487"/>
      <c r="G165" s="5489"/>
      <c r="H165" s="5487"/>
      <c r="I165" s="5489"/>
      <c r="J165" s="5487"/>
      <c r="K165" s="5489"/>
      <c r="L165" s="5487"/>
      <c r="M165" s="5489"/>
      <c r="N165" s="5487"/>
      <c r="O165" s="5489"/>
      <c r="P165" s="5487"/>
      <c r="Q165" s="5489"/>
      <c r="R165" s="5487"/>
      <c r="S165" s="5489"/>
      <c r="T165" s="5487"/>
      <c r="U165" s="5489"/>
      <c r="V165" s="5487"/>
      <c r="W165" s="5489"/>
      <c r="X165" s="5487"/>
      <c r="Y165" s="5489"/>
      <c r="Z165" s="5487"/>
      <c r="AA165" s="5489"/>
      <c r="AB165" s="5487"/>
      <c r="AC165" s="5489"/>
      <c r="AD165" s="5487"/>
      <c r="AE165" s="5489"/>
      <c r="AF165" s="5487"/>
      <c r="AG165" s="5489"/>
      <c r="AH165" s="5487"/>
      <c r="AI165" s="5489"/>
      <c r="AJ165" s="5487"/>
      <c r="AK165" s="4652"/>
      <c r="BW165" s="4653"/>
      <c r="BX165" s="4653"/>
    </row>
    <row r="166" spans="1:77" ht="15.95" customHeight="1" x14ac:dyDescent="0.2">
      <c r="A166" s="6044" t="s">
        <v>2360</v>
      </c>
      <c r="B166" s="6105">
        <f>SUM(C166:D166)</f>
        <v>0</v>
      </c>
      <c r="C166" s="6108">
        <f t="shared" si="25"/>
        <v>0</v>
      </c>
      <c r="D166" s="6109">
        <f t="shared" si="25"/>
        <v>0</v>
      </c>
      <c r="E166" s="5489"/>
      <c r="F166" s="5487"/>
      <c r="G166" s="5489"/>
      <c r="H166" s="5487"/>
      <c r="I166" s="5489"/>
      <c r="J166" s="5487"/>
      <c r="K166" s="5489"/>
      <c r="L166" s="5487"/>
      <c r="M166" s="5489"/>
      <c r="N166" s="5487"/>
      <c r="O166" s="5489"/>
      <c r="P166" s="5487"/>
      <c r="Q166" s="5489"/>
      <c r="R166" s="5487"/>
      <c r="S166" s="5489"/>
      <c r="T166" s="5487"/>
      <c r="U166" s="5489"/>
      <c r="V166" s="5487"/>
      <c r="W166" s="5489"/>
      <c r="X166" s="5487"/>
      <c r="Y166" s="5489"/>
      <c r="Z166" s="5487"/>
      <c r="AA166" s="5489"/>
      <c r="AB166" s="5487"/>
      <c r="AC166" s="5489"/>
      <c r="AD166" s="5487"/>
      <c r="AE166" s="5489"/>
      <c r="AF166" s="5487"/>
      <c r="AG166" s="5489"/>
      <c r="AH166" s="5487"/>
      <c r="AI166" s="5489"/>
      <c r="AJ166" s="5487"/>
      <c r="AK166" s="4652"/>
      <c r="BW166" s="4653"/>
      <c r="BX166" s="4653"/>
    </row>
    <row r="167" spans="1:77" ht="15.95" customHeight="1" x14ac:dyDescent="0.2">
      <c r="A167" s="6053" t="s">
        <v>1977</v>
      </c>
      <c r="B167" s="6048">
        <f>SUM(C167:D167)</f>
        <v>0</v>
      </c>
      <c r="C167" s="6110">
        <f t="shared" si="25"/>
        <v>0</v>
      </c>
      <c r="D167" s="6111">
        <f t="shared" si="25"/>
        <v>0</v>
      </c>
      <c r="E167" s="5495"/>
      <c r="F167" s="5493"/>
      <c r="G167" s="5495"/>
      <c r="H167" s="5493"/>
      <c r="I167" s="5495"/>
      <c r="J167" s="5493"/>
      <c r="K167" s="5495"/>
      <c r="L167" s="5493"/>
      <c r="M167" s="5495"/>
      <c r="N167" s="5493"/>
      <c r="O167" s="5495"/>
      <c r="P167" s="5493"/>
      <c r="Q167" s="5495"/>
      <c r="R167" s="5493"/>
      <c r="S167" s="5495"/>
      <c r="T167" s="5493"/>
      <c r="U167" s="5495"/>
      <c r="V167" s="5493"/>
      <c r="W167" s="5495"/>
      <c r="X167" s="5493"/>
      <c r="Y167" s="5495"/>
      <c r="Z167" s="5493"/>
      <c r="AA167" s="5495"/>
      <c r="AB167" s="5493"/>
      <c r="AC167" s="5495"/>
      <c r="AD167" s="5493"/>
      <c r="AE167" s="5495"/>
      <c r="AF167" s="5493"/>
      <c r="AG167" s="5495"/>
      <c r="AH167" s="5493"/>
      <c r="AI167" s="5495"/>
      <c r="AJ167" s="5493"/>
      <c r="AK167" s="4652"/>
      <c r="BW167" s="4653"/>
      <c r="BX167" s="4653"/>
    </row>
    <row r="168" spans="1:77" ht="23.25" customHeight="1" x14ac:dyDescent="0.2">
      <c r="A168" s="9852" t="s">
        <v>3610</v>
      </c>
      <c r="B168" s="9852"/>
      <c r="C168" s="9852"/>
      <c r="D168" s="4264"/>
      <c r="E168" s="4264"/>
      <c r="F168" s="4264"/>
      <c r="G168" s="6024"/>
      <c r="H168" s="4328"/>
      <c r="I168" s="4328"/>
      <c r="J168" s="4328"/>
      <c r="K168" s="4328"/>
      <c r="L168" s="4328"/>
      <c r="M168" s="4328"/>
      <c r="N168" s="4328"/>
      <c r="O168" s="4328"/>
      <c r="P168" s="4328"/>
      <c r="Q168" s="4328"/>
      <c r="R168" s="4328"/>
      <c r="S168" s="4328"/>
      <c r="T168" s="4328"/>
      <c r="U168" s="4328"/>
      <c r="V168" s="4328"/>
    </row>
    <row r="169" spans="1:77" ht="33.6" customHeight="1" x14ac:dyDescent="0.2">
      <c r="A169" s="9861" t="s">
        <v>1234</v>
      </c>
      <c r="B169" s="9861"/>
      <c r="C169" s="6112" t="s">
        <v>3613</v>
      </c>
      <c r="D169" s="4942" t="s">
        <v>2757</v>
      </c>
      <c r="E169" s="4942" t="s">
        <v>2695</v>
      </c>
      <c r="F169" s="4942" t="s">
        <v>57</v>
      </c>
      <c r="G169" s="4942" t="s">
        <v>70</v>
      </c>
      <c r="H169" s="4328"/>
      <c r="I169" s="4328"/>
      <c r="J169" s="4328"/>
      <c r="K169" s="4328"/>
      <c r="L169" s="4328"/>
      <c r="M169" s="4328"/>
      <c r="N169" s="4328"/>
      <c r="O169" s="4328"/>
      <c r="P169" s="4328"/>
      <c r="Q169" s="4328"/>
      <c r="R169" s="4328"/>
      <c r="S169" s="4328"/>
      <c r="T169" s="4328"/>
      <c r="U169" s="4328"/>
      <c r="V169" s="4328"/>
    </row>
    <row r="170" spans="1:77" ht="14.25" customHeight="1" x14ac:dyDescent="0.2">
      <c r="A170" s="9862" t="s">
        <v>1973</v>
      </c>
      <c r="B170" s="6113" t="s">
        <v>2163</v>
      </c>
      <c r="C170" s="7425">
        <f t="shared" ref="C170:C175" si="26">SUM(D170:G170)</f>
        <v>0</v>
      </c>
      <c r="D170" s="6114"/>
      <c r="E170" s="6114"/>
      <c r="F170" s="6114"/>
      <c r="G170" s="6114"/>
      <c r="H170" s="4328"/>
      <c r="I170" s="4328"/>
      <c r="J170" s="4328"/>
      <c r="K170" s="4328"/>
      <c r="L170" s="4328"/>
      <c r="M170" s="4328"/>
      <c r="N170" s="4328"/>
      <c r="O170" s="4328"/>
      <c r="P170" s="4328"/>
      <c r="Q170" s="4328"/>
      <c r="R170" s="4328"/>
      <c r="S170" s="4328"/>
      <c r="T170" s="4328"/>
      <c r="U170" s="4328"/>
      <c r="V170" s="4328"/>
    </row>
    <row r="171" spans="1:77" ht="14.25" customHeight="1" x14ac:dyDescent="0.2">
      <c r="A171" s="9863"/>
      <c r="B171" s="6115" t="s">
        <v>2164</v>
      </c>
      <c r="C171" s="7426">
        <f t="shared" si="26"/>
        <v>0</v>
      </c>
      <c r="D171" s="6116"/>
      <c r="E171" s="6116"/>
      <c r="F171" s="6116"/>
      <c r="G171" s="6116"/>
      <c r="H171" s="4328"/>
      <c r="I171" s="4328"/>
      <c r="J171" s="4328"/>
      <c r="K171" s="4328"/>
      <c r="L171" s="4328"/>
      <c r="M171" s="4328"/>
      <c r="N171" s="4328"/>
      <c r="O171" s="4328"/>
      <c r="P171" s="4328"/>
      <c r="Q171" s="4328"/>
      <c r="R171" s="4328"/>
      <c r="S171" s="4328"/>
      <c r="T171" s="4328"/>
      <c r="U171" s="4328"/>
      <c r="V171" s="4328"/>
    </row>
    <row r="172" spans="1:77" ht="21" x14ac:dyDescent="0.2">
      <c r="A172" s="9864"/>
      <c r="B172" s="6117" t="s">
        <v>2165</v>
      </c>
      <c r="C172" s="7427">
        <f t="shared" si="26"/>
        <v>0</v>
      </c>
      <c r="D172" s="6118"/>
      <c r="E172" s="6118"/>
      <c r="F172" s="6118"/>
      <c r="G172" s="6118"/>
      <c r="H172" s="4328"/>
      <c r="I172" s="4328"/>
      <c r="J172" s="4328"/>
      <c r="K172" s="4328"/>
      <c r="L172" s="4328"/>
      <c r="M172" s="4328"/>
      <c r="N172" s="4328"/>
      <c r="O172" s="4328"/>
      <c r="P172" s="4328"/>
      <c r="Q172" s="4328"/>
      <c r="R172" s="4328"/>
      <c r="S172" s="4328"/>
      <c r="T172" s="4328"/>
      <c r="U172" s="4328"/>
      <c r="V172" s="4328"/>
    </row>
    <row r="173" spans="1:77" ht="14.25" customHeight="1" x14ac:dyDescent="0.2">
      <c r="A173" s="9862" t="s">
        <v>2166</v>
      </c>
      <c r="B173" s="6113" t="s">
        <v>2167</v>
      </c>
      <c r="C173" s="7428">
        <f t="shared" si="26"/>
        <v>0</v>
      </c>
      <c r="D173" s="6119"/>
      <c r="E173" s="6119"/>
      <c r="F173" s="6119"/>
      <c r="G173" s="6119"/>
      <c r="H173" s="4328"/>
      <c r="I173" s="4328"/>
      <c r="J173" s="4328"/>
      <c r="K173" s="4328"/>
      <c r="L173" s="4328"/>
      <c r="M173" s="4328"/>
      <c r="N173" s="4328"/>
      <c r="O173" s="4328"/>
      <c r="P173" s="4328"/>
      <c r="Q173" s="4328"/>
      <c r="R173" s="4328"/>
      <c r="S173" s="4328"/>
      <c r="T173" s="4328"/>
      <c r="U173" s="4328"/>
      <c r="V173" s="4328"/>
    </row>
    <row r="174" spans="1:77" ht="14.25" customHeight="1" x14ac:dyDescent="0.2">
      <c r="A174" s="9863"/>
      <c r="B174" s="6115" t="s">
        <v>2168</v>
      </c>
      <c r="C174" s="7428">
        <f t="shared" si="26"/>
        <v>0</v>
      </c>
      <c r="D174" s="6116"/>
      <c r="E174" s="6116"/>
      <c r="F174" s="6116"/>
      <c r="G174" s="6116"/>
      <c r="H174" s="4328"/>
      <c r="I174" s="4328"/>
      <c r="J174" s="4328"/>
      <c r="K174" s="4328"/>
      <c r="L174" s="4328"/>
      <c r="M174" s="4328"/>
      <c r="N174" s="4328"/>
      <c r="O174" s="4328"/>
      <c r="P174" s="4328"/>
      <c r="Q174" s="4328"/>
      <c r="R174" s="4328"/>
      <c r="S174" s="4328"/>
      <c r="T174" s="4328"/>
      <c r="U174" s="4328"/>
      <c r="V174" s="4328"/>
    </row>
    <row r="175" spans="1:77" ht="14.25" customHeight="1" x14ac:dyDescent="0.2">
      <c r="A175" s="9864"/>
      <c r="B175" s="6120" t="s">
        <v>2149</v>
      </c>
      <c r="C175" s="7427">
        <f t="shared" si="26"/>
        <v>0</v>
      </c>
      <c r="D175" s="6118"/>
      <c r="E175" s="6118"/>
      <c r="F175" s="6118"/>
      <c r="G175" s="6118"/>
      <c r="H175" s="4328"/>
      <c r="I175" s="4328"/>
      <c r="J175" s="4328"/>
      <c r="K175" s="4328"/>
      <c r="L175" s="4328"/>
      <c r="M175" s="4328"/>
      <c r="N175" s="4328"/>
      <c r="O175" s="4328"/>
      <c r="P175" s="4328"/>
      <c r="Q175" s="4328"/>
      <c r="R175" s="4328"/>
      <c r="S175" s="4328"/>
      <c r="T175" s="4328"/>
      <c r="U175" s="4328"/>
      <c r="V175" s="4328"/>
    </row>
    <row r="176" spans="1:77" ht="23.25" customHeight="1" x14ac:dyDescent="0.2">
      <c r="A176" s="9852" t="s">
        <v>3611</v>
      </c>
      <c r="B176" s="9852"/>
      <c r="C176" s="9853"/>
      <c r="D176" s="4264"/>
      <c r="E176" s="4264"/>
      <c r="F176" s="4264"/>
      <c r="G176" s="6024"/>
      <c r="H176" s="4328"/>
      <c r="I176" s="4328"/>
      <c r="J176" s="4328"/>
      <c r="K176" s="4328"/>
      <c r="L176" s="4328"/>
      <c r="M176" s="4328"/>
      <c r="N176" s="4328"/>
      <c r="O176" s="4328"/>
      <c r="P176" s="4328"/>
      <c r="Q176" s="4328"/>
      <c r="R176" s="4328"/>
      <c r="S176" s="4328"/>
      <c r="T176" s="4328"/>
      <c r="U176" s="4328"/>
      <c r="V176" s="4328"/>
    </row>
    <row r="177" spans="1:38" ht="23.25" customHeight="1" x14ac:dyDescent="0.2">
      <c r="A177" s="9803" t="s">
        <v>1234</v>
      </c>
      <c r="B177" s="9804"/>
      <c r="C177" s="9802" t="s">
        <v>24</v>
      </c>
      <c r="D177" s="9803"/>
      <c r="E177" s="9804"/>
      <c r="F177" s="9856" t="s">
        <v>2</v>
      </c>
      <c r="G177" s="9857"/>
      <c r="H177" s="9857"/>
      <c r="I177" s="9857"/>
      <c r="J177" s="9857"/>
      <c r="K177" s="9858"/>
      <c r="L177" s="4328"/>
      <c r="M177" s="4328"/>
      <c r="N177" s="4328"/>
      <c r="O177" s="4328"/>
      <c r="P177" s="4328"/>
      <c r="Q177" s="4328"/>
      <c r="R177" s="4328"/>
      <c r="S177" s="4328"/>
      <c r="T177" s="4328"/>
      <c r="U177" s="4328"/>
      <c r="V177" s="4328"/>
    </row>
    <row r="178" spans="1:38" ht="23.25" customHeight="1" x14ac:dyDescent="0.2">
      <c r="A178" s="9854"/>
      <c r="B178" s="9855"/>
      <c r="C178" s="9805"/>
      <c r="D178" s="9806"/>
      <c r="E178" s="9807"/>
      <c r="F178" s="9857" t="s">
        <v>3535</v>
      </c>
      <c r="G178" s="9858"/>
      <c r="H178" s="9856" t="s">
        <v>3536</v>
      </c>
      <c r="I178" s="9858"/>
      <c r="J178" s="9859" t="s">
        <v>2799</v>
      </c>
      <c r="K178" s="9851"/>
      <c r="L178" s="4328"/>
      <c r="M178" s="4328"/>
      <c r="N178" s="4328"/>
      <c r="O178" s="4328"/>
      <c r="P178" s="4328"/>
      <c r="Q178" s="4328"/>
      <c r="R178" s="4328"/>
      <c r="S178" s="4328"/>
      <c r="T178" s="4328"/>
      <c r="U178" s="4328"/>
      <c r="V178" s="4328"/>
    </row>
    <row r="179" spans="1:38" ht="23.25" customHeight="1" x14ac:dyDescent="0.2">
      <c r="A179" s="9806"/>
      <c r="B179" s="9807"/>
      <c r="C179" s="6121" t="s">
        <v>42</v>
      </c>
      <c r="D179" s="6122" t="s">
        <v>17</v>
      </c>
      <c r="E179" s="6122" t="s">
        <v>18</v>
      </c>
      <c r="F179" s="6123" t="s">
        <v>104</v>
      </c>
      <c r="G179" s="4941" t="s">
        <v>69</v>
      </c>
      <c r="H179" s="6123" t="s">
        <v>104</v>
      </c>
      <c r="I179" s="4941" t="s">
        <v>69</v>
      </c>
      <c r="J179" s="6055" t="s">
        <v>104</v>
      </c>
      <c r="K179" s="4941" t="s">
        <v>69</v>
      </c>
      <c r="L179" s="4328"/>
      <c r="M179" s="4328"/>
      <c r="N179" s="4328"/>
      <c r="O179" s="4328"/>
      <c r="P179" s="4328"/>
      <c r="Q179" s="4328"/>
      <c r="R179" s="4328"/>
      <c r="S179" s="4328"/>
      <c r="T179" s="4328"/>
      <c r="U179" s="4328"/>
      <c r="V179" s="4328"/>
      <c r="W179" s="4328"/>
      <c r="X179" s="4328"/>
      <c r="Y179" s="4328"/>
      <c r="Z179" s="4328"/>
    </row>
    <row r="180" spans="1:38" ht="14.25" customHeight="1" x14ac:dyDescent="0.2">
      <c r="A180" s="9892" t="s">
        <v>2756</v>
      </c>
      <c r="B180" s="4846" t="s">
        <v>2167</v>
      </c>
      <c r="C180" s="5380">
        <f>SUM(D180:E180)</f>
        <v>0</v>
      </c>
      <c r="D180" s="7428">
        <f t="shared" ref="D180:E183" si="27">SUM(F180+H180+J180)</f>
        <v>0</v>
      </c>
      <c r="E180" s="7428">
        <f t="shared" si="27"/>
        <v>0</v>
      </c>
      <c r="F180" s="5892"/>
      <c r="G180" s="5893"/>
      <c r="H180" s="5892"/>
      <c r="I180" s="5893"/>
      <c r="J180" s="6124"/>
      <c r="K180" s="5893"/>
      <c r="L180" s="4328"/>
      <c r="M180" s="4328"/>
      <c r="N180" s="4328"/>
      <c r="O180" s="4328"/>
      <c r="P180" s="4328"/>
      <c r="Q180" s="4328"/>
      <c r="R180" s="4328"/>
      <c r="S180" s="4328"/>
      <c r="T180" s="4328"/>
      <c r="U180" s="4328"/>
      <c r="V180" s="4328"/>
      <c r="W180" s="4328"/>
      <c r="X180" s="4328"/>
      <c r="Y180" s="4328"/>
      <c r="Z180" s="4328"/>
    </row>
    <row r="181" spans="1:38" ht="14.25" customHeight="1" x14ac:dyDescent="0.2">
      <c r="A181" s="9893"/>
      <c r="B181" s="4846" t="s">
        <v>2163</v>
      </c>
      <c r="C181" s="5380">
        <f>SUM(D181:E181)</f>
        <v>0</v>
      </c>
      <c r="D181" s="7428">
        <f t="shared" si="27"/>
        <v>0</v>
      </c>
      <c r="E181" s="7428">
        <f t="shared" si="27"/>
        <v>0</v>
      </c>
      <c r="F181" s="5486"/>
      <c r="G181" s="5488"/>
      <c r="H181" s="5486"/>
      <c r="I181" s="5488"/>
      <c r="J181" s="5489"/>
      <c r="K181" s="5488"/>
      <c r="L181" s="4328"/>
      <c r="M181" s="4328"/>
      <c r="N181" s="4328"/>
      <c r="O181" s="4328"/>
      <c r="P181" s="4328"/>
      <c r="Q181" s="4328"/>
      <c r="R181" s="4328"/>
      <c r="S181" s="4328"/>
      <c r="T181" s="4328"/>
      <c r="U181" s="4328"/>
      <c r="V181" s="4328"/>
      <c r="W181" s="4328"/>
      <c r="X181" s="4328"/>
      <c r="Y181" s="4328"/>
      <c r="Z181" s="4328"/>
    </row>
    <row r="182" spans="1:38" ht="14.25" customHeight="1" x14ac:dyDescent="0.2">
      <c r="A182" s="9893"/>
      <c r="B182" s="4846" t="s">
        <v>2164</v>
      </c>
      <c r="C182" s="5380">
        <f>SUM(D182:E182)</f>
        <v>0</v>
      </c>
      <c r="D182" s="7428">
        <f t="shared" si="27"/>
        <v>0</v>
      </c>
      <c r="E182" s="7428">
        <f t="shared" si="27"/>
        <v>0</v>
      </c>
      <c r="F182" s="5486"/>
      <c r="G182" s="5488"/>
      <c r="H182" s="5486"/>
      <c r="I182" s="5488"/>
      <c r="J182" s="5489"/>
      <c r="K182" s="5488"/>
      <c r="L182" s="4328"/>
      <c r="M182" s="4328"/>
      <c r="N182" s="4328"/>
      <c r="O182" s="4328"/>
      <c r="P182" s="4328"/>
      <c r="Q182" s="4328"/>
      <c r="R182" s="4328"/>
      <c r="S182" s="4328"/>
      <c r="T182" s="4328"/>
      <c r="U182" s="4328"/>
      <c r="V182" s="4328"/>
      <c r="W182" s="4328"/>
      <c r="X182" s="4328"/>
      <c r="Y182" s="4328"/>
      <c r="Z182" s="4328"/>
    </row>
    <row r="183" spans="1:38" ht="14.25" customHeight="1" x14ac:dyDescent="0.2">
      <c r="A183" s="9894"/>
      <c r="B183" s="5519" t="s">
        <v>2149</v>
      </c>
      <c r="C183" s="7429">
        <f>SUM(D183:E183)</f>
        <v>0</v>
      </c>
      <c r="D183" s="7429">
        <f t="shared" si="27"/>
        <v>0</v>
      </c>
      <c r="E183" s="7429">
        <f t="shared" si="27"/>
        <v>0</v>
      </c>
      <c r="F183" s="5492"/>
      <c r="G183" s="5494"/>
      <c r="H183" s="5492"/>
      <c r="I183" s="5494"/>
      <c r="J183" s="5495"/>
      <c r="K183" s="5494"/>
      <c r="L183" s="4328"/>
      <c r="M183" s="4328"/>
      <c r="N183" s="4328"/>
      <c r="O183" s="4328"/>
      <c r="P183" s="4328"/>
      <c r="Q183" s="4328"/>
      <c r="R183" s="4328"/>
      <c r="S183" s="4328"/>
      <c r="T183" s="4328"/>
      <c r="U183" s="4328"/>
      <c r="V183" s="4328"/>
      <c r="W183" s="4328"/>
      <c r="X183" s="4328"/>
      <c r="Y183" s="4328"/>
      <c r="Z183" s="4328"/>
    </row>
    <row r="184" spans="1:38" ht="18.75" customHeight="1" x14ac:dyDescent="0.25">
      <c r="A184" s="5506" t="s">
        <v>3612</v>
      </c>
      <c r="B184" s="6125"/>
      <c r="C184" s="6125"/>
      <c r="D184" s="6126"/>
      <c r="E184" s="6127"/>
      <c r="F184" s="5525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</row>
    <row r="185" spans="1:38" ht="18.75" customHeight="1" x14ac:dyDescent="0.2">
      <c r="A185" s="9902" t="s">
        <v>2159</v>
      </c>
      <c r="B185" s="9902"/>
      <c r="C185" s="9905" t="s">
        <v>2160</v>
      </c>
      <c r="D185" s="9803" t="s">
        <v>24</v>
      </c>
      <c r="E185" s="9803"/>
      <c r="F185" s="9804"/>
      <c r="G185" s="9846" t="s">
        <v>2</v>
      </c>
      <c r="H185" s="9846"/>
      <c r="I185" s="9846"/>
      <c r="J185" s="9846"/>
      <c r="K185" s="9846"/>
      <c r="L185" s="9846"/>
      <c r="M185" s="9846"/>
      <c r="N185" s="9846"/>
      <c r="O185" s="9846"/>
      <c r="P185" s="9846"/>
      <c r="Q185" s="9846"/>
      <c r="R185" s="9846"/>
      <c r="S185" s="9846"/>
      <c r="T185" s="9846"/>
      <c r="U185" s="9846"/>
      <c r="V185" s="9846"/>
      <c r="W185" s="9846"/>
      <c r="X185" s="9846"/>
      <c r="Y185" s="9846"/>
      <c r="Z185" s="9846"/>
      <c r="AA185" s="9846"/>
      <c r="AB185" s="9846"/>
      <c r="AC185" s="9846"/>
      <c r="AD185" s="9846"/>
      <c r="AE185" s="9846"/>
      <c r="AF185" s="9846"/>
      <c r="AG185" s="9846"/>
      <c r="AH185" s="9846"/>
      <c r="AI185" s="9846"/>
      <c r="AJ185" s="9846"/>
      <c r="AK185" s="9846"/>
      <c r="AL185" s="9873"/>
    </row>
    <row r="186" spans="1:38" ht="18.75" customHeight="1" x14ac:dyDescent="0.2">
      <c r="A186" s="9903"/>
      <c r="B186" s="9903"/>
      <c r="C186" s="9905"/>
      <c r="D186" s="9806"/>
      <c r="E186" s="9806"/>
      <c r="F186" s="9807"/>
      <c r="G186" s="9819" t="s">
        <v>1909</v>
      </c>
      <c r="H186" s="9823"/>
      <c r="I186" s="9819" t="s">
        <v>1910</v>
      </c>
      <c r="J186" s="9819"/>
      <c r="K186" s="9822" t="s">
        <v>1911</v>
      </c>
      <c r="L186" s="9823"/>
      <c r="M186" s="9819" t="s">
        <v>1912</v>
      </c>
      <c r="N186" s="9819"/>
      <c r="O186" s="9822" t="s">
        <v>1913</v>
      </c>
      <c r="P186" s="9823"/>
      <c r="Q186" s="9820" t="s">
        <v>1914</v>
      </c>
      <c r="R186" s="9820"/>
      <c r="S186" s="9821" t="s">
        <v>1915</v>
      </c>
      <c r="T186" s="9801"/>
      <c r="U186" s="9821" t="s">
        <v>124</v>
      </c>
      <c r="V186" s="9801"/>
      <c r="W186" s="9820" t="s">
        <v>125</v>
      </c>
      <c r="X186" s="9820"/>
      <c r="Y186" s="9821" t="s">
        <v>126</v>
      </c>
      <c r="Z186" s="9801"/>
      <c r="AA186" s="9820" t="s">
        <v>127</v>
      </c>
      <c r="AB186" s="9820"/>
      <c r="AC186" s="9821" t="s">
        <v>128</v>
      </c>
      <c r="AD186" s="9801"/>
      <c r="AE186" s="9820" t="s">
        <v>129</v>
      </c>
      <c r="AF186" s="9820"/>
      <c r="AG186" s="9821" t="s">
        <v>130</v>
      </c>
      <c r="AH186" s="9801"/>
      <c r="AI186" s="9820" t="s">
        <v>131</v>
      </c>
      <c r="AJ186" s="9820"/>
      <c r="AK186" s="9821" t="s">
        <v>1916</v>
      </c>
      <c r="AL186" s="9801"/>
    </row>
    <row r="187" spans="1:38" ht="18.75" customHeight="1" x14ac:dyDescent="0.2">
      <c r="A187" s="9904"/>
      <c r="B187" s="9904"/>
      <c r="C187" s="9905"/>
      <c r="D187" s="5511" t="s">
        <v>42</v>
      </c>
      <c r="E187" s="6123" t="s">
        <v>17</v>
      </c>
      <c r="F187" s="4941" t="s">
        <v>18</v>
      </c>
      <c r="G187" s="5932" t="s">
        <v>17</v>
      </c>
      <c r="H187" s="6099" t="s">
        <v>18</v>
      </c>
      <c r="I187" s="5932" t="s">
        <v>17</v>
      </c>
      <c r="J187" s="6099" t="s">
        <v>18</v>
      </c>
      <c r="K187" s="5932" t="s">
        <v>17</v>
      </c>
      <c r="L187" s="6099" t="s">
        <v>18</v>
      </c>
      <c r="M187" s="5932" t="s">
        <v>17</v>
      </c>
      <c r="N187" s="6099" t="s">
        <v>18</v>
      </c>
      <c r="O187" s="5932" t="s">
        <v>17</v>
      </c>
      <c r="P187" s="6099" t="s">
        <v>18</v>
      </c>
      <c r="Q187" s="5932" t="s">
        <v>17</v>
      </c>
      <c r="R187" s="6099" t="s">
        <v>18</v>
      </c>
      <c r="S187" s="5932" t="s">
        <v>17</v>
      </c>
      <c r="T187" s="6099" t="s">
        <v>18</v>
      </c>
      <c r="U187" s="5932" t="s">
        <v>17</v>
      </c>
      <c r="V187" s="6099" t="s">
        <v>18</v>
      </c>
      <c r="W187" s="5932" t="s">
        <v>17</v>
      </c>
      <c r="X187" s="6099" t="s">
        <v>18</v>
      </c>
      <c r="Y187" s="5932" t="s">
        <v>17</v>
      </c>
      <c r="Z187" s="6099" t="s">
        <v>18</v>
      </c>
      <c r="AA187" s="5932" t="s">
        <v>17</v>
      </c>
      <c r="AB187" s="6099" t="s">
        <v>18</v>
      </c>
      <c r="AC187" s="5932" t="s">
        <v>17</v>
      </c>
      <c r="AD187" s="6099" t="s">
        <v>18</v>
      </c>
      <c r="AE187" s="5932" t="s">
        <v>17</v>
      </c>
      <c r="AF187" s="6099" t="s">
        <v>18</v>
      </c>
      <c r="AG187" s="5932" t="s">
        <v>17</v>
      </c>
      <c r="AH187" s="6099" t="s">
        <v>18</v>
      </c>
      <c r="AI187" s="5932" t="s">
        <v>17</v>
      </c>
      <c r="AJ187" s="6099" t="s">
        <v>18</v>
      </c>
      <c r="AK187" s="5932" t="s">
        <v>17</v>
      </c>
      <c r="AL187" s="4940" t="s">
        <v>18</v>
      </c>
    </row>
    <row r="188" spans="1:38" ht="18.75" customHeight="1" x14ac:dyDescent="0.2">
      <c r="A188" s="9906" t="s">
        <v>2161</v>
      </c>
      <c r="B188" s="9906"/>
      <c r="C188" s="6113" t="s">
        <v>742</v>
      </c>
      <c r="D188" s="6100">
        <f t="shared" ref="D188:D193" si="28">SUM(E188:F188)</f>
        <v>0</v>
      </c>
      <c r="E188" s="6128">
        <f>SUM(G188+I188+K188+M188+O188+Q188+S188+U188+W188+Y188+AA188+AC188+AE188+AG188+AI188+AK188)</f>
        <v>0</v>
      </c>
      <c r="F188" s="6129">
        <f>SUM(H188+J188+L188+N188+P188+R188+T188+V188+X188+Z188+AB188+AD188+AF188+AH188+AJ188+AL188)</f>
        <v>0</v>
      </c>
      <c r="G188" s="5842"/>
      <c r="H188" s="5844"/>
      <c r="I188" s="5842"/>
      <c r="J188" s="5844"/>
      <c r="K188" s="5842"/>
      <c r="L188" s="5844"/>
      <c r="M188" s="5842"/>
      <c r="N188" s="5844"/>
      <c r="O188" s="5842"/>
      <c r="P188" s="5844"/>
      <c r="Q188" s="5842"/>
      <c r="R188" s="5844"/>
      <c r="S188" s="5842"/>
      <c r="T188" s="5844"/>
      <c r="U188" s="5842"/>
      <c r="V188" s="5844"/>
      <c r="W188" s="5842"/>
      <c r="X188" s="5844"/>
      <c r="Y188" s="5842"/>
      <c r="Z188" s="5844"/>
      <c r="AA188" s="5842"/>
      <c r="AB188" s="5844"/>
      <c r="AC188" s="5842"/>
      <c r="AD188" s="5844"/>
      <c r="AE188" s="5842"/>
      <c r="AF188" s="5844"/>
      <c r="AG188" s="5842"/>
      <c r="AH188" s="5844"/>
      <c r="AI188" s="5842"/>
      <c r="AJ188" s="5844"/>
      <c r="AK188" s="5842"/>
      <c r="AL188" s="5844"/>
    </row>
    <row r="189" spans="1:38" ht="18.75" customHeight="1" x14ac:dyDescent="0.2">
      <c r="A189" s="9907"/>
      <c r="B189" s="9907"/>
      <c r="C189" s="6117" t="s">
        <v>2162</v>
      </c>
      <c r="D189" s="6130">
        <f t="shared" si="28"/>
        <v>0</v>
      </c>
      <c r="E189" s="5445">
        <f>SUM(G189+I189+K189+M189+O189+Q189+S189+U189+W189+Y189+AA189+AC189+AE189+AG189+AI189+AK189)</f>
        <v>0</v>
      </c>
      <c r="F189" s="6131">
        <f>SUM(H189+J189+L189+N189+P189+R189+T189+V189+X189+Z189+AB189+AD189+AF189+AH189+AJ189+AL189)</f>
        <v>0</v>
      </c>
      <c r="G189" s="5492"/>
      <c r="H189" s="5493"/>
      <c r="I189" s="5492"/>
      <c r="J189" s="5493"/>
      <c r="K189" s="5492"/>
      <c r="L189" s="5493"/>
      <c r="M189" s="5492"/>
      <c r="N189" s="5493"/>
      <c r="O189" s="5492"/>
      <c r="P189" s="5493"/>
      <c r="Q189" s="5492"/>
      <c r="R189" s="5493"/>
      <c r="S189" s="5492"/>
      <c r="T189" s="5493"/>
      <c r="U189" s="5492"/>
      <c r="V189" s="5493"/>
      <c r="W189" s="5492"/>
      <c r="X189" s="5493"/>
      <c r="Y189" s="5492"/>
      <c r="Z189" s="5493"/>
      <c r="AA189" s="5492"/>
      <c r="AB189" s="5493"/>
      <c r="AC189" s="5492"/>
      <c r="AD189" s="5493"/>
      <c r="AE189" s="5492"/>
      <c r="AF189" s="5493"/>
      <c r="AG189" s="5492"/>
      <c r="AH189" s="5493"/>
      <c r="AI189" s="5492"/>
      <c r="AJ189" s="5493"/>
      <c r="AK189" s="5492"/>
      <c r="AL189" s="5493"/>
    </row>
    <row r="190" spans="1:38" x14ac:dyDescent="0.2">
      <c r="A190" s="9899" t="s">
        <v>57</v>
      </c>
      <c r="B190" s="9899"/>
      <c r="C190" s="6113" t="s">
        <v>742</v>
      </c>
      <c r="D190" s="6100">
        <f t="shared" si="28"/>
        <v>0</v>
      </c>
      <c r="E190" s="6128">
        <f t="shared" ref="E190:F193" si="29">SUM(G190+I190+K190+M190+O190+Q190+S190+U190+W190+Y190+AA190+AC190+AE190+AG190+AI190+AK190)</f>
        <v>0</v>
      </c>
      <c r="F190" s="6129">
        <f t="shared" si="29"/>
        <v>0</v>
      </c>
      <c r="G190" s="5842"/>
      <c r="H190" s="5844"/>
      <c r="I190" s="5842"/>
      <c r="J190" s="5844"/>
      <c r="K190" s="5842"/>
      <c r="L190" s="5844"/>
      <c r="M190" s="5842"/>
      <c r="N190" s="5844"/>
      <c r="O190" s="5842"/>
      <c r="P190" s="5844"/>
      <c r="Q190" s="5842"/>
      <c r="R190" s="5844"/>
      <c r="S190" s="5842"/>
      <c r="T190" s="5844"/>
      <c r="U190" s="5842"/>
      <c r="V190" s="5844"/>
      <c r="W190" s="5842"/>
      <c r="X190" s="5844"/>
      <c r="Y190" s="5842"/>
      <c r="Z190" s="5844"/>
      <c r="AA190" s="5842"/>
      <c r="AB190" s="5844"/>
      <c r="AC190" s="5842"/>
      <c r="AD190" s="5844"/>
      <c r="AE190" s="5842"/>
      <c r="AF190" s="5844"/>
      <c r="AG190" s="5842"/>
      <c r="AH190" s="5844"/>
      <c r="AI190" s="5842"/>
      <c r="AJ190" s="5844"/>
      <c r="AK190" s="5842"/>
      <c r="AL190" s="5844"/>
    </row>
    <row r="191" spans="1:38" ht="21" x14ac:dyDescent="0.2">
      <c r="A191" s="9900"/>
      <c r="B191" s="9900"/>
      <c r="C191" s="6117" t="s">
        <v>2162</v>
      </c>
      <c r="D191" s="6130">
        <f t="shared" si="28"/>
        <v>0</v>
      </c>
      <c r="E191" s="5445">
        <f t="shared" si="29"/>
        <v>0</v>
      </c>
      <c r="F191" s="6131">
        <f t="shared" si="29"/>
        <v>0</v>
      </c>
      <c r="G191" s="5492"/>
      <c r="H191" s="5493"/>
      <c r="I191" s="5492"/>
      <c r="J191" s="5493"/>
      <c r="K191" s="5492"/>
      <c r="L191" s="5493"/>
      <c r="M191" s="5492"/>
      <c r="N191" s="5493"/>
      <c r="O191" s="5492"/>
      <c r="P191" s="5493"/>
      <c r="Q191" s="5492"/>
      <c r="R191" s="5493"/>
      <c r="S191" s="5492"/>
      <c r="T191" s="5493"/>
      <c r="U191" s="5492"/>
      <c r="V191" s="5493"/>
      <c r="W191" s="5492"/>
      <c r="X191" s="5493"/>
      <c r="Y191" s="5492"/>
      <c r="Z191" s="5493"/>
      <c r="AA191" s="5492"/>
      <c r="AB191" s="5493"/>
      <c r="AC191" s="5492"/>
      <c r="AD191" s="5493"/>
      <c r="AE191" s="5492"/>
      <c r="AF191" s="5493"/>
      <c r="AG191" s="5492"/>
      <c r="AH191" s="5493"/>
      <c r="AI191" s="5492"/>
      <c r="AJ191" s="5493"/>
      <c r="AK191" s="5492"/>
      <c r="AL191" s="5493"/>
    </row>
    <row r="192" spans="1:38" x14ac:dyDescent="0.2">
      <c r="A192" s="9901" t="s">
        <v>2803</v>
      </c>
      <c r="B192" s="9901"/>
      <c r="C192" s="6132" t="s">
        <v>742</v>
      </c>
      <c r="D192" s="6133">
        <f t="shared" si="28"/>
        <v>0</v>
      </c>
      <c r="E192" s="6134">
        <f t="shared" si="29"/>
        <v>0</v>
      </c>
      <c r="F192" s="6135">
        <f t="shared" si="29"/>
        <v>0</v>
      </c>
      <c r="G192" s="5471"/>
      <c r="H192" s="5472"/>
      <c r="I192" s="5471"/>
      <c r="J192" s="5472"/>
      <c r="K192" s="5471"/>
      <c r="L192" s="5472"/>
      <c r="M192" s="5471"/>
      <c r="N192" s="5472"/>
      <c r="O192" s="5471"/>
      <c r="P192" s="5472"/>
      <c r="Q192" s="5471"/>
      <c r="R192" s="5472"/>
      <c r="S192" s="5471"/>
      <c r="T192" s="5472"/>
      <c r="U192" s="5471"/>
      <c r="V192" s="5472"/>
      <c r="W192" s="5471"/>
      <c r="X192" s="5472"/>
      <c r="Y192" s="5471"/>
      <c r="Z192" s="5472"/>
      <c r="AA192" s="5471"/>
      <c r="AB192" s="5472"/>
      <c r="AC192" s="5471"/>
      <c r="AD192" s="5472"/>
      <c r="AE192" s="5471"/>
      <c r="AF192" s="5472"/>
      <c r="AG192" s="5471"/>
      <c r="AH192" s="5472"/>
      <c r="AI192" s="5471"/>
      <c r="AJ192" s="5472"/>
      <c r="AK192" s="5471"/>
      <c r="AL192" s="5472"/>
    </row>
    <row r="193" spans="1:130" ht="21" x14ac:dyDescent="0.2">
      <c r="A193" s="9900"/>
      <c r="B193" s="9900"/>
      <c r="C193" s="6117" t="s">
        <v>2162</v>
      </c>
      <c r="D193" s="6130">
        <f t="shared" si="28"/>
        <v>0</v>
      </c>
      <c r="E193" s="5445">
        <f t="shared" si="29"/>
        <v>0</v>
      </c>
      <c r="F193" s="6131">
        <f t="shared" si="29"/>
        <v>0</v>
      </c>
      <c r="G193" s="5492"/>
      <c r="H193" s="5493"/>
      <c r="I193" s="5492"/>
      <c r="J193" s="5493"/>
      <c r="K193" s="5492"/>
      <c r="L193" s="5493"/>
      <c r="M193" s="5492"/>
      <c r="N193" s="5493"/>
      <c r="O193" s="5492"/>
      <c r="P193" s="5493"/>
      <c r="Q193" s="5492"/>
      <c r="R193" s="5493"/>
      <c r="S193" s="5492"/>
      <c r="T193" s="5493"/>
      <c r="U193" s="5492"/>
      <c r="V193" s="5493"/>
      <c r="W193" s="5492"/>
      <c r="X193" s="5493"/>
      <c r="Y193" s="5492"/>
      <c r="Z193" s="5493"/>
      <c r="AA193" s="5492"/>
      <c r="AB193" s="5493"/>
      <c r="AC193" s="5492"/>
      <c r="AD193" s="5493"/>
      <c r="AE193" s="5492"/>
      <c r="AF193" s="5493"/>
      <c r="AG193" s="5492"/>
      <c r="AH193" s="5493"/>
      <c r="AI193" s="5492"/>
      <c r="AJ193" s="5493"/>
      <c r="AK193" s="5492"/>
      <c r="AL193" s="5493"/>
    </row>
    <row r="205" spans="1:130" ht="12" customHeight="1" x14ac:dyDescent="0.2"/>
    <row r="206" spans="1:130" s="4904" customFormat="1" hidden="1" x14ac:dyDescent="0.2">
      <c r="A206" s="4904">
        <f>SUM(B24,C43,B49:B56,B62,B70,B77,B88,C95,B100:B108,B113:B115,B120:B124,B135,B147,C158:D158,B163:B167,C170:C175,C180:C183,D188:D193)</f>
        <v>0</v>
      </c>
      <c r="B206" s="4904">
        <f>SUM(DA28:DZ193)</f>
        <v>0</v>
      </c>
      <c r="BT206" s="4657"/>
      <c r="BU206" s="4657"/>
      <c r="BV206" s="4657"/>
      <c r="BW206" s="4657"/>
      <c r="BX206" s="4657"/>
      <c r="BY206" s="4653"/>
      <c r="BZ206" s="4657"/>
      <c r="CA206" s="4688"/>
      <c r="CB206" s="4688"/>
      <c r="CC206" s="4688"/>
      <c r="CD206" s="4688"/>
      <c r="CE206" s="4688"/>
      <c r="CF206" s="4688"/>
      <c r="CG206" s="4688"/>
      <c r="CH206" s="4688"/>
      <c r="CI206" s="4688"/>
      <c r="CJ206" s="4688"/>
      <c r="CK206" s="4688"/>
      <c r="CL206" s="4688"/>
      <c r="CM206" s="4688"/>
      <c r="CN206" s="4688"/>
      <c r="CO206" s="4688"/>
      <c r="CP206" s="4688"/>
      <c r="CQ206" s="4688"/>
      <c r="CR206" s="4688"/>
      <c r="CS206" s="4688"/>
      <c r="CT206" s="4688"/>
      <c r="CU206" s="4688"/>
      <c r="CV206" s="4688"/>
      <c r="CW206" s="4688"/>
      <c r="CX206" s="4688"/>
      <c r="CY206" s="4688"/>
      <c r="CZ206" s="4688"/>
      <c r="DA206" s="4687"/>
      <c r="DB206" s="4687"/>
      <c r="DC206" s="4687"/>
      <c r="DD206" s="4687"/>
      <c r="DE206" s="4687"/>
      <c r="DF206" s="4687"/>
      <c r="DG206" s="4687"/>
      <c r="DH206" s="4687"/>
      <c r="DI206" s="4687"/>
      <c r="DJ206" s="4687"/>
      <c r="DK206" s="4687"/>
      <c r="DL206" s="4687"/>
      <c r="DM206" s="4687"/>
      <c r="DN206" s="4687"/>
      <c r="DO206" s="4687"/>
      <c r="DP206" s="4687"/>
      <c r="DQ206" s="4687"/>
      <c r="DR206" s="4687"/>
      <c r="DS206" s="4687"/>
      <c r="DT206" s="4687"/>
      <c r="DU206" s="4687"/>
      <c r="DV206" s="4687"/>
      <c r="DW206" s="4687"/>
      <c r="DX206" s="4687"/>
      <c r="DY206" s="4687"/>
      <c r="DZ206" s="4687"/>
    </row>
  </sheetData>
  <sheetProtection algorithmName="SHA-512" hashValue="kX+8n9jKHQg/8x0OtNfW2cnpAHk2npxvatwg+aQWCZQ243MDjwCw65nfAr0cHeMlANJWs3zOijHe+SieTQi+jw==" saltValue="Vo6wXE6n75iYKpyvOxq0Zw==" spinCount="100000" sheet="1" objects="1" scenarios="1"/>
  <mergeCells count="319">
    <mergeCell ref="E64:AJ64"/>
    <mergeCell ref="AK64:AK66"/>
    <mergeCell ref="E65:F65"/>
    <mergeCell ref="G65:H65"/>
    <mergeCell ref="I65:J65"/>
    <mergeCell ref="K65:L65"/>
    <mergeCell ref="M65:N65"/>
    <mergeCell ref="O65:P65"/>
    <mergeCell ref="Q65:R65"/>
    <mergeCell ref="S65:T65"/>
    <mergeCell ref="U65:V65"/>
    <mergeCell ref="W65:X65"/>
    <mergeCell ref="Y65:Z65"/>
    <mergeCell ref="AA65:AB65"/>
    <mergeCell ref="AC65:AD65"/>
    <mergeCell ref="AE65:AF65"/>
    <mergeCell ref="AG65:AH65"/>
    <mergeCell ref="AI65:AJ65"/>
    <mergeCell ref="E58:AJ58"/>
    <mergeCell ref="AK58:AK61"/>
    <mergeCell ref="E59:F60"/>
    <mergeCell ref="G59:H60"/>
    <mergeCell ref="I59:J60"/>
    <mergeCell ref="K59:L60"/>
    <mergeCell ref="M59:N60"/>
    <mergeCell ref="O59:P60"/>
    <mergeCell ref="Q59:R60"/>
    <mergeCell ref="S59:T60"/>
    <mergeCell ref="U59:V60"/>
    <mergeCell ref="W59:X60"/>
    <mergeCell ref="Y59:Z60"/>
    <mergeCell ref="AA59:AB60"/>
    <mergeCell ref="AC59:AD60"/>
    <mergeCell ref="AE59:AF60"/>
    <mergeCell ref="AG59:AH60"/>
    <mergeCell ref="AI59:AJ60"/>
    <mergeCell ref="E45:AJ45"/>
    <mergeCell ref="AK45:AL46"/>
    <mergeCell ref="E46:F47"/>
    <mergeCell ref="G46:H47"/>
    <mergeCell ref="I46:J47"/>
    <mergeCell ref="K46:L47"/>
    <mergeCell ref="M46:N47"/>
    <mergeCell ref="O46:P47"/>
    <mergeCell ref="Q46:R47"/>
    <mergeCell ref="S46:T47"/>
    <mergeCell ref="U46:V47"/>
    <mergeCell ref="W46:X47"/>
    <mergeCell ref="Y46:Z47"/>
    <mergeCell ref="AA46:AB47"/>
    <mergeCell ref="AC46:AD47"/>
    <mergeCell ref="AE46:AF47"/>
    <mergeCell ref="AG46:AH47"/>
    <mergeCell ref="AI46:AJ47"/>
    <mergeCell ref="AK47:AK48"/>
    <mergeCell ref="AL47:AL48"/>
    <mergeCell ref="AK126:AK128"/>
    <mergeCell ref="E97:AJ97"/>
    <mergeCell ref="E98:F98"/>
    <mergeCell ref="G98:H98"/>
    <mergeCell ref="I98:J98"/>
    <mergeCell ref="K98:L98"/>
    <mergeCell ref="Y98:Z98"/>
    <mergeCell ref="AA98:AB98"/>
    <mergeCell ref="AC98:AD98"/>
    <mergeCell ref="AE98:AF98"/>
    <mergeCell ref="AG98:AH98"/>
    <mergeCell ref="AI98:AJ98"/>
    <mergeCell ref="M98:N98"/>
    <mergeCell ref="O98:P98"/>
    <mergeCell ref="Q98:R98"/>
    <mergeCell ref="S98:T98"/>
    <mergeCell ref="U98:V98"/>
    <mergeCell ref="W98:X98"/>
    <mergeCell ref="AC127:AD127"/>
    <mergeCell ref="AA127:AB127"/>
    <mergeCell ref="U127:V127"/>
    <mergeCell ref="W127:X127"/>
    <mergeCell ref="Y127:Z127"/>
    <mergeCell ref="O127:P127"/>
    <mergeCell ref="A190:B191"/>
    <mergeCell ref="A192:B193"/>
    <mergeCell ref="A180:A183"/>
    <mergeCell ref="A185:B187"/>
    <mergeCell ref="C185:C187"/>
    <mergeCell ref="D185:F186"/>
    <mergeCell ref="G185:AL185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W186:X186"/>
    <mergeCell ref="Y186:Z186"/>
    <mergeCell ref="AA186:AB186"/>
    <mergeCell ref="AC186:AD186"/>
    <mergeCell ref="AE186:AF186"/>
    <mergeCell ref="AG186:AH186"/>
    <mergeCell ref="AI186:AJ186"/>
    <mergeCell ref="AK186:AL186"/>
    <mergeCell ref="A188:B189"/>
    <mergeCell ref="AM9:AM12"/>
    <mergeCell ref="AL72:AL74"/>
    <mergeCell ref="E110:AJ110"/>
    <mergeCell ref="AC111:AD111"/>
    <mergeCell ref="Q111:R111"/>
    <mergeCell ref="S111:T111"/>
    <mergeCell ref="U111:V111"/>
    <mergeCell ref="E117:AJ117"/>
    <mergeCell ref="E118:F118"/>
    <mergeCell ref="Y118:Z118"/>
    <mergeCell ref="AA118:AB118"/>
    <mergeCell ref="AC118:AD118"/>
    <mergeCell ref="AG111:AH111"/>
    <mergeCell ref="AI111:AJ111"/>
    <mergeCell ref="E111:F111"/>
    <mergeCell ref="G111:H111"/>
    <mergeCell ref="I111:J111"/>
    <mergeCell ref="K111:L111"/>
    <mergeCell ref="M111:N111"/>
    <mergeCell ref="AE111:AF111"/>
    <mergeCell ref="O111:P111"/>
    <mergeCell ref="G118:H118"/>
    <mergeCell ref="K118:L118"/>
    <mergeCell ref="M118:N118"/>
    <mergeCell ref="AA80:AB80"/>
    <mergeCell ref="AC80:AD80"/>
    <mergeCell ref="B79:D80"/>
    <mergeCell ref="E79:AJ79"/>
    <mergeCell ref="E80:F80"/>
    <mergeCell ref="G80:H80"/>
    <mergeCell ref="I80:J80"/>
    <mergeCell ref="K80:L80"/>
    <mergeCell ref="M80:N80"/>
    <mergeCell ref="O80:P80"/>
    <mergeCell ref="Q80:R80"/>
    <mergeCell ref="AE80:AF80"/>
    <mergeCell ref="AG80:AH80"/>
    <mergeCell ref="AI80:AJ80"/>
    <mergeCell ref="S80:T80"/>
    <mergeCell ref="U80:V80"/>
    <mergeCell ref="W80:X80"/>
    <mergeCell ref="Y80:Z80"/>
    <mergeCell ref="AK72:AK74"/>
    <mergeCell ref="W73:X73"/>
    <mergeCell ref="Y73:Z73"/>
    <mergeCell ref="AA73:AB73"/>
    <mergeCell ref="AC73:AD73"/>
    <mergeCell ref="AE73:AF73"/>
    <mergeCell ref="AG73:AH73"/>
    <mergeCell ref="AI73:AJ73"/>
    <mergeCell ref="Q73:R73"/>
    <mergeCell ref="S73:T73"/>
    <mergeCell ref="U73:V73"/>
    <mergeCell ref="E72:AJ72"/>
    <mergeCell ref="E73:F73"/>
    <mergeCell ref="G73:H73"/>
    <mergeCell ref="I73:J73"/>
    <mergeCell ref="K73:L73"/>
    <mergeCell ref="M73:N73"/>
    <mergeCell ref="O73:P73"/>
    <mergeCell ref="AL26:AL29"/>
    <mergeCell ref="F27:G28"/>
    <mergeCell ref="H27:I28"/>
    <mergeCell ref="J27:K28"/>
    <mergeCell ref="L27:M28"/>
    <mergeCell ref="N27:O28"/>
    <mergeCell ref="P27:Q28"/>
    <mergeCell ref="AJ27:AK28"/>
    <mergeCell ref="AL9:AL12"/>
    <mergeCell ref="E10:F11"/>
    <mergeCell ref="G10:H11"/>
    <mergeCell ref="I10:J11"/>
    <mergeCell ref="K10:L11"/>
    <mergeCell ref="AE10:AF11"/>
    <mergeCell ref="AG10:AH11"/>
    <mergeCell ref="AI10:AJ11"/>
    <mergeCell ref="M10:N11"/>
    <mergeCell ref="O10:P11"/>
    <mergeCell ref="Q10:R11"/>
    <mergeCell ref="S10:T11"/>
    <mergeCell ref="U10:V11"/>
    <mergeCell ref="W10:X11"/>
    <mergeCell ref="Y10:Z11"/>
    <mergeCell ref="AA10:AB11"/>
    <mergeCell ref="A6:V6"/>
    <mergeCell ref="B9:D11"/>
    <mergeCell ref="E9:AJ9"/>
    <mergeCell ref="AK9:AK12"/>
    <mergeCell ref="AC10:AD11"/>
    <mergeCell ref="A36:A37"/>
    <mergeCell ref="A38:B38"/>
    <mergeCell ref="A39:B39"/>
    <mergeCell ref="A40:B40"/>
    <mergeCell ref="AD27:AE28"/>
    <mergeCell ref="AF27:AG28"/>
    <mergeCell ref="AH27:AI28"/>
    <mergeCell ref="A30:A32"/>
    <mergeCell ref="A33:A35"/>
    <mergeCell ref="R27:S28"/>
    <mergeCell ref="T27:U28"/>
    <mergeCell ref="V27:W28"/>
    <mergeCell ref="X27:Y28"/>
    <mergeCell ref="Z27:AA28"/>
    <mergeCell ref="AB27:AC28"/>
    <mergeCell ref="A26:B29"/>
    <mergeCell ref="C26:E28"/>
    <mergeCell ref="F26:AK26"/>
    <mergeCell ref="A169:B169"/>
    <mergeCell ref="A170:A172"/>
    <mergeCell ref="A168:C168"/>
    <mergeCell ref="A137:E137"/>
    <mergeCell ref="A154:A157"/>
    <mergeCell ref="A150:A153"/>
    <mergeCell ref="A160:A162"/>
    <mergeCell ref="A149:B149"/>
    <mergeCell ref="A173:A175"/>
    <mergeCell ref="E138:AJ138"/>
    <mergeCell ref="E139:F139"/>
    <mergeCell ref="AI139:AJ139"/>
    <mergeCell ref="G139:H139"/>
    <mergeCell ref="W139:X139"/>
    <mergeCell ref="Y139:Z139"/>
    <mergeCell ref="AA139:AB139"/>
    <mergeCell ref="AC139:AD139"/>
    <mergeCell ref="AE139:AF139"/>
    <mergeCell ref="AG139:AH139"/>
    <mergeCell ref="I139:J139"/>
    <mergeCell ref="B160:D161"/>
    <mergeCell ref="E160:AJ160"/>
    <mergeCell ref="E161:F161"/>
    <mergeCell ref="G161:H161"/>
    <mergeCell ref="A176:C176"/>
    <mergeCell ref="A177:B179"/>
    <mergeCell ref="C177:E178"/>
    <mergeCell ref="F177:K177"/>
    <mergeCell ref="F178:G178"/>
    <mergeCell ref="H178:I178"/>
    <mergeCell ref="J178:K178"/>
    <mergeCell ref="AM26:AM29"/>
    <mergeCell ref="AN26:AN29"/>
    <mergeCell ref="K139:L139"/>
    <mergeCell ref="O139:P139"/>
    <mergeCell ref="Q139:R139"/>
    <mergeCell ref="AE118:AF118"/>
    <mergeCell ref="AG118:AH118"/>
    <mergeCell ref="AI118:AJ118"/>
    <mergeCell ref="W111:X111"/>
    <mergeCell ref="Y111:Z111"/>
    <mergeCell ref="AA111:AB111"/>
    <mergeCell ref="I118:J118"/>
    <mergeCell ref="O118:P118"/>
    <mergeCell ref="Q118:R118"/>
    <mergeCell ref="S118:T118"/>
    <mergeCell ref="U118:V118"/>
    <mergeCell ref="W118:X118"/>
    <mergeCell ref="A126:A128"/>
    <mergeCell ref="AG161:AH161"/>
    <mergeCell ref="M161:N161"/>
    <mergeCell ref="B126:D127"/>
    <mergeCell ref="O161:P161"/>
    <mergeCell ref="E126:AJ126"/>
    <mergeCell ref="Q161:R161"/>
    <mergeCell ref="S161:T161"/>
    <mergeCell ref="U161:V161"/>
    <mergeCell ref="W161:X161"/>
    <mergeCell ref="Y161:Z161"/>
    <mergeCell ref="AA161:AB161"/>
    <mergeCell ref="G127:H127"/>
    <mergeCell ref="E127:F127"/>
    <mergeCell ref="AI127:AJ127"/>
    <mergeCell ref="AG127:AH127"/>
    <mergeCell ref="Q127:R127"/>
    <mergeCell ref="AE127:AF127"/>
    <mergeCell ref="S127:T127"/>
    <mergeCell ref="K127:L127"/>
    <mergeCell ref="M139:N139"/>
    <mergeCell ref="A158:B158"/>
    <mergeCell ref="A138:A140"/>
    <mergeCell ref="B138:D139"/>
    <mergeCell ref="K161:L161"/>
    <mergeCell ref="AC161:AD161"/>
    <mergeCell ref="AI161:AJ161"/>
    <mergeCell ref="I161:J161"/>
    <mergeCell ref="AE161:AF161"/>
    <mergeCell ref="S139:T139"/>
    <mergeCell ref="U139:V139"/>
    <mergeCell ref="A72:A74"/>
    <mergeCell ref="A9:A12"/>
    <mergeCell ref="A41:B41"/>
    <mergeCell ref="A42:B42"/>
    <mergeCell ref="A43:B43"/>
    <mergeCell ref="B72:D73"/>
    <mergeCell ref="A45:A48"/>
    <mergeCell ref="B45:D47"/>
    <mergeCell ref="A58:A61"/>
    <mergeCell ref="B58:D60"/>
    <mergeCell ref="A64:A66"/>
    <mergeCell ref="B64:D65"/>
    <mergeCell ref="I127:J127"/>
    <mergeCell ref="M127:N127"/>
    <mergeCell ref="A117:A119"/>
    <mergeCell ref="A110:A112"/>
    <mergeCell ref="A97:A99"/>
    <mergeCell ref="A79:A81"/>
    <mergeCell ref="B97:D98"/>
    <mergeCell ref="B110:D111"/>
    <mergeCell ref="B117:D118"/>
    <mergeCell ref="A90:B91"/>
    <mergeCell ref="C90:C91"/>
    <mergeCell ref="D90:D91"/>
    <mergeCell ref="E90:E91"/>
    <mergeCell ref="A92:B92"/>
    <mergeCell ref="A93:B93"/>
    <mergeCell ref="A94:B94"/>
    <mergeCell ref="A95:B95"/>
  </mergeCells>
  <pageMargins left="0.7" right="0.7" top="0.75" bottom="0.75" header="0.3" footer="0.3"/>
  <pageSetup orientation="portrait" r:id="rId1"/>
  <ignoredErrors>
    <ignoredError sqref="D180:D183 E180:E183 C173:C175 C180:C183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>
    <pageSetUpPr fitToPage="1"/>
  </sheetPr>
  <dimension ref="A1:DZ266"/>
  <sheetViews>
    <sheetView zoomScaleNormal="100" workbookViewId="0">
      <selection activeCell="A6" sqref="A6:L6"/>
    </sheetView>
  </sheetViews>
  <sheetFormatPr baseColWidth="10" defaultColWidth="11.42578125" defaultRowHeight="14.25" x14ac:dyDescent="0.2"/>
  <cols>
    <col min="1" max="1" width="53.5703125" style="165" customWidth="1"/>
    <col min="2" max="2" width="23.42578125" style="165" bestFit="1" customWidth="1"/>
    <col min="3" max="7" width="14" style="165" customWidth="1"/>
    <col min="8" max="8" width="15" style="165" customWidth="1"/>
    <col min="9" max="13" width="14" style="165" customWidth="1"/>
    <col min="14" max="14" width="15.28515625" style="165" customWidth="1"/>
    <col min="15" max="15" width="13" style="165" customWidth="1"/>
    <col min="16" max="16" width="12" style="165" customWidth="1"/>
    <col min="17" max="18" width="13.42578125" style="165" customWidth="1"/>
    <col min="19" max="19" width="11.28515625" style="165" customWidth="1"/>
    <col min="20" max="20" width="12.42578125" style="165" customWidth="1"/>
    <col min="21" max="21" width="11.42578125" style="165"/>
    <col min="22" max="22" width="12.85546875" style="290" customWidth="1"/>
    <col min="23" max="77" width="11.28515625" style="290" customWidth="1"/>
    <col min="78" max="78" width="11.28515625" style="1460" customWidth="1"/>
    <col min="79" max="79" width="11.28515625" style="1457" hidden="1" customWidth="1"/>
    <col min="80" max="104" width="11.28515625" style="1451" hidden="1" customWidth="1"/>
    <col min="105" max="107" width="11.28515625" style="3295" hidden="1" customWidth="1"/>
    <col min="108" max="130" width="11.42578125" style="3295" hidden="1" customWidth="1"/>
    <col min="131" max="16384" width="11.42578125" style="165"/>
  </cols>
  <sheetData>
    <row r="1" spans="1:113" ht="16.350000000000001" customHeight="1" x14ac:dyDescent="0.2">
      <c r="A1" s="150" t="s">
        <v>206</v>
      </c>
    </row>
    <row r="2" spans="1:113" ht="16.350000000000001" customHeight="1" x14ac:dyDescent="0.2">
      <c r="A2" s="150" t="str">
        <f>CONCATENATE("COMUNA: ",NOMBRE!B2," - ","( ",NOMBRE!C2,NOMBRE!D2,NOMBRE!E2,NOMBRE!F2,NOMBRE!G2," )")</f>
        <v>COMUNA:  - (  )</v>
      </c>
    </row>
    <row r="3" spans="1:113" ht="16.350000000000001" customHeight="1" x14ac:dyDescent="0.2">
      <c r="A3" s="150" t="str">
        <f>CONCATENATE("ESTABLECIMIENTO/ESTRATEGIA: ",NOMBRE!B3," - ","( ",NOMBRE!C3,NOMBRE!D3,NOMBRE!E3,NOMBRE!F3,NOMBRE!G3,NOMBRE!H3," )")</f>
        <v>ESTABLECIMIENTO/ESTRATEGIA:  - (  )</v>
      </c>
    </row>
    <row r="4" spans="1:113" ht="16.350000000000001" customHeight="1" x14ac:dyDescent="0.2">
      <c r="A4" s="150" t="str">
        <f>CONCATENATE("MES: ",NOMBRE!B6," - ","( ",NOMBRE!C6,NOMBRE!D6," )")</f>
        <v>MES:  - (  )</v>
      </c>
    </row>
    <row r="5" spans="1:113" ht="16.350000000000001" customHeight="1" x14ac:dyDescent="0.2">
      <c r="A5" s="150" t="str">
        <f>CONCATENATE("AÑO: ",NOMBRE!B7)</f>
        <v>AÑO: 2023</v>
      </c>
    </row>
    <row r="6" spans="1:113" ht="15" customHeight="1" x14ac:dyDescent="0.2">
      <c r="A6" s="8199" t="s">
        <v>4016</v>
      </c>
      <c r="B6" s="8199"/>
      <c r="C6" s="8199"/>
      <c r="D6" s="8199"/>
      <c r="E6" s="8199"/>
      <c r="F6" s="8199"/>
      <c r="G6" s="8199"/>
      <c r="H6" s="8199"/>
      <c r="I6" s="8199"/>
      <c r="J6" s="8199"/>
      <c r="K6" s="8199"/>
      <c r="L6" s="8199"/>
      <c r="M6" s="813"/>
      <c r="N6" s="150"/>
      <c r="O6" s="140"/>
      <c r="P6" s="140"/>
      <c r="Q6" s="140"/>
      <c r="R6" s="140"/>
    </row>
    <row r="7" spans="1:113" ht="15" x14ac:dyDescent="0.2">
      <c r="A7" s="1091"/>
      <c r="B7" s="1091"/>
      <c r="C7" s="1091"/>
      <c r="D7" s="1091"/>
      <c r="E7" s="1091"/>
      <c r="F7" s="1091"/>
      <c r="G7" s="1091"/>
      <c r="H7" s="1091"/>
      <c r="I7" s="1091"/>
      <c r="J7" s="1091"/>
      <c r="K7" s="1091"/>
      <c r="L7" s="1091"/>
      <c r="M7" s="813"/>
      <c r="N7" s="150"/>
      <c r="O7" s="140"/>
      <c r="P7" s="140"/>
      <c r="Q7" s="140"/>
      <c r="R7" s="140"/>
    </row>
    <row r="8" spans="1:113" x14ac:dyDescent="0.2">
      <c r="A8" s="3568" t="s">
        <v>3010</v>
      </c>
      <c r="B8" s="746"/>
      <c r="C8" s="746"/>
      <c r="D8" s="746"/>
      <c r="E8" s="746"/>
      <c r="F8" s="746"/>
      <c r="G8" s="746"/>
      <c r="H8" s="746"/>
      <c r="I8" s="746"/>
      <c r="J8" s="746"/>
      <c r="K8" s="746"/>
      <c r="L8" s="746"/>
      <c r="M8" s="746"/>
      <c r="N8" s="670"/>
      <c r="O8" s="670"/>
      <c r="P8" s="140"/>
      <c r="Q8" s="140"/>
      <c r="R8" s="140"/>
      <c r="S8" s="140"/>
      <c r="V8" s="165"/>
    </row>
    <row r="9" spans="1:113" ht="24" customHeight="1" x14ac:dyDescent="0.2">
      <c r="A9" s="8481" t="s">
        <v>3011</v>
      </c>
      <c r="B9" s="8127"/>
      <c r="C9" s="9921" t="s">
        <v>24</v>
      </c>
      <c r="D9" s="10017" t="s">
        <v>3012</v>
      </c>
      <c r="E9" s="10018"/>
      <c r="F9" s="10018"/>
      <c r="G9" s="10019"/>
      <c r="H9" s="9935" t="s">
        <v>3013</v>
      </c>
      <c r="I9" s="9936"/>
      <c r="J9" s="9936"/>
      <c r="K9" s="9937"/>
      <c r="L9" s="8497" t="s">
        <v>3014</v>
      </c>
      <c r="M9" s="9935" t="s">
        <v>4013</v>
      </c>
      <c r="N9" s="9936"/>
      <c r="O9" s="9936"/>
      <c r="P9" s="9936"/>
      <c r="Q9" s="9936"/>
      <c r="R9" s="9937"/>
      <c r="S9" s="9938" t="s">
        <v>3614</v>
      </c>
      <c r="T9" s="9939"/>
      <c r="U9" s="9939"/>
      <c r="V9" s="9940"/>
      <c r="W9" s="8611" t="s">
        <v>1314</v>
      </c>
      <c r="X9" s="8611" t="s">
        <v>3015</v>
      </c>
      <c r="Y9" s="8611" t="s">
        <v>360</v>
      </c>
      <c r="Z9" s="9921" t="s">
        <v>359</v>
      </c>
      <c r="AA9" s="9341" t="s">
        <v>361</v>
      </c>
      <c r="AB9" s="9140"/>
      <c r="BZ9" s="290"/>
      <c r="CA9" s="1460"/>
      <c r="CB9" s="1457"/>
      <c r="DA9" s="1451"/>
    </row>
    <row r="10" spans="1:113" ht="39.75" customHeight="1" x14ac:dyDescent="0.2">
      <c r="A10" s="9967"/>
      <c r="B10" s="8151"/>
      <c r="C10" s="9922"/>
      <c r="D10" s="8492" t="s">
        <v>3979</v>
      </c>
      <c r="E10" s="9923" t="s">
        <v>661</v>
      </c>
      <c r="F10" s="9923" t="s">
        <v>3700</v>
      </c>
      <c r="G10" s="8127" t="s">
        <v>3990</v>
      </c>
      <c r="H10" s="9924" t="s">
        <v>1320</v>
      </c>
      <c r="I10" s="9926" t="s">
        <v>1319</v>
      </c>
      <c r="J10" s="9926" t="s">
        <v>1318</v>
      </c>
      <c r="K10" s="8520" t="s">
        <v>1317</v>
      </c>
      <c r="L10" s="8497"/>
      <c r="M10" s="9927" t="s">
        <v>3016</v>
      </c>
      <c r="N10" s="9929" t="s">
        <v>3017</v>
      </c>
      <c r="O10" s="9929" t="s">
        <v>3018</v>
      </c>
      <c r="P10" s="9929" t="s">
        <v>1316</v>
      </c>
      <c r="Q10" s="9929" t="s">
        <v>1315</v>
      </c>
      <c r="R10" s="9931" t="s">
        <v>3019</v>
      </c>
      <c r="S10" s="9933" t="s">
        <v>3020</v>
      </c>
      <c r="T10" s="9934"/>
      <c r="U10" s="9941" t="s">
        <v>3021</v>
      </c>
      <c r="V10" s="9934"/>
      <c r="W10" s="8196"/>
      <c r="X10" s="8196"/>
      <c r="Y10" s="8196"/>
      <c r="Z10" s="9922"/>
      <c r="AA10" s="9967"/>
      <c r="AB10" s="8151"/>
      <c r="BZ10" s="290"/>
      <c r="CA10" s="1460"/>
      <c r="CB10" s="1457"/>
      <c r="DA10" s="1451"/>
    </row>
    <row r="11" spans="1:113" ht="42" x14ac:dyDescent="0.2">
      <c r="A11" s="8496"/>
      <c r="B11" s="8271"/>
      <c r="C11" s="8463"/>
      <c r="D11" s="8493"/>
      <c r="E11" s="9789"/>
      <c r="F11" s="9789"/>
      <c r="G11" s="8271"/>
      <c r="H11" s="9925"/>
      <c r="I11" s="9522"/>
      <c r="J11" s="9522"/>
      <c r="K11" s="9762"/>
      <c r="L11" s="8497"/>
      <c r="M11" s="9928"/>
      <c r="N11" s="9930"/>
      <c r="O11" s="9930"/>
      <c r="P11" s="9930"/>
      <c r="Q11" s="9930"/>
      <c r="R11" s="9932"/>
      <c r="S11" s="3076" t="s">
        <v>3022</v>
      </c>
      <c r="T11" s="3131" t="s">
        <v>3023</v>
      </c>
      <c r="U11" s="3066" t="s">
        <v>3022</v>
      </c>
      <c r="V11" s="3066" t="s">
        <v>3023</v>
      </c>
      <c r="W11" s="8461"/>
      <c r="X11" s="8461"/>
      <c r="Y11" s="8461"/>
      <c r="Z11" s="8463"/>
      <c r="AA11" s="3912" t="s">
        <v>356</v>
      </c>
      <c r="AB11" s="3912" t="s">
        <v>357</v>
      </c>
      <c r="BZ11" s="290"/>
      <c r="CA11" s="1460"/>
      <c r="CB11" s="1457"/>
      <c r="DA11" s="1451"/>
    </row>
    <row r="12" spans="1:113" ht="16.899999999999999" customHeight="1" x14ac:dyDescent="0.2">
      <c r="A12" s="9956" t="s">
        <v>1313</v>
      </c>
      <c r="B12" s="9957"/>
      <c r="C12" s="3569">
        <f>SUM(C13:C16)</f>
        <v>0</v>
      </c>
      <c r="D12" s="3569">
        <f t="shared" ref="D12:AB12" si="0">SUM(D13:D16)</f>
        <v>0</v>
      </c>
      <c r="E12" s="3569">
        <f t="shared" si="0"/>
        <v>0</v>
      </c>
      <c r="F12" s="3569">
        <f t="shared" si="0"/>
        <v>0</v>
      </c>
      <c r="G12" s="3569">
        <f t="shared" si="0"/>
        <v>0</v>
      </c>
      <c r="H12" s="3569">
        <f t="shared" si="0"/>
        <v>0</v>
      </c>
      <c r="I12" s="3569">
        <f t="shared" si="0"/>
        <v>0</v>
      </c>
      <c r="J12" s="3569">
        <f t="shared" si="0"/>
        <v>0</v>
      </c>
      <c r="K12" s="3569">
        <f t="shared" si="0"/>
        <v>0</v>
      </c>
      <c r="L12" s="3569">
        <f t="shared" si="0"/>
        <v>0</v>
      </c>
      <c r="M12" s="3569">
        <f t="shared" si="0"/>
        <v>0</v>
      </c>
      <c r="N12" s="3569">
        <f t="shared" si="0"/>
        <v>0</v>
      </c>
      <c r="O12" s="3569">
        <f t="shared" si="0"/>
        <v>0</v>
      </c>
      <c r="P12" s="3569">
        <f t="shared" si="0"/>
        <v>0</v>
      </c>
      <c r="Q12" s="3569">
        <f t="shared" si="0"/>
        <v>0</v>
      </c>
      <c r="R12" s="3569">
        <f t="shared" si="0"/>
        <v>0</v>
      </c>
      <c r="S12" s="3569">
        <f t="shared" si="0"/>
        <v>0</v>
      </c>
      <c r="T12" s="3569">
        <f t="shared" si="0"/>
        <v>0</v>
      </c>
      <c r="U12" s="3569">
        <f t="shared" si="0"/>
        <v>0</v>
      </c>
      <c r="V12" s="3569">
        <f t="shared" si="0"/>
        <v>0</v>
      </c>
      <c r="W12" s="3569">
        <f t="shared" si="0"/>
        <v>0</v>
      </c>
      <c r="X12" s="3569">
        <f t="shared" si="0"/>
        <v>0</v>
      </c>
      <c r="Y12" s="3569">
        <f t="shared" si="0"/>
        <v>0</v>
      </c>
      <c r="Z12" s="3569">
        <f t="shared" si="0"/>
        <v>0</v>
      </c>
      <c r="AA12" s="3569">
        <f t="shared" si="0"/>
        <v>0</v>
      </c>
      <c r="AB12" s="3569">
        <f t="shared" si="0"/>
        <v>0</v>
      </c>
      <c r="BZ12" s="290"/>
      <c r="CA12" s="1460"/>
      <c r="CB12" s="1457"/>
      <c r="DA12" s="1451"/>
      <c r="DB12" s="3349" t="s">
        <v>3541</v>
      </c>
      <c r="DC12" s="3349" t="s">
        <v>3542</v>
      </c>
      <c r="DD12" s="3350" t="s">
        <v>3543</v>
      </c>
      <c r="DE12" s="3350" t="s">
        <v>3544</v>
      </c>
      <c r="DF12" s="3350" t="s">
        <v>3545</v>
      </c>
      <c r="DG12" s="3350"/>
      <c r="DI12" s="3350"/>
    </row>
    <row r="13" spans="1:113" x14ac:dyDescent="0.2">
      <c r="A13" s="9958" t="s">
        <v>3024</v>
      </c>
      <c r="B13" s="9959"/>
      <c r="C13" s="3113"/>
      <c r="D13" s="3058"/>
      <c r="E13" s="3112"/>
      <c r="F13" s="3112"/>
      <c r="G13" s="2877"/>
      <c r="H13" s="3058"/>
      <c r="I13" s="3060"/>
      <c r="J13" s="3060"/>
      <c r="K13" s="2877"/>
      <c r="L13" s="3113"/>
      <c r="M13" s="3060"/>
      <c r="N13" s="3060"/>
      <c r="O13" s="3060"/>
      <c r="P13" s="3060"/>
      <c r="Q13" s="3060"/>
      <c r="R13" s="3059"/>
      <c r="S13" s="3058"/>
      <c r="T13" s="3059"/>
      <c r="U13" s="3112"/>
      <c r="V13" s="2877"/>
      <c r="W13" s="3059"/>
      <c r="X13" s="3059"/>
      <c r="Y13" s="3059"/>
      <c r="Z13" s="3059"/>
      <c r="AA13" s="3059"/>
      <c r="AB13" s="3059"/>
      <c r="BZ13" s="290"/>
      <c r="CA13" s="1460"/>
      <c r="CB13" s="1458" t="str">
        <f>IF(DB13=1," * El Total de partos por edad no puede ser mayor al Total de Partos registrado. ","")</f>
        <v/>
      </c>
      <c r="CC13" s="1458" t="str">
        <f>IF(DC13=1," * El Total de partos prematuros no puede ser mayor al Total de Partos registrado. ","")</f>
        <v/>
      </c>
      <c r="CD13" s="1458" t="str">
        <f>IF(DD13=1," * El Total de partos de personas pertenecientes a pueblos originarios no puede ser mayor al Total de Partos registrado. ","")</f>
        <v/>
      </c>
      <c r="CE13" s="1458" t="str">
        <f>IF(DE13=1," * El Total de partos de Personas Migrantes no puede ser mayor al Total de Partos registrado. ","")</f>
        <v/>
      </c>
      <c r="CF13" s="1458" t="str">
        <f>IF(DF13=1," * El Total de partos de Personas Trans no puede ser mayor al Total de Partos registrado. ","")</f>
        <v/>
      </c>
      <c r="DA13" s="1451"/>
      <c r="DB13" s="1461"/>
      <c r="DC13" s="1461"/>
      <c r="DD13" s="1461"/>
      <c r="DE13" s="1461"/>
      <c r="DF13" s="1461"/>
    </row>
    <row r="14" spans="1:113" x14ac:dyDescent="0.2">
      <c r="A14" s="9960" t="s">
        <v>3025</v>
      </c>
      <c r="B14" s="9945"/>
      <c r="C14" s="3067"/>
      <c r="D14" s="3028"/>
      <c r="E14" s="3136"/>
      <c r="F14" s="3136"/>
      <c r="G14" s="3121"/>
      <c r="H14" s="3028"/>
      <c r="I14" s="3068"/>
      <c r="J14" s="3068"/>
      <c r="K14" s="3121"/>
      <c r="L14" s="3067"/>
      <c r="M14" s="3068"/>
      <c r="N14" s="3068"/>
      <c r="O14" s="3068"/>
      <c r="P14" s="3068"/>
      <c r="Q14" s="3068"/>
      <c r="R14" s="1882"/>
      <c r="S14" s="3028"/>
      <c r="T14" s="1882"/>
      <c r="U14" s="3136"/>
      <c r="V14" s="3121"/>
      <c r="W14" s="1882"/>
      <c r="X14" s="1882"/>
      <c r="Y14" s="1882"/>
      <c r="Z14" s="1882"/>
      <c r="AA14" s="1882"/>
      <c r="AB14" s="1882"/>
      <c r="BZ14" s="290"/>
      <c r="CA14" s="1460"/>
      <c r="CB14" s="1458" t="str">
        <f t="shared" ref="CB14:CB22" si="1">IF(DB14=1," * El Total de partos por edad no puede ser mayor al Total de Partos registrado. ","")</f>
        <v/>
      </c>
      <c r="CC14" s="1458" t="str">
        <f t="shared" ref="CC14:CC22" si="2">IF(DC14=1," * El Total de partos prematuros no puede ser mayor al Total de Partos registrado. ","")</f>
        <v/>
      </c>
      <c r="CD14" s="1458" t="str">
        <f t="shared" ref="CD14:CD22" si="3">IF(DD14=1," * El Total de partos de personas pertenecientes a pueblos originarios no puede ser mayor al Total de Partos registrado. ","")</f>
        <v/>
      </c>
      <c r="CE14" s="1458" t="str">
        <f t="shared" ref="CE14:CE22" si="4">IF(DE14=1," * El Total de partos de Personas Migrantes no puede ser mayor al Total de Partos registrado. ","")</f>
        <v/>
      </c>
      <c r="CF14" s="1458" t="str">
        <f t="shared" ref="CF14:CF22" si="5">IF(DF14=1," * El Total de partos de Personas Trans no puede ser mayor al Total de Partos registrado. ","")</f>
        <v/>
      </c>
      <c r="DA14" s="1451"/>
      <c r="DB14" s="1461"/>
      <c r="DC14" s="1461"/>
      <c r="DD14" s="1461"/>
      <c r="DE14" s="1461"/>
      <c r="DF14" s="1461"/>
    </row>
    <row r="15" spans="1:113" x14ac:dyDescent="0.2">
      <c r="A15" s="9960" t="s">
        <v>1312</v>
      </c>
      <c r="B15" s="9945"/>
      <c r="C15" s="3067"/>
      <c r="D15" s="3028"/>
      <c r="E15" s="3136"/>
      <c r="F15" s="3136"/>
      <c r="G15" s="3121"/>
      <c r="H15" s="3028"/>
      <c r="I15" s="3068"/>
      <c r="J15" s="3068"/>
      <c r="K15" s="3121"/>
      <c r="L15" s="3067"/>
      <c r="M15" s="3068"/>
      <c r="N15" s="3068"/>
      <c r="O15" s="3068"/>
      <c r="P15" s="3068"/>
      <c r="Q15" s="3068"/>
      <c r="R15" s="1882"/>
      <c r="S15" s="3028"/>
      <c r="T15" s="1882"/>
      <c r="U15" s="3136"/>
      <c r="V15" s="3121"/>
      <c r="W15" s="1882"/>
      <c r="X15" s="1882"/>
      <c r="Y15" s="1882"/>
      <c r="Z15" s="1882"/>
      <c r="AA15" s="1882"/>
      <c r="AB15" s="1882"/>
      <c r="BZ15" s="290"/>
      <c r="CA15" s="1460"/>
      <c r="CB15" s="1458" t="str">
        <f t="shared" si="1"/>
        <v/>
      </c>
      <c r="CC15" s="1458" t="str">
        <f t="shared" si="2"/>
        <v/>
      </c>
      <c r="CD15" s="1458" t="str">
        <f t="shared" si="3"/>
        <v/>
      </c>
      <c r="CE15" s="1458" t="str">
        <f t="shared" si="4"/>
        <v/>
      </c>
      <c r="CF15" s="1458" t="str">
        <f t="shared" si="5"/>
        <v/>
      </c>
      <c r="DA15" s="1451"/>
      <c r="DB15" s="1461"/>
      <c r="DC15" s="1461"/>
      <c r="DD15" s="1461"/>
      <c r="DE15" s="1461"/>
      <c r="DF15" s="1461"/>
    </row>
    <row r="16" spans="1:113" ht="15" thickBot="1" x14ac:dyDescent="0.25">
      <c r="A16" s="9961" t="s">
        <v>1311</v>
      </c>
      <c r="B16" s="9962"/>
      <c r="C16" s="97"/>
      <c r="D16" s="137"/>
      <c r="E16" s="113"/>
      <c r="F16" s="113"/>
      <c r="G16" s="164"/>
      <c r="H16" s="137"/>
      <c r="I16" s="115"/>
      <c r="J16" s="115"/>
      <c r="K16" s="164"/>
      <c r="L16" s="97"/>
      <c r="M16" s="115"/>
      <c r="N16" s="115"/>
      <c r="O16" s="115"/>
      <c r="P16" s="115"/>
      <c r="Q16" s="115"/>
      <c r="R16" s="138"/>
      <c r="S16" s="137"/>
      <c r="T16" s="138"/>
      <c r="U16" s="113"/>
      <c r="V16" s="164"/>
      <c r="W16" s="138"/>
      <c r="X16" s="138"/>
      <c r="Y16" s="138"/>
      <c r="Z16" s="138"/>
      <c r="AA16" s="138"/>
      <c r="AB16" s="138"/>
      <c r="BZ16" s="290"/>
      <c r="CA16" s="1460"/>
      <c r="CB16" s="1458" t="str">
        <f t="shared" si="1"/>
        <v/>
      </c>
      <c r="CC16" s="1458" t="str">
        <f t="shared" si="2"/>
        <v/>
      </c>
      <c r="CD16" s="1458" t="str">
        <f t="shared" si="3"/>
        <v/>
      </c>
      <c r="CE16" s="1458" t="str">
        <f t="shared" si="4"/>
        <v/>
      </c>
      <c r="CF16" s="1458" t="str">
        <f t="shared" si="5"/>
        <v/>
      </c>
      <c r="DA16" s="1451"/>
      <c r="DB16" s="1461"/>
      <c r="DC16" s="1461"/>
      <c r="DD16" s="1461"/>
      <c r="DE16" s="1461"/>
      <c r="DF16" s="1461"/>
    </row>
    <row r="17" spans="1:110" ht="15" thickTop="1" x14ac:dyDescent="0.2">
      <c r="A17" s="9963" t="s">
        <v>3026</v>
      </c>
      <c r="B17" s="9964"/>
      <c r="C17" s="529"/>
      <c r="D17" s="530"/>
      <c r="E17" s="7590"/>
      <c r="F17" s="7590"/>
      <c r="G17" s="528"/>
      <c r="H17" s="530"/>
      <c r="I17" s="7944"/>
      <c r="J17" s="7944"/>
      <c r="K17" s="528"/>
      <c r="L17" s="529"/>
      <c r="M17" s="7944"/>
      <c r="N17" s="7944"/>
      <c r="O17" s="7944"/>
      <c r="P17" s="7944"/>
      <c r="Q17" s="7944"/>
      <c r="R17" s="568"/>
      <c r="S17" s="530"/>
      <c r="T17" s="568"/>
      <c r="U17" s="7590"/>
      <c r="V17" s="528"/>
      <c r="W17" s="568"/>
      <c r="X17" s="568"/>
      <c r="Y17" s="568"/>
      <c r="Z17" s="568"/>
      <c r="AA17" s="568"/>
      <c r="AB17" s="568"/>
      <c r="BZ17" s="290"/>
      <c r="CA17" s="1460"/>
      <c r="CB17" s="1458" t="str">
        <f t="shared" si="1"/>
        <v/>
      </c>
      <c r="CC17" s="1458" t="str">
        <f t="shared" si="2"/>
        <v/>
      </c>
      <c r="CD17" s="1458" t="str">
        <f t="shared" si="3"/>
        <v/>
      </c>
      <c r="CE17" s="1458" t="str">
        <f t="shared" si="4"/>
        <v/>
      </c>
      <c r="CF17" s="1458" t="str">
        <f t="shared" si="5"/>
        <v/>
      </c>
      <c r="DA17" s="1451"/>
      <c r="DB17" s="1461"/>
      <c r="DC17" s="1461"/>
      <c r="DD17" s="1461"/>
      <c r="DE17" s="1461"/>
      <c r="DF17" s="1461"/>
    </row>
    <row r="18" spans="1:110" ht="15" thickBot="1" x14ac:dyDescent="0.25">
      <c r="A18" s="9965" t="s">
        <v>3753</v>
      </c>
      <c r="B18" s="9966"/>
      <c r="C18" s="535"/>
      <c r="D18" s="536"/>
      <c r="E18" s="537"/>
      <c r="F18" s="537"/>
      <c r="G18" s="534"/>
      <c r="H18" s="536"/>
      <c r="I18" s="582"/>
      <c r="J18" s="582"/>
      <c r="K18" s="534"/>
      <c r="L18" s="535"/>
      <c r="M18" s="582"/>
      <c r="N18" s="582"/>
      <c r="O18" s="582"/>
      <c r="P18" s="582"/>
      <c r="Q18" s="582"/>
      <c r="R18" s="3570"/>
      <c r="S18" s="536"/>
      <c r="T18" s="3570"/>
      <c r="U18" s="537"/>
      <c r="V18" s="534"/>
      <c r="W18" s="3570"/>
      <c r="X18" s="3570"/>
      <c r="Y18" s="3570"/>
      <c r="Z18" s="3570"/>
      <c r="AA18" s="3570"/>
      <c r="AB18" s="3570"/>
      <c r="BZ18" s="290"/>
      <c r="CA18" s="1460"/>
      <c r="CB18" s="1458" t="str">
        <f t="shared" si="1"/>
        <v/>
      </c>
      <c r="CC18" s="1458" t="str">
        <f t="shared" si="2"/>
        <v/>
      </c>
      <c r="CD18" s="1458" t="str">
        <f t="shared" si="3"/>
        <v/>
      </c>
      <c r="CE18" s="1458" t="str">
        <f t="shared" si="4"/>
        <v/>
      </c>
      <c r="CF18" s="1458" t="str">
        <f t="shared" si="5"/>
        <v/>
      </c>
      <c r="DA18" s="1451"/>
      <c r="DB18" s="1461"/>
      <c r="DC18" s="1461"/>
      <c r="DD18" s="1461"/>
      <c r="DE18" s="1461"/>
      <c r="DF18" s="1461"/>
    </row>
    <row r="19" spans="1:110" ht="15" thickTop="1" x14ac:dyDescent="0.2">
      <c r="A19" s="8410" t="s">
        <v>3027</v>
      </c>
      <c r="B19" s="8411"/>
      <c r="C19" s="3398"/>
      <c r="D19" s="824"/>
      <c r="E19" s="1828"/>
      <c r="F19" s="1828"/>
      <c r="G19" s="1145"/>
      <c r="H19" s="824"/>
      <c r="I19" s="747"/>
      <c r="J19" s="747"/>
      <c r="K19" s="1145"/>
      <c r="L19" s="3398"/>
      <c r="M19" s="747"/>
      <c r="N19" s="747"/>
      <c r="O19" s="747"/>
      <c r="P19" s="747"/>
      <c r="Q19" s="747"/>
      <c r="R19" s="2496"/>
      <c r="S19" s="824"/>
      <c r="T19" s="2496"/>
      <c r="U19" s="1828"/>
      <c r="V19" s="1145"/>
      <c r="W19" s="2496"/>
      <c r="X19" s="2496"/>
      <c r="Y19" s="2496"/>
      <c r="Z19" s="2496"/>
      <c r="AA19" s="2496"/>
      <c r="AB19" s="2496"/>
      <c r="BZ19" s="290"/>
      <c r="CA19" s="1460"/>
      <c r="CB19" s="1458" t="str">
        <f t="shared" si="1"/>
        <v/>
      </c>
      <c r="CC19" s="1458" t="str">
        <f t="shared" si="2"/>
        <v/>
      </c>
      <c r="CD19" s="1458" t="str">
        <f t="shared" si="3"/>
        <v/>
      </c>
      <c r="CE19" s="1458" t="str">
        <f t="shared" si="4"/>
        <v/>
      </c>
      <c r="CF19" s="1458" t="str">
        <f t="shared" si="5"/>
        <v/>
      </c>
      <c r="DA19" s="1451"/>
      <c r="DB19" s="1461"/>
      <c r="DC19" s="1461"/>
      <c r="DD19" s="1461"/>
      <c r="DE19" s="1461"/>
      <c r="DF19" s="1461"/>
    </row>
    <row r="20" spans="1:110" ht="15" thickBot="1" x14ac:dyDescent="0.25">
      <c r="A20" s="9952" t="s">
        <v>1309</v>
      </c>
      <c r="B20" s="9953"/>
      <c r="C20" s="3571"/>
      <c r="D20" s="3572"/>
      <c r="E20" s="3573"/>
      <c r="F20" s="3573"/>
      <c r="G20" s="3574"/>
      <c r="H20" s="3572"/>
      <c r="I20" s="3575"/>
      <c r="J20" s="3575"/>
      <c r="K20" s="3574"/>
      <c r="L20" s="3571"/>
      <c r="M20" s="3575"/>
      <c r="N20" s="3575"/>
      <c r="O20" s="3575"/>
      <c r="P20" s="3575"/>
      <c r="Q20" s="3575"/>
      <c r="R20" s="3576"/>
      <c r="S20" s="3572"/>
      <c r="T20" s="3576"/>
      <c r="U20" s="3573"/>
      <c r="V20" s="3574"/>
      <c r="W20" s="3576"/>
      <c r="X20" s="3576"/>
      <c r="Y20" s="3576"/>
      <c r="Z20" s="3576"/>
      <c r="AA20" s="3576"/>
      <c r="AB20" s="3576"/>
      <c r="BZ20" s="290"/>
      <c r="CA20" s="1460"/>
      <c r="CB20" s="1458" t="str">
        <f t="shared" si="1"/>
        <v/>
      </c>
      <c r="CC20" s="1458" t="str">
        <f t="shared" si="2"/>
        <v/>
      </c>
      <c r="CD20" s="1458" t="str">
        <f t="shared" si="3"/>
        <v/>
      </c>
      <c r="CE20" s="1458" t="str">
        <f t="shared" si="4"/>
        <v/>
      </c>
      <c r="CF20" s="1458" t="str">
        <f t="shared" si="5"/>
        <v/>
      </c>
      <c r="DA20" s="1451"/>
      <c r="DB20" s="1461"/>
      <c r="DC20" s="1461"/>
      <c r="DD20" s="1461"/>
      <c r="DE20" s="1461"/>
      <c r="DF20" s="1461"/>
    </row>
    <row r="21" spans="1:110" ht="21.75" thickTop="1" x14ac:dyDescent="0.2">
      <c r="A21" s="9954" t="s">
        <v>3028</v>
      </c>
      <c r="B21" s="3577" t="s">
        <v>4014</v>
      </c>
      <c r="C21" s="3578"/>
      <c r="D21" s="3137"/>
      <c r="E21" s="3579"/>
      <c r="F21" s="3579"/>
      <c r="G21" s="1993"/>
      <c r="H21" s="3137"/>
      <c r="I21" s="3580"/>
      <c r="J21" s="3580"/>
      <c r="K21" s="1993"/>
      <c r="L21" s="3578"/>
      <c r="M21" s="3580"/>
      <c r="N21" s="3580"/>
      <c r="O21" s="3580"/>
      <c r="P21" s="3580"/>
      <c r="Q21" s="3580"/>
      <c r="R21" s="3581"/>
      <c r="S21" s="3116"/>
      <c r="T21" s="568"/>
      <c r="U21" s="7942"/>
      <c r="V21" s="1993"/>
      <c r="W21" s="3581"/>
      <c r="X21" s="3581"/>
      <c r="Y21" s="3581"/>
      <c r="Z21" s="3581"/>
      <c r="AA21" s="3581"/>
      <c r="AB21" s="3581"/>
      <c r="BZ21" s="290"/>
      <c r="CA21" s="1460"/>
      <c r="CB21" s="1458" t="str">
        <f t="shared" si="1"/>
        <v/>
      </c>
      <c r="CC21" s="1458" t="str">
        <f t="shared" si="2"/>
        <v/>
      </c>
      <c r="CD21" s="1458" t="str">
        <f t="shared" si="3"/>
        <v/>
      </c>
      <c r="CE21" s="1458" t="str">
        <f t="shared" si="4"/>
        <v/>
      </c>
      <c r="CF21" s="1458" t="str">
        <f t="shared" si="5"/>
        <v/>
      </c>
      <c r="DA21" s="1451"/>
      <c r="DB21" s="1461"/>
      <c r="DC21" s="1461"/>
      <c r="DD21" s="1461"/>
      <c r="DE21" s="1461"/>
      <c r="DF21" s="1461"/>
    </row>
    <row r="22" spans="1:110" ht="21.75" thickBot="1" x14ac:dyDescent="0.25">
      <c r="A22" s="9955"/>
      <c r="B22" s="3582" t="s">
        <v>4015</v>
      </c>
      <c r="C22" s="3571"/>
      <c r="D22" s="3583"/>
      <c r="E22" s="3575"/>
      <c r="F22" s="3575"/>
      <c r="G22" s="3574"/>
      <c r="H22" s="3572"/>
      <c r="I22" s="3575"/>
      <c r="J22" s="3575"/>
      <c r="K22" s="3574"/>
      <c r="L22" s="3571"/>
      <c r="M22" s="3575"/>
      <c r="N22" s="3575"/>
      <c r="O22" s="3575"/>
      <c r="P22" s="3575"/>
      <c r="Q22" s="3575"/>
      <c r="R22" s="3576"/>
      <c r="S22" s="3572"/>
      <c r="T22" s="2688"/>
      <c r="U22" s="7943"/>
      <c r="V22" s="3574"/>
      <c r="W22" s="3576"/>
      <c r="X22" s="3576"/>
      <c r="Y22" s="3576"/>
      <c r="Z22" s="3576"/>
      <c r="AA22" s="3576"/>
      <c r="AB22" s="3576"/>
      <c r="BZ22" s="290"/>
      <c r="CA22" s="1460"/>
      <c r="CB22" s="1458" t="str">
        <f t="shared" si="1"/>
        <v/>
      </c>
      <c r="CC22" s="1458" t="str">
        <f t="shared" si="2"/>
        <v/>
      </c>
      <c r="CD22" s="1458" t="str">
        <f t="shared" si="3"/>
        <v/>
      </c>
      <c r="CE22" s="1458" t="str">
        <f t="shared" si="4"/>
        <v/>
      </c>
      <c r="CF22" s="1458" t="str">
        <f t="shared" si="5"/>
        <v/>
      </c>
      <c r="DA22" s="1451"/>
      <c r="DB22" s="1461"/>
      <c r="DC22" s="1461"/>
      <c r="DD22" s="1461"/>
      <c r="DE22" s="1461"/>
      <c r="DF22" s="1461"/>
    </row>
    <row r="23" spans="1:110" ht="15" customHeight="1" thickTop="1" x14ac:dyDescent="0.2">
      <c r="A23" s="806"/>
      <c r="B23" s="7686"/>
      <c r="C23" s="806"/>
      <c r="D23" s="3284"/>
      <c r="E23" s="3285"/>
      <c r="F23" s="3284"/>
      <c r="G23" s="3284"/>
      <c r="H23" s="3284"/>
      <c r="I23" s="3284"/>
      <c r="J23" s="3285"/>
      <c r="K23" s="3284"/>
      <c r="L23" s="3284"/>
      <c r="M23" s="3286"/>
      <c r="N23" s="2443"/>
      <c r="O23" s="2443"/>
      <c r="P23" s="2443"/>
      <c r="Q23" s="2443"/>
      <c r="R23" s="2443"/>
      <c r="S23" s="2716"/>
      <c r="T23" s="2716"/>
      <c r="U23" s="2716"/>
      <c r="V23" s="2716"/>
      <c r="W23" s="2716"/>
      <c r="X23" s="2716"/>
      <c r="Y23" s="2716"/>
      <c r="Z23" s="2716"/>
      <c r="CA23" s="1451"/>
    </row>
    <row r="24" spans="1:110" ht="15" customHeight="1" x14ac:dyDescent="0.2">
      <c r="A24" s="746" t="s">
        <v>2973</v>
      </c>
      <c r="B24" s="746"/>
      <c r="C24" s="807"/>
      <c r="D24" s="806"/>
      <c r="E24" s="806"/>
      <c r="F24" s="728"/>
      <c r="G24" s="806"/>
      <c r="H24" s="806"/>
      <c r="I24" s="806"/>
      <c r="J24" s="728"/>
      <c r="K24" s="806"/>
      <c r="L24" s="806"/>
      <c r="M24" s="223"/>
      <c r="N24" s="140"/>
      <c r="O24" s="140"/>
      <c r="P24" s="140"/>
      <c r="Q24" s="140"/>
      <c r="R24" s="140"/>
      <c r="S24" s="290"/>
      <c r="T24" s="290"/>
      <c r="U24" s="290"/>
      <c r="CA24" s="1451"/>
    </row>
    <row r="25" spans="1:110" ht="25.9" customHeight="1" x14ac:dyDescent="0.2">
      <c r="A25" s="9990" t="s">
        <v>2974</v>
      </c>
      <c r="B25" s="9991"/>
      <c r="C25" s="3584" t="s">
        <v>24</v>
      </c>
      <c r="D25" s="3585" t="s">
        <v>2975</v>
      </c>
      <c r="E25" s="3585" t="s">
        <v>2976</v>
      </c>
      <c r="F25" s="3585" t="s">
        <v>3615</v>
      </c>
      <c r="G25" s="806"/>
      <c r="H25" s="806"/>
      <c r="I25" s="806"/>
      <c r="J25" s="728"/>
      <c r="K25" s="806"/>
      <c r="L25" s="806"/>
      <c r="M25" s="223"/>
      <c r="N25" s="140"/>
      <c r="O25" s="140"/>
      <c r="P25" s="140"/>
      <c r="Q25" s="140"/>
      <c r="R25" s="140"/>
      <c r="S25" s="290"/>
      <c r="T25" s="290"/>
      <c r="U25" s="290"/>
      <c r="DA25" s="3351" t="s">
        <v>3546</v>
      </c>
    </row>
    <row r="26" spans="1:110" ht="15" customHeight="1" x14ac:dyDescent="0.2">
      <c r="A26" s="10025" t="s">
        <v>2977</v>
      </c>
      <c r="B26" s="10026"/>
      <c r="C26" s="7413">
        <f t="shared" ref="C26:C36" si="6">SUM(D26:F26)</f>
        <v>0</v>
      </c>
      <c r="D26" s="3586"/>
      <c r="E26" s="3586"/>
      <c r="F26" s="3586"/>
      <c r="G26" s="290" t="str">
        <f>CA26&amp;CB26&amp;CC26&amp;CD26&amp;CE26</f>
        <v/>
      </c>
      <c r="H26" s="806"/>
      <c r="I26" s="806"/>
      <c r="J26" s="728"/>
      <c r="K26" s="806"/>
      <c r="L26" s="806"/>
      <c r="M26" s="223"/>
      <c r="N26" s="140"/>
      <c r="O26" s="140"/>
      <c r="P26" s="140"/>
      <c r="Q26" s="140"/>
      <c r="R26" s="140"/>
      <c r="S26" s="290"/>
      <c r="T26" s="290"/>
      <c r="U26" s="290"/>
      <c r="CA26" s="1458" t="str">
        <f>IF(DA26=1," * El Total de partos por cantidad de semanas no puede ser mayor al Total de Partos vaginales registrado. ","")</f>
        <v/>
      </c>
      <c r="DA26" s="1461"/>
    </row>
    <row r="27" spans="1:110" ht="15" customHeight="1" x14ac:dyDescent="0.2">
      <c r="A27" s="10027" t="s">
        <v>2978</v>
      </c>
      <c r="B27" s="3587" t="s">
        <v>2979</v>
      </c>
      <c r="C27" s="3404">
        <f t="shared" si="6"/>
        <v>0</v>
      </c>
      <c r="D27" s="3588"/>
      <c r="E27" s="3588"/>
      <c r="F27" s="3588"/>
      <c r="G27" s="290" t="str">
        <f t="shared" ref="G27:G36" si="7">CA27&amp;CB27&amp;CC27&amp;CD27&amp;CE27</f>
        <v/>
      </c>
      <c r="H27" s="806"/>
      <c r="I27" s="806"/>
      <c r="J27" s="728"/>
      <c r="K27" s="806"/>
      <c r="L27" s="806"/>
      <c r="M27" s="223"/>
      <c r="N27" s="140"/>
      <c r="O27" s="140"/>
      <c r="P27" s="140"/>
      <c r="Q27" s="140"/>
      <c r="R27" s="140"/>
      <c r="S27" s="290"/>
      <c r="T27" s="290"/>
      <c r="U27" s="290"/>
      <c r="CA27" s="1458" t="str">
        <f t="shared" ref="CA27:CA36" si="8">IF(DA27=1," * El Total de partos por cantidad de semanas no puede ser mayor al Total de Partos vaginales registrado. ","")</f>
        <v/>
      </c>
      <c r="DA27" s="1461"/>
    </row>
    <row r="28" spans="1:110" ht="15" customHeight="1" x14ac:dyDescent="0.2">
      <c r="A28" s="10028"/>
      <c r="B28" s="3589" t="s">
        <v>2980</v>
      </c>
      <c r="C28" s="2990">
        <f t="shared" si="6"/>
        <v>0</v>
      </c>
      <c r="D28" s="3590"/>
      <c r="E28" s="3590"/>
      <c r="F28" s="3590"/>
      <c r="G28" s="290" t="str">
        <f t="shared" si="7"/>
        <v/>
      </c>
      <c r="H28" s="806"/>
      <c r="I28" s="806"/>
      <c r="J28" s="728"/>
      <c r="K28" s="806"/>
      <c r="L28" s="806"/>
      <c r="M28" s="223"/>
      <c r="N28" s="140"/>
      <c r="O28" s="140"/>
      <c r="P28" s="140"/>
      <c r="Q28" s="140"/>
      <c r="R28" s="140"/>
      <c r="S28" s="290"/>
      <c r="T28" s="290"/>
      <c r="U28" s="290"/>
      <c r="CA28" s="1458" t="str">
        <f t="shared" si="8"/>
        <v/>
      </c>
      <c r="DA28" s="1461"/>
    </row>
    <row r="29" spans="1:110" ht="15" customHeight="1" x14ac:dyDescent="0.2">
      <c r="A29" s="8412" t="s">
        <v>3754</v>
      </c>
      <c r="B29" s="8413"/>
      <c r="C29" s="3404">
        <f t="shared" si="6"/>
        <v>0</v>
      </c>
      <c r="D29" s="3591"/>
      <c r="E29" s="3591"/>
      <c r="F29" s="3591"/>
      <c r="G29" s="290" t="str">
        <f t="shared" si="7"/>
        <v/>
      </c>
      <c r="H29" s="806"/>
      <c r="I29" s="806"/>
      <c r="J29" s="728"/>
      <c r="K29" s="806"/>
      <c r="L29" s="806"/>
      <c r="M29" s="223"/>
      <c r="N29" s="140"/>
      <c r="O29" s="140"/>
      <c r="P29" s="140"/>
      <c r="Q29" s="140"/>
      <c r="R29" s="140"/>
      <c r="S29" s="290"/>
      <c r="T29" s="290"/>
      <c r="U29" s="290"/>
      <c r="CA29" s="1458" t="str">
        <f t="shared" si="8"/>
        <v/>
      </c>
      <c r="DA29" s="1461"/>
    </row>
    <row r="30" spans="1:110" ht="15" customHeight="1" x14ac:dyDescent="0.2">
      <c r="A30" s="9085" t="s">
        <v>2981</v>
      </c>
      <c r="B30" s="9945"/>
      <c r="C30" s="1878">
        <f t="shared" si="6"/>
        <v>0</v>
      </c>
      <c r="D30" s="3592"/>
      <c r="E30" s="3592"/>
      <c r="F30" s="3592"/>
      <c r="G30" s="290" t="str">
        <f t="shared" si="7"/>
        <v/>
      </c>
      <c r="H30" s="806"/>
      <c r="I30" s="806"/>
      <c r="J30" s="728"/>
      <c r="K30" s="806"/>
      <c r="L30" s="806"/>
      <c r="M30" s="223"/>
      <c r="N30" s="140"/>
      <c r="O30" s="140"/>
      <c r="P30" s="140"/>
      <c r="Q30" s="140"/>
      <c r="R30" s="140"/>
      <c r="S30" s="290"/>
      <c r="T30" s="290"/>
      <c r="U30" s="290"/>
      <c r="CA30" s="1458" t="str">
        <f t="shared" si="8"/>
        <v/>
      </c>
      <c r="DA30" s="1461"/>
    </row>
    <row r="31" spans="1:110" ht="15" customHeight="1" x14ac:dyDescent="0.2">
      <c r="A31" s="10029" t="s">
        <v>2982</v>
      </c>
      <c r="B31" s="10030"/>
      <c r="C31" s="2990">
        <f t="shared" si="6"/>
        <v>0</v>
      </c>
      <c r="D31" s="3593"/>
      <c r="E31" s="3593"/>
      <c r="F31" s="3593"/>
      <c r="G31" s="290" t="str">
        <f t="shared" si="7"/>
        <v/>
      </c>
      <c r="H31" s="806"/>
      <c r="I31" s="806"/>
      <c r="J31" s="728"/>
      <c r="K31" s="806"/>
      <c r="L31" s="806"/>
      <c r="M31" s="223"/>
      <c r="N31" s="140"/>
      <c r="O31" s="140"/>
      <c r="P31" s="140"/>
      <c r="Q31" s="140"/>
      <c r="R31" s="140"/>
      <c r="S31" s="290"/>
      <c r="T31" s="290"/>
      <c r="U31" s="290"/>
      <c r="CA31" s="1458" t="str">
        <f t="shared" si="8"/>
        <v/>
      </c>
      <c r="DA31" s="1461"/>
    </row>
    <row r="32" spans="1:110" ht="15" customHeight="1" x14ac:dyDescent="0.2">
      <c r="A32" s="9950" t="s">
        <v>2983</v>
      </c>
      <c r="B32" s="3594" t="s">
        <v>2984</v>
      </c>
      <c r="C32" s="3404">
        <f t="shared" si="6"/>
        <v>0</v>
      </c>
      <c r="D32" s="3588"/>
      <c r="E32" s="3588"/>
      <c r="F32" s="3588"/>
      <c r="G32" s="290" t="str">
        <f t="shared" si="7"/>
        <v/>
      </c>
      <c r="H32" s="806"/>
      <c r="I32" s="806"/>
      <c r="J32" s="728"/>
      <c r="K32" s="806"/>
      <c r="L32" s="806"/>
      <c r="M32" s="223"/>
      <c r="N32" s="140"/>
      <c r="O32" s="140"/>
      <c r="P32" s="140"/>
      <c r="Q32" s="140"/>
      <c r="R32" s="140"/>
      <c r="S32" s="290"/>
      <c r="T32" s="290"/>
      <c r="U32" s="290"/>
      <c r="CA32" s="1458" t="str">
        <f t="shared" si="8"/>
        <v/>
      </c>
      <c r="DA32" s="1461"/>
    </row>
    <row r="33" spans="1:105" ht="15" customHeight="1" x14ac:dyDescent="0.2">
      <c r="A33" s="9951"/>
      <c r="B33" s="3595" t="s">
        <v>2985</v>
      </c>
      <c r="C33" s="2990">
        <f t="shared" si="6"/>
        <v>0</v>
      </c>
      <c r="D33" s="3590"/>
      <c r="E33" s="3590"/>
      <c r="F33" s="3590"/>
      <c r="G33" s="290" t="str">
        <f t="shared" si="7"/>
        <v/>
      </c>
      <c r="H33" s="806"/>
      <c r="I33" s="806"/>
      <c r="J33" s="728"/>
      <c r="K33" s="806"/>
      <c r="L33" s="806"/>
      <c r="M33" s="223"/>
      <c r="N33" s="140"/>
      <c r="O33" s="140"/>
      <c r="P33" s="140"/>
      <c r="Q33" s="140"/>
      <c r="R33" s="140"/>
      <c r="S33" s="290"/>
      <c r="T33" s="290"/>
      <c r="U33" s="290"/>
      <c r="CA33" s="1458" t="str">
        <f t="shared" si="8"/>
        <v/>
      </c>
      <c r="DA33" s="1461"/>
    </row>
    <row r="34" spans="1:105" ht="15" customHeight="1" x14ac:dyDescent="0.2">
      <c r="A34" s="9942" t="s">
        <v>2986</v>
      </c>
      <c r="B34" s="9943"/>
      <c r="C34" s="7414">
        <f t="shared" si="6"/>
        <v>0</v>
      </c>
      <c r="D34" s="3586"/>
      <c r="E34" s="3586"/>
      <c r="F34" s="3586"/>
      <c r="G34" s="290" t="str">
        <f t="shared" si="7"/>
        <v/>
      </c>
      <c r="H34" s="806"/>
      <c r="I34" s="806"/>
      <c r="J34" s="728"/>
      <c r="K34" s="806"/>
      <c r="L34" s="806"/>
      <c r="M34" s="223"/>
      <c r="N34" s="140"/>
      <c r="O34" s="140"/>
      <c r="P34" s="140"/>
      <c r="Q34" s="140"/>
      <c r="R34" s="140"/>
      <c r="S34" s="290"/>
      <c r="T34" s="290"/>
      <c r="U34" s="290"/>
      <c r="CA34" s="1458" t="str">
        <f t="shared" si="8"/>
        <v/>
      </c>
      <c r="DA34" s="1461"/>
    </row>
    <row r="35" spans="1:105" ht="22.9" customHeight="1" x14ac:dyDescent="0.2">
      <c r="A35" s="9950" t="s">
        <v>2987</v>
      </c>
      <c r="B35" s="3596" t="s">
        <v>2988</v>
      </c>
      <c r="C35" s="3183">
        <f t="shared" si="6"/>
        <v>0</v>
      </c>
      <c r="D35" s="3588"/>
      <c r="E35" s="3588"/>
      <c r="F35" s="3588"/>
      <c r="G35" s="290" t="str">
        <f t="shared" si="7"/>
        <v/>
      </c>
      <c r="H35" s="806"/>
      <c r="I35" s="806"/>
      <c r="J35" s="728"/>
      <c r="K35" s="806"/>
      <c r="L35" s="806"/>
      <c r="M35" s="223"/>
      <c r="N35" s="140"/>
      <c r="O35" s="140"/>
      <c r="P35" s="140"/>
      <c r="Q35" s="140"/>
      <c r="R35" s="140"/>
      <c r="S35" s="290"/>
      <c r="T35" s="290"/>
      <c r="U35" s="290"/>
      <c r="CA35" s="1458" t="str">
        <f t="shared" si="8"/>
        <v/>
      </c>
      <c r="DA35" s="1461"/>
    </row>
    <row r="36" spans="1:105" ht="15" customHeight="1" x14ac:dyDescent="0.2">
      <c r="A36" s="9951"/>
      <c r="B36" s="3589" t="s">
        <v>2989</v>
      </c>
      <c r="C36" s="2990">
        <f t="shared" si="6"/>
        <v>0</v>
      </c>
      <c r="D36" s="3590"/>
      <c r="E36" s="3590"/>
      <c r="F36" s="3590"/>
      <c r="G36" s="290" t="str">
        <f t="shared" si="7"/>
        <v/>
      </c>
      <c r="H36" s="806"/>
      <c r="I36" s="806"/>
      <c r="J36" s="728"/>
      <c r="K36" s="806"/>
      <c r="L36" s="806"/>
      <c r="M36" s="223"/>
      <c r="N36" s="140"/>
      <c r="O36" s="140"/>
      <c r="P36" s="140"/>
      <c r="Q36" s="140"/>
      <c r="R36" s="140"/>
      <c r="S36" s="290"/>
      <c r="T36" s="290"/>
      <c r="U36" s="290"/>
      <c r="CA36" s="1458" t="str">
        <f t="shared" si="8"/>
        <v/>
      </c>
      <c r="DA36" s="1461"/>
    </row>
    <row r="37" spans="1:105" ht="15" customHeight="1" x14ac:dyDescent="0.2">
      <c r="A37" s="3135" t="s">
        <v>2990</v>
      </c>
      <c r="B37" s="806"/>
      <c r="C37" s="806"/>
      <c r="D37" s="806"/>
      <c r="E37" s="806"/>
      <c r="F37" s="806"/>
      <c r="G37" s="806"/>
      <c r="H37" s="806"/>
      <c r="I37" s="806"/>
      <c r="J37" s="728"/>
      <c r="K37" s="806"/>
      <c r="L37" s="806"/>
      <c r="M37" s="223"/>
      <c r="N37" s="140"/>
      <c r="O37" s="140"/>
      <c r="P37" s="140"/>
      <c r="Q37" s="140"/>
      <c r="R37" s="140"/>
      <c r="S37" s="290"/>
      <c r="T37" s="290"/>
      <c r="U37" s="290"/>
    </row>
    <row r="38" spans="1:105" ht="26.45" customHeight="1" x14ac:dyDescent="0.2">
      <c r="A38" s="2153" t="s">
        <v>3482</v>
      </c>
      <c r="B38" s="798"/>
      <c r="C38" s="801"/>
      <c r="D38" s="3129"/>
      <c r="E38" s="3130"/>
      <c r="F38" s="3129"/>
      <c r="G38" s="3129"/>
      <c r="H38" s="806"/>
      <c r="I38" s="806"/>
      <c r="J38" s="728"/>
      <c r="K38" s="806"/>
      <c r="L38" s="806"/>
      <c r="M38" s="223"/>
      <c r="N38" s="140"/>
      <c r="O38" s="140"/>
      <c r="P38" s="140"/>
      <c r="Q38" s="140"/>
      <c r="R38" s="140"/>
      <c r="S38" s="290"/>
      <c r="T38" s="290"/>
      <c r="U38" s="290"/>
    </row>
    <row r="39" spans="1:105" ht="25.15" customHeight="1" x14ac:dyDescent="0.2">
      <c r="A39" s="9987" t="s">
        <v>2968</v>
      </c>
      <c r="B39" s="9988"/>
      <c r="C39" s="3597" t="s">
        <v>2969</v>
      </c>
      <c r="D39" s="3597" t="s">
        <v>96</v>
      </c>
      <c r="E39" s="728"/>
      <c r="F39" s="806"/>
      <c r="G39" s="806"/>
      <c r="H39" s="806"/>
      <c r="I39" s="806"/>
      <c r="J39" s="728"/>
      <c r="K39" s="806"/>
      <c r="L39" s="806"/>
      <c r="M39" s="223"/>
      <c r="N39" s="140"/>
      <c r="O39" s="140"/>
      <c r="P39" s="140"/>
      <c r="Q39" s="140"/>
      <c r="R39" s="140"/>
      <c r="S39" s="290"/>
      <c r="T39" s="290"/>
      <c r="U39" s="290"/>
    </row>
    <row r="40" spans="1:105" ht="26.25" customHeight="1" x14ac:dyDescent="0.2">
      <c r="A40" s="9969" t="s">
        <v>3616</v>
      </c>
      <c r="B40" s="9970"/>
      <c r="C40" s="3282"/>
      <c r="D40" s="3282"/>
      <c r="E40" s="728"/>
      <c r="F40" s="806"/>
      <c r="G40" s="806"/>
      <c r="H40" s="806"/>
      <c r="I40" s="806"/>
      <c r="J40" s="728"/>
      <c r="K40" s="806"/>
      <c r="L40" s="806"/>
      <c r="M40" s="223"/>
      <c r="N40" s="140"/>
      <c r="O40" s="140"/>
      <c r="P40" s="140"/>
      <c r="Q40" s="140"/>
      <c r="R40" s="140"/>
      <c r="S40" s="290"/>
      <c r="T40" s="290"/>
      <c r="U40" s="290"/>
    </row>
    <row r="41" spans="1:105" ht="15.95" customHeight="1" x14ac:dyDescent="0.2">
      <c r="A41" s="9989" t="s">
        <v>3617</v>
      </c>
      <c r="B41" s="3609" t="s">
        <v>2970</v>
      </c>
      <c r="C41" s="3059"/>
      <c r="D41" s="3059"/>
      <c r="E41" s="728"/>
      <c r="F41" s="806"/>
      <c r="G41" s="806"/>
      <c r="H41" s="806"/>
      <c r="I41" s="806"/>
      <c r="J41" s="728"/>
      <c r="K41" s="806"/>
      <c r="L41" s="806"/>
      <c r="M41" s="223"/>
      <c r="N41" s="140"/>
      <c r="O41" s="140"/>
      <c r="P41" s="140"/>
      <c r="Q41" s="140"/>
      <c r="R41" s="140"/>
      <c r="S41" s="290"/>
      <c r="T41" s="290"/>
      <c r="U41" s="290"/>
    </row>
    <row r="42" spans="1:105" ht="15.95" customHeight="1" x14ac:dyDescent="0.2">
      <c r="A42" s="9949"/>
      <c r="B42" s="3610" t="s">
        <v>2971</v>
      </c>
      <c r="C42" s="3127"/>
      <c r="D42" s="3127"/>
      <c r="E42" s="728"/>
      <c r="F42" s="806"/>
      <c r="G42" s="806"/>
      <c r="H42" s="806"/>
      <c r="I42" s="806"/>
      <c r="J42" s="728"/>
      <c r="K42" s="806"/>
      <c r="L42" s="806"/>
      <c r="M42" s="223"/>
      <c r="N42" s="140"/>
      <c r="O42" s="140"/>
      <c r="P42" s="140"/>
      <c r="Q42" s="140"/>
      <c r="R42" s="140"/>
      <c r="S42" s="290"/>
      <c r="T42" s="290"/>
      <c r="U42" s="290"/>
    </row>
    <row r="43" spans="1:105" ht="25.5" customHeight="1" x14ac:dyDescent="0.2">
      <c r="A43" s="9968" t="s">
        <v>3618</v>
      </c>
      <c r="B43" s="9968"/>
      <c r="C43" s="7290"/>
      <c r="D43" s="7290"/>
      <c r="E43" s="728"/>
      <c r="F43" s="806"/>
      <c r="G43" s="806"/>
      <c r="H43" s="806"/>
      <c r="I43" s="806"/>
      <c r="J43" s="728"/>
      <c r="K43" s="806"/>
      <c r="L43" s="806"/>
      <c r="M43" s="223"/>
      <c r="N43" s="140"/>
      <c r="O43" s="140"/>
      <c r="P43" s="140"/>
      <c r="Q43" s="140"/>
      <c r="R43" s="140"/>
      <c r="S43" s="290"/>
      <c r="T43" s="290"/>
      <c r="U43" s="290"/>
    </row>
    <row r="44" spans="1:105" ht="26.25" customHeight="1" x14ac:dyDescent="0.2">
      <c r="A44" s="10024" t="s">
        <v>3619</v>
      </c>
      <c r="B44" s="10024"/>
      <c r="C44" s="7331"/>
      <c r="D44" s="7322"/>
      <c r="E44" s="728"/>
      <c r="F44" s="806"/>
      <c r="G44" s="806"/>
      <c r="H44" s="806"/>
      <c r="I44" s="806"/>
      <c r="J44" s="728"/>
      <c r="K44" s="806"/>
      <c r="L44" s="806"/>
      <c r="M44" s="223"/>
      <c r="N44" s="140"/>
      <c r="O44" s="140"/>
      <c r="P44" s="140"/>
      <c r="Q44" s="140"/>
      <c r="R44" s="140"/>
      <c r="S44" s="290"/>
      <c r="T44" s="290"/>
      <c r="U44" s="290"/>
    </row>
    <row r="45" spans="1:105" ht="22.5" customHeight="1" x14ac:dyDescent="0.2">
      <c r="A45" s="9948" t="s">
        <v>3620</v>
      </c>
      <c r="B45" s="3611" t="s">
        <v>3621</v>
      </c>
      <c r="C45" s="3059"/>
      <c r="D45" s="3059"/>
      <c r="E45" s="728"/>
      <c r="F45" s="806"/>
      <c r="G45" s="806"/>
      <c r="H45" s="806"/>
      <c r="I45" s="806"/>
      <c r="J45" s="728"/>
      <c r="K45" s="806"/>
      <c r="L45" s="806"/>
      <c r="M45" s="223"/>
      <c r="N45" s="140"/>
      <c r="O45" s="140"/>
      <c r="P45" s="140"/>
      <c r="Q45" s="140"/>
      <c r="R45" s="140"/>
      <c r="S45" s="290"/>
      <c r="T45" s="290"/>
      <c r="U45" s="290"/>
    </row>
    <row r="46" spans="1:105" ht="25.5" customHeight="1" x14ac:dyDescent="0.2">
      <c r="A46" s="9949"/>
      <c r="B46" s="3612" t="s">
        <v>3622</v>
      </c>
      <c r="C46" s="3329"/>
      <c r="D46" s="3127"/>
      <c r="E46" s="728"/>
      <c r="F46" s="806"/>
      <c r="G46" s="806"/>
      <c r="H46" s="806"/>
      <c r="I46" s="806"/>
      <c r="J46" s="728"/>
      <c r="K46" s="806"/>
      <c r="L46" s="806"/>
      <c r="M46" s="223"/>
      <c r="N46" s="140"/>
      <c r="O46" s="140"/>
      <c r="P46" s="140"/>
      <c r="Q46" s="140"/>
      <c r="R46" s="140"/>
      <c r="S46" s="290"/>
      <c r="T46" s="290"/>
      <c r="U46" s="290"/>
    </row>
    <row r="47" spans="1:105" ht="15.95" customHeight="1" x14ac:dyDescent="0.2">
      <c r="A47" s="9946" t="s">
        <v>3623</v>
      </c>
      <c r="B47" s="9947"/>
      <c r="C47" s="7290"/>
      <c r="D47" s="7290"/>
      <c r="E47" s="728"/>
      <c r="F47" s="806"/>
      <c r="G47" s="806"/>
      <c r="H47" s="806"/>
      <c r="I47" s="806"/>
      <c r="J47" s="728"/>
      <c r="K47" s="806"/>
      <c r="L47" s="806"/>
      <c r="M47" s="223"/>
      <c r="N47" s="140"/>
      <c r="O47" s="140"/>
      <c r="P47" s="140"/>
      <c r="Q47" s="140"/>
      <c r="R47" s="140"/>
      <c r="S47" s="290"/>
      <c r="T47" s="290"/>
      <c r="U47" s="290"/>
    </row>
    <row r="48" spans="1:105" ht="15.95" customHeight="1" x14ac:dyDescent="0.2">
      <c r="A48" s="9946" t="s">
        <v>3624</v>
      </c>
      <c r="B48" s="9947"/>
      <c r="C48" s="7290"/>
      <c r="D48" s="7290"/>
      <c r="E48" s="728"/>
      <c r="F48" s="806"/>
      <c r="G48" s="806"/>
      <c r="H48" s="806"/>
      <c r="I48" s="806"/>
      <c r="J48" s="728"/>
      <c r="K48" s="806"/>
      <c r="L48" s="806"/>
      <c r="M48" s="223"/>
      <c r="N48" s="140"/>
      <c r="O48" s="140"/>
      <c r="P48" s="140"/>
      <c r="Q48" s="140"/>
      <c r="R48" s="140"/>
      <c r="S48" s="290"/>
      <c r="T48" s="290"/>
      <c r="U48" s="290"/>
    </row>
    <row r="49" spans="1:21" ht="24" customHeight="1" x14ac:dyDescent="0.2">
      <c r="A49" s="9946" t="s">
        <v>3625</v>
      </c>
      <c r="B49" s="9947"/>
      <c r="C49" s="7290"/>
      <c r="D49" s="7290"/>
      <c r="E49" s="728"/>
      <c r="F49" s="806"/>
      <c r="G49" s="806"/>
      <c r="H49" s="806"/>
      <c r="I49" s="806"/>
      <c r="J49" s="728"/>
      <c r="K49" s="806"/>
      <c r="L49" s="806"/>
      <c r="M49" s="223"/>
      <c r="N49" s="140"/>
      <c r="O49" s="140"/>
      <c r="P49" s="140"/>
      <c r="Q49" s="140"/>
      <c r="R49" s="140"/>
      <c r="S49" s="290"/>
      <c r="T49" s="290"/>
      <c r="U49" s="290"/>
    </row>
    <row r="50" spans="1:21" ht="29.25" customHeight="1" x14ac:dyDescent="0.2">
      <c r="A50" s="9946" t="s">
        <v>3626</v>
      </c>
      <c r="B50" s="9947"/>
      <c r="C50" s="7290"/>
      <c r="D50" s="7290"/>
      <c r="E50" s="728"/>
      <c r="F50" s="806"/>
      <c r="G50" s="806"/>
      <c r="H50" s="806"/>
      <c r="I50" s="806"/>
      <c r="J50" s="728"/>
      <c r="K50" s="806"/>
      <c r="L50" s="806"/>
      <c r="M50" s="223"/>
      <c r="N50" s="140"/>
      <c r="O50" s="140"/>
      <c r="P50" s="140"/>
      <c r="Q50" s="140"/>
      <c r="R50" s="140"/>
      <c r="S50" s="290"/>
      <c r="T50" s="290"/>
      <c r="U50" s="290"/>
    </row>
    <row r="51" spans="1:21" ht="22.5" customHeight="1" thickBot="1" x14ac:dyDescent="0.25">
      <c r="A51" s="10033" t="s">
        <v>3627</v>
      </c>
      <c r="B51" s="10034"/>
      <c r="C51" s="7957"/>
      <c r="D51" s="7957"/>
      <c r="E51" s="728"/>
      <c r="F51" s="806"/>
      <c r="G51" s="806"/>
      <c r="H51" s="806"/>
      <c r="I51" s="806"/>
      <c r="J51" s="728"/>
      <c r="K51" s="806"/>
      <c r="L51" s="806"/>
      <c r="M51" s="223"/>
      <c r="N51" s="140"/>
      <c r="O51" s="140"/>
      <c r="P51" s="140"/>
      <c r="Q51" s="140"/>
      <c r="R51" s="140"/>
      <c r="S51" s="290"/>
      <c r="T51" s="290"/>
      <c r="U51" s="290"/>
    </row>
    <row r="52" spans="1:21" ht="18" customHeight="1" thickTop="1" x14ac:dyDescent="0.2">
      <c r="A52" s="10035" t="s">
        <v>2972</v>
      </c>
      <c r="B52" s="10035"/>
      <c r="C52" s="7331"/>
      <c r="D52" s="7322"/>
      <c r="E52" s="728"/>
      <c r="F52" s="806"/>
      <c r="G52" s="806"/>
      <c r="H52" s="806"/>
      <c r="I52" s="806"/>
      <c r="J52" s="728"/>
      <c r="K52" s="806"/>
      <c r="L52" s="806"/>
      <c r="M52" s="223"/>
      <c r="N52" s="140"/>
      <c r="O52" s="140"/>
      <c r="P52" s="140"/>
      <c r="Q52" s="140"/>
      <c r="R52" s="140"/>
      <c r="S52" s="290"/>
      <c r="T52" s="290"/>
      <c r="U52" s="290"/>
    </row>
    <row r="53" spans="1:21" ht="25.15" customHeight="1" x14ac:dyDescent="0.2">
      <c r="A53" s="2153" t="s">
        <v>2954</v>
      </c>
      <c r="B53" s="798"/>
      <c r="C53" s="801"/>
      <c r="D53" s="3129"/>
      <c r="E53" s="728"/>
      <c r="F53" s="806"/>
      <c r="G53" s="806"/>
      <c r="H53" s="806"/>
      <c r="I53" s="806"/>
      <c r="J53" s="728"/>
      <c r="K53" s="806"/>
      <c r="L53" s="806"/>
      <c r="M53" s="223"/>
      <c r="N53" s="140"/>
      <c r="O53" s="140"/>
      <c r="P53" s="140"/>
      <c r="Q53" s="140"/>
      <c r="R53" s="140"/>
      <c r="S53" s="290"/>
      <c r="T53" s="290"/>
      <c r="U53" s="290"/>
    </row>
    <row r="54" spans="1:21" ht="31.9" customHeight="1" x14ac:dyDescent="0.2">
      <c r="A54" s="9987" t="s">
        <v>3009</v>
      </c>
      <c r="B54" s="9988"/>
      <c r="C54" s="3597" t="s">
        <v>2955</v>
      </c>
      <c r="D54" s="3605" t="s">
        <v>2956</v>
      </c>
      <c r="E54" s="728"/>
      <c r="F54" s="806"/>
      <c r="G54" s="806"/>
      <c r="H54" s="806"/>
      <c r="I54" s="806"/>
      <c r="J54" s="728"/>
      <c r="K54" s="806"/>
      <c r="L54" s="806"/>
      <c r="M54" s="223"/>
      <c r="N54" s="140"/>
      <c r="O54" s="140"/>
      <c r="P54" s="140"/>
      <c r="Q54" s="140"/>
      <c r="R54" s="140"/>
      <c r="S54" s="290"/>
      <c r="T54" s="290"/>
      <c r="U54" s="290"/>
    </row>
    <row r="55" spans="1:21" ht="15" customHeight="1" x14ac:dyDescent="0.2">
      <c r="A55" s="10036" t="s">
        <v>2957</v>
      </c>
      <c r="B55" s="3599" t="s">
        <v>2958</v>
      </c>
      <c r="C55" s="3113"/>
      <c r="D55" s="3113"/>
      <c r="E55" s="728"/>
      <c r="F55" s="806"/>
      <c r="G55" s="806"/>
      <c r="H55" s="806"/>
      <c r="I55" s="806"/>
      <c r="J55" s="728"/>
      <c r="K55" s="806"/>
      <c r="L55" s="806"/>
      <c r="M55" s="223"/>
      <c r="N55" s="140"/>
      <c r="O55" s="140"/>
      <c r="P55" s="140"/>
      <c r="Q55" s="140"/>
      <c r="R55" s="140"/>
      <c r="S55" s="290"/>
      <c r="T55" s="290"/>
      <c r="U55" s="290"/>
    </row>
    <row r="56" spans="1:21" ht="15" customHeight="1" x14ac:dyDescent="0.2">
      <c r="A56" s="10036"/>
      <c r="B56" s="3606" t="s">
        <v>2959</v>
      </c>
      <c r="C56" s="3113"/>
      <c r="D56" s="3113"/>
      <c r="E56" s="728"/>
      <c r="F56" s="806"/>
      <c r="G56" s="806"/>
      <c r="H56" s="806"/>
      <c r="I56" s="806"/>
      <c r="J56" s="728"/>
      <c r="K56" s="806"/>
      <c r="L56" s="806"/>
      <c r="M56" s="223"/>
      <c r="N56" s="140"/>
      <c r="O56" s="140"/>
      <c r="P56" s="140"/>
      <c r="Q56" s="140"/>
      <c r="R56" s="140"/>
      <c r="S56" s="290"/>
      <c r="T56" s="290"/>
      <c r="U56" s="290"/>
    </row>
    <row r="57" spans="1:21" ht="15" customHeight="1" x14ac:dyDescent="0.2">
      <c r="A57" s="10036"/>
      <c r="B57" s="3606" t="s">
        <v>2960</v>
      </c>
      <c r="C57" s="3113"/>
      <c r="D57" s="3113"/>
      <c r="E57" s="728"/>
      <c r="F57" s="806"/>
      <c r="G57" s="806"/>
      <c r="H57" s="806"/>
      <c r="I57" s="806"/>
      <c r="J57" s="728"/>
      <c r="K57" s="806"/>
      <c r="L57" s="806"/>
      <c r="M57" s="223"/>
      <c r="N57" s="140"/>
      <c r="O57" s="140"/>
      <c r="P57" s="140"/>
      <c r="Q57" s="140"/>
      <c r="R57" s="140"/>
      <c r="S57" s="290"/>
      <c r="T57" s="290"/>
      <c r="U57" s="290"/>
    </row>
    <row r="58" spans="1:21" ht="15" customHeight="1" x14ac:dyDescent="0.2">
      <c r="A58" s="10036"/>
      <c r="B58" s="3606" t="s">
        <v>2961</v>
      </c>
      <c r="C58" s="3113"/>
      <c r="D58" s="3113"/>
      <c r="E58" s="728"/>
      <c r="F58" s="806"/>
      <c r="G58" s="806"/>
      <c r="H58" s="806"/>
      <c r="I58" s="806"/>
      <c r="J58" s="728"/>
      <c r="K58" s="806"/>
      <c r="L58" s="806"/>
      <c r="M58" s="223"/>
      <c r="N58" s="140"/>
      <c r="O58" s="140"/>
      <c r="P58" s="140"/>
      <c r="Q58" s="140"/>
      <c r="R58" s="140"/>
      <c r="S58" s="290"/>
      <c r="T58" s="290"/>
      <c r="U58" s="290"/>
    </row>
    <row r="59" spans="1:21" ht="26.45" customHeight="1" x14ac:dyDescent="0.2">
      <c r="A59" s="10028"/>
      <c r="B59" s="3607" t="s">
        <v>2962</v>
      </c>
      <c r="C59" s="3608"/>
      <c r="D59" s="3608"/>
      <c r="E59" s="728"/>
      <c r="F59" s="806"/>
      <c r="G59" s="806"/>
      <c r="H59" s="806"/>
      <c r="I59" s="806"/>
      <c r="J59" s="728"/>
      <c r="K59" s="806"/>
      <c r="L59" s="806"/>
      <c r="M59" s="223"/>
      <c r="N59" s="140"/>
      <c r="O59" s="140"/>
      <c r="P59" s="140"/>
      <c r="Q59" s="140"/>
      <c r="R59" s="140"/>
      <c r="S59" s="290"/>
      <c r="T59" s="290"/>
      <c r="U59" s="290"/>
    </row>
    <row r="60" spans="1:21" ht="15" customHeight="1" x14ac:dyDescent="0.2">
      <c r="A60" s="8410" t="s">
        <v>963</v>
      </c>
      <c r="B60" s="8411"/>
      <c r="C60" s="3113"/>
      <c r="D60" s="3113"/>
      <c r="E60" s="728"/>
      <c r="F60" s="806"/>
      <c r="G60" s="806"/>
      <c r="H60" s="806"/>
      <c r="I60" s="806"/>
      <c r="J60" s="728"/>
      <c r="K60" s="806"/>
      <c r="L60" s="806"/>
      <c r="M60" s="223"/>
      <c r="N60" s="140"/>
      <c r="O60" s="140"/>
      <c r="P60" s="140"/>
      <c r="Q60" s="140"/>
      <c r="R60" s="140"/>
      <c r="S60" s="290"/>
      <c r="T60" s="290"/>
      <c r="U60" s="290"/>
    </row>
    <row r="61" spans="1:21" ht="15" customHeight="1" x14ac:dyDescent="0.2">
      <c r="A61" s="9944" t="s">
        <v>962</v>
      </c>
      <c r="B61" s="9945"/>
      <c r="C61" s="3113"/>
      <c r="D61" s="3113"/>
      <c r="E61" s="728"/>
      <c r="F61" s="806"/>
      <c r="G61" s="806"/>
      <c r="H61" s="806"/>
      <c r="I61" s="806"/>
      <c r="J61" s="728"/>
      <c r="K61" s="806"/>
      <c r="L61" s="806"/>
      <c r="M61" s="223"/>
      <c r="N61" s="140"/>
      <c r="O61" s="140"/>
      <c r="P61" s="140"/>
      <c r="Q61" s="140"/>
      <c r="R61" s="140"/>
      <c r="S61" s="290"/>
      <c r="T61" s="290"/>
      <c r="U61" s="290"/>
    </row>
    <row r="62" spans="1:21" ht="15" customHeight="1" x14ac:dyDescent="0.2">
      <c r="A62" s="9944" t="s">
        <v>2963</v>
      </c>
      <c r="B62" s="9945"/>
      <c r="C62" s="3113"/>
      <c r="D62" s="3113"/>
      <c r="E62" s="728"/>
      <c r="F62" s="806"/>
      <c r="G62" s="806"/>
      <c r="H62" s="806"/>
      <c r="I62" s="806"/>
      <c r="J62" s="728"/>
      <c r="K62" s="806"/>
      <c r="L62" s="806"/>
      <c r="M62" s="223"/>
      <c r="N62" s="140"/>
      <c r="O62" s="140"/>
      <c r="P62" s="140"/>
      <c r="Q62" s="140"/>
      <c r="R62" s="140"/>
      <c r="S62" s="290"/>
      <c r="T62" s="290"/>
      <c r="U62" s="290"/>
    </row>
    <row r="63" spans="1:21" ht="15" customHeight="1" thickBot="1" x14ac:dyDescent="0.25">
      <c r="A63" s="10031" t="s">
        <v>2964</v>
      </c>
      <c r="B63" s="10032"/>
      <c r="C63" s="3571"/>
      <c r="D63" s="3571"/>
      <c r="E63" s="728"/>
      <c r="F63" s="806"/>
      <c r="G63" s="806"/>
      <c r="H63" s="806"/>
      <c r="I63" s="806"/>
      <c r="J63" s="728"/>
      <c r="K63" s="806"/>
      <c r="L63" s="806"/>
      <c r="M63" s="223"/>
      <c r="N63" s="140"/>
      <c r="O63" s="140"/>
      <c r="P63" s="140"/>
      <c r="Q63" s="140"/>
      <c r="R63" s="140"/>
      <c r="S63" s="290"/>
      <c r="T63" s="290"/>
      <c r="U63" s="290"/>
    </row>
    <row r="64" spans="1:21" ht="15" customHeight="1" thickTop="1" x14ac:dyDescent="0.2">
      <c r="A64" s="9944" t="s">
        <v>2965</v>
      </c>
      <c r="B64" s="9945"/>
      <c r="C64" s="3113"/>
      <c r="D64" s="3113"/>
      <c r="E64" s="728"/>
      <c r="F64" s="806"/>
      <c r="G64" s="806"/>
      <c r="H64" s="806"/>
      <c r="I64" s="806"/>
      <c r="J64" s="728"/>
      <c r="K64" s="806"/>
      <c r="L64" s="806"/>
      <c r="M64" s="223"/>
      <c r="N64" s="140"/>
      <c r="O64" s="140"/>
      <c r="P64" s="140"/>
      <c r="Q64" s="140"/>
      <c r="R64" s="140"/>
      <c r="S64" s="290"/>
      <c r="T64" s="290"/>
      <c r="U64" s="290"/>
    </row>
    <row r="65" spans="1:130" ht="15" customHeight="1" x14ac:dyDescent="0.2">
      <c r="A65" s="9944" t="s">
        <v>2966</v>
      </c>
      <c r="B65" s="9945"/>
      <c r="C65" s="3113"/>
      <c r="D65" s="3113"/>
      <c r="E65" s="728"/>
      <c r="F65" s="806"/>
      <c r="G65" s="806"/>
      <c r="H65" s="806"/>
      <c r="I65" s="806"/>
      <c r="J65" s="728"/>
      <c r="K65" s="806"/>
      <c r="L65" s="806"/>
      <c r="M65" s="223"/>
      <c r="N65" s="140"/>
      <c r="O65" s="140"/>
      <c r="P65" s="140"/>
      <c r="Q65" s="140"/>
      <c r="R65" s="140"/>
      <c r="S65" s="290"/>
      <c r="T65" s="290"/>
      <c r="U65" s="290"/>
    </row>
    <row r="66" spans="1:130" ht="15" customHeight="1" x14ac:dyDescent="0.2">
      <c r="A66" s="10037" t="s">
        <v>2967</v>
      </c>
      <c r="B66" s="10038"/>
      <c r="C66" s="3128"/>
      <c r="D66" s="3128"/>
      <c r="E66" s="728"/>
      <c r="F66" s="806"/>
      <c r="G66" s="806"/>
      <c r="H66" s="806"/>
      <c r="I66" s="806"/>
      <c r="J66" s="728"/>
      <c r="K66" s="806"/>
      <c r="L66" s="806"/>
      <c r="M66" s="223"/>
      <c r="N66" s="140"/>
      <c r="O66" s="140"/>
      <c r="P66" s="140"/>
      <c r="Q66" s="140"/>
      <c r="R66" s="140"/>
      <c r="S66" s="290"/>
      <c r="T66" s="290"/>
      <c r="U66" s="290"/>
    </row>
    <row r="67" spans="1:130" ht="24.75" customHeight="1" x14ac:dyDescent="0.2">
      <c r="A67" s="798" t="s">
        <v>3029</v>
      </c>
      <c r="B67" s="807"/>
      <c r="C67" s="806"/>
      <c r="D67" s="806"/>
      <c r="E67" s="728"/>
      <c r="F67" s="806"/>
      <c r="G67" s="806"/>
      <c r="H67" s="806"/>
      <c r="I67" s="806"/>
      <c r="J67" s="728"/>
      <c r="K67" s="806"/>
      <c r="L67" s="806"/>
      <c r="M67" s="223"/>
      <c r="N67" s="140"/>
      <c r="O67" s="140"/>
      <c r="P67" s="140"/>
      <c r="Q67" s="140"/>
      <c r="R67" s="140"/>
    </row>
    <row r="68" spans="1:130" ht="19.5" customHeight="1" x14ac:dyDescent="0.2">
      <c r="A68" s="8153" t="s">
        <v>1308</v>
      </c>
      <c r="B68" s="9159" t="s">
        <v>1307</v>
      </c>
      <c r="C68" s="9160"/>
      <c r="D68" s="9160"/>
      <c r="E68" s="9160"/>
      <c r="F68" s="9160"/>
      <c r="G68" s="9160"/>
      <c r="H68" s="9160"/>
      <c r="I68" s="9160"/>
      <c r="J68" s="9161"/>
      <c r="K68" s="8272" t="s">
        <v>1306</v>
      </c>
      <c r="L68" s="9157"/>
      <c r="M68" s="8341"/>
      <c r="N68" s="9171" t="s">
        <v>1305</v>
      </c>
      <c r="O68" s="9173"/>
      <c r="P68" s="8127" t="s">
        <v>1304</v>
      </c>
      <c r="Q68" s="8153" t="s">
        <v>360</v>
      </c>
      <c r="R68" s="8436" t="s">
        <v>359</v>
      </c>
      <c r="S68" s="9171" t="s">
        <v>711</v>
      </c>
      <c r="T68" s="9173" t="s">
        <v>711</v>
      </c>
      <c r="U68" s="290"/>
      <c r="BY68" s="1460"/>
      <c r="CA68" s="1451"/>
      <c r="CZ68" s="3295"/>
      <c r="DZ68" s="165"/>
    </row>
    <row r="69" spans="1:130" ht="50.1" customHeight="1" x14ac:dyDescent="0.2">
      <c r="A69" s="8125"/>
      <c r="B69" s="2133" t="s">
        <v>1303</v>
      </c>
      <c r="C69" s="2129" t="s">
        <v>1302</v>
      </c>
      <c r="D69" s="2129" t="s">
        <v>40</v>
      </c>
      <c r="E69" s="2125" t="s">
        <v>115</v>
      </c>
      <c r="F69" s="2129" t="s">
        <v>116</v>
      </c>
      <c r="G69" s="2129" t="s">
        <v>117</v>
      </c>
      <c r="H69" s="2125" t="s">
        <v>118</v>
      </c>
      <c r="I69" s="2129" t="s">
        <v>119</v>
      </c>
      <c r="J69" s="3118" t="s">
        <v>2941</v>
      </c>
      <c r="K69" s="3066" t="s">
        <v>1300</v>
      </c>
      <c r="L69" s="2129" t="s">
        <v>1299</v>
      </c>
      <c r="M69" s="2126" t="s">
        <v>1298</v>
      </c>
      <c r="N69" s="3391" t="s">
        <v>1297</v>
      </c>
      <c r="O69" s="2099" t="s">
        <v>1296</v>
      </c>
      <c r="P69" s="8466"/>
      <c r="Q69" s="8428"/>
      <c r="R69" s="9282"/>
      <c r="S69" s="3912" t="s">
        <v>356</v>
      </c>
      <c r="T69" s="3912" t="s">
        <v>357</v>
      </c>
      <c r="U69" s="290"/>
      <c r="BY69" s="1460"/>
      <c r="CA69" s="1451"/>
      <c r="CZ69" s="3295"/>
      <c r="DZ69" s="165"/>
    </row>
    <row r="70" spans="1:130" ht="15" customHeight="1" x14ac:dyDescent="0.2">
      <c r="A70" s="8428"/>
      <c r="B70" s="1489">
        <f t="shared" ref="B70:L70" si="9">SUM(B71:B73)</f>
        <v>0</v>
      </c>
      <c r="C70" s="1490">
        <f t="shared" si="9"/>
        <v>0</v>
      </c>
      <c r="D70" s="1490">
        <f t="shared" si="9"/>
        <v>0</v>
      </c>
      <c r="E70" s="1490">
        <f t="shared" si="9"/>
        <v>0</v>
      </c>
      <c r="F70" s="1490">
        <f t="shared" si="9"/>
        <v>0</v>
      </c>
      <c r="G70" s="1490">
        <f t="shared" si="9"/>
        <v>0</v>
      </c>
      <c r="H70" s="1490">
        <f t="shared" si="9"/>
        <v>0</v>
      </c>
      <c r="I70" s="1490">
        <f t="shared" si="9"/>
        <v>0</v>
      </c>
      <c r="J70" s="3133">
        <f t="shared" si="9"/>
        <v>0</v>
      </c>
      <c r="K70" s="3110">
        <f t="shared" si="9"/>
        <v>0</v>
      </c>
      <c r="L70" s="1490">
        <f t="shared" si="9"/>
        <v>0</v>
      </c>
      <c r="M70" s="1491">
        <f>SUM(M71:M72)</f>
        <v>0</v>
      </c>
      <c r="N70" s="2100">
        <f>SUM(N71:N72)</f>
        <v>0</v>
      </c>
      <c r="O70" s="2101">
        <f>SUM(O71:O72)</f>
        <v>0</v>
      </c>
      <c r="P70" s="2098">
        <f t="shared" ref="P70:T70" si="10">SUM(P71:P73)</f>
        <v>0</v>
      </c>
      <c r="Q70" s="805">
        <f t="shared" si="10"/>
        <v>0</v>
      </c>
      <c r="R70" s="804">
        <f t="shared" si="10"/>
        <v>0</v>
      </c>
      <c r="S70" s="804">
        <f t="shared" si="10"/>
        <v>0</v>
      </c>
      <c r="T70" s="804">
        <f t="shared" si="10"/>
        <v>0</v>
      </c>
      <c r="U70" s="290"/>
      <c r="BY70" s="1460"/>
      <c r="CA70" s="1451"/>
      <c r="CZ70" s="3295"/>
      <c r="DZ70" s="165"/>
    </row>
    <row r="71" spans="1:130" ht="16.899999999999999" customHeight="1" x14ac:dyDescent="0.2">
      <c r="A71" s="7175" t="s">
        <v>1295</v>
      </c>
      <c r="B71" s="7157"/>
      <c r="C71" s="7176"/>
      <c r="D71" s="3208"/>
      <c r="E71" s="7176"/>
      <c r="F71" s="3208"/>
      <c r="G71" s="3208"/>
      <c r="H71" s="7176"/>
      <c r="I71" s="3208"/>
      <c r="J71" s="7177"/>
      <c r="K71" s="3111"/>
      <c r="L71" s="3056"/>
      <c r="M71" s="3122"/>
      <c r="N71" s="3116"/>
      <c r="O71" s="2968"/>
      <c r="P71" s="3115"/>
      <c r="Q71" s="3123"/>
      <c r="R71" s="3115"/>
      <c r="S71" s="3115"/>
      <c r="T71" s="3115"/>
      <c r="U71" s="802"/>
      <c r="V71" s="802"/>
      <c r="W71" s="802"/>
      <c r="X71" s="802"/>
      <c r="Y71" s="802"/>
      <c r="AA71" s="802"/>
      <c r="AB71" s="802"/>
      <c r="AC71" s="802"/>
      <c r="AD71" s="802"/>
      <c r="BY71" s="1460"/>
      <c r="BZ71" s="1460" t="str">
        <f>IF(CZ71=1,"* La suma de los Abortos y Partos DEBE ser igual al Total de IVE realizada según causal. ","")</f>
        <v/>
      </c>
      <c r="CA71" s="1458" t="str">
        <f>IF(DA71=1,"* No olvide digitar los campos Beneficiarios y/o Pueblo Originario y/o Migrantes y/o Personas Trans (Digite CEROS si no tiene). ","")</f>
        <v/>
      </c>
      <c r="CB71" s="1458" t="str">
        <f>IF(DB71=1,"* Beneficiarias NO DEBEN ser Mayor al Total. ","")</f>
        <v/>
      </c>
      <c r="CC71" s="1458" t="str">
        <f>IF(DC71=1,"* Pueblos Originarios NO DEBEN ser Mayor al Total. ","")</f>
        <v/>
      </c>
      <c r="CD71" s="1458" t="str">
        <f>IF(DD71=1,"* Migrantes NO DEBEN ser Mayor al Total. ","")</f>
        <v/>
      </c>
      <c r="CE71" s="1458" t="str">
        <f>IF(DE71=1,"* Personas Trans NO DEBEN ser Mayor al Total. ","")</f>
        <v/>
      </c>
      <c r="CZ71" s="1461"/>
      <c r="DA71" s="1461"/>
      <c r="DB71" s="1461"/>
      <c r="DC71" s="1461"/>
      <c r="DD71" s="1461"/>
      <c r="DE71" s="1461"/>
      <c r="DZ71" s="165"/>
    </row>
    <row r="72" spans="1:130" ht="16.899999999999999" customHeight="1" x14ac:dyDescent="0.2">
      <c r="A72" s="5130" t="s">
        <v>1294</v>
      </c>
      <c r="B72" s="4025"/>
      <c r="C72" s="4024"/>
      <c r="D72" s="7178"/>
      <c r="E72" s="4024"/>
      <c r="F72" s="7178"/>
      <c r="G72" s="7178"/>
      <c r="H72" s="4024"/>
      <c r="I72" s="7178"/>
      <c r="J72" s="7179"/>
      <c r="K72" s="2911"/>
      <c r="L72" s="1340"/>
      <c r="M72" s="3059"/>
      <c r="N72" s="3058"/>
      <c r="O72" s="2507"/>
      <c r="P72" s="2877"/>
      <c r="Q72" s="3113"/>
      <c r="R72" s="2877"/>
      <c r="S72" s="2877"/>
      <c r="T72" s="2877"/>
      <c r="U72" s="802"/>
      <c r="V72" s="802"/>
      <c r="W72" s="802"/>
      <c r="X72" s="802"/>
      <c r="Y72" s="802"/>
      <c r="Z72" s="802"/>
      <c r="AA72" s="802"/>
      <c r="AB72" s="802"/>
      <c r="AC72" s="802"/>
      <c r="AD72" s="802"/>
      <c r="BY72" s="1460"/>
      <c r="BZ72" s="1460" t="str">
        <f>IF(CZ72=1,"* La suma de los Abortos y Partos DEBE ser igual al Total de IVE realizada según causal. ","")</f>
        <v/>
      </c>
      <c r="CA72" s="1458" t="str">
        <f>IF(DA72=1,"* No olvide digitar los campos Beneficiarios y/o Pueblo Originario y/o Migrantes y/o Personas Trans (Digite CEROS si no tiene). ","")</f>
        <v/>
      </c>
      <c r="CB72" s="1458" t="str">
        <f>IF(DB72=1,"* Beneficiarias NO DEBEN ser Mayor al Total. ","")</f>
        <v/>
      </c>
      <c r="CC72" s="1458" t="str">
        <f>IF(DC72=1,"* Pueblos Originarios NO DEBEN ser Mayor al Total. ","")</f>
        <v/>
      </c>
      <c r="CD72" s="1458" t="str">
        <f>IF(DD72=1,"* Migrantes NO DEBEN ser Mayor al Total. ","")</f>
        <v/>
      </c>
      <c r="CE72" s="1458" t="str">
        <f>IF(DE72=1,"* Personas Trans NO DEBEN ser Mayor al Total. ","")</f>
        <v/>
      </c>
      <c r="CZ72" s="1461"/>
      <c r="DA72" s="1461"/>
      <c r="DB72" s="1461"/>
      <c r="DC72" s="1461"/>
      <c r="DD72" s="1461"/>
      <c r="DE72" s="1461"/>
      <c r="DZ72" s="165"/>
    </row>
    <row r="73" spans="1:130" ht="16.899999999999999" customHeight="1" x14ac:dyDescent="0.2">
      <c r="A73" s="3346" t="s">
        <v>1293</v>
      </c>
      <c r="B73" s="7158"/>
      <c r="C73" s="7180"/>
      <c r="D73" s="3062"/>
      <c r="E73" s="7180"/>
      <c r="F73" s="3062"/>
      <c r="G73" s="3062"/>
      <c r="H73" s="7180"/>
      <c r="I73" s="3062"/>
      <c r="J73" s="7181"/>
      <c r="K73" s="2892"/>
      <c r="L73" s="2891"/>
      <c r="M73" s="3822"/>
      <c r="N73" s="5154"/>
      <c r="O73" s="7934"/>
      <c r="P73" s="3249"/>
      <c r="Q73" s="3329"/>
      <c r="R73" s="3249"/>
      <c r="S73" s="3249"/>
      <c r="T73" s="3249"/>
      <c r="U73" s="802"/>
      <c r="V73" s="802"/>
      <c r="W73" s="802"/>
      <c r="X73" s="802"/>
      <c r="Y73" s="802"/>
      <c r="Z73" s="802"/>
      <c r="AA73" s="802"/>
      <c r="AB73" s="802"/>
      <c r="AC73" s="802"/>
      <c r="AD73" s="802"/>
      <c r="BY73" s="1460"/>
      <c r="BZ73" s="1460" t="str">
        <f>IF(CZ73=1,"* La suma de los Abortos y Partos DEBE ser igual al Total de IVE realizada según causal. ","")</f>
        <v/>
      </c>
      <c r="CA73" s="1458" t="str">
        <f>IF(DA73=1,"* No olvide digitar los campos Beneficiarios y/o Pueblo Originario y/o Migrantes y/o Personas Trans (Digite CEROS si no tiene). ","")</f>
        <v/>
      </c>
      <c r="CB73" s="1458" t="str">
        <f>IF(DB73=1,"* Beneficiarias NO DEBEN ser Mayor al Total. ","")</f>
        <v/>
      </c>
      <c r="CC73" s="1458" t="str">
        <f>IF(DC73=1,"* Pueblos Originarios NO DEBEN ser Mayor al Total. ","")</f>
        <v/>
      </c>
      <c r="CD73" s="1458" t="str">
        <f>IF(DD73=1,"* Migrantes NO DEBEN ser Mayor al Total. ","")</f>
        <v/>
      </c>
      <c r="CE73" s="1458" t="str">
        <f>IF(DE73=1,"* Personas Trans NO DEBEN ser Mayor al Total. ","")</f>
        <v/>
      </c>
      <c r="CZ73" s="1461"/>
      <c r="DA73" s="1461"/>
      <c r="DB73" s="1461"/>
      <c r="DC73" s="1461"/>
      <c r="DD73" s="1461"/>
      <c r="DE73" s="1461"/>
      <c r="DZ73" s="165"/>
    </row>
    <row r="74" spans="1:130" ht="19.5" customHeight="1" x14ac:dyDescent="0.2">
      <c r="A74" s="2153" t="s">
        <v>2930</v>
      </c>
      <c r="B74" s="798"/>
      <c r="C74" s="290"/>
      <c r="D74" s="290"/>
      <c r="E74" s="290"/>
      <c r="F74" s="3109"/>
      <c r="G74" s="1456"/>
      <c r="H74" s="288"/>
      <c r="I74" s="802"/>
      <c r="J74" s="802"/>
      <c r="K74" s="802"/>
      <c r="L74" s="802"/>
      <c r="M74" s="802"/>
      <c r="N74" s="802"/>
      <c r="O74" s="802"/>
      <c r="P74" s="288"/>
      <c r="Q74" s="140"/>
      <c r="R74" s="140"/>
    </row>
    <row r="75" spans="1:130" ht="19.5" customHeight="1" x14ac:dyDescent="0.2">
      <c r="A75" s="9994" t="s">
        <v>2931</v>
      </c>
      <c r="B75" s="9995"/>
      <c r="C75" s="9975" t="s">
        <v>2202</v>
      </c>
      <c r="D75" s="9975" t="s">
        <v>3760</v>
      </c>
      <c r="E75" s="9975" t="s">
        <v>2933</v>
      </c>
      <c r="F75" s="9975" t="s">
        <v>2932</v>
      </c>
      <c r="G75" s="10009" t="s">
        <v>2934</v>
      </c>
      <c r="H75" s="10010"/>
      <c r="I75" s="10011"/>
      <c r="J75" s="802"/>
      <c r="K75" s="802"/>
      <c r="L75" s="802"/>
      <c r="M75" s="802"/>
      <c r="N75" s="802"/>
      <c r="O75" s="802"/>
      <c r="P75" s="802"/>
      <c r="Q75" s="288"/>
      <c r="R75" s="140"/>
      <c r="S75" s="140"/>
      <c r="V75" s="165"/>
      <c r="BZ75" s="290"/>
      <c r="CA75" s="1460"/>
      <c r="CB75" s="1457"/>
      <c r="DA75" s="1451"/>
    </row>
    <row r="76" spans="1:130" ht="19.5" customHeight="1" x14ac:dyDescent="0.2">
      <c r="A76" s="9996"/>
      <c r="B76" s="9997"/>
      <c r="C76" s="9976"/>
      <c r="D76" s="9976"/>
      <c r="E76" s="9976"/>
      <c r="F76" s="9976"/>
      <c r="G76" s="7687" t="s">
        <v>3979</v>
      </c>
      <c r="H76" s="7532" t="s">
        <v>49</v>
      </c>
      <c r="I76" s="7532" t="s">
        <v>1558</v>
      </c>
      <c r="J76" s="802"/>
      <c r="K76" s="802"/>
      <c r="L76" s="802"/>
      <c r="M76" s="802"/>
      <c r="N76" s="802"/>
      <c r="O76" s="802"/>
      <c r="P76" s="288"/>
      <c r="Q76" s="140"/>
      <c r="R76" s="140"/>
      <c r="DZ76" s="165"/>
    </row>
    <row r="77" spans="1:130" ht="19.5" customHeight="1" x14ac:dyDescent="0.2">
      <c r="A77" s="8412" t="s">
        <v>2935</v>
      </c>
      <c r="B77" s="8413"/>
      <c r="C77" s="7160"/>
      <c r="D77" s="7163"/>
      <c r="E77" s="3223"/>
      <c r="F77" s="7157"/>
      <c r="G77" s="7157"/>
      <c r="H77" s="7157"/>
      <c r="I77" s="7157"/>
      <c r="J77" s="802"/>
      <c r="K77" s="802"/>
      <c r="L77" s="802"/>
      <c r="M77" s="802"/>
      <c r="N77" s="802"/>
      <c r="O77" s="802"/>
      <c r="P77" s="288"/>
      <c r="Q77" s="140"/>
      <c r="R77" s="140"/>
      <c r="DZ77" s="165"/>
    </row>
    <row r="78" spans="1:130" ht="19.5" customHeight="1" x14ac:dyDescent="0.2">
      <c r="A78" s="10029" t="s">
        <v>2936</v>
      </c>
      <c r="B78" s="10030"/>
      <c r="C78" s="7161"/>
      <c r="D78" s="7164"/>
      <c r="E78" s="3328"/>
      <c r="F78" s="7158"/>
      <c r="G78" s="3328"/>
      <c r="H78" s="3328"/>
      <c r="I78" s="3214"/>
      <c r="J78" s="802"/>
      <c r="K78" s="802"/>
      <c r="L78" s="802"/>
      <c r="M78" s="802"/>
      <c r="N78" s="802"/>
      <c r="O78" s="802"/>
      <c r="P78" s="802"/>
      <c r="Q78" s="288"/>
      <c r="R78" s="140"/>
      <c r="S78" s="140"/>
      <c r="V78" s="165"/>
      <c r="BZ78" s="290"/>
      <c r="CA78" s="1460"/>
      <c r="CB78" s="1457"/>
      <c r="DA78" s="1451"/>
    </row>
    <row r="79" spans="1:130" ht="19.5" customHeight="1" x14ac:dyDescent="0.2">
      <c r="A79" s="9984" t="s">
        <v>870</v>
      </c>
      <c r="B79" s="7156" t="s">
        <v>869</v>
      </c>
      <c r="C79" s="7162"/>
      <c r="D79" s="7165"/>
      <c r="E79" s="3058"/>
      <c r="F79" s="4025"/>
      <c r="G79" s="3058"/>
      <c r="H79" s="3058"/>
      <c r="I79" s="3113"/>
      <c r="J79" s="802"/>
      <c r="K79" s="802"/>
      <c r="L79" s="802"/>
      <c r="M79" s="802"/>
      <c r="N79" s="802"/>
      <c r="O79" s="802"/>
      <c r="P79" s="802"/>
      <c r="Q79" s="288"/>
      <c r="R79" s="140"/>
      <c r="S79" s="140"/>
      <c r="V79" s="165"/>
      <c r="BZ79" s="290"/>
      <c r="CA79" s="1460"/>
      <c r="CB79" s="1457"/>
      <c r="DA79" s="1451"/>
    </row>
    <row r="80" spans="1:130" ht="19.5" customHeight="1" x14ac:dyDescent="0.2">
      <c r="A80" s="9985"/>
      <c r="B80" s="3599" t="s">
        <v>868</v>
      </c>
      <c r="C80" s="3556"/>
      <c r="D80" s="7166"/>
      <c r="E80" s="2885"/>
      <c r="F80" s="2885"/>
      <c r="G80" s="2885"/>
      <c r="H80" s="2885"/>
      <c r="I80" s="3600"/>
      <c r="J80" s="802"/>
      <c r="K80" s="802"/>
      <c r="L80" s="802"/>
      <c r="M80" s="802"/>
      <c r="N80" s="802"/>
      <c r="O80" s="802"/>
      <c r="P80" s="802"/>
      <c r="Q80" s="288"/>
      <c r="R80" s="140"/>
      <c r="S80" s="140"/>
      <c r="V80" s="165"/>
      <c r="BZ80" s="290"/>
      <c r="CA80" s="1460"/>
      <c r="CB80" s="1457"/>
      <c r="DA80" s="1451"/>
    </row>
    <row r="81" spans="1:105" ht="19.5" customHeight="1" x14ac:dyDescent="0.2">
      <c r="A81" s="9985"/>
      <c r="B81" s="3601" t="s">
        <v>867</v>
      </c>
      <c r="C81" s="3556"/>
      <c r="D81" s="7166"/>
      <c r="E81" s="2885"/>
      <c r="F81" s="2885"/>
      <c r="G81" s="2885"/>
      <c r="H81" s="2885"/>
      <c r="I81" s="3600"/>
      <c r="J81" s="802"/>
      <c r="K81" s="802"/>
      <c r="L81" s="802"/>
      <c r="M81" s="802"/>
      <c r="N81" s="802"/>
      <c r="O81" s="802"/>
      <c r="P81" s="802"/>
      <c r="Q81" s="288"/>
      <c r="R81" s="140"/>
      <c r="S81" s="140"/>
      <c r="V81" s="165"/>
      <c r="BZ81" s="290"/>
      <c r="CA81" s="1460"/>
      <c r="CB81" s="1457"/>
      <c r="DA81" s="1451"/>
    </row>
    <row r="82" spans="1:105" ht="19.5" customHeight="1" x14ac:dyDescent="0.2">
      <c r="A82" s="9985"/>
      <c r="B82" s="3602" t="s">
        <v>866</v>
      </c>
      <c r="C82" s="3556"/>
      <c r="D82" s="7166"/>
      <c r="E82" s="2885"/>
      <c r="F82" s="2885"/>
      <c r="G82" s="2885"/>
      <c r="H82" s="2885"/>
      <c r="I82" s="3600"/>
      <c r="J82" s="802"/>
      <c r="K82" s="802"/>
      <c r="L82" s="802"/>
      <c r="M82" s="802"/>
      <c r="N82" s="802"/>
      <c r="O82" s="802"/>
      <c r="P82" s="802"/>
      <c r="Q82" s="288"/>
      <c r="R82" s="140"/>
      <c r="S82" s="140"/>
      <c r="V82" s="165"/>
      <c r="BZ82" s="290"/>
      <c r="CA82" s="1460"/>
      <c r="CB82" s="1457"/>
      <c r="DA82" s="1451"/>
    </row>
    <row r="83" spans="1:105" ht="23.25" customHeight="1" x14ac:dyDescent="0.2">
      <c r="A83" s="9985"/>
      <c r="B83" s="4033" t="s">
        <v>865</v>
      </c>
      <c r="C83" s="3556"/>
      <c r="D83" s="7166"/>
      <c r="E83" s="2885"/>
      <c r="F83" s="2885"/>
      <c r="G83" s="2885"/>
      <c r="H83" s="2885"/>
      <c r="I83" s="3600"/>
      <c r="J83" s="802"/>
      <c r="K83" s="802"/>
      <c r="L83" s="802"/>
      <c r="M83" s="802"/>
      <c r="N83" s="802"/>
      <c r="O83" s="802"/>
      <c r="P83" s="802"/>
      <c r="Q83" s="288"/>
      <c r="R83" s="140"/>
      <c r="S83" s="140"/>
      <c r="V83" s="165"/>
      <c r="BZ83" s="290"/>
      <c r="CA83" s="1460"/>
      <c r="CB83" s="1457"/>
      <c r="DA83" s="1451"/>
    </row>
    <row r="84" spans="1:105" ht="23.25" customHeight="1" x14ac:dyDescent="0.2">
      <c r="A84" s="9985"/>
      <c r="B84" s="4033" t="s">
        <v>864</v>
      </c>
      <c r="C84" s="3556"/>
      <c r="D84" s="7166"/>
      <c r="E84" s="2885"/>
      <c r="F84" s="2885"/>
      <c r="G84" s="2885"/>
      <c r="H84" s="2885"/>
      <c r="I84" s="3600"/>
      <c r="J84" s="802"/>
      <c r="K84" s="802"/>
      <c r="L84" s="802"/>
      <c r="M84" s="802"/>
      <c r="N84" s="802"/>
      <c r="O84" s="802"/>
      <c r="P84" s="802"/>
      <c r="Q84" s="288"/>
      <c r="R84" s="140"/>
      <c r="S84" s="140"/>
      <c r="V84" s="165"/>
      <c r="BZ84" s="290"/>
      <c r="CA84" s="1460"/>
      <c r="CB84" s="1457"/>
      <c r="DA84" s="1451"/>
    </row>
    <row r="85" spans="1:105" ht="19.5" customHeight="1" x14ac:dyDescent="0.2">
      <c r="A85" s="9986"/>
      <c r="B85" s="3318" t="s">
        <v>3761</v>
      </c>
      <c r="C85" s="3250"/>
      <c r="D85" s="7164"/>
      <c r="E85" s="3248"/>
      <c r="F85" s="3248"/>
      <c r="G85" s="3248"/>
      <c r="H85" s="3248"/>
      <c r="I85" s="3329"/>
      <c r="J85" s="802"/>
      <c r="K85" s="802"/>
      <c r="L85" s="802"/>
      <c r="M85" s="802"/>
      <c r="N85" s="802"/>
      <c r="O85" s="802"/>
      <c r="P85" s="802"/>
      <c r="Q85" s="288"/>
      <c r="R85" s="140"/>
      <c r="S85" s="140"/>
      <c r="V85" s="165"/>
      <c r="BZ85" s="290"/>
      <c r="CA85" s="1460"/>
      <c r="CB85" s="1457"/>
      <c r="DA85" s="1451"/>
    </row>
    <row r="86" spans="1:105" ht="19.5" customHeight="1" x14ac:dyDescent="0.2">
      <c r="A86" s="10039" t="s">
        <v>2937</v>
      </c>
      <c r="B86" s="10040"/>
      <c r="C86" s="7161"/>
      <c r="D86" s="7167"/>
      <c r="E86" s="3117"/>
      <c r="F86" s="7158"/>
      <c r="G86" s="3117"/>
      <c r="H86" s="3117"/>
      <c r="I86" s="3125"/>
      <c r="J86" s="802"/>
      <c r="K86" s="802"/>
      <c r="L86" s="802"/>
      <c r="M86" s="802"/>
      <c r="N86" s="802"/>
      <c r="O86" s="802"/>
      <c r="P86" s="802"/>
      <c r="Q86" s="288"/>
      <c r="R86" s="140"/>
      <c r="S86" s="140"/>
      <c r="V86" s="165"/>
      <c r="BZ86" s="290"/>
      <c r="CA86" s="1460"/>
      <c r="CB86" s="1457"/>
      <c r="DA86" s="1451"/>
    </row>
    <row r="87" spans="1:105" ht="19.5" customHeight="1" x14ac:dyDescent="0.2">
      <c r="A87" s="10012" t="s">
        <v>2938</v>
      </c>
      <c r="B87" s="10013"/>
      <c r="C87" s="3058"/>
      <c r="D87" s="3058"/>
      <c r="E87" s="3058"/>
      <c r="F87" s="4025"/>
      <c r="G87" s="3058"/>
      <c r="H87" s="3058"/>
      <c r="I87" s="3113"/>
      <c r="J87" s="802"/>
      <c r="K87" s="802"/>
      <c r="L87" s="802"/>
      <c r="M87" s="802"/>
      <c r="N87" s="802"/>
      <c r="O87" s="802"/>
      <c r="P87" s="802"/>
      <c r="Q87" s="288"/>
      <c r="R87" s="140"/>
      <c r="S87" s="140"/>
      <c r="V87" s="165"/>
      <c r="BZ87" s="290"/>
      <c r="CA87" s="1460"/>
      <c r="CB87" s="1457"/>
      <c r="DA87" s="1451"/>
    </row>
    <row r="88" spans="1:105" ht="19.5" customHeight="1" x14ac:dyDescent="0.2">
      <c r="A88" s="9998" t="s">
        <v>2939</v>
      </c>
      <c r="B88" s="9999"/>
      <c r="C88" s="3603"/>
      <c r="D88" s="7415"/>
      <c r="E88" s="3603"/>
      <c r="F88" s="7159"/>
      <c r="G88" s="3603"/>
      <c r="H88" s="3603"/>
      <c r="I88" s="3604"/>
      <c r="J88" s="802"/>
      <c r="K88" s="802"/>
      <c r="L88" s="802"/>
      <c r="M88" s="802"/>
      <c r="N88" s="802"/>
      <c r="O88" s="802"/>
      <c r="P88" s="802"/>
      <c r="Q88" s="288"/>
      <c r="R88" s="140"/>
      <c r="S88" s="140"/>
      <c r="V88" s="165"/>
      <c r="BZ88" s="290"/>
      <c r="CA88" s="1460"/>
      <c r="CB88" s="1457"/>
      <c r="DA88" s="1451"/>
    </row>
    <row r="89" spans="1:105" ht="19.5" customHeight="1" x14ac:dyDescent="0.2">
      <c r="A89" s="10000" t="s">
        <v>2940</v>
      </c>
      <c r="B89" s="10001"/>
      <c r="C89" s="5143">
        <f>SUM(C77:C88)</f>
        <v>0</v>
      </c>
      <c r="D89" s="5143">
        <f>SUM(D87)</f>
        <v>0</v>
      </c>
      <c r="E89" s="5143">
        <f t="shared" ref="E89:I89" si="11">SUM(E77:E88)</f>
        <v>0</v>
      </c>
      <c r="F89" s="7416">
        <f t="shared" si="11"/>
        <v>0</v>
      </c>
      <c r="G89" s="5143">
        <f t="shared" si="11"/>
        <v>0</v>
      </c>
      <c r="H89" s="5143">
        <f t="shared" si="11"/>
        <v>0</v>
      </c>
      <c r="I89" s="7417">
        <f t="shared" si="11"/>
        <v>0</v>
      </c>
      <c r="J89" s="802"/>
      <c r="K89" s="802"/>
      <c r="L89" s="802"/>
      <c r="M89" s="802"/>
      <c r="N89" s="802"/>
      <c r="O89" s="802"/>
      <c r="P89" s="802"/>
      <c r="Q89" s="288"/>
      <c r="R89" s="140"/>
      <c r="S89" s="140"/>
      <c r="V89" s="165"/>
      <c r="BZ89" s="290"/>
      <c r="CA89" s="1460"/>
      <c r="CB89" s="1457"/>
      <c r="DA89" s="1451"/>
    </row>
    <row r="90" spans="1:105" ht="21" customHeight="1" x14ac:dyDescent="0.2">
      <c r="A90" s="9978" t="s">
        <v>2920</v>
      </c>
      <c r="B90" s="8456"/>
      <c r="C90" s="8456"/>
      <c r="D90" s="8456"/>
      <c r="E90" s="8456"/>
      <c r="F90" s="8456"/>
      <c r="G90" s="8456"/>
      <c r="H90" s="800"/>
      <c r="I90" s="800"/>
      <c r="J90" s="800"/>
      <c r="K90" s="800"/>
      <c r="L90" s="292"/>
      <c r="M90" s="288"/>
      <c r="N90" s="288"/>
      <c r="O90" s="288"/>
      <c r="P90" s="288"/>
      <c r="Q90" s="288"/>
      <c r="R90" s="288"/>
      <c r="S90" s="290"/>
      <c r="T90" s="290"/>
      <c r="U90" s="290"/>
    </row>
    <row r="91" spans="1:105" ht="18" customHeight="1" x14ac:dyDescent="0.2">
      <c r="A91" s="9979" t="s">
        <v>2921</v>
      </c>
      <c r="B91" s="9980"/>
      <c r="C91" s="9980"/>
      <c r="D91" s="9980"/>
      <c r="E91" s="9980"/>
      <c r="F91" s="9980"/>
      <c r="G91" s="9980"/>
      <c r="M91" s="140"/>
      <c r="N91" s="140"/>
      <c r="O91" s="140"/>
      <c r="P91" s="140"/>
      <c r="Q91" s="140"/>
      <c r="R91" s="140"/>
    </row>
    <row r="92" spans="1:105" ht="22.15" customHeight="1" x14ac:dyDescent="0.2">
      <c r="A92" s="8252" t="s">
        <v>47</v>
      </c>
      <c r="B92" s="8176"/>
      <c r="C92" s="8268" t="s">
        <v>24</v>
      </c>
      <c r="D92" s="8304" t="s">
        <v>1292</v>
      </c>
      <c r="E92" s="8272"/>
      <c r="F92" s="8272"/>
      <c r="G92" s="8272"/>
      <c r="H92" s="8272"/>
      <c r="I92" s="8272"/>
      <c r="J92" s="8272"/>
      <c r="K92" s="8305"/>
      <c r="L92" s="8176" t="s">
        <v>3008</v>
      </c>
      <c r="M92" s="290"/>
      <c r="N92" s="290"/>
      <c r="O92" s="288"/>
      <c r="P92" s="140"/>
      <c r="Q92" s="140"/>
      <c r="R92" s="140"/>
    </row>
    <row r="93" spans="1:105" ht="26.45" customHeight="1" x14ac:dyDescent="0.2">
      <c r="A93" s="10008"/>
      <c r="B93" s="8271"/>
      <c r="C93" s="8463"/>
      <c r="D93" s="3076" t="s">
        <v>1290</v>
      </c>
      <c r="E93" s="3076" t="s">
        <v>1289</v>
      </c>
      <c r="F93" s="3077" t="s">
        <v>1288</v>
      </c>
      <c r="G93" s="3077" t="s">
        <v>1287</v>
      </c>
      <c r="H93" s="3077" t="s">
        <v>1286</v>
      </c>
      <c r="I93" s="3077" t="s">
        <v>1285</v>
      </c>
      <c r="J93" s="3077" t="s">
        <v>1284</v>
      </c>
      <c r="K93" s="3102" t="s">
        <v>1283</v>
      </c>
      <c r="L93" s="8271"/>
      <c r="M93" s="802"/>
      <c r="N93" s="802"/>
      <c r="O93" s="290"/>
      <c r="CA93" s="1451"/>
    </row>
    <row r="94" spans="1:105" ht="15" customHeight="1" x14ac:dyDescent="0.2">
      <c r="A94" s="9981" t="s">
        <v>1281</v>
      </c>
      <c r="B94" s="9982"/>
      <c r="C94" s="3569">
        <f>SUM(D94:K94)</f>
        <v>0</v>
      </c>
      <c r="D94" s="3603"/>
      <c r="E94" s="3603"/>
      <c r="F94" s="3937"/>
      <c r="G94" s="3937"/>
      <c r="H94" s="3937"/>
      <c r="I94" s="3937"/>
      <c r="J94" s="3937"/>
      <c r="K94" s="3938"/>
      <c r="L94" s="3065"/>
      <c r="M94" s="797" t="str">
        <f>CA94</f>
        <v/>
      </c>
      <c r="N94" s="797"/>
      <c r="O94" s="288"/>
      <c r="P94" s="140"/>
      <c r="Q94" s="140"/>
      <c r="R94" s="140"/>
      <c r="CA94" s="1458" t="str">
        <f>IF(DA94=1,"* Total Nacidos Vivos con Anomalía Congénita NO DEBE ser MAYOR a Nacidos Vivos según peso al Nacer. ","")</f>
        <v/>
      </c>
      <c r="DA94" s="1461"/>
    </row>
    <row r="95" spans="1:105" ht="27" customHeight="1" x14ac:dyDescent="0.2">
      <c r="A95" s="746" t="s">
        <v>2917</v>
      </c>
      <c r="B95" s="746"/>
      <c r="E95" s="140"/>
      <c r="F95" s="140"/>
      <c r="G95" s="745"/>
      <c r="H95" s="140"/>
      <c r="I95" s="140"/>
      <c r="J95" s="140"/>
      <c r="K95" s="140"/>
      <c r="L95" s="598"/>
      <c r="M95" s="140"/>
      <c r="N95" s="140"/>
      <c r="O95" s="140"/>
      <c r="P95" s="140"/>
      <c r="Q95" s="140"/>
      <c r="R95" s="140"/>
    </row>
    <row r="96" spans="1:105" ht="44.25" customHeight="1" x14ac:dyDescent="0.2">
      <c r="A96" s="9253" t="s">
        <v>47</v>
      </c>
      <c r="B96" s="9253"/>
      <c r="C96" s="10006" t="s">
        <v>2918</v>
      </c>
      <c r="D96" s="9971"/>
      <c r="E96" s="8304" t="s">
        <v>3755</v>
      </c>
      <c r="F96" s="8272"/>
      <c r="G96" s="8272"/>
      <c r="H96" s="8491"/>
      <c r="I96" s="10007" t="s">
        <v>2919</v>
      </c>
      <c r="J96" s="10007"/>
      <c r="K96" s="9973" t="s">
        <v>3005</v>
      </c>
      <c r="L96" s="9973" t="s">
        <v>3006</v>
      </c>
      <c r="M96" s="8273" t="s">
        <v>3007</v>
      </c>
      <c r="N96" s="140"/>
      <c r="O96" s="140"/>
      <c r="P96" s="140"/>
      <c r="Q96" s="140"/>
      <c r="R96" s="140"/>
    </row>
    <row r="97" spans="1:108" ht="43.5" customHeight="1" x14ac:dyDescent="0.2">
      <c r="A97" s="9253"/>
      <c r="B97" s="9253"/>
      <c r="C97" s="3585" t="s">
        <v>3004</v>
      </c>
      <c r="D97" s="3585" t="s">
        <v>2997</v>
      </c>
      <c r="E97" s="3585" t="s">
        <v>2998</v>
      </c>
      <c r="F97" s="3585" t="s">
        <v>2999</v>
      </c>
      <c r="G97" s="3585" t="s">
        <v>3000</v>
      </c>
      <c r="H97" s="3585" t="s">
        <v>3001</v>
      </c>
      <c r="I97" s="3364" t="s">
        <v>3002</v>
      </c>
      <c r="J97" s="3131" t="s">
        <v>3003</v>
      </c>
      <c r="K97" s="9974"/>
      <c r="L97" s="9974"/>
      <c r="M97" s="9977"/>
      <c r="N97" s="150"/>
      <c r="O97" s="140"/>
      <c r="P97" s="140"/>
      <c r="Q97" s="140"/>
      <c r="R97" s="140"/>
    </row>
    <row r="98" spans="1:108" ht="26.25" customHeight="1" x14ac:dyDescent="0.2">
      <c r="A98" s="8304" t="s">
        <v>1281</v>
      </c>
      <c r="B98" s="8491"/>
      <c r="C98" s="3939"/>
      <c r="D98" s="3939"/>
      <c r="E98" s="3939"/>
      <c r="F98" s="3939"/>
      <c r="G98" s="3939"/>
      <c r="H98" s="3939"/>
      <c r="I98" s="3940"/>
      <c r="J98" s="3939"/>
      <c r="K98" s="3939"/>
      <c r="L98" s="3939"/>
      <c r="M98" s="3939"/>
      <c r="N98" s="150"/>
      <c r="O98" s="140"/>
      <c r="P98" s="140"/>
      <c r="Q98" s="140"/>
      <c r="R98" s="140"/>
    </row>
    <row r="99" spans="1:108" ht="26.25" customHeight="1" x14ac:dyDescent="0.2">
      <c r="A99" s="10015" t="s">
        <v>3756</v>
      </c>
      <c r="B99" s="10016"/>
      <c r="C99" s="10016"/>
      <c r="D99" s="10016"/>
      <c r="E99" s="10016"/>
      <c r="F99" s="10016"/>
      <c r="G99" s="10016"/>
      <c r="M99" s="140"/>
      <c r="N99" s="140"/>
      <c r="O99" s="140"/>
      <c r="P99" s="140"/>
      <c r="Q99" s="140"/>
      <c r="R99" s="140"/>
    </row>
    <row r="100" spans="1:108" ht="26.25" customHeight="1" x14ac:dyDescent="0.2">
      <c r="A100" s="8273" t="s">
        <v>47</v>
      </c>
      <c r="B100" s="8462" t="s">
        <v>24</v>
      </c>
      <c r="C100" s="8304" t="s">
        <v>1292</v>
      </c>
      <c r="D100" s="8272"/>
      <c r="E100" s="8272"/>
      <c r="F100" s="8272"/>
      <c r="G100" s="8272"/>
      <c r="H100" s="8272"/>
      <c r="I100" s="8272"/>
      <c r="J100" s="8491"/>
      <c r="K100" s="9973" t="s">
        <v>2909</v>
      </c>
      <c r="L100" s="9933" t="s">
        <v>2910</v>
      </c>
      <c r="M100" s="9941"/>
      <c r="N100" s="9941"/>
      <c r="O100" s="9934"/>
      <c r="P100" s="140"/>
      <c r="Q100" s="140"/>
      <c r="U100" s="290"/>
      <c r="BY100" s="1460"/>
    </row>
    <row r="101" spans="1:108" ht="45.6" customHeight="1" x14ac:dyDescent="0.2">
      <c r="A101" s="9977"/>
      <c r="B101" s="10014"/>
      <c r="C101" s="3076" t="s">
        <v>1290</v>
      </c>
      <c r="D101" s="3066" t="s">
        <v>1289</v>
      </c>
      <c r="E101" s="3077" t="s">
        <v>1288</v>
      </c>
      <c r="F101" s="3077" t="s">
        <v>1287</v>
      </c>
      <c r="G101" s="3077" t="s">
        <v>1286</v>
      </c>
      <c r="H101" s="3077" t="s">
        <v>1285</v>
      </c>
      <c r="I101" s="3077" t="s">
        <v>1284</v>
      </c>
      <c r="J101" s="3074" t="s">
        <v>1283</v>
      </c>
      <c r="K101" s="9974"/>
      <c r="L101" s="3597" t="s">
        <v>2911</v>
      </c>
      <c r="M101" s="3941" t="s">
        <v>2916</v>
      </c>
      <c r="N101" s="3942" t="s">
        <v>2912</v>
      </c>
      <c r="O101" s="3942" t="s">
        <v>2913</v>
      </c>
      <c r="P101" s="140"/>
      <c r="Q101" s="140"/>
      <c r="U101" s="290"/>
      <c r="BY101" s="1460"/>
    </row>
    <row r="102" spans="1:108" ht="20.25" customHeight="1" x14ac:dyDescent="0.2">
      <c r="A102" s="3943" t="s">
        <v>1310</v>
      </c>
      <c r="B102" s="3944">
        <f>SUM(C102:J102)</f>
        <v>0</v>
      </c>
      <c r="C102" s="3058"/>
      <c r="D102" s="7418"/>
      <c r="E102" s="7418"/>
      <c r="F102" s="7418"/>
      <c r="G102" s="7418"/>
      <c r="H102" s="7418"/>
      <c r="I102" s="7418"/>
      <c r="J102" s="2834"/>
      <c r="K102" s="3059"/>
      <c r="L102" s="3059"/>
      <c r="M102" s="3059"/>
      <c r="N102" s="3059"/>
      <c r="O102" s="3059"/>
      <c r="P102" s="140" t="str">
        <f>CA102</f>
        <v/>
      </c>
      <c r="Q102" s="140"/>
      <c r="U102" s="290"/>
      <c r="BY102" s="1460"/>
      <c r="CA102" s="1458" t="str">
        <f>IF(DA102=1,"* Total Nacidos Fallecidos con Anomalía Congénita NO DEBE ser MAYOR a Nacidos fallecidos según peso al Nacer. ","")</f>
        <v/>
      </c>
      <c r="DA102" s="1461"/>
    </row>
    <row r="103" spans="1:108" ht="20.25" customHeight="1" x14ac:dyDescent="0.2">
      <c r="A103" s="3945" t="s">
        <v>2914</v>
      </c>
      <c r="B103" s="3946">
        <f>SUM(C103:J103)</f>
        <v>0</v>
      </c>
      <c r="C103" s="7419"/>
      <c r="D103" s="3060"/>
      <c r="E103" s="3060"/>
      <c r="F103" s="3060"/>
      <c r="G103" s="3060"/>
      <c r="H103" s="3060"/>
      <c r="I103" s="3060"/>
      <c r="J103" s="2877"/>
      <c r="K103" s="3059"/>
      <c r="L103" s="3059"/>
      <c r="M103" s="3059"/>
      <c r="N103" s="3059"/>
      <c r="O103" s="3059"/>
      <c r="P103" s="140" t="str">
        <f>CA103</f>
        <v/>
      </c>
      <c r="Q103" s="140"/>
      <c r="U103" s="290"/>
      <c r="BY103" s="1460"/>
      <c r="CA103" s="1458" t="str">
        <f>IF(DA103=1,"* Total Nacidos Fallecidos con Anomalía Congénita NO DEBE ser MAYOR a Nacidos fallecidos según peso al Nacer. ","")</f>
        <v/>
      </c>
      <c r="DA103" s="1461"/>
    </row>
    <row r="104" spans="1:108" ht="20.25" customHeight="1" x14ac:dyDescent="0.2">
      <c r="A104" s="3947" t="s">
        <v>2915</v>
      </c>
      <c r="B104" s="3948">
        <f>SUM(C104:J104)</f>
        <v>0</v>
      </c>
      <c r="C104" s="7420"/>
      <c r="D104" s="3064"/>
      <c r="E104" s="3064"/>
      <c r="F104" s="3064"/>
      <c r="G104" s="3064"/>
      <c r="H104" s="3064"/>
      <c r="I104" s="3064"/>
      <c r="J104" s="3057"/>
      <c r="K104" s="3057"/>
      <c r="L104" s="3057"/>
      <c r="M104" s="3057"/>
      <c r="N104" s="3057"/>
      <c r="O104" s="2890"/>
      <c r="P104" s="140" t="str">
        <f>CA104</f>
        <v/>
      </c>
      <c r="Q104" s="140"/>
      <c r="U104" s="290"/>
      <c r="BY104" s="1460"/>
      <c r="CA104" s="1458" t="str">
        <f>IF(DA104=1,"* Total Nacidos Fallecidos con Anomalía Congénita NO DEBE ser MAYOR a Nacidos fallecidos según peso al Nacer. ","")</f>
        <v/>
      </c>
      <c r="DA104" s="1461"/>
    </row>
    <row r="105" spans="1:108" ht="24.6" customHeight="1" x14ac:dyDescent="0.2">
      <c r="A105" s="72" t="s">
        <v>3757</v>
      </c>
      <c r="D105" s="71"/>
      <c r="E105" s="71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U105" s="290"/>
      <c r="BY105" s="1460"/>
      <c r="CB105" s="1457"/>
      <c r="CC105" s="1457"/>
      <c r="CD105" s="1457"/>
    </row>
    <row r="106" spans="1:108" ht="28.9" customHeight="1" x14ac:dyDescent="0.2">
      <c r="A106" s="2158" t="s">
        <v>1276</v>
      </c>
      <c r="B106" s="7168" t="s">
        <v>3759</v>
      </c>
      <c r="C106" s="7169" t="s">
        <v>3758</v>
      </c>
      <c r="D106" s="3897" t="s">
        <v>360</v>
      </c>
      <c r="E106" s="2156" t="s">
        <v>359</v>
      </c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CA106" s="1460"/>
      <c r="CB106" s="1457"/>
      <c r="CC106" s="1457"/>
      <c r="CD106" s="1457"/>
      <c r="CE106" s="1457"/>
      <c r="CF106" s="1457"/>
      <c r="CG106" s="1457"/>
      <c r="CH106" s="1457"/>
      <c r="CI106" s="1457"/>
      <c r="CJ106" s="1457"/>
      <c r="CK106" s="1457"/>
      <c r="CL106" s="1457"/>
      <c r="CM106" s="1457"/>
      <c r="DA106" s="1451"/>
    </row>
    <row r="107" spans="1:108" ht="24" customHeight="1" x14ac:dyDescent="0.2">
      <c r="A107" s="3898" t="s">
        <v>1277</v>
      </c>
      <c r="B107" s="7170"/>
      <c r="C107" s="7171"/>
      <c r="D107" s="3899"/>
      <c r="E107" s="3899"/>
      <c r="F107" s="71" t="str">
        <f>CB107&amp;CC107&amp;CD107</f>
        <v/>
      </c>
      <c r="G107" s="71"/>
      <c r="H107" s="71"/>
      <c r="I107" s="71"/>
      <c r="J107" s="71"/>
      <c r="K107" s="71"/>
      <c r="L107" s="71"/>
      <c r="M107" s="140"/>
      <c r="N107" s="140"/>
      <c r="O107" s="140"/>
      <c r="P107" s="140"/>
      <c r="Q107" s="140"/>
      <c r="V107" s="165"/>
      <c r="BZ107" s="290"/>
      <c r="CA107" s="1460"/>
      <c r="CB107" s="1458" t="str">
        <f>IF(DB107=1,"* Recuerde digitar los campos Pueblo Originario y/o Migrantes (Digite Cero si no tiene). ","")</f>
        <v/>
      </c>
      <c r="CC107" s="1458" t="str">
        <f>IF(DC107=1,"* Pueblos Originarios NO DEBEN ser Mayor al Total. ","")</f>
        <v/>
      </c>
      <c r="CD107" s="1458" t="str">
        <f>IF(DD107=1,"* Migrantes NO DEBEN ser Mayor al Total. ","")</f>
        <v/>
      </c>
      <c r="CI107" s="1457"/>
      <c r="CJ107" s="1457"/>
      <c r="CK107" s="1457"/>
      <c r="CL107" s="1457"/>
      <c r="CM107" s="1457"/>
      <c r="CN107" s="1457"/>
      <c r="DA107" s="1451"/>
      <c r="DB107" s="1461"/>
      <c r="DC107" s="1461"/>
      <c r="DD107" s="1461"/>
    </row>
    <row r="108" spans="1:108" ht="39.75" customHeight="1" x14ac:dyDescent="0.2">
      <c r="A108" s="3900" t="s">
        <v>3720</v>
      </c>
      <c r="B108" s="7172"/>
      <c r="C108" s="7173"/>
      <c r="D108" s="3901"/>
      <c r="E108" s="3901"/>
      <c r="F108" s="71" t="str">
        <f>CB108&amp;CC108&amp;CD108</f>
        <v/>
      </c>
      <c r="G108" s="71"/>
      <c r="H108" s="71"/>
      <c r="I108" s="71"/>
      <c r="J108" s="71"/>
      <c r="K108" s="71"/>
      <c r="L108" s="71"/>
      <c r="M108" s="140"/>
      <c r="N108" s="140"/>
      <c r="O108" s="140"/>
      <c r="P108" s="140"/>
      <c r="Q108" s="140"/>
      <c r="V108" s="165"/>
      <c r="BZ108" s="290"/>
      <c r="CA108" s="1460"/>
      <c r="CB108" s="1458" t="str">
        <f>IF(DB108=1,"* Recuerde digitar los campos Pueblo Originario y/o Migrantes (Digite Cero si no tiene). ","")</f>
        <v/>
      </c>
      <c r="CC108" s="1458" t="str">
        <f>IF(DC108=1,"* Pueblos Originarios NO DEBEN ser Mayor al Total. ","")</f>
        <v/>
      </c>
      <c r="CD108" s="1458" t="str">
        <f>IF(DD108=1,"* Migrantes NO DEBEN ser Mayor al Total. ","")</f>
        <v/>
      </c>
      <c r="CI108" s="1457"/>
      <c r="CJ108" s="1457"/>
      <c r="CK108" s="1457"/>
      <c r="CL108" s="1457"/>
      <c r="CM108" s="1457"/>
      <c r="CN108" s="1457"/>
      <c r="DA108" s="1451"/>
      <c r="DB108" s="1461"/>
      <c r="DC108" s="1461"/>
      <c r="DD108" s="1461"/>
    </row>
    <row r="109" spans="1:108" ht="19.899999999999999" customHeight="1" x14ac:dyDescent="0.2">
      <c r="A109" s="3902" t="s">
        <v>2906</v>
      </c>
      <c r="B109" s="5088"/>
      <c r="C109" s="7174"/>
      <c r="D109" s="3903"/>
      <c r="E109" s="3903"/>
      <c r="F109" s="71" t="str">
        <f>CB109&amp;CC109&amp;CD109</f>
        <v/>
      </c>
      <c r="G109" s="71"/>
      <c r="H109" s="71"/>
      <c r="I109" s="71"/>
      <c r="J109" s="71"/>
      <c r="K109" s="71"/>
      <c r="L109" s="71"/>
      <c r="M109" s="140"/>
      <c r="N109" s="140"/>
      <c r="O109" s="140"/>
      <c r="P109" s="140"/>
      <c r="Q109" s="140"/>
      <c r="V109" s="165"/>
      <c r="BZ109" s="290"/>
      <c r="CA109" s="1460"/>
      <c r="CB109" s="1458" t="str">
        <f>IF(DB109=1,"* Recuerde digitar los campos Pueblo Originario y/o Migrantes (Digite Cero si no tiene). ","")</f>
        <v/>
      </c>
      <c r="CC109" s="1458" t="str">
        <f>IF(DC109=1,"* Pueblos Originarios NO DEBEN ser Mayor al Total. ","")</f>
        <v/>
      </c>
      <c r="CD109" s="1458" t="str">
        <f>IF(DD109=1,"* Migrantes NO DEBEN ser Mayor al Total. ","")</f>
        <v/>
      </c>
      <c r="CI109" s="1457"/>
      <c r="CJ109" s="1457"/>
      <c r="CK109" s="1457"/>
      <c r="CL109" s="1457"/>
      <c r="CM109" s="1457"/>
      <c r="CN109" s="1457"/>
      <c r="DA109" s="1451"/>
      <c r="DB109" s="1461"/>
      <c r="DC109" s="1461"/>
      <c r="DD109" s="1461"/>
    </row>
    <row r="110" spans="1:108" ht="25.5" customHeight="1" x14ac:dyDescent="0.2">
      <c r="A110" s="3902" t="s">
        <v>2907</v>
      </c>
      <c r="B110" s="5088"/>
      <c r="C110" s="7174"/>
      <c r="D110" s="3903"/>
      <c r="E110" s="3903"/>
      <c r="F110" s="71" t="str">
        <f>CB110&amp;CC110&amp;CD110</f>
        <v/>
      </c>
      <c r="G110" s="71"/>
      <c r="H110" s="71"/>
      <c r="I110" s="71"/>
      <c r="J110" s="71"/>
      <c r="K110" s="71"/>
      <c r="L110" s="71"/>
      <c r="M110" s="140"/>
      <c r="N110" s="140"/>
      <c r="O110" s="140"/>
      <c r="P110" s="140"/>
      <c r="Q110" s="140"/>
      <c r="V110" s="165"/>
      <c r="BZ110" s="290"/>
      <c r="CA110" s="1460"/>
      <c r="CB110" s="1458" t="str">
        <f>IF(DB110=1,"* Recuerde digitar los campos Pueblo Originario y/o Migrantes (Digite Cero si no tiene). ","")</f>
        <v/>
      </c>
      <c r="CC110" s="1458" t="str">
        <f>IF(DC110=1,"* Pueblos Originarios NO DEBEN ser Mayor al Total. ","")</f>
        <v/>
      </c>
      <c r="CD110" s="1458" t="str">
        <f>IF(DD110=1,"* Migrantes NO DEBEN ser Mayor al Total. ","")</f>
        <v/>
      </c>
      <c r="CI110" s="1457"/>
      <c r="CJ110" s="1457"/>
      <c r="CK110" s="1457"/>
      <c r="CL110" s="1457"/>
      <c r="CM110" s="1457"/>
      <c r="CN110" s="1457"/>
      <c r="DA110" s="1451"/>
      <c r="DB110" s="1461"/>
      <c r="DC110" s="1461"/>
      <c r="DD110" s="1461"/>
    </row>
    <row r="111" spans="1:108" ht="26.25" customHeight="1" x14ac:dyDescent="0.2">
      <c r="A111" s="3902" t="s">
        <v>2908</v>
      </c>
      <c r="B111" s="7984"/>
      <c r="C111" s="7174"/>
      <c r="D111" s="3903"/>
      <c r="E111" s="3903"/>
      <c r="F111" s="71" t="str">
        <f>CB111&amp;CC111&amp;CD111</f>
        <v/>
      </c>
      <c r="G111" s="71"/>
      <c r="H111" s="71"/>
      <c r="I111" s="71"/>
      <c r="J111" s="71"/>
      <c r="K111" s="71"/>
      <c r="L111" s="71"/>
      <c r="M111" s="140"/>
      <c r="N111" s="140"/>
      <c r="O111" s="140"/>
      <c r="P111" s="140"/>
      <c r="Q111" s="140"/>
      <c r="T111" s="1193" t="str">
        <f>CC111&amp;CD111</f>
        <v/>
      </c>
      <c r="V111" s="165"/>
      <c r="BZ111" s="290"/>
      <c r="CA111" s="1460"/>
      <c r="CB111" s="1458" t="str">
        <f>IF(DB111=1,"* Recuerde digitar los campos Pueblo Originario y/o Migrantes (Digite Cero si no tiene). ","")</f>
        <v/>
      </c>
      <c r="CC111" s="1458" t="str">
        <f>IF(DC111=1,"* Pueblos Originarios NO DEBEN ser Mayor al Total. ","")</f>
        <v/>
      </c>
      <c r="CD111" s="1458" t="str">
        <f>IF(DD111=1,"* Migrantes NO DEBEN ser Mayor al Total. ","")</f>
        <v/>
      </c>
      <c r="CE111" s="1457"/>
      <c r="CF111" s="1457"/>
      <c r="CG111" s="1457"/>
      <c r="CH111" s="1457"/>
      <c r="CI111" s="1457"/>
      <c r="CJ111" s="1457"/>
      <c r="CK111" s="1457"/>
      <c r="CL111" s="1457"/>
      <c r="CM111" s="1457"/>
      <c r="CN111" s="1457"/>
      <c r="DA111" s="1451"/>
      <c r="DB111" s="1461"/>
      <c r="DC111" s="1461"/>
      <c r="DD111" s="1461"/>
    </row>
    <row r="112" spans="1:108" ht="21.75" customHeight="1" x14ac:dyDescent="0.2">
      <c r="A112" s="7985" t="s">
        <v>1278</v>
      </c>
      <c r="B112" s="7981"/>
      <c r="C112" s="7982"/>
      <c r="D112" s="7983"/>
      <c r="E112" s="7983"/>
      <c r="F112" s="71" t="str">
        <f>CB106&amp;CC106&amp;CD106&amp;CE106&amp;CF106&amp;CG106</f>
        <v/>
      </c>
      <c r="O112" s="140"/>
      <c r="P112" s="140"/>
      <c r="Q112" s="140"/>
      <c r="T112" s="1193" t="str">
        <f>CC112&amp;CD112</f>
        <v/>
      </c>
      <c r="V112" s="165"/>
      <c r="BZ112" s="290"/>
      <c r="CA112" s="1460"/>
      <c r="CB112" s="1457"/>
      <c r="CC112" s="1457"/>
      <c r="CD112" s="1457" t="str">
        <f>IF(CJ112=1,"* Pueblo Originario y/o Migrante NO DEBE ser mayor al Total. ","")</f>
        <v/>
      </c>
      <c r="CE112" s="1457"/>
      <c r="CF112" s="1457"/>
      <c r="CG112" s="1457"/>
      <c r="CH112" s="1457"/>
      <c r="CI112" s="1457"/>
      <c r="CJ112" s="1457"/>
      <c r="CK112" s="1457"/>
      <c r="CL112" s="1457"/>
      <c r="CM112" s="1457"/>
      <c r="CN112" s="1457"/>
      <c r="DA112" s="1451"/>
    </row>
    <row r="113" spans="1:107" ht="21.75" customHeight="1" x14ac:dyDescent="0.2">
      <c r="A113" s="4070" t="s">
        <v>3721</v>
      </c>
      <c r="B113" s="567"/>
      <c r="C113" s="567"/>
      <c r="D113" s="567"/>
      <c r="E113" s="71"/>
      <c r="N113" s="140"/>
      <c r="O113" s="140"/>
      <c r="P113" s="140"/>
      <c r="S113" s="1193"/>
      <c r="CB113" s="1457"/>
      <c r="CC113" s="1457"/>
      <c r="CD113" s="1457"/>
      <c r="CE113" s="1457"/>
      <c r="CF113" s="1457"/>
      <c r="CG113" s="1457"/>
      <c r="CH113" s="1457"/>
      <c r="CI113" s="1457"/>
      <c r="CJ113" s="1457"/>
      <c r="CK113" s="1457"/>
      <c r="CL113" s="1457"/>
      <c r="CM113" s="1457"/>
    </row>
    <row r="114" spans="1:107" ht="33" customHeight="1" x14ac:dyDescent="0.2">
      <c r="A114" s="292" t="s">
        <v>3030</v>
      </c>
      <c r="B114" s="292"/>
      <c r="C114" s="292"/>
      <c r="D114" s="292"/>
      <c r="E114" s="292"/>
      <c r="F114" s="292"/>
      <c r="G114" s="292"/>
      <c r="N114" s="140"/>
      <c r="O114" s="140"/>
      <c r="P114" s="140"/>
      <c r="S114" s="1193"/>
      <c r="CB114" s="1457"/>
      <c r="CC114" s="1457"/>
      <c r="CD114" s="1457"/>
      <c r="CE114" s="1457"/>
      <c r="CF114" s="1457"/>
      <c r="CG114" s="1457"/>
      <c r="CH114" s="1457"/>
      <c r="CI114" s="1457"/>
      <c r="CJ114" s="1457"/>
      <c r="CK114" s="1457"/>
      <c r="CL114" s="1457"/>
      <c r="CM114" s="1457"/>
    </row>
    <row r="115" spans="1:107" ht="21.75" customHeight="1" x14ac:dyDescent="0.2">
      <c r="A115" s="10005" t="s">
        <v>2107</v>
      </c>
      <c r="B115" s="10005"/>
      <c r="C115" s="3332" t="s">
        <v>24</v>
      </c>
      <c r="J115" s="140"/>
      <c r="K115" s="140"/>
      <c r="L115" s="140"/>
      <c r="O115" s="1193"/>
      <c r="R115" s="290"/>
      <c r="S115" s="290"/>
      <c r="T115" s="290"/>
      <c r="U115" s="290"/>
      <c r="BV115" s="1460"/>
      <c r="CB115" s="1457"/>
      <c r="CC115" s="1457"/>
      <c r="CD115" s="1457"/>
      <c r="CE115" s="1457"/>
      <c r="CF115" s="1457"/>
      <c r="CG115" s="1457"/>
      <c r="CH115" s="1457"/>
      <c r="CI115" s="1457"/>
    </row>
    <row r="116" spans="1:107" ht="34.15" customHeight="1" x14ac:dyDescent="0.2">
      <c r="A116" s="9138" t="s">
        <v>595</v>
      </c>
      <c r="B116" s="3949" t="s">
        <v>3516</v>
      </c>
      <c r="C116" s="3950"/>
      <c r="D116" s="1452"/>
      <c r="J116" s="140"/>
      <c r="K116" s="140"/>
      <c r="L116" s="140"/>
      <c r="O116" s="1193"/>
      <c r="R116" s="290"/>
      <c r="S116" s="290"/>
      <c r="T116" s="290"/>
      <c r="U116" s="290"/>
      <c r="BV116" s="1460"/>
      <c r="BW116" s="1460"/>
      <c r="CB116" s="1457"/>
      <c r="CC116" s="1457"/>
      <c r="CD116" s="1457"/>
      <c r="CE116" s="1457"/>
      <c r="CF116" s="1457"/>
      <c r="CG116" s="1457"/>
      <c r="CH116" s="1457"/>
      <c r="CI116" s="1457"/>
    </row>
    <row r="117" spans="1:107" ht="31.15" customHeight="1" x14ac:dyDescent="0.2">
      <c r="A117" s="9138"/>
      <c r="B117" s="3951" t="s">
        <v>3515</v>
      </c>
      <c r="C117" s="3214"/>
      <c r="D117" s="1452"/>
      <c r="J117" s="140"/>
      <c r="K117" s="140"/>
      <c r="L117" s="140"/>
      <c r="O117" s="1193"/>
      <c r="R117" s="290"/>
      <c r="S117" s="290"/>
      <c r="T117" s="290"/>
      <c r="U117" s="290"/>
      <c r="BV117" s="1460"/>
      <c r="BW117" s="1460"/>
      <c r="CB117" s="1457"/>
      <c r="CC117" s="1457"/>
      <c r="CD117" s="1457"/>
      <c r="CE117" s="1457"/>
      <c r="CF117" s="1457"/>
      <c r="CG117" s="1457"/>
      <c r="CH117" s="1457"/>
      <c r="CI117" s="1457"/>
    </row>
    <row r="118" spans="1:107" ht="21.75" customHeight="1" x14ac:dyDescent="0.2">
      <c r="A118" s="9138" t="s">
        <v>596</v>
      </c>
      <c r="B118" s="3952" t="s">
        <v>66</v>
      </c>
      <c r="C118" s="3598"/>
      <c r="D118" s="1452"/>
      <c r="J118" s="140"/>
      <c r="K118" s="140"/>
      <c r="L118" s="140"/>
      <c r="O118" s="1193"/>
      <c r="R118" s="290"/>
      <c r="S118" s="290"/>
      <c r="T118" s="290"/>
      <c r="U118" s="290"/>
      <c r="BV118" s="1460"/>
      <c r="BW118" s="1460"/>
      <c r="CB118" s="1457"/>
      <c r="CC118" s="1457"/>
      <c r="CD118" s="1457"/>
      <c r="CE118" s="1457"/>
      <c r="CF118" s="1457"/>
      <c r="CG118" s="1457"/>
      <c r="CH118" s="1457"/>
      <c r="CI118" s="1457"/>
    </row>
    <row r="119" spans="1:107" ht="21.75" customHeight="1" x14ac:dyDescent="0.2">
      <c r="A119" s="9138"/>
      <c r="B119" s="3953" t="s">
        <v>3514</v>
      </c>
      <c r="C119" s="2447"/>
      <c r="D119" s="1452"/>
      <c r="J119" s="140"/>
      <c r="K119" s="140"/>
      <c r="L119" s="140"/>
      <c r="O119" s="1193"/>
      <c r="R119" s="290"/>
      <c r="S119" s="290"/>
      <c r="T119" s="290"/>
      <c r="U119" s="290"/>
      <c r="BV119" s="1460"/>
      <c r="BW119" s="1460"/>
      <c r="CB119" s="1457"/>
      <c r="CC119" s="1457"/>
      <c r="CD119" s="1457"/>
      <c r="CE119" s="1457"/>
      <c r="CF119" s="1457"/>
      <c r="CG119" s="1457"/>
      <c r="CH119" s="1457"/>
      <c r="CI119" s="1457"/>
    </row>
    <row r="120" spans="1:107" ht="21.75" customHeight="1" x14ac:dyDescent="0.2">
      <c r="A120" s="9138"/>
      <c r="B120" s="3953" t="s">
        <v>2420</v>
      </c>
      <c r="C120" s="2447"/>
      <c r="D120" s="1452"/>
      <c r="J120" s="140"/>
      <c r="K120" s="140"/>
      <c r="L120" s="140"/>
      <c r="O120" s="1193"/>
      <c r="R120" s="290"/>
      <c r="S120" s="290"/>
      <c r="T120" s="290"/>
      <c r="U120" s="290"/>
      <c r="BV120" s="1460"/>
      <c r="BW120" s="1460"/>
      <c r="CB120" s="1457"/>
      <c r="CC120" s="1457"/>
      <c r="CD120" s="1457"/>
      <c r="CE120" s="1457"/>
      <c r="CF120" s="1457"/>
      <c r="CG120" s="1457"/>
      <c r="CH120" s="1457"/>
      <c r="CI120" s="1457"/>
    </row>
    <row r="121" spans="1:107" ht="21.75" customHeight="1" x14ac:dyDescent="0.2">
      <c r="A121" s="9138"/>
      <c r="B121" s="3486" t="s">
        <v>46</v>
      </c>
      <c r="C121" s="3954"/>
      <c r="D121" s="7948"/>
      <c r="J121" s="140"/>
      <c r="K121" s="140"/>
      <c r="L121" s="140"/>
      <c r="O121" s="1193"/>
      <c r="R121" s="290"/>
      <c r="S121" s="290"/>
      <c r="T121" s="290"/>
      <c r="U121" s="290"/>
      <c r="BV121" s="1460"/>
      <c r="BW121" s="1460"/>
      <c r="CB121" s="1457"/>
      <c r="CC121" s="1457"/>
      <c r="CD121" s="1457"/>
      <c r="CE121" s="1457"/>
      <c r="CF121" s="1457"/>
      <c r="CG121" s="1457"/>
      <c r="CH121" s="1457"/>
      <c r="CI121" s="1457"/>
    </row>
    <row r="122" spans="1:107" ht="28.9" customHeight="1" x14ac:dyDescent="0.25">
      <c r="A122" s="367" t="s">
        <v>3031</v>
      </c>
      <c r="B122" s="1472"/>
      <c r="C122" s="1472"/>
      <c r="D122" s="72"/>
      <c r="E122" s="823"/>
      <c r="F122" s="823"/>
      <c r="G122" s="823"/>
      <c r="H122" s="823"/>
      <c r="I122" s="823"/>
      <c r="J122" s="823"/>
      <c r="K122" s="823"/>
      <c r="L122" s="823"/>
      <c r="M122" s="823"/>
      <c r="U122" s="290"/>
      <c r="BY122" s="1460"/>
    </row>
    <row r="123" spans="1:107" ht="18.75" customHeight="1" x14ac:dyDescent="0.2">
      <c r="A123" s="9983" t="s">
        <v>31</v>
      </c>
      <c r="B123" s="8273" t="s">
        <v>44</v>
      </c>
      <c r="C123" s="10002" t="s">
        <v>538</v>
      </c>
      <c r="D123" s="10003"/>
      <c r="E123" s="10003"/>
      <c r="F123" s="10003"/>
      <c r="G123" s="10003"/>
      <c r="H123" s="10003"/>
      <c r="I123" s="10003"/>
      <c r="J123" s="10003"/>
      <c r="K123" s="10004"/>
      <c r="L123" s="10020" t="s">
        <v>360</v>
      </c>
      <c r="M123" s="10022" t="s">
        <v>359</v>
      </c>
      <c r="U123" s="290"/>
      <c r="BY123" s="1460"/>
    </row>
    <row r="124" spans="1:107" ht="27.75" customHeight="1" x14ac:dyDescent="0.2">
      <c r="A124" s="8437"/>
      <c r="B124" s="9977"/>
      <c r="C124" s="3905" t="s">
        <v>32</v>
      </c>
      <c r="D124" s="3906" t="s">
        <v>33</v>
      </c>
      <c r="E124" s="3906" t="s">
        <v>40</v>
      </c>
      <c r="F124" s="3906" t="s">
        <v>115</v>
      </c>
      <c r="G124" s="3906" t="s">
        <v>116</v>
      </c>
      <c r="H124" s="3906" t="s">
        <v>117</v>
      </c>
      <c r="I124" s="3906" t="s">
        <v>118</v>
      </c>
      <c r="J124" s="3906" t="s">
        <v>119</v>
      </c>
      <c r="K124" s="3907" t="s">
        <v>120</v>
      </c>
      <c r="L124" s="10021"/>
      <c r="M124" s="10023"/>
      <c r="U124" s="290"/>
      <c r="BY124" s="1460"/>
    </row>
    <row r="125" spans="1:107" ht="24" customHeight="1" x14ac:dyDescent="0.2">
      <c r="A125" s="2062" t="s">
        <v>2480</v>
      </c>
      <c r="B125" s="2061"/>
      <c r="C125" s="7935"/>
      <c r="D125" s="7936"/>
      <c r="E125" s="7936"/>
      <c r="F125" s="7936"/>
      <c r="G125" s="7936"/>
      <c r="H125" s="7936"/>
      <c r="I125" s="7936"/>
      <c r="J125" s="7936"/>
      <c r="K125" s="7937"/>
      <c r="L125" s="7935"/>
      <c r="M125" s="7938"/>
      <c r="CA125" s="1458" t="str">
        <f>IF(DA125=1,"* Recuerde digitar los campos Pueblo Originario y/o Migrantes (Digite Cero si no tiene). ","")</f>
        <v/>
      </c>
      <c r="CB125" s="1458" t="str">
        <f>IF(DB125=1,"* Pueblos Originarios NO DEBEN ser Mayor al Total. ","")</f>
        <v/>
      </c>
      <c r="CC125" s="1458" t="str">
        <f>IF(DC125=1,"* Migrantes NO DEBEN ser Mayor al Total. ","")</f>
        <v/>
      </c>
    </row>
    <row r="126" spans="1:107" ht="24.6" customHeight="1" x14ac:dyDescent="0.2">
      <c r="A126" s="3908" t="s">
        <v>2481</v>
      </c>
      <c r="B126" s="7421">
        <f>SUM(C126:K126)</f>
        <v>0</v>
      </c>
      <c r="C126" s="2061"/>
      <c r="D126" s="1962"/>
      <c r="E126" s="1962"/>
      <c r="F126" s="1962"/>
      <c r="G126" s="1962"/>
      <c r="H126" s="1962"/>
      <c r="I126" s="1962"/>
      <c r="J126" s="1962"/>
      <c r="K126" s="2031"/>
      <c r="L126" s="2061"/>
      <c r="M126" s="1731"/>
      <c r="N126" s="165" t="str">
        <f>CA126&amp;CB126&amp;CC126</f>
        <v/>
      </c>
      <c r="CA126" s="1458" t="str">
        <f>IF(DA126=1,"* Recuerde digitar los campos Pueblo Originario y/o Migrantes (Digite Cero si no tiene). ","")</f>
        <v/>
      </c>
      <c r="CB126" s="1458" t="str">
        <f>IF(DB126=1,"* Pueblos Originarios NO DEBEN ser Mayor al Total. ","")</f>
        <v/>
      </c>
      <c r="CC126" s="1458" t="str">
        <f>IF(DC126=1,"* Migrantes NO DEBEN ser Mayor al Total. ","")</f>
        <v/>
      </c>
      <c r="DA126" s="1461"/>
      <c r="DB126" s="1461"/>
      <c r="DC126" s="1461"/>
    </row>
    <row r="127" spans="1:107" ht="18.600000000000001" customHeight="1" x14ac:dyDescent="0.2">
      <c r="A127" s="292" t="s">
        <v>3032</v>
      </c>
      <c r="B127" s="292"/>
    </row>
    <row r="128" spans="1:107" ht="19.899999999999999" customHeight="1" x14ac:dyDescent="0.2">
      <c r="A128" s="292" t="s">
        <v>3033</v>
      </c>
      <c r="B128" s="292"/>
    </row>
    <row r="129" spans="1:130" ht="21" x14ac:dyDescent="0.2">
      <c r="A129" s="9992" t="s">
        <v>2929</v>
      </c>
      <c r="B129" s="9971" t="s">
        <v>1291</v>
      </c>
      <c r="C129" s="9972"/>
      <c r="D129" s="9972"/>
      <c r="E129" s="9972"/>
      <c r="F129" s="3585" t="s">
        <v>2900</v>
      </c>
      <c r="T129" s="290"/>
      <c r="U129" s="290"/>
      <c r="BX129" s="1460"/>
      <c r="BY129" s="1460"/>
      <c r="CA129" s="1451"/>
      <c r="CZ129" s="3295"/>
      <c r="DZ129" s="165"/>
    </row>
    <row r="130" spans="1:130" ht="24" customHeight="1" x14ac:dyDescent="0.2">
      <c r="A130" s="9993"/>
      <c r="B130" s="3066" t="s">
        <v>1282</v>
      </c>
      <c r="C130" s="3077" t="s">
        <v>2901</v>
      </c>
      <c r="D130" s="3066" t="s">
        <v>2902</v>
      </c>
      <c r="E130" s="3131" t="s">
        <v>2903</v>
      </c>
      <c r="F130" s="3955" t="s">
        <v>2904</v>
      </c>
      <c r="T130" s="290"/>
      <c r="U130" s="290"/>
      <c r="BX130" s="1460"/>
      <c r="BY130" s="1460"/>
      <c r="CA130" s="1451"/>
      <c r="CZ130" s="3295"/>
      <c r="DZ130" s="165"/>
    </row>
    <row r="131" spans="1:130" ht="24.6" customHeight="1" x14ac:dyDescent="0.2">
      <c r="A131" s="3956" t="s">
        <v>2905</v>
      </c>
      <c r="B131" s="3957"/>
      <c r="C131" s="3937"/>
      <c r="D131" s="3957"/>
      <c r="E131" s="3065"/>
      <c r="F131" s="3958"/>
      <c r="T131" s="290"/>
      <c r="U131" s="290"/>
      <c r="BX131" s="1460"/>
      <c r="BY131" s="1460"/>
      <c r="CA131" s="1451"/>
      <c r="CZ131" s="3295"/>
      <c r="DZ131" s="165"/>
    </row>
    <row r="132" spans="1:130" ht="32.450000000000003" customHeight="1" x14ac:dyDescent="0.2">
      <c r="A132" s="292" t="s">
        <v>3034</v>
      </c>
    </row>
    <row r="133" spans="1:130" ht="30" customHeight="1" x14ac:dyDescent="0.2">
      <c r="A133" s="727" t="s">
        <v>2679</v>
      </c>
      <c r="B133" s="3959" t="s">
        <v>2678</v>
      </c>
      <c r="C133" s="3358" t="s">
        <v>2630</v>
      </c>
      <c r="D133" s="3487" t="s">
        <v>1638</v>
      </c>
      <c r="E133" s="2824" t="s">
        <v>360</v>
      </c>
    </row>
    <row r="134" spans="1:130" ht="22.15" customHeight="1" x14ac:dyDescent="0.2">
      <c r="A134" s="1098" t="s">
        <v>2675</v>
      </c>
      <c r="B134" s="2724"/>
      <c r="C134" s="3070"/>
      <c r="D134" s="3072"/>
      <c r="E134" s="2825"/>
      <c r="F134" s="1455"/>
      <c r="CB134" s="1457"/>
    </row>
    <row r="135" spans="1:130" ht="24" customHeight="1" x14ac:dyDescent="0.2">
      <c r="A135" s="2112" t="s">
        <v>2676</v>
      </c>
      <c r="B135" s="2731"/>
      <c r="C135" s="3067"/>
      <c r="D135" s="3069"/>
      <c r="E135" s="2729"/>
      <c r="F135" s="1455"/>
      <c r="CB135" s="1457"/>
    </row>
    <row r="136" spans="1:130" ht="22.15" customHeight="1" thickBot="1" x14ac:dyDescent="0.25">
      <c r="A136" s="3960" t="s">
        <v>2677</v>
      </c>
      <c r="B136" s="2826"/>
      <c r="C136" s="3071"/>
      <c r="D136" s="3073"/>
      <c r="E136" s="2827"/>
      <c r="F136" s="1455"/>
      <c r="CB136" s="1457"/>
    </row>
    <row r="137" spans="1:130" ht="26.45" customHeight="1" thickTop="1" x14ac:dyDescent="0.2">
      <c r="A137" s="3961" t="s">
        <v>2631</v>
      </c>
      <c r="B137" s="3381" t="s">
        <v>2633</v>
      </c>
      <c r="C137" s="3962" t="s">
        <v>2634</v>
      </c>
      <c r="D137" s="3397" t="s">
        <v>360</v>
      </c>
      <c r="CB137" s="1457"/>
    </row>
    <row r="138" spans="1:130" ht="22.15" customHeight="1" x14ac:dyDescent="0.2">
      <c r="A138" s="1098" t="s">
        <v>2632</v>
      </c>
      <c r="B138" s="2724"/>
      <c r="C138" s="3963"/>
      <c r="D138" s="2825"/>
      <c r="CB138" s="1457"/>
    </row>
    <row r="139" spans="1:130" ht="19.899999999999999" customHeight="1" x14ac:dyDescent="0.2">
      <c r="A139" s="2112" t="s">
        <v>134</v>
      </c>
      <c r="B139" s="2731"/>
      <c r="C139" s="2732"/>
      <c r="D139" s="2729"/>
      <c r="CB139" s="1457"/>
    </row>
    <row r="140" spans="1:130" ht="27" customHeight="1" x14ac:dyDescent="0.2">
      <c r="A140" s="1349" t="s">
        <v>2680</v>
      </c>
      <c r="B140" s="3964"/>
      <c r="C140" s="3904"/>
      <c r="D140" s="2920"/>
      <c r="CB140" s="1457"/>
    </row>
    <row r="141" spans="1:130" ht="29.45" customHeight="1" x14ac:dyDescent="0.2">
      <c r="A141" s="292" t="s">
        <v>3035</v>
      </c>
      <c r="B141" s="292"/>
    </row>
    <row r="142" spans="1:130" ht="43.9" customHeight="1" x14ac:dyDescent="0.2">
      <c r="A142" s="3380" t="s">
        <v>2631</v>
      </c>
      <c r="B142" s="3379" t="s">
        <v>2898</v>
      </c>
      <c r="C142" s="3364" t="s">
        <v>2899</v>
      </c>
      <c r="U142" s="290"/>
      <c r="BY142" s="1460"/>
    </row>
    <row r="143" spans="1:130" ht="20.45" customHeight="1" x14ac:dyDescent="0.2">
      <c r="A143" s="3965" t="s">
        <v>2632</v>
      </c>
      <c r="B143" s="3070"/>
      <c r="C143" s="3899"/>
      <c r="U143" s="290"/>
      <c r="BY143" s="1460"/>
    </row>
    <row r="144" spans="1:130" ht="21.6" customHeight="1" x14ac:dyDescent="0.2">
      <c r="A144" s="3966" t="s">
        <v>134</v>
      </c>
      <c r="B144" s="3967"/>
      <c r="C144" s="3968"/>
      <c r="U144" s="290"/>
      <c r="BY144" s="1460"/>
    </row>
    <row r="249" spans="1:130" ht="12" customHeight="1" x14ac:dyDescent="0.2"/>
    <row r="250" spans="1:130" s="1440" customFormat="1" x14ac:dyDescent="0.2">
      <c r="A250" s="165"/>
      <c r="B250" s="165"/>
      <c r="C250" s="165"/>
      <c r="D250" s="165"/>
      <c r="E250" s="165"/>
      <c r="F250" s="165"/>
      <c r="G250" s="165"/>
      <c r="H250" s="165"/>
      <c r="I250" s="165"/>
      <c r="J250" s="165"/>
      <c r="K250" s="165"/>
      <c r="L250" s="165"/>
      <c r="M250" s="165"/>
      <c r="N250" s="165"/>
      <c r="O250" s="165"/>
      <c r="P250" s="165"/>
      <c r="BZ250" s="1441"/>
      <c r="CA250" s="1457"/>
      <c r="CB250" s="1441"/>
      <c r="CC250" s="1441"/>
      <c r="CD250" s="1441"/>
      <c r="CE250" s="1441"/>
      <c r="CF250" s="1441"/>
      <c r="CG250" s="1441"/>
      <c r="CH250" s="1441"/>
      <c r="CI250" s="1441"/>
      <c r="CJ250" s="1441"/>
      <c r="CK250" s="1441"/>
      <c r="CL250" s="1441"/>
      <c r="CM250" s="1441"/>
      <c r="CN250" s="1441"/>
      <c r="CO250" s="1441"/>
      <c r="CP250" s="1441"/>
      <c r="CQ250" s="1441"/>
      <c r="CR250" s="1441"/>
      <c r="CS250" s="1441"/>
      <c r="CT250" s="1441"/>
      <c r="CU250" s="1441"/>
      <c r="CV250" s="1441"/>
      <c r="CW250" s="1441"/>
      <c r="CX250" s="1441"/>
      <c r="CY250" s="1441"/>
      <c r="CZ250" s="1441"/>
      <c r="DA250" s="3295"/>
      <c r="DB250" s="3295"/>
      <c r="DC250" s="3295"/>
      <c r="DD250" s="3295"/>
      <c r="DE250" s="3295"/>
      <c r="DF250" s="3295"/>
      <c r="DG250" s="3295"/>
      <c r="DH250" s="3295"/>
      <c r="DI250" s="3295"/>
      <c r="DJ250" s="3295"/>
      <c r="DK250" s="3295"/>
      <c r="DL250" s="3295"/>
      <c r="DM250" s="3295"/>
      <c r="DN250" s="3295"/>
      <c r="DO250" s="3295"/>
      <c r="DP250" s="3295"/>
      <c r="DQ250" s="3295"/>
      <c r="DR250" s="3295"/>
      <c r="DS250" s="3295"/>
      <c r="DT250" s="3295"/>
      <c r="DU250" s="3295"/>
      <c r="DV250" s="3295"/>
      <c r="DW250" s="3295"/>
      <c r="DX250" s="3295"/>
      <c r="DY250" s="3295"/>
      <c r="DZ250" s="3295"/>
    </row>
    <row r="255" spans="1:130" x14ac:dyDescent="0.2">
      <c r="I255" s="290"/>
      <c r="J255" s="290"/>
      <c r="K255" s="290"/>
      <c r="L255" s="290"/>
      <c r="M255" s="290"/>
      <c r="N255" s="290"/>
      <c r="O255" s="290"/>
      <c r="P255" s="290"/>
      <c r="Q255" s="290"/>
      <c r="R255" s="290"/>
      <c r="S255" s="290"/>
      <c r="T255" s="290"/>
      <c r="U255" s="290"/>
    </row>
    <row r="256" spans="1:130" x14ac:dyDescent="0.2">
      <c r="I256" s="290"/>
      <c r="J256" s="290"/>
      <c r="K256" s="290"/>
      <c r="L256" s="290"/>
      <c r="M256" s="290"/>
      <c r="N256" s="290"/>
      <c r="O256" s="290"/>
      <c r="P256" s="290"/>
      <c r="Q256" s="290"/>
      <c r="R256" s="290"/>
      <c r="S256" s="290"/>
      <c r="T256" s="290"/>
      <c r="U256" s="290"/>
    </row>
    <row r="257" spans="1:21" x14ac:dyDescent="0.2">
      <c r="I257" s="290"/>
      <c r="J257" s="290"/>
      <c r="K257" s="290"/>
      <c r="L257" s="290"/>
      <c r="M257" s="290"/>
      <c r="N257" s="290"/>
      <c r="O257" s="290"/>
      <c r="P257" s="290"/>
      <c r="Q257" s="290"/>
      <c r="R257" s="290"/>
      <c r="S257" s="290"/>
      <c r="T257" s="290"/>
      <c r="U257" s="290"/>
    </row>
    <row r="258" spans="1:21" x14ac:dyDescent="0.2">
      <c r="I258" s="290"/>
      <c r="J258" s="290"/>
      <c r="K258" s="290"/>
      <c r="L258" s="290"/>
      <c r="M258" s="290"/>
      <c r="N258" s="290"/>
      <c r="O258" s="290"/>
      <c r="P258" s="290"/>
      <c r="Q258" s="290"/>
      <c r="R258" s="290"/>
      <c r="S258" s="290"/>
      <c r="T258" s="290"/>
      <c r="U258" s="290"/>
    </row>
    <row r="259" spans="1:21" x14ac:dyDescent="0.2">
      <c r="I259" s="290"/>
      <c r="J259" s="290"/>
      <c r="K259" s="290"/>
      <c r="L259" s="290"/>
      <c r="M259" s="290"/>
      <c r="N259" s="290"/>
      <c r="O259" s="290"/>
      <c r="P259" s="290"/>
      <c r="Q259" s="290"/>
      <c r="R259" s="290"/>
      <c r="S259" s="290"/>
      <c r="T259" s="290"/>
      <c r="U259" s="290"/>
    </row>
    <row r="260" spans="1:21" x14ac:dyDescent="0.2">
      <c r="I260" s="290"/>
      <c r="J260" s="290"/>
      <c r="K260" s="290"/>
      <c r="L260" s="290"/>
      <c r="M260" s="290"/>
      <c r="N260" s="290"/>
      <c r="O260" s="290"/>
      <c r="P260" s="290"/>
      <c r="Q260" s="290"/>
      <c r="R260" s="290"/>
      <c r="S260" s="290"/>
      <c r="T260" s="290"/>
      <c r="U260" s="290"/>
    </row>
    <row r="261" spans="1:21" x14ac:dyDescent="0.2">
      <c r="I261" s="290"/>
      <c r="J261" s="290"/>
      <c r="K261" s="290"/>
      <c r="L261" s="290"/>
      <c r="M261" s="290"/>
      <c r="N261" s="290"/>
      <c r="O261" s="290"/>
      <c r="P261" s="290"/>
      <c r="Q261" s="290"/>
      <c r="R261" s="290"/>
      <c r="S261" s="290"/>
      <c r="T261" s="290"/>
      <c r="U261" s="290"/>
    </row>
    <row r="266" spans="1:21" hidden="1" x14ac:dyDescent="0.2">
      <c r="A266" s="1440">
        <f>SUM(C12:G12,H12:AB12,C26:C36,C40:D52,C55:D66,B70:O70,C89:I89,C94,C98:M98,B102:B104,B112:E112,C116:C121,B125:B126,B131:F131,B134:D136,B138:C140,B143:C144)</f>
        <v>0</v>
      </c>
      <c r="B266" s="1440">
        <f>SUM(DA12:DZ144)</f>
        <v>0</v>
      </c>
      <c r="C266" s="1440"/>
      <c r="D266" s="1440"/>
      <c r="E266" s="1440"/>
      <c r="F266" s="1440"/>
      <c r="G266" s="1440"/>
      <c r="H266" s="1440"/>
    </row>
  </sheetData>
  <sheetProtection algorithmName="SHA-512" hashValue="h6tY++ajdxj/mu6PTirk35DQSJu1SNwb6iTgNaVWRO0DQbiflvX18ozQ4nomDf7jrdHtoHRsrE0660kbDdbrYg==" saltValue="ddgv1QztTmuH4ROGoI7cgA==" spinCount="100000" sheet="1" objects="1" scenarios="1"/>
  <dataConsolidate link="1"/>
  <mergeCells count="121">
    <mergeCell ref="A99:G99"/>
    <mergeCell ref="B123:B124"/>
    <mergeCell ref="AA9:AB10"/>
    <mergeCell ref="D9:G9"/>
    <mergeCell ref="F10:F11"/>
    <mergeCell ref="L123:L124"/>
    <mergeCell ref="M123:M124"/>
    <mergeCell ref="A44:B44"/>
    <mergeCell ref="A26:B26"/>
    <mergeCell ref="A27:A28"/>
    <mergeCell ref="A31:B31"/>
    <mergeCell ref="A63:B63"/>
    <mergeCell ref="A60:B60"/>
    <mergeCell ref="A61:B61"/>
    <mergeCell ref="A51:B51"/>
    <mergeCell ref="A52:B52"/>
    <mergeCell ref="B68:J68"/>
    <mergeCell ref="A54:B54"/>
    <mergeCell ref="A55:A59"/>
    <mergeCell ref="A62:B62"/>
    <mergeCell ref="A66:B66"/>
    <mergeCell ref="A78:B78"/>
    <mergeCell ref="A86:B86"/>
    <mergeCell ref="L9:L11"/>
    <mergeCell ref="A129:A130"/>
    <mergeCell ref="A98:B98"/>
    <mergeCell ref="A75:B76"/>
    <mergeCell ref="A88:B88"/>
    <mergeCell ref="A89:B89"/>
    <mergeCell ref="A96:B97"/>
    <mergeCell ref="K100:K101"/>
    <mergeCell ref="C123:K123"/>
    <mergeCell ref="L100:O100"/>
    <mergeCell ref="A100:A101"/>
    <mergeCell ref="A115:B115"/>
    <mergeCell ref="A116:A117"/>
    <mergeCell ref="C96:D96"/>
    <mergeCell ref="E96:H96"/>
    <mergeCell ref="I96:J96"/>
    <mergeCell ref="A77:B77"/>
    <mergeCell ref="A92:B93"/>
    <mergeCell ref="D92:K92"/>
    <mergeCell ref="A118:A121"/>
    <mergeCell ref="G75:I75"/>
    <mergeCell ref="F75:F76"/>
    <mergeCell ref="A87:B87"/>
    <mergeCell ref="B100:B101"/>
    <mergeCell ref="C100:J100"/>
    <mergeCell ref="A6:L6"/>
    <mergeCell ref="B129:E129"/>
    <mergeCell ref="R68:R69"/>
    <mergeCell ref="Q68:Q69"/>
    <mergeCell ref="K68:M68"/>
    <mergeCell ref="P68:P69"/>
    <mergeCell ref="K96:K97"/>
    <mergeCell ref="L96:L97"/>
    <mergeCell ref="C75:C76"/>
    <mergeCell ref="D75:D76"/>
    <mergeCell ref="E75:E76"/>
    <mergeCell ref="M96:M97"/>
    <mergeCell ref="A90:G90"/>
    <mergeCell ref="A91:G91"/>
    <mergeCell ref="L92:L93"/>
    <mergeCell ref="A94:B94"/>
    <mergeCell ref="A123:A124"/>
    <mergeCell ref="A79:A85"/>
    <mergeCell ref="N68:O68"/>
    <mergeCell ref="A68:A70"/>
    <mergeCell ref="A39:B39"/>
    <mergeCell ref="A29:B29"/>
    <mergeCell ref="A41:A42"/>
    <mergeCell ref="A25:B25"/>
    <mergeCell ref="C92:C93"/>
    <mergeCell ref="C9:C11"/>
    <mergeCell ref="H9:K9"/>
    <mergeCell ref="A12:B12"/>
    <mergeCell ref="A13:B13"/>
    <mergeCell ref="A14:B14"/>
    <mergeCell ref="A15:B15"/>
    <mergeCell ref="A16:B16"/>
    <mergeCell ref="A17:B17"/>
    <mergeCell ref="A18:B18"/>
    <mergeCell ref="A9:B11"/>
    <mergeCell ref="A43:B43"/>
    <mergeCell ref="A40:B40"/>
    <mergeCell ref="S68:T68"/>
    <mergeCell ref="A34:B34"/>
    <mergeCell ref="A64:B64"/>
    <mergeCell ref="A65:B65"/>
    <mergeCell ref="A50:B50"/>
    <mergeCell ref="A19:B19"/>
    <mergeCell ref="A45:A46"/>
    <mergeCell ref="A47:B47"/>
    <mergeCell ref="A48:B48"/>
    <mergeCell ref="A35:A36"/>
    <mergeCell ref="A49:B49"/>
    <mergeCell ref="A20:B20"/>
    <mergeCell ref="A21:A22"/>
    <mergeCell ref="A30:B30"/>
    <mergeCell ref="A32:A33"/>
    <mergeCell ref="Z9:Z11"/>
    <mergeCell ref="D10:D11"/>
    <mergeCell ref="E10:E11"/>
    <mergeCell ref="G10:G11"/>
    <mergeCell ref="H10:H11"/>
    <mergeCell ref="I10:I11"/>
    <mergeCell ref="J10:J11"/>
    <mergeCell ref="K10:K11"/>
    <mergeCell ref="M10:M11"/>
    <mergeCell ref="N10:N11"/>
    <mergeCell ref="O10:O11"/>
    <mergeCell ref="P10:P11"/>
    <mergeCell ref="Q10:Q11"/>
    <mergeCell ref="R10:R11"/>
    <mergeCell ref="S10:T10"/>
    <mergeCell ref="M9:R9"/>
    <mergeCell ref="W9:W11"/>
    <mergeCell ref="X9:X11"/>
    <mergeCell ref="S9:V9"/>
    <mergeCell ref="Y9:Y11"/>
    <mergeCell ref="U10:V10"/>
  </mergeCells>
  <dataValidations count="1">
    <dataValidation allowBlank="1" showInputMessage="1" showErrorMessage="1" error="Valor no Permitido" sqref="C130:E131 D122:M122 A122:A125 M101:N104 B99:P99 K100 A94:A100 L100:L104 C100:J101 C103:O104 C102:K104 B100:B104 A103:A104 O101:O102 N122:P126 B95:M95 K96:M96 E96 C98:H98 I96:J98 K98:M98 B90:L91 L92 L94 C92:K94 A77:A79 A86:A92 D142:XFD144 A145:XFD1048576 Q122:XFD128 B129:B131 A127:P128 CI94:XFD94 C26:E37 A43:A45 A40:A41 B45:B46 A47:A55 B53 A60:A75 A27 B27:B28 A34:A35 F25:F37 A29:A32 A38:D38 B35:B37 P100:XFD104 C9:C10 T11:T12 A9:A10 A12:A21 S9:S10 U10 G75 W9:W10 M9 M10:R10 H9 H10:K10 H76:I76 D125:M126 D124:K124 L123:M123 D115:L121 N115:XFD121 A132:XFD141 G23:S37 AC12:DF22 DG12 DI12:XFD22 AB26:CA26 U26:Z26 U23:CA25 U71:Y71 AA71:BX71 B122:C126 Q95:XFD99 Q93:CA94 CC93:XFD93 CC94:CG94 C12:C22 J75:XFD77 G78:XFD89 U68:BX70 X9:AA9 AC9:XFD11 A1:XFD8 D13:AB22 A106:Q112 F129:XFD131 H113:P114 R106:XFD107 S108:XFD112 R113:XFD114 A105:XFD105 A113:G113 A23:F24 N90:P98 Q90:XFD92 M90:M94 CB23:XFD67 CI71:XFD73 CA71:CE73 U72:BX73 E38:S67 F74:XFD74 B67:B74 C40:D67 C69:J73 C74:E89 BZ68:BZ73 U27:CA67 K68:S73 T23:T73 CA68:XFD70 F75:F89 V11:V12 D12:S12 U12 W12:AB12" xr:uid="{00000000-0002-0000-1000-000000000000}"/>
  </dataValidations>
  <pageMargins left="0.70866141732283472" right="0.70866141732283472" top="0.74803149606299213" bottom="0.74803149606299213" header="0.31496062992125984" footer="0.31496062992125984"/>
  <pageSetup scale="29" orientation="portrait" horizontalDpi="4294967294" r:id="rId1"/>
  <ignoredErrors>
    <ignoredError sqref="C30:C36 B126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DF336"/>
  <sheetViews>
    <sheetView showGridLines="0" zoomScaleNormal="100" workbookViewId="0">
      <selection activeCell="A6" sqref="A6:V6"/>
    </sheetView>
  </sheetViews>
  <sheetFormatPr baseColWidth="10" defaultColWidth="11.42578125" defaultRowHeight="15" x14ac:dyDescent="0.25"/>
  <cols>
    <col min="1" max="1" width="44.85546875" style="1188" customWidth="1"/>
    <col min="2" max="2" width="18.140625" style="1188" customWidth="1"/>
    <col min="3" max="3" width="23.85546875" style="1188" customWidth="1"/>
    <col min="4" max="4" width="18.5703125" style="1188" customWidth="1"/>
    <col min="5" max="5" width="12.85546875" style="1188" customWidth="1"/>
    <col min="6" max="6" width="12.7109375" style="1188" customWidth="1"/>
    <col min="7" max="7" width="15.7109375" style="1188" customWidth="1"/>
    <col min="8" max="8" width="16.42578125" style="1188" customWidth="1"/>
    <col min="9" max="77" width="11.42578125" style="1188"/>
    <col min="78" max="78" width="11.140625" style="1188" customWidth="1"/>
    <col min="79" max="105" width="11.140625" style="1188" hidden="1" customWidth="1"/>
    <col min="106" max="130" width="0" style="1188" hidden="1" customWidth="1"/>
    <col min="131" max="16384" width="11.42578125" style="1188"/>
  </cols>
  <sheetData>
    <row r="1" spans="1:92" ht="16.149999999999999" customHeight="1" x14ac:dyDescent="0.25">
      <c r="A1" s="150" t="s">
        <v>206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  <c r="BB1" s="165"/>
      <c r="BC1" s="165"/>
      <c r="BD1" s="165"/>
      <c r="BE1" s="165"/>
      <c r="BF1" s="165"/>
      <c r="BG1" s="165"/>
      <c r="BH1" s="165"/>
      <c r="BI1" s="165"/>
      <c r="BJ1" s="165"/>
      <c r="BK1" s="165"/>
      <c r="BL1" s="165"/>
      <c r="BM1" s="165"/>
      <c r="BN1" s="165"/>
      <c r="BO1" s="165"/>
      <c r="BP1" s="165"/>
      <c r="BQ1" s="165"/>
      <c r="BR1" s="165"/>
      <c r="BS1" s="165"/>
      <c r="BT1" s="165"/>
      <c r="BU1" s="165"/>
      <c r="BV1" s="165"/>
      <c r="BW1" s="165"/>
      <c r="BX1" s="165"/>
      <c r="BY1" s="1452"/>
      <c r="BZ1" s="1452"/>
      <c r="CA1" s="1451" t="s">
        <v>1978</v>
      </c>
      <c r="CB1" s="1451"/>
      <c r="CC1" s="1451"/>
      <c r="CD1" s="1451"/>
      <c r="CE1" s="1451"/>
      <c r="CF1" s="1451"/>
      <c r="CG1" s="1451"/>
      <c r="CH1" s="1451"/>
      <c r="CI1" s="1451"/>
      <c r="CJ1" s="1451"/>
      <c r="CK1" s="1451"/>
      <c r="CL1" s="1451"/>
      <c r="CM1" s="1451"/>
      <c r="CN1" s="1451"/>
    </row>
    <row r="2" spans="1:92" ht="16.149999999999999" customHeight="1" x14ac:dyDescent="0.25">
      <c r="A2" s="150" t="str">
        <f>CONCATENATE("COMUNA: ",NOMBRE!B2," - ","( ",NOMBRE!C2,NOMBRE!D2,NOMBRE!E2,NOMBRE!F2,NOMBRE!G2," )")</f>
        <v>COMUNA:  - (  )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5"/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5"/>
      <c r="BB2" s="165"/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5"/>
      <c r="BO2" s="165"/>
      <c r="BP2" s="165"/>
      <c r="BQ2" s="165"/>
      <c r="BR2" s="165"/>
      <c r="BS2" s="165"/>
      <c r="BT2" s="165"/>
      <c r="BU2" s="165"/>
      <c r="BV2" s="165"/>
      <c r="BW2" s="165"/>
      <c r="BX2" s="165"/>
      <c r="BY2" s="1452"/>
      <c r="BZ2" s="1452"/>
      <c r="CA2" s="1451"/>
      <c r="CB2" s="1451"/>
      <c r="CC2" s="1451"/>
      <c r="CD2" s="1451"/>
      <c r="CE2" s="1451"/>
      <c r="CF2" s="1451"/>
      <c r="CG2" s="1451"/>
      <c r="CH2" s="1451"/>
      <c r="CI2" s="1451"/>
      <c r="CJ2" s="1451"/>
      <c r="CK2" s="1451"/>
      <c r="CL2" s="1451"/>
      <c r="CM2" s="1451"/>
      <c r="CN2" s="1451"/>
    </row>
    <row r="3" spans="1:92" ht="16.149999999999999" customHeight="1" x14ac:dyDescent="0.25">
      <c r="A3" s="150" t="str">
        <f>CONCATENATE("ESTABLECIMIENTO/ESTRATEGIA: ",NOMBRE!B3," - ","( ",NOMBRE!C3,NOMBRE!D3,NOMBRE!E3,NOMBRE!F3,NOMBRE!G3,NOMBRE!H3," )")</f>
        <v>ESTABLECIMIENTO/ESTRATEGIA:  - (  )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5"/>
      <c r="BA3" s="165"/>
      <c r="BB3" s="165"/>
      <c r="BC3" s="165"/>
      <c r="BD3" s="165"/>
      <c r="BE3" s="165"/>
      <c r="BF3" s="165"/>
      <c r="BG3" s="165"/>
      <c r="BH3" s="165"/>
      <c r="BI3" s="165"/>
      <c r="BJ3" s="165"/>
      <c r="BK3" s="165"/>
      <c r="BL3" s="165"/>
      <c r="BM3" s="165"/>
      <c r="BN3" s="165"/>
      <c r="BO3" s="165"/>
      <c r="BP3" s="165"/>
      <c r="BQ3" s="165"/>
      <c r="BR3" s="165"/>
      <c r="BS3" s="165"/>
      <c r="BT3" s="165"/>
      <c r="BU3" s="165"/>
      <c r="BV3" s="165"/>
      <c r="BW3" s="165"/>
      <c r="BX3" s="165"/>
      <c r="BY3" s="1452"/>
      <c r="BZ3" s="1452"/>
      <c r="CA3" s="1451"/>
      <c r="CB3" s="1451"/>
      <c r="CC3" s="1451"/>
      <c r="CD3" s="1451"/>
      <c r="CE3" s="1451"/>
      <c r="CF3" s="1451"/>
      <c r="CG3" s="1451"/>
      <c r="CH3" s="1451"/>
      <c r="CI3" s="1451"/>
      <c r="CJ3" s="1451"/>
      <c r="CK3" s="1451"/>
      <c r="CL3" s="1451"/>
      <c r="CM3" s="1451"/>
      <c r="CN3" s="1451"/>
    </row>
    <row r="4" spans="1:92" ht="16.149999999999999" customHeight="1" x14ac:dyDescent="0.25">
      <c r="A4" s="150" t="str">
        <f>CONCATENATE("MES: ",NOMBRE!B6," - ","( ",NOMBRE!C6,NOMBRE!D6," )")</f>
        <v>MES:  - (  )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5"/>
      <c r="BX4" s="165"/>
      <c r="BY4" s="1452"/>
      <c r="BZ4" s="1452"/>
      <c r="CA4" s="1451"/>
      <c r="CB4" s="1451"/>
      <c r="CC4" s="1451"/>
      <c r="CD4" s="1451"/>
      <c r="CE4" s="1451"/>
      <c r="CF4" s="1451"/>
      <c r="CG4" s="1451"/>
      <c r="CH4" s="1451"/>
      <c r="CI4" s="1451"/>
      <c r="CJ4" s="1451"/>
      <c r="CK4" s="1451"/>
      <c r="CL4" s="1451"/>
      <c r="CM4" s="1451"/>
      <c r="CN4" s="1451"/>
    </row>
    <row r="5" spans="1:92" ht="16.149999999999999" customHeight="1" x14ac:dyDescent="0.25">
      <c r="A5" s="150" t="str">
        <f>CONCATENATE("AÑO: ",NOMBRE!B7)</f>
        <v>AÑO: 2023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5"/>
      <c r="BA5" s="165"/>
      <c r="BB5" s="165"/>
      <c r="BC5" s="165"/>
      <c r="BD5" s="165"/>
      <c r="BE5" s="165"/>
      <c r="BF5" s="165"/>
      <c r="BG5" s="165"/>
      <c r="BH5" s="165"/>
      <c r="BI5" s="165"/>
      <c r="BJ5" s="165"/>
      <c r="BK5" s="165"/>
      <c r="BL5" s="165"/>
      <c r="BM5" s="165"/>
      <c r="BN5" s="165"/>
      <c r="BO5" s="165"/>
      <c r="BP5" s="165"/>
      <c r="BQ5" s="165"/>
      <c r="BR5" s="165"/>
      <c r="BS5" s="165"/>
      <c r="BT5" s="165"/>
      <c r="BU5" s="165"/>
      <c r="BV5" s="165"/>
      <c r="BW5" s="165"/>
      <c r="BX5" s="165"/>
      <c r="BY5" s="1452"/>
      <c r="BZ5" s="1452"/>
      <c r="CA5" s="1451"/>
      <c r="CB5" s="1451"/>
      <c r="CC5" s="1451"/>
      <c r="CD5" s="1451"/>
      <c r="CE5" s="1451"/>
      <c r="CF5" s="1451"/>
      <c r="CG5" s="1454"/>
      <c r="CH5" s="1454"/>
      <c r="CI5" s="1454"/>
      <c r="CJ5" s="1454"/>
      <c r="CK5" s="1454"/>
      <c r="CL5" s="1454"/>
      <c r="CM5" s="1454"/>
      <c r="CN5" s="1454"/>
    </row>
    <row r="6" spans="1:92" ht="15" customHeight="1" x14ac:dyDescent="0.25">
      <c r="A6" s="10179" t="s">
        <v>1979</v>
      </c>
      <c r="B6" s="10179"/>
      <c r="C6" s="10179"/>
      <c r="D6" s="10179"/>
      <c r="E6" s="10179"/>
      <c r="F6" s="10179"/>
      <c r="G6" s="10179"/>
      <c r="H6" s="10179"/>
      <c r="I6" s="10179"/>
      <c r="J6" s="10179"/>
      <c r="K6" s="10179"/>
      <c r="L6" s="10179"/>
      <c r="M6" s="10179"/>
      <c r="N6" s="10179"/>
      <c r="O6" s="10179"/>
      <c r="P6" s="10179"/>
      <c r="Q6" s="10179"/>
      <c r="R6" s="10179"/>
      <c r="S6" s="10179"/>
      <c r="T6" s="10179"/>
      <c r="U6" s="10179"/>
      <c r="V6" s="10179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5"/>
      <c r="BA6" s="165"/>
      <c r="BB6" s="165"/>
      <c r="BC6" s="165"/>
      <c r="BD6" s="165"/>
      <c r="BE6" s="165"/>
      <c r="BF6" s="165"/>
      <c r="BG6" s="165"/>
      <c r="BH6" s="165"/>
      <c r="BI6" s="165"/>
      <c r="BJ6" s="165"/>
      <c r="BK6" s="165"/>
      <c r="BL6" s="165"/>
      <c r="BM6" s="165"/>
      <c r="BN6" s="165"/>
      <c r="BO6" s="165"/>
      <c r="BP6" s="165"/>
      <c r="BQ6" s="165"/>
      <c r="BR6" s="165"/>
      <c r="BS6" s="165"/>
      <c r="BT6" s="165"/>
      <c r="BU6" s="165"/>
      <c r="BV6" s="165"/>
      <c r="BW6" s="165"/>
      <c r="BX6" s="165"/>
      <c r="BY6" s="1452"/>
      <c r="BZ6" s="1452"/>
      <c r="CA6" s="1451"/>
      <c r="CB6" s="1451"/>
      <c r="CC6" s="1451"/>
      <c r="CD6" s="1451"/>
      <c r="CE6" s="1451"/>
      <c r="CF6" s="1451"/>
      <c r="CG6" s="1454"/>
      <c r="CH6" s="1454"/>
      <c r="CI6" s="1454"/>
      <c r="CJ6" s="1454"/>
      <c r="CK6" s="1454"/>
      <c r="CL6" s="1454"/>
      <c r="CM6" s="1454"/>
      <c r="CN6" s="1454"/>
    </row>
    <row r="7" spans="1:92" x14ac:dyDescent="0.25">
      <c r="A7" s="1095"/>
      <c r="B7" s="1095"/>
      <c r="C7" s="1095"/>
      <c r="D7" s="1095"/>
      <c r="E7" s="1095"/>
      <c r="F7" s="1095"/>
      <c r="G7" s="1095"/>
      <c r="H7" s="1095"/>
      <c r="I7" s="1095"/>
      <c r="J7" s="1095"/>
      <c r="K7" s="813"/>
      <c r="L7" s="140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5"/>
      <c r="BA7" s="165"/>
      <c r="BB7" s="165"/>
      <c r="BC7" s="165"/>
      <c r="BD7" s="165"/>
      <c r="BE7" s="165"/>
      <c r="BF7" s="165"/>
      <c r="BG7" s="165"/>
      <c r="BH7" s="165"/>
      <c r="BI7" s="165"/>
      <c r="BJ7" s="165"/>
      <c r="BK7" s="165"/>
      <c r="BL7" s="165"/>
      <c r="BM7" s="165"/>
      <c r="BN7" s="165"/>
      <c r="BO7" s="165"/>
      <c r="BP7" s="165"/>
      <c r="BQ7" s="165"/>
      <c r="BR7" s="165"/>
      <c r="BS7" s="165"/>
      <c r="BT7" s="165"/>
      <c r="BU7" s="165"/>
      <c r="BV7" s="165"/>
      <c r="BW7" s="165"/>
      <c r="BX7" s="165"/>
      <c r="BY7" s="1452"/>
      <c r="BZ7" s="1452"/>
      <c r="CA7" s="1451"/>
      <c r="CB7" s="1451"/>
      <c r="CC7" s="1451"/>
      <c r="CD7" s="1451"/>
      <c r="CE7" s="1451"/>
      <c r="CF7" s="1451"/>
      <c r="CG7" s="1454"/>
      <c r="CH7" s="1454"/>
      <c r="CI7" s="1454"/>
      <c r="CJ7" s="1454"/>
      <c r="CK7" s="1454"/>
      <c r="CL7" s="1454"/>
      <c r="CM7" s="1454"/>
      <c r="CN7" s="1454"/>
    </row>
    <row r="8" spans="1:92" ht="31.9" customHeight="1" x14ac:dyDescent="0.25">
      <c r="A8" s="1231" t="s">
        <v>1980</v>
      </c>
      <c r="B8" s="1231"/>
      <c r="C8" s="1231"/>
      <c r="D8" s="1231"/>
      <c r="E8" s="1231"/>
      <c r="F8" s="1231"/>
      <c r="G8" s="1231"/>
      <c r="H8" s="1231"/>
      <c r="I8" s="1231"/>
      <c r="J8" s="1232"/>
      <c r="K8" s="1225"/>
      <c r="L8" s="1225"/>
      <c r="M8" s="1232"/>
      <c r="N8" s="1232"/>
      <c r="O8" s="1232"/>
      <c r="P8" s="1232"/>
      <c r="Q8" s="1232"/>
      <c r="R8" s="1232"/>
      <c r="S8" s="1232"/>
      <c r="T8" s="1232"/>
      <c r="U8" s="1232"/>
      <c r="V8" s="1232"/>
      <c r="W8" s="1232"/>
      <c r="X8" s="1232"/>
      <c r="Y8" s="1232"/>
      <c r="Z8" s="1232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5"/>
      <c r="BA8" s="165"/>
      <c r="BB8" s="165"/>
      <c r="BC8" s="165"/>
      <c r="BD8" s="165"/>
      <c r="BE8" s="165"/>
      <c r="BF8" s="165"/>
      <c r="BG8" s="165"/>
      <c r="BH8" s="165"/>
      <c r="BI8" s="165"/>
      <c r="BJ8" s="165"/>
      <c r="BK8" s="165"/>
      <c r="BL8" s="165"/>
      <c r="BM8" s="165"/>
      <c r="BN8" s="165"/>
      <c r="BO8" s="165"/>
      <c r="BP8" s="165"/>
      <c r="BQ8" s="165"/>
      <c r="BR8" s="165"/>
      <c r="BS8" s="165"/>
      <c r="BT8" s="165"/>
      <c r="BU8" s="165"/>
      <c r="BV8" s="165"/>
      <c r="BW8" s="165"/>
      <c r="BX8" s="165"/>
      <c r="BY8" s="1452"/>
      <c r="BZ8" s="1452"/>
      <c r="CA8" s="1451"/>
      <c r="CB8" s="1451"/>
      <c r="CC8" s="1451"/>
      <c r="CD8" s="1451"/>
      <c r="CE8" s="1451"/>
      <c r="CF8" s="1451"/>
      <c r="CG8" s="1454"/>
      <c r="CH8" s="1454"/>
      <c r="CI8" s="1454"/>
      <c r="CJ8" s="1454"/>
      <c r="CK8" s="1454"/>
      <c r="CL8" s="1454"/>
      <c r="CM8" s="1454"/>
      <c r="CN8" s="1454"/>
    </row>
    <row r="9" spans="1:92" ht="16.149999999999999" customHeight="1" x14ac:dyDescent="0.25">
      <c r="A9" s="10063" t="s">
        <v>1811</v>
      </c>
      <c r="B9" s="10063" t="s">
        <v>1981</v>
      </c>
      <c r="C9" s="10063"/>
      <c r="D9" s="9534" t="s">
        <v>24</v>
      </c>
      <c r="E9" s="8167"/>
      <c r="F9" s="9536"/>
      <c r="G9" s="8193" t="s">
        <v>2</v>
      </c>
      <c r="H9" s="8194"/>
      <c r="I9" s="8194"/>
      <c r="J9" s="8194"/>
      <c r="K9" s="8194"/>
      <c r="L9" s="8194"/>
      <c r="M9" s="8194"/>
      <c r="N9" s="8194"/>
      <c r="O9" s="8194"/>
      <c r="P9" s="8194"/>
      <c r="Q9" s="8194"/>
      <c r="R9" s="8194"/>
      <c r="S9" s="8194"/>
      <c r="T9" s="8194"/>
      <c r="U9" s="8194"/>
      <c r="V9" s="8194"/>
      <c r="W9" s="8194"/>
      <c r="X9" s="8194"/>
      <c r="Y9" s="8194"/>
      <c r="Z9" s="8194"/>
      <c r="AA9" s="8194"/>
      <c r="AB9" s="8195"/>
      <c r="AC9" s="165"/>
      <c r="AD9" s="165"/>
      <c r="AE9" s="165"/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5"/>
      <c r="AW9" s="165"/>
      <c r="AX9" s="165"/>
      <c r="AY9" s="165"/>
      <c r="AZ9" s="165"/>
      <c r="BA9" s="165"/>
      <c r="BB9" s="165"/>
      <c r="BC9" s="165"/>
      <c r="BD9" s="165"/>
      <c r="BE9" s="165"/>
      <c r="BF9" s="165"/>
      <c r="BG9" s="165"/>
      <c r="BH9" s="165"/>
      <c r="BI9" s="165"/>
      <c r="BJ9" s="165"/>
      <c r="BK9" s="165"/>
      <c r="BL9" s="165"/>
      <c r="BM9" s="165"/>
      <c r="BN9" s="165"/>
      <c r="BO9" s="165"/>
      <c r="BP9" s="165"/>
      <c r="BQ9" s="165"/>
      <c r="BR9" s="165"/>
      <c r="BS9" s="165"/>
      <c r="BT9" s="165"/>
      <c r="BU9" s="165"/>
      <c r="BV9" s="165"/>
      <c r="BW9" s="165"/>
      <c r="BX9" s="165"/>
      <c r="BY9" s="1452"/>
      <c r="BZ9" s="1452"/>
      <c r="CA9" s="1451"/>
      <c r="CB9" s="1451"/>
      <c r="CC9" s="1451"/>
      <c r="CD9" s="1451"/>
      <c r="CE9" s="1451"/>
      <c r="CF9" s="1451"/>
      <c r="CG9" s="1454"/>
      <c r="CH9" s="1454"/>
      <c r="CI9" s="1454"/>
      <c r="CJ9" s="1454"/>
      <c r="CK9" s="1454"/>
      <c r="CL9" s="1454"/>
      <c r="CM9" s="1454"/>
      <c r="CN9" s="1454"/>
    </row>
    <row r="10" spans="1:92" ht="16.149999999999999" customHeight="1" x14ac:dyDescent="0.25">
      <c r="A10" s="10063"/>
      <c r="B10" s="10063"/>
      <c r="C10" s="10063"/>
      <c r="D10" s="9559"/>
      <c r="E10" s="10064"/>
      <c r="F10" s="8152"/>
      <c r="G10" s="9542" t="s">
        <v>2558</v>
      </c>
      <c r="H10" s="9542"/>
      <c r="I10" s="9542" t="s">
        <v>50</v>
      </c>
      <c r="J10" s="9542"/>
      <c r="K10" s="9542" t="s">
        <v>3464</v>
      </c>
      <c r="L10" s="9542"/>
      <c r="M10" s="9542" t="s">
        <v>3465</v>
      </c>
      <c r="N10" s="9542"/>
      <c r="O10" s="9542" t="s">
        <v>3466</v>
      </c>
      <c r="P10" s="9542"/>
      <c r="Q10" s="9542" t="s">
        <v>3467</v>
      </c>
      <c r="R10" s="9542"/>
      <c r="S10" s="9542" t="s">
        <v>3468</v>
      </c>
      <c r="T10" s="9542"/>
      <c r="U10" s="9542" t="s">
        <v>3469</v>
      </c>
      <c r="V10" s="9542"/>
      <c r="W10" s="9542" t="s">
        <v>2267</v>
      </c>
      <c r="X10" s="9542"/>
      <c r="Y10" s="9542" t="s">
        <v>2127</v>
      </c>
      <c r="Z10" s="9542"/>
      <c r="AA10" s="9542" t="s">
        <v>2799</v>
      </c>
      <c r="AB10" s="9542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  <c r="BT10" s="165"/>
      <c r="BU10" s="165"/>
      <c r="BV10" s="165"/>
      <c r="BW10" s="165"/>
      <c r="BX10" s="165"/>
      <c r="BY10" s="1452"/>
      <c r="BZ10" s="1452"/>
      <c r="CA10" s="1451"/>
      <c r="CB10" s="1451"/>
      <c r="CC10" s="1451"/>
      <c r="CD10" s="1451"/>
      <c r="CE10" s="1451"/>
      <c r="CF10" s="1451"/>
      <c r="CG10" s="1454"/>
      <c r="CH10" s="1454"/>
      <c r="CI10" s="1454"/>
      <c r="CJ10" s="1454"/>
      <c r="CK10" s="1454"/>
      <c r="CL10" s="1454"/>
      <c r="CM10" s="1454"/>
      <c r="CN10" s="1454"/>
    </row>
    <row r="11" spans="1:92" ht="16.149999999999999" customHeight="1" x14ac:dyDescent="0.25">
      <c r="A11" s="10063"/>
      <c r="B11" s="10063"/>
      <c r="C11" s="10063"/>
      <c r="D11" s="1119" t="s">
        <v>42</v>
      </c>
      <c r="E11" s="910" t="s">
        <v>17</v>
      </c>
      <c r="F11" s="1143" t="s">
        <v>18</v>
      </c>
      <c r="G11" s="1102" t="s">
        <v>17</v>
      </c>
      <c r="H11" s="1345" t="s">
        <v>18</v>
      </c>
      <c r="I11" s="3317" t="s">
        <v>17</v>
      </c>
      <c r="J11" s="2154" t="s">
        <v>18</v>
      </c>
      <c r="K11" s="3317" t="s">
        <v>17</v>
      </c>
      <c r="L11" s="2154" t="s">
        <v>18</v>
      </c>
      <c r="M11" s="3317" t="s">
        <v>17</v>
      </c>
      <c r="N11" s="2154" t="s">
        <v>18</v>
      </c>
      <c r="O11" s="3317" t="s">
        <v>17</v>
      </c>
      <c r="P11" s="2154" t="s">
        <v>18</v>
      </c>
      <c r="Q11" s="3317" t="s">
        <v>17</v>
      </c>
      <c r="R11" s="2154" t="s">
        <v>18</v>
      </c>
      <c r="S11" s="3317" t="s">
        <v>17</v>
      </c>
      <c r="T11" s="2154" t="s">
        <v>18</v>
      </c>
      <c r="U11" s="3317" t="s">
        <v>17</v>
      </c>
      <c r="V11" s="2154" t="s">
        <v>18</v>
      </c>
      <c r="W11" s="3317" t="s">
        <v>17</v>
      </c>
      <c r="X11" s="2154" t="s">
        <v>18</v>
      </c>
      <c r="Y11" s="3317" t="s">
        <v>17</v>
      </c>
      <c r="Z11" s="2154" t="s">
        <v>18</v>
      </c>
      <c r="AA11" s="3317" t="s">
        <v>17</v>
      </c>
      <c r="AB11" s="2154" t="s">
        <v>18</v>
      </c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5"/>
      <c r="BM11" s="165"/>
      <c r="BN11" s="165"/>
      <c r="BO11" s="165"/>
      <c r="BP11" s="165"/>
      <c r="BQ11" s="165"/>
      <c r="BR11" s="165"/>
      <c r="BS11" s="165"/>
      <c r="BT11" s="165"/>
      <c r="BU11" s="165"/>
      <c r="BV11" s="165"/>
      <c r="BW11" s="165"/>
      <c r="BX11" s="165"/>
      <c r="BY11" s="1452"/>
      <c r="BZ11" s="1452"/>
      <c r="CA11" s="1451"/>
      <c r="CB11" s="1451"/>
      <c r="CC11" s="1451"/>
      <c r="CD11" s="1451"/>
      <c r="CE11" s="1451"/>
      <c r="CF11" s="1451"/>
      <c r="CG11" s="1454"/>
      <c r="CH11" s="1454"/>
      <c r="CI11" s="1454"/>
      <c r="CJ11" s="1454"/>
      <c r="CK11" s="1454"/>
      <c r="CL11" s="1454"/>
      <c r="CM11" s="1454"/>
      <c r="CN11" s="1454"/>
    </row>
    <row r="12" spans="1:92" ht="16.149999999999999" customHeight="1" x14ac:dyDescent="0.25">
      <c r="A12" s="9725" t="s">
        <v>1983</v>
      </c>
      <c r="B12" s="1233" t="s">
        <v>1984</v>
      </c>
      <c r="C12" s="743" t="s">
        <v>1985</v>
      </c>
      <c r="D12" s="3613">
        <f>SUM(E12+F12)</f>
        <v>0</v>
      </c>
      <c r="E12" s="3614">
        <f>SUM(G12+I12+K12+M12+O12+Q12+S12+U12+W12+Y12+AA12)</f>
        <v>0</v>
      </c>
      <c r="F12" s="3615">
        <f>SUM(H12+J12+L12+N12+P12+R12+T12+V12+X12+Z12+AB12)</f>
        <v>0</v>
      </c>
      <c r="G12" s="691"/>
      <c r="H12" s="1146"/>
      <c r="I12" s="3223"/>
      <c r="J12" s="3287"/>
      <c r="K12" s="3223"/>
      <c r="L12" s="3287"/>
      <c r="M12" s="3223"/>
      <c r="N12" s="3287"/>
      <c r="O12" s="3223"/>
      <c r="P12" s="3287"/>
      <c r="Q12" s="3223"/>
      <c r="R12" s="3287"/>
      <c r="S12" s="3223"/>
      <c r="T12" s="3287"/>
      <c r="U12" s="3223"/>
      <c r="V12" s="3287"/>
      <c r="W12" s="3223"/>
      <c r="X12" s="3287"/>
      <c r="Y12" s="3223"/>
      <c r="Z12" s="3287"/>
      <c r="AA12" s="3223"/>
      <c r="AB12" s="3287"/>
      <c r="AC12" s="165"/>
      <c r="AD12" s="165"/>
      <c r="AE12" s="165"/>
      <c r="AF12" s="165"/>
      <c r="AG12" s="165"/>
      <c r="AH12" s="165"/>
      <c r="AI12" s="165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  <c r="BB12" s="165"/>
      <c r="BC12" s="165"/>
      <c r="BD12" s="165"/>
      <c r="BE12" s="165"/>
      <c r="BF12" s="165"/>
      <c r="BG12" s="165"/>
      <c r="BH12" s="165"/>
      <c r="BI12" s="165"/>
      <c r="BJ12" s="165"/>
      <c r="BK12" s="165"/>
      <c r="BL12" s="165"/>
      <c r="BM12" s="165"/>
      <c r="BN12" s="165"/>
      <c r="BO12" s="165"/>
      <c r="BP12" s="165"/>
      <c r="BQ12" s="165"/>
      <c r="BR12" s="165"/>
      <c r="BS12" s="165"/>
      <c r="BT12" s="165"/>
      <c r="BU12" s="165"/>
      <c r="BV12" s="165"/>
      <c r="BW12" s="165"/>
      <c r="BX12" s="165"/>
      <c r="BY12" s="1452"/>
      <c r="BZ12" s="1452"/>
      <c r="CA12" s="1451"/>
      <c r="CB12" s="1451"/>
      <c r="CC12" s="1451"/>
      <c r="CD12" s="1451"/>
      <c r="CE12" s="1451"/>
      <c r="CF12" s="1451"/>
      <c r="CG12" s="1454"/>
      <c r="CH12" s="1454"/>
      <c r="CI12" s="1454"/>
      <c r="CJ12" s="1454"/>
      <c r="CK12" s="1454"/>
      <c r="CL12" s="1454"/>
      <c r="CM12" s="1454"/>
      <c r="CN12" s="1454"/>
    </row>
    <row r="13" spans="1:92" ht="16.149999999999999" customHeight="1" x14ac:dyDescent="0.25">
      <c r="A13" s="8161"/>
      <c r="B13" s="1092" t="s">
        <v>1986</v>
      </c>
      <c r="C13" s="1141" t="s">
        <v>1985</v>
      </c>
      <c r="D13" s="2883">
        <f>SUM(E13+F13)</f>
        <v>0</v>
      </c>
      <c r="E13" s="1797">
        <f t="shared" ref="E13:F15" si="0">SUM(G13+I13+K13+M13+O13+Q13+S13+U13+W13+Y13+AA13)</f>
        <v>0</v>
      </c>
      <c r="F13" s="3616">
        <f t="shared" si="0"/>
        <v>0</v>
      </c>
      <c r="G13" s="1234"/>
      <c r="H13" s="1149"/>
      <c r="I13" s="3225"/>
      <c r="J13" s="2877"/>
      <c r="K13" s="3225"/>
      <c r="L13" s="2877"/>
      <c r="M13" s="3225"/>
      <c r="N13" s="2877"/>
      <c r="O13" s="3225"/>
      <c r="P13" s="2877"/>
      <c r="Q13" s="3225"/>
      <c r="R13" s="2877"/>
      <c r="S13" s="3225"/>
      <c r="T13" s="2877"/>
      <c r="U13" s="3225"/>
      <c r="V13" s="2877"/>
      <c r="W13" s="3225"/>
      <c r="X13" s="2877"/>
      <c r="Y13" s="3225"/>
      <c r="Z13" s="2877"/>
      <c r="AA13" s="3225"/>
      <c r="AB13" s="2877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165"/>
      <c r="BK13" s="165"/>
      <c r="BL13" s="165"/>
      <c r="BM13" s="165"/>
      <c r="BN13" s="165"/>
      <c r="BO13" s="165"/>
      <c r="BP13" s="165"/>
      <c r="BQ13" s="165"/>
      <c r="BR13" s="165"/>
      <c r="BS13" s="165"/>
      <c r="BT13" s="165"/>
      <c r="BU13" s="165"/>
      <c r="BV13" s="165"/>
      <c r="BW13" s="165"/>
      <c r="BX13" s="165"/>
      <c r="BY13" s="1452"/>
      <c r="BZ13" s="1452"/>
      <c r="CA13" s="1451"/>
      <c r="CB13" s="1451"/>
      <c r="CC13" s="1451"/>
      <c r="CD13" s="1451"/>
      <c r="CE13" s="1451"/>
      <c r="CF13" s="1451"/>
      <c r="CG13" s="1454"/>
      <c r="CH13" s="1454"/>
      <c r="CI13" s="1454"/>
      <c r="CJ13" s="1454"/>
      <c r="CK13" s="1454"/>
      <c r="CL13" s="1454"/>
      <c r="CM13" s="1454"/>
      <c r="CN13" s="1454"/>
    </row>
    <row r="14" spans="1:92" ht="16.149999999999999" customHeight="1" x14ac:dyDescent="0.25">
      <c r="A14" s="8218" t="s">
        <v>1987</v>
      </c>
      <c r="B14" s="8220"/>
      <c r="C14" s="1103" t="s">
        <v>1985</v>
      </c>
      <c r="D14" s="3617">
        <f>SUM(E14+F14)</f>
        <v>0</v>
      </c>
      <c r="E14" s="3618">
        <f t="shared" si="0"/>
        <v>0</v>
      </c>
      <c r="F14" s="3619">
        <f t="shared" si="0"/>
        <v>0</v>
      </c>
      <c r="G14" s="1220"/>
      <c r="H14" s="1223"/>
      <c r="I14" s="3281"/>
      <c r="J14" s="3283"/>
      <c r="K14" s="3281"/>
      <c r="L14" s="3283"/>
      <c r="M14" s="3281"/>
      <c r="N14" s="3283"/>
      <c r="O14" s="3281"/>
      <c r="P14" s="3283"/>
      <c r="Q14" s="3281"/>
      <c r="R14" s="3283"/>
      <c r="S14" s="3281"/>
      <c r="T14" s="3283"/>
      <c r="U14" s="3281"/>
      <c r="V14" s="3283"/>
      <c r="W14" s="3281"/>
      <c r="X14" s="3283"/>
      <c r="Y14" s="3281"/>
      <c r="Z14" s="3283"/>
      <c r="AA14" s="3281"/>
      <c r="AB14" s="3283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  <c r="AX14" s="165"/>
      <c r="AY14" s="165"/>
      <c r="AZ14" s="165"/>
      <c r="BA14" s="165"/>
      <c r="BB14" s="165"/>
      <c r="BC14" s="165"/>
      <c r="BD14" s="165"/>
      <c r="BE14" s="165"/>
      <c r="BF14" s="165"/>
      <c r="BG14" s="165"/>
      <c r="BH14" s="165"/>
      <c r="BI14" s="165"/>
      <c r="BJ14" s="165"/>
      <c r="BK14" s="165"/>
      <c r="BL14" s="165"/>
      <c r="BM14" s="165"/>
      <c r="BN14" s="165"/>
      <c r="BO14" s="165"/>
      <c r="BP14" s="165"/>
      <c r="BQ14" s="165"/>
      <c r="BR14" s="165"/>
      <c r="BS14" s="165"/>
      <c r="BT14" s="165"/>
      <c r="BU14" s="165"/>
      <c r="BV14" s="165"/>
      <c r="BW14" s="165"/>
      <c r="BX14" s="165"/>
      <c r="BY14" s="1452"/>
      <c r="BZ14" s="1452"/>
      <c r="CA14" s="1451"/>
      <c r="CB14" s="1451"/>
      <c r="CC14" s="1451"/>
      <c r="CD14" s="1451"/>
      <c r="CE14" s="1451"/>
      <c r="CF14" s="1451"/>
      <c r="CG14" s="1454"/>
      <c r="CH14" s="1454"/>
      <c r="CI14" s="1454"/>
      <c r="CJ14" s="1454"/>
      <c r="CK14" s="1454"/>
      <c r="CL14" s="1454"/>
      <c r="CM14" s="1454"/>
      <c r="CN14" s="1454"/>
    </row>
    <row r="15" spans="1:92" ht="16.149999999999999" customHeight="1" thickBot="1" x14ac:dyDescent="0.3">
      <c r="A15" s="10196" t="s">
        <v>24</v>
      </c>
      <c r="B15" s="10197"/>
      <c r="C15" s="10198"/>
      <c r="D15" s="7951">
        <f>SUM(E15+F15)</f>
        <v>0</v>
      </c>
      <c r="E15" s="7952">
        <f t="shared" si="0"/>
        <v>0</v>
      </c>
      <c r="F15" s="7953">
        <f t="shared" si="0"/>
        <v>0</v>
      </c>
      <c r="G15" s="7954">
        <f t="shared" ref="G15:Z15" si="1">SUM(G12:G14)</f>
        <v>0</v>
      </c>
      <c r="H15" s="7955">
        <f t="shared" si="1"/>
        <v>0</v>
      </c>
      <c r="I15" s="7954">
        <f t="shared" si="1"/>
        <v>0</v>
      </c>
      <c r="J15" s="7955">
        <f t="shared" si="1"/>
        <v>0</v>
      </c>
      <c r="K15" s="7954">
        <f t="shared" si="1"/>
        <v>0</v>
      </c>
      <c r="L15" s="7955">
        <f t="shared" si="1"/>
        <v>0</v>
      </c>
      <c r="M15" s="7954">
        <f t="shared" si="1"/>
        <v>0</v>
      </c>
      <c r="N15" s="7955">
        <f t="shared" si="1"/>
        <v>0</v>
      </c>
      <c r="O15" s="7954">
        <f t="shared" si="1"/>
        <v>0</v>
      </c>
      <c r="P15" s="7955">
        <f t="shared" si="1"/>
        <v>0</v>
      </c>
      <c r="Q15" s="7954">
        <f t="shared" si="1"/>
        <v>0</v>
      </c>
      <c r="R15" s="7955">
        <f t="shared" si="1"/>
        <v>0</v>
      </c>
      <c r="S15" s="7954">
        <f t="shared" si="1"/>
        <v>0</v>
      </c>
      <c r="T15" s="7955">
        <f t="shared" si="1"/>
        <v>0</v>
      </c>
      <c r="U15" s="7954">
        <f t="shared" si="1"/>
        <v>0</v>
      </c>
      <c r="V15" s="7955">
        <f t="shared" si="1"/>
        <v>0</v>
      </c>
      <c r="W15" s="7954">
        <f t="shared" si="1"/>
        <v>0</v>
      </c>
      <c r="X15" s="7955">
        <f t="shared" si="1"/>
        <v>0</v>
      </c>
      <c r="Y15" s="7954">
        <f t="shared" si="1"/>
        <v>0</v>
      </c>
      <c r="Z15" s="7955">
        <f t="shared" si="1"/>
        <v>0</v>
      </c>
      <c r="AA15" s="7954">
        <f>SUM(AA12:AA14)</f>
        <v>0</v>
      </c>
      <c r="AB15" s="7955">
        <f>SUM(AB12:AB14)</f>
        <v>0</v>
      </c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5"/>
      <c r="BJ15" s="165"/>
      <c r="BK15" s="165"/>
      <c r="BL15" s="165"/>
      <c r="BM15" s="165"/>
      <c r="BN15" s="165"/>
      <c r="BO15" s="165"/>
      <c r="BP15" s="165"/>
      <c r="BQ15" s="165"/>
      <c r="BR15" s="165"/>
      <c r="BS15" s="165"/>
      <c r="BT15" s="165"/>
      <c r="BU15" s="165"/>
      <c r="BV15" s="165"/>
      <c r="BW15" s="165"/>
      <c r="BX15" s="165"/>
      <c r="BY15" s="1452"/>
      <c r="BZ15" s="1452"/>
      <c r="CA15" s="1451"/>
      <c r="CB15" s="1451"/>
      <c r="CC15" s="1451"/>
      <c r="CD15" s="1451"/>
      <c r="CE15" s="1451"/>
      <c r="CF15" s="1451"/>
      <c r="CG15" s="1454"/>
      <c r="CH15" s="1454"/>
      <c r="CI15" s="1454"/>
      <c r="CJ15" s="1454"/>
      <c r="CK15" s="1454"/>
      <c r="CL15" s="1454"/>
      <c r="CM15" s="1454"/>
      <c r="CN15" s="1454"/>
    </row>
    <row r="16" spans="1:92" ht="16.149999999999999" customHeight="1" thickTop="1" x14ac:dyDescent="0.25">
      <c r="A16" s="10199" t="s">
        <v>1988</v>
      </c>
      <c r="B16" s="10200"/>
      <c r="C16" s="10201"/>
      <c r="D16" s="4025"/>
      <c r="E16" s="7949"/>
      <c r="F16" s="7950"/>
      <c r="G16" s="7949"/>
      <c r="H16" s="7949"/>
      <c r="I16" s="7949"/>
      <c r="J16" s="7950"/>
      <c r="K16" s="7949"/>
      <c r="L16" s="7950"/>
      <c r="M16" s="7949"/>
      <c r="N16" s="7950"/>
      <c r="O16" s="7949"/>
      <c r="P16" s="7950"/>
      <c r="Q16" s="7949"/>
      <c r="R16" s="7950"/>
      <c r="S16" s="7949"/>
      <c r="T16" s="7950"/>
      <c r="U16" s="7949"/>
      <c r="V16" s="7950"/>
      <c r="W16" s="7949"/>
      <c r="X16" s="7950"/>
      <c r="Y16" s="7949"/>
      <c r="Z16" s="3827"/>
      <c r="AA16" s="7949"/>
      <c r="AB16" s="3827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5"/>
      <c r="BJ16" s="165"/>
      <c r="BK16" s="165"/>
      <c r="BL16" s="165"/>
      <c r="BM16" s="165"/>
      <c r="BN16" s="165"/>
      <c r="BO16" s="165"/>
      <c r="BP16" s="165"/>
      <c r="BQ16" s="165"/>
      <c r="BR16" s="165"/>
      <c r="BS16" s="165"/>
      <c r="BT16" s="165"/>
      <c r="BU16" s="165"/>
      <c r="BV16" s="165"/>
      <c r="BW16" s="165"/>
      <c r="BX16" s="165"/>
      <c r="BY16" s="1452"/>
      <c r="BZ16" s="1452"/>
      <c r="CA16" s="1451"/>
      <c r="CB16" s="1451"/>
      <c r="CC16" s="1451"/>
      <c r="CD16" s="1451"/>
      <c r="CE16" s="1451"/>
      <c r="CF16" s="1451"/>
      <c r="CG16" s="1454"/>
      <c r="CH16" s="1454"/>
      <c r="CI16" s="1454"/>
      <c r="CJ16" s="1454"/>
      <c r="CK16" s="1454"/>
      <c r="CL16" s="1454"/>
      <c r="CM16" s="1454"/>
      <c r="CN16" s="1454"/>
    </row>
    <row r="17" spans="1:94" ht="16.149999999999999" customHeight="1" x14ac:dyDescent="0.25">
      <c r="A17" s="10048" t="s">
        <v>1989</v>
      </c>
      <c r="B17" s="10049"/>
      <c r="C17" s="10050"/>
      <c r="D17" s="1234"/>
      <c r="E17" s="799"/>
      <c r="F17" s="1235"/>
      <c r="G17" s="799"/>
      <c r="H17" s="799"/>
      <c r="I17" s="3290"/>
      <c r="J17" s="3289"/>
      <c r="K17" s="3290"/>
      <c r="L17" s="3289"/>
      <c r="M17" s="3290"/>
      <c r="N17" s="3289"/>
      <c r="O17" s="3290"/>
      <c r="P17" s="3289"/>
      <c r="Q17" s="3290"/>
      <c r="R17" s="3289"/>
      <c r="S17" s="3290"/>
      <c r="T17" s="3289"/>
      <c r="U17" s="3290"/>
      <c r="V17" s="3289"/>
      <c r="W17" s="3290"/>
      <c r="X17" s="3289"/>
      <c r="Y17" s="3290"/>
      <c r="Z17" s="3288"/>
      <c r="AA17" s="3290"/>
      <c r="AB17" s="3288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5"/>
      <c r="BJ17" s="165"/>
      <c r="BK17" s="165"/>
      <c r="BL17" s="165"/>
      <c r="BM17" s="165"/>
      <c r="BN17" s="165"/>
      <c r="BO17" s="165"/>
      <c r="BP17" s="165"/>
      <c r="BQ17" s="165"/>
      <c r="BR17" s="165"/>
      <c r="BS17" s="165"/>
      <c r="BT17" s="165"/>
      <c r="BU17" s="165"/>
      <c r="BV17" s="165"/>
      <c r="BW17" s="165"/>
      <c r="BX17" s="165"/>
      <c r="BY17" s="1452"/>
      <c r="BZ17" s="1452"/>
      <c r="CA17" s="1451"/>
      <c r="CB17" s="1451"/>
      <c r="CC17" s="1451"/>
      <c r="CD17" s="1451"/>
      <c r="CE17" s="1451"/>
      <c r="CF17" s="1451"/>
      <c r="CG17" s="1454"/>
      <c r="CH17" s="1454"/>
      <c r="CI17" s="1454"/>
      <c r="CJ17" s="1454"/>
      <c r="CK17" s="1454"/>
      <c r="CL17" s="1454"/>
      <c r="CM17" s="1454"/>
      <c r="CN17" s="1454"/>
    </row>
    <row r="18" spans="1:94" ht="31.9" customHeight="1" x14ac:dyDescent="0.25">
      <c r="A18" s="2153" t="s">
        <v>3155</v>
      </c>
      <c r="B18" s="1237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/>
      <c r="AS18" s="165"/>
      <c r="AT18" s="165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5"/>
      <c r="BJ18" s="165"/>
      <c r="BK18" s="165"/>
      <c r="BL18" s="165"/>
      <c r="BM18" s="165"/>
      <c r="BN18" s="165"/>
      <c r="BO18" s="165"/>
      <c r="BP18" s="165"/>
      <c r="BQ18" s="165"/>
      <c r="BR18" s="165"/>
      <c r="BS18" s="165"/>
      <c r="BT18" s="165"/>
      <c r="BU18" s="165"/>
      <c r="BV18" s="165"/>
      <c r="BW18" s="165"/>
      <c r="BX18" s="165"/>
      <c r="BY18" s="1452"/>
      <c r="BZ18" s="1452"/>
      <c r="CA18" s="1451"/>
      <c r="CB18" s="1451"/>
      <c r="CC18" s="1451"/>
      <c r="CD18" s="1451"/>
      <c r="CE18" s="1451"/>
      <c r="CF18" s="1451"/>
      <c r="CG18" s="1454"/>
      <c r="CH18" s="1454"/>
      <c r="CI18" s="1454"/>
      <c r="CJ18" s="1454"/>
      <c r="CK18" s="1454"/>
      <c r="CL18" s="1454"/>
      <c r="CM18" s="1454"/>
      <c r="CN18" s="1454"/>
    </row>
    <row r="19" spans="1:94" ht="16.149999999999999" customHeight="1" x14ac:dyDescent="0.25">
      <c r="A19" s="10063" t="s">
        <v>1811</v>
      </c>
      <c r="B19" s="10063" t="s">
        <v>1981</v>
      </c>
      <c r="C19" s="10063"/>
      <c r="D19" s="9534" t="s">
        <v>24</v>
      </c>
      <c r="E19" s="8167"/>
      <c r="F19" s="9536"/>
      <c r="G19" s="8140" t="s">
        <v>2</v>
      </c>
      <c r="H19" s="10062"/>
      <c r="I19" s="10062"/>
      <c r="J19" s="10062"/>
      <c r="K19" s="10062"/>
      <c r="L19" s="10062"/>
      <c r="M19" s="10062"/>
      <c r="N19" s="10062"/>
      <c r="O19" s="10062"/>
      <c r="P19" s="10062"/>
      <c r="Q19" s="10062"/>
      <c r="R19" s="10062"/>
      <c r="S19" s="10062"/>
      <c r="T19" s="10062"/>
      <c r="U19" s="10062"/>
      <c r="V19" s="10062"/>
      <c r="W19" s="10062"/>
      <c r="X19" s="10062"/>
      <c r="Y19" s="10062"/>
      <c r="Z19" s="10062"/>
      <c r="AA19" s="10062"/>
      <c r="AB19" s="10062"/>
      <c r="AC19" s="10062"/>
      <c r="AD19" s="8141"/>
      <c r="AE19" s="165"/>
      <c r="AF19" s="165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5"/>
      <c r="BJ19" s="165"/>
      <c r="BK19" s="165"/>
      <c r="BL19" s="165"/>
      <c r="BM19" s="165"/>
      <c r="BN19" s="165"/>
      <c r="BO19" s="165"/>
      <c r="BP19" s="165"/>
      <c r="BQ19" s="165"/>
      <c r="BR19" s="165"/>
      <c r="BS19" s="165"/>
      <c r="BT19" s="165"/>
      <c r="BU19" s="165"/>
      <c r="BV19" s="165"/>
      <c r="BW19" s="165"/>
      <c r="BX19" s="165"/>
      <c r="BY19" s="165"/>
      <c r="BZ19" s="165"/>
      <c r="CA19" s="1452"/>
      <c r="CB19" s="1452"/>
      <c r="CC19" s="1451"/>
      <c r="CD19" s="1451"/>
      <c r="CE19" s="1451"/>
      <c r="CF19" s="1451"/>
      <c r="CG19" s="1451"/>
      <c r="CH19" s="1451"/>
      <c r="CI19" s="1454"/>
      <c r="CJ19" s="1454"/>
      <c r="CK19" s="1454"/>
      <c r="CL19" s="1454"/>
      <c r="CM19" s="1454"/>
      <c r="CN19" s="1454"/>
      <c r="CO19" s="1454"/>
      <c r="CP19" s="1454"/>
    </row>
    <row r="20" spans="1:94" ht="16.149999999999999" customHeight="1" x14ac:dyDescent="0.25">
      <c r="A20" s="10063"/>
      <c r="B20" s="10063"/>
      <c r="C20" s="10063"/>
      <c r="D20" s="9559"/>
      <c r="E20" s="10064"/>
      <c r="F20" s="10064"/>
      <c r="G20" s="8137" t="s">
        <v>3506</v>
      </c>
      <c r="H20" s="8139"/>
      <c r="I20" s="9542" t="s">
        <v>2558</v>
      </c>
      <c r="J20" s="9542"/>
      <c r="K20" s="9542" t="s">
        <v>50</v>
      </c>
      <c r="L20" s="9542"/>
      <c r="M20" s="9542" t="s">
        <v>3464</v>
      </c>
      <c r="N20" s="9542"/>
      <c r="O20" s="9542" t="s">
        <v>3465</v>
      </c>
      <c r="P20" s="9542"/>
      <c r="Q20" s="9542" t="s">
        <v>3466</v>
      </c>
      <c r="R20" s="9542"/>
      <c r="S20" s="9542" t="s">
        <v>3467</v>
      </c>
      <c r="T20" s="9542"/>
      <c r="U20" s="9542" t="s">
        <v>3468</v>
      </c>
      <c r="V20" s="9542"/>
      <c r="W20" s="9542" t="s">
        <v>3469</v>
      </c>
      <c r="X20" s="9542"/>
      <c r="Y20" s="9542" t="s">
        <v>2267</v>
      </c>
      <c r="Z20" s="9542"/>
      <c r="AA20" s="9542" t="s">
        <v>2127</v>
      </c>
      <c r="AB20" s="9542"/>
      <c r="AC20" s="9542" t="s">
        <v>2799</v>
      </c>
      <c r="AD20" s="9542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5"/>
      <c r="BJ20" s="165"/>
      <c r="BK20" s="165"/>
      <c r="BL20" s="165"/>
      <c r="BM20" s="165"/>
      <c r="BN20" s="165"/>
      <c r="BO20" s="165"/>
      <c r="BP20" s="165"/>
      <c r="BQ20" s="165"/>
      <c r="BR20" s="165"/>
      <c r="BS20" s="165"/>
      <c r="BT20" s="165"/>
      <c r="BU20" s="165"/>
      <c r="BV20" s="165"/>
      <c r="BW20" s="165"/>
      <c r="BX20" s="165"/>
      <c r="BY20" s="165"/>
      <c r="BZ20" s="165"/>
      <c r="CA20" s="1452"/>
      <c r="CB20" s="1452"/>
      <c r="CC20" s="1451"/>
      <c r="CD20" s="1451"/>
      <c r="CE20" s="1451"/>
      <c r="CF20" s="1451"/>
      <c r="CG20" s="1451"/>
      <c r="CH20" s="1451"/>
      <c r="CI20" s="1454"/>
      <c r="CJ20" s="1454"/>
      <c r="CK20" s="1454"/>
      <c r="CL20" s="1454"/>
      <c r="CM20" s="1454"/>
      <c r="CN20" s="1454"/>
      <c r="CO20" s="1454"/>
      <c r="CP20" s="1454"/>
    </row>
    <row r="21" spans="1:94" ht="16.149999999999999" customHeight="1" x14ac:dyDescent="0.25">
      <c r="A21" s="10063"/>
      <c r="B21" s="10063"/>
      <c r="C21" s="10063"/>
      <c r="D21" s="1119" t="s">
        <v>42</v>
      </c>
      <c r="E21" s="910" t="s">
        <v>17</v>
      </c>
      <c r="F21" s="1094" t="s">
        <v>18</v>
      </c>
      <c r="G21" s="1102" t="s">
        <v>17</v>
      </c>
      <c r="H21" s="1345" t="s">
        <v>18</v>
      </c>
      <c r="I21" s="1102" t="s">
        <v>17</v>
      </c>
      <c r="J21" s="1345" t="s">
        <v>18</v>
      </c>
      <c r="K21" s="1102" t="s">
        <v>17</v>
      </c>
      <c r="L21" s="7512" t="s">
        <v>18</v>
      </c>
      <c r="M21" s="1102" t="s">
        <v>17</v>
      </c>
      <c r="N21" s="1345" t="s">
        <v>18</v>
      </c>
      <c r="O21" s="1102" t="s">
        <v>17</v>
      </c>
      <c r="P21" s="1345" t="s">
        <v>18</v>
      </c>
      <c r="Q21" s="1102" t="s">
        <v>17</v>
      </c>
      <c r="R21" s="1345" t="s">
        <v>18</v>
      </c>
      <c r="S21" s="1102" t="s">
        <v>17</v>
      </c>
      <c r="T21" s="1345" t="s">
        <v>18</v>
      </c>
      <c r="U21" s="1102" t="s">
        <v>17</v>
      </c>
      <c r="V21" s="1345" t="s">
        <v>18</v>
      </c>
      <c r="W21" s="1102" t="s">
        <v>17</v>
      </c>
      <c r="X21" s="1345" t="s">
        <v>18</v>
      </c>
      <c r="Y21" s="1102" t="s">
        <v>17</v>
      </c>
      <c r="Z21" s="1345" t="s">
        <v>18</v>
      </c>
      <c r="AA21" s="1102" t="s">
        <v>17</v>
      </c>
      <c r="AB21" s="1345" t="s">
        <v>18</v>
      </c>
      <c r="AC21" s="1102" t="s">
        <v>17</v>
      </c>
      <c r="AD21" s="1345" t="s">
        <v>18</v>
      </c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/>
      <c r="AS21" s="165"/>
      <c r="AT21" s="165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5"/>
      <c r="BJ21" s="165"/>
      <c r="BK21" s="165"/>
      <c r="BL21" s="165"/>
      <c r="BM21" s="165"/>
      <c r="BN21" s="165"/>
      <c r="BO21" s="165"/>
      <c r="BP21" s="165"/>
      <c r="BQ21" s="165"/>
      <c r="BR21" s="165"/>
      <c r="BS21" s="165"/>
      <c r="BT21" s="165"/>
      <c r="BU21" s="165"/>
      <c r="BV21" s="165"/>
      <c r="BW21" s="165"/>
      <c r="BX21" s="165"/>
      <c r="BY21" s="165"/>
      <c r="BZ21" s="165"/>
      <c r="CA21" s="1452"/>
      <c r="CB21" s="1452"/>
      <c r="CC21" s="1451"/>
      <c r="CD21" s="1451"/>
      <c r="CE21" s="1451"/>
      <c r="CF21" s="1451"/>
      <c r="CG21" s="1451"/>
      <c r="CH21" s="1451"/>
      <c r="CI21" s="1454"/>
      <c r="CJ21" s="1454"/>
      <c r="CK21" s="1454"/>
      <c r="CL21" s="1454"/>
      <c r="CM21" s="1454"/>
      <c r="CN21" s="1454"/>
      <c r="CO21" s="1454"/>
      <c r="CP21" s="1454"/>
    </row>
    <row r="22" spans="1:94" ht="16.149999999999999" customHeight="1" x14ac:dyDescent="0.25">
      <c r="A22" s="8161" t="s">
        <v>1983</v>
      </c>
      <c r="B22" s="8274" t="s">
        <v>1984</v>
      </c>
      <c r="C22" s="3624" t="s">
        <v>3156</v>
      </c>
      <c r="D22" s="902">
        <f t="shared" ref="D22:D27" si="2">SUM(E22+F22)</f>
        <v>0</v>
      </c>
      <c r="E22" s="3620">
        <f>SUM(G22+I22+K22+M22+O22+Q22+S22+U22+W22+Y22+AA22+AC22)</f>
        <v>0</v>
      </c>
      <c r="F22" s="3622">
        <f>SUM(H22+J22+L22+N22+P22+R22+T22+V22+X22+Z22+AB22+AD22)</f>
        <v>0</v>
      </c>
      <c r="G22" s="906"/>
      <c r="H22" s="130"/>
      <c r="I22" s="906"/>
      <c r="J22" s="130"/>
      <c r="K22" s="691"/>
      <c r="L22" s="1146"/>
      <c r="M22" s="697"/>
      <c r="N22" s="698"/>
      <c r="O22" s="697"/>
      <c r="P22" s="698"/>
      <c r="Q22" s="697"/>
      <c r="R22" s="698"/>
      <c r="S22" s="697"/>
      <c r="T22" s="698"/>
      <c r="U22" s="697"/>
      <c r="V22" s="698"/>
      <c r="W22" s="697"/>
      <c r="X22" s="698"/>
      <c r="Y22" s="697"/>
      <c r="Z22" s="698"/>
      <c r="AA22" s="691"/>
      <c r="AB22" s="698"/>
      <c r="AC22" s="691"/>
      <c r="AD22" s="698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5"/>
      <c r="BJ22" s="165"/>
      <c r="BK22" s="165"/>
      <c r="BL22" s="165"/>
      <c r="BM22" s="165"/>
      <c r="BN22" s="165"/>
      <c r="BO22" s="165"/>
      <c r="BP22" s="165"/>
      <c r="BQ22" s="165"/>
      <c r="BR22" s="165"/>
      <c r="BS22" s="165"/>
      <c r="BT22" s="165"/>
      <c r="BU22" s="165"/>
      <c r="BV22" s="165"/>
      <c r="BW22" s="165"/>
      <c r="BX22" s="165"/>
      <c r="BY22" s="165"/>
      <c r="BZ22" s="165"/>
      <c r="CA22" s="1452"/>
      <c r="CB22" s="1452"/>
      <c r="CC22" s="1451"/>
      <c r="CD22" s="1451"/>
      <c r="CE22" s="1451"/>
      <c r="CF22" s="1451"/>
      <c r="CG22" s="1451"/>
      <c r="CH22" s="1451"/>
      <c r="CI22" s="1454"/>
      <c r="CJ22" s="1454"/>
      <c r="CK22" s="1454"/>
      <c r="CL22" s="1454"/>
      <c r="CM22" s="1454"/>
      <c r="CN22" s="1454"/>
      <c r="CO22" s="1454"/>
      <c r="CP22" s="1454"/>
    </row>
    <row r="23" spans="1:94" ht="16.149999999999999" customHeight="1" x14ac:dyDescent="0.25">
      <c r="A23" s="8161"/>
      <c r="B23" s="9607"/>
      <c r="C23" s="3375" t="s">
        <v>3157</v>
      </c>
      <c r="D23" s="544">
        <f t="shared" si="2"/>
        <v>0</v>
      </c>
      <c r="E23" s="1859">
        <f t="shared" ref="E23:F27" si="3">SUM(G23+I23+K23+M23+O23+Q23+S23+U23+W23+Y23+AA23+AC23)</f>
        <v>0</v>
      </c>
      <c r="F23" s="3623">
        <f t="shared" si="3"/>
        <v>0</v>
      </c>
      <c r="G23" s="125"/>
      <c r="H23" s="101"/>
      <c r="I23" s="125"/>
      <c r="J23" s="101"/>
      <c r="K23" s="1234"/>
      <c r="L23" s="1149"/>
      <c r="M23" s="1238"/>
      <c r="N23" s="1115"/>
      <c r="O23" s="1238"/>
      <c r="P23" s="1115"/>
      <c r="Q23" s="1238"/>
      <c r="R23" s="1115"/>
      <c r="S23" s="1238"/>
      <c r="T23" s="1115"/>
      <c r="U23" s="1238"/>
      <c r="V23" s="1115"/>
      <c r="W23" s="1238"/>
      <c r="X23" s="1115"/>
      <c r="Y23" s="1238"/>
      <c r="Z23" s="1115"/>
      <c r="AA23" s="1238"/>
      <c r="AB23" s="1115"/>
      <c r="AC23" s="1238"/>
      <c r="AD23" s="111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5"/>
      <c r="BJ23" s="165"/>
      <c r="BK23" s="165"/>
      <c r="BL23" s="165"/>
      <c r="BM23" s="165"/>
      <c r="BN23" s="165"/>
      <c r="BO23" s="165"/>
      <c r="BP23" s="165"/>
      <c r="BQ23" s="165"/>
      <c r="BR23" s="165"/>
      <c r="BS23" s="165"/>
      <c r="BT23" s="165"/>
      <c r="BU23" s="165"/>
      <c r="BV23" s="165"/>
      <c r="BW23" s="165"/>
      <c r="BX23" s="165"/>
      <c r="BY23" s="165"/>
      <c r="BZ23" s="165"/>
      <c r="CA23" s="1452"/>
      <c r="CB23" s="1452"/>
      <c r="CC23" s="1451"/>
      <c r="CD23" s="1451"/>
      <c r="CE23" s="1451"/>
      <c r="CF23" s="1451"/>
      <c r="CG23" s="1451"/>
      <c r="CH23" s="1451"/>
      <c r="CI23" s="1454"/>
      <c r="CJ23" s="1454"/>
      <c r="CK23" s="1454"/>
      <c r="CL23" s="1454"/>
      <c r="CM23" s="1454"/>
      <c r="CN23" s="1454"/>
      <c r="CO23" s="1454"/>
      <c r="CP23" s="1454"/>
    </row>
    <row r="24" spans="1:94" ht="16.149999999999999" customHeight="1" x14ac:dyDescent="0.25">
      <c r="A24" s="8161"/>
      <c r="B24" s="8274" t="s">
        <v>1986</v>
      </c>
      <c r="C24" s="3624" t="s">
        <v>3156</v>
      </c>
      <c r="D24" s="1239">
        <f t="shared" si="2"/>
        <v>0</v>
      </c>
      <c r="E24" s="3620">
        <f t="shared" si="3"/>
        <v>0</v>
      </c>
      <c r="F24" s="3622">
        <f t="shared" si="3"/>
        <v>0</v>
      </c>
      <c r="G24" s="1109"/>
      <c r="H24" s="1113"/>
      <c r="I24" s="1109"/>
      <c r="J24" s="1113"/>
      <c r="K24" s="1109"/>
      <c r="L24" s="1110"/>
      <c r="M24" s="1186"/>
      <c r="N24" s="1113"/>
      <c r="O24" s="1186"/>
      <c r="P24" s="1113"/>
      <c r="Q24" s="1186"/>
      <c r="R24" s="1113"/>
      <c r="S24" s="1186"/>
      <c r="T24" s="1113"/>
      <c r="U24" s="1186"/>
      <c r="V24" s="1113"/>
      <c r="W24" s="1186"/>
      <c r="X24" s="1113"/>
      <c r="Y24" s="1186"/>
      <c r="Z24" s="1113"/>
      <c r="AA24" s="1186"/>
      <c r="AB24" s="1113"/>
      <c r="AC24" s="1186"/>
      <c r="AD24" s="1113"/>
      <c r="AE24" s="165"/>
      <c r="AF24" s="165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5"/>
      <c r="BJ24" s="165"/>
      <c r="BK24" s="165"/>
      <c r="BL24" s="165"/>
      <c r="BM24" s="165"/>
      <c r="BN24" s="165"/>
      <c r="BO24" s="165"/>
      <c r="BP24" s="165"/>
      <c r="BQ24" s="165"/>
      <c r="BR24" s="165"/>
      <c r="BS24" s="165"/>
      <c r="BT24" s="165"/>
      <c r="BU24" s="165"/>
      <c r="BV24" s="165"/>
      <c r="BW24" s="165"/>
      <c r="BX24" s="165"/>
      <c r="BY24" s="165"/>
      <c r="BZ24" s="165"/>
      <c r="CA24" s="1452"/>
      <c r="CB24" s="1452"/>
      <c r="CC24" s="1451"/>
      <c r="CD24" s="1451"/>
      <c r="CE24" s="1451"/>
      <c r="CF24" s="1451"/>
      <c r="CG24" s="1451"/>
      <c r="CH24" s="1451"/>
      <c r="CI24" s="1454"/>
      <c r="CJ24" s="1454"/>
      <c r="CK24" s="1454"/>
      <c r="CL24" s="1454"/>
      <c r="CM24" s="1454"/>
      <c r="CN24" s="1454"/>
      <c r="CO24" s="1454"/>
      <c r="CP24" s="1454"/>
    </row>
    <row r="25" spans="1:94" ht="16.149999999999999" customHeight="1" x14ac:dyDescent="0.25">
      <c r="A25" s="8162"/>
      <c r="B25" s="9607"/>
      <c r="C25" s="3375" t="s">
        <v>3157</v>
      </c>
      <c r="D25" s="544">
        <f t="shared" si="2"/>
        <v>0</v>
      </c>
      <c r="E25" s="1859">
        <f t="shared" si="3"/>
        <v>0</v>
      </c>
      <c r="F25" s="3623">
        <f t="shared" si="3"/>
        <v>0</v>
      </c>
      <c r="G25" s="125"/>
      <c r="H25" s="101"/>
      <c r="I25" s="125"/>
      <c r="J25" s="101"/>
      <c r="K25" s="125"/>
      <c r="L25" s="127"/>
      <c r="M25" s="159"/>
      <c r="N25" s="101"/>
      <c r="O25" s="159"/>
      <c r="P25" s="101"/>
      <c r="Q25" s="159"/>
      <c r="R25" s="101"/>
      <c r="S25" s="159"/>
      <c r="T25" s="101"/>
      <c r="U25" s="159"/>
      <c r="V25" s="101"/>
      <c r="W25" s="159"/>
      <c r="X25" s="101"/>
      <c r="Y25" s="159"/>
      <c r="Z25" s="101"/>
      <c r="AA25" s="159"/>
      <c r="AB25" s="101"/>
      <c r="AC25" s="159"/>
      <c r="AD25" s="101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5"/>
      <c r="BJ25" s="165"/>
      <c r="BK25" s="165"/>
      <c r="BL25" s="165"/>
      <c r="BM25" s="165"/>
      <c r="BN25" s="165"/>
      <c r="BO25" s="165"/>
      <c r="BP25" s="165"/>
      <c r="BQ25" s="165"/>
      <c r="BR25" s="165"/>
      <c r="BS25" s="165"/>
      <c r="BT25" s="165"/>
      <c r="BU25" s="165"/>
      <c r="BV25" s="165"/>
      <c r="BW25" s="165"/>
      <c r="BX25" s="165"/>
      <c r="BY25" s="165"/>
      <c r="BZ25" s="165"/>
      <c r="CA25" s="1452"/>
      <c r="CB25" s="1452"/>
      <c r="CC25" s="1451"/>
      <c r="CD25" s="1451"/>
      <c r="CE25" s="1451"/>
      <c r="CF25" s="1451"/>
      <c r="CG25" s="1451"/>
      <c r="CH25" s="1451"/>
      <c r="CI25" s="1454"/>
      <c r="CJ25" s="1454"/>
      <c r="CK25" s="1454"/>
      <c r="CL25" s="1454"/>
      <c r="CM25" s="1454"/>
      <c r="CN25" s="1454"/>
      <c r="CO25" s="1454"/>
      <c r="CP25" s="1454"/>
    </row>
    <row r="26" spans="1:94" ht="16.149999999999999" customHeight="1" x14ac:dyDescent="0.25">
      <c r="A26" s="8166" t="s">
        <v>1987</v>
      </c>
      <c r="B26" s="8151"/>
      <c r="C26" s="3624" t="s">
        <v>3156</v>
      </c>
      <c r="D26" s="904">
        <f t="shared" si="2"/>
        <v>0</v>
      </c>
      <c r="E26" s="3620">
        <f t="shared" si="3"/>
        <v>0</v>
      </c>
      <c r="F26" s="3622">
        <f t="shared" si="3"/>
        <v>0</v>
      </c>
      <c r="G26" s="1240"/>
      <c r="H26" s="701"/>
      <c r="I26" s="1240"/>
      <c r="J26" s="701"/>
      <c r="K26" s="824"/>
      <c r="L26" s="1145"/>
      <c r="M26" s="1240"/>
      <c r="N26" s="701"/>
      <c r="O26" s="1240"/>
      <c r="P26" s="701"/>
      <c r="Q26" s="1240"/>
      <c r="R26" s="701"/>
      <c r="S26" s="1240"/>
      <c r="T26" s="701"/>
      <c r="U26" s="1240"/>
      <c r="V26" s="701"/>
      <c r="W26" s="1240"/>
      <c r="X26" s="701"/>
      <c r="Y26" s="1240"/>
      <c r="Z26" s="701"/>
      <c r="AA26" s="1240"/>
      <c r="AB26" s="701"/>
      <c r="AC26" s="1240"/>
      <c r="AD26" s="701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5"/>
      <c r="BJ26" s="165"/>
      <c r="BK26" s="165"/>
      <c r="BL26" s="165"/>
      <c r="BM26" s="165"/>
      <c r="BN26" s="165"/>
      <c r="BO26" s="165"/>
      <c r="BP26" s="165"/>
      <c r="BQ26" s="165"/>
      <c r="BR26" s="165"/>
      <c r="BS26" s="165"/>
      <c r="BT26" s="165"/>
      <c r="BU26" s="165"/>
      <c r="BV26" s="165"/>
      <c r="BW26" s="165"/>
      <c r="BX26" s="165"/>
      <c r="BY26" s="165"/>
      <c r="BZ26" s="165"/>
      <c r="CA26" s="1452"/>
      <c r="CB26" s="1452"/>
      <c r="CC26" s="1451"/>
      <c r="CD26" s="1451"/>
      <c r="CE26" s="1451"/>
      <c r="CF26" s="1451"/>
      <c r="CG26" s="1451"/>
      <c r="CH26" s="1451"/>
      <c r="CI26" s="1454"/>
      <c r="CJ26" s="1454"/>
      <c r="CK26" s="1454"/>
      <c r="CL26" s="1454"/>
      <c r="CM26" s="1454"/>
      <c r="CN26" s="1454"/>
      <c r="CO26" s="1454"/>
      <c r="CP26" s="1454"/>
    </row>
    <row r="27" spans="1:94" ht="16.149999999999999" customHeight="1" x14ac:dyDescent="0.25">
      <c r="A27" s="9559"/>
      <c r="B27" s="8152"/>
      <c r="C27" s="3375" t="s">
        <v>3157</v>
      </c>
      <c r="D27" s="544">
        <f t="shared" si="2"/>
        <v>0</v>
      </c>
      <c r="E27" s="1859">
        <f t="shared" si="3"/>
        <v>0</v>
      </c>
      <c r="F27" s="3623">
        <f t="shared" si="3"/>
        <v>0</v>
      </c>
      <c r="G27" s="159"/>
      <c r="H27" s="101"/>
      <c r="I27" s="159"/>
      <c r="J27" s="101"/>
      <c r="K27" s="125"/>
      <c r="L27" s="127"/>
      <c r="M27" s="159"/>
      <c r="N27" s="101"/>
      <c r="O27" s="159"/>
      <c r="P27" s="101"/>
      <c r="Q27" s="159"/>
      <c r="R27" s="101"/>
      <c r="S27" s="159"/>
      <c r="T27" s="101"/>
      <c r="U27" s="159"/>
      <c r="V27" s="101"/>
      <c r="W27" s="159"/>
      <c r="X27" s="101"/>
      <c r="Y27" s="159"/>
      <c r="Z27" s="101"/>
      <c r="AA27" s="159"/>
      <c r="AB27" s="101"/>
      <c r="AC27" s="159"/>
      <c r="AD27" s="101"/>
      <c r="AE27" s="165"/>
      <c r="AF27" s="165"/>
      <c r="AG27" s="165"/>
      <c r="AH27" s="165"/>
      <c r="AI27" s="165"/>
      <c r="AJ27" s="165"/>
      <c r="AK27" s="165"/>
      <c r="AL27" s="165"/>
      <c r="AM27" s="165"/>
      <c r="AN27" s="165"/>
      <c r="AO27" s="165"/>
      <c r="AP27" s="165"/>
      <c r="AQ27" s="165"/>
      <c r="AR27" s="165"/>
      <c r="AS27" s="165"/>
      <c r="AT27" s="165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5"/>
      <c r="BJ27" s="165"/>
      <c r="BK27" s="165"/>
      <c r="BL27" s="165"/>
      <c r="BM27" s="165"/>
      <c r="BN27" s="165"/>
      <c r="BO27" s="165"/>
      <c r="BP27" s="165"/>
      <c r="BQ27" s="165"/>
      <c r="BR27" s="165"/>
      <c r="BS27" s="165"/>
      <c r="BT27" s="165"/>
      <c r="BU27" s="165"/>
      <c r="BV27" s="165"/>
      <c r="BW27" s="165"/>
      <c r="BX27" s="165"/>
      <c r="BY27" s="165"/>
      <c r="BZ27" s="165"/>
      <c r="CA27" s="1452"/>
      <c r="CB27" s="1452"/>
      <c r="CC27" s="1451"/>
      <c r="CD27" s="1451"/>
      <c r="CE27" s="1451"/>
      <c r="CF27" s="1451"/>
      <c r="CG27" s="1451"/>
      <c r="CH27" s="1451"/>
      <c r="CI27" s="1454"/>
      <c r="CJ27" s="1454"/>
      <c r="CK27" s="1454"/>
      <c r="CL27" s="1454"/>
      <c r="CM27" s="1454"/>
      <c r="CN27" s="1454"/>
      <c r="CO27" s="1454"/>
      <c r="CP27" s="1454"/>
    </row>
    <row r="28" spans="1:94" ht="16.149999999999999" customHeight="1" x14ac:dyDescent="0.25">
      <c r="A28" s="10048" t="s">
        <v>24</v>
      </c>
      <c r="B28" s="10049"/>
      <c r="C28" s="10050"/>
      <c r="D28" s="1241">
        <f>SUM(D22:D27)</f>
        <v>0</v>
      </c>
      <c r="E28" s="1242">
        <f>SUM(E22:E27)</f>
        <v>0</v>
      </c>
      <c r="F28" s="1243">
        <f>SUM(F22:F27)</f>
        <v>0</v>
      </c>
      <c r="G28" s="1244">
        <f>SUM(G22:G27)</f>
        <v>0</v>
      </c>
      <c r="H28" s="1245">
        <f>SUM(H22:H27)</f>
        <v>0</v>
      </c>
      <c r="I28" s="1244">
        <f t="shared" ref="I28:AB28" si="4">SUM(I22:I27)</f>
        <v>0</v>
      </c>
      <c r="J28" s="1245">
        <f t="shared" si="4"/>
        <v>0</v>
      </c>
      <c r="K28" s="1194">
        <f t="shared" si="4"/>
        <v>0</v>
      </c>
      <c r="L28" s="1140">
        <f t="shared" si="4"/>
        <v>0</v>
      </c>
      <c r="M28" s="1244">
        <f t="shared" si="4"/>
        <v>0</v>
      </c>
      <c r="N28" s="1245">
        <f t="shared" si="4"/>
        <v>0</v>
      </c>
      <c r="O28" s="1244">
        <f t="shared" si="4"/>
        <v>0</v>
      </c>
      <c r="P28" s="1245">
        <f t="shared" si="4"/>
        <v>0</v>
      </c>
      <c r="Q28" s="1244">
        <f t="shared" si="4"/>
        <v>0</v>
      </c>
      <c r="R28" s="1245">
        <f t="shared" si="4"/>
        <v>0</v>
      </c>
      <c r="S28" s="1244">
        <f t="shared" si="4"/>
        <v>0</v>
      </c>
      <c r="T28" s="1245">
        <f t="shared" si="4"/>
        <v>0</v>
      </c>
      <c r="U28" s="1244">
        <f t="shared" si="4"/>
        <v>0</v>
      </c>
      <c r="V28" s="1245">
        <f t="shared" si="4"/>
        <v>0</v>
      </c>
      <c r="W28" s="1244">
        <f t="shared" si="4"/>
        <v>0</v>
      </c>
      <c r="X28" s="1245">
        <f t="shared" si="4"/>
        <v>0</v>
      </c>
      <c r="Y28" s="1244">
        <f t="shared" si="4"/>
        <v>0</v>
      </c>
      <c r="Z28" s="1245">
        <f t="shared" si="4"/>
        <v>0</v>
      </c>
      <c r="AA28" s="1244">
        <f t="shared" si="4"/>
        <v>0</v>
      </c>
      <c r="AB28" s="1245">
        <f t="shared" si="4"/>
        <v>0</v>
      </c>
      <c r="AC28" s="1244">
        <f>SUM(AC22:AC27)</f>
        <v>0</v>
      </c>
      <c r="AD28" s="1245">
        <f>SUM(AD22:AD27)</f>
        <v>0</v>
      </c>
      <c r="AE28" s="165"/>
      <c r="AF28" s="165"/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5"/>
      <c r="BJ28" s="165"/>
      <c r="BK28" s="165"/>
      <c r="BL28" s="165"/>
      <c r="BM28" s="165"/>
      <c r="BN28" s="165"/>
      <c r="BO28" s="165"/>
      <c r="BP28" s="165"/>
      <c r="BQ28" s="165"/>
      <c r="BR28" s="165"/>
      <c r="BS28" s="165"/>
      <c r="BT28" s="165"/>
      <c r="BU28" s="165"/>
      <c r="BV28" s="165"/>
      <c r="BW28" s="165"/>
      <c r="BX28" s="165"/>
      <c r="BY28" s="165"/>
      <c r="BZ28" s="165"/>
      <c r="CA28" s="1452"/>
      <c r="CB28" s="1452"/>
      <c r="CC28" s="1451"/>
      <c r="CD28" s="1451"/>
      <c r="CE28" s="1451"/>
      <c r="CF28" s="1451"/>
      <c r="CG28" s="1451"/>
      <c r="CH28" s="1451"/>
      <c r="CI28" s="1454"/>
      <c r="CJ28" s="1454"/>
      <c r="CK28" s="1454"/>
      <c r="CL28" s="1454"/>
      <c r="CM28" s="1454"/>
      <c r="CN28" s="1454"/>
      <c r="CO28" s="1454"/>
      <c r="CP28" s="1454"/>
    </row>
    <row r="29" spans="1:94" ht="28.15" customHeight="1" x14ac:dyDescent="0.25">
      <c r="A29" s="10061" t="s">
        <v>1990</v>
      </c>
      <c r="B29" s="10061"/>
      <c r="C29" s="10061"/>
      <c r="D29" s="10061"/>
      <c r="E29" s="10061"/>
      <c r="F29" s="10061"/>
      <c r="G29" s="165"/>
      <c r="H29" s="165"/>
      <c r="I29" s="290"/>
      <c r="J29" s="290"/>
      <c r="K29" s="290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5"/>
      <c r="BJ29" s="165"/>
      <c r="BK29" s="165"/>
      <c r="BL29" s="165"/>
      <c r="BM29" s="165"/>
      <c r="BN29" s="165"/>
      <c r="BO29" s="165"/>
      <c r="BP29" s="165"/>
      <c r="BQ29" s="165"/>
      <c r="BR29" s="165"/>
      <c r="BS29" s="165"/>
      <c r="BT29" s="165"/>
      <c r="BU29" s="165"/>
      <c r="BV29" s="165"/>
      <c r="BW29" s="165"/>
      <c r="BX29" s="165"/>
      <c r="BY29" s="1452"/>
      <c r="BZ29" s="1452"/>
      <c r="CA29" s="1451"/>
      <c r="CB29" s="1451"/>
      <c r="CC29" s="1451"/>
      <c r="CD29" s="1451"/>
      <c r="CE29" s="1451"/>
      <c r="CF29" s="1451"/>
      <c r="CG29" s="1454"/>
      <c r="CH29" s="1454"/>
      <c r="CI29" s="1454"/>
      <c r="CJ29" s="1454"/>
      <c r="CK29" s="1454"/>
      <c r="CL29" s="1454"/>
      <c r="CM29" s="1454"/>
      <c r="CN29" s="1454"/>
    </row>
    <row r="30" spans="1:94" ht="16.149999999999999" customHeight="1" x14ac:dyDescent="0.25">
      <c r="A30" s="8018" t="s">
        <v>3292</v>
      </c>
      <c r="B30" s="8018" t="s">
        <v>3256</v>
      </c>
      <c r="C30" s="10180" t="s">
        <v>3293</v>
      </c>
      <c r="D30" s="10181"/>
      <c r="E30" s="8019" t="s">
        <v>44</v>
      </c>
      <c r="F30" s="8020" t="s">
        <v>3426</v>
      </c>
      <c r="G30" s="8020" t="s">
        <v>3427</v>
      </c>
      <c r="H30" s="165"/>
      <c r="I30" s="290"/>
      <c r="J30" s="290"/>
      <c r="K30" s="290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5"/>
      <c r="BJ30" s="165"/>
      <c r="BK30" s="165"/>
      <c r="BL30" s="165"/>
      <c r="BM30" s="165"/>
      <c r="BN30" s="165"/>
      <c r="BO30" s="165"/>
      <c r="BP30" s="165"/>
      <c r="BQ30" s="165"/>
      <c r="BR30" s="165"/>
      <c r="BS30" s="165"/>
      <c r="BT30" s="165"/>
      <c r="BU30" s="165"/>
      <c r="BV30" s="165"/>
      <c r="BW30" s="165"/>
      <c r="BX30" s="165"/>
      <c r="BY30" s="1452"/>
      <c r="BZ30" s="1452"/>
      <c r="CA30" s="1451"/>
      <c r="CB30" s="1451"/>
      <c r="CC30" s="1451"/>
      <c r="CD30" s="1451"/>
      <c r="CE30" s="1451"/>
      <c r="CF30" s="1451"/>
      <c r="CG30" s="1454"/>
      <c r="CH30" s="1454"/>
      <c r="CI30" s="1454"/>
      <c r="CJ30" s="1454"/>
      <c r="CK30" s="1454"/>
      <c r="CL30" s="1454"/>
      <c r="CM30" s="1454"/>
      <c r="CN30" s="1454"/>
    </row>
    <row r="31" spans="1:94" ht="16.149999999999999" customHeight="1" x14ac:dyDescent="0.25">
      <c r="A31" s="9975" t="s">
        <v>3294</v>
      </c>
      <c r="B31" s="10081" t="s">
        <v>3295</v>
      </c>
      <c r="C31" s="10070" t="s">
        <v>3296</v>
      </c>
      <c r="D31" s="10071"/>
      <c r="E31" s="8031">
        <f>SUM(F31:G31)</f>
        <v>0</v>
      </c>
      <c r="F31" s="8022"/>
      <c r="G31" s="8022"/>
      <c r="H31" s="165"/>
      <c r="I31" s="290"/>
      <c r="J31" s="290"/>
      <c r="K31" s="290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5"/>
      <c r="BJ31" s="165"/>
      <c r="BK31" s="165"/>
      <c r="BL31" s="165"/>
      <c r="BM31" s="165"/>
      <c r="BN31" s="165"/>
      <c r="BO31" s="165"/>
      <c r="BP31" s="165"/>
      <c r="BQ31" s="165"/>
      <c r="BR31" s="165"/>
      <c r="BS31" s="165"/>
      <c r="BT31" s="165"/>
      <c r="BU31" s="165"/>
      <c r="BV31" s="165"/>
      <c r="BW31" s="165"/>
      <c r="BX31" s="165"/>
      <c r="BY31" s="1452"/>
      <c r="BZ31" s="1452"/>
      <c r="CA31" s="1451"/>
      <c r="CB31" s="1451"/>
      <c r="CC31" s="1451"/>
      <c r="CD31" s="1451"/>
      <c r="CE31" s="1451"/>
      <c r="CF31" s="1451"/>
      <c r="CG31" s="1454"/>
      <c r="CH31" s="1454"/>
      <c r="CI31" s="1454"/>
      <c r="CJ31" s="1454"/>
      <c r="CK31" s="1454"/>
      <c r="CL31" s="1454"/>
      <c r="CM31" s="1454"/>
      <c r="CN31" s="1454"/>
    </row>
    <row r="32" spans="1:94" ht="16.149999999999999" customHeight="1" x14ac:dyDescent="0.25">
      <c r="A32" s="10068"/>
      <c r="B32" s="10081"/>
      <c r="C32" s="10072" t="s">
        <v>3297</v>
      </c>
      <c r="D32" s="10073"/>
      <c r="E32" s="8032">
        <f>SUM(F32:G32)</f>
        <v>0</v>
      </c>
      <c r="F32" s="8023"/>
      <c r="G32" s="8023"/>
      <c r="H32" s="165"/>
      <c r="I32" s="290"/>
      <c r="J32" s="290"/>
      <c r="K32" s="290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5"/>
      <c r="BJ32" s="165"/>
      <c r="BK32" s="165"/>
      <c r="BL32" s="165"/>
      <c r="BM32" s="165"/>
      <c r="BN32" s="165"/>
      <c r="BO32" s="165"/>
      <c r="BP32" s="165"/>
      <c r="BQ32" s="165"/>
      <c r="BR32" s="165"/>
      <c r="BS32" s="165"/>
      <c r="BT32" s="165"/>
      <c r="BU32" s="165"/>
      <c r="BV32" s="165"/>
      <c r="BW32" s="165"/>
      <c r="BX32" s="165"/>
      <c r="BY32" s="1452"/>
      <c r="BZ32" s="1452"/>
      <c r="CA32" s="1451"/>
      <c r="CB32" s="1451"/>
      <c r="CC32" s="1451"/>
      <c r="CD32" s="1451"/>
      <c r="CE32" s="1451"/>
      <c r="CF32" s="1451"/>
      <c r="CG32" s="1454"/>
      <c r="CH32" s="1454"/>
      <c r="CI32" s="1454"/>
      <c r="CJ32" s="1454"/>
      <c r="CK32" s="1454"/>
      <c r="CL32" s="1454"/>
      <c r="CM32" s="1454"/>
      <c r="CN32" s="1454"/>
    </row>
    <row r="33" spans="1:92" ht="16.149999999999999" customHeight="1" x14ac:dyDescent="0.25">
      <c r="A33" s="10068"/>
      <c r="B33" s="10081"/>
      <c r="C33" s="10074" t="s">
        <v>3298</v>
      </c>
      <c r="D33" s="10075"/>
      <c r="E33" s="8033">
        <f t="shared" ref="E33:E61" si="5">SUM(F33:G33)</f>
        <v>0</v>
      </c>
      <c r="F33" s="8024"/>
      <c r="G33" s="8024"/>
      <c r="H33" s="165"/>
      <c r="I33" s="290"/>
      <c r="J33" s="290"/>
      <c r="K33" s="290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5"/>
      <c r="BJ33" s="165"/>
      <c r="BK33" s="165"/>
      <c r="BL33" s="165"/>
      <c r="BM33" s="165"/>
      <c r="BN33" s="165"/>
      <c r="BO33" s="165"/>
      <c r="BP33" s="165"/>
      <c r="BQ33" s="165"/>
      <c r="BR33" s="165"/>
      <c r="BS33" s="165"/>
      <c r="BT33" s="165"/>
      <c r="BU33" s="165"/>
      <c r="BV33" s="165"/>
      <c r="BW33" s="165"/>
      <c r="BX33" s="165"/>
      <c r="BY33" s="1452"/>
      <c r="BZ33" s="1452"/>
      <c r="CA33" s="1451"/>
      <c r="CB33" s="1451"/>
      <c r="CC33" s="1451"/>
      <c r="CD33" s="1451"/>
      <c r="CE33" s="1451"/>
      <c r="CF33" s="1451"/>
      <c r="CG33" s="1454"/>
      <c r="CH33" s="1454"/>
      <c r="CI33" s="1454"/>
      <c r="CJ33" s="1454"/>
      <c r="CK33" s="1454"/>
      <c r="CL33" s="1454"/>
      <c r="CM33" s="1454"/>
      <c r="CN33" s="1454"/>
    </row>
    <row r="34" spans="1:92" ht="16.149999999999999" customHeight="1" x14ac:dyDescent="0.25">
      <c r="A34" s="10068"/>
      <c r="B34" s="9948" t="s">
        <v>3299</v>
      </c>
      <c r="C34" s="10077" t="s">
        <v>3300</v>
      </c>
      <c r="D34" s="10078"/>
      <c r="E34" s="8034">
        <f t="shared" si="5"/>
        <v>0</v>
      </c>
      <c r="F34" s="8025"/>
      <c r="G34" s="8025"/>
      <c r="H34" s="165"/>
      <c r="I34" s="290"/>
      <c r="J34" s="290"/>
      <c r="K34" s="290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165"/>
      <c r="AD34" s="165"/>
      <c r="AE34" s="165"/>
      <c r="AF34" s="165"/>
      <c r="AG34" s="165"/>
      <c r="AH34" s="165"/>
      <c r="AI34" s="165"/>
      <c r="AJ34" s="165"/>
      <c r="AK34" s="165"/>
      <c r="AL34" s="165"/>
      <c r="AM34" s="165"/>
      <c r="AN34" s="165"/>
      <c r="AO34" s="165"/>
      <c r="AP34" s="165"/>
      <c r="AQ34" s="165"/>
      <c r="AR34" s="165"/>
      <c r="AS34" s="165"/>
      <c r="AT34" s="165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  <c r="BH34" s="165"/>
      <c r="BI34" s="165"/>
      <c r="BJ34" s="165"/>
      <c r="BK34" s="165"/>
      <c r="BL34" s="165"/>
      <c r="BM34" s="165"/>
      <c r="BN34" s="165"/>
      <c r="BO34" s="165"/>
      <c r="BP34" s="165"/>
      <c r="BQ34" s="165"/>
      <c r="BR34" s="165"/>
      <c r="BS34" s="165"/>
      <c r="BT34" s="165"/>
      <c r="BU34" s="165"/>
      <c r="BV34" s="165"/>
      <c r="BW34" s="165"/>
      <c r="BX34" s="165"/>
      <c r="BY34" s="1452"/>
      <c r="BZ34" s="1452"/>
      <c r="CA34" s="1451"/>
      <c r="CB34" s="1451"/>
      <c r="CC34" s="1451"/>
      <c r="CD34" s="1451"/>
      <c r="CE34" s="1451"/>
      <c r="CF34" s="1451"/>
      <c r="CG34" s="1454"/>
      <c r="CH34" s="1454"/>
      <c r="CI34" s="1454"/>
      <c r="CJ34" s="1454"/>
      <c r="CK34" s="1454"/>
      <c r="CL34" s="1454"/>
      <c r="CM34" s="1454"/>
      <c r="CN34" s="1454"/>
    </row>
    <row r="35" spans="1:92" ht="16.149999999999999" customHeight="1" x14ac:dyDescent="0.25">
      <c r="A35" s="10068"/>
      <c r="B35" s="10076"/>
      <c r="C35" s="10074" t="s">
        <v>3301</v>
      </c>
      <c r="D35" s="10075"/>
      <c r="E35" s="8033">
        <f t="shared" si="5"/>
        <v>0</v>
      </c>
      <c r="F35" s="8024"/>
      <c r="G35" s="8024"/>
      <c r="H35" s="165"/>
      <c r="I35" s="290"/>
      <c r="J35" s="290"/>
      <c r="K35" s="290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  <c r="AA35" s="165"/>
      <c r="AB35" s="165"/>
      <c r="AC35" s="165"/>
      <c r="AD35" s="165"/>
      <c r="AE35" s="165"/>
      <c r="AF35" s="165"/>
      <c r="AG35" s="165"/>
      <c r="AH35" s="165"/>
      <c r="AI35" s="165"/>
      <c r="AJ35" s="165"/>
      <c r="AK35" s="165"/>
      <c r="AL35" s="165"/>
      <c r="AM35" s="165"/>
      <c r="AN35" s="165"/>
      <c r="AO35" s="165"/>
      <c r="AP35" s="165"/>
      <c r="AQ35" s="165"/>
      <c r="AR35" s="165"/>
      <c r="AS35" s="165"/>
      <c r="AT35" s="165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5"/>
      <c r="BJ35" s="165"/>
      <c r="BK35" s="165"/>
      <c r="BL35" s="165"/>
      <c r="BM35" s="165"/>
      <c r="BN35" s="165"/>
      <c r="BO35" s="165"/>
      <c r="BP35" s="165"/>
      <c r="BQ35" s="165"/>
      <c r="BR35" s="165"/>
      <c r="BS35" s="165"/>
      <c r="BT35" s="165"/>
      <c r="BU35" s="165"/>
      <c r="BV35" s="165"/>
      <c r="BW35" s="165"/>
      <c r="BX35" s="165"/>
      <c r="BY35" s="1452"/>
      <c r="BZ35" s="1452"/>
      <c r="CA35" s="1451"/>
      <c r="CB35" s="1451"/>
      <c r="CC35" s="1451"/>
      <c r="CD35" s="1451"/>
      <c r="CE35" s="1451"/>
      <c r="CF35" s="1451"/>
      <c r="CG35" s="1454"/>
      <c r="CH35" s="1454"/>
      <c r="CI35" s="1454"/>
      <c r="CJ35" s="1454"/>
      <c r="CK35" s="1454"/>
      <c r="CL35" s="1454"/>
      <c r="CM35" s="1454"/>
      <c r="CN35" s="1454"/>
    </row>
    <row r="36" spans="1:92" ht="16.149999999999999" customHeight="1" x14ac:dyDescent="0.25">
      <c r="A36" s="10068"/>
      <c r="B36" s="10079" t="s">
        <v>3302</v>
      </c>
      <c r="C36" s="10077" t="s">
        <v>3303</v>
      </c>
      <c r="D36" s="10078"/>
      <c r="E36" s="8034">
        <f t="shared" si="5"/>
        <v>0</v>
      </c>
      <c r="F36" s="8025"/>
      <c r="G36" s="8025"/>
      <c r="H36" s="165"/>
      <c r="I36" s="290"/>
      <c r="J36" s="290"/>
      <c r="K36" s="290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5"/>
      <c r="AS36" s="165"/>
      <c r="AT36" s="165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5"/>
      <c r="BJ36" s="165"/>
      <c r="BK36" s="165"/>
      <c r="BL36" s="165"/>
      <c r="BM36" s="165"/>
      <c r="BN36" s="165"/>
      <c r="BO36" s="165"/>
      <c r="BP36" s="165"/>
      <c r="BQ36" s="165"/>
      <c r="BR36" s="165"/>
      <c r="BS36" s="165"/>
      <c r="BT36" s="165"/>
      <c r="BU36" s="165"/>
      <c r="BV36" s="165"/>
      <c r="BW36" s="165"/>
      <c r="BX36" s="165"/>
      <c r="BY36" s="1452"/>
      <c r="BZ36" s="1452"/>
      <c r="CA36" s="1451"/>
      <c r="CB36" s="1451"/>
      <c r="CC36" s="1451"/>
      <c r="CD36" s="1451"/>
      <c r="CE36" s="1451"/>
      <c r="CF36" s="1451"/>
      <c r="CG36" s="1454"/>
      <c r="CH36" s="1454"/>
      <c r="CI36" s="1454"/>
      <c r="CJ36" s="1454"/>
      <c r="CK36" s="1454"/>
      <c r="CL36" s="1454"/>
      <c r="CM36" s="1454"/>
      <c r="CN36" s="1454"/>
    </row>
    <row r="37" spans="1:92" ht="16.149999999999999" customHeight="1" x14ac:dyDescent="0.25">
      <c r="A37" s="10068"/>
      <c r="B37" s="10080"/>
      <c r="C37" s="10059" t="s">
        <v>3304</v>
      </c>
      <c r="D37" s="10060"/>
      <c r="E37" s="8033">
        <f t="shared" si="5"/>
        <v>0</v>
      </c>
      <c r="F37" s="8024"/>
      <c r="G37" s="8024"/>
      <c r="H37" s="165"/>
      <c r="I37" s="290"/>
      <c r="J37" s="290"/>
      <c r="K37" s="290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5"/>
      <c r="BJ37" s="165"/>
      <c r="BK37" s="165"/>
      <c r="BL37" s="165"/>
      <c r="BM37" s="165"/>
      <c r="BN37" s="165"/>
      <c r="BO37" s="165"/>
      <c r="BP37" s="165"/>
      <c r="BQ37" s="165"/>
      <c r="BR37" s="165"/>
      <c r="BS37" s="165"/>
      <c r="BT37" s="165"/>
      <c r="BU37" s="165"/>
      <c r="BV37" s="165"/>
      <c r="BW37" s="165"/>
      <c r="BX37" s="165"/>
      <c r="BY37" s="1452"/>
      <c r="BZ37" s="1452"/>
      <c r="CA37" s="1451"/>
      <c r="CB37" s="1451"/>
      <c r="CC37" s="1451"/>
      <c r="CD37" s="1451"/>
      <c r="CE37" s="1451"/>
      <c r="CF37" s="1451"/>
      <c r="CG37" s="1454"/>
      <c r="CH37" s="1454"/>
      <c r="CI37" s="1454"/>
      <c r="CJ37" s="1454"/>
      <c r="CK37" s="1454"/>
      <c r="CL37" s="1454"/>
      <c r="CM37" s="1454"/>
      <c r="CN37" s="1454"/>
    </row>
    <row r="38" spans="1:92" ht="16.149999999999999" customHeight="1" x14ac:dyDescent="0.25">
      <c r="A38" s="10068"/>
      <c r="B38" s="10079" t="s">
        <v>3305</v>
      </c>
      <c r="C38" s="10052" t="s">
        <v>3306</v>
      </c>
      <c r="D38" s="10053"/>
      <c r="E38" s="8034">
        <f t="shared" si="5"/>
        <v>0</v>
      </c>
      <c r="F38" s="8025"/>
      <c r="G38" s="8025"/>
      <c r="H38" s="165"/>
      <c r="I38" s="290"/>
      <c r="J38" s="290"/>
      <c r="K38" s="290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5"/>
      <c r="AE38" s="165"/>
      <c r="AF38" s="165"/>
      <c r="AG38" s="165"/>
      <c r="AH38" s="165"/>
      <c r="AI38" s="165"/>
      <c r="AJ38" s="165"/>
      <c r="AK38" s="165"/>
      <c r="AL38" s="165"/>
      <c r="AM38" s="165"/>
      <c r="AN38" s="165"/>
      <c r="AO38" s="165"/>
      <c r="AP38" s="165"/>
      <c r="AQ38" s="165"/>
      <c r="AR38" s="165"/>
      <c r="AS38" s="165"/>
      <c r="AT38" s="165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5"/>
      <c r="BJ38" s="165"/>
      <c r="BK38" s="165"/>
      <c r="BL38" s="165"/>
      <c r="BM38" s="165"/>
      <c r="BN38" s="165"/>
      <c r="BO38" s="165"/>
      <c r="BP38" s="165"/>
      <c r="BQ38" s="165"/>
      <c r="BR38" s="165"/>
      <c r="BS38" s="165"/>
      <c r="BT38" s="165"/>
      <c r="BU38" s="165"/>
      <c r="BV38" s="165"/>
      <c r="BW38" s="165"/>
      <c r="BX38" s="165"/>
      <c r="BY38" s="1452"/>
      <c r="BZ38" s="1452"/>
      <c r="CA38" s="1451"/>
      <c r="CB38" s="1451"/>
      <c r="CC38" s="1451"/>
      <c r="CD38" s="1451"/>
      <c r="CE38" s="1451"/>
      <c r="CF38" s="1451"/>
      <c r="CG38" s="1454"/>
      <c r="CH38" s="1454"/>
      <c r="CI38" s="1454"/>
      <c r="CJ38" s="1454"/>
      <c r="CK38" s="1454"/>
      <c r="CL38" s="1454"/>
      <c r="CM38" s="1454"/>
      <c r="CN38" s="1454"/>
    </row>
    <row r="39" spans="1:92" ht="16.149999999999999" customHeight="1" x14ac:dyDescent="0.25">
      <c r="A39" s="10068"/>
      <c r="B39" s="10082"/>
      <c r="C39" s="10054" t="s">
        <v>3307</v>
      </c>
      <c r="D39" s="10055"/>
      <c r="E39" s="8032">
        <f t="shared" si="5"/>
        <v>0</v>
      </c>
      <c r="F39" s="8023"/>
      <c r="G39" s="8023"/>
      <c r="H39" s="165"/>
      <c r="I39" s="290"/>
      <c r="J39" s="290"/>
      <c r="K39" s="290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  <c r="BQ39" s="165"/>
      <c r="BR39" s="165"/>
      <c r="BS39" s="165"/>
      <c r="BT39" s="165"/>
      <c r="BU39" s="165"/>
      <c r="BV39" s="165"/>
      <c r="BW39" s="165"/>
      <c r="BX39" s="165"/>
      <c r="BY39" s="1452"/>
      <c r="BZ39" s="1452"/>
      <c r="CA39" s="1451"/>
      <c r="CB39" s="1451"/>
      <c r="CC39" s="1451"/>
      <c r="CD39" s="1451"/>
      <c r="CE39" s="1451"/>
      <c r="CF39" s="1451"/>
      <c r="CG39" s="1454"/>
      <c r="CH39" s="1454"/>
      <c r="CI39" s="1454"/>
      <c r="CJ39" s="1454"/>
      <c r="CK39" s="1454"/>
      <c r="CL39" s="1454"/>
      <c r="CM39" s="1454"/>
      <c r="CN39" s="1454"/>
    </row>
    <row r="40" spans="1:92" ht="16.149999999999999" customHeight="1" x14ac:dyDescent="0.25">
      <c r="A40" s="10068"/>
      <c r="B40" s="10082"/>
      <c r="C40" s="10054" t="s">
        <v>3308</v>
      </c>
      <c r="D40" s="10055"/>
      <c r="E40" s="8032">
        <f t="shared" si="5"/>
        <v>0</v>
      </c>
      <c r="F40" s="8023"/>
      <c r="G40" s="8023"/>
      <c r="H40" s="165"/>
      <c r="I40" s="290"/>
      <c r="J40" s="290"/>
      <c r="K40" s="290"/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  <c r="BQ40" s="165"/>
      <c r="BR40" s="165"/>
      <c r="BS40" s="165"/>
      <c r="BT40" s="165"/>
      <c r="BU40" s="165"/>
      <c r="BV40" s="165"/>
      <c r="BW40" s="165"/>
      <c r="BX40" s="165"/>
      <c r="BY40" s="1452"/>
      <c r="BZ40" s="1452"/>
      <c r="CA40" s="1451"/>
      <c r="CB40" s="1451"/>
      <c r="CC40" s="1451"/>
      <c r="CD40" s="1451"/>
      <c r="CE40" s="1451"/>
      <c r="CF40" s="1451"/>
      <c r="CG40" s="1454"/>
      <c r="CH40" s="1454"/>
      <c r="CI40" s="1454"/>
      <c r="CJ40" s="1454"/>
      <c r="CK40" s="1454"/>
      <c r="CL40" s="1454"/>
      <c r="CM40" s="1454"/>
      <c r="CN40" s="1454"/>
    </row>
    <row r="41" spans="1:92" ht="16.149999999999999" customHeight="1" x14ac:dyDescent="0.25">
      <c r="A41" s="10069"/>
      <c r="B41" s="10080"/>
      <c r="C41" s="10059" t="s">
        <v>3309</v>
      </c>
      <c r="D41" s="10060"/>
      <c r="E41" s="8033">
        <f t="shared" si="5"/>
        <v>0</v>
      </c>
      <c r="F41" s="8024"/>
      <c r="G41" s="8024"/>
      <c r="H41" s="165"/>
      <c r="I41" s="290"/>
      <c r="J41" s="290"/>
      <c r="K41" s="290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  <c r="BR41" s="165"/>
      <c r="BS41" s="165"/>
      <c r="BT41" s="165"/>
      <c r="BU41" s="165"/>
      <c r="BV41" s="165"/>
      <c r="BW41" s="165"/>
      <c r="BX41" s="165"/>
      <c r="BY41" s="1452"/>
      <c r="BZ41" s="1452"/>
      <c r="CA41" s="1451"/>
      <c r="CB41" s="1451"/>
      <c r="CC41" s="1451"/>
      <c r="CD41" s="1451"/>
      <c r="CE41" s="1451"/>
      <c r="CF41" s="1451"/>
      <c r="CG41" s="1454"/>
      <c r="CH41" s="1454"/>
      <c r="CI41" s="1454"/>
      <c r="CJ41" s="1454"/>
      <c r="CK41" s="1454"/>
      <c r="CL41" s="1454"/>
      <c r="CM41" s="1454"/>
      <c r="CN41" s="1454"/>
    </row>
    <row r="42" spans="1:92" ht="16.149999999999999" customHeight="1" x14ac:dyDescent="0.25">
      <c r="A42" s="9975" t="s">
        <v>3310</v>
      </c>
      <c r="B42" s="9975" t="s">
        <v>3311</v>
      </c>
      <c r="C42" s="10189" t="s">
        <v>3312</v>
      </c>
      <c r="D42" s="10190"/>
      <c r="E42" s="8035">
        <f t="shared" si="5"/>
        <v>0</v>
      </c>
      <c r="F42" s="8026"/>
      <c r="G42" s="8026"/>
      <c r="H42" s="165"/>
      <c r="I42" s="290"/>
      <c r="J42" s="290"/>
      <c r="K42" s="290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  <c r="BR42" s="165"/>
      <c r="BS42" s="165"/>
      <c r="BT42" s="165"/>
      <c r="BU42" s="165"/>
      <c r="BV42" s="165"/>
      <c r="BW42" s="165"/>
      <c r="BX42" s="165"/>
      <c r="BY42" s="1452"/>
      <c r="BZ42" s="1452"/>
      <c r="CA42" s="1451"/>
      <c r="CB42" s="1451"/>
      <c r="CC42" s="1451"/>
      <c r="CD42" s="1451"/>
      <c r="CE42" s="1451"/>
      <c r="CF42" s="1451"/>
      <c r="CG42" s="1454"/>
      <c r="CH42" s="1454"/>
      <c r="CI42" s="1454"/>
      <c r="CJ42" s="1454"/>
      <c r="CK42" s="1454"/>
      <c r="CL42" s="1454"/>
      <c r="CM42" s="1454"/>
      <c r="CN42" s="1454"/>
    </row>
    <row r="43" spans="1:92" ht="33.6" customHeight="1" x14ac:dyDescent="0.25">
      <c r="A43" s="10068"/>
      <c r="B43" s="10068"/>
      <c r="C43" s="9948" t="s">
        <v>3313</v>
      </c>
      <c r="D43" s="8027" t="s">
        <v>3314</v>
      </c>
      <c r="E43" s="8036">
        <f t="shared" si="5"/>
        <v>0</v>
      </c>
      <c r="F43" s="8028"/>
      <c r="G43" s="8028"/>
      <c r="H43" s="165"/>
      <c r="I43" s="290"/>
      <c r="J43" s="290"/>
      <c r="K43" s="290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  <c r="BR43" s="165"/>
      <c r="BS43" s="165"/>
      <c r="BT43" s="165"/>
      <c r="BU43" s="165"/>
      <c r="BV43" s="165"/>
      <c r="BW43" s="165"/>
      <c r="BX43" s="165"/>
      <c r="BY43" s="1452"/>
      <c r="BZ43" s="1452"/>
      <c r="CA43" s="1451"/>
      <c r="CB43" s="1451"/>
      <c r="CC43" s="1451"/>
      <c r="CD43" s="1451"/>
      <c r="CE43" s="1451"/>
      <c r="CF43" s="1451"/>
      <c r="CG43" s="1454"/>
      <c r="CH43" s="1454"/>
      <c r="CI43" s="1454"/>
      <c r="CJ43" s="1454"/>
      <c r="CK43" s="1454"/>
      <c r="CL43" s="1454"/>
      <c r="CM43" s="1454"/>
      <c r="CN43" s="1454"/>
    </row>
    <row r="44" spans="1:92" ht="36.6" customHeight="1" x14ac:dyDescent="0.25">
      <c r="A44" s="10068"/>
      <c r="B44" s="10068"/>
      <c r="C44" s="10076"/>
      <c r="D44" s="8029" t="s">
        <v>3628</v>
      </c>
      <c r="E44" s="8036">
        <f t="shared" si="5"/>
        <v>0</v>
      </c>
      <c r="F44" s="8028"/>
      <c r="G44" s="8028"/>
      <c r="H44" s="165"/>
      <c r="I44" s="290"/>
      <c r="J44" s="290"/>
      <c r="K44" s="290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  <c r="BR44" s="165"/>
      <c r="BS44" s="165"/>
      <c r="BT44" s="165"/>
      <c r="BU44" s="165"/>
      <c r="BV44" s="165"/>
      <c r="BW44" s="165"/>
      <c r="BX44" s="165"/>
      <c r="BY44" s="1452"/>
      <c r="BZ44" s="1452"/>
      <c r="CA44" s="1451"/>
      <c r="CB44" s="1451"/>
      <c r="CC44" s="1451"/>
      <c r="CD44" s="1451"/>
      <c r="CE44" s="1451"/>
      <c r="CF44" s="1451"/>
      <c r="CG44" s="1454"/>
      <c r="CH44" s="1454"/>
      <c r="CI44" s="1454"/>
      <c r="CJ44" s="1454"/>
      <c r="CK44" s="1454"/>
      <c r="CL44" s="1454"/>
      <c r="CM44" s="1454"/>
      <c r="CN44" s="1454"/>
    </row>
    <row r="45" spans="1:92" ht="16.149999999999999" customHeight="1" x14ac:dyDescent="0.25">
      <c r="A45" s="10068"/>
      <c r="B45" s="10068"/>
      <c r="C45" s="10191" t="s">
        <v>3315</v>
      </c>
      <c r="D45" s="10192"/>
      <c r="E45" s="8034">
        <f>SUM(F45:G45)</f>
        <v>0</v>
      </c>
      <c r="F45" s="8025"/>
      <c r="G45" s="8025"/>
      <c r="H45" s="165"/>
      <c r="I45" s="290"/>
      <c r="J45" s="290"/>
      <c r="K45" s="290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  <c r="BR45" s="165"/>
      <c r="BS45" s="165"/>
      <c r="BT45" s="165"/>
      <c r="BU45" s="165"/>
      <c r="BV45" s="165"/>
      <c r="BW45" s="165"/>
      <c r="BX45" s="165"/>
      <c r="BY45" s="1452"/>
      <c r="BZ45" s="1452"/>
      <c r="CA45" s="1451"/>
      <c r="CB45" s="1451"/>
      <c r="CC45" s="1451"/>
      <c r="CD45" s="1451"/>
      <c r="CE45" s="1451"/>
      <c r="CF45" s="1451"/>
      <c r="CG45" s="1454"/>
      <c r="CH45" s="1454"/>
      <c r="CI45" s="1454"/>
      <c r="CJ45" s="1454"/>
      <c r="CK45" s="1454"/>
      <c r="CL45" s="1454"/>
      <c r="CM45" s="1454"/>
      <c r="CN45" s="1454"/>
    </row>
    <row r="46" spans="1:92" ht="16.149999999999999" customHeight="1" x14ac:dyDescent="0.25">
      <c r="A46" s="10068"/>
      <c r="B46" s="10068"/>
      <c r="C46" s="10193" t="s">
        <v>3316</v>
      </c>
      <c r="D46" s="10194"/>
      <c r="E46" s="8032">
        <f t="shared" si="5"/>
        <v>0</v>
      </c>
      <c r="F46" s="8023"/>
      <c r="G46" s="8023"/>
      <c r="H46" s="165"/>
      <c r="I46" s="290"/>
      <c r="J46" s="290"/>
      <c r="K46" s="290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  <c r="BR46" s="165"/>
      <c r="BS46" s="165"/>
      <c r="BT46" s="165"/>
      <c r="BU46" s="165"/>
      <c r="BV46" s="165"/>
      <c r="BW46" s="165"/>
      <c r="BX46" s="165"/>
      <c r="BY46" s="1452"/>
      <c r="BZ46" s="1452"/>
      <c r="CA46" s="1451"/>
      <c r="CB46" s="1451"/>
      <c r="CC46" s="1451"/>
      <c r="CD46" s="1451"/>
      <c r="CE46" s="1451"/>
      <c r="CF46" s="1451"/>
      <c r="CG46" s="1454"/>
      <c r="CH46" s="1454"/>
      <c r="CI46" s="1454"/>
      <c r="CJ46" s="1454"/>
      <c r="CK46" s="1454"/>
      <c r="CL46" s="1454"/>
      <c r="CM46" s="1454"/>
      <c r="CN46" s="1454"/>
    </row>
    <row r="47" spans="1:92" ht="16.149999999999999" customHeight="1" x14ac:dyDescent="0.25">
      <c r="A47" s="10068"/>
      <c r="B47" s="10068"/>
      <c r="C47" s="10193" t="s">
        <v>3317</v>
      </c>
      <c r="D47" s="10194"/>
      <c r="E47" s="8032">
        <f t="shared" si="5"/>
        <v>0</v>
      </c>
      <c r="F47" s="8023"/>
      <c r="G47" s="8023"/>
      <c r="H47" s="165"/>
      <c r="I47" s="290"/>
      <c r="J47" s="290"/>
      <c r="K47" s="290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  <c r="BR47" s="165"/>
      <c r="BS47" s="165"/>
      <c r="BT47" s="165"/>
      <c r="BU47" s="165"/>
      <c r="BV47" s="165"/>
      <c r="BW47" s="165"/>
      <c r="BX47" s="165"/>
      <c r="BY47" s="1452"/>
      <c r="BZ47" s="1452"/>
      <c r="CA47" s="1451"/>
      <c r="CB47" s="1451"/>
      <c r="CC47" s="1451"/>
      <c r="CD47" s="1451"/>
      <c r="CE47" s="1451"/>
      <c r="CF47" s="1451"/>
      <c r="CG47" s="1454"/>
      <c r="CH47" s="1454"/>
      <c r="CI47" s="1454"/>
      <c r="CJ47" s="1454"/>
      <c r="CK47" s="1454"/>
      <c r="CL47" s="1454"/>
      <c r="CM47" s="1454"/>
      <c r="CN47" s="1454"/>
    </row>
    <row r="48" spans="1:92" ht="16.149999999999999" customHeight="1" x14ac:dyDescent="0.25">
      <c r="A48" s="10069"/>
      <c r="B48" s="10069"/>
      <c r="C48" s="10189" t="s">
        <v>3318</v>
      </c>
      <c r="D48" s="10190"/>
      <c r="E48" s="8033">
        <f t="shared" si="5"/>
        <v>0</v>
      </c>
      <c r="F48" s="8024"/>
      <c r="G48" s="8024"/>
      <c r="H48" s="165"/>
      <c r="I48" s="290"/>
      <c r="J48" s="290"/>
      <c r="K48" s="290"/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  <c r="BR48" s="165"/>
      <c r="BS48" s="165"/>
      <c r="BT48" s="165"/>
      <c r="BU48" s="165"/>
      <c r="BV48" s="165"/>
      <c r="BW48" s="165"/>
      <c r="BX48" s="165"/>
      <c r="BY48" s="1452"/>
      <c r="BZ48" s="1452"/>
      <c r="CA48" s="1451"/>
      <c r="CB48" s="1451"/>
      <c r="CC48" s="1451"/>
      <c r="CD48" s="1451"/>
      <c r="CE48" s="1451"/>
      <c r="CF48" s="1451"/>
      <c r="CG48" s="1454"/>
      <c r="CH48" s="1454"/>
      <c r="CI48" s="1454"/>
      <c r="CJ48" s="1454"/>
      <c r="CK48" s="1454"/>
      <c r="CL48" s="1454"/>
      <c r="CM48" s="1454"/>
      <c r="CN48" s="1454"/>
    </row>
    <row r="49" spans="1:92" ht="16.149999999999999" customHeight="1" x14ac:dyDescent="0.25">
      <c r="A49" s="10195" t="s">
        <v>3319</v>
      </c>
      <c r="B49" s="9409" t="s">
        <v>3320</v>
      </c>
      <c r="C49" s="9410"/>
      <c r="D49" s="9411"/>
      <c r="E49" s="8040">
        <f t="shared" si="5"/>
        <v>0</v>
      </c>
      <c r="F49" s="8041"/>
      <c r="G49" s="8041"/>
      <c r="H49" s="165"/>
      <c r="I49" s="290"/>
      <c r="J49" s="290"/>
      <c r="K49" s="290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  <c r="BR49" s="165"/>
      <c r="BS49" s="165"/>
      <c r="BT49" s="165"/>
      <c r="BU49" s="165"/>
      <c r="BV49" s="165"/>
      <c r="BW49" s="165"/>
      <c r="BX49" s="165"/>
      <c r="BY49" s="1452"/>
      <c r="BZ49" s="1452"/>
      <c r="CA49" s="1451"/>
      <c r="CB49" s="1451"/>
      <c r="CC49" s="1451"/>
      <c r="CD49" s="1451"/>
      <c r="CE49" s="1451"/>
      <c r="CF49" s="1451"/>
      <c r="CG49" s="1454"/>
      <c r="CH49" s="1454"/>
      <c r="CI49" s="1454"/>
      <c r="CJ49" s="1454"/>
      <c r="CK49" s="1454"/>
      <c r="CL49" s="1454"/>
      <c r="CM49" s="1454"/>
      <c r="CN49" s="1454"/>
    </row>
    <row r="50" spans="1:92" ht="16.149999999999999" customHeight="1" x14ac:dyDescent="0.25">
      <c r="A50" s="10182"/>
      <c r="B50" s="9412" t="s">
        <v>3321</v>
      </c>
      <c r="C50" s="9413"/>
      <c r="D50" s="9414"/>
      <c r="E50" s="8042">
        <f t="shared" si="5"/>
        <v>0</v>
      </c>
      <c r="F50" s="8043"/>
      <c r="G50" s="8043"/>
      <c r="H50" s="165"/>
      <c r="I50" s="290"/>
      <c r="J50" s="290"/>
      <c r="K50" s="290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  <c r="BR50" s="165"/>
      <c r="BS50" s="165"/>
      <c r="BT50" s="165"/>
      <c r="BU50" s="165"/>
      <c r="BV50" s="165"/>
      <c r="BW50" s="165"/>
      <c r="BX50" s="165"/>
      <c r="BY50" s="1452"/>
      <c r="BZ50" s="1452"/>
      <c r="CA50" s="1451"/>
      <c r="CB50" s="1451"/>
      <c r="CC50" s="1451"/>
      <c r="CD50" s="1451"/>
      <c r="CE50" s="1451"/>
      <c r="CF50" s="1451"/>
      <c r="CG50" s="1454"/>
      <c r="CH50" s="1454"/>
      <c r="CI50" s="1454"/>
      <c r="CJ50" s="1454"/>
      <c r="CK50" s="1454"/>
      <c r="CL50" s="1454"/>
      <c r="CM50" s="1454"/>
      <c r="CN50" s="1454"/>
    </row>
    <row r="51" spans="1:92" ht="16.149999999999999" customHeight="1" x14ac:dyDescent="0.25">
      <c r="A51" s="10182"/>
      <c r="B51" s="9412" t="s">
        <v>3322</v>
      </c>
      <c r="C51" s="9413"/>
      <c r="D51" s="9414"/>
      <c r="E51" s="8042">
        <f t="shared" si="5"/>
        <v>0</v>
      </c>
      <c r="F51" s="8043"/>
      <c r="G51" s="8043"/>
      <c r="H51" s="165"/>
      <c r="I51" s="290"/>
      <c r="J51" s="290"/>
      <c r="K51" s="290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  <c r="BR51" s="165"/>
      <c r="BS51" s="165"/>
      <c r="BT51" s="165"/>
      <c r="BU51" s="165"/>
      <c r="BV51" s="165"/>
      <c r="BW51" s="165"/>
      <c r="BX51" s="165"/>
      <c r="BY51" s="1452"/>
      <c r="BZ51" s="1452"/>
      <c r="CA51" s="1451"/>
      <c r="CB51" s="1451"/>
      <c r="CC51" s="1451"/>
      <c r="CD51" s="1451"/>
      <c r="CE51" s="1451"/>
      <c r="CF51" s="1451"/>
      <c r="CG51" s="1454"/>
      <c r="CH51" s="1454"/>
      <c r="CI51" s="1454"/>
      <c r="CJ51" s="1454"/>
      <c r="CK51" s="1454"/>
      <c r="CL51" s="1454"/>
      <c r="CM51" s="1454"/>
      <c r="CN51" s="1454"/>
    </row>
    <row r="52" spans="1:92" ht="16.149999999999999" customHeight="1" x14ac:dyDescent="0.25">
      <c r="A52" s="10024"/>
      <c r="B52" s="9397" t="s">
        <v>3323</v>
      </c>
      <c r="C52" s="9398"/>
      <c r="D52" s="9399"/>
      <c r="E52" s="8033">
        <f>SUM(F52:G52)</f>
        <v>0</v>
      </c>
      <c r="F52" s="8024"/>
      <c r="G52" s="8024"/>
      <c r="H52" s="165"/>
      <c r="I52" s="290"/>
      <c r="J52" s="290"/>
      <c r="K52" s="290"/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  <c r="BR52" s="165"/>
      <c r="BS52" s="165"/>
      <c r="BT52" s="165"/>
      <c r="BU52" s="165"/>
      <c r="BV52" s="165"/>
      <c r="BW52" s="165"/>
      <c r="BX52" s="165"/>
      <c r="BY52" s="1452"/>
      <c r="BZ52" s="1452"/>
      <c r="CA52" s="1451"/>
      <c r="CB52" s="1451"/>
      <c r="CC52" s="1451"/>
      <c r="CD52" s="1451"/>
      <c r="CE52" s="1451"/>
      <c r="CF52" s="1451"/>
      <c r="CG52" s="1454"/>
      <c r="CH52" s="1454"/>
      <c r="CI52" s="1454"/>
      <c r="CJ52" s="1454"/>
      <c r="CK52" s="1454"/>
      <c r="CL52" s="1454"/>
      <c r="CM52" s="1454"/>
      <c r="CN52" s="1454"/>
    </row>
    <row r="53" spans="1:92" ht="16.149999999999999" customHeight="1" x14ac:dyDescent="0.25">
      <c r="A53" s="10182" t="s">
        <v>3324</v>
      </c>
      <c r="B53" s="10183" t="s">
        <v>3325</v>
      </c>
      <c r="C53" s="10184"/>
      <c r="D53" s="10185"/>
      <c r="E53" s="8038">
        <f t="shared" si="5"/>
        <v>0</v>
      </c>
      <c r="F53" s="8039"/>
      <c r="G53" s="8039"/>
      <c r="H53" s="165"/>
      <c r="I53" s="290"/>
      <c r="J53" s="290"/>
      <c r="K53" s="290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  <c r="BR53" s="165"/>
      <c r="BS53" s="165"/>
      <c r="BT53" s="165"/>
      <c r="BU53" s="165"/>
      <c r="BV53" s="165"/>
      <c r="BW53" s="165"/>
      <c r="BX53" s="165"/>
      <c r="BY53" s="1452"/>
      <c r="BZ53" s="1452"/>
      <c r="CA53" s="1451"/>
      <c r="CB53" s="1451"/>
      <c r="CC53" s="1451"/>
      <c r="CD53" s="1451"/>
      <c r="CE53" s="1451"/>
      <c r="CF53" s="1451"/>
      <c r="CG53" s="1454"/>
      <c r="CH53" s="1454"/>
      <c r="CI53" s="1454"/>
      <c r="CJ53" s="1454"/>
      <c r="CK53" s="1454"/>
      <c r="CL53" s="1454"/>
      <c r="CM53" s="1454"/>
      <c r="CN53" s="1454"/>
    </row>
    <row r="54" spans="1:92" ht="16.149999999999999" customHeight="1" x14ac:dyDescent="0.25">
      <c r="A54" s="10076"/>
      <c r="B54" s="9397" t="s">
        <v>3326</v>
      </c>
      <c r="C54" s="10186"/>
      <c r="D54" s="10187"/>
      <c r="E54" s="8033">
        <f t="shared" si="5"/>
        <v>0</v>
      </c>
      <c r="F54" s="8024"/>
      <c r="G54" s="8024"/>
      <c r="H54" s="165"/>
      <c r="I54" s="290"/>
      <c r="J54" s="290"/>
      <c r="K54" s="290"/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  <c r="BR54" s="165"/>
      <c r="BS54" s="165"/>
      <c r="BT54" s="165"/>
      <c r="BU54" s="165"/>
      <c r="BV54" s="165"/>
      <c r="BW54" s="165"/>
      <c r="BX54" s="165"/>
      <c r="BY54" s="1452"/>
      <c r="BZ54" s="1452"/>
      <c r="CA54" s="1451"/>
      <c r="CB54" s="1451"/>
      <c r="CC54" s="1451"/>
      <c r="CD54" s="1451"/>
      <c r="CE54" s="1451"/>
      <c r="CF54" s="1451"/>
      <c r="CG54" s="1454"/>
      <c r="CH54" s="1454"/>
      <c r="CI54" s="1454"/>
      <c r="CJ54" s="1454"/>
      <c r="CK54" s="1454"/>
      <c r="CL54" s="1454"/>
      <c r="CM54" s="1454"/>
      <c r="CN54" s="1454"/>
    </row>
    <row r="55" spans="1:92" ht="16.149999999999999" customHeight="1" x14ac:dyDescent="0.25">
      <c r="A55" s="9948" t="s">
        <v>3327</v>
      </c>
      <c r="B55" s="9409" t="s">
        <v>3328</v>
      </c>
      <c r="C55" s="9410"/>
      <c r="D55" s="9411"/>
      <c r="E55" s="8034">
        <f t="shared" si="5"/>
        <v>0</v>
      </c>
      <c r="F55" s="8025"/>
      <c r="G55" s="8025"/>
      <c r="H55" s="165"/>
      <c r="I55" s="290"/>
      <c r="J55" s="290"/>
      <c r="K55" s="290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  <c r="BR55" s="165"/>
      <c r="BS55" s="165"/>
      <c r="BT55" s="165"/>
      <c r="BU55" s="165"/>
      <c r="BV55" s="165"/>
      <c r="BW55" s="165"/>
      <c r="BX55" s="165"/>
      <c r="BY55" s="1452"/>
      <c r="BZ55" s="1452"/>
      <c r="CA55" s="1451"/>
      <c r="CB55" s="1451"/>
      <c r="CC55" s="1451"/>
      <c r="CD55" s="1451"/>
      <c r="CE55" s="1451"/>
      <c r="CF55" s="1451"/>
      <c r="CG55" s="1454"/>
      <c r="CH55" s="1454"/>
      <c r="CI55" s="1454"/>
      <c r="CJ55" s="1454"/>
      <c r="CK55" s="1454"/>
      <c r="CL55" s="1454"/>
      <c r="CM55" s="1454"/>
      <c r="CN55" s="1454"/>
    </row>
    <row r="56" spans="1:92" ht="16.149999999999999" customHeight="1" x14ac:dyDescent="0.25">
      <c r="A56" s="10188"/>
      <c r="B56" s="9386" t="s">
        <v>3329</v>
      </c>
      <c r="C56" s="9387"/>
      <c r="D56" s="9388"/>
      <c r="E56" s="8032">
        <f t="shared" si="5"/>
        <v>0</v>
      </c>
      <c r="F56" s="8023"/>
      <c r="G56" s="8023"/>
      <c r="H56" s="165"/>
      <c r="I56" s="290"/>
      <c r="J56" s="290"/>
      <c r="K56" s="290"/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  <c r="BR56" s="165"/>
      <c r="BS56" s="165"/>
      <c r="BT56" s="165"/>
      <c r="BU56" s="165"/>
      <c r="BV56" s="165"/>
      <c r="BW56" s="165"/>
      <c r="BX56" s="165"/>
      <c r="BY56" s="1452"/>
      <c r="BZ56" s="1452"/>
      <c r="CA56" s="1451"/>
      <c r="CB56" s="1451"/>
      <c r="CC56" s="1451"/>
      <c r="CD56" s="1451"/>
      <c r="CE56" s="1451"/>
      <c r="CF56" s="1451"/>
      <c r="CG56" s="1454"/>
      <c r="CH56" s="1454"/>
      <c r="CI56" s="1454"/>
      <c r="CJ56" s="1454"/>
      <c r="CK56" s="1454"/>
      <c r="CL56" s="1454"/>
      <c r="CM56" s="1454"/>
      <c r="CN56" s="1454"/>
    </row>
    <row r="57" spans="1:92" ht="16.149999999999999" customHeight="1" x14ac:dyDescent="0.25">
      <c r="A57" s="10188"/>
      <c r="B57" s="9386" t="s">
        <v>3330</v>
      </c>
      <c r="C57" s="9387"/>
      <c r="D57" s="9388"/>
      <c r="E57" s="8032">
        <f>SUM(F57:G57)</f>
        <v>0</v>
      </c>
      <c r="F57" s="8023"/>
      <c r="G57" s="8023"/>
      <c r="H57" s="165"/>
      <c r="I57" s="290"/>
      <c r="J57" s="290"/>
      <c r="K57" s="290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  <c r="BR57" s="165"/>
      <c r="BS57" s="165"/>
      <c r="BT57" s="165"/>
      <c r="BU57" s="165"/>
      <c r="BV57" s="165"/>
      <c r="BW57" s="165"/>
      <c r="BX57" s="165"/>
      <c r="BY57" s="1452"/>
      <c r="BZ57" s="1452"/>
      <c r="CA57" s="1451"/>
      <c r="CB57" s="1451"/>
      <c r="CC57" s="1451"/>
      <c r="CD57" s="1451"/>
      <c r="CE57" s="1451"/>
      <c r="CF57" s="1451"/>
      <c r="CG57" s="1454"/>
      <c r="CH57" s="1454"/>
      <c r="CI57" s="1454"/>
      <c r="CJ57" s="1454"/>
      <c r="CK57" s="1454"/>
      <c r="CL57" s="1454"/>
      <c r="CM57" s="1454"/>
      <c r="CN57" s="1454"/>
    </row>
    <row r="58" spans="1:92" ht="16.149999999999999" customHeight="1" x14ac:dyDescent="0.25">
      <c r="A58" s="10188"/>
      <c r="B58" s="9386" t="s">
        <v>3331</v>
      </c>
      <c r="C58" s="9387"/>
      <c r="D58" s="9388"/>
      <c r="E58" s="8032">
        <f t="shared" si="5"/>
        <v>0</v>
      </c>
      <c r="F58" s="8023"/>
      <c r="G58" s="8023"/>
      <c r="H58" s="165"/>
      <c r="I58" s="290"/>
      <c r="J58" s="290"/>
      <c r="K58" s="290"/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  <c r="BR58" s="165"/>
      <c r="BS58" s="165"/>
      <c r="BT58" s="165"/>
      <c r="BU58" s="165"/>
      <c r="BV58" s="165"/>
      <c r="BW58" s="165"/>
      <c r="BX58" s="165"/>
      <c r="BY58" s="1452"/>
      <c r="BZ58" s="1452"/>
      <c r="CA58" s="1451"/>
      <c r="CB58" s="1451"/>
      <c r="CC58" s="1451"/>
      <c r="CD58" s="1451"/>
      <c r="CE58" s="1451"/>
      <c r="CF58" s="1451"/>
      <c r="CG58" s="1454"/>
      <c r="CH58" s="1454"/>
      <c r="CI58" s="1454"/>
      <c r="CJ58" s="1454"/>
      <c r="CK58" s="1454"/>
      <c r="CL58" s="1454"/>
      <c r="CM58" s="1454"/>
      <c r="CN58" s="1454"/>
    </row>
    <row r="59" spans="1:92" ht="16.149999999999999" customHeight="1" x14ac:dyDescent="0.25">
      <c r="A59" s="10188"/>
      <c r="B59" s="9386" t="s">
        <v>3332</v>
      </c>
      <c r="C59" s="9387"/>
      <c r="D59" s="9388"/>
      <c r="E59" s="8032">
        <f t="shared" si="5"/>
        <v>0</v>
      </c>
      <c r="F59" s="8023"/>
      <c r="G59" s="8023"/>
      <c r="H59" s="165"/>
      <c r="I59" s="290"/>
      <c r="J59" s="290"/>
      <c r="K59" s="290"/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  <c r="BR59" s="165"/>
      <c r="BS59" s="165"/>
      <c r="BT59" s="165"/>
      <c r="BU59" s="165"/>
      <c r="BV59" s="165"/>
      <c r="BW59" s="165"/>
      <c r="BX59" s="165"/>
      <c r="BY59" s="1452"/>
      <c r="BZ59" s="1452"/>
      <c r="CA59" s="1451"/>
      <c r="CB59" s="1451"/>
      <c r="CC59" s="1451"/>
      <c r="CD59" s="1451"/>
      <c r="CE59" s="1451"/>
      <c r="CF59" s="1451"/>
      <c r="CG59" s="1454"/>
      <c r="CH59" s="1454"/>
      <c r="CI59" s="1454"/>
      <c r="CJ59" s="1454"/>
      <c r="CK59" s="1454"/>
      <c r="CL59" s="1454"/>
      <c r="CM59" s="1454"/>
      <c r="CN59" s="1454"/>
    </row>
    <row r="60" spans="1:92" ht="16.149999999999999" customHeight="1" x14ac:dyDescent="0.25">
      <c r="A60" s="10076"/>
      <c r="B60" s="10083" t="s">
        <v>3333</v>
      </c>
      <c r="C60" s="10084"/>
      <c r="D60" s="10085"/>
      <c r="E60" s="8033">
        <f t="shared" si="5"/>
        <v>0</v>
      </c>
      <c r="F60" s="8024"/>
      <c r="G60" s="8024"/>
      <c r="H60" s="165"/>
      <c r="I60" s="290"/>
      <c r="J60" s="290"/>
      <c r="K60" s="290"/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  <c r="BR60" s="165"/>
      <c r="BS60" s="165"/>
      <c r="BT60" s="165"/>
      <c r="BU60" s="165"/>
      <c r="BV60" s="165"/>
      <c r="BW60" s="165"/>
      <c r="BX60" s="165"/>
      <c r="BY60" s="1452"/>
      <c r="BZ60" s="1452"/>
      <c r="CA60" s="1451"/>
      <c r="CB60" s="1451"/>
      <c r="CC60" s="1451"/>
      <c r="CD60" s="1451"/>
      <c r="CE60" s="1451"/>
      <c r="CF60" s="1451"/>
      <c r="CG60" s="1454"/>
      <c r="CH60" s="1454"/>
      <c r="CI60" s="1454"/>
      <c r="CJ60" s="1454"/>
      <c r="CK60" s="1454"/>
      <c r="CL60" s="1454"/>
      <c r="CM60" s="1454"/>
      <c r="CN60" s="1454"/>
    </row>
    <row r="61" spans="1:92" ht="16.149999999999999" customHeight="1" x14ac:dyDescent="0.25">
      <c r="A61" s="8021" t="s">
        <v>3334</v>
      </c>
      <c r="B61" s="10065" t="s">
        <v>3335</v>
      </c>
      <c r="C61" s="10066"/>
      <c r="D61" s="10067"/>
      <c r="E61" s="8037">
        <f t="shared" si="5"/>
        <v>0</v>
      </c>
      <c r="F61" s="8030"/>
      <c r="G61" s="8030"/>
      <c r="H61" s="165"/>
      <c r="I61" s="290"/>
      <c r="J61" s="290"/>
      <c r="K61" s="290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  <c r="BR61" s="165"/>
      <c r="BS61" s="165"/>
      <c r="BT61" s="165"/>
      <c r="BU61" s="165"/>
      <c r="BV61" s="165"/>
      <c r="BW61" s="165"/>
      <c r="BX61" s="165"/>
      <c r="BY61" s="1452"/>
      <c r="BZ61" s="1452"/>
      <c r="CA61" s="1451"/>
      <c r="CB61" s="1451"/>
      <c r="CC61" s="1451"/>
      <c r="CD61" s="1451"/>
      <c r="CE61" s="1451"/>
      <c r="CF61" s="1451"/>
      <c r="CG61" s="1454"/>
      <c r="CH61" s="1454"/>
      <c r="CI61" s="1454"/>
      <c r="CJ61" s="1454"/>
      <c r="CK61" s="1454"/>
      <c r="CL61" s="1454"/>
      <c r="CM61" s="1454"/>
      <c r="CN61" s="1454"/>
    </row>
    <row r="62" spans="1:92" ht="31.9" customHeight="1" x14ac:dyDescent="0.25">
      <c r="A62" s="10051" t="s">
        <v>3998</v>
      </c>
      <c r="B62" s="10051"/>
      <c r="C62" s="10051"/>
      <c r="D62" s="10051"/>
      <c r="E62" s="10051"/>
      <c r="F62" s="10051"/>
      <c r="G62" s="10051"/>
      <c r="H62" s="10051"/>
      <c r="I62" s="288"/>
      <c r="J62" s="288"/>
      <c r="K62" s="1193"/>
      <c r="L62" s="140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  <c r="BR62" s="165"/>
      <c r="BS62" s="165"/>
      <c r="BT62" s="165"/>
      <c r="BU62" s="165"/>
      <c r="BV62" s="165"/>
      <c r="BW62" s="165"/>
      <c r="BX62" s="165"/>
      <c r="BY62" s="1452"/>
      <c r="BZ62" s="1452"/>
      <c r="CA62" s="1451"/>
      <c r="CB62" s="1451"/>
      <c r="CC62" s="1451"/>
      <c r="CD62" s="1451"/>
      <c r="CE62" s="1451"/>
      <c r="CF62" s="1451"/>
      <c r="CG62" s="1454"/>
      <c r="CH62" s="1454"/>
      <c r="CI62" s="1454"/>
      <c r="CJ62" s="1454"/>
      <c r="CK62" s="1454"/>
      <c r="CL62" s="1454"/>
      <c r="CM62" s="1454"/>
      <c r="CN62" s="1454"/>
    </row>
    <row r="63" spans="1:92" ht="16.149999999999999" customHeight="1" x14ac:dyDescent="0.25">
      <c r="A63" s="8213" t="s">
        <v>1991</v>
      </c>
      <c r="B63" s="10057" t="s">
        <v>24</v>
      </c>
      <c r="C63" s="140"/>
      <c r="D63" s="165"/>
      <c r="E63" s="165"/>
      <c r="F63" s="165"/>
      <c r="G63" s="165"/>
      <c r="H63" s="165"/>
      <c r="I63" s="290"/>
      <c r="J63" s="290"/>
      <c r="K63" s="290"/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  <c r="BR63" s="165"/>
      <c r="BS63" s="165"/>
      <c r="BT63" s="165"/>
      <c r="BU63" s="165"/>
      <c r="BV63" s="165"/>
      <c r="BW63" s="165"/>
      <c r="BX63" s="165"/>
      <c r="BY63" s="1452"/>
      <c r="BZ63" s="1452"/>
      <c r="CA63" s="1451"/>
      <c r="CB63" s="1451"/>
      <c r="CC63" s="1451"/>
      <c r="CD63" s="1451"/>
      <c r="CE63" s="1451"/>
      <c r="CF63" s="1451"/>
      <c r="CG63" s="1454"/>
      <c r="CH63" s="1454"/>
      <c r="CI63" s="1454"/>
      <c r="CJ63" s="1454"/>
      <c r="CK63" s="1454"/>
      <c r="CL63" s="1454"/>
      <c r="CM63" s="1454"/>
      <c r="CN63" s="1454"/>
    </row>
    <row r="64" spans="1:92" ht="16.149999999999999" customHeight="1" x14ac:dyDescent="0.25">
      <c r="A64" s="10056"/>
      <c r="B64" s="10058"/>
      <c r="C64" s="204"/>
      <c r="D64" s="140"/>
      <c r="E64" s="165"/>
      <c r="F64" s="165"/>
      <c r="G64" s="165"/>
      <c r="H64" s="165"/>
      <c r="I64" s="290"/>
      <c r="J64" s="290"/>
      <c r="K64" s="290"/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  <c r="BR64" s="165"/>
      <c r="BS64" s="165"/>
      <c r="BT64" s="165"/>
      <c r="BU64" s="165"/>
      <c r="BV64" s="165"/>
      <c r="BW64" s="165"/>
      <c r="BX64" s="165"/>
      <c r="BY64" s="1452"/>
      <c r="BZ64" s="1452"/>
      <c r="CA64" s="1451"/>
      <c r="CB64" s="1451"/>
      <c r="CC64" s="1451"/>
      <c r="CD64" s="1451"/>
      <c r="CE64" s="1451"/>
      <c r="CF64" s="1451"/>
      <c r="CG64" s="1454"/>
      <c r="CH64" s="1454"/>
      <c r="CI64" s="1454"/>
      <c r="CJ64" s="1454"/>
      <c r="CK64" s="1454"/>
      <c r="CL64" s="1454"/>
      <c r="CM64" s="1454"/>
      <c r="CN64" s="1454"/>
    </row>
    <row r="65" spans="1:92" ht="16.149999999999999" customHeight="1" x14ac:dyDescent="0.25">
      <c r="A65" s="1233" t="s">
        <v>1992</v>
      </c>
      <c r="B65" s="690"/>
      <c r="C65" s="1247"/>
      <c r="D65" s="140"/>
      <c r="E65" s="165"/>
      <c r="F65" s="165"/>
      <c r="G65" s="165"/>
      <c r="H65" s="165"/>
      <c r="I65" s="290"/>
      <c r="J65" s="290"/>
      <c r="K65" s="290"/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  <c r="BR65" s="165"/>
      <c r="BS65" s="165"/>
      <c r="BT65" s="165"/>
      <c r="BU65" s="165"/>
      <c r="BV65" s="165"/>
      <c r="BW65" s="165"/>
      <c r="BX65" s="165"/>
      <c r="BY65" s="1452"/>
      <c r="BZ65" s="1452"/>
      <c r="CA65" s="1451"/>
      <c r="CB65" s="1451"/>
      <c r="CC65" s="1451"/>
      <c r="CD65" s="1451"/>
      <c r="CE65" s="1451"/>
      <c r="CF65" s="1451"/>
      <c r="CG65" s="1454"/>
      <c r="CH65" s="1454"/>
      <c r="CI65" s="1454"/>
      <c r="CJ65" s="1454"/>
      <c r="CK65" s="1454"/>
      <c r="CL65" s="1454"/>
      <c r="CM65" s="1454"/>
      <c r="CN65" s="1454"/>
    </row>
    <row r="66" spans="1:92" ht="16.149999999999999" customHeight="1" x14ac:dyDescent="0.25">
      <c r="A66" s="2138" t="s">
        <v>1993</v>
      </c>
      <c r="B66" s="86"/>
      <c r="C66" s="1247"/>
      <c r="D66" s="140"/>
      <c r="E66" s="165"/>
      <c r="F66" s="165"/>
      <c r="G66" s="165"/>
      <c r="H66" s="165"/>
      <c r="I66" s="290"/>
      <c r="J66" s="290"/>
      <c r="K66" s="290"/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  <c r="BR66" s="165"/>
      <c r="BS66" s="165"/>
      <c r="BT66" s="165"/>
      <c r="BU66" s="165"/>
      <c r="BV66" s="165"/>
      <c r="BW66" s="165"/>
      <c r="BX66" s="165"/>
      <c r="BY66" s="1452"/>
      <c r="BZ66" s="1452"/>
      <c r="CA66" s="1451"/>
      <c r="CB66" s="1451"/>
      <c r="CC66" s="1451"/>
      <c r="CD66" s="1451"/>
      <c r="CE66" s="1451"/>
      <c r="CF66" s="1451"/>
      <c r="CG66" s="1454"/>
      <c r="CH66" s="1454"/>
      <c r="CI66" s="1454"/>
      <c r="CJ66" s="1454"/>
      <c r="CK66" s="1454"/>
      <c r="CL66" s="1454"/>
      <c r="CM66" s="1454"/>
      <c r="CN66" s="1454"/>
    </row>
    <row r="67" spans="1:92" ht="16.149999999999999" customHeight="1" x14ac:dyDescent="0.25">
      <c r="A67" s="2155" t="s">
        <v>24</v>
      </c>
      <c r="B67" s="1248">
        <f>SUM(B65+B66)</f>
        <v>0</v>
      </c>
      <c r="C67" s="1249"/>
      <c r="D67" s="140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  <c r="BR67" s="165"/>
      <c r="BS67" s="165"/>
      <c r="BT67" s="165"/>
      <c r="BU67" s="165"/>
      <c r="BV67" s="165"/>
      <c r="BW67" s="165"/>
      <c r="BX67" s="165"/>
      <c r="BY67" s="1452"/>
      <c r="BZ67" s="1452"/>
      <c r="CA67" s="1451"/>
      <c r="CB67" s="1451"/>
      <c r="CC67" s="1451"/>
      <c r="CD67" s="1451"/>
      <c r="CE67" s="1451"/>
      <c r="CF67" s="1451"/>
      <c r="CG67" s="1454"/>
      <c r="CH67" s="1454"/>
      <c r="CI67" s="1454"/>
      <c r="CJ67" s="1454"/>
      <c r="CK67" s="1454"/>
      <c r="CL67" s="1454"/>
      <c r="CM67" s="1454"/>
      <c r="CN67" s="1454"/>
    </row>
    <row r="68" spans="1:92" ht="31.9" customHeight="1" x14ac:dyDescent="0.25">
      <c r="A68" s="133" t="s">
        <v>1994</v>
      </c>
      <c r="B68" s="133"/>
      <c r="C68" s="133"/>
      <c r="D68" s="140"/>
      <c r="E68" s="165"/>
      <c r="F68" s="165"/>
      <c r="G68" s="165"/>
      <c r="H68" s="165"/>
      <c r="I68" s="165"/>
      <c r="J68" s="165"/>
      <c r="K68" s="165"/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  <c r="BR68" s="165"/>
      <c r="BS68" s="165"/>
      <c r="BT68" s="165"/>
      <c r="BU68" s="165"/>
      <c r="BV68" s="165"/>
      <c r="BW68" s="165"/>
      <c r="BX68" s="165"/>
      <c r="BY68" s="1452"/>
      <c r="BZ68" s="1452"/>
      <c r="CA68" s="1451"/>
      <c r="CB68" s="1451"/>
      <c r="CC68" s="1451"/>
      <c r="CD68" s="1451"/>
      <c r="CE68" s="1451"/>
      <c r="CF68" s="1451"/>
      <c r="CG68" s="1454"/>
      <c r="CH68" s="1454"/>
      <c r="CI68" s="1454"/>
      <c r="CJ68" s="1454"/>
      <c r="CK68" s="1454"/>
      <c r="CL68" s="1454"/>
      <c r="CM68" s="1454"/>
      <c r="CN68" s="1454"/>
    </row>
    <row r="69" spans="1:92" ht="16.149999999999999" customHeight="1" x14ac:dyDescent="0.25">
      <c r="A69" s="8208" t="s">
        <v>1995</v>
      </c>
      <c r="B69" s="9536" t="s">
        <v>1981</v>
      </c>
      <c r="C69" s="8208" t="s">
        <v>24</v>
      </c>
      <c r="D69" s="140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  <c r="BR69" s="165"/>
      <c r="BS69" s="165"/>
      <c r="BT69" s="165"/>
      <c r="BU69" s="165"/>
      <c r="BV69" s="165"/>
      <c r="BW69" s="165"/>
      <c r="BX69" s="165"/>
      <c r="BY69" s="1452"/>
      <c r="BZ69" s="1452"/>
      <c r="CA69" s="1451"/>
      <c r="CB69" s="1451"/>
      <c r="CC69" s="1451"/>
      <c r="CD69" s="1451"/>
      <c r="CE69" s="1451"/>
      <c r="CF69" s="1451"/>
      <c r="CG69" s="1454"/>
      <c r="CH69" s="1454"/>
      <c r="CI69" s="1454"/>
      <c r="CJ69" s="1454"/>
      <c r="CK69" s="1454"/>
      <c r="CL69" s="1454"/>
      <c r="CM69" s="1454"/>
      <c r="CN69" s="1454"/>
    </row>
    <row r="70" spans="1:92" ht="16.149999999999999" customHeight="1" x14ac:dyDescent="0.25">
      <c r="A70" s="9607"/>
      <c r="B70" s="8152"/>
      <c r="C70" s="9607"/>
      <c r="D70" s="140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  <c r="BR70" s="165"/>
      <c r="BS70" s="165"/>
      <c r="BT70" s="165"/>
      <c r="BU70" s="165"/>
      <c r="BV70" s="165"/>
      <c r="BW70" s="165"/>
      <c r="BX70" s="165"/>
      <c r="BY70" s="1452"/>
      <c r="BZ70" s="1452"/>
      <c r="CA70" s="1451"/>
      <c r="CB70" s="1451"/>
      <c r="CC70" s="1451"/>
      <c r="CD70" s="1451"/>
      <c r="CE70" s="1451"/>
      <c r="CF70" s="1451"/>
      <c r="CG70" s="1454"/>
      <c r="CH70" s="1454"/>
      <c r="CI70" s="1454"/>
      <c r="CJ70" s="1454"/>
      <c r="CK70" s="1454"/>
      <c r="CL70" s="1454"/>
      <c r="CM70" s="1454"/>
      <c r="CN70" s="1454"/>
    </row>
    <row r="71" spans="1:92" ht="16.149999999999999" customHeight="1" x14ac:dyDescent="0.25">
      <c r="A71" s="8208" t="s">
        <v>1996</v>
      </c>
      <c r="B71" s="1098" t="s">
        <v>1997</v>
      </c>
      <c r="C71" s="690"/>
      <c r="D71" s="140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  <c r="BR71" s="165"/>
      <c r="BS71" s="165"/>
      <c r="BT71" s="165"/>
      <c r="BU71" s="165"/>
      <c r="BV71" s="165"/>
      <c r="BW71" s="165"/>
      <c r="BX71" s="165"/>
      <c r="BY71" s="1452"/>
      <c r="BZ71" s="1452"/>
      <c r="CA71" s="1451"/>
      <c r="CB71" s="1451"/>
      <c r="CC71" s="1451"/>
      <c r="CD71" s="1451"/>
      <c r="CE71" s="1451"/>
      <c r="CF71" s="1451"/>
      <c r="CG71" s="1454"/>
      <c r="CH71" s="1454"/>
      <c r="CI71" s="1454"/>
      <c r="CJ71" s="1454"/>
      <c r="CK71" s="1454"/>
      <c r="CL71" s="1454"/>
      <c r="CM71" s="1454"/>
      <c r="CN71" s="1454"/>
    </row>
    <row r="72" spans="1:92" ht="16.149999999999999" customHeight="1" x14ac:dyDescent="0.25">
      <c r="A72" s="8274"/>
      <c r="B72" s="566" t="s">
        <v>1998</v>
      </c>
      <c r="C72" s="1192"/>
      <c r="D72" s="140"/>
      <c r="E72" s="165"/>
      <c r="F72" s="165"/>
      <c r="G72" s="165"/>
      <c r="H72" s="165"/>
      <c r="I72" s="165"/>
      <c r="J72" s="165"/>
      <c r="K72" s="165"/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  <c r="BR72" s="165"/>
      <c r="BS72" s="165"/>
      <c r="BT72" s="165"/>
      <c r="BU72" s="165"/>
      <c r="BV72" s="165"/>
      <c r="BW72" s="165"/>
      <c r="BX72" s="165"/>
      <c r="BY72" s="1452"/>
      <c r="BZ72" s="1452"/>
      <c r="CA72" s="1451"/>
      <c r="CB72" s="1451"/>
      <c r="CC72" s="1451"/>
      <c r="CD72" s="1451"/>
      <c r="CE72" s="1451"/>
      <c r="CF72" s="1451"/>
      <c r="CG72" s="1454"/>
      <c r="CH72" s="1454"/>
      <c r="CI72" s="1454"/>
      <c r="CJ72" s="1454"/>
      <c r="CK72" s="1454"/>
      <c r="CL72" s="1454"/>
      <c r="CM72" s="1454"/>
      <c r="CN72" s="1454"/>
    </row>
    <row r="73" spans="1:92" ht="16.149999999999999" customHeight="1" x14ac:dyDescent="0.25">
      <c r="A73" s="8460"/>
      <c r="B73" s="2140" t="s">
        <v>3999</v>
      </c>
      <c r="C73" s="3213"/>
      <c r="D73" s="140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  <c r="BR73" s="165"/>
      <c r="BS73" s="165"/>
      <c r="BT73" s="165"/>
      <c r="BU73" s="165"/>
      <c r="BV73" s="165"/>
      <c r="BW73" s="165"/>
      <c r="BX73" s="165"/>
      <c r="BY73" s="1452"/>
      <c r="BZ73" s="1452"/>
      <c r="CA73" s="1451"/>
      <c r="CB73" s="1451"/>
      <c r="CC73" s="1451"/>
      <c r="CD73" s="1451"/>
      <c r="CE73" s="1451"/>
      <c r="CF73" s="1451"/>
      <c r="CG73" s="1454"/>
      <c r="CH73" s="1454"/>
      <c r="CI73" s="1454"/>
      <c r="CJ73" s="1454"/>
      <c r="CK73" s="1454"/>
      <c r="CL73" s="1454"/>
      <c r="CM73" s="1454"/>
      <c r="CN73" s="1454"/>
    </row>
    <row r="74" spans="1:92" ht="16.149999999999999" customHeight="1" x14ac:dyDescent="0.25">
      <c r="A74" s="8460"/>
      <c r="B74" s="2140" t="s">
        <v>2037</v>
      </c>
      <c r="C74" s="3213"/>
      <c r="D74" s="140"/>
      <c r="E74" s="165"/>
      <c r="F74" s="165"/>
      <c r="G74" s="165"/>
      <c r="H74" s="165"/>
      <c r="I74" s="165"/>
      <c r="J74" s="165"/>
      <c r="K74" s="165"/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  <c r="BR74" s="165"/>
      <c r="BS74" s="165"/>
      <c r="BT74" s="165"/>
      <c r="BU74" s="165"/>
      <c r="BV74" s="165"/>
      <c r="BW74" s="165"/>
      <c r="BX74" s="165"/>
      <c r="BY74" s="1452"/>
      <c r="BZ74" s="1452"/>
      <c r="CA74" s="1451"/>
      <c r="CB74" s="1451"/>
      <c r="CC74" s="1451"/>
      <c r="CD74" s="1451"/>
      <c r="CE74" s="1451"/>
      <c r="CF74" s="1451"/>
      <c r="CG74" s="1454"/>
      <c r="CH74" s="1454"/>
      <c r="CI74" s="1454"/>
      <c r="CJ74" s="1454"/>
      <c r="CK74" s="1454"/>
      <c r="CL74" s="1454"/>
      <c r="CM74" s="1454"/>
      <c r="CN74" s="1454"/>
    </row>
    <row r="75" spans="1:92" ht="16.149999999999999" customHeight="1" x14ac:dyDescent="0.25">
      <c r="A75" s="9607"/>
      <c r="B75" s="7939"/>
      <c r="C75" s="7940"/>
      <c r="D75" s="140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  <c r="BR75" s="165"/>
      <c r="BS75" s="165"/>
      <c r="BT75" s="165"/>
      <c r="BU75" s="165"/>
      <c r="BV75" s="165"/>
      <c r="BW75" s="165"/>
      <c r="BX75" s="165"/>
      <c r="BY75" s="1452"/>
      <c r="BZ75" s="1452"/>
      <c r="CA75" s="1451"/>
      <c r="CB75" s="1451"/>
      <c r="CC75" s="1451"/>
      <c r="CD75" s="1451"/>
      <c r="CE75" s="1451"/>
      <c r="CF75" s="1451"/>
      <c r="CG75" s="1454"/>
      <c r="CH75" s="1454"/>
      <c r="CI75" s="1454"/>
      <c r="CJ75" s="1454"/>
      <c r="CK75" s="1454"/>
      <c r="CL75" s="1454"/>
      <c r="CM75" s="1454"/>
      <c r="CN75" s="1454"/>
    </row>
    <row r="76" spans="1:92" ht="16.149999999999999" customHeight="1" x14ac:dyDescent="0.25">
      <c r="A76" s="8208" t="s">
        <v>1999</v>
      </c>
      <c r="B76" s="1098" t="s">
        <v>2000</v>
      </c>
      <c r="C76" s="690"/>
      <c r="D76" s="140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5"/>
      <c r="BJ76" s="165"/>
      <c r="BK76" s="165"/>
      <c r="BL76" s="165"/>
      <c r="BM76" s="165"/>
      <c r="BN76" s="165"/>
      <c r="BO76" s="165"/>
      <c r="BP76" s="165"/>
      <c r="BQ76" s="165"/>
      <c r="BR76" s="165"/>
      <c r="BS76" s="165"/>
      <c r="BT76" s="165"/>
      <c r="BU76" s="165"/>
      <c r="BV76" s="165"/>
      <c r="BW76" s="165"/>
      <c r="BX76" s="165"/>
      <c r="BY76" s="1452"/>
      <c r="BZ76" s="1452"/>
      <c r="CA76" s="1451"/>
      <c r="CB76" s="1451"/>
      <c r="CC76" s="1451"/>
      <c r="CD76" s="1451"/>
      <c r="CE76" s="1451"/>
      <c r="CF76" s="1451"/>
      <c r="CG76" s="1454"/>
      <c r="CH76" s="1454"/>
      <c r="CI76" s="1454"/>
      <c r="CJ76" s="1454"/>
      <c r="CK76" s="1454"/>
      <c r="CL76" s="1454"/>
      <c r="CM76" s="1454"/>
      <c r="CN76" s="1454"/>
    </row>
    <row r="77" spans="1:92" ht="22.15" customHeight="1" x14ac:dyDescent="0.25">
      <c r="A77" s="8274"/>
      <c r="B77" s="566" t="s">
        <v>2001</v>
      </c>
      <c r="C77" s="1192"/>
      <c r="D77" s="140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  <c r="BR77" s="165"/>
      <c r="BS77" s="165"/>
      <c r="BT77" s="165"/>
      <c r="BU77" s="165"/>
      <c r="BV77" s="165"/>
      <c r="BW77" s="165"/>
      <c r="BX77" s="165"/>
      <c r="BY77" s="1452"/>
      <c r="BZ77" s="1452"/>
      <c r="CA77" s="1451"/>
      <c r="CB77" s="1451"/>
      <c r="CC77" s="1451"/>
      <c r="CD77" s="1451"/>
      <c r="CE77" s="1451"/>
      <c r="CF77" s="1451"/>
      <c r="CG77" s="1454"/>
      <c r="CH77" s="1454"/>
      <c r="CI77" s="1454"/>
      <c r="CJ77" s="1454"/>
      <c r="CK77" s="1454"/>
      <c r="CL77" s="1454"/>
      <c r="CM77" s="1454"/>
      <c r="CN77" s="1454"/>
    </row>
    <row r="78" spans="1:92" ht="24.6" customHeight="1" x14ac:dyDescent="0.25">
      <c r="A78" s="8274"/>
      <c r="B78" s="1185" t="s">
        <v>2002</v>
      </c>
      <c r="C78" s="1192"/>
      <c r="D78" s="140"/>
      <c r="E78" s="165"/>
      <c r="F78" s="165"/>
      <c r="G78" s="165"/>
      <c r="H78" s="165"/>
      <c r="I78" s="165"/>
      <c r="J78" s="165"/>
      <c r="K78" s="165"/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  <c r="BR78" s="165"/>
      <c r="BS78" s="165"/>
      <c r="BT78" s="165"/>
      <c r="BU78" s="165"/>
      <c r="BV78" s="165"/>
      <c r="BW78" s="165"/>
      <c r="BX78" s="165"/>
      <c r="BY78" s="1452"/>
      <c r="BZ78" s="1452"/>
      <c r="CA78" s="1451"/>
      <c r="CB78" s="1451"/>
      <c r="CC78" s="1451"/>
      <c r="CD78" s="1451"/>
      <c r="CE78" s="1451"/>
      <c r="CF78" s="1451"/>
      <c r="CG78" s="1454"/>
      <c r="CH78" s="1454"/>
      <c r="CI78" s="1454"/>
      <c r="CJ78" s="1454"/>
      <c r="CK78" s="1454"/>
      <c r="CL78" s="1454"/>
      <c r="CM78" s="1454"/>
      <c r="CN78" s="1454"/>
    </row>
    <row r="79" spans="1:92" ht="19.899999999999999" customHeight="1" x14ac:dyDescent="0.25">
      <c r="A79" s="8460"/>
      <c r="B79" s="2140" t="s">
        <v>2003</v>
      </c>
      <c r="C79" s="3213"/>
      <c r="D79" s="140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  <c r="BR79" s="165"/>
      <c r="BS79" s="165"/>
      <c r="BT79" s="165"/>
      <c r="BU79" s="165"/>
      <c r="BV79" s="165"/>
      <c r="BW79" s="165"/>
      <c r="BX79" s="165"/>
      <c r="BY79" s="1452"/>
      <c r="BZ79" s="1452"/>
      <c r="CA79" s="1451"/>
      <c r="CB79" s="1451"/>
      <c r="CC79" s="1451"/>
      <c r="CD79" s="1451"/>
      <c r="CE79" s="1451"/>
      <c r="CF79" s="1451"/>
      <c r="CG79" s="1454"/>
      <c r="CH79" s="1454"/>
      <c r="CI79" s="1454"/>
      <c r="CJ79" s="1454"/>
      <c r="CK79" s="1454"/>
      <c r="CL79" s="1454"/>
      <c r="CM79" s="1454"/>
      <c r="CN79" s="1454"/>
    </row>
    <row r="80" spans="1:92" ht="16.149999999999999" customHeight="1" x14ac:dyDescent="0.25">
      <c r="A80" s="9607"/>
      <c r="B80" s="1185" t="s">
        <v>3999</v>
      </c>
      <c r="C80" s="3213"/>
      <c r="D80" s="140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  <c r="BR80" s="165"/>
      <c r="BS80" s="165"/>
      <c r="BT80" s="165"/>
      <c r="BU80" s="165"/>
      <c r="BV80" s="165"/>
      <c r="BW80" s="165"/>
      <c r="BX80" s="165"/>
      <c r="BY80" s="1452"/>
      <c r="BZ80" s="1452"/>
      <c r="CA80" s="1451"/>
      <c r="CB80" s="1451"/>
      <c r="CC80" s="1451"/>
      <c r="CD80" s="1451"/>
      <c r="CE80" s="1451"/>
      <c r="CF80" s="1451"/>
      <c r="CG80" s="1454"/>
      <c r="CH80" s="1454"/>
      <c r="CI80" s="1454"/>
      <c r="CJ80" s="1454"/>
      <c r="CK80" s="1454"/>
      <c r="CL80" s="1454"/>
      <c r="CM80" s="1454"/>
      <c r="CN80" s="1454"/>
    </row>
    <row r="81" spans="1:92" ht="38.450000000000003" customHeight="1" x14ac:dyDescent="0.25">
      <c r="A81" s="8273" t="s">
        <v>2004</v>
      </c>
      <c r="B81" s="3215" t="s">
        <v>2005</v>
      </c>
      <c r="C81" s="690"/>
      <c r="D81" s="140"/>
      <c r="E81" s="165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  <c r="BR81" s="165"/>
      <c r="BS81" s="165"/>
      <c r="BT81" s="165"/>
      <c r="BU81" s="165"/>
      <c r="BV81" s="165"/>
      <c r="BW81" s="165"/>
      <c r="BX81" s="165"/>
      <c r="BY81" s="1452"/>
      <c r="BZ81" s="1452"/>
      <c r="CA81" s="1451"/>
      <c r="CB81" s="1451"/>
      <c r="CC81" s="1451"/>
      <c r="CD81" s="1451"/>
      <c r="CE81" s="1451"/>
      <c r="CF81" s="1451"/>
      <c r="CG81" s="1454"/>
      <c r="CH81" s="1454"/>
      <c r="CI81" s="1454"/>
      <c r="CJ81" s="1454"/>
      <c r="CK81" s="1454"/>
      <c r="CL81" s="1454"/>
      <c r="CM81" s="1454"/>
      <c r="CN81" s="1454"/>
    </row>
    <row r="82" spans="1:92" ht="24" customHeight="1" x14ac:dyDescent="0.25">
      <c r="A82" s="8460"/>
      <c r="B82" s="2140" t="s">
        <v>2006</v>
      </c>
      <c r="C82" s="1690"/>
      <c r="D82" s="140"/>
      <c r="E82" s="165"/>
      <c r="F82" s="165"/>
      <c r="G82" s="165"/>
      <c r="H82" s="165"/>
      <c r="I82" s="165"/>
      <c r="J82" s="165"/>
      <c r="K82" s="165"/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  <c r="BR82" s="165"/>
      <c r="BS82" s="165"/>
      <c r="BT82" s="165"/>
      <c r="BU82" s="165"/>
      <c r="BV82" s="165"/>
      <c r="BW82" s="165"/>
      <c r="BX82" s="165"/>
      <c r="BY82" s="1452"/>
      <c r="BZ82" s="1452"/>
      <c r="CA82" s="1451"/>
      <c r="CB82" s="1451"/>
      <c r="CC82" s="1451"/>
      <c r="CD82" s="1451"/>
      <c r="CE82" s="1451"/>
      <c r="CF82" s="1451"/>
      <c r="CG82" s="1454"/>
      <c r="CH82" s="1454"/>
      <c r="CI82" s="1454"/>
      <c r="CJ82" s="1454"/>
      <c r="CK82" s="1454"/>
      <c r="CL82" s="1454"/>
      <c r="CM82" s="1454"/>
      <c r="CN82" s="1454"/>
    </row>
    <row r="83" spans="1:92" ht="18.600000000000001" customHeight="1" x14ac:dyDescent="0.25">
      <c r="A83" s="8275"/>
      <c r="B83" s="3625" t="s">
        <v>2003</v>
      </c>
      <c r="C83" s="3214"/>
      <c r="D83" s="140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/>
      <c r="BU83" s="165"/>
      <c r="BV83" s="165"/>
      <c r="BW83" s="165"/>
      <c r="BX83" s="165"/>
      <c r="BY83" s="1452"/>
      <c r="BZ83" s="1452"/>
      <c r="CA83" s="1451"/>
      <c r="CB83" s="1451"/>
      <c r="CC83" s="1451"/>
      <c r="CD83" s="1451"/>
      <c r="CE83" s="1451"/>
      <c r="CF83" s="1451"/>
      <c r="CG83" s="1454"/>
      <c r="CH83" s="1454"/>
      <c r="CI83" s="1454"/>
      <c r="CJ83" s="1454"/>
      <c r="CK83" s="1454"/>
      <c r="CL83" s="1454"/>
      <c r="CM83" s="1454"/>
      <c r="CN83" s="1454"/>
    </row>
    <row r="84" spans="1:92" ht="16.149999999999999" customHeight="1" x14ac:dyDescent="0.25">
      <c r="A84" s="10091" t="s">
        <v>2007</v>
      </c>
      <c r="B84" s="10092"/>
      <c r="C84" s="1250"/>
      <c r="D84" s="140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  <c r="BR84" s="165"/>
      <c r="BS84" s="165"/>
      <c r="BT84" s="165"/>
      <c r="BU84" s="165"/>
      <c r="BV84" s="165"/>
      <c r="BW84" s="165"/>
      <c r="BX84" s="165"/>
      <c r="BY84" s="1452"/>
      <c r="BZ84" s="1452"/>
      <c r="CA84" s="1451"/>
      <c r="CB84" s="1451"/>
      <c r="CC84" s="1451"/>
      <c r="CD84" s="1451"/>
      <c r="CE84" s="1451"/>
      <c r="CF84" s="1451"/>
      <c r="CG84" s="1454"/>
      <c r="CH84" s="1454"/>
      <c r="CI84" s="1454"/>
      <c r="CJ84" s="1454"/>
      <c r="CK84" s="1454"/>
      <c r="CL84" s="1454"/>
      <c r="CM84" s="1454"/>
      <c r="CN84" s="1454"/>
    </row>
    <row r="85" spans="1:92" ht="31.9" customHeight="1" x14ac:dyDescent="0.25">
      <c r="A85" s="10051" t="s">
        <v>2008</v>
      </c>
      <c r="B85" s="10051"/>
      <c r="C85" s="10051"/>
      <c r="D85" s="10051"/>
      <c r="E85" s="10051"/>
      <c r="F85" s="10051"/>
      <c r="G85" s="10051"/>
      <c r="H85" s="10051"/>
      <c r="I85" s="10051"/>
      <c r="J85" s="140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  <c r="BR85" s="165"/>
      <c r="BS85" s="165"/>
      <c r="BT85" s="165"/>
      <c r="BU85" s="165"/>
      <c r="BV85" s="165"/>
      <c r="BW85" s="165"/>
      <c r="BX85" s="165"/>
      <c r="BY85" s="1452"/>
      <c r="BZ85" s="1452"/>
      <c r="CA85" s="1451"/>
      <c r="CB85" s="1451"/>
      <c r="CC85" s="1451"/>
      <c r="CD85" s="1451"/>
      <c r="CE85" s="1451"/>
      <c r="CF85" s="1451"/>
      <c r="CG85" s="1454"/>
      <c r="CH85" s="1454"/>
      <c r="CI85" s="1454"/>
      <c r="CJ85" s="1454"/>
      <c r="CK85" s="1454"/>
      <c r="CL85" s="1454"/>
      <c r="CM85" s="1454"/>
      <c r="CN85" s="1454"/>
    </row>
    <row r="86" spans="1:92" ht="16.149999999999999" customHeight="1" x14ac:dyDescent="0.25">
      <c r="A86" s="10086" t="s">
        <v>2009</v>
      </c>
      <c r="B86" s="10086"/>
      <c r="C86" s="10087" t="s">
        <v>2010</v>
      </c>
      <c r="D86" s="10087" t="s">
        <v>2011</v>
      </c>
      <c r="E86" s="10088" t="s">
        <v>1999</v>
      </c>
      <c r="F86" s="10087"/>
      <c r="G86" s="10087"/>
      <c r="H86" s="10087" t="s">
        <v>2012</v>
      </c>
      <c r="I86" s="140"/>
      <c r="J86" s="140"/>
      <c r="K86" s="165"/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  <c r="BH86" s="165"/>
      <c r="BI86" s="165"/>
      <c r="BJ86" s="165"/>
      <c r="BK86" s="165"/>
      <c r="BL86" s="165"/>
      <c r="BM86" s="165"/>
      <c r="BN86" s="165"/>
      <c r="BO86" s="165"/>
      <c r="BP86" s="165"/>
      <c r="BQ86" s="165"/>
      <c r="BR86" s="165"/>
      <c r="BS86" s="165"/>
      <c r="BT86" s="165"/>
      <c r="BU86" s="165"/>
      <c r="BV86" s="165"/>
      <c r="BW86" s="165"/>
      <c r="BX86" s="165"/>
      <c r="BY86" s="1452"/>
      <c r="BZ86" s="1452"/>
      <c r="CA86" s="1451"/>
      <c r="CB86" s="1451"/>
      <c r="CC86" s="1451"/>
      <c r="CD86" s="1451"/>
      <c r="CE86" s="1451"/>
      <c r="CF86" s="1451"/>
      <c r="CG86" s="1454"/>
      <c r="CH86" s="1454"/>
      <c r="CI86" s="1454"/>
      <c r="CJ86" s="1454"/>
      <c r="CK86" s="1454"/>
      <c r="CL86" s="1454"/>
      <c r="CM86" s="1454"/>
      <c r="CN86" s="1454"/>
    </row>
    <row r="87" spans="1:92" ht="16.149999999999999" customHeight="1" x14ac:dyDescent="0.25">
      <c r="A87" s="10086"/>
      <c r="B87" s="10086"/>
      <c r="C87" s="10087"/>
      <c r="D87" s="10087"/>
      <c r="E87" s="1251" t="s">
        <v>2013</v>
      </c>
      <c r="F87" s="1252" t="s">
        <v>2014</v>
      </c>
      <c r="G87" s="1253" t="s">
        <v>2015</v>
      </c>
      <c r="H87" s="10088"/>
      <c r="I87" s="140"/>
      <c r="J87" s="140"/>
      <c r="K87" s="165"/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  <c r="BR87" s="165"/>
      <c r="BS87" s="165"/>
      <c r="BT87" s="165"/>
      <c r="BU87" s="165"/>
      <c r="BV87" s="165"/>
      <c r="BW87" s="165"/>
      <c r="BX87" s="165"/>
      <c r="BY87" s="1452"/>
      <c r="BZ87" s="1452"/>
      <c r="CA87" s="1451"/>
      <c r="CB87" s="1451"/>
      <c r="CC87" s="1451"/>
      <c r="CD87" s="1451"/>
      <c r="CE87" s="1451"/>
      <c r="CF87" s="1451"/>
      <c r="CG87" s="1454"/>
      <c r="CH87" s="1454"/>
      <c r="CI87" s="1454"/>
      <c r="CJ87" s="1454"/>
      <c r="CK87" s="1454"/>
      <c r="CL87" s="1454"/>
      <c r="CM87" s="1454"/>
      <c r="CN87" s="1454"/>
    </row>
    <row r="88" spans="1:92" ht="16.149999999999999" customHeight="1" x14ac:dyDescent="0.25">
      <c r="A88" s="10089" t="s">
        <v>2016</v>
      </c>
      <c r="B88" s="10089"/>
      <c r="C88" s="1254"/>
      <c r="D88" s="1254"/>
      <c r="E88" s="1255"/>
      <c r="F88" s="1256"/>
      <c r="G88" s="1257"/>
      <c r="H88" s="1257"/>
      <c r="I88" s="140"/>
      <c r="J88" s="140"/>
      <c r="K88" s="165"/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  <c r="BR88" s="165"/>
      <c r="BS88" s="165"/>
      <c r="BT88" s="165"/>
      <c r="BU88" s="165"/>
      <c r="BV88" s="165"/>
      <c r="BW88" s="165"/>
      <c r="BX88" s="165"/>
      <c r="BY88" s="1452"/>
      <c r="BZ88" s="1452"/>
      <c r="CA88" s="1451"/>
      <c r="CB88" s="1451"/>
      <c r="CC88" s="1451"/>
      <c r="CD88" s="1451"/>
      <c r="CE88" s="1451"/>
      <c r="CF88" s="1451"/>
      <c r="CG88" s="1454"/>
      <c r="CH88" s="1454"/>
      <c r="CI88" s="1454"/>
      <c r="CJ88" s="1454"/>
      <c r="CK88" s="1454"/>
      <c r="CL88" s="1454"/>
      <c r="CM88" s="1454"/>
      <c r="CN88" s="1454"/>
    </row>
    <row r="89" spans="1:92" ht="16.149999999999999" customHeight="1" x14ac:dyDescent="0.25">
      <c r="A89" s="10090" t="s">
        <v>2017</v>
      </c>
      <c r="B89" s="10090"/>
      <c r="C89" s="1258"/>
      <c r="D89" s="1258"/>
      <c r="E89" s="1259"/>
      <c r="F89" s="1260"/>
      <c r="G89" s="1261"/>
      <c r="H89" s="1261"/>
      <c r="I89" s="140"/>
      <c r="J89" s="140"/>
      <c r="K89" s="165"/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  <c r="BR89" s="165"/>
      <c r="BS89" s="165"/>
      <c r="BT89" s="165"/>
      <c r="BU89" s="165"/>
      <c r="BV89" s="165"/>
      <c r="BW89" s="165"/>
      <c r="BX89" s="165"/>
      <c r="BY89" s="1452"/>
      <c r="BZ89" s="1452"/>
      <c r="CA89" s="1451"/>
      <c r="CB89" s="1451"/>
      <c r="CC89" s="1451"/>
      <c r="CD89" s="1451"/>
      <c r="CE89" s="1451"/>
      <c r="CF89" s="1451"/>
      <c r="CG89" s="1454"/>
      <c r="CH89" s="1454"/>
      <c r="CI89" s="1454"/>
      <c r="CJ89" s="1454"/>
      <c r="CK89" s="1454"/>
      <c r="CL89" s="1454"/>
      <c r="CM89" s="1454"/>
      <c r="CN89" s="1454"/>
    </row>
    <row r="90" spans="1:92" ht="16.149999999999999" customHeight="1" x14ac:dyDescent="0.25">
      <c r="A90" s="10090" t="s">
        <v>3290</v>
      </c>
      <c r="B90" s="10090"/>
      <c r="C90" s="3209"/>
      <c r="D90" s="3209"/>
      <c r="E90" s="3210"/>
      <c r="F90" s="3211"/>
      <c r="G90" s="3212"/>
      <c r="H90" s="3212"/>
      <c r="I90" s="140"/>
      <c r="J90" s="140"/>
      <c r="K90" s="165"/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  <c r="BR90" s="165"/>
      <c r="BS90" s="165"/>
      <c r="BT90" s="165"/>
      <c r="BU90" s="165"/>
      <c r="BV90" s="165"/>
      <c r="BW90" s="165"/>
      <c r="BX90" s="165"/>
      <c r="BY90" s="1452"/>
      <c r="BZ90" s="1452"/>
      <c r="CA90" s="1451"/>
      <c r="CB90" s="1451"/>
      <c r="CC90" s="1451"/>
      <c r="CD90" s="1451"/>
      <c r="CE90" s="1451"/>
      <c r="CF90" s="1451"/>
      <c r="CG90" s="1454"/>
      <c r="CH90" s="1454"/>
      <c r="CI90" s="1454"/>
      <c r="CJ90" s="1454"/>
      <c r="CK90" s="1454"/>
      <c r="CL90" s="1454"/>
      <c r="CM90" s="1454"/>
      <c r="CN90" s="1454"/>
    </row>
    <row r="91" spans="1:92" ht="16.149999999999999" customHeight="1" x14ac:dyDescent="0.25">
      <c r="A91" s="10090" t="s">
        <v>3291</v>
      </c>
      <c r="B91" s="10090"/>
      <c r="C91" s="3209"/>
      <c r="D91" s="3209"/>
      <c r="E91" s="3210"/>
      <c r="F91" s="3211"/>
      <c r="G91" s="3212"/>
      <c r="H91" s="3212"/>
      <c r="I91" s="140"/>
      <c r="J91" s="140"/>
      <c r="K91" s="165"/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  <c r="BR91" s="165"/>
      <c r="BS91" s="165"/>
      <c r="BT91" s="165"/>
      <c r="BU91" s="165"/>
      <c r="BV91" s="165"/>
      <c r="BW91" s="165"/>
      <c r="BX91" s="165"/>
      <c r="BY91" s="1452"/>
      <c r="BZ91" s="1452"/>
      <c r="CA91" s="1451"/>
      <c r="CB91" s="1451"/>
      <c r="CC91" s="1451"/>
      <c r="CD91" s="1451"/>
      <c r="CE91" s="1451"/>
      <c r="CF91" s="1451"/>
      <c r="CG91" s="1454"/>
      <c r="CH91" s="1454"/>
      <c r="CI91" s="1454"/>
      <c r="CJ91" s="1454"/>
      <c r="CK91" s="1454"/>
      <c r="CL91" s="1454"/>
      <c r="CM91" s="1454"/>
      <c r="CN91" s="1454"/>
    </row>
    <row r="92" spans="1:92" ht="16.149999999999999" customHeight="1" x14ac:dyDescent="0.25">
      <c r="A92" s="10093" t="s">
        <v>70</v>
      </c>
      <c r="B92" s="10093"/>
      <c r="C92" s="1224"/>
      <c r="D92" s="1224"/>
      <c r="E92" s="125"/>
      <c r="F92" s="83"/>
      <c r="G92" s="164"/>
      <c r="H92" s="164"/>
      <c r="I92" s="140"/>
      <c r="J92" s="140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  <c r="BR92" s="165"/>
      <c r="BS92" s="165"/>
      <c r="BT92" s="165"/>
      <c r="BU92" s="165"/>
      <c r="BV92" s="165"/>
      <c r="BW92" s="165"/>
      <c r="BX92" s="165"/>
      <c r="BY92" s="1452"/>
      <c r="BZ92" s="1452"/>
      <c r="CA92" s="1451"/>
      <c r="CB92" s="1451"/>
      <c r="CC92" s="1451"/>
      <c r="CD92" s="1451"/>
      <c r="CE92" s="1451"/>
      <c r="CF92" s="1451"/>
      <c r="CG92" s="1454"/>
      <c r="CH92" s="1454"/>
      <c r="CI92" s="1454"/>
      <c r="CJ92" s="1454"/>
      <c r="CK92" s="1454"/>
      <c r="CL92" s="1454"/>
      <c r="CM92" s="1454"/>
      <c r="CN92" s="1454"/>
    </row>
    <row r="93" spans="1:92" ht="16.149999999999999" customHeight="1" x14ac:dyDescent="0.25">
      <c r="A93" s="10094" t="s">
        <v>24</v>
      </c>
      <c r="B93" s="10094"/>
      <c r="C93" s="1227">
        <f t="shared" ref="C93:H93" si="6">SUM(C88:C92)</f>
        <v>0</v>
      </c>
      <c r="D93" s="1227">
        <f t="shared" si="6"/>
        <v>0</v>
      </c>
      <c r="E93" s="1104">
        <f t="shared" si="6"/>
        <v>0</v>
      </c>
      <c r="F93" s="1218">
        <f t="shared" si="6"/>
        <v>0</v>
      </c>
      <c r="G93" s="1262">
        <f t="shared" si="6"/>
        <v>0</v>
      </c>
      <c r="H93" s="1103">
        <f t="shared" si="6"/>
        <v>0</v>
      </c>
      <c r="I93" s="153"/>
      <c r="J93" s="140"/>
      <c r="K93" s="165"/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  <c r="BR93" s="165"/>
      <c r="BS93" s="165"/>
      <c r="BT93" s="165"/>
      <c r="BU93" s="165"/>
      <c r="BV93" s="165"/>
      <c r="BW93" s="165"/>
      <c r="BX93" s="165"/>
      <c r="BY93" s="1452"/>
      <c r="BZ93" s="1452"/>
      <c r="CA93" s="1451"/>
      <c r="CB93" s="1451"/>
      <c r="CC93" s="1451"/>
      <c r="CD93" s="1451"/>
      <c r="CE93" s="1451"/>
      <c r="CF93" s="1451"/>
      <c r="CG93" s="1454"/>
      <c r="CH93" s="1454"/>
      <c r="CI93" s="1454"/>
      <c r="CJ93" s="1454"/>
      <c r="CK93" s="1454"/>
      <c r="CL93" s="1454"/>
      <c r="CM93" s="1454"/>
      <c r="CN93" s="1454"/>
    </row>
    <row r="94" spans="1:92" ht="16.149999999999999" customHeight="1" x14ac:dyDescent="0.25">
      <c r="A94" s="1329" t="s">
        <v>2018</v>
      </c>
      <c r="B94" s="165"/>
      <c r="C94" s="165"/>
      <c r="D94" s="165"/>
      <c r="E94" s="165"/>
      <c r="F94" s="165"/>
      <c r="G94" s="165"/>
      <c r="H94" s="165"/>
      <c r="I94" s="165"/>
      <c r="J94" s="165"/>
      <c r="K94" s="165"/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  <c r="BR94" s="165"/>
      <c r="BS94" s="165"/>
      <c r="BT94" s="165"/>
      <c r="BU94" s="165"/>
      <c r="BV94" s="165"/>
      <c r="BW94" s="165"/>
      <c r="BX94" s="165"/>
      <c r="BY94" s="1452"/>
      <c r="BZ94" s="1452"/>
      <c r="CA94" s="1451"/>
      <c r="CB94" s="1451"/>
      <c r="CC94" s="1451"/>
      <c r="CD94" s="1451"/>
      <c r="CE94" s="1451"/>
      <c r="CF94" s="1451"/>
      <c r="CG94" s="1454"/>
      <c r="CH94" s="1454"/>
      <c r="CI94" s="1454"/>
      <c r="CJ94" s="1454"/>
      <c r="CK94" s="1454"/>
      <c r="CL94" s="1454"/>
      <c r="CM94" s="1454"/>
      <c r="CN94" s="1454"/>
    </row>
    <row r="95" spans="1:92" ht="31.9" customHeight="1" x14ac:dyDescent="0.25">
      <c r="A95" s="10051" t="s">
        <v>4000</v>
      </c>
      <c r="B95" s="10051"/>
      <c r="C95" s="10051"/>
      <c r="D95" s="10051"/>
      <c r="E95" s="10051"/>
      <c r="F95" s="10051"/>
      <c r="G95" s="10051"/>
      <c r="H95" s="10051"/>
      <c r="I95" s="10051"/>
      <c r="J95" s="10051"/>
      <c r="K95" s="10051"/>
      <c r="L95" s="10051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  <c r="BR95" s="165"/>
      <c r="BS95" s="165"/>
      <c r="BT95" s="165"/>
      <c r="BU95" s="165"/>
      <c r="BV95" s="165"/>
      <c r="BW95" s="165"/>
      <c r="BX95" s="165"/>
      <c r="BY95" s="1452"/>
      <c r="BZ95" s="1452"/>
      <c r="CA95" s="1451"/>
      <c r="CB95" s="1451"/>
      <c r="CC95" s="1451"/>
      <c r="CD95" s="1451"/>
      <c r="CE95" s="1451"/>
      <c r="CF95" s="1451"/>
      <c r="CG95" s="1454"/>
      <c r="CH95" s="1454"/>
      <c r="CI95" s="1454"/>
      <c r="CJ95" s="1454"/>
      <c r="CK95" s="1454"/>
      <c r="CL95" s="1454"/>
      <c r="CM95" s="1454"/>
      <c r="CN95" s="1454"/>
    </row>
    <row r="96" spans="1:92" ht="16.149999999999999" customHeight="1" x14ac:dyDescent="0.25">
      <c r="A96" s="10086" t="s">
        <v>2009</v>
      </c>
      <c r="B96" s="10086"/>
      <c r="C96" s="10087" t="s">
        <v>2010</v>
      </c>
      <c r="D96" s="10087" t="s">
        <v>2011</v>
      </c>
      <c r="E96" s="10095" t="s">
        <v>1999</v>
      </c>
      <c r="F96" s="10096"/>
      <c r="G96" s="10097"/>
      <c r="H96" s="10088" t="s">
        <v>2012</v>
      </c>
      <c r="I96" s="140"/>
      <c r="J96" s="140"/>
      <c r="K96" s="140"/>
      <c r="L96" s="71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  <c r="BR96" s="165"/>
      <c r="BS96" s="165"/>
      <c r="BT96" s="165"/>
      <c r="BU96" s="165"/>
      <c r="BV96" s="165"/>
      <c r="BW96" s="165"/>
      <c r="BX96" s="165"/>
      <c r="BY96" s="1452"/>
      <c r="BZ96" s="1452"/>
      <c r="CA96" s="1451"/>
      <c r="CB96" s="1451"/>
      <c r="CC96" s="1451"/>
      <c r="CD96" s="1451"/>
      <c r="CE96" s="1451"/>
      <c r="CF96" s="1451"/>
      <c r="CG96" s="1454"/>
      <c r="CH96" s="1454"/>
      <c r="CI96" s="1454"/>
      <c r="CJ96" s="1454"/>
      <c r="CK96" s="1454"/>
      <c r="CL96" s="1454"/>
      <c r="CM96" s="1454"/>
      <c r="CN96" s="1454"/>
    </row>
    <row r="97" spans="1:92" ht="16.149999999999999" customHeight="1" x14ac:dyDescent="0.25">
      <c r="A97" s="10086"/>
      <c r="B97" s="10086"/>
      <c r="C97" s="10087"/>
      <c r="D97" s="10087"/>
      <c r="E97" s="1263" t="s">
        <v>2013</v>
      </c>
      <c r="F97" s="1252" t="s">
        <v>2014</v>
      </c>
      <c r="G97" s="1246" t="s">
        <v>2015</v>
      </c>
      <c r="H97" s="10088"/>
      <c r="I97" s="140"/>
      <c r="J97" s="140"/>
      <c r="K97" s="140"/>
      <c r="L97" s="71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  <c r="BR97" s="165"/>
      <c r="BS97" s="165"/>
      <c r="BT97" s="165"/>
      <c r="BU97" s="165"/>
      <c r="BV97" s="165"/>
      <c r="BW97" s="165"/>
      <c r="BX97" s="165"/>
      <c r="BY97" s="1452"/>
      <c r="BZ97" s="1452"/>
      <c r="CA97" s="1451"/>
      <c r="CB97" s="1451"/>
      <c r="CC97" s="1451"/>
      <c r="CD97" s="1451"/>
      <c r="CE97" s="1451"/>
      <c r="CF97" s="1451"/>
      <c r="CG97" s="1454"/>
      <c r="CH97" s="1454"/>
      <c r="CI97" s="1454"/>
      <c r="CJ97" s="1454"/>
      <c r="CK97" s="1454"/>
      <c r="CL97" s="1454"/>
      <c r="CM97" s="1454"/>
      <c r="CN97" s="1454"/>
    </row>
    <row r="98" spans="1:92" ht="16.149999999999999" customHeight="1" x14ac:dyDescent="0.25">
      <c r="A98" s="10089" t="s">
        <v>2017</v>
      </c>
      <c r="B98" s="10089"/>
      <c r="C98" s="1254"/>
      <c r="D98" s="1254"/>
      <c r="E98" s="1264"/>
      <c r="F98" s="1256"/>
      <c r="G98" s="1265"/>
      <c r="H98" s="1257"/>
      <c r="I98" s="140"/>
      <c r="J98" s="140"/>
      <c r="K98" s="140"/>
      <c r="L98" s="140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  <c r="BR98" s="165"/>
      <c r="BS98" s="165"/>
      <c r="BT98" s="165"/>
      <c r="BU98" s="165"/>
      <c r="BV98" s="165"/>
      <c r="BW98" s="165"/>
      <c r="BX98" s="165"/>
      <c r="BY98" s="1452"/>
      <c r="BZ98" s="1452"/>
      <c r="CA98" s="1451"/>
      <c r="CB98" s="1451"/>
      <c r="CC98" s="1451"/>
      <c r="CD98" s="1451"/>
      <c r="CE98" s="1451"/>
      <c r="CF98" s="1451"/>
      <c r="CG98" s="1454"/>
      <c r="CH98" s="1454"/>
      <c r="CI98" s="1454"/>
      <c r="CJ98" s="1454"/>
      <c r="CK98" s="1454"/>
      <c r="CL98" s="1454"/>
      <c r="CM98" s="1454"/>
      <c r="CN98" s="1454"/>
    </row>
    <row r="99" spans="1:92" ht="16.149999999999999" customHeight="1" x14ac:dyDescent="0.25">
      <c r="A99" s="10090" t="s">
        <v>2019</v>
      </c>
      <c r="B99" s="10090"/>
      <c r="C99" s="1192"/>
      <c r="D99" s="1192"/>
      <c r="E99" s="1129"/>
      <c r="F99" s="1130"/>
      <c r="G99" s="1113"/>
      <c r="H99" s="1110"/>
      <c r="I99" s="140"/>
      <c r="J99" s="140"/>
      <c r="K99" s="140"/>
      <c r="L99" s="140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  <c r="BR99" s="165"/>
      <c r="BS99" s="165"/>
      <c r="BT99" s="165"/>
      <c r="BU99" s="165"/>
      <c r="BV99" s="165"/>
      <c r="BW99" s="165"/>
      <c r="BX99" s="165"/>
      <c r="BY99" s="1452"/>
      <c r="BZ99" s="1452"/>
      <c r="CA99" s="1451"/>
      <c r="CB99" s="1451"/>
      <c r="CC99" s="1451"/>
      <c r="CD99" s="1451"/>
      <c r="CE99" s="1451"/>
      <c r="CF99" s="1451"/>
      <c r="CG99" s="1454"/>
      <c r="CH99" s="1454"/>
      <c r="CI99" s="1454"/>
      <c r="CJ99" s="1454"/>
      <c r="CK99" s="1454"/>
      <c r="CL99" s="1454"/>
      <c r="CM99" s="1454"/>
      <c r="CN99" s="1454"/>
    </row>
    <row r="100" spans="1:92" ht="16.149999999999999" customHeight="1" x14ac:dyDescent="0.25">
      <c r="A100" s="10107" t="s">
        <v>2020</v>
      </c>
      <c r="B100" s="10107"/>
      <c r="C100" s="1192"/>
      <c r="D100" s="1192"/>
      <c r="E100" s="1129"/>
      <c r="F100" s="1130"/>
      <c r="G100" s="1113"/>
      <c r="H100" s="1110"/>
      <c r="I100" s="140"/>
      <c r="J100" s="140"/>
      <c r="K100" s="140"/>
      <c r="L100" s="140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  <c r="BR100" s="165"/>
      <c r="BS100" s="165"/>
      <c r="BT100" s="165"/>
      <c r="BU100" s="165"/>
      <c r="BV100" s="165"/>
      <c r="BW100" s="165"/>
      <c r="BX100" s="165"/>
      <c r="BY100" s="1452"/>
      <c r="BZ100" s="1452"/>
      <c r="CA100" s="1451"/>
      <c r="CB100" s="1451"/>
      <c r="CC100" s="1451"/>
      <c r="CD100" s="1451"/>
      <c r="CE100" s="1451"/>
      <c r="CF100" s="1451"/>
      <c r="CG100" s="1454"/>
      <c r="CH100" s="1454"/>
      <c r="CI100" s="1454"/>
      <c r="CJ100" s="1454"/>
      <c r="CK100" s="1454"/>
      <c r="CL100" s="1454"/>
      <c r="CM100" s="1454"/>
      <c r="CN100" s="1454"/>
    </row>
    <row r="101" spans="1:92" ht="16.149999999999999" customHeight="1" x14ac:dyDescent="0.25">
      <c r="A101" s="10090" t="s">
        <v>2021</v>
      </c>
      <c r="B101" s="10090"/>
      <c r="C101" s="1192"/>
      <c r="D101" s="1192"/>
      <c r="E101" s="1129"/>
      <c r="F101" s="1130"/>
      <c r="G101" s="1113"/>
      <c r="H101" s="1110"/>
      <c r="I101" s="140"/>
      <c r="J101" s="140"/>
      <c r="K101" s="140"/>
      <c r="L101" s="140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  <c r="BR101" s="165"/>
      <c r="BS101" s="165"/>
      <c r="BT101" s="165"/>
      <c r="BU101" s="165"/>
      <c r="BV101" s="165"/>
      <c r="BW101" s="165"/>
      <c r="BX101" s="165"/>
      <c r="BY101" s="1452"/>
      <c r="BZ101" s="1452"/>
      <c r="CA101" s="1451"/>
      <c r="CB101" s="1451"/>
      <c r="CC101" s="1451"/>
      <c r="CD101" s="1451"/>
      <c r="CE101" s="1451"/>
      <c r="CF101" s="1451"/>
      <c r="CG101" s="1454"/>
      <c r="CH101" s="1454"/>
      <c r="CI101" s="1454"/>
      <c r="CJ101" s="1454"/>
      <c r="CK101" s="1454"/>
      <c r="CL101" s="1454"/>
      <c r="CM101" s="1454"/>
      <c r="CN101" s="1454"/>
    </row>
    <row r="102" spans="1:92" ht="16.149999999999999" customHeight="1" x14ac:dyDescent="0.25">
      <c r="A102" s="10108" t="s">
        <v>70</v>
      </c>
      <c r="B102" s="10108"/>
      <c r="C102" s="1224"/>
      <c r="D102" s="86"/>
      <c r="E102" s="102"/>
      <c r="F102" s="83"/>
      <c r="G102" s="101"/>
      <c r="H102" s="164"/>
      <c r="I102" s="140"/>
      <c r="J102" s="140"/>
      <c r="K102" s="140"/>
      <c r="L102" s="140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  <c r="BR102" s="165"/>
      <c r="BS102" s="165"/>
      <c r="BT102" s="165"/>
      <c r="BU102" s="165"/>
      <c r="BV102" s="165"/>
      <c r="BW102" s="165"/>
      <c r="BX102" s="165"/>
      <c r="BY102" s="1452"/>
      <c r="BZ102" s="1452"/>
      <c r="CA102" s="1451"/>
      <c r="CB102" s="1451"/>
      <c r="CC102" s="1451"/>
      <c r="CD102" s="1451"/>
      <c r="CE102" s="1451"/>
      <c r="CF102" s="1451"/>
      <c r="CG102" s="1454"/>
      <c r="CH102" s="1454"/>
      <c r="CI102" s="1454"/>
      <c r="CJ102" s="1454"/>
      <c r="CK102" s="1454"/>
      <c r="CL102" s="1454"/>
      <c r="CM102" s="1454"/>
      <c r="CN102" s="1454"/>
    </row>
    <row r="103" spans="1:92" ht="16.149999999999999" customHeight="1" x14ac:dyDescent="0.25">
      <c r="A103" s="10094" t="s">
        <v>24</v>
      </c>
      <c r="B103" s="10094"/>
      <c r="C103" s="1227">
        <f t="shared" ref="C103:H103" si="7">SUM(C98:C102)</f>
        <v>0</v>
      </c>
      <c r="D103" s="1103">
        <f t="shared" si="7"/>
        <v>0</v>
      </c>
      <c r="E103" s="1104">
        <f t="shared" si="7"/>
        <v>0</v>
      </c>
      <c r="F103" s="1219">
        <f t="shared" si="7"/>
        <v>0</v>
      </c>
      <c r="G103" s="1105">
        <f t="shared" si="7"/>
        <v>0</v>
      </c>
      <c r="H103" s="1105">
        <f t="shared" si="7"/>
        <v>0</v>
      </c>
      <c r="I103" s="153"/>
      <c r="J103" s="140"/>
      <c r="K103" s="140"/>
      <c r="L103" s="140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  <c r="BI103" s="165"/>
      <c r="BJ103" s="165"/>
      <c r="BK103" s="165"/>
      <c r="BL103" s="165"/>
      <c r="BM103" s="165"/>
      <c r="BN103" s="165"/>
      <c r="BO103" s="165"/>
      <c r="BP103" s="165"/>
      <c r="BQ103" s="165"/>
      <c r="BR103" s="165"/>
      <c r="BS103" s="165"/>
      <c r="BT103" s="165"/>
      <c r="BU103" s="165"/>
      <c r="BV103" s="165"/>
      <c r="BW103" s="165"/>
      <c r="BX103" s="165"/>
      <c r="BY103" s="1452"/>
      <c r="BZ103" s="1452"/>
      <c r="CA103" s="1451"/>
      <c r="CB103" s="1451"/>
      <c r="CC103" s="1451"/>
      <c r="CD103" s="1451"/>
      <c r="CE103" s="1451"/>
      <c r="CF103" s="1451"/>
      <c r="CG103" s="1454"/>
      <c r="CH103" s="1454"/>
      <c r="CI103" s="1454"/>
      <c r="CJ103" s="1454"/>
      <c r="CK103" s="1454"/>
      <c r="CL103" s="1454"/>
      <c r="CM103" s="1454"/>
      <c r="CN103" s="1454"/>
    </row>
    <row r="104" spans="1:92" ht="16.149999999999999" customHeight="1" x14ac:dyDescent="0.25">
      <c r="A104" s="1329" t="s">
        <v>2018</v>
      </c>
      <c r="B104" s="745"/>
      <c r="C104" s="1266"/>
      <c r="D104" s="1266"/>
      <c r="E104" s="1266"/>
      <c r="F104" s="1266"/>
      <c r="G104" s="1266"/>
      <c r="H104" s="1266"/>
      <c r="I104" s="140"/>
      <c r="J104" s="140"/>
      <c r="K104" s="140"/>
      <c r="L104" s="140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  <c r="BR104" s="165"/>
      <c r="BS104" s="165"/>
      <c r="BT104" s="165"/>
      <c r="BU104" s="165"/>
      <c r="BV104" s="165"/>
      <c r="BW104" s="165"/>
      <c r="BX104" s="165"/>
      <c r="BY104" s="1452"/>
      <c r="BZ104" s="1452"/>
      <c r="CA104" s="1451"/>
      <c r="CB104" s="1451"/>
      <c r="CC104" s="1451"/>
      <c r="CD104" s="1451"/>
      <c r="CE104" s="1451"/>
      <c r="CF104" s="1451"/>
      <c r="CG104" s="1454"/>
      <c r="CH104" s="1454"/>
      <c r="CI104" s="1454"/>
      <c r="CJ104" s="1454"/>
      <c r="CK104" s="1454"/>
      <c r="CL104" s="1454"/>
      <c r="CM104" s="1454"/>
      <c r="CN104" s="1454"/>
    </row>
    <row r="105" spans="1:92" ht="31.9" customHeight="1" x14ac:dyDescent="0.25">
      <c r="A105" s="10098" t="s">
        <v>2022</v>
      </c>
      <c r="B105" s="10098"/>
      <c r="C105" s="10098"/>
      <c r="D105" s="10098"/>
      <c r="E105" s="10098"/>
      <c r="F105" s="10098"/>
      <c r="G105" s="10098"/>
      <c r="H105" s="10098"/>
      <c r="I105" s="140"/>
      <c r="J105" s="140"/>
      <c r="K105" s="140"/>
      <c r="L105" s="140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  <c r="BI105" s="165"/>
      <c r="BJ105" s="165"/>
      <c r="BK105" s="165"/>
      <c r="BL105" s="165"/>
      <c r="BM105" s="165"/>
      <c r="BN105" s="165"/>
      <c r="BO105" s="165"/>
      <c r="BP105" s="165"/>
      <c r="BQ105" s="165"/>
      <c r="BR105" s="165"/>
      <c r="BS105" s="165"/>
      <c r="BT105" s="165"/>
      <c r="BU105" s="165"/>
      <c r="BV105" s="165"/>
      <c r="BW105" s="165"/>
      <c r="BX105" s="165"/>
      <c r="BY105" s="1452"/>
      <c r="BZ105" s="1452"/>
      <c r="CA105" s="1451"/>
      <c r="CB105" s="1451"/>
      <c r="CC105" s="1451"/>
      <c r="CD105" s="1451"/>
      <c r="CE105" s="1451"/>
      <c r="CF105" s="1451"/>
      <c r="CG105" s="1454"/>
      <c r="CH105" s="1454"/>
      <c r="CI105" s="1454"/>
      <c r="CJ105" s="1454"/>
      <c r="CK105" s="1454"/>
      <c r="CL105" s="1454"/>
      <c r="CM105" s="1454"/>
      <c r="CN105" s="1454"/>
    </row>
    <row r="106" spans="1:92" ht="61.9" customHeight="1" x14ac:dyDescent="0.25">
      <c r="A106" s="10099" t="s">
        <v>1627</v>
      </c>
      <c r="B106" s="10100"/>
      <c r="C106" s="1267" t="s">
        <v>44</v>
      </c>
      <c r="D106" s="1251" t="s">
        <v>3428</v>
      </c>
      <c r="E106" s="1252" t="s">
        <v>3429</v>
      </c>
      <c r="F106" s="1252" t="s">
        <v>3433</v>
      </c>
      <c r="G106" s="1252" t="s">
        <v>3430</v>
      </c>
      <c r="H106" s="3228" t="s">
        <v>3431</v>
      </c>
      <c r="I106" s="3626" t="s">
        <v>4001</v>
      </c>
      <c r="J106" s="140"/>
      <c r="K106" s="140"/>
      <c r="L106" s="140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  <c r="BI106" s="165"/>
      <c r="BJ106" s="165"/>
      <c r="BK106" s="165"/>
      <c r="BL106" s="165"/>
      <c r="BM106" s="165"/>
      <c r="BN106" s="165"/>
      <c r="BO106" s="165"/>
      <c r="BP106" s="165"/>
      <c r="BQ106" s="165"/>
      <c r="BR106" s="165"/>
      <c r="BS106" s="165"/>
      <c r="BT106" s="165"/>
      <c r="BU106" s="165"/>
      <c r="BV106" s="165"/>
      <c r="BW106" s="165"/>
      <c r="BX106" s="165"/>
      <c r="BY106" s="1452"/>
      <c r="BZ106" s="1452"/>
      <c r="CA106" s="1451"/>
      <c r="CB106" s="1451"/>
      <c r="CC106" s="1451"/>
      <c r="CD106" s="1451"/>
      <c r="CE106" s="1451"/>
      <c r="CF106" s="1451"/>
      <c r="CG106" s="1454"/>
      <c r="CH106" s="1454"/>
      <c r="CI106" s="1454"/>
      <c r="CJ106" s="1454"/>
      <c r="CK106" s="1454"/>
      <c r="CL106" s="1454"/>
      <c r="CM106" s="1454"/>
      <c r="CN106" s="1454"/>
    </row>
    <row r="107" spans="1:92" ht="16.149999999999999" customHeight="1" x14ac:dyDescent="0.25">
      <c r="A107" s="10101" t="s">
        <v>2010</v>
      </c>
      <c r="B107" s="10102"/>
      <c r="C107" s="8044">
        <f>SUM(D107:I107)</f>
        <v>0</v>
      </c>
      <c r="D107" s="1268"/>
      <c r="E107" s="1269"/>
      <c r="F107" s="1269"/>
      <c r="G107" s="1269"/>
      <c r="H107" s="3232"/>
      <c r="I107" s="3229"/>
      <c r="J107" s="140"/>
      <c r="K107" s="140"/>
      <c r="L107" s="140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  <c r="BR107" s="165"/>
      <c r="BS107" s="165"/>
      <c r="BT107" s="165"/>
      <c r="BU107" s="165"/>
      <c r="BV107" s="165"/>
      <c r="BW107" s="165"/>
      <c r="BX107" s="165"/>
      <c r="BY107" s="1452"/>
      <c r="BZ107" s="1452"/>
      <c r="CA107" s="1451"/>
      <c r="CB107" s="1451"/>
      <c r="CC107" s="1451"/>
      <c r="CD107" s="1451"/>
      <c r="CE107" s="1451"/>
      <c r="CF107" s="1451"/>
      <c r="CG107" s="1454"/>
      <c r="CH107" s="1454"/>
      <c r="CI107" s="1454"/>
      <c r="CJ107" s="1454"/>
      <c r="CK107" s="1454"/>
      <c r="CL107" s="1454"/>
      <c r="CM107" s="1454"/>
      <c r="CN107" s="1454"/>
    </row>
    <row r="108" spans="1:92" ht="16.149999999999999" customHeight="1" x14ac:dyDescent="0.25">
      <c r="A108" s="8208" t="s">
        <v>1999</v>
      </c>
      <c r="B108" s="1270" t="s">
        <v>2000</v>
      </c>
      <c r="C108" s="8045">
        <f>SUM(D108:I108)</f>
        <v>0</v>
      </c>
      <c r="D108" s="1271"/>
      <c r="E108" s="1272"/>
      <c r="F108" s="1272"/>
      <c r="G108" s="1272"/>
      <c r="H108" s="3233"/>
      <c r="I108" s="3230"/>
      <c r="J108" s="140"/>
      <c r="K108" s="140"/>
      <c r="L108" s="140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  <c r="BR108" s="165"/>
      <c r="BS108" s="165"/>
      <c r="BT108" s="165"/>
      <c r="BU108" s="165"/>
      <c r="BV108" s="165"/>
      <c r="BW108" s="165"/>
      <c r="BX108" s="165"/>
      <c r="BY108" s="1452"/>
      <c r="BZ108" s="1452"/>
      <c r="CA108" s="1451"/>
      <c r="CB108" s="1451"/>
      <c r="CC108" s="1451"/>
      <c r="CD108" s="1451"/>
      <c r="CE108" s="1451"/>
      <c r="CF108" s="1451"/>
      <c r="CG108" s="1454"/>
      <c r="CH108" s="1454"/>
      <c r="CI108" s="1454"/>
      <c r="CJ108" s="1454"/>
      <c r="CK108" s="1454"/>
      <c r="CL108" s="1454"/>
      <c r="CM108" s="1454"/>
      <c r="CN108" s="1454"/>
    </row>
    <row r="109" spans="1:92" ht="16.149999999999999" customHeight="1" x14ac:dyDescent="0.25">
      <c r="A109" s="8274"/>
      <c r="B109" s="1273" t="s">
        <v>2023</v>
      </c>
      <c r="C109" s="8046">
        <f>SUM(D109:I109)</f>
        <v>0</v>
      </c>
      <c r="D109" s="1259"/>
      <c r="E109" s="1260"/>
      <c r="F109" s="1260"/>
      <c r="G109" s="1260"/>
      <c r="H109" s="3234"/>
      <c r="I109" s="3230"/>
      <c r="J109" s="140"/>
      <c r="K109" s="140"/>
      <c r="L109" s="140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  <c r="BR109" s="165"/>
      <c r="BS109" s="165"/>
      <c r="BT109" s="165"/>
      <c r="BU109" s="165"/>
      <c r="BV109" s="165"/>
      <c r="BW109" s="165"/>
      <c r="BX109" s="165"/>
      <c r="BY109" s="1452"/>
      <c r="BZ109" s="1452"/>
      <c r="CA109" s="1451"/>
      <c r="CB109" s="1451"/>
      <c r="CC109" s="1451"/>
      <c r="CD109" s="1451"/>
      <c r="CE109" s="1451"/>
      <c r="CF109" s="1451"/>
      <c r="CG109" s="1454"/>
      <c r="CH109" s="1454"/>
      <c r="CI109" s="1454"/>
      <c r="CJ109" s="1454"/>
      <c r="CK109" s="1454"/>
      <c r="CL109" s="1454"/>
      <c r="CM109" s="1454"/>
      <c r="CN109" s="1454"/>
    </row>
    <row r="110" spans="1:92" ht="16.149999999999999" customHeight="1" x14ac:dyDescent="0.25">
      <c r="A110" s="9607"/>
      <c r="B110" s="1096" t="s">
        <v>2003</v>
      </c>
      <c r="C110" s="471">
        <f>SUM(D110:I110)</f>
        <v>0</v>
      </c>
      <c r="D110" s="1274"/>
      <c r="E110" s="1275"/>
      <c r="F110" s="1275"/>
      <c r="G110" s="1275"/>
      <c r="H110" s="3235"/>
      <c r="I110" s="3231"/>
      <c r="J110" s="140"/>
      <c r="K110" s="140"/>
      <c r="L110" s="140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  <c r="BR110" s="165"/>
      <c r="BS110" s="165"/>
      <c r="BT110" s="165"/>
      <c r="BU110" s="165"/>
      <c r="BV110" s="165"/>
      <c r="BW110" s="165"/>
      <c r="BX110" s="165"/>
      <c r="BY110" s="1452"/>
      <c r="BZ110" s="1452"/>
      <c r="CA110" s="1451"/>
      <c r="CB110" s="1451"/>
      <c r="CC110" s="1451"/>
      <c r="CD110" s="1451"/>
      <c r="CE110" s="1451"/>
      <c r="CF110" s="1451"/>
      <c r="CG110" s="1454"/>
      <c r="CH110" s="1454"/>
      <c r="CI110" s="1454"/>
      <c r="CJ110" s="1454"/>
      <c r="CK110" s="1454"/>
      <c r="CL110" s="1454"/>
      <c r="CM110" s="1454"/>
      <c r="CN110" s="1454"/>
    </row>
    <row r="111" spans="1:92" ht="16.149999999999999" customHeight="1" x14ac:dyDescent="0.25">
      <c r="A111" s="10103" t="s">
        <v>2011</v>
      </c>
      <c r="B111" s="10104"/>
      <c r="C111" s="8045">
        <f>SUM(D111:H111)</f>
        <v>0</v>
      </c>
      <c r="D111" s="1271"/>
      <c r="E111" s="1272"/>
      <c r="F111" s="1272"/>
      <c r="G111" s="1272"/>
      <c r="H111" s="3233"/>
      <c r="I111" s="7398"/>
      <c r="J111" s="140"/>
      <c r="K111" s="140"/>
      <c r="L111" s="140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  <c r="BR111" s="165"/>
      <c r="BS111" s="165"/>
      <c r="BT111" s="165"/>
      <c r="BU111" s="165"/>
      <c r="BV111" s="165"/>
      <c r="BW111" s="165"/>
      <c r="BX111" s="165"/>
      <c r="BY111" s="1452"/>
      <c r="BZ111" s="1452"/>
      <c r="CA111" s="1451"/>
      <c r="CB111" s="1451"/>
      <c r="CC111" s="1451"/>
      <c r="CD111" s="1451"/>
      <c r="CE111" s="1451"/>
      <c r="CF111" s="1451"/>
      <c r="CG111" s="1454"/>
      <c r="CH111" s="1454"/>
      <c r="CI111" s="1454"/>
      <c r="CJ111" s="1454"/>
      <c r="CK111" s="1454"/>
      <c r="CL111" s="1454"/>
      <c r="CM111" s="1454"/>
      <c r="CN111" s="1454"/>
    </row>
    <row r="112" spans="1:92" ht="16.149999999999999" customHeight="1" x14ac:dyDescent="0.25">
      <c r="A112" s="10105" t="s">
        <v>2007</v>
      </c>
      <c r="B112" s="10106"/>
      <c r="C112" s="8047">
        <f>SUM(D112:H112)</f>
        <v>0</v>
      </c>
      <c r="D112" s="125"/>
      <c r="E112" s="83"/>
      <c r="F112" s="83"/>
      <c r="G112" s="83"/>
      <c r="H112" s="3064"/>
      <c r="I112" s="7399"/>
      <c r="J112" s="140"/>
      <c r="K112" s="140"/>
      <c r="L112" s="140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  <c r="BR112" s="165"/>
      <c r="BS112" s="165"/>
      <c r="BT112" s="165"/>
      <c r="BU112" s="165"/>
      <c r="BV112" s="165"/>
      <c r="BW112" s="165"/>
      <c r="BX112" s="165"/>
      <c r="BY112" s="1452"/>
      <c r="BZ112" s="1452"/>
      <c r="CA112" s="1451"/>
      <c r="CB112" s="1451"/>
      <c r="CC112" s="1451"/>
      <c r="CD112" s="1451"/>
      <c r="CE112" s="1451"/>
      <c r="CF112" s="1451"/>
      <c r="CG112" s="1454"/>
      <c r="CH112" s="1454"/>
      <c r="CI112" s="1454"/>
      <c r="CJ112" s="1454"/>
      <c r="CK112" s="1454"/>
      <c r="CL112" s="1454"/>
      <c r="CM112" s="1454"/>
      <c r="CN112" s="1454"/>
    </row>
    <row r="113" spans="1:92" ht="16.149999999999999" customHeight="1" x14ac:dyDescent="0.25">
      <c r="A113" s="1329" t="s">
        <v>2018</v>
      </c>
      <c r="B113" s="598"/>
      <c r="C113" s="1276"/>
      <c r="D113" s="71"/>
      <c r="E113" s="71"/>
      <c r="F113" s="71"/>
      <c r="G113" s="71"/>
      <c r="H113" s="71"/>
      <c r="I113" s="140"/>
      <c r="J113" s="140"/>
      <c r="K113" s="140"/>
      <c r="L113" s="140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  <c r="BR113" s="165"/>
      <c r="BS113" s="165"/>
      <c r="BT113" s="165"/>
      <c r="BU113" s="165"/>
      <c r="BV113" s="165"/>
      <c r="BW113" s="165"/>
      <c r="BX113" s="165"/>
      <c r="BY113" s="1452"/>
      <c r="BZ113" s="1452"/>
      <c r="CA113" s="1451"/>
      <c r="CB113" s="1451"/>
      <c r="CC113" s="1451"/>
      <c r="CD113" s="1451"/>
      <c r="CE113" s="1451"/>
      <c r="CF113" s="1451"/>
      <c r="CG113" s="1454"/>
      <c r="CH113" s="1454"/>
      <c r="CI113" s="1454"/>
      <c r="CJ113" s="1454"/>
      <c r="CK113" s="1454"/>
      <c r="CL113" s="1454"/>
      <c r="CM113" s="1454"/>
      <c r="CN113" s="1454"/>
    </row>
    <row r="114" spans="1:92" ht="31.9" customHeight="1" x14ac:dyDescent="0.25">
      <c r="A114" s="10051" t="s">
        <v>2024</v>
      </c>
      <c r="B114" s="10051"/>
      <c r="C114" s="10051"/>
      <c r="D114" s="10051"/>
      <c r="E114" s="10051"/>
      <c r="F114" s="10051"/>
      <c r="G114" s="10051"/>
      <c r="H114" s="10051"/>
      <c r="I114" s="10051"/>
      <c r="J114" s="140"/>
      <c r="K114" s="140"/>
      <c r="L114" s="140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  <c r="BR114" s="165"/>
      <c r="BS114" s="165"/>
      <c r="BT114" s="165"/>
      <c r="BU114" s="165"/>
      <c r="BV114" s="165"/>
      <c r="BW114" s="165"/>
      <c r="BX114" s="165"/>
      <c r="BY114" s="1452"/>
      <c r="BZ114" s="1452"/>
      <c r="CA114" s="1451"/>
      <c r="CB114" s="1451"/>
      <c r="CC114" s="1451"/>
      <c r="CD114" s="1451"/>
      <c r="CE114" s="1451"/>
      <c r="CF114" s="1451"/>
      <c r="CG114" s="1454"/>
      <c r="CH114" s="1454"/>
      <c r="CI114" s="1454"/>
      <c r="CJ114" s="1454"/>
      <c r="CK114" s="1454"/>
      <c r="CL114" s="1454"/>
      <c r="CM114" s="1454"/>
      <c r="CN114" s="1454"/>
    </row>
    <row r="115" spans="1:92" ht="51.75" customHeight="1" x14ac:dyDescent="0.25">
      <c r="A115" s="10099" t="s">
        <v>1627</v>
      </c>
      <c r="B115" s="10100"/>
      <c r="C115" s="1267" t="s">
        <v>44</v>
      </c>
      <c r="D115" s="1251" t="s">
        <v>3428</v>
      </c>
      <c r="E115" s="1252" t="s">
        <v>3429</v>
      </c>
      <c r="F115" s="1252" t="s">
        <v>3820</v>
      </c>
      <c r="G115" s="1252" t="s">
        <v>3430</v>
      </c>
      <c r="H115" s="3228" t="s">
        <v>3431</v>
      </c>
      <c r="I115" s="3626" t="s">
        <v>3432</v>
      </c>
      <c r="J115" s="140"/>
      <c r="K115" s="140"/>
      <c r="L115" s="140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  <c r="BR115" s="165"/>
      <c r="BS115" s="165"/>
      <c r="BT115" s="165"/>
      <c r="BU115" s="165"/>
      <c r="BV115" s="165"/>
      <c r="BW115" s="165"/>
      <c r="BX115" s="165"/>
      <c r="BY115" s="1452"/>
      <c r="BZ115" s="1452"/>
      <c r="CA115" s="1451"/>
      <c r="CB115" s="1451"/>
      <c r="CC115" s="1451"/>
      <c r="CD115" s="1451"/>
      <c r="CE115" s="1451"/>
      <c r="CF115" s="1451"/>
      <c r="CG115" s="1454"/>
      <c r="CH115" s="1454"/>
      <c r="CI115" s="1454"/>
      <c r="CJ115" s="1454"/>
      <c r="CK115" s="1454"/>
      <c r="CL115" s="1454"/>
      <c r="CM115" s="1454"/>
      <c r="CN115" s="1454"/>
    </row>
    <row r="116" spans="1:92" ht="18" customHeight="1" x14ac:dyDescent="0.25">
      <c r="A116" s="10101" t="s">
        <v>2010</v>
      </c>
      <c r="B116" s="10102"/>
      <c r="C116" s="8048">
        <f>SUM(D116:I116)</f>
        <v>0</v>
      </c>
      <c r="D116" s="7400"/>
      <c r="E116" s="3232"/>
      <c r="F116" s="3232"/>
      <c r="G116" s="3232"/>
      <c r="H116" s="3232"/>
      <c r="I116" s="7401"/>
      <c r="J116" s="223"/>
      <c r="K116" s="140"/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  <c r="BR116" s="165"/>
      <c r="BS116" s="165"/>
      <c r="BT116" s="165"/>
      <c r="BU116" s="165"/>
      <c r="BV116" s="165"/>
      <c r="BW116" s="165"/>
      <c r="BX116" s="165"/>
      <c r="BY116" s="1452"/>
      <c r="BZ116" s="1452"/>
      <c r="CA116" s="1451"/>
      <c r="CB116" s="1451"/>
      <c r="CC116" s="1451"/>
      <c r="CD116" s="1451"/>
      <c r="CE116" s="1451"/>
      <c r="CF116" s="1451"/>
      <c r="CG116" s="1454"/>
      <c r="CH116" s="1454"/>
      <c r="CI116" s="1454"/>
      <c r="CJ116" s="1454"/>
      <c r="CK116" s="1454"/>
      <c r="CL116" s="1454"/>
      <c r="CM116" s="1454"/>
      <c r="CN116" s="1454"/>
    </row>
    <row r="117" spans="1:92" ht="16.149999999999999" customHeight="1" x14ac:dyDescent="0.25">
      <c r="A117" s="10116" t="s">
        <v>1999</v>
      </c>
      <c r="B117" s="3387" t="s">
        <v>2000</v>
      </c>
      <c r="C117" s="8049">
        <f t="shared" ref="C117:C121" si="8">SUM(D117:I117)</f>
        <v>0</v>
      </c>
      <c r="D117" s="7402"/>
      <c r="E117" s="7403"/>
      <c r="F117" s="7403"/>
      <c r="G117" s="7403"/>
      <c r="H117" s="7403"/>
      <c r="I117" s="3230"/>
      <c r="J117" s="153"/>
      <c r="K117" s="223"/>
      <c r="L117" s="140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  <c r="BR117" s="165"/>
      <c r="BS117" s="165"/>
      <c r="BT117" s="165"/>
      <c r="BU117" s="165"/>
      <c r="BV117" s="165"/>
      <c r="BW117" s="165"/>
      <c r="BX117" s="165"/>
      <c r="BY117" s="1452"/>
      <c r="BZ117" s="1452"/>
      <c r="CA117" s="1451"/>
      <c r="CB117" s="1451"/>
      <c r="CC117" s="1451"/>
      <c r="CD117" s="1451"/>
      <c r="CE117" s="1451"/>
      <c r="CF117" s="1451"/>
      <c r="CG117" s="1454"/>
      <c r="CH117" s="1454"/>
      <c r="CI117" s="1454"/>
      <c r="CJ117" s="1454"/>
      <c r="CK117" s="1454"/>
      <c r="CL117" s="1454"/>
      <c r="CM117" s="1454"/>
      <c r="CN117" s="1454"/>
    </row>
    <row r="118" spans="1:92" ht="16.149999999999999" customHeight="1" x14ac:dyDescent="0.25">
      <c r="A118" s="10116"/>
      <c r="B118" s="1277" t="s">
        <v>2023</v>
      </c>
      <c r="C118" s="8050">
        <f t="shared" si="8"/>
        <v>0</v>
      </c>
      <c r="D118" s="7402"/>
      <c r="E118" s="7403"/>
      <c r="F118" s="7403"/>
      <c r="G118" s="7403"/>
      <c r="H118" s="7403"/>
      <c r="I118" s="3230"/>
      <c r="J118" s="165"/>
      <c r="K118" s="165"/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  <c r="BI118" s="165"/>
      <c r="BJ118" s="165"/>
      <c r="BK118" s="165"/>
      <c r="BL118" s="165"/>
      <c r="BM118" s="165"/>
      <c r="BN118" s="165"/>
      <c r="BO118" s="165"/>
      <c r="BP118" s="165"/>
      <c r="BQ118" s="165"/>
      <c r="BR118" s="165"/>
      <c r="BS118" s="165"/>
      <c r="BT118" s="165"/>
      <c r="BU118" s="165"/>
      <c r="BV118" s="165"/>
      <c r="BW118" s="165"/>
      <c r="BX118" s="165"/>
      <c r="BY118" s="1452"/>
      <c r="BZ118" s="1452"/>
      <c r="CA118" s="1451"/>
      <c r="CB118" s="1451"/>
      <c r="CC118" s="1451"/>
      <c r="CD118" s="1451"/>
      <c r="CE118" s="1451"/>
      <c r="CF118" s="1451"/>
      <c r="CG118" s="1454"/>
      <c r="CH118" s="1454"/>
      <c r="CI118" s="1454"/>
      <c r="CJ118" s="1454"/>
      <c r="CK118" s="1454"/>
      <c r="CL118" s="1454"/>
      <c r="CM118" s="1454"/>
      <c r="CN118" s="1454"/>
    </row>
    <row r="119" spans="1:92" ht="16.149999999999999" customHeight="1" x14ac:dyDescent="0.25">
      <c r="A119" s="10056"/>
      <c r="B119" s="1278" t="s">
        <v>2003</v>
      </c>
      <c r="C119" s="7928">
        <f t="shared" si="8"/>
        <v>0</v>
      </c>
      <c r="D119" s="7404"/>
      <c r="E119" s="7405"/>
      <c r="F119" s="7405"/>
      <c r="G119" s="7405"/>
      <c r="H119" s="7405"/>
      <c r="I119" s="3231"/>
      <c r="J119" s="165"/>
      <c r="K119" s="165"/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  <c r="BI119" s="165"/>
      <c r="BJ119" s="165"/>
      <c r="BK119" s="165"/>
      <c r="BL119" s="165"/>
      <c r="BM119" s="165"/>
      <c r="BN119" s="165"/>
      <c r="BO119" s="165"/>
      <c r="BP119" s="165"/>
      <c r="BQ119" s="165"/>
      <c r="BR119" s="165"/>
      <c r="BS119" s="165"/>
      <c r="BT119" s="165"/>
      <c r="BU119" s="165"/>
      <c r="BV119" s="165"/>
      <c r="BW119" s="165"/>
      <c r="BX119" s="165"/>
      <c r="BY119" s="1452"/>
      <c r="BZ119" s="1452"/>
      <c r="CA119" s="1451"/>
      <c r="CB119" s="1451"/>
      <c r="CC119" s="1451"/>
      <c r="CD119" s="1451"/>
      <c r="CE119" s="1451"/>
      <c r="CF119" s="1451"/>
      <c r="CG119" s="1454"/>
      <c r="CH119" s="1454"/>
      <c r="CI119" s="1454"/>
      <c r="CJ119" s="1454"/>
      <c r="CK119" s="1454"/>
      <c r="CL119" s="1454"/>
      <c r="CM119" s="1454"/>
      <c r="CN119" s="1454"/>
    </row>
    <row r="120" spans="1:92" ht="16.149999999999999" customHeight="1" x14ac:dyDescent="0.25">
      <c r="A120" s="10103" t="s">
        <v>2011</v>
      </c>
      <c r="B120" s="10104"/>
      <c r="C120" s="8049">
        <f t="shared" si="8"/>
        <v>0</v>
      </c>
      <c r="D120" s="7402"/>
      <c r="E120" s="7403"/>
      <c r="F120" s="7403"/>
      <c r="G120" s="7403"/>
      <c r="H120" s="7403"/>
      <c r="I120" s="3230"/>
      <c r="J120" s="165"/>
      <c r="K120" s="165"/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  <c r="BR120" s="165"/>
      <c r="BS120" s="165"/>
      <c r="BT120" s="165"/>
      <c r="BU120" s="165"/>
      <c r="BV120" s="165"/>
      <c r="BW120" s="165"/>
      <c r="BX120" s="165"/>
      <c r="BY120" s="1452"/>
      <c r="BZ120" s="1452"/>
      <c r="CA120" s="1451"/>
      <c r="CB120" s="1451"/>
      <c r="CC120" s="1451"/>
      <c r="CD120" s="1451"/>
      <c r="CE120" s="1451"/>
      <c r="CF120" s="1451"/>
      <c r="CG120" s="1454"/>
      <c r="CH120" s="1454"/>
      <c r="CI120" s="1454"/>
      <c r="CJ120" s="1454"/>
      <c r="CK120" s="1454"/>
      <c r="CL120" s="1454"/>
      <c r="CM120" s="1454"/>
      <c r="CN120" s="1454"/>
    </row>
    <row r="121" spans="1:92" ht="16.149999999999999" customHeight="1" x14ac:dyDescent="0.25">
      <c r="A121" s="10105" t="s">
        <v>2007</v>
      </c>
      <c r="B121" s="10106"/>
      <c r="C121" s="8051">
        <f t="shared" si="8"/>
        <v>0</v>
      </c>
      <c r="D121" s="7404"/>
      <c r="E121" s="7405"/>
      <c r="F121" s="7405"/>
      <c r="G121" s="7405"/>
      <c r="H121" s="7405"/>
      <c r="I121" s="3231"/>
      <c r="J121" s="165"/>
      <c r="K121" s="165"/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  <c r="BR121" s="165"/>
      <c r="BS121" s="165"/>
      <c r="BT121" s="165"/>
      <c r="BU121" s="165"/>
      <c r="BV121" s="165"/>
      <c r="BW121" s="165"/>
      <c r="BX121" s="165"/>
      <c r="BY121" s="1452"/>
      <c r="BZ121" s="1452"/>
      <c r="CA121" s="1451"/>
      <c r="CB121" s="1451"/>
      <c r="CC121" s="1451"/>
      <c r="CD121" s="1451"/>
      <c r="CE121" s="1451"/>
      <c r="CF121" s="1451"/>
      <c r="CG121" s="1454"/>
      <c r="CH121" s="1454"/>
      <c r="CI121" s="1454"/>
      <c r="CJ121" s="1454"/>
      <c r="CK121" s="1454"/>
      <c r="CL121" s="1454"/>
      <c r="CM121" s="1454"/>
      <c r="CN121" s="1454"/>
    </row>
    <row r="122" spans="1:92" ht="13.5" customHeight="1" x14ac:dyDescent="0.25">
      <c r="A122" s="1329" t="s">
        <v>2018</v>
      </c>
      <c r="B122" s="598"/>
      <c r="C122" s="1276"/>
      <c r="D122" s="140"/>
      <c r="E122" s="165"/>
      <c r="F122" s="165"/>
      <c r="G122" s="165"/>
      <c r="H122" s="165"/>
      <c r="I122" s="165"/>
      <c r="J122" s="165"/>
      <c r="K122" s="165"/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  <c r="BR122" s="165"/>
      <c r="BS122" s="165"/>
      <c r="BT122" s="165"/>
      <c r="BU122" s="165"/>
      <c r="BV122" s="165"/>
      <c r="BW122" s="165"/>
      <c r="BX122" s="165"/>
      <c r="BY122" s="1452"/>
      <c r="BZ122" s="1452"/>
      <c r="CA122" s="1451"/>
      <c r="CB122" s="1451"/>
      <c r="CC122" s="1451"/>
      <c r="CD122" s="1451"/>
      <c r="CE122" s="1451"/>
      <c r="CF122" s="1451"/>
      <c r="CG122" s="1454"/>
      <c r="CH122" s="1454"/>
      <c r="CI122" s="1454"/>
      <c r="CJ122" s="1454"/>
      <c r="CK122" s="1454"/>
      <c r="CL122" s="1454"/>
      <c r="CM122" s="1454"/>
      <c r="CN122" s="1454"/>
    </row>
    <row r="123" spans="1:92" ht="22.5" customHeight="1" x14ac:dyDescent="0.25">
      <c r="A123" s="10111" t="s">
        <v>3276</v>
      </c>
      <c r="B123" s="10111"/>
      <c r="C123" s="10111"/>
      <c r="D123" s="10111"/>
      <c r="E123" s="10111"/>
      <c r="F123" s="165"/>
      <c r="G123" s="165"/>
      <c r="H123" s="165"/>
      <c r="I123" s="165"/>
      <c r="J123" s="165"/>
      <c r="K123" s="165"/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  <c r="BR123" s="165"/>
      <c r="BS123" s="165"/>
      <c r="BT123" s="165"/>
      <c r="BU123" s="165"/>
      <c r="BV123" s="165"/>
      <c r="BW123" s="165"/>
      <c r="BX123" s="165"/>
      <c r="BY123" s="1452"/>
      <c r="BZ123" s="1452"/>
      <c r="CA123" s="1451"/>
      <c r="CB123" s="1451"/>
      <c r="CC123" s="1451"/>
      <c r="CD123" s="1451"/>
      <c r="CE123" s="1451"/>
      <c r="CF123" s="1451"/>
      <c r="CG123" s="1454"/>
      <c r="CH123" s="1454"/>
      <c r="CI123" s="1454"/>
      <c r="CJ123" s="1454"/>
      <c r="CK123" s="1454"/>
      <c r="CL123" s="1454"/>
      <c r="CM123" s="1454"/>
      <c r="CN123" s="1454"/>
    </row>
    <row r="124" spans="1:92" ht="33.6" customHeight="1" x14ac:dyDescent="0.25">
      <c r="A124" s="1279" t="s">
        <v>2025</v>
      </c>
      <c r="B124" s="3192" t="s">
        <v>2026</v>
      </c>
      <c r="C124" s="1280"/>
      <c r="D124" s="684"/>
      <c r="E124" s="165"/>
      <c r="F124" s="165"/>
      <c r="G124" s="165"/>
      <c r="H124" s="165"/>
      <c r="I124" s="165"/>
      <c r="J124" s="165"/>
      <c r="K124" s="165"/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  <c r="BR124" s="165"/>
      <c r="BS124" s="165"/>
      <c r="BT124" s="165"/>
      <c r="BU124" s="165"/>
      <c r="BV124" s="165"/>
      <c r="BW124" s="165"/>
      <c r="BX124" s="165"/>
      <c r="BY124" s="1452"/>
      <c r="BZ124" s="1452"/>
      <c r="CA124" s="1451"/>
      <c r="CB124" s="1451"/>
      <c r="CC124" s="1451"/>
      <c r="CD124" s="1451"/>
      <c r="CE124" s="1451"/>
      <c r="CF124" s="1451"/>
      <c r="CG124" s="1454"/>
      <c r="CH124" s="1454"/>
      <c r="CI124" s="1454"/>
      <c r="CJ124" s="1454"/>
      <c r="CK124" s="1454"/>
      <c r="CL124" s="1454"/>
      <c r="CM124" s="1454"/>
      <c r="CN124" s="1454"/>
    </row>
    <row r="125" spans="1:92" x14ac:dyDescent="0.25">
      <c r="A125" s="1273" t="s">
        <v>2027</v>
      </c>
      <c r="B125" s="1281"/>
      <c r="C125" s="1280"/>
      <c r="D125" s="684"/>
      <c r="E125" s="165"/>
      <c r="F125" s="165"/>
      <c r="G125" s="165"/>
      <c r="H125" s="165"/>
      <c r="I125" s="165"/>
      <c r="J125" s="165"/>
      <c r="K125" s="165"/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  <c r="BR125" s="165"/>
      <c r="BS125" s="165"/>
      <c r="BT125" s="165"/>
      <c r="BU125" s="165"/>
      <c r="BV125" s="165"/>
      <c r="BW125" s="165"/>
      <c r="BX125" s="165"/>
      <c r="BY125" s="1452"/>
      <c r="BZ125" s="1452"/>
      <c r="CA125" s="1451"/>
      <c r="CB125" s="1451"/>
      <c r="CC125" s="1451"/>
      <c r="CD125" s="1451"/>
      <c r="CE125" s="1451"/>
      <c r="CF125" s="1451"/>
      <c r="CG125" s="1454"/>
      <c r="CH125" s="1454"/>
      <c r="CI125" s="1454"/>
      <c r="CJ125" s="1454"/>
      <c r="CK125" s="1454"/>
      <c r="CL125" s="1454"/>
      <c r="CM125" s="1454"/>
      <c r="CN125" s="1454"/>
    </row>
    <row r="126" spans="1:92" x14ac:dyDescent="0.25">
      <c r="A126" s="1273" t="s">
        <v>2028</v>
      </c>
      <c r="B126" s="1282"/>
      <c r="C126" s="1280"/>
      <c r="D126" s="684"/>
      <c r="E126" s="165"/>
      <c r="F126" s="165"/>
      <c r="G126" s="165"/>
      <c r="H126" s="165"/>
      <c r="I126" s="165"/>
      <c r="J126" s="165"/>
      <c r="K126" s="165"/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  <c r="BR126" s="165"/>
      <c r="BS126" s="165"/>
      <c r="BT126" s="165"/>
      <c r="BU126" s="165"/>
      <c r="BV126" s="165"/>
      <c r="BW126" s="165"/>
      <c r="BX126" s="165"/>
      <c r="BY126" s="1452"/>
      <c r="BZ126" s="1452"/>
      <c r="CA126" s="1451"/>
      <c r="CB126" s="1451"/>
      <c r="CC126" s="1451"/>
      <c r="CD126" s="1451"/>
      <c r="CE126" s="1451"/>
      <c r="CF126" s="1451"/>
      <c r="CG126" s="1454"/>
      <c r="CH126" s="1454"/>
      <c r="CI126" s="1454"/>
      <c r="CJ126" s="1454"/>
      <c r="CK126" s="1454"/>
      <c r="CL126" s="1454"/>
      <c r="CM126" s="1454"/>
      <c r="CN126" s="1454"/>
    </row>
    <row r="127" spans="1:92" x14ac:dyDescent="0.25">
      <c r="A127" s="1273" t="s">
        <v>2029</v>
      </c>
      <c r="B127" s="1282"/>
      <c r="C127" s="1280"/>
      <c r="D127" s="684"/>
      <c r="E127" s="165"/>
      <c r="F127" s="165"/>
      <c r="G127" s="165"/>
      <c r="H127" s="165"/>
      <c r="I127" s="165"/>
      <c r="J127" s="165"/>
      <c r="K127" s="165"/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  <c r="BR127" s="165"/>
      <c r="BS127" s="165"/>
      <c r="BT127" s="165"/>
      <c r="BU127" s="165"/>
      <c r="BV127" s="165"/>
      <c r="BW127" s="165"/>
      <c r="BX127" s="165"/>
      <c r="BY127" s="1452"/>
      <c r="BZ127" s="1452"/>
      <c r="CA127" s="1451"/>
      <c r="CB127" s="1451"/>
      <c r="CC127" s="1451"/>
      <c r="CD127" s="1451"/>
      <c r="CE127" s="1451"/>
      <c r="CF127" s="1451"/>
      <c r="CG127" s="1454"/>
      <c r="CH127" s="1454"/>
      <c r="CI127" s="1454"/>
      <c r="CJ127" s="1454"/>
      <c r="CK127" s="1454"/>
      <c r="CL127" s="1454"/>
      <c r="CM127" s="1454"/>
      <c r="CN127" s="1454"/>
    </row>
    <row r="128" spans="1:92" x14ac:dyDescent="0.25">
      <c r="A128" s="1273" t="s">
        <v>2030</v>
      </c>
      <c r="B128" s="1282"/>
      <c r="C128" s="1283"/>
      <c r="D128" s="684"/>
      <c r="E128" s="165"/>
      <c r="F128" s="165"/>
      <c r="G128" s="165"/>
      <c r="H128" s="165"/>
      <c r="I128" s="165"/>
      <c r="J128" s="165"/>
      <c r="K128" s="165"/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  <c r="BR128" s="165"/>
      <c r="BS128" s="165"/>
      <c r="BT128" s="165"/>
      <c r="BU128" s="165"/>
      <c r="BV128" s="165"/>
      <c r="BW128" s="165"/>
      <c r="BX128" s="165"/>
      <c r="BY128" s="1452"/>
      <c r="BZ128" s="1452"/>
      <c r="CA128" s="1451"/>
      <c r="CB128" s="1451"/>
      <c r="CC128" s="1451"/>
      <c r="CD128" s="1451"/>
      <c r="CE128" s="1451"/>
      <c r="CF128" s="1451"/>
      <c r="CG128" s="1454"/>
      <c r="CH128" s="1454"/>
      <c r="CI128" s="1454"/>
      <c r="CJ128" s="1454"/>
      <c r="CK128" s="1454"/>
      <c r="CL128" s="1454"/>
      <c r="CM128" s="1454"/>
      <c r="CN128" s="1454"/>
    </row>
    <row r="129" spans="1:92" x14ac:dyDescent="0.25">
      <c r="A129" s="1096" t="s">
        <v>2031</v>
      </c>
      <c r="B129" s="1284"/>
      <c r="C129" s="1283"/>
      <c r="D129" s="684"/>
      <c r="E129" s="165"/>
      <c r="F129" s="165"/>
      <c r="G129" s="165"/>
      <c r="H129" s="165"/>
      <c r="I129" s="165"/>
      <c r="J129" s="165"/>
      <c r="K129" s="165"/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  <c r="BR129" s="165"/>
      <c r="BS129" s="165"/>
      <c r="BT129" s="165"/>
      <c r="BU129" s="165"/>
      <c r="BV129" s="165"/>
      <c r="BW129" s="165"/>
      <c r="BX129" s="165"/>
      <c r="BY129" s="1452"/>
      <c r="BZ129" s="1452"/>
      <c r="CA129" s="1451"/>
      <c r="CB129" s="1451"/>
      <c r="CC129" s="1451"/>
      <c r="CD129" s="1451"/>
      <c r="CE129" s="1451"/>
      <c r="CF129" s="1451"/>
      <c r="CG129" s="1454"/>
      <c r="CH129" s="1454"/>
      <c r="CI129" s="1454"/>
      <c r="CJ129" s="1454"/>
      <c r="CK129" s="1454"/>
      <c r="CL129" s="1454"/>
      <c r="CM129" s="1454"/>
      <c r="CN129" s="1454"/>
    </row>
    <row r="130" spans="1:92" ht="24.75" customHeight="1" x14ac:dyDescent="0.25">
      <c r="A130" s="10112" t="s">
        <v>3277</v>
      </c>
      <c r="B130" s="10113"/>
      <c r="C130" s="10113"/>
      <c r="D130" s="10113"/>
      <c r="E130" s="165"/>
      <c r="F130" s="165"/>
      <c r="G130" s="165"/>
      <c r="H130" s="165"/>
      <c r="I130" s="165"/>
      <c r="J130" s="165"/>
      <c r="K130" s="165"/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  <c r="BR130" s="165"/>
      <c r="BS130" s="165"/>
      <c r="BT130" s="165"/>
      <c r="BU130" s="165"/>
      <c r="BV130" s="165"/>
      <c r="BW130" s="165"/>
      <c r="BX130" s="165"/>
      <c r="BY130" s="1452"/>
      <c r="BZ130" s="1452"/>
      <c r="CA130" s="1451"/>
      <c r="CB130" s="1451"/>
      <c r="CC130" s="1451"/>
      <c r="CD130" s="1451"/>
      <c r="CE130" s="1451"/>
      <c r="CF130" s="1451"/>
      <c r="CG130" s="1454"/>
      <c r="CH130" s="1454"/>
      <c r="CI130" s="1454"/>
      <c r="CJ130" s="1454"/>
      <c r="CK130" s="1454"/>
      <c r="CL130" s="1454"/>
      <c r="CM130" s="1454"/>
      <c r="CN130" s="1454"/>
    </row>
    <row r="131" spans="1:92" ht="28.15" customHeight="1" x14ac:dyDescent="0.25">
      <c r="A131" s="1279" t="s">
        <v>2025</v>
      </c>
      <c r="B131" s="3192" t="s">
        <v>3278</v>
      </c>
      <c r="C131" s="1280"/>
      <c r="D131" s="684"/>
      <c r="E131" s="153"/>
      <c r="F131" s="165"/>
      <c r="G131" s="165"/>
      <c r="H131" s="165"/>
      <c r="I131" s="165"/>
      <c r="J131" s="165"/>
      <c r="K131" s="165"/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  <c r="BR131" s="165"/>
      <c r="BS131" s="165"/>
      <c r="BT131" s="165"/>
      <c r="BU131" s="165"/>
      <c r="BV131" s="165"/>
      <c r="BW131" s="165"/>
      <c r="BX131" s="165"/>
      <c r="BY131" s="1452"/>
      <c r="BZ131" s="1452"/>
      <c r="CA131" s="1451"/>
      <c r="CB131" s="1451"/>
      <c r="CC131" s="1451"/>
      <c r="CD131" s="1451"/>
      <c r="CE131" s="1451"/>
      <c r="CF131" s="1451"/>
      <c r="CG131" s="1454"/>
      <c r="CH131" s="1454"/>
      <c r="CI131" s="1454"/>
      <c r="CJ131" s="1454"/>
      <c r="CK131" s="1454"/>
      <c r="CL131" s="1454"/>
      <c r="CM131" s="1454"/>
      <c r="CN131" s="1454"/>
    </row>
    <row r="132" spans="1:92" ht="16.149999999999999" customHeight="1" x14ac:dyDescent="0.25">
      <c r="A132" s="1273" t="s">
        <v>2027</v>
      </c>
      <c r="B132" s="1281"/>
      <c r="C132" s="1280"/>
      <c r="D132" s="684"/>
      <c r="E132" s="1280"/>
      <c r="F132" s="223"/>
      <c r="G132" s="140"/>
      <c r="H132" s="140"/>
      <c r="I132" s="684"/>
      <c r="J132" s="1280"/>
      <c r="K132" s="223"/>
      <c r="L132" s="140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  <c r="BR132" s="165"/>
      <c r="BS132" s="165"/>
      <c r="BT132" s="165"/>
      <c r="BU132" s="165"/>
      <c r="BV132" s="165"/>
      <c r="BW132" s="165"/>
      <c r="BX132" s="165"/>
      <c r="BY132" s="1452"/>
      <c r="BZ132" s="1452"/>
      <c r="CA132" s="1451"/>
      <c r="CB132" s="1451"/>
      <c r="CC132" s="1451"/>
      <c r="CD132" s="1451"/>
      <c r="CE132" s="1451"/>
      <c r="CF132" s="1451"/>
      <c r="CG132" s="1454"/>
      <c r="CH132" s="1454"/>
      <c r="CI132" s="1454"/>
      <c r="CJ132" s="1454"/>
      <c r="CK132" s="1454"/>
      <c r="CL132" s="1454"/>
      <c r="CM132" s="1454"/>
      <c r="CN132" s="1454"/>
    </row>
    <row r="133" spans="1:92" ht="16.149999999999999" customHeight="1" x14ac:dyDescent="0.25">
      <c r="A133" s="1273" t="s">
        <v>2028</v>
      </c>
      <c r="B133" s="1282"/>
      <c r="C133" s="1280"/>
      <c r="D133" s="684"/>
      <c r="E133" s="1280"/>
      <c r="F133" s="223"/>
      <c r="G133" s="140"/>
      <c r="H133" s="140"/>
      <c r="I133" s="684"/>
      <c r="J133" s="1280"/>
      <c r="K133" s="223"/>
      <c r="L133" s="140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  <c r="AY133" s="165"/>
      <c r="AZ133" s="165"/>
      <c r="BA133" s="165"/>
      <c r="BB133" s="165"/>
      <c r="BC133" s="165"/>
      <c r="BD133" s="165"/>
      <c r="BE133" s="165"/>
      <c r="BF133" s="165"/>
      <c r="BG133" s="165"/>
      <c r="BH133" s="165"/>
      <c r="BI133" s="165"/>
      <c r="BJ133" s="165"/>
      <c r="BK133" s="165"/>
      <c r="BL133" s="165"/>
      <c r="BM133" s="165"/>
      <c r="BN133" s="165"/>
      <c r="BO133" s="165"/>
      <c r="BP133" s="165"/>
      <c r="BQ133" s="165"/>
      <c r="BR133" s="165"/>
      <c r="BS133" s="165"/>
      <c r="BT133" s="165"/>
      <c r="BU133" s="165"/>
      <c r="BV133" s="165"/>
      <c r="BW133" s="165"/>
      <c r="BX133" s="165"/>
      <c r="BY133" s="1452"/>
      <c r="BZ133" s="1452"/>
      <c r="CA133" s="1451"/>
      <c r="CB133" s="1451"/>
      <c r="CC133" s="1451"/>
      <c r="CD133" s="1451"/>
      <c r="CE133" s="1451"/>
      <c r="CF133" s="1451"/>
      <c r="CG133" s="1454"/>
      <c r="CH133" s="1454"/>
      <c r="CI133" s="1454"/>
      <c r="CJ133" s="1454"/>
      <c r="CK133" s="1454"/>
      <c r="CL133" s="1454"/>
      <c r="CM133" s="1454"/>
      <c r="CN133" s="1454"/>
    </row>
    <row r="134" spans="1:92" ht="16.149999999999999" customHeight="1" x14ac:dyDescent="0.25">
      <c r="A134" s="1273" t="s">
        <v>2029</v>
      </c>
      <c r="B134" s="1282"/>
      <c r="C134" s="1280"/>
      <c r="D134" s="684"/>
      <c r="E134" s="1280"/>
      <c r="F134" s="223"/>
      <c r="G134" s="140"/>
      <c r="H134" s="140"/>
      <c r="I134" s="684"/>
      <c r="J134" s="1280"/>
      <c r="K134" s="223"/>
      <c r="L134" s="140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  <c r="AY134" s="165"/>
      <c r="AZ134" s="165"/>
      <c r="BA134" s="165"/>
      <c r="BB134" s="165"/>
      <c r="BC134" s="165"/>
      <c r="BD134" s="165"/>
      <c r="BE134" s="165"/>
      <c r="BF134" s="165"/>
      <c r="BG134" s="165"/>
      <c r="BH134" s="165"/>
      <c r="BI134" s="165"/>
      <c r="BJ134" s="165"/>
      <c r="BK134" s="165"/>
      <c r="BL134" s="165"/>
      <c r="BM134" s="165"/>
      <c r="BN134" s="165"/>
      <c r="BO134" s="165"/>
      <c r="BP134" s="165"/>
      <c r="BQ134" s="165"/>
      <c r="BR134" s="165"/>
      <c r="BS134" s="165"/>
      <c r="BT134" s="165"/>
      <c r="BU134" s="165"/>
      <c r="BV134" s="165"/>
      <c r="BW134" s="165"/>
      <c r="BX134" s="165"/>
      <c r="BY134" s="1452"/>
      <c r="BZ134" s="1452"/>
      <c r="CA134" s="1451"/>
      <c r="CB134" s="1451"/>
      <c r="CC134" s="1451"/>
      <c r="CD134" s="1451"/>
      <c r="CE134" s="1451"/>
      <c r="CF134" s="1451"/>
      <c r="CG134" s="1454"/>
      <c r="CH134" s="1454"/>
      <c r="CI134" s="1454"/>
      <c r="CJ134" s="1454"/>
      <c r="CK134" s="1454"/>
      <c r="CL134" s="1454"/>
      <c r="CM134" s="1454"/>
      <c r="CN134" s="1454"/>
    </row>
    <row r="135" spans="1:92" ht="16.149999999999999" customHeight="1" x14ac:dyDescent="0.25">
      <c r="A135" s="1273" t="s">
        <v>2030</v>
      </c>
      <c r="B135" s="1282"/>
      <c r="C135" s="1283"/>
      <c r="D135" s="10114"/>
      <c r="E135" s="10115"/>
      <c r="F135" s="223"/>
      <c r="G135" s="140"/>
      <c r="H135" s="140"/>
      <c r="I135" s="684"/>
      <c r="J135" s="1280"/>
      <c r="K135" s="223"/>
      <c r="L135" s="140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  <c r="BR135" s="165"/>
      <c r="BS135" s="165"/>
      <c r="BT135" s="165"/>
      <c r="BU135" s="165"/>
      <c r="BV135" s="165"/>
      <c r="BW135" s="165"/>
      <c r="BX135" s="165"/>
      <c r="BY135" s="1452"/>
      <c r="BZ135" s="1452"/>
      <c r="CA135" s="1451"/>
      <c r="CB135" s="1451"/>
      <c r="CC135" s="1451"/>
      <c r="CD135" s="1451"/>
      <c r="CE135" s="1451"/>
      <c r="CF135" s="1451"/>
      <c r="CG135" s="1454"/>
      <c r="CH135" s="1454"/>
      <c r="CI135" s="1454"/>
      <c r="CJ135" s="1454"/>
      <c r="CK135" s="1454"/>
      <c r="CL135" s="1454"/>
      <c r="CM135" s="1454"/>
      <c r="CN135" s="1454"/>
    </row>
    <row r="136" spans="1:92" ht="16.149999999999999" customHeight="1" x14ac:dyDescent="0.25">
      <c r="A136" s="1096" t="s">
        <v>2031</v>
      </c>
      <c r="B136" s="1284"/>
      <c r="C136" s="1283"/>
      <c r="D136" s="10114"/>
      <c r="E136" s="10115"/>
      <c r="F136" s="223"/>
      <c r="G136" s="140"/>
      <c r="H136" s="140"/>
      <c r="I136" s="684"/>
      <c r="J136" s="1280"/>
      <c r="K136" s="223"/>
      <c r="L136" s="140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  <c r="BR136" s="165"/>
      <c r="BS136" s="165"/>
      <c r="BT136" s="165"/>
      <c r="BU136" s="165"/>
      <c r="BV136" s="165"/>
      <c r="BW136" s="165"/>
      <c r="BX136" s="165"/>
      <c r="BY136" s="1452"/>
      <c r="BZ136" s="1452"/>
      <c r="CA136" s="1451"/>
      <c r="CB136" s="1451"/>
      <c r="CC136" s="1451"/>
      <c r="CD136" s="1451"/>
      <c r="CE136" s="1451"/>
      <c r="CF136" s="1451"/>
      <c r="CG136" s="1454"/>
      <c r="CH136" s="1454"/>
      <c r="CI136" s="1454"/>
      <c r="CJ136" s="1454"/>
      <c r="CK136" s="1454"/>
      <c r="CL136" s="1454"/>
      <c r="CM136" s="1454"/>
      <c r="CN136" s="1454"/>
    </row>
    <row r="137" spans="1:92" ht="26.25" customHeight="1" x14ac:dyDescent="0.25">
      <c r="A137" s="1285" t="s">
        <v>2032</v>
      </c>
      <c r="B137" s="1286"/>
      <c r="C137" s="1286"/>
      <c r="D137" s="1286"/>
      <c r="E137" s="1286"/>
      <c r="F137" s="1286"/>
      <c r="G137" s="165"/>
      <c r="H137" s="165"/>
      <c r="I137" s="165"/>
      <c r="J137" s="153"/>
      <c r="K137" s="223"/>
      <c r="L137" s="140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  <c r="BR137" s="165"/>
      <c r="BS137" s="165"/>
      <c r="BT137" s="165"/>
      <c r="BU137" s="165"/>
      <c r="BV137" s="165"/>
      <c r="BW137" s="165"/>
      <c r="BX137" s="165"/>
      <c r="BY137" s="1452"/>
      <c r="BZ137" s="1452"/>
      <c r="CA137" s="1451"/>
      <c r="CB137" s="1451"/>
      <c r="CC137" s="1451"/>
      <c r="CD137" s="1451"/>
      <c r="CE137" s="1451"/>
      <c r="CF137" s="1451"/>
      <c r="CG137" s="1454"/>
      <c r="CH137" s="1454"/>
      <c r="CI137" s="1454"/>
      <c r="CJ137" s="1454"/>
      <c r="CK137" s="1454"/>
      <c r="CL137" s="1454"/>
      <c r="CM137" s="1454"/>
      <c r="CN137" s="1454"/>
    </row>
    <row r="138" spans="1:92" ht="16.149999999999999" customHeight="1" x14ac:dyDescent="0.25">
      <c r="A138" s="10099" t="s">
        <v>1981</v>
      </c>
      <c r="B138" s="10100"/>
      <c r="C138" s="1267" t="s">
        <v>24</v>
      </c>
      <c r="D138" s="1251" t="s">
        <v>2033</v>
      </c>
      <c r="E138" s="1252" t="s">
        <v>2034</v>
      </c>
      <c r="F138" s="1253" t="s">
        <v>2035</v>
      </c>
      <c r="G138" s="165"/>
      <c r="H138" s="165"/>
      <c r="I138" s="165"/>
      <c r="J138" s="223"/>
      <c r="K138" s="140"/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  <c r="BH138" s="165"/>
      <c r="BI138" s="165"/>
      <c r="BJ138" s="165"/>
      <c r="BK138" s="165"/>
      <c r="BL138" s="165"/>
      <c r="BM138" s="165"/>
      <c r="BN138" s="165"/>
      <c r="BO138" s="165"/>
      <c r="BP138" s="165"/>
      <c r="BQ138" s="165"/>
      <c r="BR138" s="165"/>
      <c r="BS138" s="165"/>
      <c r="BT138" s="165"/>
      <c r="BU138" s="165"/>
      <c r="BV138" s="165"/>
      <c r="BW138" s="165"/>
      <c r="BX138" s="165"/>
      <c r="BY138" s="1452"/>
      <c r="BZ138" s="1452"/>
      <c r="CA138" s="1451"/>
      <c r="CB138" s="1451"/>
      <c r="CC138" s="1451"/>
      <c r="CD138" s="1451"/>
      <c r="CE138" s="1451"/>
      <c r="CF138" s="1451"/>
      <c r="CG138" s="1454"/>
      <c r="CH138" s="1454"/>
      <c r="CI138" s="1454"/>
      <c r="CJ138" s="1454"/>
      <c r="CK138" s="1454"/>
      <c r="CL138" s="1454"/>
      <c r="CM138" s="1454"/>
      <c r="CN138" s="1454"/>
    </row>
    <row r="139" spans="1:92" ht="16.149999999999999" customHeight="1" x14ac:dyDescent="0.25">
      <c r="A139" s="10123" t="s">
        <v>2010</v>
      </c>
      <c r="B139" s="10124"/>
      <c r="C139" s="1287">
        <f t="shared" ref="C139:C144" si="9">SUM(D139:F139)</f>
        <v>0</v>
      </c>
      <c r="D139" s="1288"/>
      <c r="E139" s="1289"/>
      <c r="F139" s="1290"/>
      <c r="G139" s="72"/>
      <c r="H139" s="165"/>
      <c r="I139" s="165"/>
      <c r="J139" s="223"/>
      <c r="K139" s="140"/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  <c r="AY139" s="165"/>
      <c r="AZ139" s="165"/>
      <c r="BA139" s="165"/>
      <c r="BB139" s="165"/>
      <c r="BC139" s="165"/>
      <c r="BD139" s="165"/>
      <c r="BE139" s="165"/>
      <c r="BF139" s="165"/>
      <c r="BG139" s="165"/>
      <c r="BH139" s="165"/>
      <c r="BI139" s="165"/>
      <c r="BJ139" s="165"/>
      <c r="BK139" s="165"/>
      <c r="BL139" s="165"/>
      <c r="BM139" s="165"/>
      <c r="BN139" s="165"/>
      <c r="BO139" s="165"/>
      <c r="BP139" s="165"/>
      <c r="BQ139" s="165"/>
      <c r="BR139" s="165"/>
      <c r="BS139" s="165"/>
      <c r="BT139" s="165"/>
      <c r="BU139" s="165"/>
      <c r="BV139" s="165"/>
      <c r="BW139" s="165"/>
      <c r="BX139" s="165"/>
      <c r="BY139" s="1452"/>
      <c r="BZ139" s="1452"/>
      <c r="CA139" s="1451"/>
      <c r="CB139" s="1451"/>
      <c r="CC139" s="1451"/>
      <c r="CD139" s="1451"/>
      <c r="CE139" s="1451"/>
      <c r="CF139" s="1451"/>
      <c r="CG139" s="1454"/>
      <c r="CH139" s="1454"/>
      <c r="CI139" s="1454"/>
      <c r="CJ139" s="1454"/>
      <c r="CK139" s="1454"/>
      <c r="CL139" s="1454"/>
      <c r="CM139" s="1454"/>
      <c r="CN139" s="1454"/>
    </row>
    <row r="140" spans="1:92" ht="16.149999999999999" customHeight="1" x14ac:dyDescent="0.25">
      <c r="A140" s="8213" t="s">
        <v>1999</v>
      </c>
      <c r="B140" s="1291" t="s">
        <v>2036</v>
      </c>
      <c r="C140" s="1292">
        <f t="shared" si="9"/>
        <v>0</v>
      </c>
      <c r="D140" s="1255"/>
      <c r="E140" s="1256"/>
      <c r="F140" s="1257"/>
      <c r="G140" s="72"/>
      <c r="H140" s="165"/>
      <c r="I140" s="165"/>
      <c r="J140" s="223"/>
      <c r="K140" s="140"/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  <c r="AY140" s="165"/>
      <c r="AZ140" s="165"/>
      <c r="BA140" s="165"/>
      <c r="BB140" s="165"/>
      <c r="BC140" s="165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65"/>
      <c r="BQ140" s="165"/>
      <c r="BR140" s="165"/>
      <c r="BS140" s="165"/>
      <c r="BT140" s="165"/>
      <c r="BU140" s="165"/>
      <c r="BV140" s="165"/>
      <c r="BW140" s="165"/>
      <c r="BX140" s="165"/>
      <c r="BY140" s="1452"/>
      <c r="BZ140" s="1452"/>
      <c r="CA140" s="1451"/>
      <c r="CB140" s="1451"/>
      <c r="CC140" s="1451"/>
      <c r="CD140" s="1451"/>
      <c r="CE140" s="1451"/>
      <c r="CF140" s="1451"/>
      <c r="CG140" s="1454"/>
      <c r="CH140" s="1454"/>
      <c r="CI140" s="1454"/>
      <c r="CJ140" s="1454"/>
      <c r="CK140" s="1454"/>
      <c r="CL140" s="1454"/>
      <c r="CM140" s="1454"/>
      <c r="CN140" s="1454"/>
    </row>
    <row r="141" spans="1:92" ht="16.149999999999999" customHeight="1" x14ac:dyDescent="0.25">
      <c r="A141" s="10116"/>
      <c r="B141" s="1277" t="s">
        <v>2023</v>
      </c>
      <c r="C141" s="1293">
        <f t="shared" si="9"/>
        <v>0</v>
      </c>
      <c r="D141" s="1109"/>
      <c r="E141" s="1130"/>
      <c r="F141" s="1110"/>
      <c r="G141" s="72"/>
      <c r="H141" s="165"/>
      <c r="I141" s="165"/>
      <c r="J141" s="223"/>
      <c r="K141" s="140"/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  <c r="BR141" s="165"/>
      <c r="BS141" s="165"/>
      <c r="BT141" s="165"/>
      <c r="BU141" s="165"/>
      <c r="BV141" s="165"/>
      <c r="BW141" s="165"/>
      <c r="BX141" s="165"/>
      <c r="BY141" s="1452"/>
      <c r="BZ141" s="1452"/>
      <c r="CA141" s="1451"/>
      <c r="CB141" s="1451"/>
      <c r="CC141" s="1451"/>
      <c r="CD141" s="1451"/>
      <c r="CE141" s="1451"/>
      <c r="CF141" s="1451"/>
      <c r="CG141" s="1454"/>
      <c r="CH141" s="1454"/>
      <c r="CI141" s="1454"/>
      <c r="CJ141" s="1454"/>
      <c r="CK141" s="1454"/>
      <c r="CL141" s="1454"/>
      <c r="CM141" s="1454"/>
      <c r="CN141" s="1454"/>
    </row>
    <row r="142" spans="1:92" ht="16.149999999999999" customHeight="1" x14ac:dyDescent="0.25">
      <c r="A142" s="10056"/>
      <c r="B142" s="1278" t="s">
        <v>2037</v>
      </c>
      <c r="C142" s="142">
        <f t="shared" si="9"/>
        <v>0</v>
      </c>
      <c r="D142" s="125"/>
      <c r="E142" s="83"/>
      <c r="F142" s="127"/>
      <c r="G142" s="72"/>
      <c r="H142" s="165"/>
      <c r="I142" s="165"/>
      <c r="J142" s="223"/>
      <c r="K142" s="140"/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  <c r="BH142" s="165"/>
      <c r="BI142" s="165"/>
      <c r="BJ142" s="165"/>
      <c r="BK142" s="165"/>
      <c r="BL142" s="165"/>
      <c r="BM142" s="165"/>
      <c r="BN142" s="165"/>
      <c r="BO142" s="165"/>
      <c r="BP142" s="165"/>
      <c r="BQ142" s="165"/>
      <c r="BR142" s="165"/>
      <c r="BS142" s="165"/>
      <c r="BT142" s="165"/>
      <c r="BU142" s="165"/>
      <c r="BV142" s="165"/>
      <c r="BW142" s="165"/>
      <c r="BX142" s="165"/>
      <c r="BY142" s="1452"/>
      <c r="BZ142" s="1452"/>
      <c r="CA142" s="1451"/>
      <c r="CB142" s="1451"/>
      <c r="CC142" s="1451"/>
      <c r="CD142" s="1451"/>
      <c r="CE142" s="1451"/>
      <c r="CF142" s="1451"/>
      <c r="CG142" s="1454"/>
      <c r="CH142" s="1454"/>
      <c r="CI142" s="1454"/>
      <c r="CJ142" s="1454"/>
      <c r="CK142" s="1454"/>
      <c r="CL142" s="1454"/>
      <c r="CM142" s="1454"/>
      <c r="CN142" s="1454"/>
    </row>
    <row r="143" spans="1:92" ht="16.149999999999999" customHeight="1" x14ac:dyDescent="0.25">
      <c r="A143" s="10125" t="s">
        <v>2011</v>
      </c>
      <c r="B143" s="10126"/>
      <c r="C143" s="1294">
        <f t="shared" si="9"/>
        <v>0</v>
      </c>
      <c r="D143" s="906"/>
      <c r="E143" s="78"/>
      <c r="F143" s="143"/>
      <c r="G143" s="72"/>
      <c r="H143" s="165"/>
      <c r="I143" s="165"/>
      <c r="J143" s="223"/>
      <c r="K143" s="140"/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  <c r="BR143" s="165"/>
      <c r="BS143" s="165"/>
      <c r="BT143" s="165"/>
      <c r="BU143" s="165"/>
      <c r="BV143" s="165"/>
      <c r="BW143" s="165"/>
      <c r="BX143" s="165"/>
      <c r="BY143" s="1452"/>
      <c r="BZ143" s="1452"/>
      <c r="CA143" s="1451"/>
      <c r="CB143" s="1451"/>
      <c r="CC143" s="1451"/>
      <c r="CD143" s="1451"/>
      <c r="CE143" s="1451"/>
      <c r="CF143" s="1451"/>
      <c r="CG143" s="1454"/>
      <c r="CH143" s="1454"/>
      <c r="CI143" s="1454"/>
      <c r="CJ143" s="1454"/>
      <c r="CK143" s="1454"/>
      <c r="CL143" s="1454"/>
      <c r="CM143" s="1454"/>
      <c r="CN143" s="1454"/>
    </row>
    <row r="144" spans="1:92" ht="16.149999999999999" customHeight="1" x14ac:dyDescent="0.25">
      <c r="A144" s="10105" t="s">
        <v>2007</v>
      </c>
      <c r="B144" s="10106"/>
      <c r="C144" s="142">
        <f t="shared" si="9"/>
        <v>0</v>
      </c>
      <c r="D144" s="125"/>
      <c r="E144" s="83"/>
      <c r="F144" s="127"/>
      <c r="G144" s="72"/>
      <c r="H144" s="165"/>
      <c r="I144" s="165"/>
      <c r="J144" s="223"/>
      <c r="K144" s="140"/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  <c r="BR144" s="165"/>
      <c r="BS144" s="165"/>
      <c r="BT144" s="165"/>
      <c r="BU144" s="165"/>
      <c r="BV144" s="165"/>
      <c r="BW144" s="165"/>
      <c r="BX144" s="165"/>
      <c r="BY144" s="1452"/>
      <c r="BZ144" s="1452"/>
      <c r="CA144" s="1451"/>
      <c r="CB144" s="1451"/>
      <c r="CC144" s="1451"/>
      <c r="CD144" s="1451"/>
      <c r="CE144" s="1451"/>
      <c r="CF144" s="1451"/>
      <c r="CG144" s="1454"/>
      <c r="CH144" s="1454"/>
      <c r="CI144" s="1454"/>
      <c r="CJ144" s="1454"/>
      <c r="CK144" s="1454"/>
      <c r="CL144" s="1454"/>
      <c r="CM144" s="1454"/>
      <c r="CN144" s="1454"/>
    </row>
    <row r="145" spans="1:94" ht="16.149999999999999" customHeight="1" x14ac:dyDescent="0.25">
      <c r="A145" s="1329" t="s">
        <v>2018</v>
      </c>
      <c r="B145" s="685"/>
      <c r="C145" s="1266"/>
      <c r="D145" s="1266"/>
      <c r="E145" s="71"/>
      <c r="F145" s="140"/>
      <c r="G145" s="165"/>
      <c r="H145" s="165"/>
      <c r="I145" s="165"/>
      <c r="J145" s="223"/>
      <c r="K145" s="140"/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  <c r="BR145" s="165"/>
      <c r="BS145" s="165"/>
      <c r="BT145" s="165"/>
      <c r="BU145" s="165"/>
      <c r="BV145" s="165"/>
      <c r="BW145" s="165"/>
      <c r="BX145" s="165"/>
      <c r="BY145" s="1452"/>
      <c r="BZ145" s="1452"/>
      <c r="CA145" s="1451"/>
      <c r="CB145" s="1451"/>
      <c r="CC145" s="1451"/>
      <c r="CD145" s="1451"/>
      <c r="CE145" s="1451"/>
      <c r="CF145" s="1451"/>
      <c r="CG145" s="1454"/>
      <c r="CH145" s="1454"/>
      <c r="CI145" s="1454"/>
      <c r="CJ145" s="1454"/>
      <c r="CK145" s="1454"/>
      <c r="CL145" s="1454"/>
      <c r="CM145" s="1454"/>
      <c r="CN145" s="1454"/>
    </row>
    <row r="146" spans="1:94" ht="16.149999999999999" customHeight="1" x14ac:dyDescent="0.25">
      <c r="A146" s="1329" t="s">
        <v>2038</v>
      </c>
      <c r="B146" s="1099"/>
      <c r="C146" s="1266"/>
      <c r="D146" s="1266"/>
      <c r="E146" s="1266"/>
      <c r="F146" s="1266"/>
      <c r="G146" s="165"/>
      <c r="H146" s="165"/>
      <c r="I146" s="165"/>
      <c r="J146" s="223"/>
      <c r="K146" s="140"/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  <c r="BH146" s="165"/>
      <c r="BI146" s="165"/>
      <c r="BJ146" s="165"/>
      <c r="BK146" s="165"/>
      <c r="BL146" s="165"/>
      <c r="BM146" s="165"/>
      <c r="BN146" s="165"/>
      <c r="BO146" s="165"/>
      <c r="BP146" s="165"/>
      <c r="BQ146" s="165"/>
      <c r="BR146" s="165"/>
      <c r="BS146" s="165"/>
      <c r="BT146" s="165"/>
      <c r="BU146" s="165"/>
      <c r="BV146" s="165"/>
      <c r="BW146" s="165"/>
      <c r="BX146" s="165"/>
      <c r="BY146" s="1452"/>
      <c r="BZ146" s="1452"/>
      <c r="CA146" s="1451"/>
      <c r="CB146" s="1451"/>
      <c r="CC146" s="1451"/>
      <c r="CD146" s="1451"/>
      <c r="CE146" s="1451"/>
      <c r="CF146" s="1451"/>
      <c r="CG146" s="1454"/>
      <c r="CH146" s="1454"/>
      <c r="CI146" s="1454"/>
      <c r="CJ146" s="1454"/>
      <c r="CK146" s="1454"/>
      <c r="CL146" s="1454"/>
      <c r="CM146" s="1454"/>
      <c r="CN146" s="1454"/>
    </row>
    <row r="147" spans="1:94" ht="31.9" customHeight="1" x14ac:dyDescent="0.25">
      <c r="A147" s="1231" t="s">
        <v>2039</v>
      </c>
      <c r="B147" s="1231"/>
      <c r="C147" s="1231"/>
      <c r="D147" s="1231"/>
      <c r="E147" s="1231"/>
      <c r="F147" s="1295"/>
      <c r="G147" s="1295"/>
      <c r="H147" s="165"/>
      <c r="I147" s="165"/>
      <c r="J147" s="223"/>
      <c r="K147" s="140"/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  <c r="BR147" s="165"/>
      <c r="BS147" s="165"/>
      <c r="BT147" s="165"/>
      <c r="BU147" s="165"/>
      <c r="BV147" s="165"/>
      <c r="BW147" s="165"/>
      <c r="BX147" s="165"/>
      <c r="BY147" s="1452"/>
      <c r="BZ147" s="1452"/>
      <c r="CA147" s="1451"/>
      <c r="CB147" s="1451"/>
      <c r="CC147" s="1451"/>
      <c r="CD147" s="1451"/>
      <c r="CE147" s="1451"/>
      <c r="CF147" s="1451"/>
      <c r="CG147" s="1454"/>
      <c r="CH147" s="1454"/>
      <c r="CI147" s="1454"/>
      <c r="CJ147" s="1454"/>
      <c r="CK147" s="1454"/>
      <c r="CL147" s="1454"/>
      <c r="CM147" s="1454"/>
      <c r="CN147" s="1454"/>
    </row>
    <row r="148" spans="1:94" ht="27" customHeight="1" x14ac:dyDescent="0.25">
      <c r="A148" s="9534" t="s">
        <v>2040</v>
      </c>
      <c r="B148" s="9536"/>
      <c r="C148" s="10109"/>
      <c r="D148" s="10117" t="s">
        <v>2041</v>
      </c>
      <c r="E148" s="8272"/>
      <c r="F148" s="8256"/>
      <c r="G148" s="10117" t="s">
        <v>2042</v>
      </c>
      <c r="H148" s="8272"/>
      <c r="I148" s="8256"/>
      <c r="J148" s="165"/>
      <c r="K148" s="165"/>
      <c r="L148" s="223"/>
      <c r="M148" s="140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5"/>
      <c r="BC148" s="165"/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5"/>
      <c r="BR148" s="165"/>
      <c r="BS148" s="165"/>
      <c r="BT148" s="165"/>
      <c r="BU148" s="165"/>
      <c r="BV148" s="165"/>
      <c r="BW148" s="165"/>
      <c r="BX148" s="165"/>
      <c r="BY148" s="165"/>
      <c r="BZ148" s="165"/>
      <c r="CA148" s="1452"/>
      <c r="CB148" s="1452"/>
      <c r="CC148" s="1451"/>
      <c r="CD148" s="1451"/>
      <c r="CE148" s="1451"/>
      <c r="CF148" s="1451"/>
      <c r="CG148" s="1451"/>
      <c r="CH148" s="1451"/>
      <c r="CI148" s="1454"/>
      <c r="CJ148" s="1454"/>
      <c r="CK148" s="1454"/>
      <c r="CL148" s="1454"/>
      <c r="CM148" s="1454"/>
      <c r="CN148" s="1454"/>
      <c r="CO148" s="1454"/>
      <c r="CP148" s="1454"/>
    </row>
    <row r="149" spans="1:94" ht="24" customHeight="1" x14ac:dyDescent="0.25">
      <c r="A149" s="9559"/>
      <c r="B149" s="8152"/>
      <c r="C149" s="10110"/>
      <c r="D149" s="1119" t="s">
        <v>2013</v>
      </c>
      <c r="E149" s="3206" t="s">
        <v>2043</v>
      </c>
      <c r="F149" s="3388" t="s">
        <v>3289</v>
      </c>
      <c r="G149" s="1119" t="s">
        <v>2013</v>
      </c>
      <c r="H149" s="3206" t="s">
        <v>2043</v>
      </c>
      <c r="I149" s="3388" t="s">
        <v>3289</v>
      </c>
      <c r="J149" s="165"/>
      <c r="K149" s="165"/>
      <c r="L149" s="223"/>
      <c r="M149" s="140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  <c r="BR149" s="165"/>
      <c r="BS149" s="165"/>
      <c r="BT149" s="165"/>
      <c r="BU149" s="165"/>
      <c r="BV149" s="165"/>
      <c r="BW149" s="165"/>
      <c r="BX149" s="165"/>
      <c r="BY149" s="165"/>
      <c r="BZ149" s="165"/>
      <c r="CA149" s="1452"/>
      <c r="CB149" s="1452"/>
      <c r="CC149" s="1451"/>
      <c r="CD149" s="1451"/>
      <c r="CE149" s="1451"/>
      <c r="CF149" s="1451"/>
      <c r="CG149" s="1451"/>
      <c r="CH149" s="1451"/>
      <c r="CI149" s="1454"/>
      <c r="CJ149" s="1454"/>
      <c r="CK149" s="1454"/>
      <c r="CL149" s="1454"/>
      <c r="CM149" s="1454"/>
      <c r="CN149" s="1454"/>
      <c r="CO149" s="1454"/>
      <c r="CP149" s="1454"/>
    </row>
    <row r="150" spans="1:94" ht="16.149999999999999" customHeight="1" x14ac:dyDescent="0.25">
      <c r="A150" s="10101" t="s">
        <v>2010</v>
      </c>
      <c r="B150" s="10102"/>
      <c r="C150" s="7941"/>
      <c r="D150" s="687"/>
      <c r="E150" s="3207"/>
      <c r="F150" s="3205"/>
      <c r="G150" s="687"/>
      <c r="H150" s="3207"/>
      <c r="I150" s="3205"/>
      <c r="J150" s="72"/>
      <c r="K150" s="165"/>
      <c r="L150" s="223"/>
      <c r="M150" s="140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  <c r="BR150" s="165"/>
      <c r="BS150" s="165"/>
      <c r="BT150" s="165"/>
      <c r="BU150" s="165"/>
      <c r="BV150" s="165"/>
      <c r="BW150" s="165"/>
      <c r="BX150" s="165"/>
      <c r="BY150" s="165"/>
      <c r="BZ150" s="165"/>
      <c r="CA150" s="1452"/>
      <c r="CB150" s="1452"/>
      <c r="CC150" s="1451"/>
      <c r="CD150" s="1451"/>
      <c r="CE150" s="1451"/>
      <c r="CF150" s="1451"/>
      <c r="CG150" s="1451"/>
      <c r="CH150" s="1451"/>
      <c r="CI150" s="1454"/>
      <c r="CJ150" s="1454"/>
      <c r="CK150" s="1454"/>
      <c r="CL150" s="1454"/>
      <c r="CM150" s="1454"/>
      <c r="CN150" s="1454"/>
      <c r="CO150" s="1454"/>
      <c r="CP150" s="1454"/>
    </row>
    <row r="151" spans="1:94" ht="16.149999999999999" customHeight="1" x14ac:dyDescent="0.25">
      <c r="A151" s="8213" t="s">
        <v>1999</v>
      </c>
      <c r="B151" s="1291" t="s">
        <v>2036</v>
      </c>
      <c r="C151" s="7941"/>
      <c r="D151" s="687"/>
      <c r="E151" s="3207"/>
      <c r="F151" s="3205"/>
      <c r="G151" s="687"/>
      <c r="H151" s="3207"/>
      <c r="I151" s="3205"/>
      <c r="J151" s="72"/>
      <c r="K151" s="165"/>
      <c r="L151" s="223"/>
      <c r="M151" s="140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  <c r="BR151" s="165"/>
      <c r="BS151" s="165"/>
      <c r="BT151" s="165"/>
      <c r="BU151" s="165"/>
      <c r="BV151" s="165"/>
      <c r="BW151" s="165"/>
      <c r="BX151" s="165"/>
      <c r="BY151" s="165"/>
      <c r="BZ151" s="165"/>
      <c r="CA151" s="1452"/>
      <c r="CB151" s="1452"/>
      <c r="CC151" s="1451"/>
      <c r="CD151" s="1451"/>
      <c r="CE151" s="1451"/>
      <c r="CF151" s="1451"/>
      <c r="CG151" s="1451"/>
      <c r="CH151" s="1451"/>
      <c r="CI151" s="1454"/>
      <c r="CJ151" s="1454"/>
      <c r="CK151" s="1454"/>
      <c r="CL151" s="1454"/>
      <c r="CM151" s="1454"/>
      <c r="CN151" s="1454"/>
      <c r="CO151" s="1454"/>
      <c r="CP151" s="1454"/>
    </row>
    <row r="152" spans="1:94" ht="16.149999999999999" customHeight="1" x14ac:dyDescent="0.25">
      <c r="A152" s="10116"/>
      <c r="B152" s="1277" t="s">
        <v>2023</v>
      </c>
      <c r="C152" s="7941"/>
      <c r="D152" s="1161"/>
      <c r="E152" s="3203"/>
      <c r="F152" s="1855"/>
      <c r="G152" s="1161"/>
      <c r="H152" s="3203"/>
      <c r="I152" s="1855"/>
      <c r="J152" s="72"/>
      <c r="K152" s="165"/>
      <c r="L152" s="223"/>
      <c r="M152" s="140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  <c r="BR152" s="165"/>
      <c r="BS152" s="165"/>
      <c r="BT152" s="165"/>
      <c r="BU152" s="165"/>
      <c r="BV152" s="165"/>
      <c r="BW152" s="165"/>
      <c r="BX152" s="165"/>
      <c r="BY152" s="165"/>
      <c r="BZ152" s="165"/>
      <c r="CA152" s="1452"/>
      <c r="CB152" s="1452"/>
      <c r="CC152" s="1451"/>
      <c r="CD152" s="1451"/>
      <c r="CE152" s="1451"/>
      <c r="CF152" s="1451"/>
      <c r="CG152" s="1451"/>
      <c r="CH152" s="1451"/>
      <c r="CI152" s="1454"/>
      <c r="CJ152" s="1454"/>
      <c r="CK152" s="1454"/>
      <c r="CL152" s="1454"/>
      <c r="CM152" s="1454"/>
      <c r="CN152" s="1454"/>
      <c r="CO152" s="1454"/>
      <c r="CP152" s="1454"/>
    </row>
    <row r="153" spans="1:94" ht="16.149999999999999" customHeight="1" x14ac:dyDescent="0.25">
      <c r="A153" s="10056"/>
      <c r="B153" s="1278" t="s">
        <v>2037</v>
      </c>
      <c r="C153" s="7941"/>
      <c r="D153" s="252"/>
      <c r="E153" s="1851"/>
      <c r="F153" s="3204"/>
      <c r="G153" s="252"/>
      <c r="H153" s="1851"/>
      <c r="I153" s="3204"/>
      <c r="J153" s="72"/>
      <c r="K153" s="165"/>
      <c r="L153" s="223"/>
      <c r="M153" s="140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  <c r="BR153" s="165"/>
      <c r="BS153" s="165"/>
      <c r="BT153" s="165"/>
      <c r="BU153" s="165"/>
      <c r="BV153" s="165"/>
      <c r="BW153" s="165"/>
      <c r="BX153" s="165"/>
      <c r="BY153" s="165"/>
      <c r="BZ153" s="165"/>
      <c r="CA153" s="1452"/>
      <c r="CB153" s="1452"/>
      <c r="CC153" s="1451"/>
      <c r="CD153" s="1451"/>
      <c r="CE153" s="1451"/>
      <c r="CF153" s="1451"/>
      <c r="CG153" s="1451"/>
      <c r="CH153" s="1451"/>
      <c r="CI153" s="1454"/>
      <c r="CJ153" s="1454"/>
      <c r="CK153" s="1454"/>
      <c r="CL153" s="1454"/>
      <c r="CM153" s="1454"/>
      <c r="CN153" s="1454"/>
      <c r="CO153" s="1454"/>
      <c r="CP153" s="1454"/>
    </row>
    <row r="154" spans="1:94" ht="16.149999999999999" customHeight="1" x14ac:dyDescent="0.25">
      <c r="A154" s="10103" t="s">
        <v>2011</v>
      </c>
      <c r="B154" s="10104"/>
      <c r="C154" s="7941"/>
      <c r="D154" s="691"/>
      <c r="E154" s="7406"/>
      <c r="F154" s="7407"/>
      <c r="G154" s="691"/>
      <c r="H154" s="7406"/>
      <c r="I154" s="7407"/>
      <c r="J154" s="72"/>
      <c r="K154" s="165"/>
      <c r="L154" s="223"/>
      <c r="M154" s="140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  <c r="BR154" s="165"/>
      <c r="BS154" s="165"/>
      <c r="BT154" s="165"/>
      <c r="BU154" s="165"/>
      <c r="BV154" s="165"/>
      <c r="BW154" s="165"/>
      <c r="BX154" s="165"/>
      <c r="BY154" s="165"/>
      <c r="BZ154" s="165"/>
      <c r="CA154" s="1452"/>
      <c r="CB154" s="1452"/>
      <c r="CC154" s="1451"/>
      <c r="CD154" s="1451"/>
      <c r="CE154" s="1451"/>
      <c r="CF154" s="1451"/>
      <c r="CG154" s="1451"/>
      <c r="CH154" s="1451"/>
      <c r="CI154" s="1454"/>
      <c r="CJ154" s="1454"/>
      <c r="CK154" s="1454"/>
      <c r="CL154" s="1454"/>
      <c r="CM154" s="1454"/>
      <c r="CN154" s="1454"/>
      <c r="CO154" s="1454"/>
      <c r="CP154" s="1454"/>
    </row>
    <row r="155" spans="1:94" ht="16.149999999999999" customHeight="1" x14ac:dyDescent="0.25">
      <c r="A155" s="10105" t="s">
        <v>2007</v>
      </c>
      <c r="B155" s="10106"/>
      <c r="C155" s="7941"/>
      <c r="D155" s="1234"/>
      <c r="E155" s="7408"/>
      <c r="F155" s="7409"/>
      <c r="G155" s="1234"/>
      <c r="H155" s="7408"/>
      <c r="I155" s="7409"/>
      <c r="J155" s="72"/>
      <c r="K155" s="165"/>
      <c r="L155" s="223"/>
      <c r="M155" s="140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  <c r="BR155" s="165"/>
      <c r="BS155" s="165"/>
      <c r="BT155" s="165"/>
      <c r="BU155" s="165"/>
      <c r="BV155" s="165"/>
      <c r="BW155" s="165"/>
      <c r="BX155" s="165"/>
      <c r="BY155" s="165"/>
      <c r="BZ155" s="165"/>
      <c r="CA155" s="1452"/>
      <c r="CB155" s="1452"/>
      <c r="CC155" s="1451"/>
      <c r="CD155" s="1451"/>
      <c r="CE155" s="1451"/>
      <c r="CF155" s="1451"/>
      <c r="CG155" s="1451"/>
      <c r="CH155" s="1451"/>
      <c r="CI155" s="1454"/>
      <c r="CJ155" s="1454"/>
      <c r="CK155" s="1454"/>
      <c r="CL155" s="1454"/>
      <c r="CM155" s="1454"/>
      <c r="CN155" s="1454"/>
      <c r="CO155" s="1454"/>
      <c r="CP155" s="1454"/>
    </row>
    <row r="156" spans="1:94" ht="16.149999999999999" customHeight="1" x14ac:dyDescent="0.25">
      <c r="A156" s="10118" t="s">
        <v>24</v>
      </c>
      <c r="B156" s="10119"/>
      <c r="C156" s="5141"/>
      <c r="D156" s="1104">
        <f>SUM(D150:D155)</f>
        <v>0</v>
      </c>
      <c r="E156" s="7688">
        <f>SUM(E150:E153)</f>
        <v>0</v>
      </c>
      <c r="F156" s="7689">
        <f>SUM(F150:F153)</f>
        <v>0</v>
      </c>
      <c r="G156" s="1104">
        <f>SUM(G150:G155)</f>
        <v>0</v>
      </c>
      <c r="H156" s="7688">
        <f>SUM(H150:H153)</f>
        <v>0</v>
      </c>
      <c r="I156" s="7689">
        <f>SUM(I150:I153)</f>
        <v>0</v>
      </c>
      <c r="J156" s="165"/>
      <c r="K156" s="165"/>
      <c r="L156" s="223"/>
      <c r="M156" s="140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  <c r="BR156" s="165"/>
      <c r="BS156" s="165"/>
      <c r="BT156" s="165"/>
      <c r="BU156" s="165"/>
      <c r="BV156" s="165"/>
      <c r="BW156" s="165"/>
      <c r="BX156" s="165"/>
      <c r="BY156" s="165"/>
      <c r="BZ156" s="165"/>
      <c r="CA156" s="1452"/>
      <c r="CB156" s="1452"/>
      <c r="CC156" s="1451"/>
      <c r="CD156" s="1451"/>
      <c r="CE156" s="1451"/>
      <c r="CF156" s="1451"/>
      <c r="CG156" s="1451"/>
      <c r="CH156" s="1451"/>
      <c r="CI156" s="1454"/>
      <c r="CJ156" s="1454"/>
      <c r="CK156" s="1454"/>
      <c r="CL156" s="1454"/>
      <c r="CM156" s="1454"/>
      <c r="CN156" s="1454"/>
      <c r="CO156" s="1454"/>
      <c r="CP156" s="1454"/>
    </row>
    <row r="157" spans="1:94" ht="31.9" customHeight="1" x14ac:dyDescent="0.25">
      <c r="A157" s="1296" t="s">
        <v>2044</v>
      </c>
      <c r="B157" s="1296"/>
      <c r="C157" s="1296"/>
      <c r="D157" s="1295"/>
      <c r="E157" s="1295"/>
      <c r="F157" s="1266"/>
      <c r="G157" s="165"/>
      <c r="H157" s="165"/>
      <c r="I157" s="165"/>
      <c r="J157" s="223"/>
      <c r="K157" s="140"/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  <c r="BR157" s="165"/>
      <c r="BS157" s="165"/>
      <c r="BT157" s="165"/>
      <c r="BU157" s="165"/>
      <c r="BV157" s="165"/>
      <c r="BW157" s="165"/>
      <c r="BX157" s="165"/>
      <c r="BY157" s="1452"/>
      <c r="BZ157" s="1452"/>
      <c r="CA157" s="1451"/>
      <c r="CB157" s="1451"/>
      <c r="CC157" s="1451"/>
      <c r="CD157" s="1451"/>
      <c r="CE157" s="1451"/>
      <c r="CF157" s="1451"/>
      <c r="CG157" s="1454"/>
      <c r="CH157" s="1454"/>
      <c r="CI157" s="1454"/>
      <c r="CJ157" s="1454"/>
      <c r="CK157" s="1454"/>
      <c r="CL157" s="1454"/>
      <c r="CM157" s="1454"/>
      <c r="CN157" s="1454"/>
    </row>
    <row r="158" spans="1:94" ht="16.149999999999999" customHeight="1" x14ac:dyDescent="0.25">
      <c r="A158" s="9534" t="s">
        <v>47</v>
      </c>
      <c r="B158" s="10120"/>
      <c r="C158" s="1184" t="s">
        <v>24</v>
      </c>
      <c r="D158" s="1295"/>
      <c r="E158" s="1295"/>
      <c r="F158" s="214"/>
      <c r="G158" s="165"/>
      <c r="H158" s="165"/>
      <c r="I158" s="165"/>
      <c r="J158" s="223"/>
      <c r="K158" s="140"/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  <c r="BR158" s="165"/>
      <c r="BS158" s="165"/>
      <c r="BT158" s="165"/>
      <c r="BU158" s="165"/>
      <c r="BV158" s="165"/>
      <c r="BW158" s="165"/>
      <c r="BX158" s="165"/>
      <c r="BY158" s="1452"/>
      <c r="BZ158" s="1452"/>
      <c r="CA158" s="1451"/>
      <c r="CB158" s="1451"/>
      <c r="CC158" s="1451"/>
      <c r="CD158" s="1451"/>
      <c r="CE158" s="1451"/>
      <c r="CF158" s="1451"/>
      <c r="CG158" s="1454"/>
      <c r="CH158" s="1454"/>
      <c r="CI158" s="1454"/>
      <c r="CJ158" s="1454"/>
      <c r="CK158" s="1454"/>
      <c r="CL158" s="1454"/>
      <c r="CM158" s="1454"/>
      <c r="CN158" s="1454"/>
    </row>
    <row r="159" spans="1:94" ht="16.149999999999999" customHeight="1" x14ac:dyDescent="0.25">
      <c r="A159" s="10121" t="s">
        <v>2045</v>
      </c>
      <c r="B159" s="1297" t="s">
        <v>190</v>
      </c>
      <c r="C159" s="1298"/>
      <c r="D159" s="1295"/>
      <c r="E159" s="1295"/>
      <c r="F159" s="214"/>
      <c r="G159" s="165"/>
      <c r="H159" s="165"/>
      <c r="I159" s="165"/>
      <c r="J159" s="223"/>
      <c r="K159" s="140"/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  <c r="BR159" s="165"/>
      <c r="BS159" s="165"/>
      <c r="BT159" s="165"/>
      <c r="BU159" s="165"/>
      <c r="BV159" s="165"/>
      <c r="BW159" s="165"/>
      <c r="BX159" s="165"/>
      <c r="BY159" s="1452"/>
      <c r="BZ159" s="1452"/>
      <c r="CA159" s="1451"/>
      <c r="CB159" s="1451"/>
      <c r="CC159" s="1451"/>
      <c r="CD159" s="1451"/>
      <c r="CE159" s="1451"/>
      <c r="CF159" s="1451"/>
      <c r="CG159" s="1454"/>
      <c r="CH159" s="1454"/>
      <c r="CI159" s="1454"/>
      <c r="CJ159" s="1454"/>
      <c r="CK159" s="1454"/>
      <c r="CL159" s="1454"/>
      <c r="CM159" s="1454"/>
      <c r="CN159" s="1454"/>
    </row>
    <row r="160" spans="1:94" ht="16.149999999999999" customHeight="1" x14ac:dyDescent="0.25">
      <c r="A160" s="10122"/>
      <c r="B160" s="1299" t="s">
        <v>2046</v>
      </c>
      <c r="C160" s="1300"/>
      <c r="D160" s="1295"/>
      <c r="E160" s="1295"/>
      <c r="F160" s="214"/>
      <c r="G160" s="165"/>
      <c r="H160" s="165"/>
      <c r="I160" s="165"/>
      <c r="J160" s="223"/>
      <c r="K160" s="140"/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  <c r="BH160" s="165"/>
      <c r="BI160" s="165"/>
      <c r="BJ160" s="165"/>
      <c r="BK160" s="165"/>
      <c r="BL160" s="165"/>
      <c r="BM160" s="165"/>
      <c r="BN160" s="165"/>
      <c r="BO160" s="165"/>
      <c r="BP160" s="165"/>
      <c r="BQ160" s="165"/>
      <c r="BR160" s="165"/>
      <c r="BS160" s="165"/>
      <c r="BT160" s="165"/>
      <c r="BU160" s="165"/>
      <c r="BV160" s="165"/>
      <c r="BW160" s="165"/>
      <c r="BX160" s="165"/>
      <c r="BY160" s="1452"/>
      <c r="BZ160" s="1452"/>
      <c r="CA160" s="1451"/>
      <c r="CB160" s="1451"/>
      <c r="CC160" s="1451"/>
      <c r="CD160" s="1451"/>
      <c r="CE160" s="1451"/>
      <c r="CF160" s="1451"/>
      <c r="CG160" s="1454"/>
      <c r="CH160" s="1454"/>
      <c r="CI160" s="1454"/>
      <c r="CJ160" s="1454"/>
      <c r="CK160" s="1454"/>
      <c r="CL160" s="1454"/>
      <c r="CM160" s="1454"/>
      <c r="CN160" s="1454"/>
    </row>
    <row r="161" spans="1:92" ht="29.45" customHeight="1" x14ac:dyDescent="0.25">
      <c r="A161" s="798" t="s">
        <v>3253</v>
      </c>
      <c r="B161" s="290"/>
      <c r="C161" s="290"/>
      <c r="D161" s="165"/>
      <c r="E161" s="165"/>
      <c r="F161" s="140"/>
      <c r="G161" s="140"/>
      <c r="H161" s="165"/>
      <c r="I161" s="165"/>
      <c r="J161" s="165"/>
      <c r="K161" s="165"/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  <c r="BH161" s="165"/>
      <c r="BI161" s="165"/>
      <c r="BJ161" s="165"/>
      <c r="BK161" s="165"/>
      <c r="BL161" s="165"/>
      <c r="BM161" s="165"/>
      <c r="BN161" s="165"/>
      <c r="BO161" s="165"/>
      <c r="BP161" s="165"/>
      <c r="BQ161" s="165"/>
      <c r="BR161" s="165"/>
      <c r="BS161" s="165"/>
      <c r="BT161" s="165"/>
      <c r="BU161" s="165"/>
      <c r="BV161" s="165"/>
      <c r="BW161" s="165"/>
      <c r="BX161" s="165"/>
      <c r="BY161" s="1452"/>
      <c r="BZ161" s="1452"/>
      <c r="CA161" s="1451"/>
      <c r="CB161" s="1451"/>
      <c r="CC161" s="1451"/>
      <c r="CD161" s="1451"/>
      <c r="CE161" s="1451"/>
      <c r="CF161" s="1451"/>
      <c r="CG161" s="1454"/>
      <c r="CH161" s="1454"/>
      <c r="CI161" s="1454"/>
      <c r="CJ161" s="1454"/>
      <c r="CK161" s="1454"/>
      <c r="CL161" s="1454"/>
      <c r="CM161" s="1454"/>
      <c r="CN161" s="1454"/>
    </row>
    <row r="162" spans="1:92" ht="16.149999999999999" customHeight="1" x14ac:dyDescent="0.25">
      <c r="A162" s="10151" t="s">
        <v>3254</v>
      </c>
      <c r="B162" s="10151" t="s">
        <v>3255</v>
      </c>
      <c r="C162" s="10164" t="s">
        <v>3256</v>
      </c>
      <c r="D162" s="10165"/>
      <c r="E162" s="10166"/>
      <c r="F162" s="8273" t="s">
        <v>44</v>
      </c>
      <c r="G162" s="8492" t="s">
        <v>3423</v>
      </c>
      <c r="H162" s="10161" t="s">
        <v>3424</v>
      </c>
      <c r="I162" s="8494" t="s">
        <v>3425</v>
      </c>
      <c r="J162" s="165"/>
      <c r="K162" s="165"/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  <c r="BR162" s="165"/>
      <c r="BS162" s="165"/>
      <c r="BT162" s="165"/>
      <c r="BU162" s="165"/>
      <c r="BV162" s="165"/>
      <c r="BW162" s="165"/>
      <c r="BX162" s="165"/>
      <c r="BY162" s="1452"/>
      <c r="BZ162" s="1452"/>
      <c r="CA162" s="1451"/>
      <c r="CB162" s="1451"/>
      <c r="CC162" s="1451"/>
      <c r="CD162" s="1451"/>
      <c r="CE162" s="1451"/>
      <c r="CF162" s="1451"/>
      <c r="CG162" s="1454"/>
      <c r="CH162" s="1454"/>
      <c r="CI162" s="1454"/>
      <c r="CJ162" s="1454"/>
      <c r="CK162" s="1454"/>
      <c r="CL162" s="1454"/>
      <c r="CM162" s="1454"/>
      <c r="CN162" s="1454"/>
    </row>
    <row r="163" spans="1:92" ht="16.149999999999999" customHeight="1" x14ac:dyDescent="0.25">
      <c r="A163" s="10151"/>
      <c r="B163" s="10151"/>
      <c r="C163" s="10167"/>
      <c r="D163" s="10168"/>
      <c r="E163" s="10169"/>
      <c r="F163" s="8275"/>
      <c r="G163" s="10147"/>
      <c r="H163" s="10162"/>
      <c r="I163" s="10163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  <c r="BH163" s="165"/>
      <c r="BI163" s="165"/>
      <c r="BJ163" s="165"/>
      <c r="BK163" s="165"/>
      <c r="BL163" s="165"/>
      <c r="BM163" s="165"/>
      <c r="BN163" s="165"/>
      <c r="BO163" s="165"/>
      <c r="BP163" s="165"/>
      <c r="BQ163" s="165"/>
      <c r="BR163" s="165"/>
      <c r="BS163" s="165"/>
      <c r="BT163" s="165"/>
      <c r="BU163" s="165"/>
      <c r="BV163" s="165"/>
      <c r="BW163" s="165"/>
      <c r="BX163" s="165"/>
      <c r="BY163" s="1452"/>
      <c r="BZ163" s="1452"/>
      <c r="CA163" s="1451"/>
      <c r="CB163" s="1451"/>
      <c r="CC163" s="1451"/>
      <c r="CD163" s="1451"/>
      <c r="CE163" s="1451"/>
      <c r="CF163" s="1451"/>
      <c r="CG163" s="1454"/>
      <c r="CH163" s="1454"/>
      <c r="CI163" s="1454"/>
      <c r="CJ163" s="1454"/>
      <c r="CK163" s="1454"/>
      <c r="CL163" s="1454"/>
      <c r="CM163" s="1454"/>
      <c r="CN163" s="1454"/>
    </row>
    <row r="164" spans="1:92" ht="16.149999999999999" customHeight="1" x14ac:dyDescent="0.25">
      <c r="A164" s="10148" t="s">
        <v>3257</v>
      </c>
      <c r="B164" s="10149" t="s">
        <v>3258</v>
      </c>
      <c r="C164" s="10170" t="s">
        <v>3259</v>
      </c>
      <c r="D164" s="10171"/>
      <c r="E164" s="10172"/>
      <c r="F164" s="1665">
        <f>SUM(G164:I164)</f>
        <v>0</v>
      </c>
      <c r="G164" s="3627"/>
      <c r="H164" s="3203"/>
      <c r="I164" s="1855"/>
      <c r="J164" s="165"/>
      <c r="K164" s="165"/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  <c r="BH164" s="165"/>
      <c r="BI164" s="165"/>
      <c r="BJ164" s="165"/>
      <c r="BK164" s="165"/>
      <c r="BL164" s="165"/>
      <c r="BM164" s="165"/>
      <c r="BN164" s="165"/>
      <c r="BO164" s="165"/>
      <c r="BP164" s="165"/>
      <c r="BQ164" s="165"/>
      <c r="BR164" s="165"/>
      <c r="BS164" s="165"/>
      <c r="BT164" s="165"/>
      <c r="BU164" s="165"/>
      <c r="BV164" s="165"/>
      <c r="BW164" s="165"/>
      <c r="BX164" s="165"/>
      <c r="BY164" s="1452"/>
      <c r="BZ164" s="1452"/>
      <c r="CA164" s="1451"/>
      <c r="CB164" s="1451"/>
      <c r="CC164" s="1451"/>
      <c r="CD164" s="1451"/>
      <c r="CE164" s="1451"/>
      <c r="CF164" s="1451"/>
      <c r="CG164" s="1454"/>
      <c r="CH164" s="1454"/>
      <c r="CI164" s="1454"/>
      <c r="CJ164" s="1454"/>
      <c r="CK164" s="1454"/>
      <c r="CL164" s="1454"/>
      <c r="CM164" s="1454"/>
      <c r="CN164" s="1454"/>
    </row>
    <row r="165" spans="1:92" ht="16.149999999999999" customHeight="1" x14ac:dyDescent="0.25">
      <c r="A165" s="10148"/>
      <c r="B165" s="10149"/>
      <c r="C165" s="10152" t="s">
        <v>3260</v>
      </c>
      <c r="D165" s="10153"/>
      <c r="E165" s="10154"/>
      <c r="F165" s="1665">
        <f t="shared" ref="F165:F171" si="10">SUM(G165:I165)</f>
        <v>0</v>
      </c>
      <c r="G165" s="3627"/>
      <c r="H165" s="3203"/>
      <c r="I165" s="1855"/>
      <c r="J165" s="165"/>
      <c r="K165" s="165"/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  <c r="BR165" s="165"/>
      <c r="BS165" s="165"/>
      <c r="BT165" s="165"/>
      <c r="BU165" s="165"/>
      <c r="BV165" s="165"/>
      <c r="BW165" s="165"/>
      <c r="BX165" s="165"/>
      <c r="BY165" s="1452"/>
      <c r="BZ165" s="1452"/>
      <c r="CA165" s="1451"/>
      <c r="CB165" s="1451"/>
      <c r="CC165" s="1451"/>
      <c r="CD165" s="1451"/>
      <c r="CE165" s="1451"/>
      <c r="CF165" s="1451"/>
      <c r="CG165" s="1454"/>
      <c r="CH165" s="1454"/>
      <c r="CI165" s="1454"/>
      <c r="CJ165" s="1454"/>
      <c r="CK165" s="1454"/>
      <c r="CL165" s="1454"/>
      <c r="CM165" s="1454"/>
      <c r="CN165" s="1454"/>
    </row>
    <row r="166" spans="1:92" ht="16.149999999999999" customHeight="1" x14ac:dyDescent="0.25">
      <c r="A166" s="10148"/>
      <c r="B166" s="10149"/>
      <c r="C166" s="10152" t="s">
        <v>3261</v>
      </c>
      <c r="D166" s="10153"/>
      <c r="E166" s="10154"/>
      <c r="F166" s="1665">
        <f t="shared" si="10"/>
        <v>0</v>
      </c>
      <c r="G166" s="3627"/>
      <c r="H166" s="3203"/>
      <c r="I166" s="1855"/>
      <c r="J166" s="165"/>
      <c r="K166" s="165"/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  <c r="BH166" s="165"/>
      <c r="BI166" s="165"/>
      <c r="BJ166" s="165"/>
      <c r="BK166" s="165"/>
      <c r="BL166" s="165"/>
      <c r="BM166" s="165"/>
      <c r="BN166" s="165"/>
      <c r="BO166" s="165"/>
      <c r="BP166" s="165"/>
      <c r="BQ166" s="165"/>
      <c r="BR166" s="165"/>
      <c r="BS166" s="165"/>
      <c r="BT166" s="165"/>
      <c r="BU166" s="165"/>
      <c r="BV166" s="165"/>
      <c r="BW166" s="165"/>
      <c r="BX166" s="165"/>
      <c r="BY166" s="1452"/>
      <c r="BZ166" s="1452"/>
      <c r="CA166" s="1451"/>
      <c r="CB166" s="1451"/>
      <c r="CC166" s="1451"/>
      <c r="CD166" s="1451"/>
      <c r="CE166" s="1451"/>
      <c r="CF166" s="1451"/>
      <c r="CG166" s="1454"/>
      <c r="CH166" s="1454"/>
      <c r="CI166" s="1454"/>
      <c r="CJ166" s="1454"/>
      <c r="CK166" s="1454"/>
      <c r="CL166" s="1454"/>
      <c r="CM166" s="1454"/>
      <c r="CN166" s="1454"/>
    </row>
    <row r="167" spans="1:92" ht="16.149999999999999" customHeight="1" x14ac:dyDescent="0.25">
      <c r="A167" s="10148"/>
      <c r="B167" s="10149"/>
      <c r="C167" s="10152" t="s">
        <v>3279</v>
      </c>
      <c r="D167" s="10153"/>
      <c r="E167" s="10154"/>
      <c r="F167" s="1665">
        <f t="shared" si="10"/>
        <v>0</v>
      </c>
      <c r="G167" s="3627"/>
      <c r="H167" s="3203"/>
      <c r="I167" s="1855"/>
      <c r="J167" s="165"/>
      <c r="K167" s="165"/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  <c r="BR167" s="165"/>
      <c r="BS167" s="165"/>
      <c r="BT167" s="165"/>
      <c r="BU167" s="165"/>
      <c r="BV167" s="165"/>
      <c r="BW167" s="165"/>
      <c r="BX167" s="165"/>
      <c r="BY167" s="1452"/>
      <c r="BZ167" s="1452"/>
      <c r="CA167" s="1451"/>
      <c r="CB167" s="1451"/>
      <c r="CC167" s="1451"/>
      <c r="CD167" s="1451"/>
      <c r="CE167" s="1451"/>
      <c r="CF167" s="1451"/>
      <c r="CG167" s="1454"/>
      <c r="CH167" s="1454"/>
      <c r="CI167" s="1454"/>
      <c r="CJ167" s="1454"/>
      <c r="CK167" s="1454"/>
      <c r="CL167" s="1454"/>
      <c r="CM167" s="1454"/>
      <c r="CN167" s="1454"/>
    </row>
    <row r="168" spans="1:92" ht="16.149999999999999" customHeight="1" x14ac:dyDescent="0.25">
      <c r="A168" s="10148"/>
      <c r="B168" s="10149"/>
      <c r="C168" s="10152" t="s">
        <v>3262</v>
      </c>
      <c r="D168" s="10153"/>
      <c r="E168" s="10154"/>
      <c r="F168" s="1665">
        <f t="shared" si="10"/>
        <v>0</v>
      </c>
      <c r="G168" s="3627"/>
      <c r="H168" s="3203"/>
      <c r="I168" s="185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  <c r="BH168" s="165"/>
      <c r="BI168" s="165"/>
      <c r="BJ168" s="165"/>
      <c r="BK168" s="165"/>
      <c r="BL168" s="165"/>
      <c r="BM168" s="165"/>
      <c r="BN168" s="165"/>
      <c r="BO168" s="165"/>
      <c r="BP168" s="165"/>
      <c r="BQ168" s="165"/>
      <c r="BR168" s="165"/>
      <c r="BS168" s="165"/>
      <c r="BT168" s="165"/>
      <c r="BU168" s="165"/>
      <c r="BV168" s="165"/>
      <c r="BW168" s="165"/>
      <c r="BX168" s="165"/>
      <c r="BY168" s="1452"/>
      <c r="BZ168" s="1452"/>
      <c r="CA168" s="1451"/>
      <c r="CB168" s="1451"/>
      <c r="CC168" s="1451"/>
      <c r="CD168" s="1451"/>
      <c r="CE168" s="1451"/>
      <c r="CF168" s="1451"/>
      <c r="CG168" s="1454"/>
      <c r="CH168" s="1454"/>
      <c r="CI168" s="1454"/>
      <c r="CJ168" s="1454"/>
      <c r="CK168" s="1454"/>
      <c r="CL168" s="1454"/>
      <c r="CM168" s="1454"/>
      <c r="CN168" s="1454"/>
    </row>
    <row r="169" spans="1:92" ht="16.149999999999999" customHeight="1" x14ac:dyDescent="0.25">
      <c r="A169" s="10148"/>
      <c r="B169" s="10149"/>
      <c r="C169" s="10152" t="s">
        <v>3263</v>
      </c>
      <c r="D169" s="10153"/>
      <c r="E169" s="10154"/>
      <c r="F169" s="1665">
        <f t="shared" si="10"/>
        <v>0</v>
      </c>
      <c r="G169" s="3627"/>
      <c r="H169" s="3203"/>
      <c r="I169" s="185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  <c r="BH169" s="165"/>
      <c r="BI169" s="165"/>
      <c r="BJ169" s="165"/>
      <c r="BK169" s="165"/>
      <c r="BL169" s="165"/>
      <c r="BM169" s="165"/>
      <c r="BN169" s="165"/>
      <c r="BO169" s="165"/>
      <c r="BP169" s="165"/>
      <c r="BQ169" s="165"/>
      <c r="BR169" s="165"/>
      <c r="BS169" s="165"/>
      <c r="BT169" s="165"/>
      <c r="BU169" s="165"/>
      <c r="BV169" s="165"/>
      <c r="BW169" s="165"/>
      <c r="BX169" s="165"/>
      <c r="BY169" s="1452"/>
      <c r="BZ169" s="1452"/>
      <c r="CA169" s="1451"/>
      <c r="CB169" s="1451"/>
      <c r="CC169" s="1451"/>
      <c r="CD169" s="1451"/>
      <c r="CE169" s="1451"/>
      <c r="CF169" s="1451"/>
      <c r="CG169" s="1454"/>
      <c r="CH169" s="1454"/>
      <c r="CI169" s="1454"/>
      <c r="CJ169" s="1454"/>
      <c r="CK169" s="1454"/>
      <c r="CL169" s="1454"/>
      <c r="CM169" s="1454"/>
      <c r="CN169" s="1454"/>
    </row>
    <row r="170" spans="1:92" ht="16.149999999999999" customHeight="1" x14ac:dyDescent="0.25">
      <c r="A170" s="10148"/>
      <c r="B170" s="10149"/>
      <c r="C170" s="10152" t="s">
        <v>3280</v>
      </c>
      <c r="D170" s="10153"/>
      <c r="E170" s="10154"/>
      <c r="F170" s="1665">
        <f t="shared" si="10"/>
        <v>0</v>
      </c>
      <c r="G170" s="3627"/>
      <c r="H170" s="3203"/>
      <c r="I170" s="1855"/>
      <c r="J170" s="165"/>
      <c r="K170" s="165"/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  <c r="BH170" s="165"/>
      <c r="BI170" s="165"/>
      <c r="BJ170" s="165"/>
      <c r="BK170" s="165"/>
      <c r="BL170" s="165"/>
      <c r="BM170" s="165"/>
      <c r="BN170" s="165"/>
      <c r="BO170" s="165"/>
      <c r="BP170" s="165"/>
      <c r="BQ170" s="165"/>
      <c r="BR170" s="165"/>
      <c r="BS170" s="165"/>
      <c r="BT170" s="165"/>
      <c r="BU170" s="165"/>
      <c r="BV170" s="165"/>
      <c r="BW170" s="165"/>
      <c r="BX170" s="165"/>
      <c r="BY170" s="1452"/>
      <c r="BZ170" s="1452"/>
      <c r="CA170" s="1451"/>
      <c r="CB170" s="1451"/>
      <c r="CC170" s="1451"/>
      <c r="CD170" s="1451"/>
      <c r="CE170" s="1451"/>
      <c r="CF170" s="1451"/>
      <c r="CG170" s="1454"/>
      <c r="CH170" s="1454"/>
      <c r="CI170" s="1454"/>
      <c r="CJ170" s="1454"/>
      <c r="CK170" s="1454"/>
      <c r="CL170" s="1454"/>
      <c r="CM170" s="1454"/>
      <c r="CN170" s="1454"/>
    </row>
    <row r="171" spans="1:92" ht="16.149999999999999" customHeight="1" x14ac:dyDescent="0.25">
      <c r="A171" s="10148"/>
      <c r="B171" s="10149"/>
      <c r="C171" s="10173" t="s">
        <v>3281</v>
      </c>
      <c r="D171" s="10174"/>
      <c r="E171" s="10175"/>
      <c r="F171" s="3628">
        <f t="shared" si="10"/>
        <v>0</v>
      </c>
      <c r="G171" s="3335"/>
      <c r="H171" s="1851"/>
      <c r="I171" s="3204"/>
      <c r="J171" s="165"/>
      <c r="K171" s="165"/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  <c r="BR171" s="165"/>
      <c r="BS171" s="165"/>
      <c r="BT171" s="165"/>
      <c r="BU171" s="165"/>
      <c r="BV171" s="165"/>
      <c r="BW171" s="165"/>
      <c r="BX171" s="165"/>
      <c r="BY171" s="1452"/>
      <c r="BZ171" s="1452"/>
      <c r="CA171" s="1451"/>
      <c r="CB171" s="1451"/>
      <c r="CC171" s="1451"/>
      <c r="CD171" s="1451"/>
      <c r="CE171" s="1451"/>
      <c r="CF171" s="1451"/>
      <c r="CG171" s="1454"/>
      <c r="CH171" s="1454"/>
      <c r="CI171" s="1454"/>
      <c r="CJ171" s="1454"/>
      <c r="CK171" s="1454"/>
      <c r="CL171" s="1454"/>
      <c r="CM171" s="1454"/>
      <c r="CN171" s="1454"/>
    </row>
    <row r="172" spans="1:92" ht="16.149999999999999" customHeight="1" x14ac:dyDescent="0.25">
      <c r="A172" s="10148"/>
      <c r="B172" s="10150" t="s">
        <v>3264</v>
      </c>
      <c r="C172" s="10170" t="s">
        <v>3265</v>
      </c>
      <c r="D172" s="10171"/>
      <c r="E172" s="10172"/>
      <c r="F172" s="3629">
        <f>SUM(G172:I172)</f>
        <v>0</v>
      </c>
      <c r="G172" s="3630"/>
      <c r="H172" s="3631"/>
      <c r="I172" s="2987"/>
      <c r="J172" s="165"/>
      <c r="K172" s="165"/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  <c r="BH172" s="165"/>
      <c r="BI172" s="165"/>
      <c r="BJ172" s="165"/>
      <c r="BK172" s="165"/>
      <c r="BL172" s="165"/>
      <c r="BM172" s="165"/>
      <c r="BN172" s="165"/>
      <c r="BO172" s="165"/>
      <c r="BP172" s="165"/>
      <c r="BQ172" s="165"/>
      <c r="BR172" s="165"/>
      <c r="BS172" s="165"/>
      <c r="BT172" s="165"/>
      <c r="BU172" s="165"/>
      <c r="BV172" s="165"/>
      <c r="BW172" s="165"/>
      <c r="BX172" s="165"/>
      <c r="BY172" s="1452"/>
      <c r="BZ172" s="1452"/>
      <c r="CA172" s="1451"/>
      <c r="CB172" s="1451"/>
      <c r="CC172" s="1451"/>
      <c r="CD172" s="1451"/>
      <c r="CE172" s="1451"/>
      <c r="CF172" s="1451"/>
      <c r="CG172" s="1454"/>
      <c r="CH172" s="1454"/>
      <c r="CI172" s="1454"/>
      <c r="CJ172" s="1454"/>
      <c r="CK172" s="1454"/>
      <c r="CL172" s="1454"/>
      <c r="CM172" s="1454"/>
      <c r="CN172" s="1454"/>
    </row>
    <row r="173" spans="1:92" ht="16.149999999999999" customHeight="1" x14ac:dyDescent="0.25">
      <c r="A173" s="10148"/>
      <c r="B173" s="10150"/>
      <c r="C173" s="10152" t="s">
        <v>3266</v>
      </c>
      <c r="D173" s="10153"/>
      <c r="E173" s="10154"/>
      <c r="F173" s="3629">
        <f>SUM(G173:I173)</f>
        <v>0</v>
      </c>
      <c r="G173" s="3627"/>
      <c r="H173" s="3203"/>
      <c r="I173" s="1855"/>
      <c r="J173" s="165"/>
      <c r="K173" s="165"/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  <c r="BH173" s="165"/>
      <c r="BI173" s="165"/>
      <c r="BJ173" s="165"/>
      <c r="BK173" s="165"/>
      <c r="BL173" s="165"/>
      <c r="BM173" s="165"/>
      <c r="BN173" s="165"/>
      <c r="BO173" s="165"/>
      <c r="BP173" s="165"/>
      <c r="BQ173" s="165"/>
      <c r="BR173" s="165"/>
      <c r="BS173" s="165"/>
      <c r="BT173" s="165"/>
      <c r="BU173" s="165"/>
      <c r="BV173" s="165"/>
      <c r="BW173" s="165"/>
      <c r="BX173" s="165"/>
      <c r="BY173" s="1452"/>
      <c r="BZ173" s="1452"/>
      <c r="CA173" s="1451"/>
      <c r="CB173" s="1451"/>
      <c r="CC173" s="1451"/>
      <c r="CD173" s="1451"/>
      <c r="CE173" s="1451"/>
      <c r="CF173" s="1451"/>
      <c r="CG173" s="1454"/>
      <c r="CH173" s="1454"/>
      <c r="CI173" s="1454"/>
      <c r="CJ173" s="1454"/>
      <c r="CK173" s="1454"/>
      <c r="CL173" s="1454"/>
      <c r="CM173" s="1454"/>
      <c r="CN173" s="1454"/>
    </row>
    <row r="174" spans="1:92" ht="16.149999999999999" customHeight="1" x14ac:dyDescent="0.25">
      <c r="A174" s="10148"/>
      <c r="B174" s="10150"/>
      <c r="C174" s="10173" t="s">
        <v>3267</v>
      </c>
      <c r="D174" s="10174"/>
      <c r="E174" s="10175"/>
      <c r="F174" s="3632">
        <f>SUM(G174:I174)</f>
        <v>0</v>
      </c>
      <c r="G174" s="3335"/>
      <c r="H174" s="1851"/>
      <c r="I174" s="3204"/>
      <c r="J174" s="165"/>
      <c r="K174" s="165"/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  <c r="BH174" s="165"/>
      <c r="BI174" s="165"/>
      <c r="BJ174" s="165"/>
      <c r="BK174" s="165"/>
      <c r="BL174" s="165"/>
      <c r="BM174" s="165"/>
      <c r="BN174" s="165"/>
      <c r="BO174" s="165"/>
      <c r="BP174" s="165"/>
      <c r="BQ174" s="165"/>
      <c r="BR174" s="165"/>
      <c r="BS174" s="165"/>
      <c r="BT174" s="165"/>
      <c r="BU174" s="165"/>
      <c r="BV174" s="165"/>
      <c r="BW174" s="165"/>
      <c r="BX174" s="165"/>
      <c r="BY174" s="1452"/>
      <c r="BZ174" s="1452"/>
      <c r="CA174" s="1451"/>
      <c r="CB174" s="1451"/>
      <c r="CC174" s="1451"/>
      <c r="CD174" s="1451"/>
      <c r="CE174" s="1451"/>
      <c r="CF174" s="1451"/>
      <c r="CG174" s="1454"/>
      <c r="CH174" s="1454"/>
      <c r="CI174" s="1454"/>
      <c r="CJ174" s="1454"/>
      <c r="CK174" s="1454"/>
      <c r="CL174" s="1454"/>
      <c r="CM174" s="1454"/>
      <c r="CN174" s="1454"/>
    </row>
    <row r="175" spans="1:92" ht="16.149999999999999" customHeight="1" x14ac:dyDescent="0.25">
      <c r="A175" s="10148" t="s">
        <v>3268</v>
      </c>
      <c r="B175" s="10150" t="s">
        <v>3258</v>
      </c>
      <c r="C175" s="10170" t="s">
        <v>3269</v>
      </c>
      <c r="D175" s="10171"/>
      <c r="E175" s="10172"/>
      <c r="F175" s="3633">
        <f>SUM(G175:I175)</f>
        <v>0</v>
      </c>
      <c r="G175" s="3630"/>
      <c r="H175" s="3631"/>
      <c r="I175" s="2987"/>
      <c r="J175" s="165"/>
      <c r="K175" s="165"/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  <c r="BH175" s="165"/>
      <c r="BI175" s="165"/>
      <c r="BJ175" s="165"/>
      <c r="BK175" s="165"/>
      <c r="BL175" s="165"/>
      <c r="BM175" s="165"/>
      <c r="BN175" s="165"/>
      <c r="BO175" s="165"/>
      <c r="BP175" s="165"/>
      <c r="BQ175" s="165"/>
      <c r="BR175" s="165"/>
      <c r="BS175" s="165"/>
      <c r="BT175" s="165"/>
      <c r="BU175" s="165"/>
      <c r="BV175" s="165"/>
      <c r="BW175" s="165"/>
      <c r="BX175" s="165"/>
      <c r="BY175" s="1452"/>
      <c r="BZ175" s="1452"/>
      <c r="CA175" s="1451"/>
      <c r="CB175" s="1451"/>
      <c r="CC175" s="1451"/>
      <c r="CD175" s="1451"/>
      <c r="CE175" s="1451"/>
      <c r="CF175" s="1451"/>
      <c r="CG175" s="1454"/>
      <c r="CH175" s="1454"/>
      <c r="CI175" s="1454"/>
      <c r="CJ175" s="1454"/>
      <c r="CK175" s="1454"/>
      <c r="CL175" s="1454"/>
      <c r="CM175" s="1454"/>
      <c r="CN175" s="1454"/>
    </row>
    <row r="176" spans="1:92" ht="16.149999999999999" customHeight="1" x14ac:dyDescent="0.25">
      <c r="A176" s="10148"/>
      <c r="B176" s="10150"/>
      <c r="C176" s="10152" t="s">
        <v>3270</v>
      </c>
      <c r="D176" s="10153"/>
      <c r="E176" s="10154"/>
      <c r="F176" s="3629">
        <f t="shared" ref="F176:F188" si="11">SUM(G176:I176)</f>
        <v>0</v>
      </c>
      <c r="G176" s="3627"/>
      <c r="H176" s="3203"/>
      <c r="I176" s="1855"/>
      <c r="J176" s="165"/>
      <c r="K176" s="165"/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  <c r="BR176" s="165"/>
      <c r="BS176" s="165"/>
      <c r="BT176" s="165"/>
      <c r="BU176" s="165"/>
      <c r="BV176" s="165"/>
      <c r="BW176" s="165"/>
      <c r="BX176" s="165"/>
      <c r="BY176" s="1452"/>
      <c r="BZ176" s="1452"/>
      <c r="CA176" s="1451"/>
      <c r="CB176" s="1451"/>
      <c r="CC176" s="1451"/>
      <c r="CD176" s="1451"/>
      <c r="CE176" s="1451"/>
      <c r="CF176" s="1451"/>
      <c r="CG176" s="1454"/>
      <c r="CH176" s="1454"/>
      <c r="CI176" s="1454"/>
      <c r="CJ176" s="1454"/>
      <c r="CK176" s="1454"/>
      <c r="CL176" s="1454"/>
      <c r="CM176" s="1454"/>
      <c r="CN176" s="1454"/>
    </row>
    <row r="177" spans="1:92" ht="16.149999999999999" customHeight="1" x14ac:dyDescent="0.25">
      <c r="A177" s="10148"/>
      <c r="B177" s="10150"/>
      <c r="C177" s="10152" t="s">
        <v>3271</v>
      </c>
      <c r="D177" s="10153"/>
      <c r="E177" s="10154"/>
      <c r="F177" s="3629">
        <f t="shared" si="11"/>
        <v>0</v>
      </c>
      <c r="G177" s="3627"/>
      <c r="H177" s="3203"/>
      <c r="I177" s="1855"/>
      <c r="J177" s="165"/>
      <c r="K177" s="165"/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  <c r="BR177" s="165"/>
      <c r="BS177" s="165"/>
      <c r="BT177" s="165"/>
      <c r="BU177" s="165"/>
      <c r="BV177" s="165"/>
      <c r="BW177" s="165"/>
      <c r="BX177" s="165"/>
      <c r="BY177" s="1452"/>
      <c r="BZ177" s="1452"/>
      <c r="CA177" s="1451"/>
      <c r="CB177" s="1451"/>
      <c r="CC177" s="1451"/>
      <c r="CD177" s="1451"/>
      <c r="CE177" s="1451"/>
      <c r="CF177" s="1451"/>
      <c r="CG177" s="1454"/>
      <c r="CH177" s="1454"/>
      <c r="CI177" s="1454"/>
      <c r="CJ177" s="1454"/>
      <c r="CK177" s="1454"/>
      <c r="CL177" s="1454"/>
      <c r="CM177" s="1454"/>
      <c r="CN177" s="1454"/>
    </row>
    <row r="178" spans="1:92" ht="16.149999999999999" customHeight="1" x14ac:dyDescent="0.25">
      <c r="A178" s="10148"/>
      <c r="B178" s="10150"/>
      <c r="C178" s="10155" t="s">
        <v>3272</v>
      </c>
      <c r="D178" s="10156"/>
      <c r="E178" s="10157"/>
      <c r="F178" s="3634">
        <f t="shared" si="11"/>
        <v>0</v>
      </c>
      <c r="G178" s="3335"/>
      <c r="H178" s="1851"/>
      <c r="I178" s="3204"/>
      <c r="J178" s="165"/>
      <c r="K178" s="165"/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Q178" s="165"/>
      <c r="AR178" s="165"/>
      <c r="AS178" s="165"/>
      <c r="AT178" s="165"/>
      <c r="AU178" s="165"/>
      <c r="AV178" s="165"/>
      <c r="AW178" s="165"/>
      <c r="AX178" s="165"/>
      <c r="AY178" s="165"/>
      <c r="AZ178" s="165"/>
      <c r="BA178" s="165"/>
      <c r="BB178" s="165"/>
      <c r="BC178" s="165"/>
      <c r="BD178" s="165"/>
      <c r="BE178" s="165"/>
      <c r="BF178" s="165"/>
      <c r="BG178" s="165"/>
      <c r="BH178" s="165"/>
      <c r="BI178" s="165"/>
      <c r="BJ178" s="165"/>
      <c r="BK178" s="165"/>
      <c r="BL178" s="165"/>
      <c r="BM178" s="165"/>
      <c r="BN178" s="165"/>
      <c r="BO178" s="165"/>
      <c r="BP178" s="165"/>
      <c r="BQ178" s="165"/>
      <c r="BR178" s="165"/>
      <c r="BS178" s="165"/>
      <c r="BT178" s="165"/>
      <c r="BU178" s="165"/>
      <c r="BV178" s="165"/>
      <c r="BW178" s="165"/>
      <c r="BX178" s="165"/>
      <c r="BY178" s="1452"/>
      <c r="BZ178" s="1452"/>
      <c r="CA178" s="1451"/>
      <c r="CB178" s="1451"/>
      <c r="CC178" s="1451"/>
      <c r="CD178" s="1451"/>
      <c r="CE178" s="1451"/>
      <c r="CF178" s="1451"/>
      <c r="CG178" s="1454"/>
      <c r="CH178" s="1454"/>
      <c r="CI178" s="1454"/>
      <c r="CJ178" s="1454"/>
      <c r="CK178" s="1454"/>
      <c r="CL178" s="1454"/>
      <c r="CM178" s="1454"/>
      <c r="CN178" s="1454"/>
    </row>
    <row r="179" spans="1:92" ht="16.149999999999999" customHeight="1" x14ac:dyDescent="0.25">
      <c r="A179" s="10148"/>
      <c r="B179" s="10150" t="s">
        <v>3264</v>
      </c>
      <c r="C179" s="10176" t="s">
        <v>3273</v>
      </c>
      <c r="D179" s="10177"/>
      <c r="E179" s="10178"/>
      <c r="F179" s="3629">
        <f t="shared" si="11"/>
        <v>0</v>
      </c>
      <c r="G179" s="3630"/>
      <c r="H179" s="3631"/>
      <c r="I179" s="2987"/>
      <c r="J179" s="165"/>
      <c r="K179" s="165"/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  <c r="AP179" s="165"/>
      <c r="AQ179" s="165"/>
      <c r="AR179" s="165"/>
      <c r="AS179" s="165"/>
      <c r="AT179" s="165"/>
      <c r="AU179" s="165"/>
      <c r="AV179" s="165"/>
      <c r="AW179" s="165"/>
      <c r="AX179" s="165"/>
      <c r="AY179" s="165"/>
      <c r="AZ179" s="165"/>
      <c r="BA179" s="165"/>
      <c r="BB179" s="165"/>
      <c r="BC179" s="165"/>
      <c r="BD179" s="165"/>
      <c r="BE179" s="165"/>
      <c r="BF179" s="165"/>
      <c r="BG179" s="165"/>
      <c r="BH179" s="165"/>
      <c r="BI179" s="165"/>
      <c r="BJ179" s="165"/>
      <c r="BK179" s="165"/>
      <c r="BL179" s="165"/>
      <c r="BM179" s="165"/>
      <c r="BN179" s="165"/>
      <c r="BO179" s="165"/>
      <c r="BP179" s="165"/>
      <c r="BQ179" s="165"/>
      <c r="BR179" s="165"/>
      <c r="BS179" s="165"/>
      <c r="BT179" s="165"/>
      <c r="BU179" s="165"/>
      <c r="BV179" s="165"/>
      <c r="BW179" s="165"/>
      <c r="BX179" s="165"/>
      <c r="BY179" s="1452"/>
      <c r="BZ179" s="1452"/>
      <c r="CA179" s="1451"/>
      <c r="CB179" s="1451"/>
      <c r="CC179" s="1451"/>
      <c r="CD179" s="1451"/>
      <c r="CE179" s="1451"/>
      <c r="CF179" s="1451"/>
      <c r="CG179" s="1454"/>
      <c r="CH179" s="1454"/>
      <c r="CI179" s="1454"/>
      <c r="CJ179" s="1454"/>
      <c r="CK179" s="1454"/>
      <c r="CL179" s="1454"/>
      <c r="CM179" s="1454"/>
      <c r="CN179" s="1454"/>
    </row>
    <row r="180" spans="1:92" ht="16.149999999999999" customHeight="1" x14ac:dyDescent="0.25">
      <c r="A180" s="10148"/>
      <c r="B180" s="10150"/>
      <c r="C180" s="10152" t="s">
        <v>3274</v>
      </c>
      <c r="D180" s="10153"/>
      <c r="E180" s="10154"/>
      <c r="F180" s="3629">
        <f t="shared" si="11"/>
        <v>0</v>
      </c>
      <c r="G180" s="3627"/>
      <c r="H180" s="3203"/>
      <c r="I180" s="1855"/>
      <c r="J180" s="165"/>
      <c r="K180" s="165"/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  <c r="BR180" s="165"/>
      <c r="BS180" s="165"/>
      <c r="BT180" s="165"/>
      <c r="BU180" s="165"/>
      <c r="BV180" s="165"/>
      <c r="BW180" s="165"/>
      <c r="BX180" s="165"/>
      <c r="BY180" s="1452"/>
      <c r="BZ180" s="1452"/>
      <c r="CA180" s="1451"/>
      <c r="CB180" s="1451"/>
      <c r="CC180" s="1451"/>
      <c r="CD180" s="1451"/>
      <c r="CE180" s="1451"/>
      <c r="CF180" s="1451"/>
      <c r="CG180" s="1454"/>
      <c r="CH180" s="1454"/>
      <c r="CI180" s="1454"/>
      <c r="CJ180" s="1454"/>
      <c r="CK180" s="1454"/>
      <c r="CL180" s="1454"/>
      <c r="CM180" s="1454"/>
      <c r="CN180" s="1454"/>
    </row>
    <row r="181" spans="1:92" ht="16.149999999999999" customHeight="1" x14ac:dyDescent="0.25">
      <c r="A181" s="10148"/>
      <c r="B181" s="10150"/>
      <c r="C181" s="10152" t="s">
        <v>3275</v>
      </c>
      <c r="D181" s="10153"/>
      <c r="E181" s="10154"/>
      <c r="F181" s="3629">
        <f t="shared" si="11"/>
        <v>0</v>
      </c>
      <c r="G181" s="3627"/>
      <c r="H181" s="3203"/>
      <c r="I181" s="1855"/>
      <c r="J181" s="165"/>
      <c r="K181" s="165"/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  <c r="BH181" s="165"/>
      <c r="BI181" s="165"/>
      <c r="BJ181" s="165"/>
      <c r="BK181" s="165"/>
      <c r="BL181" s="165"/>
      <c r="BM181" s="165"/>
      <c r="BN181" s="165"/>
      <c r="BO181" s="165"/>
      <c r="BP181" s="165"/>
      <c r="BQ181" s="165"/>
      <c r="BR181" s="165"/>
      <c r="BS181" s="165"/>
      <c r="BT181" s="165"/>
      <c r="BU181" s="165"/>
      <c r="BV181" s="165"/>
      <c r="BW181" s="165"/>
      <c r="BX181" s="165"/>
      <c r="BY181" s="1452"/>
      <c r="BZ181" s="1452"/>
      <c r="CA181" s="1451"/>
      <c r="CB181" s="1451"/>
      <c r="CC181" s="1451"/>
      <c r="CD181" s="1451"/>
      <c r="CE181" s="1451"/>
      <c r="CF181" s="1451"/>
      <c r="CG181" s="1454"/>
      <c r="CH181" s="1454"/>
      <c r="CI181" s="1454"/>
      <c r="CJ181" s="1454"/>
      <c r="CK181" s="1454"/>
      <c r="CL181" s="1454"/>
      <c r="CM181" s="1454"/>
      <c r="CN181" s="1454"/>
    </row>
    <row r="182" spans="1:92" ht="16.149999999999999" customHeight="1" x14ac:dyDescent="0.25">
      <c r="A182" s="10148"/>
      <c r="B182" s="10150"/>
      <c r="C182" s="10152" t="s">
        <v>3282</v>
      </c>
      <c r="D182" s="10153"/>
      <c r="E182" s="10154"/>
      <c r="F182" s="3629">
        <f t="shared" si="11"/>
        <v>0</v>
      </c>
      <c r="G182" s="3627"/>
      <c r="H182" s="3203"/>
      <c r="I182" s="1855"/>
      <c r="J182" s="165"/>
      <c r="K182" s="165"/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  <c r="BH182" s="165"/>
      <c r="BI182" s="165"/>
      <c r="BJ182" s="165"/>
      <c r="BK182" s="165"/>
      <c r="BL182" s="165"/>
      <c r="BM182" s="165"/>
      <c r="BN182" s="165"/>
      <c r="BO182" s="165"/>
      <c r="BP182" s="165"/>
      <c r="BQ182" s="165"/>
      <c r="BR182" s="165"/>
      <c r="BS182" s="165"/>
      <c r="BT182" s="165"/>
      <c r="BU182" s="165"/>
      <c r="BV182" s="165"/>
      <c r="BW182" s="165"/>
      <c r="BX182" s="165"/>
      <c r="BY182" s="1452"/>
      <c r="BZ182" s="1452"/>
      <c r="CA182" s="1451"/>
      <c r="CB182" s="1451"/>
      <c r="CC182" s="1451"/>
      <c r="CD182" s="1451"/>
      <c r="CE182" s="1451"/>
      <c r="CF182" s="1451"/>
      <c r="CG182" s="1454"/>
      <c r="CH182" s="1454"/>
      <c r="CI182" s="1454"/>
      <c r="CJ182" s="1454"/>
      <c r="CK182" s="1454"/>
      <c r="CL182" s="1454"/>
      <c r="CM182" s="1454"/>
      <c r="CN182" s="1454"/>
    </row>
    <row r="183" spans="1:92" ht="16.149999999999999" customHeight="1" x14ac:dyDescent="0.25">
      <c r="A183" s="10148"/>
      <c r="B183" s="10150"/>
      <c r="C183" s="10152" t="s">
        <v>3283</v>
      </c>
      <c r="D183" s="10153"/>
      <c r="E183" s="10154"/>
      <c r="F183" s="3629">
        <f t="shared" si="11"/>
        <v>0</v>
      </c>
      <c r="G183" s="3627"/>
      <c r="H183" s="3203"/>
      <c r="I183" s="1855"/>
      <c r="J183" s="165"/>
      <c r="K183" s="165"/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  <c r="BH183" s="165"/>
      <c r="BI183" s="165"/>
      <c r="BJ183" s="165"/>
      <c r="BK183" s="165"/>
      <c r="BL183" s="165"/>
      <c r="BM183" s="165"/>
      <c r="BN183" s="165"/>
      <c r="BO183" s="165"/>
      <c r="BP183" s="165"/>
      <c r="BQ183" s="165"/>
      <c r="BR183" s="165"/>
      <c r="BS183" s="165"/>
      <c r="BT183" s="165"/>
      <c r="BU183" s="165"/>
      <c r="BV183" s="165"/>
      <c r="BW183" s="165"/>
      <c r="BX183" s="165"/>
      <c r="BY183" s="1452"/>
      <c r="BZ183" s="1452"/>
      <c r="CA183" s="1451"/>
      <c r="CB183" s="1451"/>
      <c r="CC183" s="1451"/>
      <c r="CD183" s="1451"/>
      <c r="CE183" s="1451"/>
      <c r="CF183" s="1451"/>
      <c r="CG183" s="1454"/>
      <c r="CH183" s="1454"/>
      <c r="CI183" s="1454"/>
      <c r="CJ183" s="1454"/>
      <c r="CK183" s="1454"/>
      <c r="CL183" s="1454"/>
      <c r="CM183" s="1454"/>
      <c r="CN183" s="1454"/>
    </row>
    <row r="184" spans="1:92" ht="16.149999999999999" customHeight="1" x14ac:dyDescent="0.25">
      <c r="A184" s="10148"/>
      <c r="B184" s="10150"/>
      <c r="C184" s="10152" t="s">
        <v>3284</v>
      </c>
      <c r="D184" s="10153"/>
      <c r="E184" s="10154"/>
      <c r="F184" s="3629">
        <f t="shared" si="11"/>
        <v>0</v>
      </c>
      <c r="G184" s="3627"/>
      <c r="H184" s="3203"/>
      <c r="I184" s="1855"/>
      <c r="J184" s="165"/>
      <c r="K184" s="165"/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  <c r="BH184" s="165"/>
      <c r="BI184" s="165"/>
      <c r="BJ184" s="165"/>
      <c r="BK184" s="165"/>
      <c r="BL184" s="165"/>
      <c r="BM184" s="165"/>
      <c r="BN184" s="165"/>
      <c r="BO184" s="165"/>
      <c r="BP184" s="165"/>
      <c r="BQ184" s="165"/>
      <c r="BR184" s="165"/>
      <c r="BS184" s="165"/>
      <c r="BT184" s="165"/>
      <c r="BU184" s="165"/>
      <c r="BV184" s="165"/>
      <c r="BW184" s="165"/>
      <c r="BX184" s="165"/>
      <c r="BY184" s="1452"/>
      <c r="BZ184" s="1452"/>
      <c r="CA184" s="1451"/>
      <c r="CB184" s="1451"/>
      <c r="CC184" s="1451"/>
      <c r="CD184" s="1451"/>
      <c r="CE184" s="1451"/>
      <c r="CF184" s="1451"/>
      <c r="CG184" s="1454"/>
      <c r="CH184" s="1454"/>
      <c r="CI184" s="1454"/>
      <c r="CJ184" s="1454"/>
      <c r="CK184" s="1454"/>
      <c r="CL184" s="1454"/>
      <c r="CM184" s="1454"/>
      <c r="CN184" s="1454"/>
    </row>
    <row r="185" spans="1:92" ht="16.149999999999999" customHeight="1" x14ac:dyDescent="0.25">
      <c r="A185" s="10148"/>
      <c r="B185" s="10150"/>
      <c r="C185" s="10152" t="s">
        <v>3285</v>
      </c>
      <c r="D185" s="10153"/>
      <c r="E185" s="10154"/>
      <c r="F185" s="3629">
        <f t="shared" si="11"/>
        <v>0</v>
      </c>
      <c r="G185" s="3627"/>
      <c r="H185" s="3203"/>
      <c r="I185" s="1855"/>
      <c r="J185" s="165"/>
      <c r="K185" s="165"/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  <c r="BR185" s="165"/>
      <c r="BS185" s="165"/>
      <c r="BT185" s="165"/>
      <c r="BU185" s="165"/>
      <c r="BV185" s="165"/>
      <c r="BW185" s="165"/>
      <c r="BX185" s="165"/>
      <c r="BY185" s="1452"/>
      <c r="BZ185" s="1452"/>
      <c r="CA185" s="1451"/>
      <c r="CB185" s="1451"/>
      <c r="CC185" s="1451"/>
      <c r="CD185" s="1451"/>
      <c r="CE185" s="1451"/>
      <c r="CF185" s="1451"/>
      <c r="CG185" s="1454"/>
      <c r="CH185" s="1454"/>
      <c r="CI185" s="1454"/>
      <c r="CJ185" s="1454"/>
      <c r="CK185" s="1454"/>
      <c r="CL185" s="1454"/>
      <c r="CM185" s="1454"/>
      <c r="CN185" s="1454"/>
    </row>
    <row r="186" spans="1:92" ht="16.149999999999999" customHeight="1" x14ac:dyDescent="0.25">
      <c r="A186" s="10148"/>
      <c r="B186" s="10150"/>
      <c r="C186" s="10152" t="s">
        <v>3286</v>
      </c>
      <c r="D186" s="10153"/>
      <c r="E186" s="10154"/>
      <c r="F186" s="3629">
        <f t="shared" si="11"/>
        <v>0</v>
      </c>
      <c r="G186" s="3627"/>
      <c r="H186" s="3203"/>
      <c r="I186" s="1855"/>
      <c r="J186" s="165"/>
      <c r="K186" s="165"/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  <c r="BH186" s="165"/>
      <c r="BI186" s="165"/>
      <c r="BJ186" s="165"/>
      <c r="BK186" s="165"/>
      <c r="BL186" s="165"/>
      <c r="BM186" s="165"/>
      <c r="BN186" s="165"/>
      <c r="BO186" s="165"/>
      <c r="BP186" s="165"/>
      <c r="BQ186" s="165"/>
      <c r="BR186" s="165"/>
      <c r="BS186" s="165"/>
      <c r="BT186" s="165"/>
      <c r="BU186" s="165"/>
      <c r="BV186" s="165"/>
      <c r="BW186" s="165"/>
      <c r="BX186" s="165"/>
      <c r="BY186" s="1452"/>
      <c r="BZ186" s="1452"/>
      <c r="CA186" s="1451"/>
      <c r="CB186" s="1451"/>
      <c r="CC186" s="1451"/>
      <c r="CD186" s="1451"/>
      <c r="CE186" s="1451"/>
      <c r="CF186" s="1451"/>
      <c r="CG186" s="1454"/>
      <c r="CH186" s="1454"/>
      <c r="CI186" s="1454"/>
      <c r="CJ186" s="1454"/>
      <c r="CK186" s="1454"/>
      <c r="CL186" s="1454"/>
      <c r="CM186" s="1454"/>
      <c r="CN186" s="1454"/>
    </row>
    <row r="187" spans="1:92" ht="16.149999999999999" customHeight="1" x14ac:dyDescent="0.25">
      <c r="A187" s="10148"/>
      <c r="B187" s="10150"/>
      <c r="C187" s="10152" t="s">
        <v>3287</v>
      </c>
      <c r="D187" s="10153"/>
      <c r="E187" s="10154"/>
      <c r="F187" s="3629">
        <f t="shared" si="11"/>
        <v>0</v>
      </c>
      <c r="G187" s="3627"/>
      <c r="H187" s="3203"/>
      <c r="I187" s="1855"/>
      <c r="J187" s="165"/>
      <c r="K187" s="165"/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  <c r="BR187" s="165"/>
      <c r="BS187" s="165"/>
      <c r="BT187" s="165"/>
      <c r="BU187" s="165"/>
      <c r="BV187" s="165"/>
      <c r="BW187" s="165"/>
      <c r="BX187" s="165"/>
      <c r="BY187" s="1452"/>
      <c r="BZ187" s="1452"/>
      <c r="CA187" s="1451"/>
      <c r="CB187" s="1451"/>
      <c r="CC187" s="1451"/>
      <c r="CD187" s="1451"/>
      <c r="CE187" s="1451"/>
      <c r="CF187" s="1451"/>
      <c r="CG187" s="1454"/>
      <c r="CH187" s="1454"/>
      <c r="CI187" s="1454"/>
      <c r="CJ187" s="1454"/>
      <c r="CK187" s="1454"/>
      <c r="CL187" s="1454"/>
      <c r="CM187" s="1454"/>
      <c r="CN187" s="1454"/>
    </row>
    <row r="188" spans="1:92" ht="16.149999999999999" customHeight="1" x14ac:dyDescent="0.25">
      <c r="A188" s="10148"/>
      <c r="B188" s="10150"/>
      <c r="C188" s="10155" t="s">
        <v>3288</v>
      </c>
      <c r="D188" s="10156"/>
      <c r="E188" s="10157"/>
      <c r="F188" s="3629">
        <f t="shared" si="11"/>
        <v>0</v>
      </c>
      <c r="G188" s="3627"/>
      <c r="H188" s="3203"/>
      <c r="I188" s="3334"/>
      <c r="J188" s="165"/>
      <c r="K188" s="165"/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  <c r="BR188" s="165"/>
      <c r="BS188" s="165"/>
      <c r="BT188" s="165"/>
      <c r="BU188" s="165"/>
      <c r="BV188" s="165"/>
      <c r="BW188" s="165"/>
      <c r="BX188" s="165"/>
      <c r="BY188" s="1452"/>
      <c r="BZ188" s="1452"/>
      <c r="CA188" s="1451"/>
      <c r="CB188" s="1451"/>
      <c r="CC188" s="1451"/>
      <c r="CD188" s="1451"/>
      <c r="CE188" s="1451"/>
      <c r="CF188" s="1451"/>
      <c r="CG188" s="1454"/>
      <c r="CH188" s="1454"/>
      <c r="CI188" s="1454"/>
      <c r="CJ188" s="1454"/>
      <c r="CK188" s="1454"/>
      <c r="CL188" s="1454"/>
      <c r="CM188" s="1454"/>
      <c r="CN188" s="1454"/>
    </row>
    <row r="189" spans="1:92" ht="16.149999999999999" customHeight="1" x14ac:dyDescent="0.25">
      <c r="A189" s="3635"/>
      <c r="B189" s="3636"/>
      <c r="C189" s="10158" t="s">
        <v>44</v>
      </c>
      <c r="D189" s="10159"/>
      <c r="E189" s="10160"/>
      <c r="F189" s="3637">
        <f>+SUM(F164:F188)</f>
        <v>0</v>
      </c>
      <c r="G189" s="3638">
        <f>+SUM(G164:G188)</f>
        <v>0</v>
      </c>
      <c r="H189" s="3337">
        <f>+SUM(H164:H188)</f>
        <v>0</v>
      </c>
      <c r="I189" s="3639">
        <f>+SUM(I164:I188)</f>
        <v>0</v>
      </c>
      <c r="J189" s="165"/>
      <c r="K189" s="165"/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  <c r="BL189" s="165"/>
      <c r="BM189" s="165"/>
      <c r="BN189" s="165"/>
      <c r="BO189" s="165"/>
      <c r="BP189" s="165"/>
      <c r="BQ189" s="165"/>
      <c r="BR189" s="165"/>
      <c r="BS189" s="165"/>
      <c r="BT189" s="165"/>
      <c r="BU189" s="165"/>
      <c r="BV189" s="165"/>
      <c r="BW189" s="165"/>
      <c r="BX189" s="165"/>
      <c r="BY189" s="1452"/>
      <c r="BZ189" s="1452"/>
      <c r="CA189" s="1451"/>
      <c r="CB189" s="1451"/>
      <c r="CC189" s="1451"/>
      <c r="CD189" s="1451"/>
      <c r="CE189" s="1451"/>
      <c r="CF189" s="1451"/>
      <c r="CG189" s="1454"/>
      <c r="CH189" s="1454"/>
      <c r="CI189" s="1454"/>
      <c r="CJ189" s="1454"/>
      <c r="CK189" s="1454"/>
      <c r="CL189" s="1454"/>
      <c r="CM189" s="1454"/>
      <c r="CN189" s="1454"/>
    </row>
    <row r="190" spans="1:92" ht="24" customHeight="1" x14ac:dyDescent="0.25">
      <c r="A190" s="3640" t="s">
        <v>3252</v>
      </c>
      <c r="B190" s="2181"/>
      <c r="C190" s="140"/>
      <c r="D190" s="140"/>
      <c r="E190" s="140"/>
      <c r="F190" s="140"/>
      <c r="G190" s="140"/>
      <c r="H190" s="165"/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  <c r="BL190" s="165"/>
      <c r="BM190" s="165"/>
      <c r="BN190" s="165"/>
      <c r="BO190" s="165"/>
      <c r="BP190" s="165"/>
      <c r="BQ190" s="165"/>
      <c r="BR190" s="165"/>
      <c r="BS190" s="165"/>
      <c r="BT190" s="165"/>
      <c r="BU190" s="165"/>
      <c r="BV190" s="165"/>
      <c r="BW190" s="165"/>
      <c r="BX190" s="165"/>
      <c r="BY190" s="1452"/>
      <c r="BZ190" s="1452"/>
      <c r="CA190" s="1451"/>
      <c r="CB190" s="1451"/>
      <c r="CC190" s="1451"/>
      <c r="CD190" s="1451"/>
      <c r="CE190" s="1451"/>
      <c r="CF190" s="1451"/>
      <c r="CG190" s="1454"/>
      <c r="CH190" s="1454"/>
      <c r="CI190" s="1454"/>
      <c r="CJ190" s="1454"/>
      <c r="CK190" s="1454"/>
      <c r="CL190" s="1454"/>
      <c r="CM190" s="1454"/>
      <c r="CN190" s="1454"/>
    </row>
    <row r="191" spans="1:92" ht="24" customHeight="1" x14ac:dyDescent="0.25">
      <c r="A191" s="3640" t="s">
        <v>3241</v>
      </c>
      <c r="E191" s="140"/>
      <c r="F191" s="140"/>
      <c r="G191" s="140"/>
      <c r="H191" s="165"/>
      <c r="I191" s="165"/>
      <c r="J191" s="165"/>
      <c r="K191" s="165"/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  <c r="BL191" s="165"/>
      <c r="BM191" s="165"/>
      <c r="BN191" s="165"/>
      <c r="BO191" s="165"/>
      <c r="BP191" s="165"/>
      <c r="BQ191" s="165"/>
      <c r="BR191" s="165"/>
      <c r="BS191" s="165"/>
      <c r="BT191" s="165"/>
      <c r="BU191" s="165"/>
      <c r="BV191" s="165"/>
      <c r="BW191" s="165"/>
      <c r="BX191" s="165"/>
      <c r="BY191" s="1452"/>
      <c r="BZ191" s="1452"/>
      <c r="CA191" s="1451"/>
      <c r="CB191" s="1451"/>
      <c r="CC191" s="1451"/>
      <c r="CD191" s="1451"/>
      <c r="CE191" s="1451"/>
      <c r="CF191" s="1451"/>
      <c r="CG191" s="1454"/>
      <c r="CH191" s="1454"/>
      <c r="CI191" s="1454"/>
      <c r="CJ191" s="1454"/>
      <c r="CK191" s="1454"/>
      <c r="CL191" s="1454"/>
      <c r="CM191" s="1454"/>
      <c r="CN191" s="1454"/>
    </row>
    <row r="192" spans="1:92" ht="24" customHeight="1" x14ac:dyDescent="0.25">
      <c r="A192" s="3641" t="s">
        <v>3185</v>
      </c>
      <c r="B192" s="3641" t="s">
        <v>44</v>
      </c>
      <c r="C192" s="3432" t="s">
        <v>3418</v>
      </c>
      <c r="D192" s="3432" t="s">
        <v>372</v>
      </c>
      <c r="E192" s="140"/>
      <c r="F192" s="140"/>
      <c r="G192" s="140"/>
      <c r="H192" s="165"/>
      <c r="I192" s="165"/>
      <c r="J192" s="165"/>
      <c r="K192" s="165"/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  <c r="BL192" s="165"/>
      <c r="BM192" s="165"/>
      <c r="BN192" s="165"/>
      <c r="BO192" s="165"/>
      <c r="BP192" s="165"/>
      <c r="BQ192" s="165"/>
      <c r="BR192" s="165"/>
      <c r="BS192" s="165"/>
      <c r="BT192" s="165"/>
      <c r="BU192" s="165"/>
      <c r="BV192" s="165"/>
      <c r="BW192" s="165"/>
      <c r="BX192" s="165"/>
      <c r="BY192" s="1452"/>
      <c r="BZ192" s="1452"/>
      <c r="CA192" s="1451"/>
      <c r="CB192" s="1451"/>
      <c r="CC192" s="1451"/>
      <c r="CD192" s="1451"/>
      <c r="CE192" s="1451"/>
      <c r="CF192" s="1451"/>
      <c r="CG192" s="1454"/>
      <c r="CH192" s="1454"/>
      <c r="CI192" s="1454"/>
      <c r="CJ192" s="1454"/>
      <c r="CK192" s="1454"/>
      <c r="CL192" s="1454"/>
      <c r="CM192" s="1454"/>
      <c r="CN192" s="1454"/>
    </row>
    <row r="193" spans="1:92" ht="16.149999999999999" customHeight="1" x14ac:dyDescent="0.25">
      <c r="A193" s="3642" t="s">
        <v>3242</v>
      </c>
      <c r="B193" s="1665">
        <f>SUM(C193:D193)</f>
        <v>0</v>
      </c>
      <c r="C193" s="3627"/>
      <c r="D193" s="1802"/>
      <c r="E193" s="140"/>
      <c r="F193" s="140"/>
      <c r="G193" s="140"/>
      <c r="H193" s="165"/>
      <c r="I193" s="165"/>
      <c r="J193" s="165"/>
      <c r="K193" s="165"/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  <c r="BH193" s="165"/>
      <c r="BI193" s="165"/>
      <c r="BJ193" s="165"/>
      <c r="BK193" s="165"/>
      <c r="BL193" s="165"/>
      <c r="BM193" s="165"/>
      <c r="BN193" s="165"/>
      <c r="BO193" s="165"/>
      <c r="BP193" s="165"/>
      <c r="BQ193" s="165"/>
      <c r="BR193" s="165"/>
      <c r="BS193" s="165"/>
      <c r="BT193" s="165"/>
      <c r="BU193" s="165"/>
      <c r="BV193" s="165"/>
      <c r="BW193" s="165"/>
      <c r="BX193" s="165"/>
      <c r="BY193" s="1452"/>
      <c r="BZ193" s="1452"/>
      <c r="CA193" s="1451"/>
      <c r="CB193" s="1451"/>
      <c r="CC193" s="1451"/>
      <c r="CD193" s="1451"/>
      <c r="CE193" s="1451"/>
      <c r="CF193" s="1451"/>
      <c r="CG193" s="1454"/>
      <c r="CH193" s="1454"/>
      <c r="CI193" s="1454"/>
      <c r="CJ193" s="1454"/>
      <c r="CK193" s="1454"/>
      <c r="CL193" s="1454"/>
      <c r="CM193" s="1454"/>
      <c r="CN193" s="1454"/>
    </row>
    <row r="194" spans="1:92" ht="16.149999999999999" customHeight="1" x14ac:dyDescent="0.25">
      <c r="A194" s="3643" t="s">
        <v>3243</v>
      </c>
      <c r="B194" s="1665">
        <f t="shared" ref="B194:B202" si="12">SUM(C194:D194)</f>
        <v>0</v>
      </c>
      <c r="C194" s="3627"/>
      <c r="D194" s="1802"/>
      <c r="E194" s="140"/>
      <c r="F194" s="140"/>
      <c r="G194" s="140"/>
      <c r="H194" s="165"/>
      <c r="I194" s="165"/>
      <c r="J194" s="165"/>
      <c r="K194" s="165"/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  <c r="BH194" s="165"/>
      <c r="BI194" s="165"/>
      <c r="BJ194" s="165"/>
      <c r="BK194" s="165"/>
      <c r="BL194" s="165"/>
      <c r="BM194" s="165"/>
      <c r="BN194" s="165"/>
      <c r="BO194" s="165"/>
      <c r="BP194" s="165"/>
      <c r="BQ194" s="165"/>
      <c r="BR194" s="165"/>
      <c r="BS194" s="165"/>
      <c r="BT194" s="165"/>
      <c r="BU194" s="165"/>
      <c r="BV194" s="165"/>
      <c r="BW194" s="165"/>
      <c r="BX194" s="165"/>
      <c r="BY194" s="1452"/>
      <c r="BZ194" s="1452"/>
      <c r="CA194" s="1451"/>
      <c r="CB194" s="1451"/>
      <c r="CC194" s="1451"/>
      <c r="CD194" s="1451"/>
      <c r="CE194" s="1451"/>
      <c r="CF194" s="1451"/>
      <c r="CG194" s="1454"/>
      <c r="CH194" s="1454"/>
      <c r="CI194" s="1454"/>
      <c r="CJ194" s="1454"/>
      <c r="CK194" s="1454"/>
      <c r="CL194" s="1454"/>
      <c r="CM194" s="1454"/>
      <c r="CN194" s="1454"/>
    </row>
    <row r="195" spans="1:92" ht="16.149999999999999" customHeight="1" x14ac:dyDescent="0.25">
      <c r="A195" s="3643" t="s">
        <v>3244</v>
      </c>
      <c r="B195" s="1665">
        <f t="shared" si="12"/>
        <v>0</v>
      </c>
      <c r="C195" s="3627"/>
      <c r="D195" s="1802"/>
      <c r="E195" s="140"/>
      <c r="F195" s="140"/>
      <c r="G195" s="140"/>
      <c r="H195" s="165"/>
      <c r="I195" s="165"/>
      <c r="J195" s="165"/>
      <c r="K195" s="165"/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5"/>
      <c r="BJ195" s="165"/>
      <c r="BK195" s="165"/>
      <c r="BL195" s="165"/>
      <c r="BM195" s="165"/>
      <c r="BN195" s="165"/>
      <c r="BO195" s="165"/>
      <c r="BP195" s="165"/>
      <c r="BQ195" s="165"/>
      <c r="BR195" s="165"/>
      <c r="BS195" s="165"/>
      <c r="BT195" s="165"/>
      <c r="BU195" s="165"/>
      <c r="BV195" s="165"/>
      <c r="BW195" s="165"/>
      <c r="BX195" s="165"/>
      <c r="BY195" s="1452"/>
      <c r="BZ195" s="1452"/>
      <c r="CA195" s="1451"/>
      <c r="CB195" s="1451"/>
      <c r="CC195" s="1451"/>
      <c r="CD195" s="1451"/>
      <c r="CE195" s="1451"/>
      <c r="CF195" s="1451"/>
      <c r="CG195" s="1454"/>
      <c r="CH195" s="1454"/>
      <c r="CI195" s="1454"/>
      <c r="CJ195" s="1454"/>
      <c r="CK195" s="1454"/>
      <c r="CL195" s="1454"/>
      <c r="CM195" s="1454"/>
      <c r="CN195" s="1454"/>
    </row>
    <row r="196" spans="1:92" ht="16.149999999999999" customHeight="1" x14ac:dyDescent="0.25">
      <c r="A196" s="3643" t="s">
        <v>3245</v>
      </c>
      <c r="B196" s="1665">
        <f t="shared" si="12"/>
        <v>0</v>
      </c>
      <c r="C196" s="3627"/>
      <c r="D196" s="1802"/>
      <c r="E196" s="140"/>
      <c r="F196" s="140"/>
      <c r="G196" s="140"/>
      <c r="H196" s="165"/>
      <c r="I196" s="165"/>
      <c r="J196" s="165"/>
      <c r="K196" s="165"/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  <c r="BH196" s="165"/>
      <c r="BI196" s="165"/>
      <c r="BJ196" s="165"/>
      <c r="BK196" s="165"/>
      <c r="BL196" s="165"/>
      <c r="BM196" s="165"/>
      <c r="BN196" s="165"/>
      <c r="BO196" s="165"/>
      <c r="BP196" s="165"/>
      <c r="BQ196" s="165"/>
      <c r="BR196" s="165"/>
      <c r="BS196" s="165"/>
      <c r="BT196" s="165"/>
      <c r="BU196" s="165"/>
      <c r="BV196" s="165"/>
      <c r="BW196" s="165"/>
      <c r="BX196" s="165"/>
      <c r="BY196" s="1452"/>
      <c r="BZ196" s="1452"/>
      <c r="CA196" s="1451"/>
      <c r="CB196" s="1451"/>
      <c r="CC196" s="1451"/>
      <c r="CD196" s="1451"/>
      <c r="CE196" s="1451"/>
      <c r="CF196" s="1451"/>
      <c r="CG196" s="1454"/>
      <c r="CH196" s="1454"/>
      <c r="CI196" s="1454"/>
      <c r="CJ196" s="1454"/>
      <c r="CK196" s="1454"/>
      <c r="CL196" s="1454"/>
      <c r="CM196" s="1454"/>
      <c r="CN196" s="1454"/>
    </row>
    <row r="197" spans="1:92" ht="16.149999999999999" customHeight="1" x14ac:dyDescent="0.25">
      <c r="A197" s="3643" t="s">
        <v>3246</v>
      </c>
      <c r="B197" s="1665">
        <f t="shared" si="12"/>
        <v>0</v>
      </c>
      <c r="C197" s="3627"/>
      <c r="D197" s="1802"/>
      <c r="E197" s="140"/>
      <c r="F197" s="140"/>
      <c r="G197" s="140"/>
      <c r="H197" s="165"/>
      <c r="I197" s="165"/>
      <c r="J197" s="165"/>
      <c r="K197" s="165"/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  <c r="BH197" s="165"/>
      <c r="BI197" s="165"/>
      <c r="BJ197" s="165"/>
      <c r="BK197" s="165"/>
      <c r="BL197" s="165"/>
      <c r="BM197" s="165"/>
      <c r="BN197" s="165"/>
      <c r="BO197" s="165"/>
      <c r="BP197" s="165"/>
      <c r="BQ197" s="165"/>
      <c r="BR197" s="165"/>
      <c r="BS197" s="165"/>
      <c r="BT197" s="165"/>
      <c r="BU197" s="165"/>
      <c r="BV197" s="165"/>
      <c r="BW197" s="165"/>
      <c r="BX197" s="165"/>
      <c r="BY197" s="1452"/>
      <c r="BZ197" s="1452"/>
      <c r="CA197" s="1451"/>
      <c r="CB197" s="1451"/>
      <c r="CC197" s="1451"/>
      <c r="CD197" s="1451"/>
      <c r="CE197" s="1451"/>
      <c r="CF197" s="1451"/>
      <c r="CG197" s="1454"/>
      <c r="CH197" s="1454"/>
      <c r="CI197" s="1454"/>
      <c r="CJ197" s="1454"/>
      <c r="CK197" s="1454"/>
      <c r="CL197" s="1454"/>
      <c r="CM197" s="1454"/>
      <c r="CN197" s="1454"/>
    </row>
    <row r="198" spans="1:92" ht="16.149999999999999" customHeight="1" x14ac:dyDescent="0.25">
      <c r="A198" s="3643" t="s">
        <v>3247</v>
      </c>
      <c r="B198" s="1665">
        <f t="shared" si="12"/>
        <v>0</v>
      </c>
      <c r="C198" s="3627"/>
      <c r="D198" s="1802"/>
      <c r="E198" s="140"/>
      <c r="F198" s="140"/>
      <c r="G198" s="140"/>
      <c r="H198" s="165"/>
      <c r="I198" s="165"/>
      <c r="J198" s="165"/>
      <c r="K198" s="165"/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  <c r="BR198" s="165"/>
      <c r="BS198" s="165"/>
      <c r="BT198" s="165"/>
      <c r="BU198" s="165"/>
      <c r="BV198" s="165"/>
      <c r="BW198" s="165"/>
      <c r="BX198" s="165"/>
      <c r="BY198" s="1452"/>
      <c r="BZ198" s="1452"/>
      <c r="CA198" s="1451"/>
      <c r="CB198" s="1451"/>
      <c r="CC198" s="1451"/>
      <c r="CD198" s="1451"/>
      <c r="CE198" s="1451"/>
      <c r="CF198" s="1451"/>
      <c r="CG198" s="1454"/>
      <c r="CH198" s="1454"/>
      <c r="CI198" s="1454"/>
      <c r="CJ198" s="1454"/>
      <c r="CK198" s="1454"/>
      <c r="CL198" s="1454"/>
      <c r="CM198" s="1454"/>
      <c r="CN198" s="1454"/>
    </row>
    <row r="199" spans="1:92" ht="16.149999999999999" customHeight="1" x14ac:dyDescent="0.25">
      <c r="A199" s="3643" t="s">
        <v>3248</v>
      </c>
      <c r="B199" s="1665">
        <f t="shared" si="12"/>
        <v>0</v>
      </c>
      <c r="C199" s="3627"/>
      <c r="D199" s="1802"/>
      <c r="E199" s="140"/>
      <c r="F199" s="140"/>
      <c r="G199" s="140"/>
      <c r="H199" s="165"/>
      <c r="I199" s="165"/>
      <c r="J199" s="165"/>
      <c r="K199" s="165"/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  <c r="BH199" s="165"/>
      <c r="BI199" s="165"/>
      <c r="BJ199" s="165"/>
      <c r="BK199" s="165"/>
      <c r="BL199" s="165"/>
      <c r="BM199" s="165"/>
      <c r="BN199" s="165"/>
      <c r="BO199" s="165"/>
      <c r="BP199" s="165"/>
      <c r="BQ199" s="165"/>
      <c r="BR199" s="165"/>
      <c r="BS199" s="165"/>
      <c r="BT199" s="165"/>
      <c r="BU199" s="165"/>
      <c r="BV199" s="165"/>
      <c r="BW199" s="165"/>
      <c r="BX199" s="165"/>
      <c r="BY199" s="1452"/>
      <c r="BZ199" s="1452"/>
      <c r="CA199" s="1451"/>
      <c r="CB199" s="1451"/>
      <c r="CC199" s="1451"/>
      <c r="CD199" s="1451"/>
      <c r="CE199" s="1451"/>
      <c r="CF199" s="1451"/>
      <c r="CG199" s="1454"/>
      <c r="CH199" s="1454"/>
      <c r="CI199" s="1454"/>
      <c r="CJ199" s="1454"/>
      <c r="CK199" s="1454"/>
      <c r="CL199" s="1454"/>
      <c r="CM199" s="1454"/>
      <c r="CN199" s="1454"/>
    </row>
    <row r="200" spans="1:92" ht="16.149999999999999" customHeight="1" x14ac:dyDescent="0.25">
      <c r="A200" s="3643" t="s">
        <v>3249</v>
      </c>
      <c r="B200" s="1665">
        <f t="shared" si="12"/>
        <v>0</v>
      </c>
      <c r="C200" s="3627"/>
      <c r="D200" s="1802"/>
      <c r="E200" s="140"/>
      <c r="F200" s="140"/>
      <c r="G200" s="140"/>
      <c r="H200" s="165"/>
      <c r="I200" s="165"/>
      <c r="J200" s="165"/>
      <c r="K200" s="165"/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  <c r="BH200" s="165"/>
      <c r="BI200" s="165"/>
      <c r="BJ200" s="165"/>
      <c r="BK200" s="165"/>
      <c r="BL200" s="165"/>
      <c r="BM200" s="165"/>
      <c r="BN200" s="165"/>
      <c r="BO200" s="165"/>
      <c r="BP200" s="165"/>
      <c r="BQ200" s="165"/>
      <c r="BR200" s="165"/>
      <c r="BS200" s="165"/>
      <c r="BT200" s="165"/>
      <c r="BU200" s="165"/>
      <c r="BV200" s="165"/>
      <c r="BW200" s="165"/>
      <c r="BX200" s="165"/>
      <c r="BY200" s="1452"/>
      <c r="BZ200" s="1452"/>
      <c r="CA200" s="1451"/>
      <c r="CB200" s="1451"/>
      <c r="CC200" s="1451"/>
      <c r="CD200" s="1451"/>
      <c r="CE200" s="1451"/>
      <c r="CF200" s="1451"/>
      <c r="CG200" s="1454"/>
      <c r="CH200" s="1454"/>
      <c r="CI200" s="1454"/>
      <c r="CJ200" s="1454"/>
      <c r="CK200" s="1454"/>
      <c r="CL200" s="1454"/>
      <c r="CM200" s="1454"/>
      <c r="CN200" s="1454"/>
    </row>
    <row r="201" spans="1:92" ht="16.149999999999999" customHeight="1" x14ac:dyDescent="0.25">
      <c r="A201" s="3643" t="s">
        <v>3250</v>
      </c>
      <c r="B201" s="1665">
        <f t="shared" si="12"/>
        <v>0</v>
      </c>
      <c r="C201" s="3627"/>
      <c r="D201" s="1802"/>
      <c r="E201" s="140"/>
      <c r="F201" s="140"/>
      <c r="G201" s="140"/>
      <c r="H201" s="165"/>
      <c r="I201" s="165"/>
      <c r="J201" s="165"/>
      <c r="K201" s="165"/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  <c r="BR201" s="165"/>
      <c r="BS201" s="165"/>
      <c r="BT201" s="165"/>
      <c r="BU201" s="165"/>
      <c r="BV201" s="165"/>
      <c r="BW201" s="165"/>
      <c r="BX201" s="165"/>
      <c r="BY201" s="1452"/>
      <c r="BZ201" s="1452"/>
      <c r="CA201" s="1451"/>
      <c r="CB201" s="1451"/>
      <c r="CC201" s="1451"/>
      <c r="CD201" s="1451"/>
      <c r="CE201" s="1451"/>
      <c r="CF201" s="1451"/>
      <c r="CG201" s="1454"/>
      <c r="CH201" s="1454"/>
      <c r="CI201" s="1454"/>
      <c r="CJ201" s="1454"/>
      <c r="CK201" s="1454"/>
      <c r="CL201" s="1454"/>
      <c r="CM201" s="1454"/>
      <c r="CN201" s="1454"/>
    </row>
    <row r="202" spans="1:92" ht="16.149999999999999" customHeight="1" x14ac:dyDescent="0.25">
      <c r="A202" s="3644" t="s">
        <v>3251</v>
      </c>
      <c r="B202" s="1665">
        <f t="shared" si="12"/>
        <v>0</v>
      </c>
      <c r="C202" s="3627"/>
      <c r="D202" s="1802"/>
      <c r="E202" s="140"/>
      <c r="F202" s="140"/>
      <c r="G202" s="140"/>
      <c r="H202" s="165"/>
      <c r="I202" s="165"/>
      <c r="J202" s="165"/>
      <c r="K202" s="165"/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  <c r="BH202" s="165"/>
      <c r="BI202" s="165"/>
      <c r="BJ202" s="165"/>
      <c r="BK202" s="165"/>
      <c r="BL202" s="165"/>
      <c r="BM202" s="165"/>
      <c r="BN202" s="165"/>
      <c r="BO202" s="165"/>
      <c r="BP202" s="165"/>
      <c r="BQ202" s="165"/>
      <c r="BR202" s="165"/>
      <c r="BS202" s="165"/>
      <c r="BT202" s="165"/>
      <c r="BU202" s="165"/>
      <c r="BV202" s="165"/>
      <c r="BW202" s="165"/>
      <c r="BX202" s="165"/>
      <c r="BY202" s="1452"/>
      <c r="BZ202" s="1452"/>
      <c r="CA202" s="1451"/>
      <c r="CB202" s="1451"/>
      <c r="CC202" s="1451"/>
      <c r="CD202" s="1451"/>
      <c r="CE202" s="1451"/>
      <c r="CF202" s="1451"/>
      <c r="CG202" s="1454"/>
      <c r="CH202" s="1454"/>
      <c r="CI202" s="1454"/>
      <c r="CJ202" s="1454"/>
      <c r="CK202" s="1454"/>
      <c r="CL202" s="1454"/>
      <c r="CM202" s="1454"/>
      <c r="CN202" s="1454"/>
    </row>
    <row r="203" spans="1:92" ht="16.149999999999999" customHeight="1" x14ac:dyDescent="0.25">
      <c r="A203" s="3645" t="s">
        <v>24</v>
      </c>
      <c r="B203" s="3646">
        <f>+SUM(B193:B202)</f>
        <v>0</v>
      </c>
      <c r="C203" s="3646">
        <f>+SUM(C193:C202)</f>
        <v>0</v>
      </c>
      <c r="D203" s="3646">
        <f>+SUM(D193:D202)</f>
        <v>0</v>
      </c>
      <c r="E203" s="140"/>
      <c r="F203" s="140"/>
      <c r="G203" s="140"/>
      <c r="H203" s="165"/>
      <c r="I203" s="165"/>
      <c r="J203" s="165"/>
      <c r="K203" s="165"/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  <c r="BH203" s="165"/>
      <c r="BI203" s="165"/>
      <c r="BJ203" s="165"/>
      <c r="BK203" s="165"/>
      <c r="BL203" s="165"/>
      <c r="BM203" s="165"/>
      <c r="BN203" s="165"/>
      <c r="BO203" s="165"/>
      <c r="BP203" s="165"/>
      <c r="BQ203" s="165"/>
      <c r="BR203" s="165"/>
      <c r="BS203" s="165"/>
      <c r="BT203" s="165"/>
      <c r="BU203" s="165"/>
      <c r="BV203" s="165"/>
      <c r="BW203" s="165"/>
      <c r="BX203" s="165"/>
      <c r="BY203" s="1452"/>
      <c r="BZ203" s="1452"/>
      <c r="CA203" s="1451"/>
      <c r="CB203" s="1451"/>
      <c r="CC203" s="1451"/>
      <c r="CD203" s="1451"/>
      <c r="CE203" s="1451"/>
      <c r="CF203" s="1451"/>
      <c r="CG203" s="1454"/>
      <c r="CH203" s="1454"/>
      <c r="CI203" s="1454"/>
      <c r="CJ203" s="1454"/>
      <c r="CK203" s="1454"/>
      <c r="CL203" s="1454"/>
      <c r="CM203" s="1454"/>
      <c r="CN203" s="1454"/>
    </row>
    <row r="204" spans="1:92" ht="28.15" customHeight="1" x14ac:dyDescent="0.25">
      <c r="A204" s="1366" t="s">
        <v>3239</v>
      </c>
      <c r="E204" s="140"/>
      <c r="F204" s="140"/>
      <c r="G204" s="140"/>
      <c r="H204" s="165"/>
      <c r="I204" s="165"/>
      <c r="J204" s="165"/>
      <c r="K204" s="165"/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  <c r="BH204" s="165"/>
      <c r="BI204" s="165"/>
      <c r="BJ204" s="165"/>
      <c r="BK204" s="165"/>
      <c r="BL204" s="165"/>
      <c r="BM204" s="165"/>
      <c r="BN204" s="165"/>
      <c r="BO204" s="165"/>
      <c r="BP204" s="165"/>
      <c r="BQ204" s="165"/>
      <c r="BR204" s="165"/>
      <c r="BS204" s="165"/>
      <c r="BT204" s="165"/>
      <c r="BU204" s="165"/>
      <c r="BV204" s="165"/>
      <c r="BW204" s="165"/>
      <c r="BX204" s="165"/>
      <c r="BY204" s="1452"/>
      <c r="BZ204" s="1452"/>
      <c r="CA204" s="1451"/>
      <c r="CB204" s="1451"/>
      <c r="CC204" s="1451"/>
      <c r="CD204" s="1451"/>
      <c r="CE204" s="1451"/>
      <c r="CF204" s="1451"/>
      <c r="CG204" s="1454"/>
      <c r="CH204" s="1454"/>
      <c r="CI204" s="1454"/>
      <c r="CJ204" s="1454"/>
      <c r="CK204" s="1454"/>
      <c r="CL204" s="1454"/>
      <c r="CM204" s="1454"/>
      <c r="CN204" s="1454"/>
    </row>
    <row r="205" spans="1:92" ht="22.15" customHeight="1" x14ac:dyDescent="0.25">
      <c r="A205" s="3641" t="s">
        <v>3240</v>
      </c>
      <c r="B205" s="3432" t="s">
        <v>3418</v>
      </c>
      <c r="C205" s="3432" t="s">
        <v>372</v>
      </c>
      <c r="D205" s="3432" t="s">
        <v>3417</v>
      </c>
      <c r="E205" s="140"/>
      <c r="F205" s="140"/>
      <c r="G205" s="140"/>
      <c r="H205" s="165"/>
      <c r="I205" s="165"/>
      <c r="J205" s="165"/>
      <c r="K205" s="165"/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  <c r="BH205" s="165"/>
      <c r="BI205" s="165"/>
      <c r="BJ205" s="165"/>
      <c r="BK205" s="165"/>
      <c r="BL205" s="165"/>
      <c r="BM205" s="165"/>
      <c r="BN205" s="165"/>
      <c r="BO205" s="165"/>
      <c r="BP205" s="165"/>
      <c r="BQ205" s="165"/>
      <c r="BR205" s="165"/>
      <c r="BS205" s="165"/>
      <c r="BT205" s="165"/>
      <c r="BU205" s="165"/>
      <c r="BV205" s="165"/>
      <c r="BW205" s="165"/>
      <c r="BX205" s="165"/>
      <c r="BY205" s="1452"/>
      <c r="BZ205" s="1452"/>
      <c r="CA205" s="1451"/>
      <c r="CB205" s="1451"/>
      <c r="CC205" s="1451"/>
      <c r="CD205" s="1451"/>
      <c r="CE205" s="1451"/>
      <c r="CF205" s="1451"/>
      <c r="CG205" s="1454"/>
      <c r="CH205" s="1454"/>
      <c r="CI205" s="1454"/>
      <c r="CJ205" s="1454"/>
      <c r="CK205" s="1454"/>
      <c r="CL205" s="1454"/>
      <c r="CM205" s="1454"/>
      <c r="CN205" s="1454"/>
    </row>
    <row r="206" spans="1:92" ht="16.149999999999999" customHeight="1" x14ac:dyDescent="0.25">
      <c r="A206" s="3647" t="s">
        <v>3420</v>
      </c>
      <c r="B206" s="3627"/>
      <c r="C206" s="3627"/>
      <c r="D206" s="1802"/>
      <c r="E206" s="140"/>
      <c r="F206" s="140"/>
      <c r="G206" s="140"/>
      <c r="H206" s="165"/>
      <c r="I206" s="165"/>
      <c r="J206" s="165"/>
      <c r="K206" s="165"/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  <c r="BH206" s="165"/>
      <c r="BI206" s="165"/>
      <c r="BJ206" s="165"/>
      <c r="BK206" s="165"/>
      <c r="BL206" s="165"/>
      <c r="BM206" s="165"/>
      <c r="BN206" s="165"/>
      <c r="BO206" s="165"/>
      <c r="BP206" s="165"/>
      <c r="BQ206" s="165"/>
      <c r="BR206" s="165"/>
      <c r="BS206" s="165"/>
      <c r="BT206" s="165"/>
      <c r="BU206" s="165"/>
      <c r="BV206" s="165"/>
      <c r="BW206" s="165"/>
      <c r="BX206" s="165"/>
      <c r="BY206" s="1452"/>
      <c r="BZ206" s="1452"/>
      <c r="CA206" s="1451"/>
      <c r="CB206" s="1451"/>
      <c r="CC206" s="1451"/>
      <c r="CD206" s="1451"/>
      <c r="CE206" s="1451"/>
      <c r="CF206" s="1451"/>
      <c r="CG206" s="1454"/>
      <c r="CH206" s="1454"/>
      <c r="CI206" s="1454"/>
      <c r="CJ206" s="1454"/>
      <c r="CK206" s="1454"/>
      <c r="CL206" s="1454"/>
      <c r="CM206" s="1454"/>
      <c r="CN206" s="1454"/>
    </row>
    <row r="207" spans="1:92" ht="16.149999999999999" customHeight="1" x14ac:dyDescent="0.25">
      <c r="A207" s="2215" t="s">
        <v>3421</v>
      </c>
      <c r="B207" s="3627"/>
      <c r="C207" s="3627"/>
      <c r="D207" s="1802"/>
      <c r="E207" s="140"/>
      <c r="F207" s="140"/>
      <c r="G207" s="140"/>
      <c r="H207" s="165"/>
      <c r="I207" s="165"/>
      <c r="J207" s="165"/>
      <c r="K207" s="165"/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  <c r="BH207" s="165"/>
      <c r="BI207" s="165"/>
      <c r="BJ207" s="165"/>
      <c r="BK207" s="165"/>
      <c r="BL207" s="165"/>
      <c r="BM207" s="165"/>
      <c r="BN207" s="165"/>
      <c r="BO207" s="165"/>
      <c r="BP207" s="165"/>
      <c r="BQ207" s="165"/>
      <c r="BR207" s="165"/>
      <c r="BS207" s="165"/>
      <c r="BT207" s="165"/>
      <c r="BU207" s="165"/>
      <c r="BV207" s="165"/>
      <c r="BW207" s="165"/>
      <c r="BX207" s="165"/>
      <c r="BY207" s="1452"/>
      <c r="BZ207" s="1452"/>
      <c r="CA207" s="1451"/>
      <c r="CB207" s="1451"/>
      <c r="CC207" s="1451"/>
      <c r="CD207" s="1451"/>
      <c r="CE207" s="1451"/>
      <c r="CF207" s="1451"/>
      <c r="CG207" s="1454"/>
      <c r="CH207" s="1454"/>
      <c r="CI207" s="1454"/>
      <c r="CJ207" s="1454"/>
      <c r="CK207" s="1454"/>
      <c r="CL207" s="1454"/>
      <c r="CM207" s="1454"/>
      <c r="CN207" s="1454"/>
    </row>
    <row r="208" spans="1:92" ht="16.149999999999999" customHeight="1" x14ac:dyDescent="0.25">
      <c r="A208" s="3648" t="s">
        <v>3422</v>
      </c>
      <c r="B208" s="3627"/>
      <c r="C208" s="3627"/>
      <c r="D208" s="3649"/>
      <c r="E208" s="140"/>
      <c r="F208" s="140"/>
      <c r="G208" s="140"/>
      <c r="H208" s="165"/>
      <c r="I208" s="165"/>
      <c r="J208" s="165"/>
      <c r="K208" s="165"/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  <c r="BH208" s="165"/>
      <c r="BI208" s="165"/>
      <c r="BJ208" s="165"/>
      <c r="BK208" s="165"/>
      <c r="BL208" s="165"/>
      <c r="BM208" s="165"/>
      <c r="BN208" s="165"/>
      <c r="BO208" s="165"/>
      <c r="BP208" s="165"/>
      <c r="BQ208" s="165"/>
      <c r="BR208" s="165"/>
      <c r="BS208" s="165"/>
      <c r="BT208" s="165"/>
      <c r="BU208" s="165"/>
      <c r="BV208" s="165"/>
      <c r="BW208" s="165"/>
      <c r="BX208" s="165"/>
      <c r="BY208" s="1452"/>
      <c r="BZ208" s="1452"/>
      <c r="CA208" s="1451"/>
      <c r="CB208" s="1451"/>
      <c r="CC208" s="1451"/>
      <c r="CD208" s="1451"/>
      <c r="CE208" s="1451"/>
      <c r="CF208" s="1451"/>
      <c r="CG208" s="1454"/>
      <c r="CH208" s="1454"/>
      <c r="CI208" s="1454"/>
      <c r="CJ208" s="1454"/>
      <c r="CK208" s="1454"/>
      <c r="CL208" s="1454"/>
      <c r="CM208" s="1454"/>
      <c r="CN208" s="1454"/>
    </row>
    <row r="209" spans="1:92" ht="16.149999999999999" customHeight="1" x14ac:dyDescent="0.25">
      <c r="A209" s="3650" t="s">
        <v>44</v>
      </c>
      <c r="B209" s="3651">
        <f>+SUM(B206:B208)</f>
        <v>0</v>
      </c>
      <c r="C209" s="3651">
        <f>+SUM(C206:C208)</f>
        <v>0</v>
      </c>
      <c r="D209" s="3651">
        <f>+SUM(D206:D208)</f>
        <v>0</v>
      </c>
      <c r="F209" s="140"/>
      <c r="G209" s="140"/>
      <c r="H209" s="165"/>
      <c r="I209" s="165"/>
      <c r="J209" s="165"/>
      <c r="K209" s="165"/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  <c r="BR209" s="165"/>
      <c r="BS209" s="165"/>
      <c r="BT209" s="165"/>
      <c r="BU209" s="165"/>
      <c r="BV209" s="165"/>
      <c r="BW209" s="165"/>
      <c r="BX209" s="165"/>
      <c r="BY209" s="1452"/>
      <c r="BZ209" s="1452"/>
      <c r="CA209" s="1451"/>
      <c r="CB209" s="1451"/>
      <c r="CC209" s="1451"/>
      <c r="CD209" s="1451"/>
      <c r="CE209" s="1451"/>
      <c r="CF209" s="1451"/>
      <c r="CG209" s="1454"/>
      <c r="CH209" s="1454"/>
      <c r="CI209" s="1454"/>
      <c r="CJ209" s="1454"/>
      <c r="CK209" s="1454"/>
      <c r="CL209" s="1454"/>
      <c r="CM209" s="1454"/>
      <c r="CN209" s="1454"/>
    </row>
    <row r="210" spans="1:92" ht="28.15" customHeight="1" x14ac:dyDescent="0.25">
      <c r="A210" s="1366" t="s">
        <v>3222</v>
      </c>
      <c r="F210" s="140"/>
      <c r="G210" s="140"/>
      <c r="H210" s="165"/>
      <c r="I210" s="165"/>
      <c r="J210" s="165"/>
      <c r="K210" s="165"/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  <c r="BH210" s="165"/>
      <c r="BI210" s="165"/>
      <c r="BJ210" s="165"/>
      <c r="BK210" s="165"/>
      <c r="BL210" s="165"/>
      <c r="BM210" s="165"/>
      <c r="BN210" s="165"/>
      <c r="BO210" s="165"/>
      <c r="BP210" s="165"/>
      <c r="BQ210" s="165"/>
      <c r="BR210" s="165"/>
      <c r="BS210" s="165"/>
      <c r="BT210" s="165"/>
      <c r="BU210" s="165"/>
      <c r="BV210" s="165"/>
      <c r="BW210" s="165"/>
      <c r="BX210" s="165"/>
      <c r="BY210" s="1452"/>
      <c r="BZ210" s="1452"/>
      <c r="CA210" s="1451"/>
      <c r="CB210" s="1451"/>
      <c r="CC210" s="1451"/>
      <c r="CD210" s="1451"/>
      <c r="CE210" s="1451"/>
      <c r="CF210" s="1451"/>
      <c r="CG210" s="1454"/>
      <c r="CH210" s="1454"/>
      <c r="CI210" s="1454"/>
      <c r="CJ210" s="1454"/>
      <c r="CK210" s="1454"/>
      <c r="CL210" s="1454"/>
      <c r="CM210" s="1454"/>
      <c r="CN210" s="1454"/>
    </row>
    <row r="211" spans="1:92" ht="27.6" customHeight="1" x14ac:dyDescent="0.25">
      <c r="A211" s="3432" t="s">
        <v>3184</v>
      </c>
      <c r="B211" s="3432" t="s">
        <v>3419</v>
      </c>
      <c r="C211" s="3432" t="s">
        <v>3418</v>
      </c>
      <c r="D211" s="3432" t="s">
        <v>372</v>
      </c>
      <c r="E211" s="3432" t="s">
        <v>112</v>
      </c>
      <c r="F211" s="140"/>
      <c r="G211" s="140"/>
      <c r="H211" s="165"/>
      <c r="I211" s="165"/>
      <c r="J211" s="165"/>
      <c r="K211" s="165"/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  <c r="BR211" s="165"/>
      <c r="BS211" s="165"/>
      <c r="BT211" s="165"/>
      <c r="BU211" s="165"/>
      <c r="BV211" s="165"/>
      <c r="BW211" s="165"/>
      <c r="BX211" s="165"/>
      <c r="BY211" s="1452"/>
      <c r="BZ211" s="1452"/>
      <c r="CA211" s="1451"/>
      <c r="CB211" s="1451"/>
      <c r="CC211" s="1451"/>
      <c r="CD211" s="1451"/>
      <c r="CE211" s="1451"/>
      <c r="CF211" s="1451"/>
      <c r="CG211" s="1454"/>
      <c r="CH211" s="1454"/>
      <c r="CI211" s="1454"/>
      <c r="CJ211" s="1454"/>
      <c r="CK211" s="1454"/>
      <c r="CL211" s="1454"/>
      <c r="CM211" s="1454"/>
      <c r="CN211" s="1454"/>
    </row>
    <row r="212" spans="1:92" ht="16.149999999999999" customHeight="1" x14ac:dyDescent="0.25">
      <c r="A212" s="10041" t="s">
        <v>3223</v>
      </c>
      <c r="B212" s="3652" t="s">
        <v>3224</v>
      </c>
      <c r="C212" s="3627"/>
      <c r="D212" s="3627"/>
      <c r="E212" s="3653"/>
      <c r="F212" s="140"/>
      <c r="G212" s="140"/>
      <c r="H212" s="165"/>
      <c r="I212" s="165"/>
      <c r="J212" s="165"/>
      <c r="K212" s="165"/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  <c r="BR212" s="165"/>
      <c r="BS212" s="165"/>
      <c r="BT212" s="165"/>
      <c r="BU212" s="165"/>
      <c r="BV212" s="165"/>
      <c r="BW212" s="165"/>
      <c r="BX212" s="165"/>
      <c r="BY212" s="1452"/>
      <c r="BZ212" s="1452"/>
      <c r="CA212" s="1451"/>
      <c r="CB212" s="1451"/>
      <c r="CC212" s="1451"/>
      <c r="CD212" s="1451"/>
      <c r="CE212" s="1451"/>
      <c r="CF212" s="1451"/>
      <c r="CG212" s="1454"/>
      <c r="CH212" s="1454"/>
      <c r="CI212" s="1454"/>
      <c r="CJ212" s="1454"/>
      <c r="CK212" s="1454"/>
      <c r="CL212" s="1454"/>
      <c r="CM212" s="1454"/>
      <c r="CN212" s="1454"/>
    </row>
    <row r="213" spans="1:92" ht="16.149999999999999" customHeight="1" x14ac:dyDescent="0.25">
      <c r="A213" s="10042"/>
      <c r="B213" s="3654" t="s">
        <v>3225</v>
      </c>
      <c r="C213" s="3627"/>
      <c r="D213" s="3627"/>
      <c r="E213" s="3655"/>
      <c r="F213" s="140"/>
      <c r="G213" s="140"/>
      <c r="H213" s="165"/>
      <c r="I213" s="165"/>
      <c r="J213" s="165"/>
      <c r="K213" s="165"/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  <c r="BH213" s="165"/>
      <c r="BI213" s="165"/>
      <c r="BJ213" s="165"/>
      <c r="BK213" s="165"/>
      <c r="BL213" s="165"/>
      <c r="BM213" s="165"/>
      <c r="BN213" s="165"/>
      <c r="BO213" s="165"/>
      <c r="BP213" s="165"/>
      <c r="BQ213" s="165"/>
      <c r="BR213" s="165"/>
      <c r="BS213" s="165"/>
      <c r="BT213" s="165"/>
      <c r="BU213" s="165"/>
      <c r="BV213" s="165"/>
      <c r="BW213" s="165"/>
      <c r="BX213" s="165"/>
      <c r="BY213" s="1452"/>
      <c r="BZ213" s="1452"/>
      <c r="CA213" s="1451"/>
      <c r="CB213" s="1451"/>
      <c r="CC213" s="1451"/>
      <c r="CD213" s="1451"/>
      <c r="CE213" s="1451"/>
      <c r="CF213" s="1451"/>
      <c r="CG213" s="1454"/>
      <c r="CH213" s="1454"/>
      <c r="CI213" s="1454"/>
      <c r="CJ213" s="1454"/>
      <c r="CK213" s="1454"/>
      <c r="CL213" s="1454"/>
      <c r="CM213" s="1454"/>
      <c r="CN213" s="1454"/>
    </row>
    <row r="214" spans="1:92" ht="16.149999999999999" customHeight="1" x14ac:dyDescent="0.25">
      <c r="A214" s="10042"/>
      <c r="B214" s="3656" t="s">
        <v>3226</v>
      </c>
      <c r="C214" s="3630"/>
      <c r="D214" s="3630"/>
      <c r="E214" s="1802"/>
      <c r="F214" s="140"/>
      <c r="G214" s="140"/>
      <c r="H214" s="165"/>
      <c r="I214" s="165"/>
      <c r="J214" s="165"/>
      <c r="K214" s="165"/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  <c r="BR214" s="165"/>
      <c r="BS214" s="165"/>
      <c r="BT214" s="165"/>
      <c r="BU214" s="165"/>
      <c r="BV214" s="165"/>
      <c r="BW214" s="165"/>
      <c r="BX214" s="165"/>
      <c r="BY214" s="1452"/>
      <c r="BZ214" s="1452"/>
      <c r="CA214" s="1451"/>
      <c r="CB214" s="1451"/>
      <c r="CC214" s="1451"/>
      <c r="CD214" s="1451"/>
      <c r="CE214" s="1451"/>
      <c r="CF214" s="1451"/>
      <c r="CG214" s="1454"/>
      <c r="CH214" s="1454"/>
      <c r="CI214" s="1454"/>
      <c r="CJ214" s="1454"/>
      <c r="CK214" s="1454"/>
      <c r="CL214" s="1454"/>
      <c r="CM214" s="1454"/>
      <c r="CN214" s="1454"/>
    </row>
    <row r="215" spans="1:92" ht="16.149999999999999" customHeight="1" x14ac:dyDescent="0.25">
      <c r="A215" s="10043"/>
      <c r="B215" s="3657" t="s">
        <v>3227</v>
      </c>
      <c r="C215" s="3335"/>
      <c r="D215" s="3335"/>
      <c r="E215" s="3649"/>
      <c r="F215" s="140"/>
      <c r="G215" s="140"/>
      <c r="H215" s="165"/>
      <c r="I215" s="165"/>
      <c r="J215" s="165"/>
      <c r="K215" s="165"/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  <c r="BH215" s="165"/>
      <c r="BI215" s="165"/>
      <c r="BJ215" s="165"/>
      <c r="BK215" s="165"/>
      <c r="BL215" s="165"/>
      <c r="BM215" s="165"/>
      <c r="BN215" s="165"/>
      <c r="BO215" s="165"/>
      <c r="BP215" s="165"/>
      <c r="BQ215" s="165"/>
      <c r="BR215" s="165"/>
      <c r="BS215" s="165"/>
      <c r="BT215" s="165"/>
      <c r="BU215" s="165"/>
      <c r="BV215" s="165"/>
      <c r="BW215" s="165"/>
      <c r="BX215" s="165"/>
      <c r="BY215" s="1452"/>
      <c r="BZ215" s="1452"/>
      <c r="CA215" s="1451"/>
      <c r="CB215" s="1451"/>
      <c r="CC215" s="1451"/>
      <c r="CD215" s="1451"/>
      <c r="CE215" s="1451"/>
      <c r="CF215" s="1451"/>
      <c r="CG215" s="1454"/>
      <c r="CH215" s="1454"/>
      <c r="CI215" s="1454"/>
      <c r="CJ215" s="1454"/>
      <c r="CK215" s="1454"/>
      <c r="CL215" s="1454"/>
      <c r="CM215" s="1454"/>
      <c r="CN215" s="1454"/>
    </row>
    <row r="216" spans="1:92" ht="16.149999999999999" customHeight="1" x14ac:dyDescent="0.25">
      <c r="A216" s="3432" t="s">
        <v>3228</v>
      </c>
      <c r="B216" s="3432" t="s">
        <v>3229</v>
      </c>
      <c r="C216" s="3658"/>
      <c r="D216" s="3658"/>
      <c r="E216" s="3659"/>
      <c r="F216" s="140"/>
      <c r="G216" s="140"/>
      <c r="H216" s="165"/>
      <c r="I216" s="165"/>
      <c r="J216" s="165"/>
      <c r="K216" s="165"/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  <c r="BH216" s="165"/>
      <c r="BI216" s="165"/>
      <c r="BJ216" s="165"/>
      <c r="BK216" s="165"/>
      <c r="BL216" s="165"/>
      <c r="BM216" s="165"/>
      <c r="BN216" s="165"/>
      <c r="BO216" s="165"/>
      <c r="BP216" s="165"/>
      <c r="BQ216" s="165"/>
      <c r="BR216" s="165"/>
      <c r="BS216" s="165"/>
      <c r="BT216" s="165"/>
      <c r="BU216" s="165"/>
      <c r="BV216" s="165"/>
      <c r="BW216" s="165"/>
      <c r="BX216" s="165"/>
      <c r="BY216" s="1452"/>
      <c r="BZ216" s="1452"/>
      <c r="CA216" s="1451"/>
      <c r="CB216" s="1451"/>
      <c r="CC216" s="1451"/>
      <c r="CD216" s="1451"/>
      <c r="CE216" s="1451"/>
      <c r="CF216" s="1451"/>
      <c r="CG216" s="1454"/>
      <c r="CH216" s="1454"/>
      <c r="CI216" s="1454"/>
      <c r="CJ216" s="1454"/>
      <c r="CK216" s="1454"/>
      <c r="CL216" s="1454"/>
      <c r="CM216" s="1454"/>
      <c r="CN216" s="1454"/>
    </row>
    <row r="217" spans="1:92" ht="16.149999999999999" customHeight="1" x14ac:dyDescent="0.25">
      <c r="A217" s="10041" t="s">
        <v>3187</v>
      </c>
      <c r="B217" s="3652" t="s">
        <v>3230</v>
      </c>
      <c r="C217" s="3660"/>
      <c r="D217" s="3660"/>
      <c r="E217" s="3653"/>
      <c r="F217" s="140"/>
      <c r="G217" s="140"/>
      <c r="H217" s="165"/>
      <c r="I217" s="165"/>
      <c r="J217" s="165"/>
      <c r="K217" s="165"/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  <c r="BA217" s="165"/>
      <c r="BB217" s="165"/>
      <c r="BC217" s="165"/>
      <c r="BD217" s="165"/>
      <c r="BE217" s="165"/>
      <c r="BF217" s="165"/>
      <c r="BG217" s="165"/>
      <c r="BH217" s="165"/>
      <c r="BI217" s="165"/>
      <c r="BJ217" s="165"/>
      <c r="BK217" s="165"/>
      <c r="BL217" s="165"/>
      <c r="BM217" s="165"/>
      <c r="BN217" s="165"/>
      <c r="BO217" s="165"/>
      <c r="BP217" s="165"/>
      <c r="BQ217" s="165"/>
      <c r="BR217" s="165"/>
      <c r="BS217" s="165"/>
      <c r="BT217" s="165"/>
      <c r="BU217" s="165"/>
      <c r="BV217" s="165"/>
      <c r="BW217" s="165"/>
      <c r="BX217" s="165"/>
      <c r="BY217" s="1452"/>
      <c r="BZ217" s="1452"/>
      <c r="CA217" s="1451"/>
      <c r="CB217" s="1451"/>
      <c r="CC217" s="1451"/>
      <c r="CD217" s="1451"/>
      <c r="CE217" s="1451"/>
      <c r="CF217" s="1451"/>
      <c r="CG217" s="1454"/>
      <c r="CH217" s="1454"/>
      <c r="CI217" s="1454"/>
      <c r="CJ217" s="1454"/>
      <c r="CK217" s="1454"/>
      <c r="CL217" s="1454"/>
      <c r="CM217" s="1454"/>
      <c r="CN217" s="1454"/>
    </row>
    <row r="218" spans="1:92" ht="16.149999999999999" customHeight="1" x14ac:dyDescent="0.25">
      <c r="A218" s="10042"/>
      <c r="B218" s="3656" t="s">
        <v>3231</v>
      </c>
      <c r="C218" s="3630"/>
      <c r="D218" s="3630"/>
      <c r="E218" s="3655"/>
      <c r="F218" s="140"/>
      <c r="G218" s="140"/>
      <c r="H218" s="165"/>
      <c r="I218" s="165"/>
      <c r="J218" s="165"/>
      <c r="K218" s="165"/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  <c r="BA218" s="165"/>
      <c r="BB218" s="165"/>
      <c r="BC218" s="165"/>
      <c r="BD218" s="165"/>
      <c r="BE218" s="165"/>
      <c r="BF218" s="165"/>
      <c r="BG218" s="165"/>
      <c r="BH218" s="165"/>
      <c r="BI218" s="165"/>
      <c r="BJ218" s="165"/>
      <c r="BK218" s="165"/>
      <c r="BL218" s="165"/>
      <c r="BM218" s="165"/>
      <c r="BN218" s="165"/>
      <c r="BO218" s="165"/>
      <c r="BP218" s="165"/>
      <c r="BQ218" s="165"/>
      <c r="BR218" s="165"/>
      <c r="BS218" s="165"/>
      <c r="BT218" s="165"/>
      <c r="BU218" s="165"/>
      <c r="BV218" s="165"/>
      <c r="BW218" s="165"/>
      <c r="BX218" s="165"/>
      <c r="BY218" s="1452"/>
      <c r="BZ218" s="1452"/>
      <c r="CA218" s="1451"/>
      <c r="CB218" s="1451"/>
      <c r="CC218" s="1451"/>
      <c r="CD218" s="1451"/>
      <c r="CE218" s="1451"/>
      <c r="CF218" s="1451"/>
      <c r="CG218" s="1454"/>
      <c r="CH218" s="1454"/>
      <c r="CI218" s="1454"/>
      <c r="CJ218" s="1454"/>
      <c r="CK218" s="1454"/>
      <c r="CL218" s="1454"/>
      <c r="CM218" s="1454"/>
      <c r="CN218" s="1454"/>
    </row>
    <row r="219" spans="1:92" ht="16.149999999999999" customHeight="1" x14ac:dyDescent="0.25">
      <c r="A219" s="10042"/>
      <c r="B219" s="3654" t="s">
        <v>3232</v>
      </c>
      <c r="C219" s="3627"/>
      <c r="D219" s="3627"/>
      <c r="E219" s="1802"/>
      <c r="F219" s="140"/>
      <c r="G219" s="140"/>
      <c r="H219" s="165"/>
      <c r="I219" s="165"/>
      <c r="J219" s="165"/>
      <c r="K219" s="165"/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  <c r="AH219" s="165"/>
      <c r="AI219" s="165"/>
      <c r="AJ219" s="165"/>
      <c r="AK219" s="165"/>
      <c r="AL219" s="165"/>
      <c r="AM219" s="165"/>
      <c r="AN219" s="165"/>
      <c r="AO219" s="165"/>
      <c r="AP219" s="165"/>
      <c r="AQ219" s="165"/>
      <c r="AR219" s="165"/>
      <c r="AS219" s="165"/>
      <c r="AT219" s="165"/>
      <c r="AU219" s="165"/>
      <c r="AV219" s="165"/>
      <c r="AW219" s="165"/>
      <c r="AX219" s="165"/>
      <c r="AY219" s="165"/>
      <c r="AZ219" s="165"/>
      <c r="BA219" s="165"/>
      <c r="BB219" s="165"/>
      <c r="BC219" s="165"/>
      <c r="BD219" s="165"/>
      <c r="BE219" s="165"/>
      <c r="BF219" s="165"/>
      <c r="BG219" s="165"/>
      <c r="BH219" s="165"/>
      <c r="BI219" s="165"/>
      <c r="BJ219" s="165"/>
      <c r="BK219" s="165"/>
      <c r="BL219" s="165"/>
      <c r="BM219" s="165"/>
      <c r="BN219" s="165"/>
      <c r="BO219" s="165"/>
      <c r="BP219" s="165"/>
      <c r="BQ219" s="165"/>
      <c r="BR219" s="165"/>
      <c r="BS219" s="165"/>
      <c r="BT219" s="165"/>
      <c r="BU219" s="165"/>
      <c r="BV219" s="165"/>
      <c r="BW219" s="165"/>
      <c r="BX219" s="165"/>
      <c r="BY219" s="1452"/>
      <c r="BZ219" s="1452"/>
      <c r="CA219" s="1451"/>
      <c r="CB219" s="1451"/>
      <c r="CC219" s="1451"/>
      <c r="CD219" s="1451"/>
      <c r="CE219" s="1451"/>
      <c r="CF219" s="1451"/>
      <c r="CG219" s="1454"/>
      <c r="CH219" s="1454"/>
      <c r="CI219" s="1454"/>
      <c r="CJ219" s="1454"/>
      <c r="CK219" s="1454"/>
      <c r="CL219" s="1454"/>
      <c r="CM219" s="1454"/>
      <c r="CN219" s="1454"/>
    </row>
    <row r="220" spans="1:92" ht="16.149999999999999" customHeight="1" x14ac:dyDescent="0.25">
      <c r="A220" s="10042"/>
      <c r="B220" s="3656" t="s">
        <v>3233</v>
      </c>
      <c r="C220" s="3630"/>
      <c r="D220" s="3630"/>
      <c r="E220" s="3655"/>
      <c r="F220" s="140"/>
      <c r="G220" s="140"/>
      <c r="H220" s="165"/>
      <c r="I220" s="165"/>
      <c r="J220" s="165"/>
      <c r="K220" s="165"/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  <c r="BA220" s="165"/>
      <c r="BB220" s="165"/>
      <c r="BC220" s="165"/>
      <c r="BD220" s="165"/>
      <c r="BE220" s="165"/>
      <c r="BF220" s="165"/>
      <c r="BG220" s="165"/>
      <c r="BH220" s="165"/>
      <c r="BI220" s="165"/>
      <c r="BJ220" s="165"/>
      <c r="BK220" s="165"/>
      <c r="BL220" s="165"/>
      <c r="BM220" s="165"/>
      <c r="BN220" s="165"/>
      <c r="BO220" s="165"/>
      <c r="BP220" s="165"/>
      <c r="BQ220" s="165"/>
      <c r="BR220" s="165"/>
      <c r="BS220" s="165"/>
      <c r="BT220" s="165"/>
      <c r="BU220" s="165"/>
      <c r="BV220" s="165"/>
      <c r="BW220" s="165"/>
      <c r="BX220" s="165"/>
      <c r="BY220" s="1452"/>
      <c r="BZ220" s="1452"/>
      <c r="CA220" s="1451"/>
      <c r="CB220" s="1451"/>
      <c r="CC220" s="1451"/>
      <c r="CD220" s="1451"/>
      <c r="CE220" s="1451"/>
      <c r="CF220" s="1451"/>
      <c r="CG220" s="1454"/>
      <c r="CH220" s="1454"/>
      <c r="CI220" s="1454"/>
      <c r="CJ220" s="1454"/>
      <c r="CK220" s="1454"/>
      <c r="CL220" s="1454"/>
      <c r="CM220" s="1454"/>
      <c r="CN220" s="1454"/>
    </row>
    <row r="221" spans="1:92" ht="16.149999999999999" customHeight="1" x14ac:dyDescent="0.25">
      <c r="A221" s="10043"/>
      <c r="B221" s="3657" t="s">
        <v>3234</v>
      </c>
      <c r="C221" s="3335"/>
      <c r="D221" s="3335"/>
      <c r="E221" s="3649"/>
      <c r="F221" s="140"/>
      <c r="G221" s="140"/>
      <c r="H221" s="165"/>
      <c r="I221" s="165"/>
      <c r="J221" s="165"/>
      <c r="K221" s="165"/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  <c r="BR221" s="165"/>
      <c r="BS221" s="165"/>
      <c r="BT221" s="165"/>
      <c r="BU221" s="165"/>
      <c r="BV221" s="165"/>
      <c r="BW221" s="165"/>
      <c r="BX221" s="165"/>
      <c r="BY221" s="1452"/>
      <c r="BZ221" s="1452"/>
      <c r="CA221" s="1451"/>
      <c r="CB221" s="1451"/>
      <c r="CC221" s="1451"/>
      <c r="CD221" s="1451"/>
      <c r="CE221" s="1451"/>
      <c r="CF221" s="1451"/>
      <c r="CG221" s="1454"/>
      <c r="CH221" s="1454"/>
      <c r="CI221" s="1454"/>
      <c r="CJ221" s="1454"/>
      <c r="CK221" s="1454"/>
      <c r="CL221" s="1454"/>
      <c r="CM221" s="1454"/>
      <c r="CN221" s="1454"/>
    </row>
    <row r="222" spans="1:92" ht="16.149999999999999" customHeight="1" x14ac:dyDescent="0.25">
      <c r="A222" s="10041" t="s">
        <v>3235</v>
      </c>
      <c r="B222" s="3652" t="s">
        <v>3629</v>
      </c>
      <c r="C222" s="3630"/>
      <c r="D222" s="3630"/>
      <c r="E222" s="3655"/>
      <c r="F222" s="140"/>
      <c r="G222" s="140"/>
      <c r="H222" s="165"/>
      <c r="I222" s="165"/>
      <c r="J222" s="165"/>
      <c r="K222" s="165"/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  <c r="BR222" s="165"/>
      <c r="BS222" s="165"/>
      <c r="BT222" s="165"/>
      <c r="BU222" s="165"/>
      <c r="BV222" s="165"/>
      <c r="BW222" s="165"/>
      <c r="BX222" s="165"/>
      <c r="BY222" s="1452"/>
      <c r="BZ222" s="1452"/>
      <c r="CA222" s="1451"/>
      <c r="CB222" s="1451"/>
      <c r="CC222" s="1451"/>
      <c r="CD222" s="1451"/>
      <c r="CE222" s="1451"/>
      <c r="CF222" s="1451"/>
      <c r="CG222" s="1454"/>
      <c r="CH222" s="1454"/>
      <c r="CI222" s="1454"/>
      <c r="CJ222" s="1454"/>
      <c r="CK222" s="1454"/>
      <c r="CL222" s="1454"/>
      <c r="CM222" s="1454"/>
      <c r="CN222" s="1454"/>
    </row>
    <row r="223" spans="1:92" ht="16.149999999999999" customHeight="1" x14ac:dyDescent="0.25">
      <c r="A223" s="10043"/>
      <c r="B223" s="3657" t="s">
        <v>3630</v>
      </c>
      <c r="C223" s="3335"/>
      <c r="D223" s="3335"/>
      <c r="E223" s="3649"/>
      <c r="F223" s="140"/>
      <c r="G223" s="140"/>
      <c r="H223" s="165"/>
      <c r="I223" s="165"/>
      <c r="J223" s="165"/>
      <c r="K223" s="165"/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  <c r="BR223" s="165"/>
      <c r="BS223" s="165"/>
      <c r="BT223" s="165"/>
      <c r="BU223" s="165"/>
      <c r="BV223" s="165"/>
      <c r="BW223" s="165"/>
      <c r="BX223" s="165"/>
      <c r="BY223" s="1452"/>
      <c r="BZ223" s="1452"/>
      <c r="CA223" s="1451"/>
      <c r="CB223" s="1451"/>
      <c r="CC223" s="1451"/>
      <c r="CD223" s="1451"/>
      <c r="CE223" s="1451"/>
      <c r="CF223" s="1451"/>
      <c r="CG223" s="1454"/>
      <c r="CH223" s="1454"/>
      <c r="CI223" s="1454"/>
      <c r="CJ223" s="1454"/>
      <c r="CK223" s="1454"/>
      <c r="CL223" s="1454"/>
      <c r="CM223" s="1454"/>
      <c r="CN223" s="1454"/>
    </row>
    <row r="224" spans="1:92" ht="16.149999999999999" customHeight="1" x14ac:dyDescent="0.25">
      <c r="A224" s="10146" t="s">
        <v>3202</v>
      </c>
      <c r="B224" s="3652" t="s">
        <v>3415</v>
      </c>
      <c r="C224" s="3660"/>
      <c r="D224" s="3660"/>
      <c r="E224" s="3653"/>
      <c r="F224" s="140"/>
      <c r="G224" s="140"/>
      <c r="H224" s="165"/>
      <c r="I224" s="165"/>
      <c r="J224" s="165"/>
      <c r="K224" s="165"/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  <c r="BR224" s="165"/>
      <c r="BS224" s="165"/>
      <c r="BT224" s="165"/>
      <c r="BU224" s="165"/>
      <c r="BV224" s="165"/>
      <c r="BW224" s="165"/>
      <c r="BX224" s="165"/>
      <c r="BY224" s="1452"/>
      <c r="BZ224" s="1452"/>
      <c r="CA224" s="1451"/>
      <c r="CB224" s="1451"/>
      <c r="CC224" s="1451"/>
      <c r="CD224" s="1451"/>
      <c r="CE224" s="1451"/>
      <c r="CF224" s="1451"/>
      <c r="CG224" s="1454"/>
      <c r="CH224" s="1454"/>
      <c r="CI224" s="1454"/>
      <c r="CJ224" s="1454"/>
      <c r="CK224" s="1454"/>
      <c r="CL224" s="1454"/>
      <c r="CM224" s="1454"/>
      <c r="CN224" s="1454"/>
    </row>
    <row r="225" spans="1:92" ht="16.149999999999999" customHeight="1" x14ac:dyDescent="0.25">
      <c r="A225" s="10042"/>
      <c r="B225" s="3661" t="s">
        <v>3416</v>
      </c>
      <c r="C225" s="3630"/>
      <c r="D225" s="3630"/>
      <c r="E225" s="3655"/>
      <c r="F225" s="140"/>
      <c r="G225" s="140"/>
      <c r="H225" s="165"/>
      <c r="I225" s="165"/>
      <c r="J225" s="165"/>
      <c r="K225" s="165"/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  <c r="AO225" s="165"/>
      <c r="AP225" s="165"/>
      <c r="AQ225" s="165"/>
      <c r="AR225" s="165"/>
      <c r="AS225" s="165"/>
      <c r="AT225" s="165"/>
      <c r="AU225" s="165"/>
      <c r="AV225" s="165"/>
      <c r="AW225" s="165"/>
      <c r="AX225" s="165"/>
      <c r="AY225" s="165"/>
      <c r="AZ225" s="165"/>
      <c r="BA225" s="165"/>
      <c r="BB225" s="165"/>
      <c r="BC225" s="165"/>
      <c r="BD225" s="165"/>
      <c r="BE225" s="165"/>
      <c r="BF225" s="165"/>
      <c r="BG225" s="165"/>
      <c r="BH225" s="165"/>
      <c r="BI225" s="165"/>
      <c r="BJ225" s="165"/>
      <c r="BK225" s="165"/>
      <c r="BL225" s="165"/>
      <c r="BM225" s="165"/>
      <c r="BN225" s="165"/>
      <c r="BO225" s="165"/>
      <c r="BP225" s="165"/>
      <c r="BQ225" s="165"/>
      <c r="BR225" s="165"/>
      <c r="BS225" s="165"/>
      <c r="BT225" s="165"/>
      <c r="BU225" s="165"/>
      <c r="BV225" s="165"/>
      <c r="BW225" s="165"/>
      <c r="BX225" s="165"/>
      <c r="BY225" s="1452"/>
      <c r="BZ225" s="1452"/>
      <c r="CA225" s="1451"/>
      <c r="CB225" s="1451"/>
      <c r="CC225" s="1451"/>
      <c r="CD225" s="1451"/>
      <c r="CE225" s="1451"/>
      <c r="CF225" s="1451"/>
      <c r="CG225" s="1454"/>
      <c r="CH225" s="1454"/>
      <c r="CI225" s="1454"/>
      <c r="CJ225" s="1454"/>
      <c r="CK225" s="1454"/>
      <c r="CL225" s="1454"/>
      <c r="CM225" s="1454"/>
      <c r="CN225" s="1454"/>
    </row>
    <row r="226" spans="1:92" ht="21" customHeight="1" x14ac:dyDescent="0.25">
      <c r="A226" s="10043"/>
      <c r="B226" s="3656" t="s">
        <v>3631</v>
      </c>
      <c r="C226" s="3662"/>
      <c r="D226" s="3662"/>
      <c r="E226" s="3659"/>
      <c r="F226" s="140"/>
      <c r="G226" s="140"/>
      <c r="H226" s="165"/>
      <c r="I226" s="165"/>
      <c r="J226" s="165"/>
      <c r="K226" s="165"/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  <c r="AN226" s="165"/>
      <c r="AO226" s="165"/>
      <c r="AP226" s="165"/>
      <c r="AQ226" s="165"/>
      <c r="AR226" s="165"/>
      <c r="AS226" s="165"/>
      <c r="AT226" s="165"/>
      <c r="AU226" s="165"/>
      <c r="AV226" s="165"/>
      <c r="AW226" s="165"/>
      <c r="AX226" s="165"/>
      <c r="AY226" s="165"/>
      <c r="AZ226" s="165"/>
      <c r="BA226" s="165"/>
      <c r="BB226" s="165"/>
      <c r="BC226" s="165"/>
      <c r="BD226" s="165"/>
      <c r="BE226" s="165"/>
      <c r="BF226" s="165"/>
      <c r="BG226" s="165"/>
      <c r="BH226" s="165"/>
      <c r="BI226" s="165"/>
      <c r="BJ226" s="165"/>
      <c r="BK226" s="165"/>
      <c r="BL226" s="165"/>
      <c r="BM226" s="165"/>
      <c r="BN226" s="165"/>
      <c r="BO226" s="165"/>
      <c r="BP226" s="165"/>
      <c r="BQ226" s="165"/>
      <c r="BR226" s="165"/>
      <c r="BS226" s="165"/>
      <c r="BT226" s="165"/>
      <c r="BU226" s="165"/>
      <c r="BV226" s="165"/>
      <c r="BW226" s="165"/>
      <c r="BX226" s="165"/>
      <c r="BY226" s="1452"/>
      <c r="BZ226" s="1452"/>
      <c r="CA226" s="1451"/>
      <c r="CB226" s="1451"/>
      <c r="CC226" s="1451"/>
      <c r="CD226" s="1451"/>
      <c r="CE226" s="1451"/>
      <c r="CF226" s="1451"/>
      <c r="CG226" s="1454"/>
      <c r="CH226" s="1454"/>
      <c r="CI226" s="1454"/>
      <c r="CJ226" s="1454"/>
      <c r="CK226" s="1454"/>
      <c r="CL226" s="1454"/>
      <c r="CM226" s="1454"/>
      <c r="CN226" s="1454"/>
    </row>
    <row r="227" spans="1:92" ht="16.149999999999999" customHeight="1" x14ac:dyDescent="0.25">
      <c r="A227" s="10041" t="s">
        <v>3236</v>
      </c>
      <c r="B227" s="3652" t="s">
        <v>3632</v>
      </c>
      <c r="C227" s="3630"/>
      <c r="D227" s="3630"/>
      <c r="E227" s="3655"/>
      <c r="F227" s="140"/>
      <c r="G227" s="140"/>
      <c r="H227" s="165"/>
      <c r="I227" s="165"/>
      <c r="J227" s="165"/>
      <c r="K227" s="165"/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  <c r="BR227" s="165"/>
      <c r="BS227" s="165"/>
      <c r="BT227" s="165"/>
      <c r="BU227" s="165"/>
      <c r="BV227" s="165"/>
      <c r="BW227" s="165"/>
      <c r="BX227" s="165"/>
      <c r="BY227" s="1452"/>
      <c r="BZ227" s="1452"/>
      <c r="CA227" s="1451"/>
      <c r="CB227" s="1451"/>
      <c r="CC227" s="1451"/>
      <c r="CD227" s="1451"/>
      <c r="CE227" s="1451"/>
      <c r="CF227" s="1451"/>
      <c r="CG227" s="1454"/>
      <c r="CH227" s="1454"/>
      <c r="CI227" s="1454"/>
      <c r="CJ227" s="1454"/>
      <c r="CK227" s="1454"/>
      <c r="CL227" s="1454"/>
      <c r="CM227" s="1454"/>
      <c r="CN227" s="1454"/>
    </row>
    <row r="228" spans="1:92" ht="16.149999999999999" customHeight="1" x14ac:dyDescent="0.25">
      <c r="A228" s="10043"/>
      <c r="B228" s="3657" t="s">
        <v>3633</v>
      </c>
      <c r="C228" s="3335"/>
      <c r="D228" s="3335"/>
      <c r="E228" s="3649"/>
      <c r="F228" s="140"/>
      <c r="G228" s="140"/>
      <c r="H228" s="165"/>
      <c r="I228" s="165"/>
      <c r="J228" s="165"/>
      <c r="K228" s="165"/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  <c r="BR228" s="165"/>
      <c r="BS228" s="165"/>
      <c r="BT228" s="165"/>
      <c r="BU228" s="165"/>
      <c r="BV228" s="165"/>
      <c r="BW228" s="165"/>
      <c r="BX228" s="165"/>
      <c r="BY228" s="1452"/>
      <c r="BZ228" s="1452"/>
      <c r="CA228" s="1451"/>
      <c r="CB228" s="1451"/>
      <c r="CC228" s="1451"/>
      <c r="CD228" s="1451"/>
      <c r="CE228" s="1451"/>
      <c r="CF228" s="1451"/>
      <c r="CG228" s="1454"/>
      <c r="CH228" s="1454"/>
      <c r="CI228" s="1454"/>
      <c r="CJ228" s="1454"/>
      <c r="CK228" s="1454"/>
      <c r="CL228" s="1454"/>
      <c r="CM228" s="1454"/>
      <c r="CN228" s="1454"/>
    </row>
    <row r="229" spans="1:92" ht="16.149999999999999" customHeight="1" x14ac:dyDescent="0.25">
      <c r="A229" s="10041" t="s">
        <v>3207</v>
      </c>
      <c r="B229" s="3652" t="s">
        <v>3634</v>
      </c>
      <c r="C229" s="3630"/>
      <c r="D229" s="3630"/>
      <c r="E229" s="3655"/>
      <c r="F229" s="140"/>
      <c r="G229" s="140"/>
      <c r="H229" s="165"/>
      <c r="I229" s="165"/>
      <c r="J229" s="165"/>
      <c r="K229" s="165"/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  <c r="BR229" s="165"/>
      <c r="BS229" s="165"/>
      <c r="BT229" s="165"/>
      <c r="BU229" s="165"/>
      <c r="BV229" s="165"/>
      <c r="BW229" s="165"/>
      <c r="BX229" s="165"/>
      <c r="BY229" s="1452"/>
      <c r="BZ229" s="1452"/>
      <c r="CA229" s="1451"/>
      <c r="CB229" s="1451"/>
      <c r="CC229" s="1451"/>
      <c r="CD229" s="1451"/>
      <c r="CE229" s="1451"/>
      <c r="CF229" s="1451"/>
      <c r="CG229" s="1454"/>
      <c r="CH229" s="1454"/>
      <c r="CI229" s="1454"/>
      <c r="CJ229" s="1454"/>
      <c r="CK229" s="1454"/>
      <c r="CL229" s="1454"/>
      <c r="CM229" s="1454"/>
      <c r="CN229" s="1454"/>
    </row>
    <row r="230" spans="1:92" ht="16.149999999999999" customHeight="1" x14ac:dyDescent="0.25">
      <c r="A230" s="10043"/>
      <c r="B230" s="3657" t="s">
        <v>3635</v>
      </c>
      <c r="C230" s="3335"/>
      <c r="D230" s="3335"/>
      <c r="E230" s="3649"/>
      <c r="F230" s="140"/>
      <c r="G230" s="140"/>
      <c r="H230" s="165"/>
      <c r="I230" s="165"/>
      <c r="J230" s="165"/>
      <c r="K230" s="165"/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  <c r="BR230" s="165"/>
      <c r="BS230" s="165"/>
      <c r="BT230" s="165"/>
      <c r="BU230" s="165"/>
      <c r="BV230" s="165"/>
      <c r="BW230" s="165"/>
      <c r="BX230" s="165"/>
      <c r="BY230" s="1452"/>
      <c r="BZ230" s="1452"/>
      <c r="CA230" s="1451"/>
      <c r="CB230" s="1451"/>
      <c r="CC230" s="1451"/>
      <c r="CD230" s="1451"/>
      <c r="CE230" s="1451"/>
      <c r="CF230" s="1451"/>
      <c r="CG230" s="1454"/>
      <c r="CH230" s="1454"/>
      <c r="CI230" s="1454"/>
      <c r="CJ230" s="1454"/>
      <c r="CK230" s="1454"/>
      <c r="CL230" s="1454"/>
      <c r="CM230" s="1454"/>
      <c r="CN230" s="1454"/>
    </row>
    <row r="231" spans="1:92" ht="15.75" customHeight="1" x14ac:dyDescent="0.25">
      <c r="A231" s="10041" t="s">
        <v>3213</v>
      </c>
      <c r="B231" s="3652" t="s">
        <v>3636</v>
      </c>
      <c r="C231" s="3630"/>
      <c r="D231" s="3630"/>
      <c r="E231" s="3655"/>
      <c r="F231" s="140"/>
      <c r="G231" s="140"/>
      <c r="H231" s="165"/>
      <c r="I231" s="165"/>
      <c r="J231" s="165"/>
      <c r="K231" s="165"/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  <c r="AN231" s="165"/>
      <c r="AO231" s="165"/>
      <c r="AP231" s="165"/>
      <c r="AQ231" s="165"/>
      <c r="AR231" s="165"/>
      <c r="AS231" s="165"/>
      <c r="AT231" s="165"/>
      <c r="AU231" s="165"/>
      <c r="AV231" s="165"/>
      <c r="AW231" s="165"/>
      <c r="AX231" s="165"/>
      <c r="AY231" s="165"/>
      <c r="AZ231" s="165"/>
      <c r="BA231" s="165"/>
      <c r="BB231" s="165"/>
      <c r="BC231" s="165"/>
      <c r="BD231" s="165"/>
      <c r="BE231" s="165"/>
      <c r="BF231" s="165"/>
      <c r="BG231" s="165"/>
      <c r="BH231" s="165"/>
      <c r="BI231" s="165"/>
      <c r="BJ231" s="165"/>
      <c r="BK231" s="165"/>
      <c r="BL231" s="165"/>
      <c r="BM231" s="165"/>
      <c r="BN231" s="165"/>
      <c r="BO231" s="165"/>
      <c r="BP231" s="165"/>
      <c r="BQ231" s="165"/>
      <c r="BR231" s="165"/>
      <c r="BS231" s="165"/>
      <c r="BT231" s="165"/>
      <c r="BU231" s="165"/>
      <c r="BV231" s="165"/>
      <c r="BW231" s="165"/>
      <c r="BX231" s="165"/>
      <c r="BY231" s="1452"/>
      <c r="BZ231" s="1452"/>
      <c r="CA231" s="1451"/>
      <c r="CB231" s="1451"/>
      <c r="CC231" s="1451"/>
      <c r="CD231" s="1451"/>
      <c r="CE231" s="1451"/>
      <c r="CF231" s="1451"/>
      <c r="CG231" s="1454"/>
      <c r="CH231" s="1454"/>
      <c r="CI231" s="1454"/>
      <c r="CJ231" s="1454"/>
      <c r="CK231" s="1454"/>
      <c r="CL231" s="1454"/>
      <c r="CM231" s="1454"/>
      <c r="CN231" s="1454"/>
    </row>
    <row r="232" spans="1:92" ht="15" customHeight="1" x14ac:dyDescent="0.25">
      <c r="A232" s="10043"/>
      <c r="B232" s="3657" t="s">
        <v>3637</v>
      </c>
      <c r="C232" s="3335"/>
      <c r="D232" s="3335"/>
      <c r="E232" s="3649"/>
      <c r="F232" s="140"/>
      <c r="G232" s="140"/>
      <c r="H232" s="165"/>
      <c r="I232" s="165"/>
      <c r="J232" s="165"/>
      <c r="K232" s="165"/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  <c r="AN232" s="165"/>
      <c r="AO232" s="165"/>
      <c r="AP232" s="165"/>
      <c r="AQ232" s="165"/>
      <c r="AR232" s="165"/>
      <c r="AS232" s="165"/>
      <c r="AT232" s="165"/>
      <c r="AU232" s="165"/>
      <c r="AV232" s="165"/>
      <c r="AW232" s="165"/>
      <c r="AX232" s="165"/>
      <c r="AY232" s="165"/>
      <c r="AZ232" s="165"/>
      <c r="BA232" s="165"/>
      <c r="BB232" s="165"/>
      <c r="BC232" s="165"/>
      <c r="BD232" s="165"/>
      <c r="BE232" s="165"/>
      <c r="BF232" s="165"/>
      <c r="BG232" s="165"/>
      <c r="BH232" s="165"/>
      <c r="BI232" s="165"/>
      <c r="BJ232" s="165"/>
      <c r="BK232" s="165"/>
      <c r="BL232" s="165"/>
      <c r="BM232" s="165"/>
      <c r="BN232" s="165"/>
      <c r="BO232" s="165"/>
      <c r="BP232" s="165"/>
      <c r="BQ232" s="165"/>
      <c r="BR232" s="165"/>
      <c r="BS232" s="165"/>
      <c r="BT232" s="165"/>
      <c r="BU232" s="165"/>
      <c r="BV232" s="165"/>
      <c r="BW232" s="165"/>
      <c r="BX232" s="165"/>
      <c r="BY232" s="1452"/>
      <c r="BZ232" s="1452"/>
      <c r="CA232" s="1451"/>
      <c r="CB232" s="1451"/>
      <c r="CC232" s="1451"/>
      <c r="CD232" s="1451"/>
      <c r="CE232" s="1451"/>
      <c r="CF232" s="1451"/>
      <c r="CG232" s="1454"/>
      <c r="CH232" s="1454"/>
      <c r="CI232" s="1454"/>
      <c r="CJ232" s="1454"/>
      <c r="CK232" s="1454"/>
      <c r="CL232" s="1454"/>
      <c r="CM232" s="1454"/>
      <c r="CN232" s="1454"/>
    </row>
    <row r="233" spans="1:92" ht="16.149999999999999" customHeight="1" x14ac:dyDescent="0.25">
      <c r="A233" s="10041" t="s">
        <v>3237</v>
      </c>
      <c r="B233" s="3652" t="s">
        <v>3638</v>
      </c>
      <c r="C233" s="3630"/>
      <c r="D233" s="3630"/>
      <c r="E233" s="3655"/>
      <c r="F233" s="140"/>
      <c r="G233" s="140"/>
      <c r="H233" s="165"/>
      <c r="I233" s="165"/>
      <c r="J233" s="165"/>
      <c r="K233" s="165"/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  <c r="AO233" s="165"/>
      <c r="AP233" s="165"/>
      <c r="AQ233" s="165"/>
      <c r="AR233" s="165"/>
      <c r="AS233" s="165"/>
      <c r="AT233" s="165"/>
      <c r="AU233" s="165"/>
      <c r="AV233" s="165"/>
      <c r="AW233" s="165"/>
      <c r="AX233" s="165"/>
      <c r="AY233" s="165"/>
      <c r="AZ233" s="165"/>
      <c r="BA233" s="165"/>
      <c r="BB233" s="165"/>
      <c r="BC233" s="165"/>
      <c r="BD233" s="165"/>
      <c r="BE233" s="165"/>
      <c r="BF233" s="165"/>
      <c r="BG233" s="165"/>
      <c r="BH233" s="165"/>
      <c r="BI233" s="165"/>
      <c r="BJ233" s="165"/>
      <c r="BK233" s="165"/>
      <c r="BL233" s="165"/>
      <c r="BM233" s="165"/>
      <c r="BN233" s="165"/>
      <c r="BO233" s="165"/>
      <c r="BP233" s="165"/>
      <c r="BQ233" s="165"/>
      <c r="BR233" s="165"/>
      <c r="BS233" s="165"/>
      <c r="BT233" s="165"/>
      <c r="BU233" s="165"/>
      <c r="BV233" s="165"/>
      <c r="BW233" s="165"/>
      <c r="BX233" s="165"/>
      <c r="BY233" s="1452"/>
      <c r="BZ233" s="1452"/>
      <c r="CA233" s="1451"/>
      <c r="CB233" s="1451"/>
      <c r="CC233" s="1451"/>
      <c r="CD233" s="1451"/>
      <c r="CE233" s="1451"/>
      <c r="CF233" s="1451"/>
      <c r="CG233" s="1454"/>
      <c r="CH233" s="1454"/>
      <c r="CI233" s="1454"/>
      <c r="CJ233" s="1454"/>
      <c r="CK233" s="1454"/>
      <c r="CL233" s="1454"/>
      <c r="CM233" s="1454"/>
      <c r="CN233" s="1454"/>
    </row>
    <row r="234" spans="1:92" ht="16.149999999999999" customHeight="1" x14ac:dyDescent="0.25">
      <c r="A234" s="10043"/>
      <c r="B234" s="3663" t="s">
        <v>3639</v>
      </c>
      <c r="C234" s="3335"/>
      <c r="D234" s="3335"/>
      <c r="E234" s="3649"/>
      <c r="F234" s="140"/>
      <c r="G234" s="140"/>
      <c r="H234" s="165"/>
      <c r="I234" s="165"/>
      <c r="J234" s="165"/>
      <c r="K234" s="165"/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65"/>
      <c r="AW234" s="165"/>
      <c r="AX234" s="165"/>
      <c r="AY234" s="165"/>
      <c r="AZ234" s="165"/>
      <c r="BA234" s="165"/>
      <c r="BB234" s="165"/>
      <c r="BC234" s="165"/>
      <c r="BD234" s="165"/>
      <c r="BE234" s="165"/>
      <c r="BF234" s="165"/>
      <c r="BG234" s="165"/>
      <c r="BH234" s="165"/>
      <c r="BI234" s="165"/>
      <c r="BJ234" s="165"/>
      <c r="BK234" s="165"/>
      <c r="BL234" s="165"/>
      <c r="BM234" s="165"/>
      <c r="BN234" s="165"/>
      <c r="BO234" s="165"/>
      <c r="BP234" s="165"/>
      <c r="BQ234" s="165"/>
      <c r="BR234" s="165"/>
      <c r="BS234" s="165"/>
      <c r="BT234" s="165"/>
      <c r="BU234" s="165"/>
      <c r="BV234" s="165"/>
      <c r="BW234" s="165"/>
      <c r="BX234" s="165"/>
      <c r="BY234" s="1452"/>
      <c r="BZ234" s="1452"/>
      <c r="CA234" s="1451"/>
      <c r="CB234" s="1451"/>
      <c r="CC234" s="1451"/>
      <c r="CD234" s="1451"/>
      <c r="CE234" s="1451"/>
      <c r="CF234" s="1451"/>
      <c r="CG234" s="1454"/>
      <c r="CH234" s="1454"/>
      <c r="CI234" s="1454"/>
      <c r="CJ234" s="1454"/>
      <c r="CK234" s="1454"/>
      <c r="CL234" s="1454"/>
      <c r="CM234" s="1454"/>
      <c r="CN234" s="1454"/>
    </row>
    <row r="235" spans="1:92" ht="16.149999999999999" customHeight="1" x14ac:dyDescent="0.25">
      <c r="A235" s="10135" t="s">
        <v>3238</v>
      </c>
      <c r="B235" s="10145"/>
      <c r="C235" s="3630"/>
      <c r="D235" s="3630"/>
      <c r="E235" s="3655"/>
      <c r="F235" s="140"/>
      <c r="G235" s="140"/>
      <c r="H235" s="165"/>
      <c r="I235" s="165"/>
      <c r="J235" s="165"/>
      <c r="K235" s="165"/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  <c r="AN235" s="165"/>
      <c r="AO235" s="165"/>
      <c r="AP235" s="165"/>
      <c r="AQ235" s="165"/>
      <c r="AR235" s="165"/>
      <c r="AS235" s="165"/>
      <c r="AT235" s="165"/>
      <c r="AU235" s="165"/>
      <c r="AV235" s="165"/>
      <c r="AW235" s="165"/>
      <c r="AX235" s="165"/>
      <c r="AY235" s="165"/>
      <c r="AZ235" s="165"/>
      <c r="BA235" s="165"/>
      <c r="BB235" s="165"/>
      <c r="BC235" s="165"/>
      <c r="BD235" s="165"/>
      <c r="BE235" s="165"/>
      <c r="BF235" s="165"/>
      <c r="BG235" s="165"/>
      <c r="BH235" s="165"/>
      <c r="BI235" s="165"/>
      <c r="BJ235" s="165"/>
      <c r="BK235" s="165"/>
      <c r="BL235" s="165"/>
      <c r="BM235" s="165"/>
      <c r="BN235" s="165"/>
      <c r="BO235" s="165"/>
      <c r="BP235" s="165"/>
      <c r="BQ235" s="165"/>
      <c r="BR235" s="165"/>
      <c r="BS235" s="165"/>
      <c r="BT235" s="165"/>
      <c r="BU235" s="165"/>
      <c r="BV235" s="165"/>
      <c r="BW235" s="165"/>
      <c r="BX235" s="165"/>
      <c r="BY235" s="1452"/>
      <c r="BZ235" s="1452"/>
      <c r="CA235" s="1451"/>
      <c r="CB235" s="1451"/>
      <c r="CC235" s="1451"/>
      <c r="CD235" s="1451"/>
      <c r="CE235" s="1451"/>
      <c r="CF235" s="1451"/>
      <c r="CG235" s="1454"/>
      <c r="CH235" s="1454"/>
      <c r="CI235" s="1454"/>
      <c r="CJ235" s="1454"/>
      <c r="CK235" s="1454"/>
      <c r="CL235" s="1454"/>
      <c r="CM235" s="1454"/>
      <c r="CN235" s="1454"/>
    </row>
    <row r="236" spans="1:92" ht="21.6" customHeight="1" x14ac:dyDescent="0.25">
      <c r="A236" s="10141" t="s">
        <v>70</v>
      </c>
      <c r="B236" s="10142"/>
      <c r="C236" s="3627"/>
      <c r="D236" s="3627"/>
      <c r="E236" s="1802"/>
    </row>
    <row r="237" spans="1:92" x14ac:dyDescent="0.25">
      <c r="A237" s="10143" t="s">
        <v>24</v>
      </c>
      <c r="B237" s="10144"/>
      <c r="C237" s="3651">
        <f>+SUM(C212:C236)</f>
        <v>0</v>
      </c>
      <c r="D237" s="3651">
        <f>+SUM(D212:D236)</f>
        <v>0</v>
      </c>
      <c r="E237" s="3651">
        <f>+SUM(E212:E236)</f>
        <v>0</v>
      </c>
    </row>
    <row r="238" spans="1:92" ht="29.45" customHeight="1" x14ac:dyDescent="0.25">
      <c r="A238" s="1366" t="s">
        <v>3218</v>
      </c>
      <c r="E238" s="165"/>
    </row>
    <row r="239" spans="1:92" ht="21" customHeight="1" x14ac:dyDescent="0.25">
      <c r="A239" s="10045" t="s">
        <v>3219</v>
      </c>
      <c r="B239" s="10045"/>
      <c r="C239" s="3664" t="s">
        <v>24</v>
      </c>
      <c r="D239" s="3665" t="s">
        <v>1603</v>
      </c>
      <c r="E239" s="3666" t="s">
        <v>1602</v>
      </c>
    </row>
    <row r="240" spans="1:92" x14ac:dyDescent="0.25">
      <c r="A240" s="10046" t="s">
        <v>3220</v>
      </c>
      <c r="B240" s="10046"/>
      <c r="C240" s="3315">
        <f>SUM(D240:E240)</f>
        <v>0</v>
      </c>
      <c r="D240" s="3031"/>
      <c r="E240" s="3336"/>
    </row>
    <row r="241" spans="1:5" x14ac:dyDescent="0.25">
      <c r="A241" s="10044" t="s">
        <v>3221</v>
      </c>
      <c r="B241" s="10044"/>
      <c r="C241" s="3315">
        <f>SUM(D241:E241)</f>
        <v>0</v>
      </c>
      <c r="D241" s="3031"/>
      <c r="E241" s="3336"/>
    </row>
    <row r="242" spans="1:5" x14ac:dyDescent="0.25">
      <c r="A242" s="10047" t="s">
        <v>24</v>
      </c>
      <c r="B242" s="10047"/>
      <c r="C242" s="3667">
        <f>+SUM(C240:C241)</f>
        <v>0</v>
      </c>
      <c r="D242" s="3667">
        <f>+SUM(D240:D241)</f>
        <v>0</v>
      </c>
      <c r="E242" s="3668">
        <f>+SUM(E240:E241)</f>
        <v>0</v>
      </c>
    </row>
    <row r="243" spans="1:5" ht="27" customHeight="1" x14ac:dyDescent="0.25">
      <c r="A243" s="1366" t="s">
        <v>3183</v>
      </c>
      <c r="E243" s="165"/>
    </row>
    <row r="244" spans="1:5" ht="22.15" customHeight="1" x14ac:dyDescent="0.25">
      <c r="A244" s="3669" t="s">
        <v>3184</v>
      </c>
      <c r="B244" s="3669" t="s">
        <v>3185</v>
      </c>
      <c r="C244" s="3669" t="s">
        <v>1811</v>
      </c>
      <c r="D244" s="3669" t="s">
        <v>3186</v>
      </c>
      <c r="E244" s="165"/>
    </row>
    <row r="245" spans="1:5" x14ac:dyDescent="0.25">
      <c r="A245" s="10041" t="s">
        <v>3187</v>
      </c>
      <c r="B245" s="3670" t="s">
        <v>3188</v>
      </c>
      <c r="C245" s="3031"/>
      <c r="D245" s="3671"/>
      <c r="E245" s="165"/>
    </row>
    <row r="246" spans="1:5" x14ac:dyDescent="0.25">
      <c r="A246" s="10042"/>
      <c r="B246" s="3661" t="s">
        <v>3189</v>
      </c>
      <c r="C246" s="3031"/>
      <c r="D246" s="3336"/>
      <c r="E246" s="165"/>
    </row>
    <row r="247" spans="1:5" x14ac:dyDescent="0.25">
      <c r="A247" s="10042"/>
      <c r="B247" s="3661" t="s">
        <v>3190</v>
      </c>
      <c r="C247" s="3031"/>
      <c r="D247" s="3336"/>
      <c r="E247" s="165"/>
    </row>
    <row r="248" spans="1:5" x14ac:dyDescent="0.25">
      <c r="A248" s="10042"/>
      <c r="B248" s="3661" t="s">
        <v>3191</v>
      </c>
      <c r="C248" s="3031"/>
      <c r="D248" s="3336"/>
      <c r="E248" s="165"/>
    </row>
    <row r="249" spans="1:5" ht="24" customHeight="1" x14ac:dyDescent="0.25">
      <c r="A249" s="10042"/>
      <c r="B249" s="3661" t="s">
        <v>3192</v>
      </c>
      <c r="C249" s="3031"/>
      <c r="D249" s="3336"/>
      <c r="E249" s="165"/>
    </row>
    <row r="250" spans="1:5" ht="24.6" customHeight="1" x14ac:dyDescent="0.25">
      <c r="A250" s="10042"/>
      <c r="B250" s="3661" t="s">
        <v>3193</v>
      </c>
      <c r="C250" s="3031"/>
      <c r="D250" s="3336"/>
      <c r="E250" s="165"/>
    </row>
    <row r="251" spans="1:5" ht="16.149999999999999" customHeight="1" x14ac:dyDescent="0.25">
      <c r="A251" s="10042"/>
      <c r="B251" s="3661" t="s">
        <v>3194</v>
      </c>
      <c r="C251" s="3031"/>
      <c r="D251" s="3336"/>
      <c r="E251" s="165"/>
    </row>
    <row r="252" spans="1:5" ht="26.45" customHeight="1" x14ac:dyDescent="0.25">
      <c r="A252" s="10042"/>
      <c r="B252" s="3661" t="s">
        <v>3195</v>
      </c>
      <c r="C252" s="3031"/>
      <c r="D252" s="3336"/>
      <c r="E252" s="165"/>
    </row>
    <row r="253" spans="1:5" ht="18.600000000000001" customHeight="1" x14ac:dyDescent="0.25">
      <c r="A253" s="10042"/>
      <c r="B253" s="3661" t="s">
        <v>3196</v>
      </c>
      <c r="C253" s="3031"/>
      <c r="D253" s="3336"/>
      <c r="E253" s="165"/>
    </row>
    <row r="254" spans="1:5" x14ac:dyDescent="0.25">
      <c r="A254" s="10042"/>
      <c r="B254" s="3661" t="s">
        <v>3197</v>
      </c>
      <c r="C254" s="3031"/>
      <c r="D254" s="3336"/>
      <c r="E254" s="165"/>
    </row>
    <row r="255" spans="1:5" ht="15.6" customHeight="1" x14ac:dyDescent="0.25">
      <c r="A255" s="10042"/>
      <c r="B255" s="3661" t="s">
        <v>3198</v>
      </c>
      <c r="C255" s="3031"/>
      <c r="D255" s="3336"/>
      <c r="E255" s="165"/>
    </row>
    <row r="256" spans="1:5" x14ac:dyDescent="0.25">
      <c r="A256" s="10042"/>
      <c r="B256" s="3661" t="s">
        <v>3199</v>
      </c>
      <c r="C256" s="3031"/>
      <c r="D256" s="3336"/>
      <c r="E256" s="165"/>
    </row>
    <row r="257" spans="1:110" x14ac:dyDescent="0.25">
      <c r="A257" s="10042"/>
      <c r="B257" s="3663" t="s">
        <v>3200</v>
      </c>
      <c r="C257" s="3335"/>
      <c r="D257" s="3649"/>
      <c r="E257" s="165"/>
    </row>
    <row r="258" spans="1:110" x14ac:dyDescent="0.25">
      <c r="A258" s="10043"/>
      <c r="B258" s="3672" t="s">
        <v>3201</v>
      </c>
      <c r="C258" s="7410">
        <f>SUM(C245:C257)</f>
        <v>0</v>
      </c>
      <c r="D258" s="7411">
        <f>SUM(D245:D257)</f>
        <v>0</v>
      </c>
      <c r="E258" s="165"/>
    </row>
    <row r="259" spans="1:110" ht="11.25" customHeight="1" x14ac:dyDescent="0.25">
      <c r="A259" s="10041" t="s">
        <v>3202</v>
      </c>
      <c r="B259" s="3656" t="s">
        <v>3203</v>
      </c>
      <c r="C259" s="3673"/>
      <c r="D259" s="3655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  <c r="BA259" s="165"/>
      <c r="BB259" s="165"/>
      <c r="BC259" s="165"/>
      <c r="BD259" s="165"/>
      <c r="BE259" s="165"/>
      <c r="BF259" s="165"/>
      <c r="BG259" s="165"/>
      <c r="BH259" s="165"/>
      <c r="BI259" s="165"/>
      <c r="BJ259" s="165"/>
      <c r="BK259" s="165"/>
      <c r="BL259" s="165"/>
      <c r="BM259" s="165"/>
      <c r="BN259" s="165"/>
      <c r="BO259" s="165"/>
      <c r="BP259" s="165"/>
      <c r="BQ259" s="165"/>
      <c r="BR259" s="165"/>
      <c r="BS259" s="165"/>
      <c r="BT259" s="165"/>
      <c r="BU259" s="165"/>
      <c r="BV259" s="165"/>
      <c r="BW259" s="165"/>
      <c r="BX259" s="165"/>
      <c r="BY259" s="1452"/>
      <c r="BZ259" s="1452"/>
      <c r="CA259" s="1451"/>
      <c r="CB259" s="1451"/>
      <c r="CC259" s="1451"/>
      <c r="CD259" s="1451"/>
      <c r="CE259" s="1451"/>
      <c r="CF259" s="1451"/>
      <c r="CG259" s="1451"/>
      <c r="CH259" s="1451"/>
      <c r="CI259" s="1451"/>
      <c r="CJ259" s="1451"/>
      <c r="CK259" s="1451"/>
      <c r="CL259" s="1451"/>
      <c r="CM259" s="1451"/>
      <c r="CN259" s="1451"/>
      <c r="CO259" s="1451"/>
    </row>
    <row r="260" spans="1:110" s="1440" customFormat="1" ht="14.25" x14ac:dyDescent="0.2">
      <c r="A260" s="10042"/>
      <c r="B260" s="3661" t="s">
        <v>3204</v>
      </c>
      <c r="C260" s="3031"/>
      <c r="D260" s="3336"/>
      <c r="E260" s="165"/>
      <c r="F260" s="290"/>
      <c r="G260" s="290"/>
      <c r="H260" s="290"/>
      <c r="I260" s="290"/>
      <c r="J260" s="290"/>
      <c r="K260" s="290"/>
      <c r="L260" s="290"/>
      <c r="M260" s="290"/>
      <c r="N260" s="290"/>
      <c r="O260" s="290"/>
      <c r="P260" s="290"/>
      <c r="Q260" s="290"/>
      <c r="R260" s="290"/>
      <c r="S260" s="290"/>
      <c r="T260" s="290"/>
      <c r="U260" s="290"/>
      <c r="V260" s="290"/>
      <c r="W260" s="290"/>
      <c r="X260" s="290"/>
      <c r="Y260" s="290"/>
      <c r="Z260" s="290"/>
      <c r="AA260" s="290"/>
      <c r="AB260" s="290"/>
      <c r="AC260" s="290"/>
      <c r="AD260" s="290"/>
      <c r="AE260" s="290"/>
      <c r="AF260" s="290"/>
      <c r="AG260" s="290"/>
      <c r="AH260" s="290"/>
      <c r="AI260" s="290"/>
      <c r="AJ260" s="290"/>
      <c r="AK260" s="290"/>
      <c r="AL260" s="290"/>
      <c r="AM260" s="290"/>
      <c r="AN260" s="290"/>
      <c r="AO260" s="290"/>
      <c r="AP260" s="290"/>
      <c r="AQ260" s="290"/>
      <c r="AR260" s="290"/>
      <c r="AS260" s="290"/>
      <c r="AT260" s="290"/>
      <c r="AU260" s="290"/>
      <c r="AV260" s="290"/>
      <c r="AW260" s="290"/>
      <c r="AX260" s="290"/>
      <c r="AY260" s="290"/>
      <c r="AZ260" s="290"/>
      <c r="BA260" s="290"/>
      <c r="BB260" s="290"/>
      <c r="BC260" s="290"/>
      <c r="BD260" s="290"/>
      <c r="BE260" s="290"/>
      <c r="BF260" s="290"/>
      <c r="BG260" s="290"/>
      <c r="BH260" s="290"/>
      <c r="BI260" s="290"/>
      <c r="BJ260" s="290"/>
      <c r="BK260" s="290"/>
      <c r="BL260" s="290"/>
      <c r="BM260" s="290"/>
      <c r="BN260" s="290"/>
      <c r="BO260" s="290"/>
      <c r="BP260" s="290"/>
      <c r="BQ260" s="290"/>
      <c r="BR260" s="290"/>
      <c r="BS260" s="290"/>
      <c r="BT260" s="290"/>
      <c r="BU260" s="290"/>
      <c r="BV260" s="290"/>
      <c r="BW260" s="290"/>
      <c r="BX260" s="290"/>
      <c r="BY260" s="1460"/>
      <c r="BZ260" s="1460"/>
      <c r="CA260" s="1460"/>
      <c r="CB260" s="1460"/>
      <c r="CC260" s="1460"/>
      <c r="CD260" s="1460"/>
      <c r="CE260" s="1460"/>
      <c r="CF260" s="1460"/>
      <c r="CG260" s="1460"/>
      <c r="CH260" s="1460"/>
      <c r="CI260" s="1460"/>
      <c r="CJ260" s="1460"/>
      <c r="CK260" s="1460"/>
      <c r="CL260" s="1460"/>
      <c r="CM260" s="1460"/>
      <c r="CN260" s="1460"/>
      <c r="CO260" s="1460"/>
      <c r="CP260" s="290"/>
      <c r="CQ260" s="290"/>
      <c r="CR260" s="290"/>
      <c r="CS260" s="290"/>
      <c r="CT260" s="290"/>
      <c r="CU260" s="290"/>
      <c r="CV260" s="290"/>
      <c r="CW260" s="290"/>
      <c r="CX260" s="290"/>
      <c r="CY260" s="290"/>
      <c r="CZ260" s="290"/>
      <c r="DA260" s="290"/>
      <c r="DB260" s="290"/>
      <c r="DC260" s="290"/>
      <c r="DD260" s="290"/>
      <c r="DE260" s="290"/>
      <c r="DF260" s="290"/>
    </row>
    <row r="261" spans="1:110" x14ac:dyDescent="0.25">
      <c r="A261" s="10042"/>
      <c r="B261" s="3663" t="s">
        <v>3205</v>
      </c>
      <c r="C261" s="3335"/>
      <c r="D261" s="3649"/>
      <c r="E261" s="165"/>
      <c r="F261" s="165"/>
      <c r="G261" s="165"/>
      <c r="H261" s="165"/>
      <c r="I261" s="165"/>
      <c r="J261" s="165"/>
      <c r="K261" s="165"/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  <c r="AH261" s="165"/>
      <c r="AI261" s="165"/>
      <c r="AJ261" s="165"/>
      <c r="AK261" s="165"/>
      <c r="AL261" s="165"/>
      <c r="AM261" s="165"/>
      <c r="AN261" s="165"/>
      <c r="AO261" s="165"/>
      <c r="AP261" s="165"/>
      <c r="AQ261" s="165"/>
      <c r="AR261" s="165"/>
      <c r="AS261" s="165"/>
      <c r="AT261" s="165"/>
      <c r="AU261" s="165"/>
      <c r="AV261" s="165"/>
      <c r="AW261" s="165"/>
      <c r="AX261" s="165"/>
      <c r="AY261" s="165"/>
      <c r="AZ261" s="165"/>
      <c r="BA261" s="165"/>
      <c r="BB261" s="165"/>
      <c r="BC261" s="165"/>
      <c r="BD261" s="165"/>
      <c r="BE261" s="165"/>
      <c r="BF261" s="165"/>
      <c r="BG261" s="165"/>
      <c r="BH261" s="165"/>
      <c r="BI261" s="165"/>
      <c r="BJ261" s="165"/>
      <c r="BK261" s="165"/>
      <c r="BL261" s="165"/>
      <c r="BM261" s="165"/>
      <c r="BN261" s="165"/>
      <c r="BO261" s="165"/>
      <c r="BP261" s="165"/>
      <c r="BQ261" s="165"/>
      <c r="BR261" s="165"/>
      <c r="BS261" s="165"/>
      <c r="BT261" s="165"/>
      <c r="BU261" s="165"/>
      <c r="BV261" s="165"/>
      <c r="BW261" s="165"/>
      <c r="BX261" s="165"/>
      <c r="BY261" s="1452"/>
      <c r="BZ261" s="1452"/>
      <c r="CA261" s="1451"/>
      <c r="CB261" s="1451"/>
      <c r="CC261" s="1451"/>
      <c r="CD261" s="1451"/>
      <c r="CE261" s="1451"/>
      <c r="CF261" s="1451"/>
      <c r="CG261" s="1451"/>
      <c r="CH261" s="1451"/>
      <c r="CI261" s="1451"/>
      <c r="CJ261" s="1451"/>
      <c r="CK261" s="1451"/>
      <c r="CL261" s="1451"/>
      <c r="CM261" s="1451"/>
      <c r="CN261" s="1451"/>
      <c r="CO261" s="1451"/>
    </row>
    <row r="262" spans="1:110" x14ac:dyDescent="0.25">
      <c r="A262" s="10043"/>
      <c r="B262" s="3672" t="s">
        <v>3206</v>
      </c>
      <c r="C262" s="7410">
        <f>SUM(C259:C261)</f>
        <v>0</v>
      </c>
      <c r="D262" s="7411">
        <f>SUM(D259:D261)</f>
        <v>0</v>
      </c>
      <c r="E262" s="165"/>
    </row>
    <row r="263" spans="1:110" x14ac:dyDescent="0.25">
      <c r="A263" s="10041" t="s">
        <v>3207</v>
      </c>
      <c r="B263" s="3656" t="s">
        <v>3208</v>
      </c>
      <c r="C263" s="3673"/>
      <c r="D263" s="3655"/>
      <c r="E263" s="165"/>
    </row>
    <row r="264" spans="1:110" x14ac:dyDescent="0.25">
      <c r="A264" s="10042"/>
      <c r="B264" s="3661" t="s">
        <v>3209</v>
      </c>
      <c r="C264" s="3031"/>
      <c r="D264" s="3336"/>
      <c r="E264" s="165"/>
    </row>
    <row r="265" spans="1:110" x14ac:dyDescent="0.25">
      <c r="A265" s="10042"/>
      <c r="B265" s="3661" t="s">
        <v>3210</v>
      </c>
      <c r="C265" s="3031"/>
      <c r="D265" s="3336"/>
      <c r="E265" s="165"/>
    </row>
    <row r="266" spans="1:110" x14ac:dyDescent="0.25">
      <c r="A266" s="10042"/>
      <c r="B266" s="3663" t="s">
        <v>3211</v>
      </c>
      <c r="C266" s="3335"/>
      <c r="D266" s="3649"/>
    </row>
    <row r="267" spans="1:110" x14ac:dyDescent="0.25">
      <c r="A267" s="10043"/>
      <c r="B267" s="3672" t="s">
        <v>3212</v>
      </c>
      <c r="C267" s="7410">
        <f>SUM(C263:C266)</f>
        <v>0</v>
      </c>
      <c r="D267" s="7411">
        <f>SUM(D263:D266)</f>
        <v>0</v>
      </c>
    </row>
    <row r="268" spans="1:110" x14ac:dyDescent="0.25">
      <c r="A268" s="10041" t="s">
        <v>3213</v>
      </c>
      <c r="B268" s="3656" t="s">
        <v>3214</v>
      </c>
      <c r="C268" s="3673"/>
      <c r="D268" s="3655"/>
    </row>
    <row r="269" spans="1:110" x14ac:dyDescent="0.25">
      <c r="A269" s="10042"/>
      <c r="B269" s="3661" t="s">
        <v>3215</v>
      </c>
      <c r="C269" s="3031"/>
      <c r="D269" s="3336"/>
    </row>
    <row r="270" spans="1:110" x14ac:dyDescent="0.25">
      <c r="A270" s="10042"/>
      <c r="B270" s="3663" t="s">
        <v>3216</v>
      </c>
      <c r="C270" s="3335"/>
      <c r="D270" s="3649"/>
    </row>
    <row r="271" spans="1:110" x14ac:dyDescent="0.25">
      <c r="A271" s="10044"/>
      <c r="B271" s="3672" t="s">
        <v>3217</v>
      </c>
      <c r="C271" s="7412">
        <f>SUM(C268:C270)</f>
        <v>0</v>
      </c>
      <c r="D271" s="7411">
        <f>SUM(D268:D270)</f>
        <v>0</v>
      </c>
    </row>
    <row r="272" spans="1:110" x14ac:dyDescent="0.25">
      <c r="A272" s="10131" t="s">
        <v>24</v>
      </c>
      <c r="B272" s="10132"/>
      <c r="C272" s="3674">
        <f>+C258+C262+C267+C271</f>
        <v>0</v>
      </c>
      <c r="D272" s="3674">
        <f>+D258+D262+D267+D271</f>
        <v>0</v>
      </c>
    </row>
    <row r="273" spans="1:4" ht="31.9" customHeight="1" x14ac:dyDescent="0.25">
      <c r="A273" s="1366" t="s">
        <v>3178</v>
      </c>
    </row>
    <row r="274" spans="1:4" ht="30" customHeight="1" x14ac:dyDescent="0.25">
      <c r="A274" s="3675" t="s">
        <v>3179</v>
      </c>
      <c r="B274" s="3675" t="s">
        <v>3414</v>
      </c>
      <c r="C274" s="3676" t="s">
        <v>3412</v>
      </c>
      <c r="D274" s="3676" t="s">
        <v>3413</v>
      </c>
    </row>
    <row r="275" spans="1:4" x14ac:dyDescent="0.25">
      <c r="A275" s="3677" t="s">
        <v>3180</v>
      </c>
      <c r="B275" s="3031"/>
      <c r="C275" s="3031"/>
      <c r="D275" s="3336"/>
    </row>
    <row r="276" spans="1:4" x14ac:dyDescent="0.25">
      <c r="A276" s="3678" t="s">
        <v>3181</v>
      </c>
      <c r="B276" s="3031"/>
      <c r="C276" s="3031"/>
      <c r="D276" s="3336"/>
    </row>
    <row r="277" spans="1:4" x14ac:dyDescent="0.25">
      <c r="A277" s="3648" t="s">
        <v>3182</v>
      </c>
      <c r="B277" s="3031"/>
      <c r="C277" s="3031"/>
      <c r="D277" s="3336"/>
    </row>
    <row r="278" spans="1:4" x14ac:dyDescent="0.25">
      <c r="A278" s="3679" t="s">
        <v>24</v>
      </c>
      <c r="B278" s="3680">
        <f>+SUM(B275:B277)</f>
        <v>0</v>
      </c>
      <c r="C278" s="3680">
        <f>+SUM(C275:C277)</f>
        <v>0</v>
      </c>
      <c r="D278" s="3668">
        <f>+SUM(D275:D277)</f>
        <v>0</v>
      </c>
    </row>
    <row r="279" spans="1:4" ht="27" customHeight="1" x14ac:dyDescent="0.25">
      <c r="A279" s="3640" t="s">
        <v>3166</v>
      </c>
      <c r="C279" s="165"/>
      <c r="D279" s="165"/>
    </row>
    <row r="280" spans="1:4" ht="20.25" customHeight="1" x14ac:dyDescent="0.25">
      <c r="A280" s="1366" t="s">
        <v>3411</v>
      </c>
      <c r="C280" s="165"/>
      <c r="D280" s="165"/>
    </row>
    <row r="281" spans="1:4" x14ac:dyDescent="0.25">
      <c r="A281" s="10133" t="s">
        <v>3167</v>
      </c>
      <c r="B281" s="10134"/>
      <c r="C281" s="3681" t="s">
        <v>3177</v>
      </c>
      <c r="D281" s="165"/>
    </row>
    <row r="282" spans="1:4" x14ac:dyDescent="0.25">
      <c r="A282" s="10135" t="s">
        <v>3168</v>
      </c>
      <c r="B282" s="10136"/>
      <c r="C282" s="3336"/>
      <c r="D282" s="165"/>
    </row>
    <row r="283" spans="1:4" x14ac:dyDescent="0.25">
      <c r="A283" s="10137" t="s">
        <v>3169</v>
      </c>
      <c r="B283" s="10138"/>
      <c r="C283" s="3336"/>
      <c r="D283" s="165"/>
    </row>
    <row r="284" spans="1:4" x14ac:dyDescent="0.25">
      <c r="A284" s="10137" t="s">
        <v>3170</v>
      </c>
      <c r="B284" s="10138"/>
      <c r="C284" s="3336"/>
      <c r="D284" s="165"/>
    </row>
    <row r="285" spans="1:4" x14ac:dyDescent="0.25">
      <c r="A285" s="10137" t="s">
        <v>3171</v>
      </c>
      <c r="B285" s="10138"/>
      <c r="C285" s="3336"/>
      <c r="D285" s="165"/>
    </row>
    <row r="286" spans="1:4" ht="24" customHeight="1" x14ac:dyDescent="0.25">
      <c r="A286" s="10139" t="s">
        <v>3172</v>
      </c>
      <c r="B286" s="10140"/>
      <c r="C286" s="3336"/>
      <c r="D286" s="165"/>
    </row>
    <row r="287" spans="1:4" ht="23.25" customHeight="1" x14ac:dyDescent="0.25">
      <c r="A287" s="10139" t="s">
        <v>3173</v>
      </c>
      <c r="B287" s="10140"/>
      <c r="C287" s="3336"/>
      <c r="D287" s="165"/>
    </row>
    <row r="288" spans="1:4" ht="23.25" customHeight="1" x14ac:dyDescent="0.25">
      <c r="A288" s="10139" t="s">
        <v>3174</v>
      </c>
      <c r="B288" s="10140"/>
      <c r="C288" s="3336"/>
      <c r="D288" s="165"/>
    </row>
    <row r="289" spans="1:5" ht="26.25" customHeight="1" x14ac:dyDescent="0.25">
      <c r="A289" s="10139" t="s">
        <v>3175</v>
      </c>
      <c r="B289" s="10140"/>
      <c r="C289" s="3336"/>
      <c r="D289" s="165"/>
      <c r="E289" s="165"/>
    </row>
    <row r="290" spans="1:5" x14ac:dyDescent="0.25">
      <c r="A290" s="10127" t="s">
        <v>3176</v>
      </c>
      <c r="B290" s="10128"/>
      <c r="C290" s="3336"/>
      <c r="D290" s="165"/>
      <c r="E290" s="290"/>
    </row>
    <row r="291" spans="1:5" x14ac:dyDescent="0.25">
      <c r="A291" s="10129" t="s">
        <v>24</v>
      </c>
      <c r="B291" s="10130"/>
      <c r="C291" s="3674">
        <f>+SUM(C282:C290)</f>
        <v>0</v>
      </c>
      <c r="D291" s="165"/>
      <c r="E291" s="165"/>
    </row>
    <row r="292" spans="1:5" ht="27" customHeight="1" x14ac:dyDescent="0.25">
      <c r="A292" s="1366" t="s">
        <v>3410</v>
      </c>
      <c r="C292" s="165"/>
      <c r="D292" s="165"/>
    </row>
    <row r="293" spans="1:5" x14ac:dyDescent="0.25">
      <c r="A293" s="3682" t="s">
        <v>3158</v>
      </c>
      <c r="B293" s="3683" t="s">
        <v>3159</v>
      </c>
      <c r="C293" s="165"/>
      <c r="D293" s="165"/>
    </row>
    <row r="294" spans="1:5" x14ac:dyDescent="0.25">
      <c r="A294" s="3642" t="s">
        <v>3160</v>
      </c>
      <c r="B294" s="3336"/>
      <c r="C294" s="165"/>
      <c r="D294" s="165"/>
    </row>
    <row r="295" spans="1:5" x14ac:dyDescent="0.25">
      <c r="A295" s="3643" t="s">
        <v>3161</v>
      </c>
      <c r="B295" s="3336"/>
      <c r="C295" s="165"/>
      <c r="D295" s="165"/>
    </row>
    <row r="296" spans="1:5" x14ac:dyDescent="0.25">
      <c r="A296" s="3643" t="s">
        <v>3162</v>
      </c>
      <c r="B296" s="3336"/>
      <c r="C296" s="165"/>
      <c r="D296" s="165"/>
    </row>
    <row r="297" spans="1:5" x14ac:dyDescent="0.25">
      <c r="A297" s="3643" t="s">
        <v>3163</v>
      </c>
      <c r="B297" s="3336"/>
      <c r="C297" s="165"/>
      <c r="D297" s="165"/>
    </row>
    <row r="298" spans="1:5" x14ac:dyDescent="0.25">
      <c r="A298" s="3643" t="s">
        <v>3164</v>
      </c>
      <c r="B298" s="3336"/>
    </row>
    <row r="299" spans="1:5" x14ac:dyDescent="0.25">
      <c r="A299" s="3644" t="s">
        <v>3165</v>
      </c>
      <c r="B299" s="3336"/>
    </row>
    <row r="300" spans="1:5" x14ac:dyDescent="0.25">
      <c r="A300" s="3684" t="s">
        <v>24</v>
      </c>
      <c r="B300" s="3651">
        <f>+SUM(B294:B299)</f>
        <v>0</v>
      </c>
    </row>
    <row r="334" spans="1:4" x14ac:dyDescent="0.25">
      <c r="A334" s="165"/>
      <c r="B334" s="165"/>
      <c r="C334" s="165"/>
      <c r="D334" s="165"/>
    </row>
    <row r="335" spans="1:4" hidden="1" x14ac:dyDescent="0.25">
      <c r="A335" s="1440">
        <f>SUM(D15,D16:D17,D28,E31:E61,B67,C71:C84,C93:H93,C103:H103,C107:I112,C116:I121,B125:B129,B132:B136,C139:C144,C156,C159:C160,F189,B203,B209:D209,C237:E237,C242,C272:D272,B278:D278,C291,B300)</f>
        <v>0</v>
      </c>
      <c r="B335" s="1440">
        <f>SUM(CG5:CN235)</f>
        <v>0</v>
      </c>
      <c r="C335" s="1440"/>
      <c r="D335" s="1440"/>
    </row>
    <row r="336" spans="1:4" x14ac:dyDescent="0.25">
      <c r="A336" s="165"/>
      <c r="B336" s="165"/>
      <c r="C336" s="165"/>
      <c r="D336" s="165"/>
    </row>
  </sheetData>
  <sheetProtection algorithmName="SHA-512" hashValue="B8MtKl49my2HLybGukVSumsXm1/6GDEW1xJLTALt6sQ/kO9ktbtYJ8ztYObF/hrsHETcyNsMpcGIIjie18aDKg==" saltValue="b7ydTOJAIB6neORDP5vaHQ==" spinCount="100000" sheet="1" objects="1" scenarios="1"/>
  <mergeCells count="220">
    <mergeCell ref="A6:V6"/>
    <mergeCell ref="C30:D30"/>
    <mergeCell ref="B52:D52"/>
    <mergeCell ref="A53:A54"/>
    <mergeCell ref="B53:D53"/>
    <mergeCell ref="B54:D54"/>
    <mergeCell ref="A55:A60"/>
    <mergeCell ref="A42:A48"/>
    <mergeCell ref="B42:B48"/>
    <mergeCell ref="C42:D42"/>
    <mergeCell ref="C43:C44"/>
    <mergeCell ref="C45:D45"/>
    <mergeCell ref="C46:D46"/>
    <mergeCell ref="C47:D47"/>
    <mergeCell ref="C48:D48"/>
    <mergeCell ref="A49:A52"/>
    <mergeCell ref="B49:D49"/>
    <mergeCell ref="A15:C15"/>
    <mergeCell ref="A16:C16"/>
    <mergeCell ref="A9:A11"/>
    <mergeCell ref="B9:C11"/>
    <mergeCell ref="D9:F10"/>
    <mergeCell ref="G10:H10"/>
    <mergeCell ref="I10:J10"/>
    <mergeCell ref="C189:E189"/>
    <mergeCell ref="H162:H163"/>
    <mergeCell ref="I162:I163"/>
    <mergeCell ref="C162:E163"/>
    <mergeCell ref="C164:E164"/>
    <mergeCell ref="C165:E165"/>
    <mergeCell ref="C166:E166"/>
    <mergeCell ref="C167:E167"/>
    <mergeCell ref="C168:E168"/>
    <mergeCell ref="C169:E169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78:E178"/>
    <mergeCell ref="C179:E179"/>
    <mergeCell ref="C180:E180"/>
    <mergeCell ref="C181:E181"/>
    <mergeCell ref="C182:E182"/>
    <mergeCell ref="C183:E183"/>
    <mergeCell ref="G162:G163"/>
    <mergeCell ref="A164:A174"/>
    <mergeCell ref="B164:B171"/>
    <mergeCell ref="B172:B174"/>
    <mergeCell ref="A175:A188"/>
    <mergeCell ref="B175:B178"/>
    <mergeCell ref="B179:B188"/>
    <mergeCell ref="A162:A163"/>
    <mergeCell ref="B162:B163"/>
    <mergeCell ref="F162:F163"/>
    <mergeCell ref="C184:E184"/>
    <mergeCell ref="C185:E185"/>
    <mergeCell ref="C186:E186"/>
    <mergeCell ref="C187:E187"/>
    <mergeCell ref="C188:E188"/>
    <mergeCell ref="A236:B236"/>
    <mergeCell ref="A237:B237"/>
    <mergeCell ref="A212:A215"/>
    <mergeCell ref="A217:A221"/>
    <mergeCell ref="A222:A223"/>
    <mergeCell ref="A227:A228"/>
    <mergeCell ref="A229:A230"/>
    <mergeCell ref="A231:A232"/>
    <mergeCell ref="A233:A234"/>
    <mergeCell ref="A235:B235"/>
    <mergeCell ref="A224:A226"/>
    <mergeCell ref="A290:B290"/>
    <mergeCell ref="A291:B291"/>
    <mergeCell ref="A272:B272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156:B156"/>
    <mergeCell ref="A158:B158"/>
    <mergeCell ref="A159:A160"/>
    <mergeCell ref="A150:B150"/>
    <mergeCell ref="A151:A153"/>
    <mergeCell ref="A154:B154"/>
    <mergeCell ref="A155:B155"/>
    <mergeCell ref="A139:B139"/>
    <mergeCell ref="A140:A142"/>
    <mergeCell ref="A143:B143"/>
    <mergeCell ref="A144:B144"/>
    <mergeCell ref="A148:B149"/>
    <mergeCell ref="C148:C149"/>
    <mergeCell ref="A121:B121"/>
    <mergeCell ref="A123:E123"/>
    <mergeCell ref="A130:D130"/>
    <mergeCell ref="D135:D136"/>
    <mergeCell ref="E135:E136"/>
    <mergeCell ref="A138:B138"/>
    <mergeCell ref="A114:I114"/>
    <mergeCell ref="A115:B115"/>
    <mergeCell ref="A116:B116"/>
    <mergeCell ref="A117:A119"/>
    <mergeCell ref="A120:B120"/>
    <mergeCell ref="D148:F148"/>
    <mergeCell ref="G148:I148"/>
    <mergeCell ref="A105:H105"/>
    <mergeCell ref="A106:B106"/>
    <mergeCell ref="A107:B107"/>
    <mergeCell ref="A108:A110"/>
    <mergeCell ref="A111:B111"/>
    <mergeCell ref="A112:B112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5:L95"/>
    <mergeCell ref="A96:B97"/>
    <mergeCell ref="C96:C97"/>
    <mergeCell ref="D96:D97"/>
    <mergeCell ref="E96:G96"/>
    <mergeCell ref="H96:H97"/>
    <mergeCell ref="A90:B90"/>
    <mergeCell ref="A91:B91"/>
    <mergeCell ref="A85:I85"/>
    <mergeCell ref="A86:B87"/>
    <mergeCell ref="C86:C87"/>
    <mergeCell ref="D86:D87"/>
    <mergeCell ref="E86:G86"/>
    <mergeCell ref="H86:H87"/>
    <mergeCell ref="A81:A83"/>
    <mergeCell ref="A88:B88"/>
    <mergeCell ref="A89:B89"/>
    <mergeCell ref="A84:B84"/>
    <mergeCell ref="B61:D61"/>
    <mergeCell ref="A31:A41"/>
    <mergeCell ref="C31:D31"/>
    <mergeCell ref="C32:D32"/>
    <mergeCell ref="C33:D33"/>
    <mergeCell ref="B34:B35"/>
    <mergeCell ref="C34:D34"/>
    <mergeCell ref="C35:D35"/>
    <mergeCell ref="B36:B37"/>
    <mergeCell ref="C36:D36"/>
    <mergeCell ref="C37:D37"/>
    <mergeCell ref="B31:B33"/>
    <mergeCell ref="B38:B41"/>
    <mergeCell ref="B55:D55"/>
    <mergeCell ref="B56:D56"/>
    <mergeCell ref="B57:D57"/>
    <mergeCell ref="B58:D58"/>
    <mergeCell ref="B59:D59"/>
    <mergeCell ref="B60:D60"/>
    <mergeCell ref="K20:L20"/>
    <mergeCell ref="M20:N20"/>
    <mergeCell ref="O20:P20"/>
    <mergeCell ref="Q20:R20"/>
    <mergeCell ref="Y10:Z10"/>
    <mergeCell ref="A12:A13"/>
    <mergeCell ref="A14:B14"/>
    <mergeCell ref="K10:L10"/>
    <mergeCell ref="M10:N10"/>
    <mergeCell ref="G9:AB9"/>
    <mergeCell ref="O10:P10"/>
    <mergeCell ref="Q10:R10"/>
    <mergeCell ref="A29:F29"/>
    <mergeCell ref="G20:H20"/>
    <mergeCell ref="G19:AD19"/>
    <mergeCell ref="A259:A262"/>
    <mergeCell ref="AA20:AB20"/>
    <mergeCell ref="A22:A25"/>
    <mergeCell ref="B22:B23"/>
    <mergeCell ref="B24:B25"/>
    <mergeCell ref="W20:X20"/>
    <mergeCell ref="Y20:Z20"/>
    <mergeCell ref="AA10:AB10"/>
    <mergeCell ref="S20:T20"/>
    <mergeCell ref="U20:V20"/>
    <mergeCell ref="A17:C17"/>
    <mergeCell ref="A19:A21"/>
    <mergeCell ref="B19:C21"/>
    <mergeCell ref="D19:F20"/>
    <mergeCell ref="S10:T10"/>
    <mergeCell ref="U10:V10"/>
    <mergeCell ref="W10:X10"/>
    <mergeCell ref="I20:J20"/>
    <mergeCell ref="A263:A267"/>
    <mergeCell ref="A268:A271"/>
    <mergeCell ref="A239:B239"/>
    <mergeCell ref="A240:B240"/>
    <mergeCell ref="A241:B241"/>
    <mergeCell ref="A242:B242"/>
    <mergeCell ref="AC20:AD20"/>
    <mergeCell ref="A245:A258"/>
    <mergeCell ref="B50:D50"/>
    <mergeCell ref="B51:D51"/>
    <mergeCell ref="A26:B27"/>
    <mergeCell ref="A28:C28"/>
    <mergeCell ref="A69:A70"/>
    <mergeCell ref="B69:B70"/>
    <mergeCell ref="C69:C70"/>
    <mergeCell ref="A71:A75"/>
    <mergeCell ref="A62:H62"/>
    <mergeCell ref="C38:D38"/>
    <mergeCell ref="C39:D39"/>
    <mergeCell ref="A63:A64"/>
    <mergeCell ref="B63:B64"/>
    <mergeCell ref="C40:D40"/>
    <mergeCell ref="C41:D41"/>
    <mergeCell ref="A76:A80"/>
  </mergeCells>
  <dataValidations count="1">
    <dataValidation type="whole" operator="greaterThanOrEqual" allowBlank="1" showInputMessage="1" showErrorMessage="1" sqref="A1 C245:D257 G12:AB14 D16:D17 G22:AD27 D240:E241 F31:G61 C71:C84 C159:C160 G164:I188 C193:D202 B206:D208 C212:E236 B65:B66 C88:H92 C98:H102 D107:I112 D116:I121 B125:B129 B132:B136 D139:F144 D150:I155 C259:D261 C263:D266 C268:D270 B275:D277 C282:C290 B294:B299" xr:uid="{6EAD7070-7FB3-480D-8CBF-5B020908B3E0}">
      <formula1>0</formula1>
    </dataValidation>
  </dataValidations>
  <pageMargins left="0.7" right="0.7" top="0.75" bottom="0.75" header="0.3" footer="0.3"/>
  <pageSetup paperSize="9" orientation="portrait" r:id="rId1"/>
  <ignoredErrors>
    <ignoredError sqref="E31:E61 C107:C112 C116:C121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/>
  <dimension ref="A1:HZ202"/>
  <sheetViews>
    <sheetView zoomScaleNormal="100" workbookViewId="0">
      <selection activeCell="A6" sqref="A6:P6"/>
    </sheetView>
  </sheetViews>
  <sheetFormatPr baseColWidth="10" defaultColWidth="11.42578125" defaultRowHeight="14.25" x14ac:dyDescent="0.2"/>
  <cols>
    <col min="1" max="1" width="40.42578125" style="4651" customWidth="1"/>
    <col min="2" max="2" width="32.7109375" style="4651" customWidth="1"/>
    <col min="3" max="3" width="18.28515625" style="4651" customWidth="1"/>
    <col min="4" max="9" width="16" style="4651" customWidth="1"/>
    <col min="10" max="10" width="16.7109375" style="4651" customWidth="1"/>
    <col min="11" max="11" width="15.28515625" style="4651" customWidth="1"/>
    <col min="12" max="12" width="14.5703125" style="4651" customWidth="1"/>
    <col min="13" max="13" width="14.28515625" style="4651" customWidth="1"/>
    <col min="14" max="14" width="11.42578125" style="4651"/>
    <col min="15" max="15" width="10.85546875" style="4651" customWidth="1"/>
    <col min="16" max="16" width="11" style="4651" customWidth="1"/>
    <col min="17" max="73" width="11.42578125" style="4651"/>
    <col min="74" max="75" width="11.42578125" style="4652"/>
    <col min="76" max="76" width="11.42578125" style="4653" customWidth="1"/>
    <col min="77" max="78" width="11.28515625" style="4653" customWidth="1"/>
    <col min="79" max="103" width="11.28515625" style="4654" hidden="1" customWidth="1"/>
    <col min="104" max="104" width="11.28515625" style="4655" hidden="1" customWidth="1"/>
    <col min="105" max="120" width="11.42578125" style="4656" hidden="1" customWidth="1"/>
    <col min="121" max="130" width="11.42578125" style="4657" hidden="1" customWidth="1"/>
    <col min="131" max="233" width="11.42578125" style="4657"/>
    <col min="234" max="16384" width="11.42578125" style="4651"/>
  </cols>
  <sheetData>
    <row r="1" spans="1:234" ht="16.350000000000001" customHeight="1" x14ac:dyDescent="0.2">
      <c r="A1" s="4173" t="s">
        <v>206</v>
      </c>
    </row>
    <row r="2" spans="1:234" ht="16.350000000000001" customHeight="1" x14ac:dyDescent="0.2">
      <c r="A2" s="4173" t="str">
        <f>CONCATENATE("COMUNA: ",NOMBRE!B2," - ","( ",NOMBRE!C2,NOMBRE!D2,NOMBRE!E2,NOMBRE!F2,NOMBRE!G2," )")</f>
        <v>COMUNA:  - (  )</v>
      </c>
    </row>
    <row r="3" spans="1:234" ht="16.350000000000001" customHeight="1" x14ac:dyDescent="0.2">
      <c r="A3" s="4173" t="str">
        <f>CONCATENATE("ESTABLECIMIENTO/ESTRATEGIA: ",NOMBRE!B3," - ","( ",NOMBRE!C3,NOMBRE!D3,NOMBRE!E3,NOMBRE!F3,NOMBRE!G3,NOMBRE!H3," )")</f>
        <v>ESTABLECIMIENTO/ESTRATEGIA:  - (  )</v>
      </c>
    </row>
    <row r="4" spans="1:234" ht="16.350000000000001" customHeight="1" x14ac:dyDescent="0.2">
      <c r="A4" s="4173" t="str">
        <f>CONCATENATE("MES: ",NOMBRE!B6," - ","( ",NOMBRE!C6,NOMBRE!D6," )")</f>
        <v>MES:  - (  )</v>
      </c>
    </row>
    <row r="5" spans="1:234" ht="16.350000000000001" customHeight="1" x14ac:dyDescent="0.2">
      <c r="A5" s="4173" t="str">
        <f>CONCATENATE("AÑO: ",NOMBRE!B7)</f>
        <v>AÑO: 2023</v>
      </c>
    </row>
    <row r="6" spans="1:234" ht="15" customHeight="1" x14ac:dyDescent="0.2">
      <c r="A6" s="10253" t="s">
        <v>1730</v>
      </c>
      <c r="B6" s="10253"/>
      <c r="C6" s="10253"/>
      <c r="D6" s="10253"/>
      <c r="E6" s="10253"/>
      <c r="F6" s="10253"/>
      <c r="G6" s="10253"/>
      <c r="H6" s="10253"/>
      <c r="I6" s="10253"/>
      <c r="J6" s="10253"/>
      <c r="K6" s="10253"/>
      <c r="L6" s="10253"/>
      <c r="M6" s="10253"/>
      <c r="N6" s="10253"/>
      <c r="O6" s="10253"/>
      <c r="P6" s="10253"/>
    </row>
    <row r="7" spans="1:234" ht="15" x14ac:dyDescent="0.2">
      <c r="A7" s="4078"/>
      <c r="B7" s="4078"/>
      <c r="C7" s="4078"/>
      <c r="D7" s="4078"/>
      <c r="E7" s="4078"/>
      <c r="F7" s="4078"/>
      <c r="G7" s="4078"/>
      <c r="H7" s="4659"/>
      <c r="I7" s="4660"/>
      <c r="J7" s="4328"/>
      <c r="K7" s="4328"/>
    </row>
    <row r="8" spans="1:234" ht="32.1" customHeight="1" x14ac:dyDescent="0.2">
      <c r="A8" s="4661" t="s">
        <v>1729</v>
      </c>
      <c r="G8" s="4661"/>
      <c r="I8" s="4662"/>
      <c r="J8" s="4328"/>
      <c r="K8" s="4328"/>
    </row>
    <row r="9" spans="1:234" ht="66.75" customHeight="1" x14ac:dyDescent="0.2">
      <c r="A9" s="10223" t="s">
        <v>1687</v>
      </c>
      <c r="B9" s="8829"/>
      <c r="C9" s="4663" t="s">
        <v>24</v>
      </c>
      <c r="D9" s="4664" t="s">
        <v>133</v>
      </c>
      <c r="E9" s="4665" t="s">
        <v>1728</v>
      </c>
      <c r="F9" s="4665" t="s">
        <v>3688</v>
      </c>
      <c r="G9" s="4666" t="s">
        <v>2785</v>
      </c>
      <c r="H9" s="4667" t="s">
        <v>516</v>
      </c>
      <c r="I9" s="4668" t="s">
        <v>1697</v>
      </c>
      <c r="J9" s="4668" t="s">
        <v>1701</v>
      </c>
      <c r="K9" s="4669" t="s">
        <v>1700</v>
      </c>
      <c r="L9" s="4670" t="s">
        <v>2053</v>
      </c>
      <c r="M9" s="4671" t="s">
        <v>1727</v>
      </c>
      <c r="N9" s="4672" t="s">
        <v>360</v>
      </c>
      <c r="O9" s="4672" t="s">
        <v>359</v>
      </c>
      <c r="P9" s="4672" t="s">
        <v>3687</v>
      </c>
      <c r="Q9" s="4657"/>
      <c r="R9" s="4657"/>
      <c r="S9" s="4657"/>
      <c r="T9" s="4657"/>
      <c r="U9" s="4657"/>
      <c r="V9" s="4657"/>
      <c r="W9" s="4657"/>
      <c r="X9" s="4657"/>
      <c r="Y9" s="4657"/>
      <c r="Z9" s="4657"/>
      <c r="AA9" s="4657"/>
      <c r="BV9" s="4651"/>
      <c r="BW9" s="4651"/>
      <c r="BX9" s="4652"/>
      <c r="CZ9" s="4654"/>
      <c r="HZ9" s="4657"/>
    </row>
    <row r="10" spans="1:234" s="4688" customFormat="1" ht="17.25" customHeight="1" x14ac:dyDescent="0.2">
      <c r="A10" s="10213" t="s">
        <v>1726</v>
      </c>
      <c r="B10" s="10215"/>
      <c r="C10" s="4673">
        <f>SUM(D10:G10)</f>
        <v>0</v>
      </c>
      <c r="D10" s="4674"/>
      <c r="E10" s="4675"/>
      <c r="F10" s="4675"/>
      <c r="G10" s="4676"/>
      <c r="H10" s="4677"/>
      <c r="I10" s="4678"/>
      <c r="J10" s="4679"/>
      <c r="K10" s="4677"/>
      <c r="L10" s="4680"/>
      <c r="M10" s="4681"/>
      <c r="N10" s="4682"/>
      <c r="O10" s="4682"/>
      <c r="P10" s="4682"/>
      <c r="Q10" s="4683" t="str">
        <f>CA10&amp;CB10&amp;CC10&amp;CD10</f>
        <v/>
      </c>
      <c r="R10" s="4684"/>
      <c r="S10" s="4684"/>
      <c r="T10" s="4684"/>
      <c r="U10" s="4684"/>
      <c r="V10" s="4684"/>
      <c r="W10" s="4684"/>
      <c r="X10" s="4684"/>
      <c r="Y10" s="4657"/>
      <c r="Z10" s="4657"/>
      <c r="AA10" s="4657"/>
      <c r="AB10" s="4651"/>
      <c r="AC10" s="4651"/>
      <c r="AD10" s="4651"/>
      <c r="AE10" s="4651"/>
      <c r="AF10" s="4651"/>
      <c r="AG10" s="4651"/>
      <c r="AH10" s="4651"/>
      <c r="AI10" s="4651"/>
      <c r="AJ10" s="4651"/>
      <c r="AK10" s="4651"/>
      <c r="AL10" s="4651"/>
      <c r="AM10" s="4651"/>
      <c r="AN10" s="4651"/>
      <c r="AO10" s="4651"/>
      <c r="AP10" s="4651"/>
      <c r="AQ10" s="4651"/>
      <c r="AR10" s="4651"/>
      <c r="AS10" s="4651"/>
      <c r="AT10" s="4651"/>
      <c r="AU10" s="4651"/>
      <c r="AV10" s="4651"/>
      <c r="AW10" s="4651"/>
      <c r="AX10" s="4651"/>
      <c r="AY10" s="4651"/>
      <c r="AZ10" s="4651"/>
      <c r="BA10" s="4651"/>
      <c r="BB10" s="4651"/>
      <c r="BC10" s="4651"/>
      <c r="BD10" s="4651"/>
      <c r="BE10" s="4651"/>
      <c r="BF10" s="4651"/>
      <c r="BG10" s="4651"/>
      <c r="BH10" s="4651"/>
      <c r="BI10" s="4651"/>
      <c r="BJ10" s="4651"/>
      <c r="BK10" s="4651"/>
      <c r="BL10" s="4651"/>
      <c r="BM10" s="4651"/>
      <c r="BN10" s="4651"/>
      <c r="BO10" s="4651"/>
      <c r="BP10" s="4651"/>
      <c r="BQ10" s="4651"/>
      <c r="BR10" s="4651"/>
      <c r="BS10" s="4651"/>
      <c r="BT10" s="4651"/>
      <c r="BU10" s="4651"/>
      <c r="BV10" s="4651"/>
      <c r="BW10" s="4651"/>
      <c r="BX10" s="4652"/>
      <c r="BY10" s="4653"/>
      <c r="BZ10" s="4653"/>
      <c r="CA10" s="4685" t="str">
        <f>IF(DA10=1,"* La suma del número de Primera, Segunda y Tercera o más Visitas de Seguimiento debe coincidir con el Total. ","")</f>
        <v/>
      </c>
      <c r="CB10" s="4655" t="str">
        <f t="shared" ref="CB10:CB31" si="0">IF(DB10=1,"* Programa de Atención Domiciliaria a Personas con Dependencia Severa debe ser MENOR O IGUAL al Total. ","")</f>
        <v/>
      </c>
      <c r="CC10" s="4685" t="str">
        <f>IF(DC10=1,"* Pueblos Originarios debe ser MENOR O IGUAL al Total. ","")</f>
        <v/>
      </c>
      <c r="CD10" s="4685" t="str">
        <f>IF(DD10=1,"* Migrantes debe ser MENOR O IGUAL al Total. ","")</f>
        <v/>
      </c>
      <c r="CE10" s="4655"/>
      <c r="CF10" s="4655"/>
      <c r="CG10" s="4654"/>
      <c r="CH10" s="4654"/>
      <c r="CI10" s="4654"/>
      <c r="CJ10" s="4654"/>
      <c r="CK10" s="4654"/>
      <c r="CL10" s="4654"/>
      <c r="CM10" s="4654"/>
      <c r="CN10" s="4654"/>
      <c r="CO10" s="4654"/>
      <c r="CP10" s="4654"/>
      <c r="CQ10" s="4654"/>
      <c r="CR10" s="4654"/>
      <c r="CS10" s="4654"/>
      <c r="CT10" s="4654"/>
      <c r="CU10" s="4654"/>
      <c r="CV10" s="4654"/>
      <c r="CW10" s="4654"/>
      <c r="CX10" s="4654"/>
      <c r="CY10" s="4654"/>
      <c r="CZ10" s="4654"/>
      <c r="DA10" s="4686">
        <f t="shared" ref="DA10:DA31" si="1">IF((K10+J10+L10)&lt;&gt;C10,1,0)</f>
        <v>0</v>
      </c>
      <c r="DB10" s="4656"/>
      <c r="DC10" s="4686">
        <f t="shared" ref="DC10:DC17" si="2">IF(N10&gt;$C10,1,0)</f>
        <v>0</v>
      </c>
      <c r="DD10" s="4686">
        <f t="shared" ref="DD10:DD17" si="3">IF(O10&gt;$C10,1,0)</f>
        <v>0</v>
      </c>
      <c r="DE10" s="4687"/>
      <c r="DF10" s="4687"/>
      <c r="DG10" s="4687"/>
      <c r="DH10" s="4687"/>
      <c r="DI10" s="4687"/>
      <c r="DJ10" s="4687"/>
      <c r="DK10" s="4687"/>
      <c r="DL10" s="4687"/>
      <c r="DM10" s="4687"/>
      <c r="DN10" s="4687"/>
      <c r="DO10" s="4687"/>
      <c r="DP10" s="4687"/>
      <c r="DQ10" s="4653"/>
      <c r="DR10" s="4653"/>
      <c r="DS10" s="4653"/>
      <c r="DT10" s="4653"/>
      <c r="DU10" s="4653"/>
      <c r="DV10" s="4653"/>
      <c r="DW10" s="4653"/>
      <c r="DX10" s="4653"/>
      <c r="DY10" s="4653"/>
      <c r="DZ10" s="4653"/>
      <c r="EA10" s="4653"/>
      <c r="EB10" s="4653"/>
      <c r="EC10" s="4653"/>
      <c r="ED10" s="4653"/>
      <c r="EE10" s="4653"/>
      <c r="EF10" s="4653"/>
      <c r="EG10" s="4653"/>
      <c r="EH10" s="4653"/>
      <c r="EI10" s="4653"/>
      <c r="EJ10" s="4653"/>
      <c r="EK10" s="4653"/>
      <c r="EL10" s="4653"/>
      <c r="EM10" s="4653"/>
      <c r="EN10" s="4653"/>
      <c r="EO10" s="4653"/>
      <c r="EP10" s="4653"/>
      <c r="EQ10" s="4653"/>
      <c r="ER10" s="4653"/>
      <c r="ES10" s="4653"/>
      <c r="ET10" s="4653"/>
      <c r="EU10" s="4653"/>
      <c r="EV10" s="4653"/>
      <c r="EW10" s="4653"/>
      <c r="EX10" s="4653"/>
      <c r="EY10" s="4653"/>
      <c r="EZ10" s="4653"/>
      <c r="FA10" s="4653"/>
      <c r="FB10" s="4653"/>
      <c r="FC10" s="4653"/>
      <c r="FD10" s="4653"/>
      <c r="FE10" s="4653"/>
      <c r="FF10" s="4653"/>
      <c r="FG10" s="4653"/>
      <c r="FH10" s="4653"/>
      <c r="FI10" s="4653"/>
      <c r="FJ10" s="4653"/>
      <c r="FK10" s="4653"/>
      <c r="FL10" s="4653"/>
      <c r="FM10" s="4653"/>
      <c r="FN10" s="4653"/>
      <c r="FO10" s="4653"/>
      <c r="FP10" s="4653"/>
      <c r="FQ10" s="4653"/>
      <c r="FR10" s="4653"/>
      <c r="FS10" s="4653"/>
      <c r="FT10" s="4653"/>
      <c r="FU10" s="4653"/>
      <c r="FV10" s="4653"/>
      <c r="FW10" s="4653"/>
      <c r="FX10" s="4653"/>
      <c r="FY10" s="4653"/>
      <c r="FZ10" s="4653"/>
      <c r="GA10" s="4653"/>
      <c r="GB10" s="4653"/>
      <c r="GC10" s="4653"/>
      <c r="GD10" s="4653"/>
      <c r="GE10" s="4653"/>
      <c r="GF10" s="4653"/>
      <c r="GG10" s="4653"/>
      <c r="GH10" s="4653"/>
      <c r="GI10" s="4653"/>
      <c r="GJ10" s="4653"/>
      <c r="GK10" s="4653"/>
      <c r="GL10" s="4653"/>
      <c r="GM10" s="4653"/>
      <c r="GN10" s="4653"/>
      <c r="GO10" s="4653"/>
      <c r="GP10" s="4653"/>
      <c r="GQ10" s="4653"/>
      <c r="GR10" s="4653"/>
      <c r="GS10" s="4653"/>
      <c r="GT10" s="4653"/>
      <c r="GU10" s="4653"/>
      <c r="GV10" s="4653"/>
      <c r="GW10" s="4653"/>
      <c r="GX10" s="4653"/>
      <c r="GY10" s="4653"/>
      <c r="GZ10" s="4653"/>
      <c r="HA10" s="4653"/>
      <c r="HB10" s="4653"/>
      <c r="HC10" s="4653"/>
      <c r="HD10" s="4653"/>
      <c r="HE10" s="4653"/>
      <c r="HF10" s="4653"/>
      <c r="HG10" s="4653"/>
      <c r="HH10" s="4653"/>
      <c r="HI10" s="4653"/>
      <c r="HJ10" s="4653"/>
      <c r="HK10" s="4653"/>
      <c r="HL10" s="4653"/>
      <c r="HM10" s="4653"/>
      <c r="HN10" s="4653"/>
      <c r="HO10" s="4653"/>
      <c r="HP10" s="4653"/>
      <c r="HQ10" s="4653"/>
      <c r="HR10" s="4653"/>
      <c r="HS10" s="4653"/>
      <c r="HT10" s="4653"/>
      <c r="HU10" s="4653"/>
      <c r="HV10" s="4653"/>
      <c r="HW10" s="4653"/>
      <c r="HX10" s="4653"/>
      <c r="HY10" s="4653"/>
      <c r="HZ10" s="4653"/>
    </row>
    <row r="11" spans="1:234" s="4688" customFormat="1" ht="17.25" customHeight="1" x14ac:dyDescent="0.2">
      <c r="A11" s="10211" t="s">
        <v>1725</v>
      </c>
      <c r="B11" s="10216"/>
      <c r="C11" s="4673">
        <f>SUM(D11:G11)</f>
        <v>0</v>
      </c>
      <c r="D11" s="4689"/>
      <c r="E11" s="4690"/>
      <c r="F11" s="4690"/>
      <c r="G11" s="4691"/>
      <c r="H11" s="4692"/>
      <c r="I11" s="4693"/>
      <c r="J11" s="4694"/>
      <c r="K11" s="4692"/>
      <c r="L11" s="4691"/>
      <c r="M11" s="4695"/>
      <c r="N11" s="4682"/>
      <c r="O11" s="4682"/>
      <c r="P11" s="4682"/>
      <c r="Q11" s="4683" t="str">
        <f t="shared" ref="Q11:Q35" si="4">CA11&amp;CB11&amp;CC11&amp;CD11</f>
        <v/>
      </c>
      <c r="R11" s="4684"/>
      <c r="S11" s="4684"/>
      <c r="T11" s="4684"/>
      <c r="U11" s="4684"/>
      <c r="V11" s="4684"/>
      <c r="W11" s="4684"/>
      <c r="X11" s="4684"/>
      <c r="Y11" s="4657"/>
      <c r="Z11" s="4657"/>
      <c r="AA11" s="4657"/>
      <c r="AB11" s="4651"/>
      <c r="AC11" s="4651"/>
      <c r="AD11" s="4651"/>
      <c r="AE11" s="4651"/>
      <c r="AF11" s="4651"/>
      <c r="AG11" s="4651"/>
      <c r="AH11" s="4651"/>
      <c r="AI11" s="4651"/>
      <c r="AJ11" s="4651"/>
      <c r="AK11" s="4651"/>
      <c r="AL11" s="4651"/>
      <c r="AM11" s="4651"/>
      <c r="AN11" s="4651"/>
      <c r="AO11" s="4651"/>
      <c r="AP11" s="4651"/>
      <c r="AQ11" s="4651"/>
      <c r="AR11" s="4651"/>
      <c r="AS11" s="4651"/>
      <c r="AT11" s="4651"/>
      <c r="AU11" s="4651"/>
      <c r="AV11" s="4651"/>
      <c r="AW11" s="4651"/>
      <c r="AX11" s="4651"/>
      <c r="AY11" s="4651"/>
      <c r="AZ11" s="4651"/>
      <c r="BA11" s="4651"/>
      <c r="BB11" s="4651"/>
      <c r="BC11" s="4651"/>
      <c r="BD11" s="4651"/>
      <c r="BE11" s="4651"/>
      <c r="BF11" s="4651"/>
      <c r="BG11" s="4651"/>
      <c r="BH11" s="4651"/>
      <c r="BI11" s="4651"/>
      <c r="BJ11" s="4651"/>
      <c r="BK11" s="4651"/>
      <c r="BL11" s="4651"/>
      <c r="BM11" s="4651"/>
      <c r="BN11" s="4651"/>
      <c r="BO11" s="4651"/>
      <c r="BP11" s="4651"/>
      <c r="BQ11" s="4651"/>
      <c r="BR11" s="4651"/>
      <c r="BS11" s="4651"/>
      <c r="BT11" s="4651"/>
      <c r="BU11" s="4651"/>
      <c r="BV11" s="4651"/>
      <c r="BW11" s="4651"/>
      <c r="BX11" s="4652"/>
      <c r="BY11" s="4653"/>
      <c r="BZ11" s="4653"/>
      <c r="CA11" s="4685" t="str">
        <f t="shared" ref="CA11:CA35" si="5">IF(DA11=1,"* La suma del número de Primera, Segunda y Tercera o más Visitas de Seguimiento debe coincidir con el Total. ","")</f>
        <v/>
      </c>
      <c r="CB11" s="4655" t="str">
        <f t="shared" si="0"/>
        <v/>
      </c>
      <c r="CC11" s="4685" t="str">
        <f t="shared" ref="CC11:CC35" si="6">IF(DC11=1,"* Pueblos Originarios debe ser MENOR O IGUAL al Total. ","")</f>
        <v/>
      </c>
      <c r="CD11" s="4685" t="str">
        <f t="shared" ref="CD11:CD35" si="7">IF(DD11=1,"* Migrantes debe ser MENOR O IGUAL al Total. ","")</f>
        <v/>
      </c>
      <c r="CE11" s="4655"/>
      <c r="CF11" s="4655"/>
      <c r="CG11" s="4654"/>
      <c r="CH11" s="4654"/>
      <c r="CI11" s="4654"/>
      <c r="CJ11" s="4654"/>
      <c r="CK11" s="4654"/>
      <c r="CL11" s="4654"/>
      <c r="CM11" s="4654"/>
      <c r="CN11" s="4654"/>
      <c r="CO11" s="4654"/>
      <c r="CP11" s="4654"/>
      <c r="CQ11" s="4654"/>
      <c r="CR11" s="4654"/>
      <c r="CS11" s="4654"/>
      <c r="CT11" s="4654"/>
      <c r="CU11" s="4654"/>
      <c r="CV11" s="4654"/>
      <c r="CW11" s="4654"/>
      <c r="CX11" s="4654"/>
      <c r="CY11" s="4654"/>
      <c r="CZ11" s="4654"/>
      <c r="DA11" s="4686">
        <f t="shared" si="1"/>
        <v>0</v>
      </c>
      <c r="DB11" s="4656"/>
      <c r="DC11" s="4686">
        <f t="shared" si="2"/>
        <v>0</v>
      </c>
      <c r="DD11" s="4686">
        <f t="shared" si="3"/>
        <v>0</v>
      </c>
      <c r="DE11" s="4687"/>
      <c r="DF11" s="4687"/>
      <c r="DG11" s="4687"/>
      <c r="DH11" s="4687"/>
      <c r="DI11" s="4687"/>
      <c r="DJ11" s="4687"/>
      <c r="DK11" s="4687"/>
      <c r="DL11" s="4687"/>
      <c r="DM11" s="4687"/>
      <c r="DN11" s="4687"/>
      <c r="DO11" s="4687"/>
      <c r="DP11" s="4687"/>
      <c r="DQ11" s="4653"/>
      <c r="DR11" s="4653"/>
      <c r="DS11" s="4653"/>
      <c r="DT11" s="4653"/>
      <c r="DU11" s="4653"/>
      <c r="DV11" s="4653"/>
      <c r="DW11" s="4653"/>
      <c r="DX11" s="4653"/>
      <c r="DY11" s="4653"/>
      <c r="DZ11" s="4653"/>
      <c r="EA11" s="4653"/>
      <c r="EB11" s="4653"/>
      <c r="EC11" s="4653"/>
      <c r="ED11" s="4653"/>
      <c r="EE11" s="4653"/>
      <c r="EF11" s="4653"/>
      <c r="EG11" s="4653"/>
      <c r="EH11" s="4653"/>
      <c r="EI11" s="4653"/>
      <c r="EJ11" s="4653"/>
      <c r="EK11" s="4653"/>
      <c r="EL11" s="4653"/>
      <c r="EM11" s="4653"/>
      <c r="EN11" s="4653"/>
      <c r="EO11" s="4653"/>
      <c r="EP11" s="4653"/>
      <c r="EQ11" s="4653"/>
      <c r="ER11" s="4653"/>
      <c r="ES11" s="4653"/>
      <c r="ET11" s="4653"/>
      <c r="EU11" s="4653"/>
      <c r="EV11" s="4653"/>
      <c r="EW11" s="4653"/>
      <c r="EX11" s="4653"/>
      <c r="EY11" s="4653"/>
      <c r="EZ11" s="4653"/>
      <c r="FA11" s="4653"/>
      <c r="FB11" s="4653"/>
      <c r="FC11" s="4653"/>
      <c r="FD11" s="4653"/>
      <c r="FE11" s="4653"/>
      <c r="FF11" s="4653"/>
      <c r="FG11" s="4653"/>
      <c r="FH11" s="4653"/>
      <c r="FI11" s="4653"/>
      <c r="FJ11" s="4653"/>
      <c r="FK11" s="4653"/>
      <c r="FL11" s="4653"/>
      <c r="FM11" s="4653"/>
      <c r="FN11" s="4653"/>
      <c r="FO11" s="4653"/>
      <c r="FP11" s="4653"/>
      <c r="FQ11" s="4653"/>
      <c r="FR11" s="4653"/>
      <c r="FS11" s="4653"/>
      <c r="FT11" s="4653"/>
      <c r="FU11" s="4653"/>
      <c r="FV11" s="4653"/>
      <c r="FW11" s="4653"/>
      <c r="FX11" s="4653"/>
      <c r="FY11" s="4653"/>
      <c r="FZ11" s="4653"/>
      <c r="GA11" s="4653"/>
      <c r="GB11" s="4653"/>
      <c r="GC11" s="4653"/>
      <c r="GD11" s="4653"/>
      <c r="GE11" s="4653"/>
      <c r="GF11" s="4653"/>
      <c r="GG11" s="4653"/>
      <c r="GH11" s="4653"/>
      <c r="GI11" s="4653"/>
      <c r="GJ11" s="4653"/>
      <c r="GK11" s="4653"/>
      <c r="GL11" s="4653"/>
      <c r="GM11" s="4653"/>
      <c r="GN11" s="4653"/>
      <c r="GO11" s="4653"/>
      <c r="GP11" s="4653"/>
      <c r="GQ11" s="4653"/>
      <c r="GR11" s="4653"/>
      <c r="GS11" s="4653"/>
      <c r="GT11" s="4653"/>
      <c r="GU11" s="4653"/>
      <c r="GV11" s="4653"/>
      <c r="GW11" s="4653"/>
      <c r="GX11" s="4653"/>
      <c r="GY11" s="4653"/>
      <c r="GZ11" s="4653"/>
      <c r="HA11" s="4653"/>
      <c r="HB11" s="4653"/>
      <c r="HC11" s="4653"/>
      <c r="HD11" s="4653"/>
      <c r="HE11" s="4653"/>
      <c r="HF11" s="4653"/>
      <c r="HG11" s="4653"/>
      <c r="HH11" s="4653"/>
      <c r="HI11" s="4653"/>
      <c r="HJ11" s="4653"/>
      <c r="HK11" s="4653"/>
      <c r="HL11" s="4653"/>
      <c r="HM11" s="4653"/>
      <c r="HN11" s="4653"/>
      <c r="HO11" s="4653"/>
      <c r="HP11" s="4653"/>
      <c r="HQ11" s="4653"/>
      <c r="HR11" s="4653"/>
      <c r="HS11" s="4653"/>
      <c r="HT11" s="4653"/>
      <c r="HU11" s="4653"/>
      <c r="HV11" s="4653"/>
      <c r="HW11" s="4653"/>
      <c r="HX11" s="4653"/>
      <c r="HY11" s="4653"/>
      <c r="HZ11" s="4653"/>
    </row>
    <row r="12" spans="1:234" s="4688" customFormat="1" ht="17.25" customHeight="1" x14ac:dyDescent="0.2">
      <c r="A12" s="10211" t="s">
        <v>1724</v>
      </c>
      <c r="B12" s="10216"/>
      <c r="C12" s="4673">
        <f t="shared" ref="C12:C30" si="8">SUM(D12:G12)</f>
        <v>0</v>
      </c>
      <c r="D12" s="4689"/>
      <c r="E12" s="4690"/>
      <c r="F12" s="4690"/>
      <c r="G12" s="4691"/>
      <c r="H12" s="4692"/>
      <c r="I12" s="4693"/>
      <c r="J12" s="4694"/>
      <c r="K12" s="4692"/>
      <c r="L12" s="4691"/>
      <c r="M12" s="4695"/>
      <c r="N12" s="4682"/>
      <c r="O12" s="4682"/>
      <c r="P12" s="4682"/>
      <c r="Q12" s="4683" t="str">
        <f t="shared" si="4"/>
        <v/>
      </c>
      <c r="R12" s="4684"/>
      <c r="S12" s="4684"/>
      <c r="T12" s="4684"/>
      <c r="U12" s="4684"/>
      <c r="V12" s="4684"/>
      <c r="W12" s="4684"/>
      <c r="X12" s="4684"/>
      <c r="Y12" s="4657"/>
      <c r="Z12" s="4657"/>
      <c r="AA12" s="4657"/>
      <c r="AB12" s="4651"/>
      <c r="AC12" s="4651"/>
      <c r="AD12" s="4651"/>
      <c r="AE12" s="4651"/>
      <c r="AF12" s="4651"/>
      <c r="AG12" s="4651"/>
      <c r="AH12" s="4651"/>
      <c r="AI12" s="4651"/>
      <c r="AJ12" s="4651"/>
      <c r="AK12" s="4651"/>
      <c r="AL12" s="4651"/>
      <c r="AM12" s="4651"/>
      <c r="AN12" s="4651"/>
      <c r="AO12" s="4651"/>
      <c r="AP12" s="4651"/>
      <c r="AQ12" s="4651"/>
      <c r="AR12" s="4651"/>
      <c r="AS12" s="4651"/>
      <c r="AT12" s="4651"/>
      <c r="AU12" s="4651"/>
      <c r="AV12" s="4651"/>
      <c r="AW12" s="4651"/>
      <c r="AX12" s="4651"/>
      <c r="AY12" s="4651"/>
      <c r="AZ12" s="4651"/>
      <c r="BA12" s="4651"/>
      <c r="BB12" s="4651"/>
      <c r="BC12" s="4651"/>
      <c r="BD12" s="4651"/>
      <c r="BE12" s="4651"/>
      <c r="BF12" s="4651"/>
      <c r="BG12" s="4651"/>
      <c r="BH12" s="4651"/>
      <c r="BI12" s="4651"/>
      <c r="BJ12" s="4651"/>
      <c r="BK12" s="4651"/>
      <c r="BL12" s="4651"/>
      <c r="BM12" s="4651"/>
      <c r="BN12" s="4651"/>
      <c r="BO12" s="4651"/>
      <c r="BP12" s="4651"/>
      <c r="BQ12" s="4651"/>
      <c r="BR12" s="4651"/>
      <c r="BS12" s="4651"/>
      <c r="BT12" s="4651"/>
      <c r="BU12" s="4651"/>
      <c r="BV12" s="4651"/>
      <c r="BW12" s="4651"/>
      <c r="BX12" s="4652"/>
      <c r="BY12" s="4653"/>
      <c r="BZ12" s="4653"/>
      <c r="CA12" s="4685" t="str">
        <f t="shared" si="5"/>
        <v/>
      </c>
      <c r="CB12" s="4655" t="str">
        <f t="shared" si="0"/>
        <v/>
      </c>
      <c r="CC12" s="4685" t="str">
        <f t="shared" si="6"/>
        <v/>
      </c>
      <c r="CD12" s="4685" t="str">
        <f t="shared" si="7"/>
        <v/>
      </c>
      <c r="CE12" s="4655"/>
      <c r="CF12" s="4655"/>
      <c r="CG12" s="4654"/>
      <c r="CH12" s="4654"/>
      <c r="CI12" s="4654"/>
      <c r="CJ12" s="4654"/>
      <c r="CK12" s="4654"/>
      <c r="CL12" s="4654"/>
      <c r="CM12" s="4654"/>
      <c r="CN12" s="4654"/>
      <c r="CO12" s="4654"/>
      <c r="CP12" s="4654"/>
      <c r="CQ12" s="4654"/>
      <c r="CR12" s="4654"/>
      <c r="CS12" s="4654"/>
      <c r="CT12" s="4654"/>
      <c r="CU12" s="4654"/>
      <c r="CV12" s="4654"/>
      <c r="CW12" s="4654"/>
      <c r="CX12" s="4654"/>
      <c r="CY12" s="4654"/>
      <c r="CZ12" s="4654"/>
      <c r="DA12" s="4686">
        <f t="shared" si="1"/>
        <v>0</v>
      </c>
      <c r="DB12" s="4656"/>
      <c r="DC12" s="4686">
        <f t="shared" si="2"/>
        <v>0</v>
      </c>
      <c r="DD12" s="4686">
        <f t="shared" si="3"/>
        <v>0</v>
      </c>
      <c r="DE12" s="4687"/>
      <c r="DF12" s="4687"/>
      <c r="DG12" s="4687"/>
      <c r="DH12" s="4687"/>
      <c r="DI12" s="4687"/>
      <c r="DJ12" s="4687"/>
      <c r="DK12" s="4687"/>
      <c r="DL12" s="4687"/>
      <c r="DM12" s="4687"/>
      <c r="DN12" s="4687"/>
      <c r="DO12" s="4687"/>
      <c r="DP12" s="4687"/>
      <c r="DQ12" s="4653"/>
      <c r="DR12" s="4653"/>
      <c r="DS12" s="4653"/>
      <c r="DT12" s="4653"/>
      <c r="DU12" s="4653"/>
      <c r="DV12" s="4653"/>
      <c r="DW12" s="4653"/>
      <c r="DX12" s="4653"/>
      <c r="DY12" s="4653"/>
      <c r="DZ12" s="4653"/>
      <c r="EA12" s="4653"/>
      <c r="EB12" s="4653"/>
      <c r="EC12" s="4653"/>
      <c r="ED12" s="4653"/>
      <c r="EE12" s="4653"/>
      <c r="EF12" s="4653"/>
      <c r="EG12" s="4653"/>
      <c r="EH12" s="4653"/>
      <c r="EI12" s="4653"/>
      <c r="EJ12" s="4653"/>
      <c r="EK12" s="4653"/>
      <c r="EL12" s="4653"/>
      <c r="EM12" s="4653"/>
      <c r="EN12" s="4653"/>
      <c r="EO12" s="4653"/>
      <c r="EP12" s="4653"/>
      <c r="EQ12" s="4653"/>
      <c r="ER12" s="4653"/>
      <c r="ES12" s="4653"/>
      <c r="ET12" s="4653"/>
      <c r="EU12" s="4653"/>
      <c r="EV12" s="4653"/>
      <c r="EW12" s="4653"/>
      <c r="EX12" s="4653"/>
      <c r="EY12" s="4653"/>
      <c r="EZ12" s="4653"/>
      <c r="FA12" s="4653"/>
      <c r="FB12" s="4653"/>
      <c r="FC12" s="4653"/>
      <c r="FD12" s="4653"/>
      <c r="FE12" s="4653"/>
      <c r="FF12" s="4653"/>
      <c r="FG12" s="4653"/>
      <c r="FH12" s="4653"/>
      <c r="FI12" s="4653"/>
      <c r="FJ12" s="4653"/>
      <c r="FK12" s="4653"/>
      <c r="FL12" s="4653"/>
      <c r="FM12" s="4653"/>
      <c r="FN12" s="4653"/>
      <c r="FO12" s="4653"/>
      <c r="FP12" s="4653"/>
      <c r="FQ12" s="4653"/>
      <c r="FR12" s="4653"/>
      <c r="FS12" s="4653"/>
      <c r="FT12" s="4653"/>
      <c r="FU12" s="4653"/>
      <c r="FV12" s="4653"/>
      <c r="FW12" s="4653"/>
      <c r="FX12" s="4653"/>
      <c r="FY12" s="4653"/>
      <c r="FZ12" s="4653"/>
      <c r="GA12" s="4653"/>
      <c r="GB12" s="4653"/>
      <c r="GC12" s="4653"/>
      <c r="GD12" s="4653"/>
      <c r="GE12" s="4653"/>
      <c r="GF12" s="4653"/>
      <c r="GG12" s="4653"/>
      <c r="GH12" s="4653"/>
      <c r="GI12" s="4653"/>
      <c r="GJ12" s="4653"/>
      <c r="GK12" s="4653"/>
      <c r="GL12" s="4653"/>
      <c r="GM12" s="4653"/>
      <c r="GN12" s="4653"/>
      <c r="GO12" s="4653"/>
      <c r="GP12" s="4653"/>
      <c r="GQ12" s="4653"/>
      <c r="GR12" s="4653"/>
      <c r="GS12" s="4653"/>
      <c r="GT12" s="4653"/>
      <c r="GU12" s="4653"/>
      <c r="GV12" s="4653"/>
      <c r="GW12" s="4653"/>
      <c r="GX12" s="4653"/>
      <c r="GY12" s="4653"/>
      <c r="GZ12" s="4653"/>
      <c r="HA12" s="4653"/>
      <c r="HB12" s="4653"/>
      <c r="HC12" s="4653"/>
      <c r="HD12" s="4653"/>
      <c r="HE12" s="4653"/>
      <c r="HF12" s="4653"/>
      <c r="HG12" s="4653"/>
      <c r="HH12" s="4653"/>
      <c r="HI12" s="4653"/>
      <c r="HJ12" s="4653"/>
      <c r="HK12" s="4653"/>
      <c r="HL12" s="4653"/>
      <c r="HM12" s="4653"/>
      <c r="HN12" s="4653"/>
      <c r="HO12" s="4653"/>
      <c r="HP12" s="4653"/>
      <c r="HQ12" s="4653"/>
      <c r="HR12" s="4653"/>
      <c r="HS12" s="4653"/>
      <c r="HT12" s="4653"/>
      <c r="HU12" s="4653"/>
      <c r="HV12" s="4653"/>
      <c r="HW12" s="4653"/>
      <c r="HX12" s="4653"/>
      <c r="HY12" s="4653"/>
      <c r="HZ12" s="4653"/>
    </row>
    <row r="13" spans="1:234" s="4688" customFormat="1" ht="17.25" customHeight="1" x14ac:dyDescent="0.2">
      <c r="A13" s="10211" t="s">
        <v>1723</v>
      </c>
      <c r="B13" s="10216"/>
      <c r="C13" s="4673">
        <f>SUM(D13:G13)</f>
        <v>0</v>
      </c>
      <c r="D13" s="4689"/>
      <c r="E13" s="4690"/>
      <c r="F13" s="4690"/>
      <c r="G13" s="4691"/>
      <c r="H13" s="4692"/>
      <c r="I13" s="4693"/>
      <c r="J13" s="4694"/>
      <c r="K13" s="4692"/>
      <c r="L13" s="4691"/>
      <c r="M13" s="4695"/>
      <c r="N13" s="4682"/>
      <c r="O13" s="4682"/>
      <c r="P13" s="4682"/>
      <c r="Q13" s="4683" t="str">
        <f t="shared" si="4"/>
        <v/>
      </c>
      <c r="R13" s="4684"/>
      <c r="S13" s="4684"/>
      <c r="T13" s="4684"/>
      <c r="U13" s="4684"/>
      <c r="V13" s="4684"/>
      <c r="W13" s="4684"/>
      <c r="X13" s="4684"/>
      <c r="Y13" s="4657"/>
      <c r="Z13" s="4657"/>
      <c r="AA13" s="4657"/>
      <c r="AB13" s="4651"/>
      <c r="AC13" s="4651"/>
      <c r="AD13" s="4651"/>
      <c r="AE13" s="4651"/>
      <c r="AF13" s="4651"/>
      <c r="AG13" s="4651"/>
      <c r="AH13" s="4651"/>
      <c r="AI13" s="4651"/>
      <c r="AJ13" s="4651"/>
      <c r="AK13" s="4651"/>
      <c r="AL13" s="4651"/>
      <c r="AM13" s="4651"/>
      <c r="AN13" s="4651"/>
      <c r="AO13" s="4651"/>
      <c r="AP13" s="4651"/>
      <c r="AQ13" s="4651"/>
      <c r="AR13" s="4651"/>
      <c r="AS13" s="4651"/>
      <c r="AT13" s="4651"/>
      <c r="AU13" s="4651"/>
      <c r="AV13" s="4651"/>
      <c r="AW13" s="4651"/>
      <c r="AX13" s="4651"/>
      <c r="AY13" s="4651"/>
      <c r="AZ13" s="4651"/>
      <c r="BA13" s="4651"/>
      <c r="BB13" s="4651"/>
      <c r="BC13" s="4651"/>
      <c r="BD13" s="4651"/>
      <c r="BE13" s="4651"/>
      <c r="BF13" s="4651"/>
      <c r="BG13" s="4651"/>
      <c r="BH13" s="4651"/>
      <c r="BI13" s="4651"/>
      <c r="BJ13" s="4651"/>
      <c r="BK13" s="4651"/>
      <c r="BL13" s="4651"/>
      <c r="BM13" s="4651"/>
      <c r="BN13" s="4651"/>
      <c r="BO13" s="4651"/>
      <c r="BP13" s="4651"/>
      <c r="BQ13" s="4651"/>
      <c r="BR13" s="4651"/>
      <c r="BS13" s="4651"/>
      <c r="BT13" s="4651"/>
      <c r="BU13" s="4651"/>
      <c r="BV13" s="4651"/>
      <c r="BW13" s="4651"/>
      <c r="BX13" s="4652"/>
      <c r="BY13" s="4653"/>
      <c r="BZ13" s="4653"/>
      <c r="CA13" s="4685" t="str">
        <f t="shared" si="5"/>
        <v/>
      </c>
      <c r="CB13" s="4655" t="str">
        <f t="shared" si="0"/>
        <v/>
      </c>
      <c r="CC13" s="4685" t="str">
        <f t="shared" si="6"/>
        <v/>
      </c>
      <c r="CD13" s="4685" t="str">
        <f t="shared" si="7"/>
        <v/>
      </c>
      <c r="CE13" s="4655"/>
      <c r="CF13" s="4655"/>
      <c r="CG13" s="4654"/>
      <c r="CH13" s="4654"/>
      <c r="CI13" s="4654"/>
      <c r="CJ13" s="4654"/>
      <c r="CK13" s="4654"/>
      <c r="CL13" s="4654"/>
      <c r="CM13" s="4654"/>
      <c r="CN13" s="4654"/>
      <c r="CO13" s="4654"/>
      <c r="CP13" s="4654"/>
      <c r="CQ13" s="4654"/>
      <c r="CR13" s="4654"/>
      <c r="CS13" s="4654"/>
      <c r="CT13" s="4654"/>
      <c r="CU13" s="4654"/>
      <c r="CV13" s="4654"/>
      <c r="CW13" s="4654"/>
      <c r="CX13" s="4654"/>
      <c r="CY13" s="4654"/>
      <c r="CZ13" s="4654"/>
      <c r="DA13" s="4686">
        <f t="shared" si="1"/>
        <v>0</v>
      </c>
      <c r="DB13" s="4656"/>
      <c r="DC13" s="4686">
        <f t="shared" si="2"/>
        <v>0</v>
      </c>
      <c r="DD13" s="4686">
        <f t="shared" si="3"/>
        <v>0</v>
      </c>
      <c r="DE13" s="4687"/>
      <c r="DF13" s="4687"/>
      <c r="DG13" s="4687"/>
      <c r="DH13" s="4687"/>
      <c r="DI13" s="4687"/>
      <c r="DJ13" s="4687"/>
      <c r="DK13" s="4687"/>
      <c r="DL13" s="4687"/>
      <c r="DM13" s="4687"/>
      <c r="DN13" s="4687"/>
      <c r="DO13" s="4687"/>
      <c r="DP13" s="4687"/>
      <c r="DQ13" s="4653"/>
      <c r="DR13" s="4653"/>
      <c r="DS13" s="4653"/>
      <c r="DT13" s="4653"/>
      <c r="DU13" s="4653"/>
      <c r="DV13" s="4653"/>
      <c r="DW13" s="4653"/>
      <c r="DX13" s="4653"/>
      <c r="DY13" s="4653"/>
      <c r="DZ13" s="4653"/>
      <c r="EA13" s="4653"/>
      <c r="EB13" s="4653"/>
      <c r="EC13" s="4653"/>
      <c r="ED13" s="4653"/>
      <c r="EE13" s="4653"/>
      <c r="EF13" s="4653"/>
      <c r="EG13" s="4653"/>
      <c r="EH13" s="4653"/>
      <c r="EI13" s="4653"/>
      <c r="EJ13" s="4653"/>
      <c r="EK13" s="4653"/>
      <c r="EL13" s="4653"/>
      <c r="EM13" s="4653"/>
      <c r="EN13" s="4653"/>
      <c r="EO13" s="4653"/>
      <c r="EP13" s="4653"/>
      <c r="EQ13" s="4653"/>
      <c r="ER13" s="4653"/>
      <c r="ES13" s="4653"/>
      <c r="ET13" s="4653"/>
      <c r="EU13" s="4653"/>
      <c r="EV13" s="4653"/>
      <c r="EW13" s="4653"/>
      <c r="EX13" s="4653"/>
      <c r="EY13" s="4653"/>
      <c r="EZ13" s="4653"/>
      <c r="FA13" s="4653"/>
      <c r="FB13" s="4653"/>
      <c r="FC13" s="4653"/>
      <c r="FD13" s="4653"/>
      <c r="FE13" s="4653"/>
      <c r="FF13" s="4653"/>
      <c r="FG13" s="4653"/>
      <c r="FH13" s="4653"/>
      <c r="FI13" s="4653"/>
      <c r="FJ13" s="4653"/>
      <c r="FK13" s="4653"/>
      <c r="FL13" s="4653"/>
      <c r="FM13" s="4653"/>
      <c r="FN13" s="4653"/>
      <c r="FO13" s="4653"/>
      <c r="FP13" s="4653"/>
      <c r="FQ13" s="4653"/>
      <c r="FR13" s="4653"/>
      <c r="FS13" s="4653"/>
      <c r="FT13" s="4653"/>
      <c r="FU13" s="4653"/>
      <c r="FV13" s="4653"/>
      <c r="FW13" s="4653"/>
      <c r="FX13" s="4653"/>
      <c r="FY13" s="4653"/>
      <c r="FZ13" s="4653"/>
      <c r="GA13" s="4653"/>
      <c r="GB13" s="4653"/>
      <c r="GC13" s="4653"/>
      <c r="GD13" s="4653"/>
      <c r="GE13" s="4653"/>
      <c r="GF13" s="4653"/>
      <c r="GG13" s="4653"/>
      <c r="GH13" s="4653"/>
      <c r="GI13" s="4653"/>
      <c r="GJ13" s="4653"/>
      <c r="GK13" s="4653"/>
      <c r="GL13" s="4653"/>
      <c r="GM13" s="4653"/>
      <c r="GN13" s="4653"/>
      <c r="GO13" s="4653"/>
      <c r="GP13" s="4653"/>
      <c r="GQ13" s="4653"/>
      <c r="GR13" s="4653"/>
      <c r="GS13" s="4653"/>
      <c r="GT13" s="4653"/>
      <c r="GU13" s="4653"/>
      <c r="GV13" s="4653"/>
      <c r="GW13" s="4653"/>
      <c r="GX13" s="4653"/>
      <c r="GY13" s="4653"/>
      <c r="GZ13" s="4653"/>
      <c r="HA13" s="4653"/>
      <c r="HB13" s="4653"/>
      <c r="HC13" s="4653"/>
      <c r="HD13" s="4653"/>
      <c r="HE13" s="4653"/>
      <c r="HF13" s="4653"/>
      <c r="HG13" s="4653"/>
      <c r="HH13" s="4653"/>
      <c r="HI13" s="4653"/>
      <c r="HJ13" s="4653"/>
      <c r="HK13" s="4653"/>
      <c r="HL13" s="4653"/>
      <c r="HM13" s="4653"/>
      <c r="HN13" s="4653"/>
      <c r="HO13" s="4653"/>
      <c r="HP13" s="4653"/>
      <c r="HQ13" s="4653"/>
      <c r="HR13" s="4653"/>
      <c r="HS13" s="4653"/>
      <c r="HT13" s="4653"/>
      <c r="HU13" s="4653"/>
      <c r="HV13" s="4653"/>
      <c r="HW13" s="4653"/>
      <c r="HX13" s="4653"/>
      <c r="HY13" s="4653"/>
      <c r="HZ13" s="4653"/>
    </row>
    <row r="14" spans="1:234" s="4688" customFormat="1" ht="25.5" customHeight="1" x14ac:dyDescent="0.2">
      <c r="A14" s="10211" t="s">
        <v>1722</v>
      </c>
      <c r="B14" s="10216"/>
      <c r="C14" s="4673">
        <f t="shared" si="8"/>
        <v>0</v>
      </c>
      <c r="D14" s="4689"/>
      <c r="E14" s="4690"/>
      <c r="F14" s="4690"/>
      <c r="G14" s="4691"/>
      <c r="H14" s="4692"/>
      <c r="I14" s="4693"/>
      <c r="J14" s="4694"/>
      <c r="K14" s="4692"/>
      <c r="L14" s="4691"/>
      <c r="M14" s="4695"/>
      <c r="N14" s="4682"/>
      <c r="O14" s="4682"/>
      <c r="P14" s="4682"/>
      <c r="Q14" s="4683" t="str">
        <f t="shared" si="4"/>
        <v/>
      </c>
      <c r="R14" s="4684"/>
      <c r="S14" s="4684"/>
      <c r="T14" s="4684"/>
      <c r="U14" s="4684"/>
      <c r="V14" s="4684"/>
      <c r="W14" s="4684"/>
      <c r="X14" s="4684"/>
      <c r="Y14" s="4657"/>
      <c r="Z14" s="4657"/>
      <c r="AA14" s="4657"/>
      <c r="AB14" s="4651"/>
      <c r="AC14" s="4651"/>
      <c r="AD14" s="4651"/>
      <c r="AE14" s="4651"/>
      <c r="AF14" s="4651"/>
      <c r="AG14" s="4651"/>
      <c r="AH14" s="4651"/>
      <c r="AI14" s="4651"/>
      <c r="AJ14" s="4651"/>
      <c r="AK14" s="4651"/>
      <c r="AL14" s="4651"/>
      <c r="AM14" s="4651"/>
      <c r="AN14" s="4651"/>
      <c r="AO14" s="4651"/>
      <c r="AP14" s="4651"/>
      <c r="AQ14" s="4651"/>
      <c r="AR14" s="4651"/>
      <c r="AS14" s="4651"/>
      <c r="AT14" s="4651"/>
      <c r="AU14" s="4651"/>
      <c r="AV14" s="4651"/>
      <c r="AW14" s="4651"/>
      <c r="AX14" s="4651"/>
      <c r="AY14" s="4651"/>
      <c r="AZ14" s="4651"/>
      <c r="BA14" s="4651"/>
      <c r="BB14" s="4651"/>
      <c r="BC14" s="4651"/>
      <c r="BD14" s="4651"/>
      <c r="BE14" s="4651"/>
      <c r="BF14" s="4651"/>
      <c r="BG14" s="4651"/>
      <c r="BH14" s="4651"/>
      <c r="BI14" s="4651"/>
      <c r="BJ14" s="4651"/>
      <c r="BK14" s="4651"/>
      <c r="BL14" s="4651"/>
      <c r="BM14" s="4651"/>
      <c r="BN14" s="4651"/>
      <c r="BO14" s="4651"/>
      <c r="BP14" s="4651"/>
      <c r="BQ14" s="4651"/>
      <c r="BR14" s="4651"/>
      <c r="BS14" s="4651"/>
      <c r="BT14" s="4651"/>
      <c r="BU14" s="4651"/>
      <c r="BV14" s="4651"/>
      <c r="BW14" s="4651"/>
      <c r="BX14" s="4652"/>
      <c r="BY14" s="4653"/>
      <c r="BZ14" s="4653"/>
      <c r="CA14" s="4685" t="str">
        <f t="shared" si="5"/>
        <v/>
      </c>
      <c r="CB14" s="4655" t="str">
        <f t="shared" si="0"/>
        <v/>
      </c>
      <c r="CC14" s="4685" t="str">
        <f t="shared" si="6"/>
        <v/>
      </c>
      <c r="CD14" s="4685" t="str">
        <f t="shared" si="7"/>
        <v/>
      </c>
      <c r="CE14" s="4655"/>
      <c r="CF14" s="4655"/>
      <c r="CG14" s="4654"/>
      <c r="CH14" s="4654"/>
      <c r="CI14" s="4654"/>
      <c r="CJ14" s="4654"/>
      <c r="CK14" s="4654"/>
      <c r="CL14" s="4654"/>
      <c r="CM14" s="4654"/>
      <c r="CN14" s="4654"/>
      <c r="CO14" s="4654"/>
      <c r="CP14" s="4654"/>
      <c r="CQ14" s="4654"/>
      <c r="CR14" s="4654"/>
      <c r="CS14" s="4654"/>
      <c r="CT14" s="4654"/>
      <c r="CU14" s="4654"/>
      <c r="CV14" s="4654"/>
      <c r="CW14" s="4654"/>
      <c r="CX14" s="4654"/>
      <c r="CY14" s="4654"/>
      <c r="CZ14" s="4654"/>
      <c r="DA14" s="4686">
        <f t="shared" si="1"/>
        <v>0</v>
      </c>
      <c r="DB14" s="4656"/>
      <c r="DC14" s="4686">
        <f t="shared" si="2"/>
        <v>0</v>
      </c>
      <c r="DD14" s="4686">
        <f t="shared" si="3"/>
        <v>0</v>
      </c>
      <c r="DE14" s="4687"/>
      <c r="DF14" s="4687"/>
      <c r="DG14" s="4687"/>
      <c r="DH14" s="4687"/>
      <c r="DI14" s="4687"/>
      <c r="DJ14" s="4687"/>
      <c r="DK14" s="4687"/>
      <c r="DL14" s="4687"/>
      <c r="DM14" s="4687"/>
      <c r="DN14" s="4687"/>
      <c r="DO14" s="4687"/>
      <c r="DP14" s="4687"/>
      <c r="DQ14" s="4653"/>
      <c r="DR14" s="4653"/>
      <c r="DS14" s="4653"/>
      <c r="DT14" s="4653"/>
      <c r="DU14" s="4653"/>
      <c r="DV14" s="4653"/>
      <c r="DW14" s="4653"/>
      <c r="DX14" s="4653"/>
      <c r="DY14" s="4653"/>
      <c r="DZ14" s="4653"/>
      <c r="EA14" s="4653"/>
      <c r="EB14" s="4653"/>
      <c r="EC14" s="4653"/>
      <c r="ED14" s="4653"/>
      <c r="EE14" s="4653"/>
      <c r="EF14" s="4653"/>
      <c r="EG14" s="4653"/>
      <c r="EH14" s="4653"/>
      <c r="EI14" s="4653"/>
      <c r="EJ14" s="4653"/>
      <c r="EK14" s="4653"/>
      <c r="EL14" s="4653"/>
      <c r="EM14" s="4653"/>
      <c r="EN14" s="4653"/>
      <c r="EO14" s="4653"/>
      <c r="EP14" s="4653"/>
      <c r="EQ14" s="4653"/>
      <c r="ER14" s="4653"/>
      <c r="ES14" s="4653"/>
      <c r="ET14" s="4653"/>
      <c r="EU14" s="4653"/>
      <c r="EV14" s="4653"/>
      <c r="EW14" s="4653"/>
      <c r="EX14" s="4653"/>
      <c r="EY14" s="4653"/>
      <c r="EZ14" s="4653"/>
      <c r="FA14" s="4653"/>
      <c r="FB14" s="4653"/>
      <c r="FC14" s="4653"/>
      <c r="FD14" s="4653"/>
      <c r="FE14" s="4653"/>
      <c r="FF14" s="4653"/>
      <c r="FG14" s="4653"/>
      <c r="FH14" s="4653"/>
      <c r="FI14" s="4653"/>
      <c r="FJ14" s="4653"/>
      <c r="FK14" s="4653"/>
      <c r="FL14" s="4653"/>
      <c r="FM14" s="4653"/>
      <c r="FN14" s="4653"/>
      <c r="FO14" s="4653"/>
      <c r="FP14" s="4653"/>
      <c r="FQ14" s="4653"/>
      <c r="FR14" s="4653"/>
      <c r="FS14" s="4653"/>
      <c r="FT14" s="4653"/>
      <c r="FU14" s="4653"/>
      <c r="FV14" s="4653"/>
      <c r="FW14" s="4653"/>
      <c r="FX14" s="4653"/>
      <c r="FY14" s="4653"/>
      <c r="FZ14" s="4653"/>
      <c r="GA14" s="4653"/>
      <c r="GB14" s="4653"/>
      <c r="GC14" s="4653"/>
      <c r="GD14" s="4653"/>
      <c r="GE14" s="4653"/>
      <c r="GF14" s="4653"/>
      <c r="GG14" s="4653"/>
      <c r="GH14" s="4653"/>
      <c r="GI14" s="4653"/>
      <c r="GJ14" s="4653"/>
      <c r="GK14" s="4653"/>
      <c r="GL14" s="4653"/>
      <c r="GM14" s="4653"/>
      <c r="GN14" s="4653"/>
      <c r="GO14" s="4653"/>
      <c r="GP14" s="4653"/>
      <c r="GQ14" s="4653"/>
      <c r="GR14" s="4653"/>
      <c r="GS14" s="4653"/>
      <c r="GT14" s="4653"/>
      <c r="GU14" s="4653"/>
      <c r="GV14" s="4653"/>
      <c r="GW14" s="4653"/>
      <c r="GX14" s="4653"/>
      <c r="GY14" s="4653"/>
      <c r="GZ14" s="4653"/>
      <c r="HA14" s="4653"/>
      <c r="HB14" s="4653"/>
      <c r="HC14" s="4653"/>
      <c r="HD14" s="4653"/>
      <c r="HE14" s="4653"/>
      <c r="HF14" s="4653"/>
      <c r="HG14" s="4653"/>
      <c r="HH14" s="4653"/>
      <c r="HI14" s="4653"/>
      <c r="HJ14" s="4653"/>
      <c r="HK14" s="4653"/>
      <c r="HL14" s="4653"/>
      <c r="HM14" s="4653"/>
      <c r="HN14" s="4653"/>
      <c r="HO14" s="4653"/>
      <c r="HP14" s="4653"/>
      <c r="HQ14" s="4653"/>
      <c r="HR14" s="4653"/>
      <c r="HS14" s="4653"/>
      <c r="HT14" s="4653"/>
      <c r="HU14" s="4653"/>
      <c r="HV14" s="4653"/>
      <c r="HW14" s="4653"/>
      <c r="HX14" s="4653"/>
      <c r="HY14" s="4653"/>
      <c r="HZ14" s="4653"/>
    </row>
    <row r="15" spans="1:234" s="4688" customFormat="1" ht="27" customHeight="1" x14ac:dyDescent="0.2">
      <c r="A15" s="10211" t="s">
        <v>1721</v>
      </c>
      <c r="B15" s="10216"/>
      <c r="C15" s="4673">
        <f t="shared" si="8"/>
        <v>0</v>
      </c>
      <c r="D15" s="4689"/>
      <c r="E15" s="4690"/>
      <c r="F15" s="4690"/>
      <c r="G15" s="4691"/>
      <c r="H15" s="4692"/>
      <c r="I15" s="4693"/>
      <c r="J15" s="4694"/>
      <c r="K15" s="4692"/>
      <c r="L15" s="4691"/>
      <c r="M15" s="4695"/>
      <c r="N15" s="4682"/>
      <c r="O15" s="4682"/>
      <c r="P15" s="4682"/>
      <c r="Q15" s="4683" t="str">
        <f t="shared" si="4"/>
        <v/>
      </c>
      <c r="R15" s="4684"/>
      <c r="S15" s="4684"/>
      <c r="T15" s="4684"/>
      <c r="U15" s="4684"/>
      <c r="V15" s="4684"/>
      <c r="W15" s="4684"/>
      <c r="X15" s="4684"/>
      <c r="Y15" s="4657"/>
      <c r="Z15" s="4657"/>
      <c r="AA15" s="4657"/>
      <c r="AB15" s="4651"/>
      <c r="AC15" s="4651"/>
      <c r="AD15" s="4651"/>
      <c r="AE15" s="4651"/>
      <c r="AF15" s="4651"/>
      <c r="AG15" s="4651"/>
      <c r="AH15" s="4651"/>
      <c r="AI15" s="4651"/>
      <c r="AJ15" s="4651"/>
      <c r="AK15" s="4651"/>
      <c r="AL15" s="4651"/>
      <c r="AM15" s="4651"/>
      <c r="AN15" s="4651"/>
      <c r="AO15" s="4651"/>
      <c r="AP15" s="4651"/>
      <c r="AQ15" s="4651"/>
      <c r="AR15" s="4651"/>
      <c r="AS15" s="4651"/>
      <c r="AT15" s="4651"/>
      <c r="AU15" s="4651"/>
      <c r="AV15" s="4651"/>
      <c r="AW15" s="4651"/>
      <c r="AX15" s="4651"/>
      <c r="AY15" s="4651"/>
      <c r="AZ15" s="4651"/>
      <c r="BA15" s="4651"/>
      <c r="BB15" s="4651"/>
      <c r="BC15" s="4651"/>
      <c r="BD15" s="4651"/>
      <c r="BE15" s="4651"/>
      <c r="BF15" s="4651"/>
      <c r="BG15" s="4651"/>
      <c r="BH15" s="4651"/>
      <c r="BI15" s="4651"/>
      <c r="BJ15" s="4651"/>
      <c r="BK15" s="4651"/>
      <c r="BL15" s="4651"/>
      <c r="BM15" s="4651"/>
      <c r="BN15" s="4651"/>
      <c r="BO15" s="4651"/>
      <c r="BP15" s="4651"/>
      <c r="BQ15" s="4651"/>
      <c r="BR15" s="4651"/>
      <c r="BS15" s="4651"/>
      <c r="BT15" s="4651"/>
      <c r="BU15" s="4651"/>
      <c r="BV15" s="4651"/>
      <c r="BW15" s="4651"/>
      <c r="BX15" s="4652"/>
      <c r="BY15" s="4653"/>
      <c r="BZ15" s="4653"/>
      <c r="CA15" s="4685" t="str">
        <f t="shared" si="5"/>
        <v/>
      </c>
      <c r="CB15" s="4655" t="str">
        <f t="shared" si="0"/>
        <v/>
      </c>
      <c r="CC15" s="4685" t="str">
        <f t="shared" si="6"/>
        <v/>
      </c>
      <c r="CD15" s="4685" t="str">
        <f t="shared" si="7"/>
        <v/>
      </c>
      <c r="CE15" s="4655"/>
      <c r="CF15" s="4655"/>
      <c r="CG15" s="4654"/>
      <c r="CH15" s="4654"/>
      <c r="CI15" s="4654"/>
      <c r="CJ15" s="4654"/>
      <c r="CK15" s="4654"/>
      <c r="CL15" s="4654"/>
      <c r="CM15" s="4654"/>
      <c r="CN15" s="4654"/>
      <c r="CO15" s="4654"/>
      <c r="CP15" s="4654"/>
      <c r="CQ15" s="4654"/>
      <c r="CR15" s="4654"/>
      <c r="CS15" s="4654"/>
      <c r="CT15" s="4654"/>
      <c r="CU15" s="4654"/>
      <c r="CV15" s="4654"/>
      <c r="CW15" s="4654"/>
      <c r="CX15" s="4654"/>
      <c r="CY15" s="4654"/>
      <c r="CZ15" s="4654"/>
      <c r="DA15" s="4686">
        <f t="shared" si="1"/>
        <v>0</v>
      </c>
      <c r="DB15" s="4656"/>
      <c r="DC15" s="4686">
        <f t="shared" si="2"/>
        <v>0</v>
      </c>
      <c r="DD15" s="4686">
        <f t="shared" si="3"/>
        <v>0</v>
      </c>
      <c r="DE15" s="4687"/>
      <c r="DF15" s="4687"/>
      <c r="DG15" s="4687"/>
      <c r="DH15" s="4687"/>
      <c r="DI15" s="4687"/>
      <c r="DJ15" s="4687"/>
      <c r="DK15" s="4687"/>
      <c r="DL15" s="4687"/>
      <c r="DM15" s="4687"/>
      <c r="DN15" s="4687"/>
      <c r="DO15" s="4687"/>
      <c r="DP15" s="4687"/>
      <c r="DQ15" s="4653"/>
      <c r="DR15" s="4653"/>
      <c r="DS15" s="4653"/>
      <c r="DT15" s="4653"/>
      <c r="DU15" s="4653"/>
      <c r="DV15" s="4653"/>
      <c r="DW15" s="4653"/>
      <c r="DX15" s="4653"/>
      <c r="DY15" s="4653"/>
      <c r="DZ15" s="4653"/>
      <c r="EA15" s="4653"/>
      <c r="EB15" s="4653"/>
      <c r="EC15" s="4653"/>
      <c r="ED15" s="4653"/>
      <c r="EE15" s="4653"/>
      <c r="EF15" s="4653"/>
      <c r="EG15" s="4653"/>
      <c r="EH15" s="4653"/>
      <c r="EI15" s="4653"/>
      <c r="EJ15" s="4653"/>
      <c r="EK15" s="4653"/>
      <c r="EL15" s="4653"/>
      <c r="EM15" s="4653"/>
      <c r="EN15" s="4653"/>
      <c r="EO15" s="4653"/>
      <c r="EP15" s="4653"/>
      <c r="EQ15" s="4653"/>
      <c r="ER15" s="4653"/>
      <c r="ES15" s="4653"/>
      <c r="ET15" s="4653"/>
      <c r="EU15" s="4653"/>
      <c r="EV15" s="4653"/>
      <c r="EW15" s="4653"/>
      <c r="EX15" s="4653"/>
      <c r="EY15" s="4653"/>
      <c r="EZ15" s="4653"/>
      <c r="FA15" s="4653"/>
      <c r="FB15" s="4653"/>
      <c r="FC15" s="4653"/>
      <c r="FD15" s="4653"/>
      <c r="FE15" s="4653"/>
      <c r="FF15" s="4653"/>
      <c r="FG15" s="4653"/>
      <c r="FH15" s="4653"/>
      <c r="FI15" s="4653"/>
      <c r="FJ15" s="4653"/>
      <c r="FK15" s="4653"/>
      <c r="FL15" s="4653"/>
      <c r="FM15" s="4653"/>
      <c r="FN15" s="4653"/>
      <c r="FO15" s="4653"/>
      <c r="FP15" s="4653"/>
      <c r="FQ15" s="4653"/>
      <c r="FR15" s="4653"/>
      <c r="FS15" s="4653"/>
      <c r="FT15" s="4653"/>
      <c r="FU15" s="4653"/>
      <c r="FV15" s="4653"/>
      <c r="FW15" s="4653"/>
      <c r="FX15" s="4653"/>
      <c r="FY15" s="4653"/>
      <c r="FZ15" s="4653"/>
      <c r="GA15" s="4653"/>
      <c r="GB15" s="4653"/>
      <c r="GC15" s="4653"/>
      <c r="GD15" s="4653"/>
      <c r="GE15" s="4653"/>
      <c r="GF15" s="4653"/>
      <c r="GG15" s="4653"/>
      <c r="GH15" s="4653"/>
      <c r="GI15" s="4653"/>
      <c r="GJ15" s="4653"/>
      <c r="GK15" s="4653"/>
      <c r="GL15" s="4653"/>
      <c r="GM15" s="4653"/>
      <c r="GN15" s="4653"/>
      <c r="GO15" s="4653"/>
      <c r="GP15" s="4653"/>
      <c r="GQ15" s="4653"/>
      <c r="GR15" s="4653"/>
      <c r="GS15" s="4653"/>
      <c r="GT15" s="4653"/>
      <c r="GU15" s="4653"/>
      <c r="GV15" s="4653"/>
      <c r="GW15" s="4653"/>
      <c r="GX15" s="4653"/>
      <c r="GY15" s="4653"/>
      <c r="GZ15" s="4653"/>
      <c r="HA15" s="4653"/>
      <c r="HB15" s="4653"/>
      <c r="HC15" s="4653"/>
      <c r="HD15" s="4653"/>
      <c r="HE15" s="4653"/>
      <c r="HF15" s="4653"/>
      <c r="HG15" s="4653"/>
      <c r="HH15" s="4653"/>
      <c r="HI15" s="4653"/>
      <c r="HJ15" s="4653"/>
      <c r="HK15" s="4653"/>
      <c r="HL15" s="4653"/>
      <c r="HM15" s="4653"/>
      <c r="HN15" s="4653"/>
      <c r="HO15" s="4653"/>
      <c r="HP15" s="4653"/>
      <c r="HQ15" s="4653"/>
      <c r="HR15" s="4653"/>
      <c r="HS15" s="4653"/>
      <c r="HT15" s="4653"/>
      <c r="HU15" s="4653"/>
      <c r="HV15" s="4653"/>
      <c r="HW15" s="4653"/>
      <c r="HX15" s="4653"/>
      <c r="HY15" s="4653"/>
      <c r="HZ15" s="4653"/>
    </row>
    <row r="16" spans="1:234" s="4688" customFormat="1" ht="22.5" customHeight="1" x14ac:dyDescent="0.2">
      <c r="A16" s="10211" t="s">
        <v>1720</v>
      </c>
      <c r="B16" s="10216"/>
      <c r="C16" s="4673">
        <f t="shared" si="8"/>
        <v>0</v>
      </c>
      <c r="D16" s="4689"/>
      <c r="E16" s="4690"/>
      <c r="F16" s="4690"/>
      <c r="G16" s="4691"/>
      <c r="H16" s="4692"/>
      <c r="I16" s="4693"/>
      <c r="J16" s="4694"/>
      <c r="K16" s="4692"/>
      <c r="L16" s="4691"/>
      <c r="M16" s="4695"/>
      <c r="N16" s="4682"/>
      <c r="O16" s="4682"/>
      <c r="P16" s="4682"/>
      <c r="Q16" s="4683" t="str">
        <f t="shared" si="4"/>
        <v/>
      </c>
      <c r="R16" s="4684"/>
      <c r="S16" s="4684"/>
      <c r="T16" s="4684"/>
      <c r="U16" s="4684"/>
      <c r="V16" s="4684"/>
      <c r="W16" s="4684"/>
      <c r="X16" s="4684"/>
      <c r="Y16" s="4657"/>
      <c r="Z16" s="4657"/>
      <c r="AA16" s="4657"/>
      <c r="AB16" s="4651"/>
      <c r="AC16" s="4651"/>
      <c r="AD16" s="4651"/>
      <c r="AE16" s="4651"/>
      <c r="AF16" s="4651"/>
      <c r="AG16" s="4651"/>
      <c r="AH16" s="4651"/>
      <c r="AI16" s="4651"/>
      <c r="AJ16" s="4651"/>
      <c r="AK16" s="4651"/>
      <c r="AL16" s="4651"/>
      <c r="AM16" s="4651"/>
      <c r="AN16" s="4651"/>
      <c r="AO16" s="4651"/>
      <c r="AP16" s="4651"/>
      <c r="AQ16" s="4651"/>
      <c r="AR16" s="4651"/>
      <c r="AS16" s="4651"/>
      <c r="AT16" s="4651"/>
      <c r="AU16" s="4651"/>
      <c r="AV16" s="4651"/>
      <c r="AW16" s="4651"/>
      <c r="AX16" s="4651"/>
      <c r="AY16" s="4651"/>
      <c r="AZ16" s="4651"/>
      <c r="BA16" s="4651"/>
      <c r="BB16" s="4651"/>
      <c r="BC16" s="4651"/>
      <c r="BD16" s="4651"/>
      <c r="BE16" s="4651"/>
      <c r="BF16" s="4651"/>
      <c r="BG16" s="4651"/>
      <c r="BH16" s="4651"/>
      <c r="BI16" s="4651"/>
      <c r="BJ16" s="4651"/>
      <c r="BK16" s="4651"/>
      <c r="BL16" s="4651"/>
      <c r="BM16" s="4651"/>
      <c r="BN16" s="4651"/>
      <c r="BO16" s="4651"/>
      <c r="BP16" s="4651"/>
      <c r="BQ16" s="4651"/>
      <c r="BR16" s="4651"/>
      <c r="BS16" s="4651"/>
      <c r="BT16" s="4651"/>
      <c r="BU16" s="4651"/>
      <c r="BV16" s="4651"/>
      <c r="BW16" s="4651"/>
      <c r="BX16" s="4652"/>
      <c r="BY16" s="4653"/>
      <c r="BZ16" s="4653"/>
      <c r="CA16" s="4685" t="str">
        <f t="shared" si="5"/>
        <v/>
      </c>
      <c r="CB16" s="4655" t="str">
        <f t="shared" si="0"/>
        <v/>
      </c>
      <c r="CC16" s="4685" t="str">
        <f t="shared" si="6"/>
        <v/>
      </c>
      <c r="CD16" s="4685" t="str">
        <f t="shared" si="7"/>
        <v/>
      </c>
      <c r="CE16" s="4655"/>
      <c r="CF16" s="4655"/>
      <c r="CG16" s="4654"/>
      <c r="CH16" s="4654"/>
      <c r="CI16" s="4654"/>
      <c r="CJ16" s="4654"/>
      <c r="CK16" s="4654"/>
      <c r="CL16" s="4654"/>
      <c r="CM16" s="4654"/>
      <c r="CN16" s="4654"/>
      <c r="CO16" s="4654"/>
      <c r="CP16" s="4654"/>
      <c r="CQ16" s="4654"/>
      <c r="CR16" s="4654"/>
      <c r="CS16" s="4654"/>
      <c r="CT16" s="4654"/>
      <c r="CU16" s="4654"/>
      <c r="CV16" s="4654"/>
      <c r="CW16" s="4654"/>
      <c r="CX16" s="4654"/>
      <c r="CY16" s="4654"/>
      <c r="CZ16" s="4654"/>
      <c r="DA16" s="4686">
        <f t="shared" si="1"/>
        <v>0</v>
      </c>
      <c r="DB16" s="4656"/>
      <c r="DC16" s="4686">
        <f t="shared" si="2"/>
        <v>0</v>
      </c>
      <c r="DD16" s="4686">
        <f t="shared" si="3"/>
        <v>0</v>
      </c>
      <c r="DE16" s="4687"/>
      <c r="DF16" s="4687"/>
      <c r="DG16" s="4687"/>
      <c r="DH16" s="4687"/>
      <c r="DI16" s="4687"/>
      <c r="DJ16" s="4687"/>
      <c r="DK16" s="4687"/>
      <c r="DL16" s="4687"/>
      <c r="DM16" s="4687"/>
      <c r="DN16" s="4687"/>
      <c r="DO16" s="4687"/>
      <c r="DP16" s="4687"/>
      <c r="DQ16" s="4653"/>
      <c r="DR16" s="4653"/>
      <c r="DS16" s="4653"/>
      <c r="DT16" s="4653"/>
      <c r="DU16" s="4653"/>
      <c r="DV16" s="4653"/>
      <c r="DW16" s="4653"/>
      <c r="DX16" s="4653"/>
      <c r="DY16" s="4653"/>
      <c r="DZ16" s="4653"/>
      <c r="EA16" s="4653"/>
      <c r="EB16" s="4653"/>
      <c r="EC16" s="4653"/>
      <c r="ED16" s="4653"/>
      <c r="EE16" s="4653"/>
      <c r="EF16" s="4653"/>
      <c r="EG16" s="4653"/>
      <c r="EH16" s="4653"/>
      <c r="EI16" s="4653"/>
      <c r="EJ16" s="4653"/>
      <c r="EK16" s="4653"/>
      <c r="EL16" s="4653"/>
      <c r="EM16" s="4653"/>
      <c r="EN16" s="4653"/>
      <c r="EO16" s="4653"/>
      <c r="EP16" s="4653"/>
      <c r="EQ16" s="4653"/>
      <c r="ER16" s="4653"/>
      <c r="ES16" s="4653"/>
      <c r="ET16" s="4653"/>
      <c r="EU16" s="4653"/>
      <c r="EV16" s="4653"/>
      <c r="EW16" s="4653"/>
      <c r="EX16" s="4653"/>
      <c r="EY16" s="4653"/>
      <c r="EZ16" s="4653"/>
      <c r="FA16" s="4653"/>
      <c r="FB16" s="4653"/>
      <c r="FC16" s="4653"/>
      <c r="FD16" s="4653"/>
      <c r="FE16" s="4653"/>
      <c r="FF16" s="4653"/>
      <c r="FG16" s="4653"/>
      <c r="FH16" s="4653"/>
      <c r="FI16" s="4653"/>
      <c r="FJ16" s="4653"/>
      <c r="FK16" s="4653"/>
      <c r="FL16" s="4653"/>
      <c r="FM16" s="4653"/>
      <c r="FN16" s="4653"/>
      <c r="FO16" s="4653"/>
      <c r="FP16" s="4653"/>
      <c r="FQ16" s="4653"/>
      <c r="FR16" s="4653"/>
      <c r="FS16" s="4653"/>
      <c r="FT16" s="4653"/>
      <c r="FU16" s="4653"/>
      <c r="FV16" s="4653"/>
      <c r="FW16" s="4653"/>
      <c r="FX16" s="4653"/>
      <c r="FY16" s="4653"/>
      <c r="FZ16" s="4653"/>
      <c r="GA16" s="4653"/>
      <c r="GB16" s="4653"/>
      <c r="GC16" s="4653"/>
      <c r="GD16" s="4653"/>
      <c r="GE16" s="4653"/>
      <c r="GF16" s="4653"/>
      <c r="GG16" s="4653"/>
      <c r="GH16" s="4653"/>
      <c r="GI16" s="4653"/>
      <c r="GJ16" s="4653"/>
      <c r="GK16" s="4653"/>
      <c r="GL16" s="4653"/>
      <c r="GM16" s="4653"/>
      <c r="GN16" s="4653"/>
      <c r="GO16" s="4653"/>
      <c r="GP16" s="4653"/>
      <c r="GQ16" s="4653"/>
      <c r="GR16" s="4653"/>
      <c r="GS16" s="4653"/>
      <c r="GT16" s="4653"/>
      <c r="GU16" s="4653"/>
      <c r="GV16" s="4653"/>
      <c r="GW16" s="4653"/>
      <c r="GX16" s="4653"/>
      <c r="GY16" s="4653"/>
      <c r="GZ16" s="4653"/>
      <c r="HA16" s="4653"/>
      <c r="HB16" s="4653"/>
      <c r="HC16" s="4653"/>
      <c r="HD16" s="4653"/>
      <c r="HE16" s="4653"/>
      <c r="HF16" s="4653"/>
      <c r="HG16" s="4653"/>
      <c r="HH16" s="4653"/>
      <c r="HI16" s="4653"/>
      <c r="HJ16" s="4653"/>
      <c r="HK16" s="4653"/>
      <c r="HL16" s="4653"/>
      <c r="HM16" s="4653"/>
      <c r="HN16" s="4653"/>
      <c r="HO16" s="4653"/>
      <c r="HP16" s="4653"/>
      <c r="HQ16" s="4653"/>
      <c r="HR16" s="4653"/>
      <c r="HS16" s="4653"/>
      <c r="HT16" s="4653"/>
      <c r="HU16" s="4653"/>
      <c r="HV16" s="4653"/>
      <c r="HW16" s="4653"/>
      <c r="HX16" s="4653"/>
      <c r="HY16" s="4653"/>
      <c r="HZ16" s="4653"/>
    </row>
    <row r="17" spans="1:234" s="4688" customFormat="1" ht="17.25" customHeight="1" x14ac:dyDescent="0.2">
      <c r="A17" s="10211" t="s">
        <v>1719</v>
      </c>
      <c r="B17" s="10216"/>
      <c r="C17" s="4673">
        <f t="shared" si="8"/>
        <v>0</v>
      </c>
      <c r="D17" s="4689"/>
      <c r="E17" s="4690"/>
      <c r="F17" s="4690"/>
      <c r="G17" s="4691"/>
      <c r="H17" s="4692"/>
      <c r="I17" s="4693"/>
      <c r="J17" s="4694"/>
      <c r="K17" s="4692"/>
      <c r="L17" s="4691"/>
      <c r="M17" s="4695"/>
      <c r="N17" s="4682"/>
      <c r="O17" s="4682"/>
      <c r="P17" s="4682"/>
      <c r="Q17" s="4683" t="str">
        <f t="shared" si="4"/>
        <v/>
      </c>
      <c r="R17" s="4684"/>
      <c r="S17" s="4684"/>
      <c r="T17" s="4684"/>
      <c r="U17" s="4684"/>
      <c r="V17" s="4684"/>
      <c r="W17" s="4684"/>
      <c r="X17" s="4684"/>
      <c r="Y17" s="4657"/>
      <c r="Z17" s="4657"/>
      <c r="AA17" s="4657"/>
      <c r="AB17" s="4651"/>
      <c r="AC17" s="4651"/>
      <c r="AD17" s="4651"/>
      <c r="AE17" s="4651"/>
      <c r="AF17" s="4651"/>
      <c r="AG17" s="4651"/>
      <c r="AH17" s="4651"/>
      <c r="AI17" s="4651"/>
      <c r="AJ17" s="4651"/>
      <c r="AK17" s="4651"/>
      <c r="AL17" s="4651"/>
      <c r="AM17" s="4651"/>
      <c r="AN17" s="4651"/>
      <c r="AO17" s="4651"/>
      <c r="AP17" s="4651"/>
      <c r="AQ17" s="4651"/>
      <c r="AR17" s="4651"/>
      <c r="AS17" s="4651"/>
      <c r="AT17" s="4651"/>
      <c r="AU17" s="4651"/>
      <c r="AV17" s="4651"/>
      <c r="AW17" s="4651"/>
      <c r="AX17" s="4651"/>
      <c r="AY17" s="4651"/>
      <c r="AZ17" s="4651"/>
      <c r="BA17" s="4651"/>
      <c r="BB17" s="4651"/>
      <c r="BC17" s="4651"/>
      <c r="BD17" s="4651"/>
      <c r="BE17" s="4651"/>
      <c r="BF17" s="4651"/>
      <c r="BG17" s="4651"/>
      <c r="BH17" s="4651"/>
      <c r="BI17" s="4651"/>
      <c r="BJ17" s="4651"/>
      <c r="BK17" s="4651"/>
      <c r="BL17" s="4651"/>
      <c r="BM17" s="4651"/>
      <c r="BN17" s="4651"/>
      <c r="BO17" s="4651"/>
      <c r="BP17" s="4651"/>
      <c r="BQ17" s="4651"/>
      <c r="BR17" s="4651"/>
      <c r="BS17" s="4651"/>
      <c r="BT17" s="4651"/>
      <c r="BU17" s="4651"/>
      <c r="BV17" s="4651"/>
      <c r="BW17" s="4651"/>
      <c r="BX17" s="4652"/>
      <c r="BY17" s="4653"/>
      <c r="BZ17" s="4653"/>
      <c r="CA17" s="4685" t="str">
        <f t="shared" si="5"/>
        <v/>
      </c>
      <c r="CB17" s="4655" t="str">
        <f t="shared" si="0"/>
        <v/>
      </c>
      <c r="CC17" s="4685" t="str">
        <f t="shared" si="6"/>
        <v/>
      </c>
      <c r="CD17" s="4685" t="str">
        <f t="shared" si="7"/>
        <v/>
      </c>
      <c r="CE17" s="4655"/>
      <c r="CF17" s="4655"/>
      <c r="CG17" s="4654"/>
      <c r="CH17" s="4654"/>
      <c r="CI17" s="4654"/>
      <c r="CJ17" s="4654"/>
      <c r="CK17" s="4654"/>
      <c r="CL17" s="4654"/>
      <c r="CM17" s="4654"/>
      <c r="CN17" s="4654"/>
      <c r="CO17" s="4654"/>
      <c r="CP17" s="4654"/>
      <c r="CQ17" s="4654"/>
      <c r="CR17" s="4654"/>
      <c r="CS17" s="4654"/>
      <c r="CT17" s="4654"/>
      <c r="CU17" s="4654"/>
      <c r="CV17" s="4654"/>
      <c r="CW17" s="4654"/>
      <c r="CX17" s="4654"/>
      <c r="CY17" s="4654"/>
      <c r="CZ17" s="4654"/>
      <c r="DA17" s="4686">
        <f t="shared" si="1"/>
        <v>0</v>
      </c>
      <c r="DB17" s="4656"/>
      <c r="DC17" s="4686">
        <f t="shared" si="2"/>
        <v>0</v>
      </c>
      <c r="DD17" s="4686">
        <f t="shared" si="3"/>
        <v>0</v>
      </c>
      <c r="DE17" s="4687"/>
      <c r="DF17" s="4687"/>
      <c r="DG17" s="4687"/>
      <c r="DH17" s="4687"/>
      <c r="DI17" s="4687"/>
      <c r="DJ17" s="4687"/>
      <c r="DK17" s="4687"/>
      <c r="DL17" s="4687"/>
      <c r="DM17" s="4687"/>
      <c r="DN17" s="4687"/>
      <c r="DO17" s="4687"/>
      <c r="DP17" s="4687"/>
      <c r="DQ17" s="4653"/>
      <c r="DR17" s="4653"/>
      <c r="DS17" s="4653"/>
      <c r="DT17" s="4653"/>
      <c r="DU17" s="4653"/>
      <c r="DV17" s="4653"/>
      <c r="DW17" s="4653"/>
      <c r="DX17" s="4653"/>
      <c r="DY17" s="4653"/>
      <c r="DZ17" s="4653"/>
      <c r="EA17" s="4653"/>
      <c r="EB17" s="4653"/>
      <c r="EC17" s="4653"/>
      <c r="ED17" s="4653"/>
      <c r="EE17" s="4653"/>
      <c r="EF17" s="4653"/>
      <c r="EG17" s="4653"/>
      <c r="EH17" s="4653"/>
      <c r="EI17" s="4653"/>
      <c r="EJ17" s="4653"/>
      <c r="EK17" s="4653"/>
      <c r="EL17" s="4653"/>
      <c r="EM17" s="4653"/>
      <c r="EN17" s="4653"/>
      <c r="EO17" s="4653"/>
      <c r="EP17" s="4653"/>
      <c r="EQ17" s="4653"/>
      <c r="ER17" s="4653"/>
      <c r="ES17" s="4653"/>
      <c r="ET17" s="4653"/>
      <c r="EU17" s="4653"/>
      <c r="EV17" s="4653"/>
      <c r="EW17" s="4653"/>
      <c r="EX17" s="4653"/>
      <c r="EY17" s="4653"/>
      <c r="EZ17" s="4653"/>
      <c r="FA17" s="4653"/>
      <c r="FB17" s="4653"/>
      <c r="FC17" s="4653"/>
      <c r="FD17" s="4653"/>
      <c r="FE17" s="4653"/>
      <c r="FF17" s="4653"/>
      <c r="FG17" s="4653"/>
      <c r="FH17" s="4653"/>
      <c r="FI17" s="4653"/>
      <c r="FJ17" s="4653"/>
      <c r="FK17" s="4653"/>
      <c r="FL17" s="4653"/>
      <c r="FM17" s="4653"/>
      <c r="FN17" s="4653"/>
      <c r="FO17" s="4653"/>
      <c r="FP17" s="4653"/>
      <c r="FQ17" s="4653"/>
      <c r="FR17" s="4653"/>
      <c r="FS17" s="4653"/>
      <c r="FT17" s="4653"/>
      <c r="FU17" s="4653"/>
      <c r="FV17" s="4653"/>
      <c r="FW17" s="4653"/>
      <c r="FX17" s="4653"/>
      <c r="FY17" s="4653"/>
      <c r="FZ17" s="4653"/>
      <c r="GA17" s="4653"/>
      <c r="GB17" s="4653"/>
      <c r="GC17" s="4653"/>
      <c r="GD17" s="4653"/>
      <c r="GE17" s="4653"/>
      <c r="GF17" s="4653"/>
      <c r="GG17" s="4653"/>
      <c r="GH17" s="4653"/>
      <c r="GI17" s="4653"/>
      <c r="GJ17" s="4653"/>
      <c r="GK17" s="4653"/>
      <c r="GL17" s="4653"/>
      <c r="GM17" s="4653"/>
      <c r="GN17" s="4653"/>
      <c r="GO17" s="4653"/>
      <c r="GP17" s="4653"/>
      <c r="GQ17" s="4653"/>
      <c r="GR17" s="4653"/>
      <c r="GS17" s="4653"/>
      <c r="GT17" s="4653"/>
      <c r="GU17" s="4653"/>
      <c r="GV17" s="4653"/>
      <c r="GW17" s="4653"/>
      <c r="GX17" s="4653"/>
      <c r="GY17" s="4653"/>
      <c r="GZ17" s="4653"/>
      <c r="HA17" s="4653"/>
      <c r="HB17" s="4653"/>
      <c r="HC17" s="4653"/>
      <c r="HD17" s="4653"/>
      <c r="HE17" s="4653"/>
      <c r="HF17" s="4653"/>
      <c r="HG17" s="4653"/>
      <c r="HH17" s="4653"/>
      <c r="HI17" s="4653"/>
      <c r="HJ17" s="4653"/>
      <c r="HK17" s="4653"/>
      <c r="HL17" s="4653"/>
      <c r="HM17" s="4653"/>
      <c r="HN17" s="4653"/>
      <c r="HO17" s="4653"/>
      <c r="HP17" s="4653"/>
      <c r="HQ17" s="4653"/>
      <c r="HR17" s="4653"/>
      <c r="HS17" s="4653"/>
      <c r="HT17" s="4653"/>
      <c r="HU17" s="4653"/>
      <c r="HV17" s="4653"/>
      <c r="HW17" s="4653"/>
      <c r="HX17" s="4653"/>
      <c r="HY17" s="4653"/>
      <c r="HZ17" s="4653"/>
    </row>
    <row r="18" spans="1:234" s="4688" customFormat="1" ht="23.25" customHeight="1" x14ac:dyDescent="0.2">
      <c r="A18" s="10211" t="s">
        <v>1718</v>
      </c>
      <c r="B18" s="10212"/>
      <c r="C18" s="4673">
        <f t="shared" si="8"/>
        <v>0</v>
      </c>
      <c r="D18" s="4689"/>
      <c r="E18" s="4690"/>
      <c r="F18" s="4690"/>
      <c r="G18" s="4691"/>
      <c r="H18" s="4692"/>
      <c r="I18" s="4693"/>
      <c r="J18" s="4694"/>
      <c r="K18" s="4692"/>
      <c r="L18" s="4691"/>
      <c r="M18" s="4696"/>
      <c r="N18" s="4682"/>
      <c r="O18" s="4682"/>
      <c r="P18" s="4682"/>
      <c r="Q18" s="4683" t="str">
        <f t="shared" si="4"/>
        <v/>
      </c>
      <c r="R18" s="4684"/>
      <c r="S18" s="4684"/>
      <c r="T18" s="4684"/>
      <c r="U18" s="4684"/>
      <c r="V18" s="4684"/>
      <c r="W18" s="4684"/>
      <c r="X18" s="4684"/>
      <c r="Y18" s="4657"/>
      <c r="Z18" s="4657"/>
      <c r="AA18" s="4657"/>
      <c r="AB18" s="4651"/>
      <c r="AC18" s="4651"/>
      <c r="AD18" s="4651"/>
      <c r="AE18" s="4651"/>
      <c r="AF18" s="4651"/>
      <c r="AG18" s="4651"/>
      <c r="AH18" s="4651"/>
      <c r="AI18" s="4651"/>
      <c r="AJ18" s="4651"/>
      <c r="AK18" s="4651"/>
      <c r="AL18" s="4651"/>
      <c r="AM18" s="4651"/>
      <c r="AN18" s="4651"/>
      <c r="AO18" s="4651"/>
      <c r="AP18" s="4651"/>
      <c r="AQ18" s="4651"/>
      <c r="AR18" s="4651"/>
      <c r="AS18" s="4651"/>
      <c r="AT18" s="4651"/>
      <c r="AU18" s="4651"/>
      <c r="AV18" s="4651"/>
      <c r="AW18" s="4651"/>
      <c r="AX18" s="4651"/>
      <c r="AY18" s="4651"/>
      <c r="AZ18" s="4651"/>
      <c r="BA18" s="4651"/>
      <c r="BB18" s="4651"/>
      <c r="BC18" s="4651"/>
      <c r="BD18" s="4651"/>
      <c r="BE18" s="4651"/>
      <c r="BF18" s="4651"/>
      <c r="BG18" s="4651"/>
      <c r="BH18" s="4651"/>
      <c r="BI18" s="4651"/>
      <c r="BJ18" s="4651"/>
      <c r="BK18" s="4651"/>
      <c r="BL18" s="4651"/>
      <c r="BM18" s="4651"/>
      <c r="BN18" s="4651"/>
      <c r="BO18" s="4651"/>
      <c r="BP18" s="4651"/>
      <c r="BQ18" s="4651"/>
      <c r="BR18" s="4651"/>
      <c r="BS18" s="4651"/>
      <c r="BT18" s="4651"/>
      <c r="BU18" s="4651"/>
      <c r="BV18" s="4651"/>
      <c r="BW18" s="4651"/>
      <c r="BX18" s="4652"/>
      <c r="BY18" s="4653"/>
      <c r="BZ18" s="4653"/>
      <c r="CA18" s="4685" t="str">
        <f t="shared" si="5"/>
        <v/>
      </c>
      <c r="CB18" s="4685" t="str">
        <f t="shared" si="0"/>
        <v/>
      </c>
      <c r="CC18" s="4685" t="str">
        <f t="shared" si="6"/>
        <v/>
      </c>
      <c r="CD18" s="4685" t="str">
        <f t="shared" si="7"/>
        <v/>
      </c>
      <c r="CE18" s="4655"/>
      <c r="CF18" s="4655"/>
      <c r="CG18" s="4654"/>
      <c r="CH18" s="4654"/>
      <c r="CI18" s="4654"/>
      <c r="CJ18" s="4654"/>
      <c r="CK18" s="4654"/>
      <c r="CL18" s="4654"/>
      <c r="CM18" s="4654"/>
      <c r="CN18" s="4654"/>
      <c r="CO18" s="4654"/>
      <c r="CP18" s="4654"/>
      <c r="CQ18" s="4654"/>
      <c r="CR18" s="4654"/>
      <c r="CS18" s="4654"/>
      <c r="CT18" s="4654"/>
      <c r="CU18" s="4654"/>
      <c r="CV18" s="4654"/>
      <c r="CW18" s="4654"/>
      <c r="CX18" s="4654"/>
      <c r="CY18" s="4654"/>
      <c r="CZ18" s="4654"/>
      <c r="DA18" s="4686">
        <f t="shared" si="1"/>
        <v>0</v>
      </c>
      <c r="DB18" s="4686">
        <f>IF(M18&gt;$C18,1,0)</f>
        <v>0</v>
      </c>
      <c r="DC18" s="4686">
        <f>IF(N18&gt;$C18,1,0)</f>
        <v>0</v>
      </c>
      <c r="DD18" s="4686">
        <f>IF(O18&gt;$C18,1,0)</f>
        <v>0</v>
      </c>
      <c r="DE18" s="4687"/>
      <c r="DF18" s="4687"/>
      <c r="DG18" s="4687"/>
      <c r="DH18" s="4687"/>
      <c r="DI18" s="4687"/>
      <c r="DJ18" s="4687"/>
      <c r="DK18" s="4687"/>
      <c r="DL18" s="4687"/>
      <c r="DM18" s="4687"/>
      <c r="DN18" s="4687"/>
      <c r="DO18" s="4687"/>
      <c r="DP18" s="4687"/>
      <c r="DQ18" s="4653"/>
      <c r="DR18" s="4653"/>
      <c r="DS18" s="4653"/>
      <c r="DT18" s="4653"/>
      <c r="DU18" s="4653"/>
      <c r="DV18" s="4653"/>
      <c r="DW18" s="4653"/>
      <c r="DX18" s="4653"/>
      <c r="DY18" s="4653"/>
      <c r="DZ18" s="4653"/>
      <c r="EA18" s="4653"/>
      <c r="EB18" s="4653"/>
      <c r="EC18" s="4653"/>
      <c r="ED18" s="4653"/>
      <c r="EE18" s="4653"/>
      <c r="EF18" s="4653"/>
      <c r="EG18" s="4653"/>
      <c r="EH18" s="4653"/>
      <c r="EI18" s="4653"/>
      <c r="EJ18" s="4653"/>
      <c r="EK18" s="4653"/>
      <c r="EL18" s="4653"/>
      <c r="EM18" s="4653"/>
      <c r="EN18" s="4653"/>
      <c r="EO18" s="4653"/>
      <c r="EP18" s="4653"/>
      <c r="EQ18" s="4653"/>
      <c r="ER18" s="4653"/>
      <c r="ES18" s="4653"/>
      <c r="ET18" s="4653"/>
      <c r="EU18" s="4653"/>
      <c r="EV18" s="4653"/>
      <c r="EW18" s="4653"/>
      <c r="EX18" s="4653"/>
      <c r="EY18" s="4653"/>
      <c r="EZ18" s="4653"/>
      <c r="FA18" s="4653"/>
      <c r="FB18" s="4653"/>
      <c r="FC18" s="4653"/>
      <c r="FD18" s="4653"/>
      <c r="FE18" s="4653"/>
      <c r="FF18" s="4653"/>
      <c r="FG18" s="4653"/>
      <c r="FH18" s="4653"/>
      <c r="FI18" s="4653"/>
      <c r="FJ18" s="4653"/>
      <c r="FK18" s="4653"/>
      <c r="FL18" s="4653"/>
      <c r="FM18" s="4653"/>
      <c r="FN18" s="4653"/>
      <c r="FO18" s="4653"/>
      <c r="FP18" s="4653"/>
      <c r="FQ18" s="4653"/>
      <c r="FR18" s="4653"/>
      <c r="FS18" s="4653"/>
      <c r="FT18" s="4653"/>
      <c r="FU18" s="4653"/>
      <c r="FV18" s="4653"/>
      <c r="FW18" s="4653"/>
      <c r="FX18" s="4653"/>
      <c r="FY18" s="4653"/>
      <c r="FZ18" s="4653"/>
      <c r="GA18" s="4653"/>
      <c r="GB18" s="4653"/>
      <c r="GC18" s="4653"/>
      <c r="GD18" s="4653"/>
      <c r="GE18" s="4653"/>
      <c r="GF18" s="4653"/>
      <c r="GG18" s="4653"/>
      <c r="GH18" s="4653"/>
      <c r="GI18" s="4653"/>
      <c r="GJ18" s="4653"/>
      <c r="GK18" s="4653"/>
      <c r="GL18" s="4653"/>
      <c r="GM18" s="4653"/>
      <c r="GN18" s="4653"/>
      <c r="GO18" s="4653"/>
      <c r="GP18" s="4653"/>
      <c r="GQ18" s="4653"/>
      <c r="GR18" s="4653"/>
      <c r="GS18" s="4653"/>
      <c r="GT18" s="4653"/>
      <c r="GU18" s="4653"/>
      <c r="GV18" s="4653"/>
      <c r="GW18" s="4653"/>
      <c r="GX18" s="4653"/>
      <c r="GY18" s="4653"/>
      <c r="GZ18" s="4653"/>
      <c r="HA18" s="4653"/>
      <c r="HB18" s="4653"/>
      <c r="HC18" s="4653"/>
      <c r="HD18" s="4653"/>
      <c r="HE18" s="4653"/>
      <c r="HF18" s="4653"/>
      <c r="HG18" s="4653"/>
      <c r="HH18" s="4653"/>
      <c r="HI18" s="4653"/>
      <c r="HJ18" s="4653"/>
      <c r="HK18" s="4653"/>
      <c r="HL18" s="4653"/>
      <c r="HM18" s="4653"/>
      <c r="HN18" s="4653"/>
      <c r="HO18" s="4653"/>
      <c r="HP18" s="4653"/>
      <c r="HQ18" s="4653"/>
      <c r="HR18" s="4653"/>
      <c r="HS18" s="4653"/>
      <c r="HT18" s="4653"/>
      <c r="HU18" s="4653"/>
      <c r="HV18" s="4653"/>
      <c r="HW18" s="4653"/>
      <c r="HX18" s="4653"/>
      <c r="HY18" s="4653"/>
      <c r="HZ18" s="4653"/>
    </row>
    <row r="19" spans="1:234" s="4688" customFormat="1" ht="17.25" customHeight="1" x14ac:dyDescent="0.2">
      <c r="A19" s="10211" t="s">
        <v>1717</v>
      </c>
      <c r="B19" s="10216"/>
      <c r="C19" s="4673">
        <f t="shared" si="8"/>
        <v>0</v>
      </c>
      <c r="D19" s="4689"/>
      <c r="E19" s="4690"/>
      <c r="F19" s="4690"/>
      <c r="G19" s="4691"/>
      <c r="H19" s="4692"/>
      <c r="I19" s="4693"/>
      <c r="J19" s="4694"/>
      <c r="K19" s="4692"/>
      <c r="L19" s="4691"/>
      <c r="M19" s="4696"/>
      <c r="N19" s="4682"/>
      <c r="O19" s="4682"/>
      <c r="P19" s="4682"/>
      <c r="Q19" s="4683" t="str">
        <f t="shared" si="4"/>
        <v/>
      </c>
      <c r="R19" s="4684"/>
      <c r="S19" s="4684"/>
      <c r="T19" s="4684"/>
      <c r="U19" s="4684"/>
      <c r="V19" s="4684"/>
      <c r="W19" s="4684"/>
      <c r="X19" s="4684"/>
      <c r="Y19" s="4657"/>
      <c r="Z19" s="4657"/>
      <c r="AA19" s="4657"/>
      <c r="AB19" s="4651"/>
      <c r="AC19" s="4651"/>
      <c r="AD19" s="4651"/>
      <c r="AE19" s="4651"/>
      <c r="AF19" s="4651"/>
      <c r="AG19" s="4651"/>
      <c r="AH19" s="4651"/>
      <c r="AI19" s="4651"/>
      <c r="AJ19" s="4651"/>
      <c r="AK19" s="4651"/>
      <c r="AL19" s="4651"/>
      <c r="AM19" s="4651"/>
      <c r="AN19" s="4651"/>
      <c r="AO19" s="4651"/>
      <c r="AP19" s="4651"/>
      <c r="AQ19" s="4651"/>
      <c r="AR19" s="4651"/>
      <c r="AS19" s="4651"/>
      <c r="AT19" s="4651"/>
      <c r="AU19" s="4651"/>
      <c r="AV19" s="4651"/>
      <c r="AW19" s="4651"/>
      <c r="AX19" s="4651"/>
      <c r="AY19" s="4651"/>
      <c r="AZ19" s="4651"/>
      <c r="BA19" s="4651"/>
      <c r="BB19" s="4651"/>
      <c r="BC19" s="4651"/>
      <c r="BD19" s="4651"/>
      <c r="BE19" s="4651"/>
      <c r="BF19" s="4651"/>
      <c r="BG19" s="4651"/>
      <c r="BH19" s="4651"/>
      <c r="BI19" s="4651"/>
      <c r="BJ19" s="4651"/>
      <c r="BK19" s="4651"/>
      <c r="BL19" s="4651"/>
      <c r="BM19" s="4651"/>
      <c r="BN19" s="4651"/>
      <c r="BO19" s="4651"/>
      <c r="BP19" s="4651"/>
      <c r="BQ19" s="4651"/>
      <c r="BR19" s="4651"/>
      <c r="BS19" s="4651"/>
      <c r="BT19" s="4651"/>
      <c r="BU19" s="4651"/>
      <c r="BV19" s="4651"/>
      <c r="BW19" s="4651"/>
      <c r="BX19" s="4652"/>
      <c r="BY19" s="4653"/>
      <c r="BZ19" s="4653"/>
      <c r="CA19" s="4685" t="str">
        <f t="shared" si="5"/>
        <v/>
      </c>
      <c r="CB19" s="4685" t="str">
        <f t="shared" si="0"/>
        <v/>
      </c>
      <c r="CC19" s="4685" t="str">
        <f t="shared" si="6"/>
        <v/>
      </c>
      <c r="CD19" s="4685" t="str">
        <f t="shared" si="7"/>
        <v/>
      </c>
      <c r="CE19" s="4655"/>
      <c r="CF19" s="4655"/>
      <c r="CG19" s="4654"/>
      <c r="CH19" s="4654"/>
      <c r="CI19" s="4654"/>
      <c r="CJ19" s="4654"/>
      <c r="CK19" s="4654"/>
      <c r="CL19" s="4654"/>
      <c r="CM19" s="4654"/>
      <c r="CN19" s="4654"/>
      <c r="CO19" s="4654"/>
      <c r="CP19" s="4654"/>
      <c r="CQ19" s="4654"/>
      <c r="CR19" s="4654"/>
      <c r="CS19" s="4654"/>
      <c r="CT19" s="4654"/>
      <c r="CU19" s="4654"/>
      <c r="CV19" s="4654"/>
      <c r="CW19" s="4654"/>
      <c r="CX19" s="4654"/>
      <c r="CY19" s="4654"/>
      <c r="CZ19" s="4654"/>
      <c r="DA19" s="4686">
        <f t="shared" si="1"/>
        <v>0</v>
      </c>
      <c r="DB19" s="4686">
        <f>IF(M19&gt;C19,1,0)</f>
        <v>0</v>
      </c>
      <c r="DC19" s="4686">
        <f t="shared" ref="DC19:DC35" si="9">IF(N19&gt;$C19,1,0)</f>
        <v>0</v>
      </c>
      <c r="DD19" s="4686">
        <f t="shared" ref="DD19:DD35" si="10">IF(O19&gt;$C19,1,0)</f>
        <v>0</v>
      </c>
      <c r="DE19" s="4687"/>
      <c r="DF19" s="4687"/>
      <c r="DG19" s="4687"/>
      <c r="DH19" s="4687"/>
      <c r="DI19" s="4687"/>
      <c r="DJ19" s="4687"/>
      <c r="DK19" s="4687"/>
      <c r="DL19" s="4687"/>
      <c r="DM19" s="4687"/>
      <c r="DN19" s="4687"/>
      <c r="DO19" s="4687"/>
      <c r="DP19" s="4687"/>
      <c r="DQ19" s="4653"/>
      <c r="DR19" s="4653"/>
      <c r="DS19" s="4653"/>
      <c r="DT19" s="4653"/>
      <c r="DU19" s="4653"/>
      <c r="DV19" s="4653"/>
      <c r="DW19" s="4653"/>
      <c r="DX19" s="4653"/>
      <c r="DY19" s="4653"/>
      <c r="DZ19" s="4653"/>
      <c r="EA19" s="4653"/>
      <c r="EB19" s="4653"/>
      <c r="EC19" s="4653"/>
      <c r="ED19" s="4653"/>
      <c r="EE19" s="4653"/>
      <c r="EF19" s="4653"/>
      <c r="EG19" s="4653"/>
      <c r="EH19" s="4653"/>
      <c r="EI19" s="4653"/>
      <c r="EJ19" s="4653"/>
      <c r="EK19" s="4653"/>
      <c r="EL19" s="4653"/>
      <c r="EM19" s="4653"/>
      <c r="EN19" s="4653"/>
      <c r="EO19" s="4653"/>
      <c r="EP19" s="4653"/>
      <c r="EQ19" s="4653"/>
      <c r="ER19" s="4653"/>
      <c r="ES19" s="4653"/>
      <c r="ET19" s="4653"/>
      <c r="EU19" s="4653"/>
      <c r="EV19" s="4653"/>
      <c r="EW19" s="4653"/>
      <c r="EX19" s="4653"/>
      <c r="EY19" s="4653"/>
      <c r="EZ19" s="4653"/>
      <c r="FA19" s="4653"/>
      <c r="FB19" s="4653"/>
      <c r="FC19" s="4653"/>
      <c r="FD19" s="4653"/>
      <c r="FE19" s="4653"/>
      <c r="FF19" s="4653"/>
      <c r="FG19" s="4653"/>
      <c r="FH19" s="4653"/>
      <c r="FI19" s="4653"/>
      <c r="FJ19" s="4653"/>
      <c r="FK19" s="4653"/>
      <c r="FL19" s="4653"/>
      <c r="FM19" s="4653"/>
      <c r="FN19" s="4653"/>
      <c r="FO19" s="4653"/>
      <c r="FP19" s="4653"/>
      <c r="FQ19" s="4653"/>
      <c r="FR19" s="4653"/>
      <c r="FS19" s="4653"/>
      <c r="FT19" s="4653"/>
      <c r="FU19" s="4653"/>
      <c r="FV19" s="4653"/>
      <c r="FW19" s="4653"/>
      <c r="FX19" s="4653"/>
      <c r="FY19" s="4653"/>
      <c r="FZ19" s="4653"/>
      <c r="GA19" s="4653"/>
      <c r="GB19" s="4653"/>
      <c r="GC19" s="4653"/>
      <c r="GD19" s="4653"/>
      <c r="GE19" s="4653"/>
      <c r="GF19" s="4653"/>
      <c r="GG19" s="4653"/>
      <c r="GH19" s="4653"/>
      <c r="GI19" s="4653"/>
      <c r="GJ19" s="4653"/>
      <c r="GK19" s="4653"/>
      <c r="GL19" s="4653"/>
      <c r="GM19" s="4653"/>
      <c r="GN19" s="4653"/>
      <c r="GO19" s="4653"/>
      <c r="GP19" s="4653"/>
      <c r="GQ19" s="4653"/>
      <c r="GR19" s="4653"/>
      <c r="GS19" s="4653"/>
      <c r="GT19" s="4653"/>
      <c r="GU19" s="4653"/>
      <c r="GV19" s="4653"/>
      <c r="GW19" s="4653"/>
      <c r="GX19" s="4653"/>
      <c r="GY19" s="4653"/>
      <c r="GZ19" s="4653"/>
      <c r="HA19" s="4653"/>
      <c r="HB19" s="4653"/>
      <c r="HC19" s="4653"/>
      <c r="HD19" s="4653"/>
      <c r="HE19" s="4653"/>
      <c r="HF19" s="4653"/>
      <c r="HG19" s="4653"/>
      <c r="HH19" s="4653"/>
      <c r="HI19" s="4653"/>
      <c r="HJ19" s="4653"/>
      <c r="HK19" s="4653"/>
      <c r="HL19" s="4653"/>
      <c r="HM19" s="4653"/>
      <c r="HN19" s="4653"/>
      <c r="HO19" s="4653"/>
      <c r="HP19" s="4653"/>
      <c r="HQ19" s="4653"/>
      <c r="HR19" s="4653"/>
      <c r="HS19" s="4653"/>
      <c r="HT19" s="4653"/>
      <c r="HU19" s="4653"/>
      <c r="HV19" s="4653"/>
      <c r="HW19" s="4653"/>
      <c r="HX19" s="4653"/>
      <c r="HY19" s="4653"/>
      <c r="HZ19" s="4653"/>
    </row>
    <row r="20" spans="1:234" s="4688" customFormat="1" ht="17.25" customHeight="1" x14ac:dyDescent="0.2">
      <c r="A20" s="10211" t="s">
        <v>1716</v>
      </c>
      <c r="B20" s="10216"/>
      <c r="C20" s="4673">
        <f t="shared" si="8"/>
        <v>0</v>
      </c>
      <c r="D20" s="4689"/>
      <c r="E20" s="4690"/>
      <c r="F20" s="4690"/>
      <c r="G20" s="4691"/>
      <c r="H20" s="4692"/>
      <c r="I20" s="4693"/>
      <c r="J20" s="4694"/>
      <c r="K20" s="4692"/>
      <c r="L20" s="4691"/>
      <c r="M20" s="4696"/>
      <c r="N20" s="4682"/>
      <c r="O20" s="4682"/>
      <c r="P20" s="4682"/>
      <c r="Q20" s="4683" t="str">
        <f t="shared" si="4"/>
        <v/>
      </c>
      <c r="R20" s="4684"/>
      <c r="S20" s="4684"/>
      <c r="T20" s="4684"/>
      <c r="U20" s="4684"/>
      <c r="V20" s="4684"/>
      <c r="W20" s="4684"/>
      <c r="X20" s="4684"/>
      <c r="Y20" s="4657"/>
      <c r="Z20" s="4657"/>
      <c r="AA20" s="4657"/>
      <c r="AB20" s="4651"/>
      <c r="AC20" s="4651"/>
      <c r="AD20" s="4651"/>
      <c r="AE20" s="4651"/>
      <c r="AF20" s="4651"/>
      <c r="AG20" s="4651"/>
      <c r="AH20" s="4651"/>
      <c r="AI20" s="4651"/>
      <c r="AJ20" s="4651"/>
      <c r="AK20" s="4651"/>
      <c r="AL20" s="4651"/>
      <c r="AM20" s="4651"/>
      <c r="AN20" s="4651"/>
      <c r="AO20" s="4651"/>
      <c r="AP20" s="4651"/>
      <c r="AQ20" s="4651"/>
      <c r="AR20" s="4651"/>
      <c r="AS20" s="4651"/>
      <c r="AT20" s="4651"/>
      <c r="AU20" s="4651"/>
      <c r="AV20" s="4651"/>
      <c r="AW20" s="4651"/>
      <c r="AX20" s="4651"/>
      <c r="AY20" s="4651"/>
      <c r="AZ20" s="4651"/>
      <c r="BA20" s="4651"/>
      <c r="BB20" s="4651"/>
      <c r="BC20" s="4651"/>
      <c r="BD20" s="4651"/>
      <c r="BE20" s="4651"/>
      <c r="BF20" s="4651"/>
      <c r="BG20" s="4651"/>
      <c r="BH20" s="4651"/>
      <c r="BI20" s="4651"/>
      <c r="BJ20" s="4651"/>
      <c r="BK20" s="4651"/>
      <c r="BL20" s="4651"/>
      <c r="BM20" s="4651"/>
      <c r="BN20" s="4651"/>
      <c r="BO20" s="4651"/>
      <c r="BP20" s="4651"/>
      <c r="BQ20" s="4651"/>
      <c r="BR20" s="4651"/>
      <c r="BS20" s="4651"/>
      <c r="BT20" s="4651"/>
      <c r="BU20" s="4651"/>
      <c r="BV20" s="4651"/>
      <c r="BW20" s="4651"/>
      <c r="BX20" s="4652"/>
      <c r="BY20" s="4653"/>
      <c r="BZ20" s="4653"/>
      <c r="CA20" s="4685" t="str">
        <f t="shared" si="5"/>
        <v/>
      </c>
      <c r="CB20" s="4685" t="str">
        <f t="shared" si="0"/>
        <v/>
      </c>
      <c r="CC20" s="4685" t="str">
        <f t="shared" si="6"/>
        <v/>
      </c>
      <c r="CD20" s="4685" t="str">
        <f t="shared" si="7"/>
        <v/>
      </c>
      <c r="CE20" s="4655"/>
      <c r="CF20" s="4655"/>
      <c r="CG20" s="4654"/>
      <c r="CH20" s="4654"/>
      <c r="CI20" s="4654"/>
      <c r="CJ20" s="4654"/>
      <c r="CK20" s="4654"/>
      <c r="CL20" s="4654"/>
      <c r="CM20" s="4654"/>
      <c r="CN20" s="4654"/>
      <c r="CO20" s="4654"/>
      <c r="CP20" s="4654"/>
      <c r="CQ20" s="4654"/>
      <c r="CR20" s="4654"/>
      <c r="CS20" s="4654"/>
      <c r="CT20" s="4654"/>
      <c r="CU20" s="4654"/>
      <c r="CV20" s="4654"/>
      <c r="CW20" s="4654"/>
      <c r="CX20" s="4654"/>
      <c r="CY20" s="4654"/>
      <c r="CZ20" s="4654"/>
      <c r="DA20" s="4686">
        <f t="shared" si="1"/>
        <v>0</v>
      </c>
      <c r="DB20" s="4686">
        <f>IF(M20&gt;C20,1,0)</f>
        <v>0</v>
      </c>
      <c r="DC20" s="4686">
        <f t="shared" si="9"/>
        <v>0</v>
      </c>
      <c r="DD20" s="4686">
        <f t="shared" si="10"/>
        <v>0</v>
      </c>
      <c r="DE20" s="4687"/>
      <c r="DF20" s="4687"/>
      <c r="DG20" s="4687"/>
      <c r="DH20" s="4687"/>
      <c r="DI20" s="4687"/>
      <c r="DJ20" s="4687"/>
      <c r="DK20" s="4687"/>
      <c r="DL20" s="4687"/>
      <c r="DM20" s="4687"/>
      <c r="DN20" s="4687"/>
      <c r="DO20" s="4687"/>
      <c r="DP20" s="4687"/>
      <c r="DQ20" s="4653"/>
      <c r="DR20" s="4653"/>
      <c r="DS20" s="4653"/>
      <c r="DT20" s="4653"/>
      <c r="DU20" s="4653"/>
      <c r="DV20" s="4653"/>
      <c r="DW20" s="4653"/>
      <c r="DX20" s="4653"/>
      <c r="DY20" s="4653"/>
      <c r="DZ20" s="4653"/>
      <c r="EA20" s="4653"/>
      <c r="EB20" s="4653"/>
      <c r="EC20" s="4653"/>
      <c r="ED20" s="4653"/>
      <c r="EE20" s="4653"/>
      <c r="EF20" s="4653"/>
      <c r="EG20" s="4653"/>
      <c r="EH20" s="4653"/>
      <c r="EI20" s="4653"/>
      <c r="EJ20" s="4653"/>
      <c r="EK20" s="4653"/>
      <c r="EL20" s="4653"/>
      <c r="EM20" s="4653"/>
      <c r="EN20" s="4653"/>
      <c r="EO20" s="4653"/>
      <c r="EP20" s="4653"/>
      <c r="EQ20" s="4653"/>
      <c r="ER20" s="4653"/>
      <c r="ES20" s="4653"/>
      <c r="ET20" s="4653"/>
      <c r="EU20" s="4653"/>
      <c r="EV20" s="4653"/>
      <c r="EW20" s="4653"/>
      <c r="EX20" s="4653"/>
      <c r="EY20" s="4653"/>
      <c r="EZ20" s="4653"/>
      <c r="FA20" s="4653"/>
      <c r="FB20" s="4653"/>
      <c r="FC20" s="4653"/>
      <c r="FD20" s="4653"/>
      <c r="FE20" s="4653"/>
      <c r="FF20" s="4653"/>
      <c r="FG20" s="4653"/>
      <c r="FH20" s="4653"/>
      <c r="FI20" s="4653"/>
      <c r="FJ20" s="4653"/>
      <c r="FK20" s="4653"/>
      <c r="FL20" s="4653"/>
      <c r="FM20" s="4653"/>
      <c r="FN20" s="4653"/>
      <c r="FO20" s="4653"/>
      <c r="FP20" s="4653"/>
      <c r="FQ20" s="4653"/>
      <c r="FR20" s="4653"/>
      <c r="FS20" s="4653"/>
      <c r="FT20" s="4653"/>
      <c r="FU20" s="4653"/>
      <c r="FV20" s="4653"/>
      <c r="FW20" s="4653"/>
      <c r="FX20" s="4653"/>
      <c r="FY20" s="4653"/>
      <c r="FZ20" s="4653"/>
      <c r="GA20" s="4653"/>
      <c r="GB20" s="4653"/>
      <c r="GC20" s="4653"/>
      <c r="GD20" s="4653"/>
      <c r="GE20" s="4653"/>
      <c r="GF20" s="4653"/>
      <c r="GG20" s="4653"/>
      <c r="GH20" s="4653"/>
      <c r="GI20" s="4653"/>
      <c r="GJ20" s="4653"/>
      <c r="GK20" s="4653"/>
      <c r="GL20" s="4653"/>
      <c r="GM20" s="4653"/>
      <c r="GN20" s="4653"/>
      <c r="GO20" s="4653"/>
      <c r="GP20" s="4653"/>
      <c r="GQ20" s="4653"/>
      <c r="GR20" s="4653"/>
      <c r="GS20" s="4653"/>
      <c r="GT20" s="4653"/>
      <c r="GU20" s="4653"/>
      <c r="GV20" s="4653"/>
      <c r="GW20" s="4653"/>
      <c r="GX20" s="4653"/>
      <c r="GY20" s="4653"/>
      <c r="GZ20" s="4653"/>
      <c r="HA20" s="4653"/>
      <c r="HB20" s="4653"/>
      <c r="HC20" s="4653"/>
      <c r="HD20" s="4653"/>
      <c r="HE20" s="4653"/>
      <c r="HF20" s="4653"/>
      <c r="HG20" s="4653"/>
      <c r="HH20" s="4653"/>
      <c r="HI20" s="4653"/>
      <c r="HJ20" s="4653"/>
      <c r="HK20" s="4653"/>
      <c r="HL20" s="4653"/>
      <c r="HM20" s="4653"/>
      <c r="HN20" s="4653"/>
      <c r="HO20" s="4653"/>
      <c r="HP20" s="4653"/>
      <c r="HQ20" s="4653"/>
      <c r="HR20" s="4653"/>
      <c r="HS20" s="4653"/>
      <c r="HT20" s="4653"/>
      <c r="HU20" s="4653"/>
      <c r="HV20" s="4653"/>
      <c r="HW20" s="4653"/>
      <c r="HX20" s="4653"/>
      <c r="HY20" s="4653"/>
      <c r="HZ20" s="4653"/>
    </row>
    <row r="21" spans="1:234" s="4688" customFormat="1" ht="25.5" customHeight="1" x14ac:dyDescent="0.2">
      <c r="A21" s="10211" t="s">
        <v>1715</v>
      </c>
      <c r="B21" s="10216"/>
      <c r="C21" s="4673">
        <f t="shared" si="8"/>
        <v>0</v>
      </c>
      <c r="D21" s="4689"/>
      <c r="E21" s="4690"/>
      <c r="F21" s="4690"/>
      <c r="G21" s="4691"/>
      <c r="H21" s="4692"/>
      <c r="I21" s="4693"/>
      <c r="J21" s="4694"/>
      <c r="K21" s="4692"/>
      <c r="L21" s="4691"/>
      <c r="M21" s="4695"/>
      <c r="N21" s="4682"/>
      <c r="O21" s="4682"/>
      <c r="P21" s="4682"/>
      <c r="Q21" s="4683" t="str">
        <f t="shared" si="4"/>
        <v/>
      </c>
      <c r="R21" s="4684"/>
      <c r="S21" s="4684"/>
      <c r="T21" s="4684"/>
      <c r="U21" s="4684"/>
      <c r="V21" s="4684"/>
      <c r="W21" s="4684"/>
      <c r="X21" s="4684"/>
      <c r="Y21" s="4657"/>
      <c r="Z21" s="4657"/>
      <c r="AA21" s="4657"/>
      <c r="AB21" s="4651"/>
      <c r="AC21" s="4651"/>
      <c r="AD21" s="4651"/>
      <c r="AE21" s="4651"/>
      <c r="AF21" s="4651"/>
      <c r="AG21" s="4651"/>
      <c r="AH21" s="4651"/>
      <c r="AI21" s="4651"/>
      <c r="AJ21" s="4651"/>
      <c r="AK21" s="4651"/>
      <c r="AL21" s="4651"/>
      <c r="AM21" s="4651"/>
      <c r="AN21" s="4651"/>
      <c r="AO21" s="4651"/>
      <c r="AP21" s="4651"/>
      <c r="AQ21" s="4651"/>
      <c r="AR21" s="4651"/>
      <c r="AS21" s="4651"/>
      <c r="AT21" s="4651"/>
      <c r="AU21" s="4651"/>
      <c r="AV21" s="4651"/>
      <c r="AW21" s="4651"/>
      <c r="AX21" s="4651"/>
      <c r="AY21" s="4651"/>
      <c r="AZ21" s="4651"/>
      <c r="BA21" s="4651"/>
      <c r="BB21" s="4651"/>
      <c r="BC21" s="4651"/>
      <c r="BD21" s="4651"/>
      <c r="BE21" s="4651"/>
      <c r="BF21" s="4651"/>
      <c r="BG21" s="4651"/>
      <c r="BH21" s="4651"/>
      <c r="BI21" s="4651"/>
      <c r="BJ21" s="4651"/>
      <c r="BK21" s="4651"/>
      <c r="BL21" s="4651"/>
      <c r="BM21" s="4651"/>
      <c r="BN21" s="4651"/>
      <c r="BO21" s="4651"/>
      <c r="BP21" s="4651"/>
      <c r="BQ21" s="4651"/>
      <c r="BR21" s="4651"/>
      <c r="BS21" s="4651"/>
      <c r="BT21" s="4651"/>
      <c r="BU21" s="4651"/>
      <c r="BV21" s="4651"/>
      <c r="BW21" s="4651"/>
      <c r="BX21" s="4652"/>
      <c r="BY21" s="4653"/>
      <c r="BZ21" s="4653"/>
      <c r="CA21" s="4685" t="str">
        <f t="shared" si="5"/>
        <v/>
      </c>
      <c r="CB21" s="4655" t="str">
        <f t="shared" si="0"/>
        <v/>
      </c>
      <c r="CC21" s="4685" t="str">
        <f t="shared" si="6"/>
        <v/>
      </c>
      <c r="CD21" s="4685" t="str">
        <f t="shared" si="7"/>
        <v/>
      </c>
      <c r="CE21" s="4655"/>
      <c r="CF21" s="4655"/>
      <c r="CG21" s="4654"/>
      <c r="CH21" s="4654"/>
      <c r="CI21" s="4654"/>
      <c r="CJ21" s="4654"/>
      <c r="CK21" s="4654"/>
      <c r="CL21" s="4654"/>
      <c r="CM21" s="4654"/>
      <c r="CN21" s="4654"/>
      <c r="CO21" s="4654"/>
      <c r="CP21" s="4654"/>
      <c r="CQ21" s="4654"/>
      <c r="CR21" s="4654"/>
      <c r="CS21" s="4654"/>
      <c r="CT21" s="4654"/>
      <c r="CU21" s="4654"/>
      <c r="CV21" s="4654"/>
      <c r="CW21" s="4654"/>
      <c r="CX21" s="4654"/>
      <c r="CY21" s="4654"/>
      <c r="CZ21" s="4654"/>
      <c r="DA21" s="4686">
        <f t="shared" si="1"/>
        <v>0</v>
      </c>
      <c r="DB21" s="4656"/>
      <c r="DC21" s="4686">
        <f t="shared" si="9"/>
        <v>0</v>
      </c>
      <c r="DD21" s="4686">
        <f t="shared" si="10"/>
        <v>0</v>
      </c>
      <c r="DE21" s="4687"/>
      <c r="DF21" s="4687"/>
      <c r="DG21" s="4687"/>
      <c r="DH21" s="4687"/>
      <c r="DI21" s="4687"/>
      <c r="DJ21" s="4687"/>
      <c r="DK21" s="4687"/>
      <c r="DL21" s="4687"/>
      <c r="DM21" s="4687"/>
      <c r="DN21" s="4687"/>
      <c r="DO21" s="4687"/>
      <c r="DP21" s="4687"/>
      <c r="DQ21" s="4653"/>
      <c r="DR21" s="4653"/>
      <c r="DS21" s="4653"/>
      <c r="DT21" s="4653"/>
      <c r="DU21" s="4653"/>
      <c r="DV21" s="4653"/>
      <c r="DW21" s="4653"/>
      <c r="DX21" s="4653"/>
      <c r="DY21" s="4653"/>
      <c r="DZ21" s="4653"/>
      <c r="EA21" s="4653"/>
      <c r="EB21" s="4653"/>
      <c r="EC21" s="4653"/>
      <c r="ED21" s="4653"/>
      <c r="EE21" s="4653"/>
      <c r="EF21" s="4653"/>
      <c r="EG21" s="4653"/>
      <c r="EH21" s="4653"/>
      <c r="EI21" s="4653"/>
      <c r="EJ21" s="4653"/>
      <c r="EK21" s="4653"/>
      <c r="EL21" s="4653"/>
      <c r="EM21" s="4653"/>
      <c r="EN21" s="4653"/>
      <c r="EO21" s="4653"/>
      <c r="EP21" s="4653"/>
      <c r="EQ21" s="4653"/>
      <c r="ER21" s="4653"/>
      <c r="ES21" s="4653"/>
      <c r="ET21" s="4653"/>
      <c r="EU21" s="4653"/>
      <c r="EV21" s="4653"/>
      <c r="EW21" s="4653"/>
      <c r="EX21" s="4653"/>
      <c r="EY21" s="4653"/>
      <c r="EZ21" s="4653"/>
      <c r="FA21" s="4653"/>
      <c r="FB21" s="4653"/>
      <c r="FC21" s="4653"/>
      <c r="FD21" s="4653"/>
      <c r="FE21" s="4653"/>
      <c r="FF21" s="4653"/>
      <c r="FG21" s="4653"/>
      <c r="FH21" s="4653"/>
      <c r="FI21" s="4653"/>
      <c r="FJ21" s="4653"/>
      <c r="FK21" s="4653"/>
      <c r="FL21" s="4653"/>
      <c r="FM21" s="4653"/>
      <c r="FN21" s="4653"/>
      <c r="FO21" s="4653"/>
      <c r="FP21" s="4653"/>
      <c r="FQ21" s="4653"/>
      <c r="FR21" s="4653"/>
      <c r="FS21" s="4653"/>
      <c r="FT21" s="4653"/>
      <c r="FU21" s="4653"/>
      <c r="FV21" s="4653"/>
      <c r="FW21" s="4653"/>
      <c r="FX21" s="4653"/>
      <c r="FY21" s="4653"/>
      <c r="FZ21" s="4653"/>
      <c r="GA21" s="4653"/>
      <c r="GB21" s="4653"/>
      <c r="GC21" s="4653"/>
      <c r="GD21" s="4653"/>
      <c r="GE21" s="4653"/>
      <c r="GF21" s="4653"/>
      <c r="GG21" s="4653"/>
      <c r="GH21" s="4653"/>
      <c r="GI21" s="4653"/>
      <c r="GJ21" s="4653"/>
      <c r="GK21" s="4653"/>
      <c r="GL21" s="4653"/>
      <c r="GM21" s="4653"/>
      <c r="GN21" s="4653"/>
      <c r="GO21" s="4653"/>
      <c r="GP21" s="4653"/>
      <c r="GQ21" s="4653"/>
      <c r="GR21" s="4653"/>
      <c r="GS21" s="4653"/>
      <c r="GT21" s="4653"/>
      <c r="GU21" s="4653"/>
      <c r="GV21" s="4653"/>
      <c r="GW21" s="4653"/>
      <c r="GX21" s="4653"/>
      <c r="GY21" s="4653"/>
      <c r="GZ21" s="4653"/>
      <c r="HA21" s="4653"/>
      <c r="HB21" s="4653"/>
      <c r="HC21" s="4653"/>
      <c r="HD21" s="4653"/>
      <c r="HE21" s="4653"/>
      <c r="HF21" s="4653"/>
      <c r="HG21" s="4653"/>
      <c r="HH21" s="4653"/>
      <c r="HI21" s="4653"/>
      <c r="HJ21" s="4653"/>
      <c r="HK21" s="4653"/>
      <c r="HL21" s="4653"/>
      <c r="HM21" s="4653"/>
      <c r="HN21" s="4653"/>
      <c r="HO21" s="4653"/>
      <c r="HP21" s="4653"/>
      <c r="HQ21" s="4653"/>
      <c r="HR21" s="4653"/>
      <c r="HS21" s="4653"/>
      <c r="HT21" s="4653"/>
      <c r="HU21" s="4653"/>
      <c r="HV21" s="4653"/>
      <c r="HW21" s="4653"/>
      <c r="HX21" s="4653"/>
      <c r="HY21" s="4653"/>
      <c r="HZ21" s="4653"/>
    </row>
    <row r="22" spans="1:234" s="4688" customFormat="1" ht="17.25" customHeight="1" x14ac:dyDescent="0.2">
      <c r="A22" s="10211" t="s">
        <v>1714</v>
      </c>
      <c r="B22" s="10216"/>
      <c r="C22" s="4673">
        <f t="shared" si="8"/>
        <v>0</v>
      </c>
      <c r="D22" s="4689"/>
      <c r="E22" s="4690"/>
      <c r="F22" s="4690"/>
      <c r="G22" s="4691"/>
      <c r="H22" s="4692"/>
      <c r="I22" s="4693"/>
      <c r="J22" s="4694"/>
      <c r="K22" s="4692"/>
      <c r="L22" s="4691"/>
      <c r="M22" s="4695"/>
      <c r="N22" s="4682"/>
      <c r="O22" s="4682"/>
      <c r="P22" s="4682"/>
      <c r="Q22" s="4683" t="str">
        <f t="shared" si="4"/>
        <v/>
      </c>
      <c r="R22" s="4684"/>
      <c r="S22" s="4684"/>
      <c r="T22" s="4684"/>
      <c r="U22" s="4684"/>
      <c r="V22" s="4684"/>
      <c r="W22" s="4684"/>
      <c r="X22" s="4684"/>
      <c r="Y22" s="4657"/>
      <c r="Z22" s="4657"/>
      <c r="AA22" s="4657"/>
      <c r="AB22" s="4651"/>
      <c r="AC22" s="4651"/>
      <c r="AD22" s="4651"/>
      <c r="AE22" s="4651"/>
      <c r="AF22" s="4651"/>
      <c r="AG22" s="4651"/>
      <c r="AH22" s="4651"/>
      <c r="AI22" s="4651"/>
      <c r="AJ22" s="4651"/>
      <c r="AK22" s="4651"/>
      <c r="AL22" s="4651"/>
      <c r="AM22" s="4651"/>
      <c r="AN22" s="4651"/>
      <c r="AO22" s="4651"/>
      <c r="AP22" s="4651"/>
      <c r="AQ22" s="4651"/>
      <c r="AR22" s="4651"/>
      <c r="AS22" s="4651"/>
      <c r="AT22" s="4651"/>
      <c r="AU22" s="4651"/>
      <c r="AV22" s="4651"/>
      <c r="AW22" s="4651"/>
      <c r="AX22" s="4651"/>
      <c r="AY22" s="4651"/>
      <c r="AZ22" s="4651"/>
      <c r="BA22" s="4651"/>
      <c r="BB22" s="4651"/>
      <c r="BC22" s="4651"/>
      <c r="BD22" s="4651"/>
      <c r="BE22" s="4651"/>
      <c r="BF22" s="4651"/>
      <c r="BG22" s="4651"/>
      <c r="BH22" s="4651"/>
      <c r="BI22" s="4651"/>
      <c r="BJ22" s="4651"/>
      <c r="BK22" s="4651"/>
      <c r="BL22" s="4651"/>
      <c r="BM22" s="4651"/>
      <c r="BN22" s="4651"/>
      <c r="BO22" s="4651"/>
      <c r="BP22" s="4651"/>
      <c r="BQ22" s="4651"/>
      <c r="BR22" s="4651"/>
      <c r="BS22" s="4651"/>
      <c r="BT22" s="4651"/>
      <c r="BU22" s="4651"/>
      <c r="BV22" s="4651"/>
      <c r="BW22" s="4651"/>
      <c r="BX22" s="4652"/>
      <c r="BY22" s="4653"/>
      <c r="BZ22" s="4653"/>
      <c r="CA22" s="4685" t="str">
        <f t="shared" si="5"/>
        <v/>
      </c>
      <c r="CB22" s="4655" t="str">
        <f t="shared" si="0"/>
        <v/>
      </c>
      <c r="CC22" s="4685" t="str">
        <f t="shared" si="6"/>
        <v/>
      </c>
      <c r="CD22" s="4685" t="str">
        <f t="shared" si="7"/>
        <v/>
      </c>
      <c r="CE22" s="4655"/>
      <c r="CF22" s="4655"/>
      <c r="CG22" s="4654"/>
      <c r="CH22" s="4654"/>
      <c r="CI22" s="4654"/>
      <c r="CJ22" s="4654"/>
      <c r="CK22" s="4654"/>
      <c r="CL22" s="4654"/>
      <c r="CM22" s="4654"/>
      <c r="CN22" s="4654"/>
      <c r="CO22" s="4654"/>
      <c r="CP22" s="4654"/>
      <c r="CQ22" s="4654"/>
      <c r="CR22" s="4654"/>
      <c r="CS22" s="4654"/>
      <c r="CT22" s="4654"/>
      <c r="CU22" s="4654"/>
      <c r="CV22" s="4654"/>
      <c r="CW22" s="4654"/>
      <c r="CX22" s="4654"/>
      <c r="CY22" s="4654"/>
      <c r="CZ22" s="4654"/>
      <c r="DA22" s="4686">
        <f t="shared" si="1"/>
        <v>0</v>
      </c>
      <c r="DB22" s="4656"/>
      <c r="DC22" s="4686">
        <f t="shared" si="9"/>
        <v>0</v>
      </c>
      <c r="DD22" s="4686">
        <f t="shared" si="10"/>
        <v>0</v>
      </c>
      <c r="DE22" s="4687"/>
      <c r="DF22" s="4687"/>
      <c r="DG22" s="4687"/>
      <c r="DH22" s="4687"/>
      <c r="DI22" s="4687"/>
      <c r="DJ22" s="4687"/>
      <c r="DK22" s="4687"/>
      <c r="DL22" s="4687"/>
      <c r="DM22" s="4687"/>
      <c r="DN22" s="4687"/>
      <c r="DO22" s="4687"/>
      <c r="DP22" s="4687"/>
      <c r="DQ22" s="4653"/>
      <c r="DR22" s="4653"/>
      <c r="DS22" s="4653"/>
      <c r="DT22" s="4653"/>
      <c r="DU22" s="4653"/>
      <c r="DV22" s="4653"/>
      <c r="DW22" s="4653"/>
      <c r="DX22" s="4653"/>
      <c r="DY22" s="4653"/>
      <c r="DZ22" s="4653"/>
      <c r="EA22" s="4653"/>
      <c r="EB22" s="4653"/>
      <c r="EC22" s="4653"/>
      <c r="ED22" s="4653"/>
      <c r="EE22" s="4653"/>
      <c r="EF22" s="4653"/>
      <c r="EG22" s="4653"/>
      <c r="EH22" s="4653"/>
      <c r="EI22" s="4653"/>
      <c r="EJ22" s="4653"/>
      <c r="EK22" s="4653"/>
      <c r="EL22" s="4653"/>
      <c r="EM22" s="4653"/>
      <c r="EN22" s="4653"/>
      <c r="EO22" s="4653"/>
      <c r="EP22" s="4653"/>
      <c r="EQ22" s="4653"/>
      <c r="ER22" s="4653"/>
      <c r="ES22" s="4653"/>
      <c r="ET22" s="4653"/>
      <c r="EU22" s="4653"/>
      <c r="EV22" s="4653"/>
      <c r="EW22" s="4653"/>
      <c r="EX22" s="4653"/>
      <c r="EY22" s="4653"/>
      <c r="EZ22" s="4653"/>
      <c r="FA22" s="4653"/>
      <c r="FB22" s="4653"/>
      <c r="FC22" s="4653"/>
      <c r="FD22" s="4653"/>
      <c r="FE22" s="4653"/>
      <c r="FF22" s="4653"/>
      <c r="FG22" s="4653"/>
      <c r="FH22" s="4653"/>
      <c r="FI22" s="4653"/>
      <c r="FJ22" s="4653"/>
      <c r="FK22" s="4653"/>
      <c r="FL22" s="4653"/>
      <c r="FM22" s="4653"/>
      <c r="FN22" s="4653"/>
      <c r="FO22" s="4653"/>
      <c r="FP22" s="4653"/>
      <c r="FQ22" s="4653"/>
      <c r="FR22" s="4653"/>
      <c r="FS22" s="4653"/>
      <c r="FT22" s="4653"/>
      <c r="FU22" s="4653"/>
      <c r="FV22" s="4653"/>
      <c r="FW22" s="4653"/>
      <c r="FX22" s="4653"/>
      <c r="FY22" s="4653"/>
      <c r="FZ22" s="4653"/>
      <c r="GA22" s="4653"/>
      <c r="GB22" s="4653"/>
      <c r="GC22" s="4653"/>
      <c r="GD22" s="4653"/>
      <c r="GE22" s="4653"/>
      <c r="GF22" s="4653"/>
      <c r="GG22" s="4653"/>
      <c r="GH22" s="4653"/>
      <c r="GI22" s="4653"/>
      <c r="GJ22" s="4653"/>
      <c r="GK22" s="4653"/>
      <c r="GL22" s="4653"/>
      <c r="GM22" s="4653"/>
      <c r="GN22" s="4653"/>
      <c r="GO22" s="4653"/>
      <c r="GP22" s="4653"/>
      <c r="GQ22" s="4653"/>
      <c r="GR22" s="4653"/>
      <c r="GS22" s="4653"/>
      <c r="GT22" s="4653"/>
      <c r="GU22" s="4653"/>
      <c r="GV22" s="4653"/>
      <c r="GW22" s="4653"/>
      <c r="GX22" s="4653"/>
      <c r="GY22" s="4653"/>
      <c r="GZ22" s="4653"/>
      <c r="HA22" s="4653"/>
      <c r="HB22" s="4653"/>
      <c r="HC22" s="4653"/>
      <c r="HD22" s="4653"/>
      <c r="HE22" s="4653"/>
      <c r="HF22" s="4653"/>
      <c r="HG22" s="4653"/>
      <c r="HH22" s="4653"/>
      <c r="HI22" s="4653"/>
      <c r="HJ22" s="4653"/>
      <c r="HK22" s="4653"/>
      <c r="HL22" s="4653"/>
      <c r="HM22" s="4653"/>
      <c r="HN22" s="4653"/>
      <c r="HO22" s="4653"/>
      <c r="HP22" s="4653"/>
      <c r="HQ22" s="4653"/>
      <c r="HR22" s="4653"/>
      <c r="HS22" s="4653"/>
      <c r="HT22" s="4653"/>
      <c r="HU22" s="4653"/>
      <c r="HV22" s="4653"/>
      <c r="HW22" s="4653"/>
      <c r="HX22" s="4653"/>
      <c r="HY22" s="4653"/>
      <c r="HZ22" s="4653"/>
    </row>
    <row r="23" spans="1:234" s="4688" customFormat="1" ht="17.25" customHeight="1" x14ac:dyDescent="0.2">
      <c r="A23" s="10211" t="s">
        <v>1712</v>
      </c>
      <c r="B23" s="10212"/>
      <c r="C23" s="4673">
        <f>SUM(D23:G23)</f>
        <v>0</v>
      </c>
      <c r="D23" s="4689"/>
      <c r="E23" s="4690"/>
      <c r="F23" s="4690"/>
      <c r="G23" s="4691"/>
      <c r="H23" s="4692"/>
      <c r="I23" s="4693"/>
      <c r="J23" s="4694"/>
      <c r="K23" s="4692"/>
      <c r="L23" s="4691"/>
      <c r="M23" s="4696"/>
      <c r="N23" s="4682"/>
      <c r="O23" s="4682"/>
      <c r="P23" s="4682"/>
      <c r="Q23" s="4683" t="str">
        <f t="shared" si="4"/>
        <v/>
      </c>
      <c r="R23" s="4684"/>
      <c r="S23" s="4684"/>
      <c r="T23" s="4684"/>
      <c r="U23" s="4684"/>
      <c r="V23" s="4684"/>
      <c r="W23" s="4684"/>
      <c r="X23" s="4684"/>
      <c r="Y23" s="4657"/>
      <c r="Z23" s="4657"/>
      <c r="AA23" s="4657"/>
      <c r="AB23" s="4651"/>
      <c r="AC23" s="4651"/>
      <c r="AD23" s="4651"/>
      <c r="AE23" s="4651"/>
      <c r="AF23" s="4651"/>
      <c r="AG23" s="4651"/>
      <c r="AH23" s="4651"/>
      <c r="AI23" s="4651"/>
      <c r="AJ23" s="4651"/>
      <c r="AK23" s="4651"/>
      <c r="AL23" s="4651"/>
      <c r="AM23" s="4651"/>
      <c r="AN23" s="4651"/>
      <c r="AO23" s="4651"/>
      <c r="AP23" s="4651"/>
      <c r="AQ23" s="4651"/>
      <c r="AR23" s="4651"/>
      <c r="AS23" s="4651"/>
      <c r="AT23" s="4651"/>
      <c r="AU23" s="4651"/>
      <c r="AV23" s="4651"/>
      <c r="AW23" s="4651"/>
      <c r="AX23" s="4651"/>
      <c r="AY23" s="4651"/>
      <c r="AZ23" s="4651"/>
      <c r="BA23" s="4651"/>
      <c r="BB23" s="4651"/>
      <c r="BC23" s="4651"/>
      <c r="BD23" s="4651"/>
      <c r="BE23" s="4651"/>
      <c r="BF23" s="4651"/>
      <c r="BG23" s="4651"/>
      <c r="BH23" s="4651"/>
      <c r="BI23" s="4651"/>
      <c r="BJ23" s="4651"/>
      <c r="BK23" s="4651"/>
      <c r="BL23" s="4651"/>
      <c r="BM23" s="4651"/>
      <c r="BN23" s="4651"/>
      <c r="BO23" s="4651"/>
      <c r="BP23" s="4651"/>
      <c r="BQ23" s="4651"/>
      <c r="BR23" s="4651"/>
      <c r="BS23" s="4651"/>
      <c r="BT23" s="4651"/>
      <c r="BU23" s="4651"/>
      <c r="BV23" s="4651"/>
      <c r="BW23" s="4651"/>
      <c r="BX23" s="4652"/>
      <c r="BY23" s="4653"/>
      <c r="BZ23" s="4653"/>
      <c r="CA23" s="4685" t="str">
        <f t="shared" si="5"/>
        <v/>
      </c>
      <c r="CB23" s="4685" t="str">
        <f t="shared" si="0"/>
        <v/>
      </c>
      <c r="CC23" s="4685" t="str">
        <f t="shared" si="6"/>
        <v/>
      </c>
      <c r="CD23" s="4685" t="str">
        <f t="shared" si="7"/>
        <v/>
      </c>
      <c r="CE23" s="4655"/>
      <c r="CF23" s="4655"/>
      <c r="CG23" s="4654"/>
      <c r="CH23" s="4654"/>
      <c r="CI23" s="4654"/>
      <c r="CJ23" s="4654"/>
      <c r="CK23" s="4654"/>
      <c r="CL23" s="4654"/>
      <c r="CM23" s="4654"/>
      <c r="CN23" s="4654"/>
      <c r="CO23" s="4654"/>
      <c r="CP23" s="4654"/>
      <c r="CQ23" s="4654"/>
      <c r="CR23" s="4654"/>
      <c r="CS23" s="4654"/>
      <c r="CT23" s="4654"/>
      <c r="CU23" s="4654"/>
      <c r="CV23" s="4654"/>
      <c r="CW23" s="4654"/>
      <c r="CX23" s="4654"/>
      <c r="CY23" s="4654"/>
      <c r="CZ23" s="4654"/>
      <c r="DA23" s="4686">
        <f t="shared" si="1"/>
        <v>0</v>
      </c>
      <c r="DB23" s="4686">
        <f>IF(M23&gt;C23,1,0)</f>
        <v>0</v>
      </c>
      <c r="DC23" s="4686">
        <f t="shared" si="9"/>
        <v>0</v>
      </c>
      <c r="DD23" s="4686">
        <f t="shared" si="10"/>
        <v>0</v>
      </c>
      <c r="DE23" s="4687"/>
      <c r="DF23" s="4687"/>
      <c r="DG23" s="4687"/>
      <c r="DH23" s="4687"/>
      <c r="DI23" s="4687"/>
      <c r="DJ23" s="4687"/>
      <c r="DK23" s="4687"/>
      <c r="DL23" s="4687"/>
      <c r="DM23" s="4687"/>
      <c r="DN23" s="4687"/>
      <c r="DO23" s="4687"/>
      <c r="DP23" s="4687"/>
      <c r="DQ23" s="4653"/>
      <c r="DR23" s="4653"/>
      <c r="DS23" s="4653"/>
      <c r="DT23" s="4653"/>
      <c r="DU23" s="4653"/>
      <c r="DV23" s="4653"/>
      <c r="DW23" s="4653"/>
      <c r="DX23" s="4653"/>
      <c r="DY23" s="4653"/>
      <c r="DZ23" s="4653"/>
      <c r="EA23" s="4653"/>
      <c r="EB23" s="4653"/>
      <c r="EC23" s="4653"/>
      <c r="ED23" s="4653"/>
      <c r="EE23" s="4653"/>
      <c r="EF23" s="4653"/>
      <c r="EG23" s="4653"/>
      <c r="EH23" s="4653"/>
      <c r="EI23" s="4653"/>
      <c r="EJ23" s="4653"/>
      <c r="EK23" s="4653"/>
      <c r="EL23" s="4653"/>
      <c r="EM23" s="4653"/>
      <c r="EN23" s="4653"/>
      <c r="EO23" s="4653"/>
      <c r="EP23" s="4653"/>
      <c r="EQ23" s="4653"/>
      <c r="ER23" s="4653"/>
      <c r="ES23" s="4653"/>
      <c r="ET23" s="4653"/>
      <c r="EU23" s="4653"/>
      <c r="EV23" s="4653"/>
      <c r="EW23" s="4653"/>
      <c r="EX23" s="4653"/>
      <c r="EY23" s="4653"/>
      <c r="EZ23" s="4653"/>
      <c r="FA23" s="4653"/>
      <c r="FB23" s="4653"/>
      <c r="FC23" s="4653"/>
      <c r="FD23" s="4653"/>
      <c r="FE23" s="4653"/>
      <c r="FF23" s="4653"/>
      <c r="FG23" s="4653"/>
      <c r="FH23" s="4653"/>
      <c r="FI23" s="4653"/>
      <c r="FJ23" s="4653"/>
      <c r="FK23" s="4653"/>
      <c r="FL23" s="4653"/>
      <c r="FM23" s="4653"/>
      <c r="FN23" s="4653"/>
      <c r="FO23" s="4653"/>
      <c r="FP23" s="4653"/>
      <c r="FQ23" s="4653"/>
      <c r="FR23" s="4653"/>
      <c r="FS23" s="4653"/>
      <c r="FT23" s="4653"/>
      <c r="FU23" s="4653"/>
      <c r="FV23" s="4653"/>
      <c r="FW23" s="4653"/>
      <c r="FX23" s="4653"/>
      <c r="FY23" s="4653"/>
      <c r="FZ23" s="4653"/>
      <c r="GA23" s="4653"/>
      <c r="GB23" s="4653"/>
      <c r="GC23" s="4653"/>
      <c r="GD23" s="4653"/>
      <c r="GE23" s="4653"/>
      <c r="GF23" s="4653"/>
      <c r="GG23" s="4653"/>
      <c r="GH23" s="4653"/>
      <c r="GI23" s="4653"/>
      <c r="GJ23" s="4653"/>
      <c r="GK23" s="4653"/>
      <c r="GL23" s="4653"/>
      <c r="GM23" s="4653"/>
      <c r="GN23" s="4653"/>
      <c r="GO23" s="4653"/>
      <c r="GP23" s="4653"/>
      <c r="GQ23" s="4653"/>
      <c r="GR23" s="4653"/>
      <c r="GS23" s="4653"/>
      <c r="GT23" s="4653"/>
      <c r="GU23" s="4653"/>
      <c r="GV23" s="4653"/>
      <c r="GW23" s="4653"/>
      <c r="GX23" s="4653"/>
      <c r="GY23" s="4653"/>
      <c r="GZ23" s="4653"/>
      <c r="HA23" s="4653"/>
      <c r="HB23" s="4653"/>
      <c r="HC23" s="4653"/>
      <c r="HD23" s="4653"/>
      <c r="HE23" s="4653"/>
      <c r="HF23" s="4653"/>
      <c r="HG23" s="4653"/>
      <c r="HH23" s="4653"/>
      <c r="HI23" s="4653"/>
      <c r="HJ23" s="4653"/>
      <c r="HK23" s="4653"/>
      <c r="HL23" s="4653"/>
      <c r="HM23" s="4653"/>
      <c r="HN23" s="4653"/>
      <c r="HO23" s="4653"/>
      <c r="HP23" s="4653"/>
      <c r="HQ23" s="4653"/>
      <c r="HR23" s="4653"/>
      <c r="HS23" s="4653"/>
      <c r="HT23" s="4653"/>
      <c r="HU23" s="4653"/>
      <c r="HV23" s="4653"/>
      <c r="HW23" s="4653"/>
      <c r="HX23" s="4653"/>
      <c r="HY23" s="4653"/>
      <c r="HZ23" s="4653"/>
    </row>
    <row r="24" spans="1:234" s="4688" customFormat="1" ht="17.25" customHeight="1" x14ac:dyDescent="0.2">
      <c r="A24" s="10211" t="s">
        <v>1713</v>
      </c>
      <c r="B24" s="10212"/>
      <c r="C24" s="4673">
        <f t="shared" si="8"/>
        <v>0</v>
      </c>
      <c r="D24" s="4689"/>
      <c r="E24" s="4690"/>
      <c r="F24" s="4690"/>
      <c r="G24" s="4691"/>
      <c r="H24" s="4692"/>
      <c r="I24" s="4693"/>
      <c r="J24" s="4694"/>
      <c r="K24" s="4692"/>
      <c r="L24" s="4691"/>
      <c r="M24" s="4696"/>
      <c r="N24" s="4682"/>
      <c r="O24" s="4682"/>
      <c r="P24" s="4682"/>
      <c r="Q24" s="4683" t="str">
        <f t="shared" si="4"/>
        <v/>
      </c>
      <c r="R24" s="4684"/>
      <c r="S24" s="4684"/>
      <c r="T24" s="4684"/>
      <c r="U24" s="4684"/>
      <c r="V24" s="4684"/>
      <c r="W24" s="4684"/>
      <c r="X24" s="4684"/>
      <c r="Y24" s="4657"/>
      <c r="Z24" s="4657"/>
      <c r="AA24" s="4657"/>
      <c r="AB24" s="4651"/>
      <c r="AC24" s="4651"/>
      <c r="AD24" s="4651"/>
      <c r="AE24" s="4651"/>
      <c r="AF24" s="4651"/>
      <c r="AG24" s="4651"/>
      <c r="AH24" s="4651"/>
      <c r="AI24" s="4651"/>
      <c r="AJ24" s="4651"/>
      <c r="AK24" s="4651"/>
      <c r="AL24" s="4651"/>
      <c r="AM24" s="4651"/>
      <c r="AN24" s="4651"/>
      <c r="AO24" s="4651"/>
      <c r="AP24" s="4651"/>
      <c r="AQ24" s="4651"/>
      <c r="AR24" s="4651"/>
      <c r="AS24" s="4651"/>
      <c r="AT24" s="4651"/>
      <c r="AU24" s="4651"/>
      <c r="AV24" s="4651"/>
      <c r="AW24" s="4651"/>
      <c r="AX24" s="4651"/>
      <c r="AY24" s="4651"/>
      <c r="AZ24" s="4651"/>
      <c r="BA24" s="4651"/>
      <c r="BB24" s="4651"/>
      <c r="BC24" s="4651"/>
      <c r="BD24" s="4651"/>
      <c r="BE24" s="4651"/>
      <c r="BF24" s="4651"/>
      <c r="BG24" s="4651"/>
      <c r="BH24" s="4651"/>
      <c r="BI24" s="4651"/>
      <c r="BJ24" s="4651"/>
      <c r="BK24" s="4651"/>
      <c r="BL24" s="4651"/>
      <c r="BM24" s="4651"/>
      <c r="BN24" s="4651"/>
      <c r="BO24" s="4651"/>
      <c r="BP24" s="4651"/>
      <c r="BQ24" s="4651"/>
      <c r="BR24" s="4651"/>
      <c r="BS24" s="4651"/>
      <c r="BT24" s="4651"/>
      <c r="BU24" s="4651"/>
      <c r="BV24" s="4651"/>
      <c r="BW24" s="4651"/>
      <c r="BX24" s="4652"/>
      <c r="BY24" s="4653"/>
      <c r="BZ24" s="4653"/>
      <c r="CA24" s="4685" t="str">
        <f t="shared" si="5"/>
        <v/>
      </c>
      <c r="CB24" s="4685" t="str">
        <f t="shared" si="0"/>
        <v/>
      </c>
      <c r="CC24" s="4685" t="str">
        <f t="shared" si="6"/>
        <v/>
      </c>
      <c r="CD24" s="4685" t="str">
        <f t="shared" si="7"/>
        <v/>
      </c>
      <c r="CE24" s="4655"/>
      <c r="CF24" s="4655"/>
      <c r="CG24" s="4654"/>
      <c r="CH24" s="4654"/>
      <c r="CI24" s="4654"/>
      <c r="CJ24" s="4654"/>
      <c r="CK24" s="4654"/>
      <c r="CL24" s="4654"/>
      <c r="CM24" s="4654"/>
      <c r="CN24" s="4654"/>
      <c r="CO24" s="4654"/>
      <c r="CP24" s="4654"/>
      <c r="CQ24" s="4654"/>
      <c r="CR24" s="4654"/>
      <c r="CS24" s="4654"/>
      <c r="CT24" s="4654"/>
      <c r="CU24" s="4654"/>
      <c r="CV24" s="4654"/>
      <c r="CW24" s="4654"/>
      <c r="CX24" s="4654"/>
      <c r="CY24" s="4654"/>
      <c r="CZ24" s="4654"/>
      <c r="DA24" s="4686">
        <f t="shared" si="1"/>
        <v>0</v>
      </c>
      <c r="DB24" s="4686">
        <f>IF(M24&gt;C24,1,0)</f>
        <v>0</v>
      </c>
      <c r="DC24" s="4686">
        <f t="shared" si="9"/>
        <v>0</v>
      </c>
      <c r="DD24" s="4686">
        <f t="shared" si="10"/>
        <v>0</v>
      </c>
      <c r="DE24" s="4687"/>
      <c r="DF24" s="4687"/>
      <c r="DG24" s="4687"/>
      <c r="DH24" s="4687"/>
      <c r="DI24" s="4687"/>
      <c r="DJ24" s="4687"/>
      <c r="DK24" s="4687"/>
      <c r="DL24" s="4687"/>
      <c r="DM24" s="4687"/>
      <c r="DN24" s="4687"/>
      <c r="DO24" s="4687"/>
      <c r="DP24" s="4687"/>
      <c r="DQ24" s="4653"/>
      <c r="DR24" s="4653"/>
      <c r="DS24" s="4653"/>
      <c r="DT24" s="4653"/>
      <c r="DU24" s="4653"/>
      <c r="DV24" s="4653"/>
      <c r="DW24" s="4653"/>
      <c r="DX24" s="4653"/>
      <c r="DY24" s="4653"/>
      <c r="DZ24" s="4653"/>
      <c r="EA24" s="4653"/>
      <c r="EB24" s="4653"/>
      <c r="EC24" s="4653"/>
      <c r="ED24" s="4653"/>
      <c r="EE24" s="4653"/>
      <c r="EF24" s="4653"/>
      <c r="EG24" s="4653"/>
      <c r="EH24" s="4653"/>
      <c r="EI24" s="4653"/>
      <c r="EJ24" s="4653"/>
      <c r="EK24" s="4653"/>
      <c r="EL24" s="4653"/>
      <c r="EM24" s="4653"/>
      <c r="EN24" s="4653"/>
      <c r="EO24" s="4653"/>
      <c r="EP24" s="4653"/>
      <c r="EQ24" s="4653"/>
      <c r="ER24" s="4653"/>
      <c r="ES24" s="4653"/>
      <c r="ET24" s="4653"/>
      <c r="EU24" s="4653"/>
      <c r="EV24" s="4653"/>
      <c r="EW24" s="4653"/>
      <c r="EX24" s="4653"/>
      <c r="EY24" s="4653"/>
      <c r="EZ24" s="4653"/>
      <c r="FA24" s="4653"/>
      <c r="FB24" s="4653"/>
      <c r="FC24" s="4653"/>
      <c r="FD24" s="4653"/>
      <c r="FE24" s="4653"/>
      <c r="FF24" s="4653"/>
      <c r="FG24" s="4653"/>
      <c r="FH24" s="4653"/>
      <c r="FI24" s="4653"/>
      <c r="FJ24" s="4653"/>
      <c r="FK24" s="4653"/>
      <c r="FL24" s="4653"/>
      <c r="FM24" s="4653"/>
      <c r="FN24" s="4653"/>
      <c r="FO24" s="4653"/>
      <c r="FP24" s="4653"/>
      <c r="FQ24" s="4653"/>
      <c r="FR24" s="4653"/>
      <c r="FS24" s="4653"/>
      <c r="FT24" s="4653"/>
      <c r="FU24" s="4653"/>
      <c r="FV24" s="4653"/>
      <c r="FW24" s="4653"/>
      <c r="FX24" s="4653"/>
      <c r="FY24" s="4653"/>
      <c r="FZ24" s="4653"/>
      <c r="GA24" s="4653"/>
      <c r="GB24" s="4653"/>
      <c r="GC24" s="4653"/>
      <c r="GD24" s="4653"/>
      <c r="GE24" s="4653"/>
      <c r="GF24" s="4653"/>
      <c r="GG24" s="4653"/>
      <c r="GH24" s="4653"/>
      <c r="GI24" s="4653"/>
      <c r="GJ24" s="4653"/>
      <c r="GK24" s="4653"/>
      <c r="GL24" s="4653"/>
      <c r="GM24" s="4653"/>
      <c r="GN24" s="4653"/>
      <c r="GO24" s="4653"/>
      <c r="GP24" s="4653"/>
      <c r="GQ24" s="4653"/>
      <c r="GR24" s="4653"/>
      <c r="GS24" s="4653"/>
      <c r="GT24" s="4653"/>
      <c r="GU24" s="4653"/>
      <c r="GV24" s="4653"/>
      <c r="GW24" s="4653"/>
      <c r="GX24" s="4653"/>
      <c r="GY24" s="4653"/>
      <c r="GZ24" s="4653"/>
      <c r="HA24" s="4653"/>
      <c r="HB24" s="4653"/>
      <c r="HC24" s="4653"/>
      <c r="HD24" s="4653"/>
      <c r="HE24" s="4653"/>
      <c r="HF24" s="4653"/>
      <c r="HG24" s="4653"/>
      <c r="HH24" s="4653"/>
      <c r="HI24" s="4653"/>
      <c r="HJ24" s="4653"/>
      <c r="HK24" s="4653"/>
      <c r="HL24" s="4653"/>
      <c r="HM24" s="4653"/>
      <c r="HN24" s="4653"/>
      <c r="HO24" s="4653"/>
      <c r="HP24" s="4653"/>
      <c r="HQ24" s="4653"/>
      <c r="HR24" s="4653"/>
      <c r="HS24" s="4653"/>
      <c r="HT24" s="4653"/>
      <c r="HU24" s="4653"/>
      <c r="HV24" s="4653"/>
      <c r="HW24" s="4653"/>
      <c r="HX24" s="4653"/>
      <c r="HY24" s="4653"/>
      <c r="HZ24" s="4653"/>
    </row>
    <row r="25" spans="1:234" s="4688" customFormat="1" ht="25.5" customHeight="1" x14ac:dyDescent="0.2">
      <c r="A25" s="10211" t="s">
        <v>1711</v>
      </c>
      <c r="B25" s="10212"/>
      <c r="C25" s="4673">
        <f>SUM(D25:G25)</f>
        <v>0</v>
      </c>
      <c r="D25" s="4689"/>
      <c r="E25" s="4690"/>
      <c r="F25" s="4690"/>
      <c r="G25" s="4691"/>
      <c r="H25" s="4692"/>
      <c r="I25" s="4693"/>
      <c r="J25" s="4694"/>
      <c r="K25" s="4692"/>
      <c r="L25" s="4691"/>
      <c r="M25" s="4696"/>
      <c r="N25" s="4682"/>
      <c r="O25" s="4682"/>
      <c r="P25" s="4682"/>
      <c r="Q25" s="4683" t="str">
        <f t="shared" si="4"/>
        <v/>
      </c>
      <c r="R25" s="4684"/>
      <c r="S25" s="4684"/>
      <c r="T25" s="4684"/>
      <c r="U25" s="4684"/>
      <c r="V25" s="4684"/>
      <c r="W25" s="4684"/>
      <c r="X25" s="4684"/>
      <c r="Y25" s="4657"/>
      <c r="Z25" s="4657"/>
      <c r="AA25" s="4657"/>
      <c r="AB25" s="4651"/>
      <c r="AC25" s="4651"/>
      <c r="AD25" s="4651"/>
      <c r="AE25" s="4651"/>
      <c r="AF25" s="4651"/>
      <c r="AG25" s="4651"/>
      <c r="AH25" s="4651"/>
      <c r="AI25" s="4651"/>
      <c r="AJ25" s="4651"/>
      <c r="AK25" s="4651"/>
      <c r="AL25" s="4651"/>
      <c r="AM25" s="4651"/>
      <c r="AN25" s="4651"/>
      <c r="AO25" s="4651"/>
      <c r="AP25" s="4651"/>
      <c r="AQ25" s="4651"/>
      <c r="AR25" s="4651"/>
      <c r="AS25" s="4651"/>
      <c r="AT25" s="4651"/>
      <c r="AU25" s="4651"/>
      <c r="AV25" s="4651"/>
      <c r="AW25" s="4651"/>
      <c r="AX25" s="4651"/>
      <c r="AY25" s="4651"/>
      <c r="AZ25" s="4651"/>
      <c r="BA25" s="4651"/>
      <c r="BB25" s="4651"/>
      <c r="BC25" s="4651"/>
      <c r="BD25" s="4651"/>
      <c r="BE25" s="4651"/>
      <c r="BF25" s="4651"/>
      <c r="BG25" s="4651"/>
      <c r="BH25" s="4651"/>
      <c r="BI25" s="4651"/>
      <c r="BJ25" s="4651"/>
      <c r="BK25" s="4651"/>
      <c r="BL25" s="4651"/>
      <c r="BM25" s="4651"/>
      <c r="BN25" s="4651"/>
      <c r="BO25" s="4651"/>
      <c r="BP25" s="4651"/>
      <c r="BQ25" s="4651"/>
      <c r="BR25" s="4651"/>
      <c r="BS25" s="4651"/>
      <c r="BT25" s="4651"/>
      <c r="BU25" s="4651"/>
      <c r="BV25" s="4651"/>
      <c r="BW25" s="4651"/>
      <c r="BX25" s="4652"/>
      <c r="BY25" s="4653"/>
      <c r="BZ25" s="4653"/>
      <c r="CA25" s="4685" t="str">
        <f t="shared" si="5"/>
        <v/>
      </c>
      <c r="CB25" s="4685" t="str">
        <f t="shared" si="0"/>
        <v/>
      </c>
      <c r="CC25" s="4685" t="str">
        <f t="shared" si="6"/>
        <v/>
      </c>
      <c r="CD25" s="4685" t="str">
        <f t="shared" si="7"/>
        <v/>
      </c>
      <c r="CE25" s="4655"/>
      <c r="CF25" s="4655"/>
      <c r="CG25" s="4654"/>
      <c r="CH25" s="4654"/>
      <c r="CI25" s="4654"/>
      <c r="CJ25" s="4654"/>
      <c r="CK25" s="4654"/>
      <c r="CL25" s="4654"/>
      <c r="CM25" s="4654"/>
      <c r="CN25" s="4654"/>
      <c r="CO25" s="4654"/>
      <c r="CP25" s="4654"/>
      <c r="CQ25" s="4654"/>
      <c r="CR25" s="4654"/>
      <c r="CS25" s="4654"/>
      <c r="CT25" s="4654"/>
      <c r="CU25" s="4654"/>
      <c r="CV25" s="4654"/>
      <c r="CW25" s="4654"/>
      <c r="CX25" s="4654"/>
      <c r="CY25" s="4654"/>
      <c r="CZ25" s="4654"/>
      <c r="DA25" s="4686">
        <f t="shared" si="1"/>
        <v>0</v>
      </c>
      <c r="DB25" s="4686">
        <f>IF(M25&gt;C25,1,0)</f>
        <v>0</v>
      </c>
      <c r="DC25" s="4686">
        <f t="shared" si="9"/>
        <v>0</v>
      </c>
      <c r="DD25" s="4686">
        <f t="shared" si="10"/>
        <v>0</v>
      </c>
      <c r="DE25" s="4687"/>
      <c r="DF25" s="4687"/>
      <c r="DG25" s="4687"/>
      <c r="DH25" s="4687"/>
      <c r="DI25" s="4687"/>
      <c r="DJ25" s="4687"/>
      <c r="DK25" s="4687"/>
      <c r="DL25" s="4687"/>
      <c r="DM25" s="4687"/>
      <c r="DN25" s="4687"/>
      <c r="DO25" s="4687"/>
      <c r="DP25" s="4687"/>
      <c r="DQ25" s="4653"/>
      <c r="DR25" s="4653"/>
      <c r="DS25" s="4653"/>
      <c r="DT25" s="4653"/>
      <c r="DU25" s="4653"/>
      <c r="DV25" s="4653"/>
      <c r="DW25" s="4653"/>
      <c r="DX25" s="4653"/>
      <c r="DY25" s="4653"/>
      <c r="DZ25" s="4653"/>
      <c r="EA25" s="4653"/>
      <c r="EB25" s="4653"/>
      <c r="EC25" s="4653"/>
      <c r="ED25" s="4653"/>
      <c r="EE25" s="4653"/>
      <c r="EF25" s="4653"/>
      <c r="EG25" s="4653"/>
      <c r="EH25" s="4653"/>
      <c r="EI25" s="4653"/>
      <c r="EJ25" s="4653"/>
      <c r="EK25" s="4653"/>
      <c r="EL25" s="4653"/>
      <c r="EM25" s="4653"/>
      <c r="EN25" s="4653"/>
      <c r="EO25" s="4653"/>
      <c r="EP25" s="4653"/>
      <c r="EQ25" s="4653"/>
      <c r="ER25" s="4653"/>
      <c r="ES25" s="4653"/>
      <c r="ET25" s="4653"/>
      <c r="EU25" s="4653"/>
      <c r="EV25" s="4653"/>
      <c r="EW25" s="4653"/>
      <c r="EX25" s="4653"/>
      <c r="EY25" s="4653"/>
      <c r="EZ25" s="4653"/>
      <c r="FA25" s="4653"/>
      <c r="FB25" s="4653"/>
      <c r="FC25" s="4653"/>
      <c r="FD25" s="4653"/>
      <c r="FE25" s="4653"/>
      <c r="FF25" s="4653"/>
      <c r="FG25" s="4653"/>
      <c r="FH25" s="4653"/>
      <c r="FI25" s="4653"/>
      <c r="FJ25" s="4653"/>
      <c r="FK25" s="4653"/>
      <c r="FL25" s="4653"/>
      <c r="FM25" s="4653"/>
      <c r="FN25" s="4653"/>
      <c r="FO25" s="4653"/>
      <c r="FP25" s="4653"/>
      <c r="FQ25" s="4653"/>
      <c r="FR25" s="4653"/>
      <c r="FS25" s="4653"/>
      <c r="FT25" s="4653"/>
      <c r="FU25" s="4653"/>
      <c r="FV25" s="4653"/>
      <c r="FW25" s="4653"/>
      <c r="FX25" s="4653"/>
      <c r="FY25" s="4653"/>
      <c r="FZ25" s="4653"/>
      <c r="GA25" s="4653"/>
      <c r="GB25" s="4653"/>
      <c r="GC25" s="4653"/>
      <c r="GD25" s="4653"/>
      <c r="GE25" s="4653"/>
      <c r="GF25" s="4653"/>
      <c r="GG25" s="4653"/>
      <c r="GH25" s="4653"/>
      <c r="GI25" s="4653"/>
      <c r="GJ25" s="4653"/>
      <c r="GK25" s="4653"/>
      <c r="GL25" s="4653"/>
      <c r="GM25" s="4653"/>
      <c r="GN25" s="4653"/>
      <c r="GO25" s="4653"/>
      <c r="GP25" s="4653"/>
      <c r="GQ25" s="4653"/>
      <c r="GR25" s="4653"/>
      <c r="GS25" s="4653"/>
      <c r="GT25" s="4653"/>
      <c r="GU25" s="4653"/>
      <c r="GV25" s="4653"/>
      <c r="GW25" s="4653"/>
      <c r="GX25" s="4653"/>
      <c r="GY25" s="4653"/>
      <c r="GZ25" s="4653"/>
      <c r="HA25" s="4653"/>
      <c r="HB25" s="4653"/>
      <c r="HC25" s="4653"/>
      <c r="HD25" s="4653"/>
      <c r="HE25" s="4653"/>
      <c r="HF25" s="4653"/>
      <c r="HG25" s="4653"/>
      <c r="HH25" s="4653"/>
      <c r="HI25" s="4653"/>
      <c r="HJ25" s="4653"/>
      <c r="HK25" s="4653"/>
      <c r="HL25" s="4653"/>
      <c r="HM25" s="4653"/>
      <c r="HN25" s="4653"/>
      <c r="HO25" s="4653"/>
      <c r="HP25" s="4653"/>
      <c r="HQ25" s="4653"/>
      <c r="HR25" s="4653"/>
      <c r="HS25" s="4653"/>
      <c r="HT25" s="4653"/>
      <c r="HU25" s="4653"/>
      <c r="HV25" s="4653"/>
      <c r="HW25" s="4653"/>
      <c r="HX25" s="4653"/>
      <c r="HY25" s="4653"/>
      <c r="HZ25" s="4653"/>
    </row>
    <row r="26" spans="1:234" s="4688" customFormat="1" ht="26.25" customHeight="1" x14ac:dyDescent="0.2">
      <c r="A26" s="10211" t="s">
        <v>1710</v>
      </c>
      <c r="B26" s="10216"/>
      <c r="C26" s="4673">
        <f t="shared" si="8"/>
        <v>0</v>
      </c>
      <c r="D26" s="4689"/>
      <c r="E26" s="4690"/>
      <c r="F26" s="4690"/>
      <c r="G26" s="4691"/>
      <c r="H26" s="4692"/>
      <c r="I26" s="4693"/>
      <c r="J26" s="4694"/>
      <c r="K26" s="4692"/>
      <c r="L26" s="4691"/>
      <c r="M26" s="4695"/>
      <c r="N26" s="4682"/>
      <c r="O26" s="4682"/>
      <c r="P26" s="4682"/>
      <c r="Q26" s="4683" t="str">
        <f t="shared" si="4"/>
        <v/>
      </c>
      <c r="R26" s="4684"/>
      <c r="S26" s="4684"/>
      <c r="T26" s="4684"/>
      <c r="U26" s="4684"/>
      <c r="V26" s="4684"/>
      <c r="W26" s="4684"/>
      <c r="X26" s="4684"/>
      <c r="Y26" s="4657"/>
      <c r="Z26" s="4657"/>
      <c r="AA26" s="4657"/>
      <c r="AB26" s="4651"/>
      <c r="AC26" s="4651"/>
      <c r="AD26" s="4651"/>
      <c r="AE26" s="4651"/>
      <c r="AF26" s="4651"/>
      <c r="AG26" s="4651"/>
      <c r="AH26" s="4651"/>
      <c r="AI26" s="4651"/>
      <c r="AJ26" s="4651"/>
      <c r="AK26" s="4651"/>
      <c r="AL26" s="4651"/>
      <c r="AM26" s="4651"/>
      <c r="AN26" s="4651"/>
      <c r="AO26" s="4651"/>
      <c r="AP26" s="4651"/>
      <c r="AQ26" s="4651"/>
      <c r="AR26" s="4651"/>
      <c r="AS26" s="4651"/>
      <c r="AT26" s="4651"/>
      <c r="AU26" s="4651"/>
      <c r="AV26" s="4651"/>
      <c r="AW26" s="4651"/>
      <c r="AX26" s="4651"/>
      <c r="AY26" s="4651"/>
      <c r="AZ26" s="4651"/>
      <c r="BA26" s="4651"/>
      <c r="BB26" s="4651"/>
      <c r="BC26" s="4651"/>
      <c r="BD26" s="4651"/>
      <c r="BE26" s="4651"/>
      <c r="BF26" s="4651"/>
      <c r="BG26" s="4651"/>
      <c r="BH26" s="4651"/>
      <c r="BI26" s="4651"/>
      <c r="BJ26" s="4651"/>
      <c r="BK26" s="4651"/>
      <c r="BL26" s="4651"/>
      <c r="BM26" s="4651"/>
      <c r="BN26" s="4651"/>
      <c r="BO26" s="4651"/>
      <c r="BP26" s="4651"/>
      <c r="BQ26" s="4651"/>
      <c r="BR26" s="4651"/>
      <c r="BS26" s="4651"/>
      <c r="BT26" s="4651"/>
      <c r="BU26" s="4651"/>
      <c r="BV26" s="4651"/>
      <c r="BW26" s="4651"/>
      <c r="BX26" s="4652"/>
      <c r="BY26" s="4653"/>
      <c r="BZ26" s="4653"/>
      <c r="CA26" s="4685" t="str">
        <f t="shared" si="5"/>
        <v/>
      </c>
      <c r="CB26" s="4655" t="str">
        <f t="shared" si="0"/>
        <v/>
      </c>
      <c r="CC26" s="4685" t="str">
        <f t="shared" si="6"/>
        <v/>
      </c>
      <c r="CD26" s="4685" t="str">
        <f t="shared" si="7"/>
        <v/>
      </c>
      <c r="CE26" s="4655"/>
      <c r="CF26" s="4655"/>
      <c r="CG26" s="4654"/>
      <c r="CH26" s="4654"/>
      <c r="CI26" s="4654"/>
      <c r="CJ26" s="4654"/>
      <c r="CK26" s="4654"/>
      <c r="CL26" s="4654"/>
      <c r="CM26" s="4654"/>
      <c r="CN26" s="4654"/>
      <c r="CO26" s="4654"/>
      <c r="CP26" s="4654"/>
      <c r="CQ26" s="4654"/>
      <c r="CR26" s="4654"/>
      <c r="CS26" s="4654"/>
      <c r="CT26" s="4654"/>
      <c r="CU26" s="4654"/>
      <c r="CV26" s="4654"/>
      <c r="CW26" s="4654"/>
      <c r="CX26" s="4654"/>
      <c r="CY26" s="4654"/>
      <c r="CZ26" s="4654"/>
      <c r="DA26" s="4686">
        <f t="shared" si="1"/>
        <v>0</v>
      </c>
      <c r="DB26" s="4656"/>
      <c r="DC26" s="4686">
        <f t="shared" si="9"/>
        <v>0</v>
      </c>
      <c r="DD26" s="4686">
        <f t="shared" si="10"/>
        <v>0</v>
      </c>
      <c r="DE26" s="4687"/>
      <c r="DF26" s="4687"/>
      <c r="DG26" s="4687"/>
      <c r="DH26" s="4687"/>
      <c r="DI26" s="4687"/>
      <c r="DJ26" s="4687"/>
      <c r="DK26" s="4687"/>
      <c r="DL26" s="4687"/>
      <c r="DM26" s="4687"/>
      <c r="DN26" s="4687"/>
      <c r="DO26" s="4687"/>
      <c r="DP26" s="4687"/>
      <c r="DQ26" s="4653"/>
      <c r="DR26" s="4653"/>
      <c r="DS26" s="4653"/>
      <c r="DT26" s="4653"/>
      <c r="DU26" s="4653"/>
      <c r="DV26" s="4653"/>
      <c r="DW26" s="4653"/>
      <c r="DX26" s="4653"/>
      <c r="DY26" s="4653"/>
      <c r="DZ26" s="4653"/>
      <c r="EA26" s="4653"/>
      <c r="EB26" s="4653"/>
      <c r="EC26" s="4653"/>
      <c r="ED26" s="4653"/>
      <c r="EE26" s="4653"/>
      <c r="EF26" s="4653"/>
      <c r="EG26" s="4653"/>
      <c r="EH26" s="4653"/>
      <c r="EI26" s="4653"/>
      <c r="EJ26" s="4653"/>
      <c r="EK26" s="4653"/>
      <c r="EL26" s="4653"/>
      <c r="EM26" s="4653"/>
      <c r="EN26" s="4653"/>
      <c r="EO26" s="4653"/>
      <c r="EP26" s="4653"/>
      <c r="EQ26" s="4653"/>
      <c r="ER26" s="4653"/>
      <c r="ES26" s="4653"/>
      <c r="ET26" s="4653"/>
      <c r="EU26" s="4653"/>
      <c r="EV26" s="4653"/>
      <c r="EW26" s="4653"/>
      <c r="EX26" s="4653"/>
      <c r="EY26" s="4653"/>
      <c r="EZ26" s="4653"/>
      <c r="FA26" s="4653"/>
      <c r="FB26" s="4653"/>
      <c r="FC26" s="4653"/>
      <c r="FD26" s="4653"/>
      <c r="FE26" s="4653"/>
      <c r="FF26" s="4653"/>
      <c r="FG26" s="4653"/>
      <c r="FH26" s="4653"/>
      <c r="FI26" s="4653"/>
      <c r="FJ26" s="4653"/>
      <c r="FK26" s="4653"/>
      <c r="FL26" s="4653"/>
      <c r="FM26" s="4653"/>
      <c r="FN26" s="4653"/>
      <c r="FO26" s="4653"/>
      <c r="FP26" s="4653"/>
      <c r="FQ26" s="4653"/>
      <c r="FR26" s="4653"/>
      <c r="FS26" s="4653"/>
      <c r="FT26" s="4653"/>
      <c r="FU26" s="4653"/>
      <c r="FV26" s="4653"/>
      <c r="FW26" s="4653"/>
      <c r="FX26" s="4653"/>
      <c r="FY26" s="4653"/>
      <c r="FZ26" s="4653"/>
      <c r="GA26" s="4653"/>
      <c r="GB26" s="4653"/>
      <c r="GC26" s="4653"/>
      <c r="GD26" s="4653"/>
      <c r="GE26" s="4653"/>
      <c r="GF26" s="4653"/>
      <c r="GG26" s="4653"/>
      <c r="GH26" s="4653"/>
      <c r="GI26" s="4653"/>
      <c r="GJ26" s="4653"/>
      <c r="GK26" s="4653"/>
      <c r="GL26" s="4653"/>
      <c r="GM26" s="4653"/>
      <c r="GN26" s="4653"/>
      <c r="GO26" s="4653"/>
      <c r="GP26" s="4653"/>
      <c r="GQ26" s="4653"/>
      <c r="GR26" s="4653"/>
      <c r="GS26" s="4653"/>
      <c r="GT26" s="4653"/>
      <c r="GU26" s="4653"/>
      <c r="GV26" s="4653"/>
      <c r="GW26" s="4653"/>
      <c r="GX26" s="4653"/>
      <c r="GY26" s="4653"/>
      <c r="GZ26" s="4653"/>
      <c r="HA26" s="4653"/>
      <c r="HB26" s="4653"/>
      <c r="HC26" s="4653"/>
      <c r="HD26" s="4653"/>
      <c r="HE26" s="4653"/>
      <c r="HF26" s="4653"/>
      <c r="HG26" s="4653"/>
      <c r="HH26" s="4653"/>
      <c r="HI26" s="4653"/>
      <c r="HJ26" s="4653"/>
      <c r="HK26" s="4653"/>
      <c r="HL26" s="4653"/>
      <c r="HM26" s="4653"/>
      <c r="HN26" s="4653"/>
      <c r="HO26" s="4653"/>
      <c r="HP26" s="4653"/>
      <c r="HQ26" s="4653"/>
      <c r="HR26" s="4653"/>
      <c r="HS26" s="4653"/>
      <c r="HT26" s="4653"/>
      <c r="HU26" s="4653"/>
      <c r="HV26" s="4653"/>
      <c r="HW26" s="4653"/>
      <c r="HX26" s="4653"/>
      <c r="HY26" s="4653"/>
      <c r="HZ26" s="4653"/>
    </row>
    <row r="27" spans="1:234" s="4688" customFormat="1" ht="26.25" customHeight="1" x14ac:dyDescent="0.2">
      <c r="A27" s="10211" t="s">
        <v>1709</v>
      </c>
      <c r="B27" s="10212"/>
      <c r="C27" s="4673">
        <f t="shared" si="8"/>
        <v>0</v>
      </c>
      <c r="D27" s="4689"/>
      <c r="E27" s="4690"/>
      <c r="F27" s="4690"/>
      <c r="G27" s="4691"/>
      <c r="H27" s="4692"/>
      <c r="I27" s="4693"/>
      <c r="J27" s="4694"/>
      <c r="K27" s="4692"/>
      <c r="L27" s="4691"/>
      <c r="M27" s="4695"/>
      <c r="N27" s="4682"/>
      <c r="O27" s="4682"/>
      <c r="P27" s="4682"/>
      <c r="Q27" s="4683" t="str">
        <f t="shared" si="4"/>
        <v/>
      </c>
      <c r="R27" s="4684"/>
      <c r="S27" s="4684"/>
      <c r="T27" s="4684"/>
      <c r="U27" s="4684"/>
      <c r="V27" s="4684"/>
      <c r="W27" s="4684"/>
      <c r="X27" s="4684"/>
      <c r="Y27" s="4657"/>
      <c r="Z27" s="4657"/>
      <c r="AA27" s="4657"/>
      <c r="AB27" s="4651"/>
      <c r="AC27" s="4651"/>
      <c r="AD27" s="4651"/>
      <c r="AE27" s="4651"/>
      <c r="AF27" s="4651"/>
      <c r="AG27" s="4651"/>
      <c r="AH27" s="4651"/>
      <c r="AI27" s="4651"/>
      <c r="AJ27" s="4651"/>
      <c r="AK27" s="4651"/>
      <c r="AL27" s="4651"/>
      <c r="AM27" s="4651"/>
      <c r="AN27" s="4651"/>
      <c r="AO27" s="4651"/>
      <c r="AP27" s="4651"/>
      <c r="AQ27" s="4651"/>
      <c r="AR27" s="4651"/>
      <c r="AS27" s="4651"/>
      <c r="AT27" s="4651"/>
      <c r="AU27" s="4651"/>
      <c r="AV27" s="4651"/>
      <c r="AW27" s="4651"/>
      <c r="AX27" s="4651"/>
      <c r="AY27" s="4651"/>
      <c r="AZ27" s="4651"/>
      <c r="BA27" s="4651"/>
      <c r="BB27" s="4651"/>
      <c r="BC27" s="4651"/>
      <c r="BD27" s="4651"/>
      <c r="BE27" s="4651"/>
      <c r="BF27" s="4651"/>
      <c r="BG27" s="4651"/>
      <c r="BH27" s="4651"/>
      <c r="BI27" s="4651"/>
      <c r="BJ27" s="4651"/>
      <c r="BK27" s="4651"/>
      <c r="BL27" s="4651"/>
      <c r="BM27" s="4651"/>
      <c r="BN27" s="4651"/>
      <c r="BO27" s="4651"/>
      <c r="BP27" s="4651"/>
      <c r="BQ27" s="4651"/>
      <c r="BR27" s="4651"/>
      <c r="BS27" s="4651"/>
      <c r="BT27" s="4651"/>
      <c r="BU27" s="4651"/>
      <c r="BV27" s="4651"/>
      <c r="BW27" s="4651"/>
      <c r="BX27" s="4652"/>
      <c r="BY27" s="4653"/>
      <c r="BZ27" s="4653"/>
      <c r="CA27" s="4685" t="str">
        <f t="shared" si="5"/>
        <v/>
      </c>
      <c r="CB27" s="4655" t="str">
        <f t="shared" si="0"/>
        <v/>
      </c>
      <c r="CC27" s="4685" t="str">
        <f t="shared" si="6"/>
        <v/>
      </c>
      <c r="CD27" s="4685" t="str">
        <f t="shared" si="7"/>
        <v/>
      </c>
      <c r="CE27" s="4655"/>
      <c r="CF27" s="4655"/>
      <c r="CG27" s="4654"/>
      <c r="CH27" s="4654"/>
      <c r="CI27" s="4654"/>
      <c r="CJ27" s="4654"/>
      <c r="CK27" s="4654"/>
      <c r="CL27" s="4654"/>
      <c r="CM27" s="4654"/>
      <c r="CN27" s="4654"/>
      <c r="CO27" s="4654"/>
      <c r="CP27" s="4654"/>
      <c r="CQ27" s="4654"/>
      <c r="CR27" s="4654"/>
      <c r="CS27" s="4654"/>
      <c r="CT27" s="4654"/>
      <c r="CU27" s="4654"/>
      <c r="CV27" s="4654"/>
      <c r="CW27" s="4654"/>
      <c r="CX27" s="4654"/>
      <c r="CY27" s="4654"/>
      <c r="CZ27" s="4654"/>
      <c r="DA27" s="4686">
        <f t="shared" si="1"/>
        <v>0</v>
      </c>
      <c r="DB27" s="4656"/>
      <c r="DC27" s="4686">
        <f t="shared" si="9"/>
        <v>0</v>
      </c>
      <c r="DD27" s="4686">
        <f t="shared" si="10"/>
        <v>0</v>
      </c>
      <c r="DE27" s="4687"/>
      <c r="DF27" s="4687"/>
      <c r="DG27" s="4687"/>
      <c r="DH27" s="4687"/>
      <c r="DI27" s="4687"/>
      <c r="DJ27" s="4687"/>
      <c r="DK27" s="4687"/>
      <c r="DL27" s="4687"/>
      <c r="DM27" s="4687"/>
      <c r="DN27" s="4687"/>
      <c r="DO27" s="4687"/>
      <c r="DP27" s="4687"/>
      <c r="DQ27" s="4653"/>
      <c r="DR27" s="4653"/>
      <c r="DS27" s="4653"/>
      <c r="DT27" s="4653"/>
      <c r="DU27" s="4653"/>
      <c r="DV27" s="4653"/>
      <c r="DW27" s="4653"/>
      <c r="DX27" s="4653"/>
      <c r="DY27" s="4653"/>
      <c r="DZ27" s="4653"/>
      <c r="EA27" s="4653"/>
      <c r="EB27" s="4653"/>
      <c r="EC27" s="4653"/>
      <c r="ED27" s="4653"/>
      <c r="EE27" s="4653"/>
      <c r="EF27" s="4653"/>
      <c r="EG27" s="4653"/>
      <c r="EH27" s="4653"/>
      <c r="EI27" s="4653"/>
      <c r="EJ27" s="4653"/>
      <c r="EK27" s="4653"/>
      <c r="EL27" s="4653"/>
      <c r="EM27" s="4653"/>
      <c r="EN27" s="4653"/>
      <c r="EO27" s="4653"/>
      <c r="EP27" s="4653"/>
      <c r="EQ27" s="4653"/>
      <c r="ER27" s="4653"/>
      <c r="ES27" s="4653"/>
      <c r="ET27" s="4653"/>
      <c r="EU27" s="4653"/>
      <c r="EV27" s="4653"/>
      <c r="EW27" s="4653"/>
      <c r="EX27" s="4653"/>
      <c r="EY27" s="4653"/>
      <c r="EZ27" s="4653"/>
      <c r="FA27" s="4653"/>
      <c r="FB27" s="4653"/>
      <c r="FC27" s="4653"/>
      <c r="FD27" s="4653"/>
      <c r="FE27" s="4653"/>
      <c r="FF27" s="4653"/>
      <c r="FG27" s="4653"/>
      <c r="FH27" s="4653"/>
      <c r="FI27" s="4653"/>
      <c r="FJ27" s="4653"/>
      <c r="FK27" s="4653"/>
      <c r="FL27" s="4653"/>
      <c r="FM27" s="4653"/>
      <c r="FN27" s="4653"/>
      <c r="FO27" s="4653"/>
      <c r="FP27" s="4653"/>
      <c r="FQ27" s="4653"/>
      <c r="FR27" s="4653"/>
      <c r="FS27" s="4653"/>
      <c r="FT27" s="4653"/>
      <c r="FU27" s="4653"/>
      <c r="FV27" s="4653"/>
      <c r="FW27" s="4653"/>
      <c r="FX27" s="4653"/>
      <c r="FY27" s="4653"/>
      <c r="FZ27" s="4653"/>
      <c r="GA27" s="4653"/>
      <c r="GB27" s="4653"/>
      <c r="GC27" s="4653"/>
      <c r="GD27" s="4653"/>
      <c r="GE27" s="4653"/>
      <c r="GF27" s="4653"/>
      <c r="GG27" s="4653"/>
      <c r="GH27" s="4653"/>
      <c r="GI27" s="4653"/>
      <c r="GJ27" s="4653"/>
      <c r="GK27" s="4653"/>
      <c r="GL27" s="4653"/>
      <c r="GM27" s="4653"/>
      <c r="GN27" s="4653"/>
      <c r="GO27" s="4653"/>
      <c r="GP27" s="4653"/>
      <c r="GQ27" s="4653"/>
      <c r="GR27" s="4653"/>
      <c r="GS27" s="4653"/>
      <c r="GT27" s="4653"/>
      <c r="GU27" s="4653"/>
      <c r="GV27" s="4653"/>
      <c r="GW27" s="4653"/>
      <c r="GX27" s="4653"/>
      <c r="GY27" s="4653"/>
      <c r="GZ27" s="4653"/>
      <c r="HA27" s="4653"/>
      <c r="HB27" s="4653"/>
      <c r="HC27" s="4653"/>
      <c r="HD27" s="4653"/>
      <c r="HE27" s="4653"/>
      <c r="HF27" s="4653"/>
      <c r="HG27" s="4653"/>
      <c r="HH27" s="4653"/>
      <c r="HI27" s="4653"/>
      <c r="HJ27" s="4653"/>
      <c r="HK27" s="4653"/>
      <c r="HL27" s="4653"/>
      <c r="HM27" s="4653"/>
      <c r="HN27" s="4653"/>
      <c r="HO27" s="4653"/>
      <c r="HP27" s="4653"/>
      <c r="HQ27" s="4653"/>
      <c r="HR27" s="4653"/>
      <c r="HS27" s="4653"/>
      <c r="HT27" s="4653"/>
      <c r="HU27" s="4653"/>
      <c r="HV27" s="4653"/>
      <c r="HW27" s="4653"/>
      <c r="HX27" s="4653"/>
      <c r="HY27" s="4653"/>
      <c r="HZ27" s="4653"/>
    </row>
    <row r="28" spans="1:234" s="4688" customFormat="1" ht="24.75" customHeight="1" x14ac:dyDescent="0.2">
      <c r="A28" s="10213" t="s">
        <v>1708</v>
      </c>
      <c r="B28" s="10214"/>
      <c r="C28" s="4673">
        <f t="shared" si="8"/>
        <v>0</v>
      </c>
      <c r="D28" s="4689"/>
      <c r="E28" s="4690"/>
      <c r="F28" s="4690"/>
      <c r="G28" s="4691"/>
      <c r="H28" s="4692"/>
      <c r="I28" s="4693"/>
      <c r="J28" s="4694"/>
      <c r="K28" s="4692"/>
      <c r="L28" s="4691"/>
      <c r="M28" s="4695"/>
      <c r="N28" s="4682"/>
      <c r="O28" s="4682"/>
      <c r="P28" s="4682"/>
      <c r="Q28" s="4683" t="str">
        <f t="shared" si="4"/>
        <v/>
      </c>
      <c r="R28" s="4684"/>
      <c r="S28" s="4684"/>
      <c r="T28" s="4684"/>
      <c r="U28" s="4684"/>
      <c r="V28" s="4684"/>
      <c r="W28" s="4684"/>
      <c r="X28" s="4684"/>
      <c r="Y28" s="4657"/>
      <c r="Z28" s="4657"/>
      <c r="AA28" s="4657"/>
      <c r="AB28" s="4651"/>
      <c r="AC28" s="4651"/>
      <c r="AD28" s="4651"/>
      <c r="AE28" s="4651"/>
      <c r="AF28" s="4651"/>
      <c r="AG28" s="4651"/>
      <c r="AH28" s="4651"/>
      <c r="AI28" s="4651"/>
      <c r="AJ28" s="4651"/>
      <c r="AK28" s="4651"/>
      <c r="AL28" s="4651"/>
      <c r="AM28" s="4651"/>
      <c r="AN28" s="4651"/>
      <c r="AO28" s="4651"/>
      <c r="AP28" s="4651"/>
      <c r="AQ28" s="4651"/>
      <c r="AR28" s="4651"/>
      <c r="AS28" s="4651"/>
      <c r="AT28" s="4651"/>
      <c r="AU28" s="4651"/>
      <c r="AV28" s="4651"/>
      <c r="AW28" s="4651"/>
      <c r="AX28" s="4651"/>
      <c r="AY28" s="4651"/>
      <c r="AZ28" s="4651"/>
      <c r="BA28" s="4651"/>
      <c r="BB28" s="4651"/>
      <c r="BC28" s="4651"/>
      <c r="BD28" s="4651"/>
      <c r="BE28" s="4651"/>
      <c r="BF28" s="4651"/>
      <c r="BG28" s="4651"/>
      <c r="BH28" s="4651"/>
      <c r="BI28" s="4651"/>
      <c r="BJ28" s="4651"/>
      <c r="BK28" s="4651"/>
      <c r="BL28" s="4651"/>
      <c r="BM28" s="4651"/>
      <c r="BN28" s="4651"/>
      <c r="BO28" s="4651"/>
      <c r="BP28" s="4651"/>
      <c r="BQ28" s="4651"/>
      <c r="BR28" s="4651"/>
      <c r="BS28" s="4651"/>
      <c r="BT28" s="4651"/>
      <c r="BU28" s="4651"/>
      <c r="BV28" s="4651"/>
      <c r="BW28" s="4651"/>
      <c r="BX28" s="4652"/>
      <c r="BY28" s="4653"/>
      <c r="BZ28" s="4653"/>
      <c r="CA28" s="4685" t="str">
        <f t="shared" si="5"/>
        <v/>
      </c>
      <c r="CB28" s="4655" t="str">
        <f t="shared" si="0"/>
        <v/>
      </c>
      <c r="CC28" s="4685" t="str">
        <f t="shared" si="6"/>
        <v/>
      </c>
      <c r="CD28" s="4685" t="str">
        <f t="shared" si="7"/>
        <v/>
      </c>
      <c r="CE28" s="4655"/>
      <c r="CF28" s="4655"/>
      <c r="CG28" s="4654"/>
      <c r="CH28" s="4654"/>
      <c r="CI28" s="4654"/>
      <c r="CJ28" s="4654"/>
      <c r="CK28" s="4654"/>
      <c r="CL28" s="4654"/>
      <c r="CM28" s="4654"/>
      <c r="CN28" s="4654"/>
      <c r="CO28" s="4654"/>
      <c r="CP28" s="4654"/>
      <c r="CQ28" s="4654"/>
      <c r="CR28" s="4654"/>
      <c r="CS28" s="4654"/>
      <c r="CT28" s="4654"/>
      <c r="CU28" s="4654"/>
      <c r="CV28" s="4654"/>
      <c r="CW28" s="4654"/>
      <c r="CX28" s="4654"/>
      <c r="CY28" s="4654"/>
      <c r="CZ28" s="4654"/>
      <c r="DA28" s="4686">
        <f t="shared" si="1"/>
        <v>0</v>
      </c>
      <c r="DB28" s="4656"/>
      <c r="DC28" s="4686">
        <f t="shared" si="9"/>
        <v>0</v>
      </c>
      <c r="DD28" s="4686">
        <f t="shared" si="10"/>
        <v>0</v>
      </c>
      <c r="DE28" s="4687"/>
      <c r="DF28" s="4687"/>
      <c r="DG28" s="4687"/>
      <c r="DH28" s="4687"/>
      <c r="DI28" s="4687"/>
      <c r="DJ28" s="4687"/>
      <c r="DK28" s="4687"/>
      <c r="DL28" s="4687"/>
      <c r="DM28" s="4687"/>
      <c r="DN28" s="4687"/>
      <c r="DO28" s="4687"/>
      <c r="DP28" s="4687"/>
      <c r="DQ28" s="4653"/>
      <c r="DR28" s="4653"/>
      <c r="DS28" s="4653"/>
      <c r="DT28" s="4653"/>
      <c r="DU28" s="4653"/>
      <c r="DV28" s="4653"/>
      <c r="DW28" s="4653"/>
      <c r="DX28" s="4653"/>
      <c r="DY28" s="4653"/>
      <c r="DZ28" s="4653"/>
      <c r="EA28" s="4653"/>
      <c r="EB28" s="4653"/>
      <c r="EC28" s="4653"/>
      <c r="ED28" s="4653"/>
      <c r="EE28" s="4653"/>
      <c r="EF28" s="4653"/>
      <c r="EG28" s="4653"/>
      <c r="EH28" s="4653"/>
      <c r="EI28" s="4653"/>
      <c r="EJ28" s="4653"/>
      <c r="EK28" s="4653"/>
      <c r="EL28" s="4653"/>
      <c r="EM28" s="4653"/>
      <c r="EN28" s="4653"/>
      <c r="EO28" s="4653"/>
      <c r="EP28" s="4653"/>
      <c r="EQ28" s="4653"/>
      <c r="ER28" s="4653"/>
      <c r="ES28" s="4653"/>
      <c r="ET28" s="4653"/>
      <c r="EU28" s="4653"/>
      <c r="EV28" s="4653"/>
      <c r="EW28" s="4653"/>
      <c r="EX28" s="4653"/>
      <c r="EY28" s="4653"/>
      <c r="EZ28" s="4653"/>
      <c r="FA28" s="4653"/>
      <c r="FB28" s="4653"/>
      <c r="FC28" s="4653"/>
      <c r="FD28" s="4653"/>
      <c r="FE28" s="4653"/>
      <c r="FF28" s="4653"/>
      <c r="FG28" s="4653"/>
      <c r="FH28" s="4653"/>
      <c r="FI28" s="4653"/>
      <c r="FJ28" s="4653"/>
      <c r="FK28" s="4653"/>
      <c r="FL28" s="4653"/>
      <c r="FM28" s="4653"/>
      <c r="FN28" s="4653"/>
      <c r="FO28" s="4653"/>
      <c r="FP28" s="4653"/>
      <c r="FQ28" s="4653"/>
      <c r="FR28" s="4653"/>
      <c r="FS28" s="4653"/>
      <c r="FT28" s="4653"/>
      <c r="FU28" s="4653"/>
      <c r="FV28" s="4653"/>
      <c r="FW28" s="4653"/>
      <c r="FX28" s="4653"/>
      <c r="FY28" s="4653"/>
      <c r="FZ28" s="4653"/>
      <c r="GA28" s="4653"/>
      <c r="GB28" s="4653"/>
      <c r="GC28" s="4653"/>
      <c r="GD28" s="4653"/>
      <c r="GE28" s="4653"/>
      <c r="GF28" s="4653"/>
      <c r="GG28" s="4653"/>
      <c r="GH28" s="4653"/>
      <c r="GI28" s="4653"/>
      <c r="GJ28" s="4653"/>
      <c r="GK28" s="4653"/>
      <c r="GL28" s="4653"/>
      <c r="GM28" s="4653"/>
      <c r="GN28" s="4653"/>
      <c r="GO28" s="4653"/>
      <c r="GP28" s="4653"/>
      <c r="GQ28" s="4653"/>
      <c r="GR28" s="4653"/>
      <c r="GS28" s="4653"/>
      <c r="GT28" s="4653"/>
      <c r="GU28" s="4653"/>
      <c r="GV28" s="4653"/>
      <c r="GW28" s="4653"/>
      <c r="GX28" s="4653"/>
      <c r="GY28" s="4653"/>
      <c r="GZ28" s="4653"/>
      <c r="HA28" s="4653"/>
      <c r="HB28" s="4653"/>
      <c r="HC28" s="4653"/>
      <c r="HD28" s="4653"/>
      <c r="HE28" s="4653"/>
      <c r="HF28" s="4653"/>
      <c r="HG28" s="4653"/>
      <c r="HH28" s="4653"/>
      <c r="HI28" s="4653"/>
      <c r="HJ28" s="4653"/>
      <c r="HK28" s="4653"/>
      <c r="HL28" s="4653"/>
      <c r="HM28" s="4653"/>
      <c r="HN28" s="4653"/>
      <c r="HO28" s="4653"/>
      <c r="HP28" s="4653"/>
      <c r="HQ28" s="4653"/>
      <c r="HR28" s="4653"/>
      <c r="HS28" s="4653"/>
      <c r="HT28" s="4653"/>
      <c r="HU28" s="4653"/>
      <c r="HV28" s="4653"/>
      <c r="HW28" s="4653"/>
      <c r="HX28" s="4653"/>
      <c r="HY28" s="4653"/>
      <c r="HZ28" s="4653"/>
    </row>
    <row r="29" spans="1:234" s="4688" customFormat="1" ht="17.25" customHeight="1" x14ac:dyDescent="0.2">
      <c r="A29" s="10213" t="s">
        <v>1705</v>
      </c>
      <c r="B29" s="10215"/>
      <c r="C29" s="4673">
        <f t="shared" si="8"/>
        <v>0</v>
      </c>
      <c r="D29" s="4689"/>
      <c r="E29" s="4690"/>
      <c r="F29" s="4690"/>
      <c r="G29" s="4691"/>
      <c r="H29" s="4692"/>
      <c r="I29" s="4693"/>
      <c r="J29" s="4694"/>
      <c r="K29" s="4692"/>
      <c r="L29" s="4691"/>
      <c r="M29" s="4696"/>
      <c r="N29" s="4682"/>
      <c r="O29" s="4682"/>
      <c r="P29" s="4682"/>
      <c r="Q29" s="4683" t="str">
        <f t="shared" si="4"/>
        <v/>
      </c>
      <c r="R29" s="4684"/>
      <c r="S29" s="4684"/>
      <c r="T29" s="4684"/>
      <c r="U29" s="4684"/>
      <c r="V29" s="4684"/>
      <c r="W29" s="4684"/>
      <c r="X29" s="4684"/>
      <c r="Y29" s="4657"/>
      <c r="Z29" s="4657"/>
      <c r="AA29" s="4657"/>
      <c r="AB29" s="4651"/>
      <c r="AC29" s="4651"/>
      <c r="AD29" s="4651"/>
      <c r="AE29" s="4651"/>
      <c r="AF29" s="4651"/>
      <c r="AG29" s="4651"/>
      <c r="AH29" s="4651"/>
      <c r="AI29" s="4651"/>
      <c r="AJ29" s="4651"/>
      <c r="AK29" s="4651"/>
      <c r="AL29" s="4651"/>
      <c r="AM29" s="4651"/>
      <c r="AN29" s="4651"/>
      <c r="AO29" s="4651"/>
      <c r="AP29" s="4651"/>
      <c r="AQ29" s="4651"/>
      <c r="AR29" s="4651"/>
      <c r="AS29" s="4651"/>
      <c r="AT29" s="4651"/>
      <c r="AU29" s="4651"/>
      <c r="AV29" s="4651"/>
      <c r="AW29" s="4651"/>
      <c r="AX29" s="4651"/>
      <c r="AY29" s="4651"/>
      <c r="AZ29" s="4651"/>
      <c r="BA29" s="4651"/>
      <c r="BB29" s="4651"/>
      <c r="BC29" s="4651"/>
      <c r="BD29" s="4651"/>
      <c r="BE29" s="4651"/>
      <c r="BF29" s="4651"/>
      <c r="BG29" s="4651"/>
      <c r="BH29" s="4651"/>
      <c r="BI29" s="4651"/>
      <c r="BJ29" s="4651"/>
      <c r="BK29" s="4651"/>
      <c r="BL29" s="4651"/>
      <c r="BM29" s="4651"/>
      <c r="BN29" s="4651"/>
      <c r="BO29" s="4651"/>
      <c r="BP29" s="4651"/>
      <c r="BQ29" s="4651"/>
      <c r="BR29" s="4651"/>
      <c r="BS29" s="4651"/>
      <c r="BT29" s="4651"/>
      <c r="BU29" s="4651"/>
      <c r="BV29" s="4651"/>
      <c r="BW29" s="4651"/>
      <c r="BX29" s="4652"/>
      <c r="BY29" s="4653"/>
      <c r="BZ29" s="4653"/>
      <c r="CA29" s="4685" t="str">
        <f t="shared" si="5"/>
        <v/>
      </c>
      <c r="CB29" s="4685" t="str">
        <f t="shared" si="0"/>
        <v/>
      </c>
      <c r="CC29" s="4685" t="str">
        <f t="shared" si="6"/>
        <v/>
      </c>
      <c r="CD29" s="4685" t="str">
        <f t="shared" si="7"/>
        <v/>
      </c>
      <c r="CE29" s="4655"/>
      <c r="CF29" s="4655"/>
      <c r="CG29" s="4654"/>
      <c r="CH29" s="4654"/>
      <c r="CI29" s="4654"/>
      <c r="CJ29" s="4654"/>
      <c r="CK29" s="4654"/>
      <c r="CL29" s="4654"/>
      <c r="CM29" s="4654"/>
      <c r="CN29" s="4654"/>
      <c r="CO29" s="4654"/>
      <c r="CP29" s="4654"/>
      <c r="CQ29" s="4654"/>
      <c r="CR29" s="4654"/>
      <c r="CS29" s="4654"/>
      <c r="CT29" s="4654"/>
      <c r="CU29" s="4654"/>
      <c r="CV29" s="4654"/>
      <c r="CW29" s="4654"/>
      <c r="CX29" s="4654"/>
      <c r="CY29" s="4654"/>
      <c r="CZ29" s="4654"/>
      <c r="DA29" s="4686">
        <f t="shared" si="1"/>
        <v>0</v>
      </c>
      <c r="DB29" s="4686">
        <f t="shared" ref="DB29:DB35" si="11">IF(M29&gt;C29,1,0)</f>
        <v>0</v>
      </c>
      <c r="DC29" s="4686">
        <f t="shared" si="9"/>
        <v>0</v>
      </c>
      <c r="DD29" s="4686">
        <f t="shared" si="10"/>
        <v>0</v>
      </c>
      <c r="DE29" s="4687"/>
      <c r="DF29" s="4687"/>
      <c r="DG29" s="4687"/>
      <c r="DH29" s="4687"/>
      <c r="DI29" s="4687"/>
      <c r="DJ29" s="4687"/>
      <c r="DK29" s="4687"/>
      <c r="DL29" s="4687"/>
      <c r="DM29" s="4687"/>
      <c r="DN29" s="4687"/>
      <c r="DO29" s="4687"/>
      <c r="DP29" s="4687"/>
      <c r="DQ29" s="4653"/>
      <c r="DR29" s="4653"/>
      <c r="DS29" s="4653"/>
      <c r="DT29" s="4653"/>
      <c r="DU29" s="4653"/>
      <c r="DV29" s="4653"/>
      <c r="DW29" s="4653"/>
      <c r="DX29" s="4653"/>
      <c r="DY29" s="4653"/>
      <c r="DZ29" s="4653"/>
      <c r="EA29" s="4653"/>
      <c r="EB29" s="4653"/>
      <c r="EC29" s="4653"/>
      <c r="ED29" s="4653"/>
      <c r="EE29" s="4653"/>
      <c r="EF29" s="4653"/>
      <c r="EG29" s="4653"/>
      <c r="EH29" s="4653"/>
      <c r="EI29" s="4653"/>
      <c r="EJ29" s="4653"/>
      <c r="EK29" s="4653"/>
      <c r="EL29" s="4653"/>
      <c r="EM29" s="4653"/>
      <c r="EN29" s="4653"/>
      <c r="EO29" s="4653"/>
      <c r="EP29" s="4653"/>
      <c r="EQ29" s="4653"/>
      <c r="ER29" s="4653"/>
      <c r="ES29" s="4653"/>
      <c r="ET29" s="4653"/>
      <c r="EU29" s="4653"/>
      <c r="EV29" s="4653"/>
      <c r="EW29" s="4653"/>
      <c r="EX29" s="4653"/>
      <c r="EY29" s="4653"/>
      <c r="EZ29" s="4653"/>
      <c r="FA29" s="4653"/>
      <c r="FB29" s="4653"/>
      <c r="FC29" s="4653"/>
      <c r="FD29" s="4653"/>
      <c r="FE29" s="4653"/>
      <c r="FF29" s="4653"/>
      <c r="FG29" s="4653"/>
      <c r="FH29" s="4653"/>
      <c r="FI29" s="4653"/>
      <c r="FJ29" s="4653"/>
      <c r="FK29" s="4653"/>
      <c r="FL29" s="4653"/>
      <c r="FM29" s="4653"/>
      <c r="FN29" s="4653"/>
      <c r="FO29" s="4653"/>
      <c r="FP29" s="4653"/>
      <c r="FQ29" s="4653"/>
      <c r="FR29" s="4653"/>
      <c r="FS29" s="4653"/>
      <c r="FT29" s="4653"/>
      <c r="FU29" s="4653"/>
      <c r="FV29" s="4653"/>
      <c r="FW29" s="4653"/>
      <c r="FX29" s="4653"/>
      <c r="FY29" s="4653"/>
      <c r="FZ29" s="4653"/>
      <c r="GA29" s="4653"/>
      <c r="GB29" s="4653"/>
      <c r="GC29" s="4653"/>
      <c r="GD29" s="4653"/>
      <c r="GE29" s="4653"/>
      <c r="GF29" s="4653"/>
      <c r="GG29" s="4653"/>
      <c r="GH29" s="4653"/>
      <c r="GI29" s="4653"/>
      <c r="GJ29" s="4653"/>
      <c r="GK29" s="4653"/>
      <c r="GL29" s="4653"/>
      <c r="GM29" s="4653"/>
      <c r="GN29" s="4653"/>
      <c r="GO29" s="4653"/>
      <c r="GP29" s="4653"/>
      <c r="GQ29" s="4653"/>
      <c r="GR29" s="4653"/>
      <c r="GS29" s="4653"/>
      <c r="GT29" s="4653"/>
      <c r="GU29" s="4653"/>
      <c r="GV29" s="4653"/>
      <c r="GW29" s="4653"/>
      <c r="GX29" s="4653"/>
      <c r="GY29" s="4653"/>
      <c r="GZ29" s="4653"/>
      <c r="HA29" s="4653"/>
      <c r="HB29" s="4653"/>
      <c r="HC29" s="4653"/>
      <c r="HD29" s="4653"/>
      <c r="HE29" s="4653"/>
      <c r="HF29" s="4653"/>
      <c r="HG29" s="4653"/>
      <c r="HH29" s="4653"/>
      <c r="HI29" s="4653"/>
      <c r="HJ29" s="4653"/>
      <c r="HK29" s="4653"/>
      <c r="HL29" s="4653"/>
      <c r="HM29" s="4653"/>
      <c r="HN29" s="4653"/>
      <c r="HO29" s="4653"/>
      <c r="HP29" s="4653"/>
      <c r="HQ29" s="4653"/>
      <c r="HR29" s="4653"/>
      <c r="HS29" s="4653"/>
      <c r="HT29" s="4653"/>
      <c r="HU29" s="4653"/>
      <c r="HV29" s="4653"/>
      <c r="HW29" s="4653"/>
      <c r="HX29" s="4653"/>
      <c r="HY29" s="4653"/>
      <c r="HZ29" s="4653"/>
    </row>
    <row r="30" spans="1:234" s="4688" customFormat="1" ht="17.25" customHeight="1" x14ac:dyDescent="0.2">
      <c r="A30" s="10211" t="s">
        <v>1704</v>
      </c>
      <c r="B30" s="10216"/>
      <c r="C30" s="4673">
        <f t="shared" si="8"/>
        <v>0</v>
      </c>
      <c r="D30" s="4697"/>
      <c r="E30" s="4690"/>
      <c r="F30" s="4690"/>
      <c r="G30" s="4691"/>
      <c r="H30" s="4693"/>
      <c r="I30" s="4693"/>
      <c r="J30" s="4697"/>
      <c r="K30" s="4692"/>
      <c r="L30" s="4691"/>
      <c r="M30" s="4696"/>
      <c r="N30" s="4682"/>
      <c r="O30" s="4682"/>
      <c r="P30" s="4682"/>
      <c r="Q30" s="4683" t="str">
        <f t="shared" si="4"/>
        <v/>
      </c>
      <c r="R30" s="4684"/>
      <c r="S30" s="4684"/>
      <c r="T30" s="4684"/>
      <c r="U30" s="4684"/>
      <c r="V30" s="4684"/>
      <c r="W30" s="4684"/>
      <c r="X30" s="4684"/>
      <c r="Y30" s="4657"/>
      <c r="Z30" s="4657"/>
      <c r="AA30" s="4657"/>
      <c r="AB30" s="4651"/>
      <c r="AC30" s="4651"/>
      <c r="AD30" s="4651"/>
      <c r="AE30" s="4651"/>
      <c r="AF30" s="4651"/>
      <c r="AG30" s="4651"/>
      <c r="AH30" s="4651"/>
      <c r="AI30" s="4651"/>
      <c r="AJ30" s="4651"/>
      <c r="AK30" s="4651"/>
      <c r="AL30" s="4651"/>
      <c r="AM30" s="4651"/>
      <c r="AN30" s="4651"/>
      <c r="AO30" s="4651"/>
      <c r="AP30" s="4651"/>
      <c r="AQ30" s="4651"/>
      <c r="AR30" s="4651"/>
      <c r="AS30" s="4651"/>
      <c r="AT30" s="4651"/>
      <c r="AU30" s="4651"/>
      <c r="AV30" s="4651"/>
      <c r="AW30" s="4651"/>
      <c r="AX30" s="4651"/>
      <c r="AY30" s="4651"/>
      <c r="AZ30" s="4651"/>
      <c r="BA30" s="4651"/>
      <c r="BB30" s="4651"/>
      <c r="BC30" s="4651"/>
      <c r="BD30" s="4651"/>
      <c r="BE30" s="4651"/>
      <c r="BF30" s="4651"/>
      <c r="BG30" s="4651"/>
      <c r="BH30" s="4651"/>
      <c r="BI30" s="4651"/>
      <c r="BJ30" s="4651"/>
      <c r="BK30" s="4651"/>
      <c r="BL30" s="4651"/>
      <c r="BM30" s="4651"/>
      <c r="BN30" s="4651"/>
      <c r="BO30" s="4651"/>
      <c r="BP30" s="4651"/>
      <c r="BQ30" s="4651"/>
      <c r="BR30" s="4651"/>
      <c r="BS30" s="4651"/>
      <c r="BT30" s="4651"/>
      <c r="BU30" s="4651"/>
      <c r="BV30" s="4651"/>
      <c r="BW30" s="4651"/>
      <c r="BX30" s="4652"/>
      <c r="BY30" s="4653"/>
      <c r="BZ30" s="4653"/>
      <c r="CA30" s="4685" t="str">
        <f t="shared" si="5"/>
        <v/>
      </c>
      <c r="CB30" s="4685" t="str">
        <f t="shared" si="0"/>
        <v/>
      </c>
      <c r="CC30" s="4685" t="str">
        <f t="shared" si="6"/>
        <v/>
      </c>
      <c r="CD30" s="4685" t="str">
        <f t="shared" si="7"/>
        <v/>
      </c>
      <c r="CE30" s="4655"/>
      <c r="CF30" s="4655"/>
      <c r="CG30" s="4654"/>
      <c r="CH30" s="4654"/>
      <c r="CI30" s="4654"/>
      <c r="CJ30" s="4654"/>
      <c r="CK30" s="4654"/>
      <c r="CL30" s="4654"/>
      <c r="CM30" s="4654"/>
      <c r="CN30" s="4654"/>
      <c r="CO30" s="4654"/>
      <c r="CP30" s="4654"/>
      <c r="CQ30" s="4654"/>
      <c r="CR30" s="4654"/>
      <c r="CS30" s="4654"/>
      <c r="CT30" s="4654"/>
      <c r="CU30" s="4654"/>
      <c r="CV30" s="4654"/>
      <c r="CW30" s="4654"/>
      <c r="CX30" s="4654"/>
      <c r="CY30" s="4654"/>
      <c r="CZ30" s="4654"/>
      <c r="DA30" s="4686">
        <f t="shared" si="1"/>
        <v>0</v>
      </c>
      <c r="DB30" s="4686">
        <f t="shared" si="11"/>
        <v>0</v>
      </c>
      <c r="DC30" s="4686">
        <f t="shared" si="9"/>
        <v>0</v>
      </c>
      <c r="DD30" s="4686">
        <f t="shared" si="10"/>
        <v>0</v>
      </c>
      <c r="DE30" s="4687"/>
      <c r="DF30" s="4687"/>
      <c r="DG30" s="4687"/>
      <c r="DH30" s="4687"/>
      <c r="DI30" s="4687"/>
      <c r="DJ30" s="4687"/>
      <c r="DK30" s="4687"/>
      <c r="DL30" s="4687"/>
      <c r="DM30" s="4687"/>
      <c r="DN30" s="4687"/>
      <c r="DO30" s="4687"/>
      <c r="DP30" s="4687"/>
      <c r="DQ30" s="4653"/>
      <c r="DR30" s="4653"/>
      <c r="DS30" s="4653"/>
      <c r="DT30" s="4653"/>
      <c r="DU30" s="4653"/>
      <c r="DV30" s="4653"/>
      <c r="DW30" s="4653"/>
      <c r="DX30" s="4653"/>
      <c r="DY30" s="4653"/>
      <c r="DZ30" s="4653"/>
      <c r="EA30" s="4653"/>
      <c r="EB30" s="4653"/>
      <c r="EC30" s="4653"/>
      <c r="ED30" s="4653"/>
      <c r="EE30" s="4653"/>
      <c r="EF30" s="4653"/>
      <c r="EG30" s="4653"/>
      <c r="EH30" s="4653"/>
      <c r="EI30" s="4653"/>
      <c r="EJ30" s="4653"/>
      <c r="EK30" s="4653"/>
      <c r="EL30" s="4653"/>
      <c r="EM30" s="4653"/>
      <c r="EN30" s="4653"/>
      <c r="EO30" s="4653"/>
      <c r="EP30" s="4653"/>
      <c r="EQ30" s="4653"/>
      <c r="ER30" s="4653"/>
      <c r="ES30" s="4653"/>
      <c r="ET30" s="4653"/>
      <c r="EU30" s="4653"/>
      <c r="EV30" s="4653"/>
      <c r="EW30" s="4653"/>
      <c r="EX30" s="4653"/>
      <c r="EY30" s="4653"/>
      <c r="EZ30" s="4653"/>
      <c r="FA30" s="4653"/>
      <c r="FB30" s="4653"/>
      <c r="FC30" s="4653"/>
      <c r="FD30" s="4653"/>
      <c r="FE30" s="4653"/>
      <c r="FF30" s="4653"/>
      <c r="FG30" s="4653"/>
      <c r="FH30" s="4653"/>
      <c r="FI30" s="4653"/>
      <c r="FJ30" s="4653"/>
      <c r="FK30" s="4653"/>
      <c r="FL30" s="4653"/>
      <c r="FM30" s="4653"/>
      <c r="FN30" s="4653"/>
      <c r="FO30" s="4653"/>
      <c r="FP30" s="4653"/>
      <c r="FQ30" s="4653"/>
      <c r="FR30" s="4653"/>
      <c r="FS30" s="4653"/>
      <c r="FT30" s="4653"/>
      <c r="FU30" s="4653"/>
      <c r="FV30" s="4653"/>
      <c r="FW30" s="4653"/>
      <c r="FX30" s="4653"/>
      <c r="FY30" s="4653"/>
      <c r="FZ30" s="4653"/>
      <c r="GA30" s="4653"/>
      <c r="GB30" s="4653"/>
      <c r="GC30" s="4653"/>
      <c r="GD30" s="4653"/>
      <c r="GE30" s="4653"/>
      <c r="GF30" s="4653"/>
      <c r="GG30" s="4653"/>
      <c r="GH30" s="4653"/>
      <c r="GI30" s="4653"/>
      <c r="GJ30" s="4653"/>
      <c r="GK30" s="4653"/>
      <c r="GL30" s="4653"/>
      <c r="GM30" s="4653"/>
      <c r="GN30" s="4653"/>
      <c r="GO30" s="4653"/>
      <c r="GP30" s="4653"/>
      <c r="GQ30" s="4653"/>
      <c r="GR30" s="4653"/>
      <c r="GS30" s="4653"/>
      <c r="GT30" s="4653"/>
      <c r="GU30" s="4653"/>
      <c r="GV30" s="4653"/>
      <c r="GW30" s="4653"/>
      <c r="GX30" s="4653"/>
      <c r="GY30" s="4653"/>
      <c r="GZ30" s="4653"/>
      <c r="HA30" s="4653"/>
      <c r="HB30" s="4653"/>
      <c r="HC30" s="4653"/>
      <c r="HD30" s="4653"/>
      <c r="HE30" s="4653"/>
      <c r="HF30" s="4653"/>
      <c r="HG30" s="4653"/>
      <c r="HH30" s="4653"/>
      <c r="HI30" s="4653"/>
      <c r="HJ30" s="4653"/>
      <c r="HK30" s="4653"/>
      <c r="HL30" s="4653"/>
      <c r="HM30" s="4653"/>
      <c r="HN30" s="4653"/>
      <c r="HO30" s="4653"/>
      <c r="HP30" s="4653"/>
      <c r="HQ30" s="4653"/>
      <c r="HR30" s="4653"/>
      <c r="HS30" s="4653"/>
      <c r="HT30" s="4653"/>
      <c r="HU30" s="4653"/>
      <c r="HV30" s="4653"/>
      <c r="HW30" s="4653"/>
      <c r="HX30" s="4653"/>
      <c r="HY30" s="4653"/>
      <c r="HZ30" s="4653"/>
    </row>
    <row r="31" spans="1:234" s="4688" customFormat="1" ht="24" customHeight="1" x14ac:dyDescent="0.2">
      <c r="A31" s="10217" t="s">
        <v>1702</v>
      </c>
      <c r="B31" s="10218"/>
      <c r="C31" s="4698">
        <f>SUM(D31:G31)</f>
        <v>0</v>
      </c>
      <c r="D31" s="4699"/>
      <c r="E31" s="4700"/>
      <c r="F31" s="4700"/>
      <c r="G31" s="4701"/>
      <c r="H31" s="4702"/>
      <c r="I31" s="4702"/>
      <c r="J31" s="4699"/>
      <c r="K31" s="4703"/>
      <c r="L31" s="4701"/>
      <c r="M31" s="4696"/>
      <c r="N31" s="4682"/>
      <c r="O31" s="4682"/>
      <c r="P31" s="4682"/>
      <c r="Q31" s="4683" t="str">
        <f t="shared" si="4"/>
        <v/>
      </c>
      <c r="R31" s="4684"/>
      <c r="S31" s="4684"/>
      <c r="T31" s="4684"/>
      <c r="U31" s="4684"/>
      <c r="V31" s="4684"/>
      <c r="W31" s="4684"/>
      <c r="X31" s="4684"/>
      <c r="Y31" s="4657"/>
      <c r="Z31" s="4657"/>
      <c r="AA31" s="4657"/>
      <c r="AB31" s="4651"/>
      <c r="AC31" s="4651"/>
      <c r="AD31" s="4651"/>
      <c r="AE31" s="4651"/>
      <c r="AF31" s="4651"/>
      <c r="AG31" s="4651"/>
      <c r="AH31" s="4651"/>
      <c r="AI31" s="4651"/>
      <c r="AJ31" s="4651"/>
      <c r="AK31" s="4651"/>
      <c r="AL31" s="4651"/>
      <c r="AM31" s="4651"/>
      <c r="AN31" s="4651"/>
      <c r="AO31" s="4651"/>
      <c r="AP31" s="4651"/>
      <c r="AQ31" s="4651"/>
      <c r="AR31" s="4651"/>
      <c r="AS31" s="4651"/>
      <c r="AT31" s="4651"/>
      <c r="AU31" s="4651"/>
      <c r="AV31" s="4651"/>
      <c r="AW31" s="4651"/>
      <c r="AX31" s="4651"/>
      <c r="AY31" s="4651"/>
      <c r="AZ31" s="4651"/>
      <c r="BA31" s="4651"/>
      <c r="BB31" s="4651"/>
      <c r="BC31" s="4651"/>
      <c r="BD31" s="4651"/>
      <c r="BE31" s="4651"/>
      <c r="BF31" s="4651"/>
      <c r="BG31" s="4651"/>
      <c r="BH31" s="4651"/>
      <c r="BI31" s="4651"/>
      <c r="BJ31" s="4651"/>
      <c r="BK31" s="4651"/>
      <c r="BL31" s="4651"/>
      <c r="BM31" s="4651"/>
      <c r="BN31" s="4651"/>
      <c r="BO31" s="4651"/>
      <c r="BP31" s="4651"/>
      <c r="BQ31" s="4651"/>
      <c r="BR31" s="4651"/>
      <c r="BS31" s="4651"/>
      <c r="BT31" s="4651"/>
      <c r="BU31" s="4651"/>
      <c r="BV31" s="4651"/>
      <c r="BW31" s="4651"/>
      <c r="BX31" s="4652"/>
      <c r="BY31" s="4653"/>
      <c r="BZ31" s="4653"/>
      <c r="CA31" s="4685" t="str">
        <f t="shared" si="5"/>
        <v/>
      </c>
      <c r="CB31" s="4685" t="str">
        <f t="shared" si="0"/>
        <v/>
      </c>
      <c r="CC31" s="4685" t="str">
        <f t="shared" si="6"/>
        <v/>
      </c>
      <c r="CD31" s="4685" t="str">
        <f t="shared" si="7"/>
        <v/>
      </c>
      <c r="CE31" s="4655"/>
      <c r="CF31" s="4655"/>
      <c r="CG31" s="4654"/>
      <c r="CH31" s="4654"/>
      <c r="CI31" s="4654"/>
      <c r="CJ31" s="4654"/>
      <c r="CK31" s="4654"/>
      <c r="CL31" s="4654"/>
      <c r="CM31" s="4654"/>
      <c r="CN31" s="4654"/>
      <c r="CO31" s="4654"/>
      <c r="CP31" s="4654"/>
      <c r="CQ31" s="4654"/>
      <c r="CR31" s="4654"/>
      <c r="CS31" s="4654"/>
      <c r="CT31" s="4654"/>
      <c r="CU31" s="4654"/>
      <c r="CV31" s="4654"/>
      <c r="CW31" s="4654"/>
      <c r="CX31" s="4654"/>
      <c r="CY31" s="4654"/>
      <c r="CZ31" s="4654"/>
      <c r="DA31" s="4686">
        <f t="shared" si="1"/>
        <v>0</v>
      </c>
      <c r="DB31" s="4686">
        <f t="shared" si="11"/>
        <v>0</v>
      </c>
      <c r="DC31" s="4686">
        <f t="shared" si="9"/>
        <v>0</v>
      </c>
      <c r="DD31" s="4686">
        <f t="shared" si="10"/>
        <v>0</v>
      </c>
      <c r="DE31" s="4687"/>
      <c r="DF31" s="4687"/>
      <c r="DG31" s="4687"/>
      <c r="DH31" s="4687"/>
      <c r="DI31" s="4687"/>
      <c r="DJ31" s="4687"/>
      <c r="DK31" s="4687"/>
      <c r="DL31" s="4687"/>
      <c r="DM31" s="4687"/>
      <c r="DN31" s="4687"/>
      <c r="DO31" s="4687"/>
      <c r="DP31" s="4687"/>
      <c r="DQ31" s="4653"/>
      <c r="DR31" s="4653"/>
      <c r="DS31" s="4653"/>
      <c r="DT31" s="4653"/>
      <c r="DU31" s="4653"/>
      <c r="DV31" s="4653"/>
      <c r="DW31" s="4653"/>
      <c r="DX31" s="4653"/>
      <c r="DY31" s="4653"/>
      <c r="DZ31" s="4653"/>
      <c r="EA31" s="4653"/>
      <c r="EB31" s="4653"/>
      <c r="EC31" s="4653"/>
      <c r="ED31" s="4653"/>
      <c r="EE31" s="4653"/>
      <c r="EF31" s="4653"/>
      <c r="EG31" s="4653"/>
      <c r="EH31" s="4653"/>
      <c r="EI31" s="4653"/>
      <c r="EJ31" s="4653"/>
      <c r="EK31" s="4653"/>
      <c r="EL31" s="4653"/>
      <c r="EM31" s="4653"/>
      <c r="EN31" s="4653"/>
      <c r="EO31" s="4653"/>
      <c r="EP31" s="4653"/>
      <c r="EQ31" s="4653"/>
      <c r="ER31" s="4653"/>
      <c r="ES31" s="4653"/>
      <c r="ET31" s="4653"/>
      <c r="EU31" s="4653"/>
      <c r="EV31" s="4653"/>
      <c r="EW31" s="4653"/>
      <c r="EX31" s="4653"/>
      <c r="EY31" s="4653"/>
      <c r="EZ31" s="4653"/>
      <c r="FA31" s="4653"/>
      <c r="FB31" s="4653"/>
      <c r="FC31" s="4653"/>
      <c r="FD31" s="4653"/>
      <c r="FE31" s="4653"/>
      <c r="FF31" s="4653"/>
      <c r="FG31" s="4653"/>
      <c r="FH31" s="4653"/>
      <c r="FI31" s="4653"/>
      <c r="FJ31" s="4653"/>
      <c r="FK31" s="4653"/>
      <c r="FL31" s="4653"/>
      <c r="FM31" s="4653"/>
      <c r="FN31" s="4653"/>
      <c r="FO31" s="4653"/>
      <c r="FP31" s="4653"/>
      <c r="FQ31" s="4653"/>
      <c r="FR31" s="4653"/>
      <c r="FS31" s="4653"/>
      <c r="FT31" s="4653"/>
      <c r="FU31" s="4653"/>
      <c r="FV31" s="4653"/>
      <c r="FW31" s="4653"/>
      <c r="FX31" s="4653"/>
      <c r="FY31" s="4653"/>
      <c r="FZ31" s="4653"/>
      <c r="GA31" s="4653"/>
      <c r="GB31" s="4653"/>
      <c r="GC31" s="4653"/>
      <c r="GD31" s="4653"/>
      <c r="GE31" s="4653"/>
      <c r="GF31" s="4653"/>
      <c r="GG31" s="4653"/>
      <c r="GH31" s="4653"/>
      <c r="GI31" s="4653"/>
      <c r="GJ31" s="4653"/>
      <c r="GK31" s="4653"/>
      <c r="GL31" s="4653"/>
      <c r="GM31" s="4653"/>
      <c r="GN31" s="4653"/>
      <c r="GO31" s="4653"/>
      <c r="GP31" s="4653"/>
      <c r="GQ31" s="4653"/>
      <c r="GR31" s="4653"/>
      <c r="GS31" s="4653"/>
      <c r="GT31" s="4653"/>
      <c r="GU31" s="4653"/>
      <c r="GV31" s="4653"/>
      <c r="GW31" s="4653"/>
      <c r="GX31" s="4653"/>
      <c r="GY31" s="4653"/>
      <c r="GZ31" s="4653"/>
      <c r="HA31" s="4653"/>
      <c r="HB31" s="4653"/>
      <c r="HC31" s="4653"/>
      <c r="HD31" s="4653"/>
      <c r="HE31" s="4653"/>
      <c r="HF31" s="4653"/>
      <c r="HG31" s="4653"/>
      <c r="HH31" s="4653"/>
      <c r="HI31" s="4653"/>
      <c r="HJ31" s="4653"/>
      <c r="HK31" s="4653"/>
      <c r="HL31" s="4653"/>
      <c r="HM31" s="4653"/>
      <c r="HN31" s="4653"/>
      <c r="HO31" s="4653"/>
      <c r="HP31" s="4653"/>
      <c r="HQ31" s="4653"/>
      <c r="HR31" s="4653"/>
      <c r="HS31" s="4653"/>
      <c r="HT31" s="4653"/>
      <c r="HU31" s="4653"/>
      <c r="HV31" s="4653"/>
      <c r="HW31" s="4653"/>
      <c r="HX31" s="4653"/>
      <c r="HY31" s="4653"/>
      <c r="HZ31" s="4653"/>
    </row>
    <row r="32" spans="1:234" s="4688" customFormat="1" ht="24" customHeight="1" x14ac:dyDescent="0.2">
      <c r="A32" s="10219" t="s">
        <v>1707</v>
      </c>
      <c r="B32" s="10220"/>
      <c r="C32" s="4704">
        <f>SUM(D32:G32)</f>
        <v>0</v>
      </c>
      <c r="D32" s="4705"/>
      <c r="E32" s="4706"/>
      <c r="F32" s="4706"/>
      <c r="G32" s="4707"/>
      <c r="H32" s="4708"/>
      <c r="I32" s="4709"/>
      <c r="J32" s="4705"/>
      <c r="K32" s="4708"/>
      <c r="L32" s="4707"/>
      <c r="M32" s="4696"/>
      <c r="N32" s="4710"/>
      <c r="O32" s="4710"/>
      <c r="P32" s="4710"/>
      <c r="Q32" s="4683" t="str">
        <f t="shared" si="4"/>
        <v/>
      </c>
      <c r="R32" s="4684"/>
      <c r="S32" s="4684"/>
      <c r="T32" s="4684"/>
      <c r="U32" s="4684"/>
      <c r="V32" s="4684"/>
      <c r="W32" s="4684"/>
      <c r="X32" s="4684"/>
      <c r="Y32" s="4657"/>
      <c r="Z32" s="4657"/>
      <c r="AA32" s="4657"/>
      <c r="AB32" s="4651"/>
      <c r="AC32" s="4651"/>
      <c r="AD32" s="4651"/>
      <c r="AE32" s="4651"/>
      <c r="AF32" s="4651"/>
      <c r="AG32" s="4651"/>
      <c r="AH32" s="4651"/>
      <c r="AI32" s="4651"/>
      <c r="AJ32" s="4651"/>
      <c r="AK32" s="4651"/>
      <c r="AL32" s="4651"/>
      <c r="AM32" s="4651"/>
      <c r="AN32" s="4651"/>
      <c r="AO32" s="4651"/>
      <c r="AP32" s="4651"/>
      <c r="AQ32" s="4651"/>
      <c r="AR32" s="4651"/>
      <c r="AS32" s="4651"/>
      <c r="AT32" s="4651"/>
      <c r="AU32" s="4651"/>
      <c r="AV32" s="4651"/>
      <c r="AW32" s="4651"/>
      <c r="AX32" s="4651"/>
      <c r="AY32" s="4651"/>
      <c r="AZ32" s="4651"/>
      <c r="BA32" s="4651"/>
      <c r="BB32" s="4651"/>
      <c r="BC32" s="4651"/>
      <c r="BD32" s="4651"/>
      <c r="BE32" s="4651"/>
      <c r="BF32" s="4651"/>
      <c r="BG32" s="4651"/>
      <c r="BH32" s="4651"/>
      <c r="BI32" s="4651"/>
      <c r="BJ32" s="4651"/>
      <c r="BK32" s="4651"/>
      <c r="BL32" s="4651"/>
      <c r="BM32" s="4651"/>
      <c r="BN32" s="4651"/>
      <c r="BO32" s="4651"/>
      <c r="BP32" s="4651"/>
      <c r="BQ32" s="4651"/>
      <c r="BR32" s="4651"/>
      <c r="BS32" s="4651"/>
      <c r="BT32" s="4651"/>
      <c r="BU32" s="4651"/>
      <c r="BV32" s="4651"/>
      <c r="BW32" s="4651"/>
      <c r="BX32" s="4652"/>
      <c r="BY32" s="4653"/>
      <c r="BZ32" s="4653"/>
      <c r="CA32" s="4685" t="str">
        <f t="shared" si="5"/>
        <v/>
      </c>
      <c r="CB32" s="4685" t="str">
        <f>IF(DB32=1,"* Programa de Atención Domiciliaria a Personas con Dependencia Severa debe ser MENOR O IGUAL al Total. ","")</f>
        <v/>
      </c>
      <c r="CC32" s="4685" t="str">
        <f t="shared" si="6"/>
        <v/>
      </c>
      <c r="CD32" s="4685" t="str">
        <f t="shared" si="7"/>
        <v/>
      </c>
      <c r="CE32" s="4655"/>
      <c r="CF32" s="4655"/>
      <c r="CG32" s="4654"/>
      <c r="CH32" s="4654"/>
      <c r="CI32" s="4654"/>
      <c r="CJ32" s="4654"/>
      <c r="CK32" s="4654"/>
      <c r="CL32" s="4654"/>
      <c r="CM32" s="4654"/>
      <c r="CN32" s="4654"/>
      <c r="CO32" s="4654"/>
      <c r="CP32" s="4654"/>
      <c r="CQ32" s="4654"/>
      <c r="CR32" s="4654"/>
      <c r="CS32" s="4654"/>
      <c r="CT32" s="4654"/>
      <c r="CU32" s="4654"/>
      <c r="CV32" s="4654"/>
      <c r="CW32" s="4654"/>
      <c r="CX32" s="4654"/>
      <c r="CY32" s="4654"/>
      <c r="CZ32" s="4654"/>
      <c r="DA32" s="4686"/>
      <c r="DB32" s="4686">
        <f t="shared" si="11"/>
        <v>0</v>
      </c>
      <c r="DC32" s="4686">
        <f t="shared" si="9"/>
        <v>0</v>
      </c>
      <c r="DD32" s="4686">
        <f t="shared" si="10"/>
        <v>0</v>
      </c>
      <c r="DE32" s="4687"/>
      <c r="DF32" s="4687"/>
      <c r="DG32" s="4687"/>
      <c r="DH32" s="4687"/>
      <c r="DI32" s="4687"/>
      <c r="DJ32" s="4687"/>
      <c r="DK32" s="4687"/>
      <c r="DL32" s="4687"/>
      <c r="DM32" s="4687"/>
      <c r="DN32" s="4687"/>
      <c r="DO32" s="4687"/>
      <c r="DP32" s="4687"/>
      <c r="DQ32" s="4653"/>
      <c r="DR32" s="4653"/>
      <c r="DS32" s="4653"/>
      <c r="DT32" s="4653"/>
      <c r="DU32" s="4653"/>
      <c r="DV32" s="4653"/>
      <c r="DW32" s="4653"/>
      <c r="DX32" s="4653"/>
      <c r="DY32" s="4653"/>
      <c r="DZ32" s="4653"/>
      <c r="EA32" s="4653"/>
      <c r="EB32" s="4653"/>
      <c r="EC32" s="4653"/>
      <c r="ED32" s="4653"/>
      <c r="EE32" s="4653"/>
      <c r="EF32" s="4653"/>
      <c r="EG32" s="4653"/>
      <c r="EH32" s="4653"/>
      <c r="EI32" s="4653"/>
      <c r="EJ32" s="4653"/>
      <c r="EK32" s="4653"/>
      <c r="EL32" s="4653"/>
      <c r="EM32" s="4653"/>
      <c r="EN32" s="4653"/>
      <c r="EO32" s="4653"/>
      <c r="EP32" s="4653"/>
      <c r="EQ32" s="4653"/>
      <c r="ER32" s="4653"/>
      <c r="ES32" s="4653"/>
      <c r="ET32" s="4653"/>
      <c r="EU32" s="4653"/>
      <c r="EV32" s="4653"/>
      <c r="EW32" s="4653"/>
      <c r="EX32" s="4653"/>
      <c r="EY32" s="4653"/>
      <c r="EZ32" s="4653"/>
      <c r="FA32" s="4653"/>
      <c r="FB32" s="4653"/>
      <c r="FC32" s="4653"/>
      <c r="FD32" s="4653"/>
      <c r="FE32" s="4653"/>
      <c r="FF32" s="4653"/>
      <c r="FG32" s="4653"/>
      <c r="FH32" s="4653"/>
      <c r="FI32" s="4653"/>
      <c r="FJ32" s="4653"/>
      <c r="FK32" s="4653"/>
      <c r="FL32" s="4653"/>
      <c r="FM32" s="4653"/>
      <c r="FN32" s="4653"/>
      <c r="FO32" s="4653"/>
      <c r="FP32" s="4653"/>
      <c r="FQ32" s="4653"/>
      <c r="FR32" s="4653"/>
      <c r="FS32" s="4653"/>
      <c r="FT32" s="4653"/>
      <c r="FU32" s="4653"/>
      <c r="FV32" s="4653"/>
      <c r="FW32" s="4653"/>
      <c r="FX32" s="4653"/>
      <c r="FY32" s="4653"/>
      <c r="FZ32" s="4653"/>
      <c r="GA32" s="4653"/>
      <c r="GB32" s="4653"/>
      <c r="GC32" s="4653"/>
      <c r="GD32" s="4653"/>
      <c r="GE32" s="4653"/>
      <c r="GF32" s="4653"/>
      <c r="GG32" s="4653"/>
      <c r="GH32" s="4653"/>
      <c r="GI32" s="4653"/>
      <c r="GJ32" s="4653"/>
      <c r="GK32" s="4653"/>
      <c r="GL32" s="4653"/>
      <c r="GM32" s="4653"/>
      <c r="GN32" s="4653"/>
      <c r="GO32" s="4653"/>
      <c r="GP32" s="4653"/>
      <c r="GQ32" s="4653"/>
      <c r="GR32" s="4653"/>
      <c r="GS32" s="4653"/>
      <c r="GT32" s="4653"/>
      <c r="GU32" s="4653"/>
      <c r="GV32" s="4653"/>
      <c r="GW32" s="4653"/>
      <c r="GX32" s="4653"/>
      <c r="GY32" s="4653"/>
      <c r="GZ32" s="4653"/>
      <c r="HA32" s="4653"/>
      <c r="HB32" s="4653"/>
      <c r="HC32" s="4653"/>
      <c r="HD32" s="4653"/>
      <c r="HE32" s="4653"/>
      <c r="HF32" s="4653"/>
      <c r="HG32" s="4653"/>
      <c r="HH32" s="4653"/>
      <c r="HI32" s="4653"/>
      <c r="HJ32" s="4653"/>
      <c r="HK32" s="4653"/>
      <c r="HL32" s="4653"/>
      <c r="HM32" s="4653"/>
      <c r="HN32" s="4653"/>
      <c r="HO32" s="4653"/>
      <c r="HP32" s="4653"/>
      <c r="HQ32" s="4653"/>
      <c r="HR32" s="4653"/>
      <c r="HS32" s="4653"/>
      <c r="HT32" s="4653"/>
      <c r="HU32" s="4653"/>
      <c r="HV32" s="4653"/>
      <c r="HW32" s="4653"/>
      <c r="HX32" s="4653"/>
      <c r="HY32" s="4653"/>
      <c r="HZ32" s="4653"/>
    </row>
    <row r="33" spans="1:234" s="4688" customFormat="1" ht="24" customHeight="1" x14ac:dyDescent="0.2">
      <c r="A33" s="10219" t="s">
        <v>2564</v>
      </c>
      <c r="B33" s="10220"/>
      <c r="C33" s="4704">
        <f>SUM(D33:G33)</f>
        <v>0</v>
      </c>
      <c r="D33" s="4705"/>
      <c r="E33" s="4706"/>
      <c r="F33" s="4706"/>
      <c r="G33" s="4707"/>
      <c r="H33" s="4708"/>
      <c r="I33" s="4709"/>
      <c r="J33" s="4705"/>
      <c r="K33" s="4708"/>
      <c r="L33" s="4707"/>
      <c r="M33" s="4696"/>
      <c r="N33" s="4710"/>
      <c r="O33" s="4710"/>
      <c r="P33" s="4710"/>
      <c r="Q33" s="4683" t="str">
        <f t="shared" si="4"/>
        <v/>
      </c>
      <c r="R33" s="4684"/>
      <c r="S33" s="4684"/>
      <c r="T33" s="4684"/>
      <c r="U33" s="4684"/>
      <c r="V33" s="4684"/>
      <c r="W33" s="4684"/>
      <c r="X33" s="4684"/>
      <c r="Y33" s="4657"/>
      <c r="Z33" s="4657"/>
      <c r="AA33" s="4657"/>
      <c r="AB33" s="4651"/>
      <c r="AC33" s="4651"/>
      <c r="AD33" s="4651"/>
      <c r="AE33" s="4651"/>
      <c r="AF33" s="4651"/>
      <c r="AG33" s="4651"/>
      <c r="AH33" s="4651"/>
      <c r="AI33" s="4651"/>
      <c r="AJ33" s="4651"/>
      <c r="AK33" s="4651"/>
      <c r="AL33" s="4651"/>
      <c r="AM33" s="4651"/>
      <c r="AN33" s="4651"/>
      <c r="AO33" s="4651"/>
      <c r="AP33" s="4651"/>
      <c r="AQ33" s="4651"/>
      <c r="AR33" s="4651"/>
      <c r="AS33" s="4651"/>
      <c r="AT33" s="4651"/>
      <c r="AU33" s="4651"/>
      <c r="AV33" s="4651"/>
      <c r="AW33" s="4651"/>
      <c r="AX33" s="4651"/>
      <c r="AY33" s="4651"/>
      <c r="AZ33" s="4651"/>
      <c r="BA33" s="4651"/>
      <c r="BB33" s="4651"/>
      <c r="BC33" s="4651"/>
      <c r="BD33" s="4651"/>
      <c r="BE33" s="4651"/>
      <c r="BF33" s="4651"/>
      <c r="BG33" s="4651"/>
      <c r="BH33" s="4651"/>
      <c r="BI33" s="4651"/>
      <c r="BJ33" s="4651"/>
      <c r="BK33" s="4651"/>
      <c r="BL33" s="4651"/>
      <c r="BM33" s="4651"/>
      <c r="BN33" s="4651"/>
      <c r="BO33" s="4651"/>
      <c r="BP33" s="4651"/>
      <c r="BQ33" s="4651"/>
      <c r="BR33" s="4651"/>
      <c r="BS33" s="4651"/>
      <c r="BT33" s="4651"/>
      <c r="BU33" s="4651"/>
      <c r="BV33" s="4651"/>
      <c r="BW33" s="4651"/>
      <c r="BX33" s="4652"/>
      <c r="BY33" s="4653"/>
      <c r="BZ33" s="4653"/>
      <c r="CA33" s="4685" t="str">
        <f t="shared" si="5"/>
        <v/>
      </c>
      <c r="CB33" s="4685" t="str">
        <f>IF(DB33=1,"* Programa de Atención Domiciliaria a Personas con Dependencia Severa debe ser MENOR O IGUAL al Total. ","")</f>
        <v/>
      </c>
      <c r="CC33" s="4685" t="str">
        <f t="shared" si="6"/>
        <v/>
      </c>
      <c r="CD33" s="4685" t="str">
        <f t="shared" si="7"/>
        <v/>
      </c>
      <c r="CE33" s="4655"/>
      <c r="CF33" s="4655"/>
      <c r="CG33" s="4654"/>
      <c r="CH33" s="4654"/>
      <c r="CI33" s="4654"/>
      <c r="CJ33" s="4654"/>
      <c r="CK33" s="4654"/>
      <c r="CL33" s="4654"/>
      <c r="CM33" s="4654"/>
      <c r="CN33" s="4654"/>
      <c r="CO33" s="4654"/>
      <c r="CP33" s="4654"/>
      <c r="CQ33" s="4654"/>
      <c r="CR33" s="4654"/>
      <c r="CS33" s="4654"/>
      <c r="CT33" s="4654"/>
      <c r="CU33" s="4654"/>
      <c r="CV33" s="4654"/>
      <c r="CW33" s="4654"/>
      <c r="CX33" s="4654"/>
      <c r="CY33" s="4654"/>
      <c r="CZ33" s="4654"/>
      <c r="DA33" s="4686">
        <f>IF((K33+J33+L33)&lt;&gt;C33,1,0)</f>
        <v>0</v>
      </c>
      <c r="DB33" s="4686">
        <f t="shared" si="11"/>
        <v>0</v>
      </c>
      <c r="DC33" s="4686">
        <f t="shared" si="9"/>
        <v>0</v>
      </c>
      <c r="DD33" s="4686">
        <f t="shared" si="10"/>
        <v>0</v>
      </c>
      <c r="DE33" s="4687"/>
      <c r="DF33" s="4687"/>
      <c r="DG33" s="4687"/>
      <c r="DH33" s="4687"/>
      <c r="DI33" s="4687"/>
      <c r="DJ33" s="4687"/>
      <c r="DK33" s="4687"/>
      <c r="DL33" s="4687"/>
      <c r="DM33" s="4687"/>
      <c r="DN33" s="4687"/>
      <c r="DO33" s="4687"/>
      <c r="DP33" s="4687"/>
      <c r="DQ33" s="4653"/>
      <c r="DR33" s="4653"/>
      <c r="DS33" s="4653"/>
      <c r="DT33" s="4653"/>
      <c r="DU33" s="4653"/>
      <c r="DV33" s="4653"/>
      <c r="DW33" s="4653"/>
      <c r="DX33" s="4653"/>
      <c r="DY33" s="4653"/>
      <c r="DZ33" s="4653"/>
      <c r="EA33" s="4653"/>
      <c r="EB33" s="4653"/>
      <c r="EC33" s="4653"/>
      <c r="ED33" s="4653"/>
      <c r="EE33" s="4653"/>
      <c r="EF33" s="4653"/>
      <c r="EG33" s="4653"/>
      <c r="EH33" s="4653"/>
      <c r="EI33" s="4653"/>
      <c r="EJ33" s="4653"/>
      <c r="EK33" s="4653"/>
      <c r="EL33" s="4653"/>
      <c r="EM33" s="4653"/>
      <c r="EN33" s="4653"/>
      <c r="EO33" s="4653"/>
      <c r="EP33" s="4653"/>
      <c r="EQ33" s="4653"/>
      <c r="ER33" s="4653"/>
      <c r="ES33" s="4653"/>
      <c r="ET33" s="4653"/>
      <c r="EU33" s="4653"/>
      <c r="EV33" s="4653"/>
      <c r="EW33" s="4653"/>
      <c r="EX33" s="4653"/>
      <c r="EY33" s="4653"/>
      <c r="EZ33" s="4653"/>
      <c r="FA33" s="4653"/>
      <c r="FB33" s="4653"/>
      <c r="FC33" s="4653"/>
      <c r="FD33" s="4653"/>
      <c r="FE33" s="4653"/>
      <c r="FF33" s="4653"/>
      <c r="FG33" s="4653"/>
      <c r="FH33" s="4653"/>
      <c r="FI33" s="4653"/>
      <c r="FJ33" s="4653"/>
      <c r="FK33" s="4653"/>
      <c r="FL33" s="4653"/>
      <c r="FM33" s="4653"/>
      <c r="FN33" s="4653"/>
      <c r="FO33" s="4653"/>
      <c r="FP33" s="4653"/>
      <c r="FQ33" s="4653"/>
      <c r="FR33" s="4653"/>
      <c r="FS33" s="4653"/>
      <c r="FT33" s="4653"/>
      <c r="FU33" s="4653"/>
      <c r="FV33" s="4653"/>
      <c r="FW33" s="4653"/>
      <c r="FX33" s="4653"/>
      <c r="FY33" s="4653"/>
      <c r="FZ33" s="4653"/>
      <c r="GA33" s="4653"/>
      <c r="GB33" s="4653"/>
      <c r="GC33" s="4653"/>
      <c r="GD33" s="4653"/>
      <c r="GE33" s="4653"/>
      <c r="GF33" s="4653"/>
      <c r="GG33" s="4653"/>
      <c r="GH33" s="4653"/>
      <c r="GI33" s="4653"/>
      <c r="GJ33" s="4653"/>
      <c r="GK33" s="4653"/>
      <c r="GL33" s="4653"/>
      <c r="GM33" s="4653"/>
      <c r="GN33" s="4653"/>
      <c r="GO33" s="4653"/>
      <c r="GP33" s="4653"/>
      <c r="GQ33" s="4653"/>
      <c r="GR33" s="4653"/>
      <c r="GS33" s="4653"/>
      <c r="GT33" s="4653"/>
      <c r="GU33" s="4653"/>
      <c r="GV33" s="4653"/>
      <c r="GW33" s="4653"/>
      <c r="GX33" s="4653"/>
      <c r="GY33" s="4653"/>
      <c r="GZ33" s="4653"/>
      <c r="HA33" s="4653"/>
      <c r="HB33" s="4653"/>
      <c r="HC33" s="4653"/>
      <c r="HD33" s="4653"/>
      <c r="HE33" s="4653"/>
      <c r="HF33" s="4653"/>
      <c r="HG33" s="4653"/>
      <c r="HH33" s="4653"/>
      <c r="HI33" s="4653"/>
      <c r="HJ33" s="4653"/>
      <c r="HK33" s="4653"/>
      <c r="HL33" s="4653"/>
      <c r="HM33" s="4653"/>
      <c r="HN33" s="4653"/>
      <c r="HO33" s="4653"/>
      <c r="HP33" s="4653"/>
      <c r="HQ33" s="4653"/>
      <c r="HR33" s="4653"/>
      <c r="HS33" s="4653"/>
      <c r="HT33" s="4653"/>
      <c r="HU33" s="4653"/>
      <c r="HV33" s="4653"/>
      <c r="HW33" s="4653"/>
      <c r="HX33" s="4653"/>
      <c r="HY33" s="4653"/>
      <c r="HZ33" s="4653"/>
    </row>
    <row r="34" spans="1:234" s="4688" customFormat="1" ht="24" customHeight="1" x14ac:dyDescent="0.2">
      <c r="A34" s="10221" t="s">
        <v>2635</v>
      </c>
      <c r="B34" s="10222"/>
      <c r="C34" s="4711">
        <f>SUM(D34:G34)</f>
        <v>0</v>
      </c>
      <c r="D34" s="4712"/>
      <c r="E34" s="4713"/>
      <c r="F34" s="4713"/>
      <c r="G34" s="4714"/>
      <c r="H34" s="4677"/>
      <c r="I34" s="4715"/>
      <c r="J34" s="4712"/>
      <c r="K34" s="4677"/>
      <c r="L34" s="4714"/>
      <c r="M34" s="4696"/>
      <c r="N34" s="4716"/>
      <c r="O34" s="4716"/>
      <c r="P34" s="4716"/>
      <c r="Q34" s="4683" t="str">
        <f t="shared" si="4"/>
        <v/>
      </c>
      <c r="R34" s="4684"/>
      <c r="S34" s="4684"/>
      <c r="T34" s="4684"/>
      <c r="U34" s="4684"/>
      <c r="V34" s="4684"/>
      <c r="W34" s="4684"/>
      <c r="X34" s="4684"/>
      <c r="Y34" s="4657"/>
      <c r="Z34" s="4657"/>
      <c r="AA34" s="4657"/>
      <c r="AB34" s="4651"/>
      <c r="AC34" s="4651"/>
      <c r="AD34" s="4651"/>
      <c r="AE34" s="4651"/>
      <c r="AF34" s="4651"/>
      <c r="AG34" s="4651"/>
      <c r="AH34" s="4651"/>
      <c r="AI34" s="4651"/>
      <c r="AJ34" s="4651"/>
      <c r="AK34" s="4651"/>
      <c r="AL34" s="4651"/>
      <c r="AM34" s="4651"/>
      <c r="AN34" s="4651"/>
      <c r="AO34" s="4651"/>
      <c r="AP34" s="4651"/>
      <c r="AQ34" s="4651"/>
      <c r="AR34" s="4651"/>
      <c r="AS34" s="4651"/>
      <c r="AT34" s="4651"/>
      <c r="AU34" s="4651"/>
      <c r="AV34" s="4651"/>
      <c r="AW34" s="4651"/>
      <c r="AX34" s="4651"/>
      <c r="AY34" s="4651"/>
      <c r="AZ34" s="4651"/>
      <c r="BA34" s="4651"/>
      <c r="BB34" s="4651"/>
      <c r="BC34" s="4651"/>
      <c r="BD34" s="4651"/>
      <c r="BE34" s="4651"/>
      <c r="BF34" s="4651"/>
      <c r="BG34" s="4651"/>
      <c r="BH34" s="4651"/>
      <c r="BI34" s="4651"/>
      <c r="BJ34" s="4651"/>
      <c r="BK34" s="4651"/>
      <c r="BL34" s="4651"/>
      <c r="BM34" s="4651"/>
      <c r="BN34" s="4651"/>
      <c r="BO34" s="4651"/>
      <c r="BP34" s="4651"/>
      <c r="BQ34" s="4651"/>
      <c r="BR34" s="4651"/>
      <c r="BS34" s="4651"/>
      <c r="BT34" s="4651"/>
      <c r="BU34" s="4651"/>
      <c r="BV34" s="4651"/>
      <c r="BW34" s="4651"/>
      <c r="BX34" s="4652"/>
      <c r="BY34" s="4653"/>
      <c r="BZ34" s="4653"/>
      <c r="CA34" s="4685" t="str">
        <f t="shared" si="5"/>
        <v/>
      </c>
      <c r="CB34" s="4685" t="str">
        <f>IF(DB34=1,"* Programa de Atención Domiciliaria a Personas con Dependencia Severa debe ser MENOR O IGUAL al Total. ","")</f>
        <v/>
      </c>
      <c r="CC34" s="4685" t="str">
        <f t="shared" si="6"/>
        <v/>
      </c>
      <c r="CD34" s="4685" t="str">
        <f t="shared" si="7"/>
        <v/>
      </c>
      <c r="CE34" s="4655"/>
      <c r="CF34" s="4655"/>
      <c r="CG34" s="4654"/>
      <c r="CH34" s="4654"/>
      <c r="CI34" s="4654"/>
      <c r="CJ34" s="4654"/>
      <c r="CK34" s="4654"/>
      <c r="CL34" s="4654"/>
      <c r="CM34" s="4654"/>
      <c r="CN34" s="4654"/>
      <c r="CO34" s="4654"/>
      <c r="CP34" s="4654"/>
      <c r="CQ34" s="4654"/>
      <c r="CR34" s="4654"/>
      <c r="CS34" s="4654"/>
      <c r="CT34" s="4654"/>
      <c r="CU34" s="4654"/>
      <c r="CV34" s="4654"/>
      <c r="CW34" s="4654"/>
      <c r="CX34" s="4654"/>
      <c r="CY34" s="4654"/>
      <c r="CZ34" s="4654"/>
      <c r="DA34" s="4686">
        <f>IF((K34+J34+L34)&lt;&gt;C34,1,0)</f>
        <v>0</v>
      </c>
      <c r="DB34" s="4686">
        <f t="shared" si="11"/>
        <v>0</v>
      </c>
      <c r="DC34" s="4686">
        <f t="shared" si="9"/>
        <v>0</v>
      </c>
      <c r="DD34" s="4686">
        <f t="shared" si="10"/>
        <v>0</v>
      </c>
      <c r="DE34" s="4687"/>
      <c r="DF34" s="4687"/>
      <c r="DG34" s="4687"/>
      <c r="DH34" s="4687"/>
      <c r="DI34" s="4687"/>
      <c r="DJ34" s="4687"/>
      <c r="DK34" s="4687"/>
      <c r="DL34" s="4687"/>
      <c r="DM34" s="4687"/>
      <c r="DN34" s="4687"/>
      <c r="DO34" s="4687"/>
      <c r="DP34" s="4687"/>
      <c r="DQ34" s="4653"/>
      <c r="DR34" s="4653"/>
      <c r="DS34" s="4653"/>
      <c r="DT34" s="4653"/>
      <c r="DU34" s="4653"/>
      <c r="DV34" s="4653"/>
      <c r="DW34" s="4653"/>
      <c r="DX34" s="4653"/>
      <c r="DY34" s="4653"/>
      <c r="DZ34" s="4653"/>
      <c r="EA34" s="4653"/>
      <c r="EB34" s="4653"/>
      <c r="EC34" s="4653"/>
      <c r="ED34" s="4653"/>
      <c r="EE34" s="4653"/>
      <c r="EF34" s="4653"/>
      <c r="EG34" s="4653"/>
      <c r="EH34" s="4653"/>
      <c r="EI34" s="4653"/>
      <c r="EJ34" s="4653"/>
      <c r="EK34" s="4653"/>
      <c r="EL34" s="4653"/>
      <c r="EM34" s="4653"/>
      <c r="EN34" s="4653"/>
      <c r="EO34" s="4653"/>
      <c r="EP34" s="4653"/>
      <c r="EQ34" s="4653"/>
      <c r="ER34" s="4653"/>
      <c r="ES34" s="4653"/>
      <c r="ET34" s="4653"/>
      <c r="EU34" s="4653"/>
      <c r="EV34" s="4653"/>
      <c r="EW34" s="4653"/>
      <c r="EX34" s="4653"/>
      <c r="EY34" s="4653"/>
      <c r="EZ34" s="4653"/>
      <c r="FA34" s="4653"/>
      <c r="FB34" s="4653"/>
      <c r="FC34" s="4653"/>
      <c r="FD34" s="4653"/>
      <c r="FE34" s="4653"/>
      <c r="FF34" s="4653"/>
      <c r="FG34" s="4653"/>
      <c r="FH34" s="4653"/>
      <c r="FI34" s="4653"/>
      <c r="FJ34" s="4653"/>
      <c r="FK34" s="4653"/>
      <c r="FL34" s="4653"/>
      <c r="FM34" s="4653"/>
      <c r="FN34" s="4653"/>
      <c r="FO34" s="4653"/>
      <c r="FP34" s="4653"/>
      <c r="FQ34" s="4653"/>
      <c r="FR34" s="4653"/>
      <c r="FS34" s="4653"/>
      <c r="FT34" s="4653"/>
      <c r="FU34" s="4653"/>
      <c r="FV34" s="4653"/>
      <c r="FW34" s="4653"/>
      <c r="FX34" s="4653"/>
      <c r="FY34" s="4653"/>
      <c r="FZ34" s="4653"/>
      <c r="GA34" s="4653"/>
      <c r="GB34" s="4653"/>
      <c r="GC34" s="4653"/>
      <c r="GD34" s="4653"/>
      <c r="GE34" s="4653"/>
      <c r="GF34" s="4653"/>
      <c r="GG34" s="4653"/>
      <c r="GH34" s="4653"/>
      <c r="GI34" s="4653"/>
      <c r="GJ34" s="4653"/>
      <c r="GK34" s="4653"/>
      <c r="GL34" s="4653"/>
      <c r="GM34" s="4653"/>
      <c r="GN34" s="4653"/>
      <c r="GO34" s="4653"/>
      <c r="GP34" s="4653"/>
      <c r="GQ34" s="4653"/>
      <c r="GR34" s="4653"/>
      <c r="GS34" s="4653"/>
      <c r="GT34" s="4653"/>
      <c r="GU34" s="4653"/>
      <c r="GV34" s="4653"/>
      <c r="GW34" s="4653"/>
      <c r="GX34" s="4653"/>
      <c r="GY34" s="4653"/>
      <c r="GZ34" s="4653"/>
      <c r="HA34" s="4653"/>
      <c r="HB34" s="4653"/>
      <c r="HC34" s="4653"/>
      <c r="HD34" s="4653"/>
      <c r="HE34" s="4653"/>
      <c r="HF34" s="4653"/>
      <c r="HG34" s="4653"/>
      <c r="HH34" s="4653"/>
      <c r="HI34" s="4653"/>
      <c r="HJ34" s="4653"/>
      <c r="HK34" s="4653"/>
      <c r="HL34" s="4653"/>
      <c r="HM34" s="4653"/>
      <c r="HN34" s="4653"/>
      <c r="HO34" s="4653"/>
      <c r="HP34" s="4653"/>
      <c r="HQ34" s="4653"/>
      <c r="HR34" s="4653"/>
      <c r="HS34" s="4653"/>
      <c r="HT34" s="4653"/>
      <c r="HU34" s="4653"/>
      <c r="HV34" s="4653"/>
      <c r="HW34" s="4653"/>
      <c r="HX34" s="4653"/>
      <c r="HY34" s="4653"/>
      <c r="HZ34" s="4653"/>
    </row>
    <row r="35" spans="1:234" s="4688" customFormat="1" ht="24" customHeight="1" x14ac:dyDescent="0.2">
      <c r="A35" s="10224" t="s">
        <v>2664</v>
      </c>
      <c r="B35" s="10225"/>
      <c r="C35" s="4717">
        <f>SUM(D35:G35)</f>
        <v>0</v>
      </c>
      <c r="D35" s="4718"/>
      <c r="E35" s="4719"/>
      <c r="F35" s="4719"/>
      <c r="G35" s="4720"/>
      <c r="H35" s="4721"/>
      <c r="I35" s="4722"/>
      <c r="J35" s="4718"/>
      <c r="K35" s="4721"/>
      <c r="L35" s="4720"/>
      <c r="M35" s="4723"/>
      <c r="N35" s="4724"/>
      <c r="O35" s="4724"/>
      <c r="P35" s="4724"/>
      <c r="Q35" s="4683" t="str">
        <f t="shared" si="4"/>
        <v/>
      </c>
      <c r="R35" s="4684"/>
      <c r="S35" s="4684"/>
      <c r="T35" s="4684"/>
      <c r="U35" s="4684"/>
      <c r="V35" s="4684"/>
      <c r="W35" s="4684"/>
      <c r="X35" s="4684"/>
      <c r="Y35" s="4657"/>
      <c r="Z35" s="4657"/>
      <c r="AA35" s="4657"/>
      <c r="AB35" s="4651"/>
      <c r="AC35" s="4651"/>
      <c r="AD35" s="4651"/>
      <c r="AE35" s="4651"/>
      <c r="AF35" s="4651"/>
      <c r="AG35" s="4651"/>
      <c r="AH35" s="4651"/>
      <c r="AI35" s="4651"/>
      <c r="AJ35" s="4651"/>
      <c r="AK35" s="4651"/>
      <c r="AL35" s="4651"/>
      <c r="AM35" s="4651"/>
      <c r="AN35" s="4651"/>
      <c r="AO35" s="4651"/>
      <c r="AP35" s="4651"/>
      <c r="AQ35" s="4651"/>
      <c r="AR35" s="4651"/>
      <c r="AS35" s="4651"/>
      <c r="AT35" s="4651"/>
      <c r="AU35" s="4651"/>
      <c r="AV35" s="4651"/>
      <c r="AW35" s="4651"/>
      <c r="AX35" s="4651"/>
      <c r="AY35" s="4651"/>
      <c r="AZ35" s="4651"/>
      <c r="BA35" s="4651"/>
      <c r="BB35" s="4651"/>
      <c r="BC35" s="4651"/>
      <c r="BD35" s="4651"/>
      <c r="BE35" s="4651"/>
      <c r="BF35" s="4651"/>
      <c r="BG35" s="4651"/>
      <c r="BH35" s="4651"/>
      <c r="BI35" s="4651"/>
      <c r="BJ35" s="4651"/>
      <c r="BK35" s="4651"/>
      <c r="BL35" s="4651"/>
      <c r="BM35" s="4651"/>
      <c r="BN35" s="4651"/>
      <c r="BO35" s="4651"/>
      <c r="BP35" s="4651"/>
      <c r="BQ35" s="4651"/>
      <c r="BR35" s="4651"/>
      <c r="BS35" s="4651"/>
      <c r="BT35" s="4651"/>
      <c r="BU35" s="4651"/>
      <c r="BV35" s="4651"/>
      <c r="BW35" s="4651"/>
      <c r="BX35" s="4652"/>
      <c r="BY35" s="4653"/>
      <c r="BZ35" s="4653"/>
      <c r="CA35" s="4685" t="str">
        <f t="shared" si="5"/>
        <v/>
      </c>
      <c r="CB35" s="4685" t="str">
        <f>IF(DB35=1,"* Programa de Atención Domiciliaria a Personas con Dependencia Severa debe ser MENOR O IGUAL al Total. ","")</f>
        <v/>
      </c>
      <c r="CC35" s="4685" t="str">
        <f t="shared" si="6"/>
        <v/>
      </c>
      <c r="CD35" s="4685" t="str">
        <f t="shared" si="7"/>
        <v/>
      </c>
      <c r="CE35" s="4655"/>
      <c r="CF35" s="4655"/>
      <c r="CG35" s="4654"/>
      <c r="CH35" s="4654"/>
      <c r="CI35" s="4654"/>
      <c r="CJ35" s="4654"/>
      <c r="CK35" s="4654"/>
      <c r="CL35" s="4654"/>
      <c r="CM35" s="4654"/>
      <c r="CN35" s="4654"/>
      <c r="CO35" s="4654"/>
      <c r="CP35" s="4654"/>
      <c r="CQ35" s="4654"/>
      <c r="CR35" s="4654"/>
      <c r="CS35" s="4654"/>
      <c r="CT35" s="4654"/>
      <c r="CU35" s="4654"/>
      <c r="CV35" s="4654"/>
      <c r="CW35" s="4654"/>
      <c r="CX35" s="4654"/>
      <c r="CY35" s="4654"/>
      <c r="CZ35" s="4654"/>
      <c r="DA35" s="4686">
        <f>IF((K35+J35+L35)&lt;&gt;C35,1,0)</f>
        <v>0</v>
      </c>
      <c r="DB35" s="4686">
        <f t="shared" si="11"/>
        <v>0</v>
      </c>
      <c r="DC35" s="4686">
        <f t="shared" si="9"/>
        <v>0</v>
      </c>
      <c r="DD35" s="4686">
        <f t="shared" si="10"/>
        <v>0</v>
      </c>
      <c r="DE35" s="4687"/>
      <c r="DF35" s="4687"/>
      <c r="DG35" s="4687"/>
      <c r="DH35" s="4687"/>
      <c r="DI35" s="4687"/>
      <c r="DJ35" s="4687"/>
      <c r="DK35" s="4687"/>
      <c r="DL35" s="4687"/>
      <c r="DM35" s="4687"/>
      <c r="DN35" s="4687"/>
      <c r="DO35" s="4687"/>
      <c r="DP35" s="4687"/>
      <c r="DQ35" s="4653"/>
      <c r="DR35" s="4653"/>
      <c r="DS35" s="4653"/>
      <c r="DT35" s="4653"/>
      <c r="DU35" s="4653"/>
      <c r="DV35" s="4653"/>
      <c r="DW35" s="4653"/>
      <c r="DX35" s="4653"/>
      <c r="DY35" s="4653"/>
      <c r="DZ35" s="4653"/>
      <c r="EA35" s="4653"/>
      <c r="EB35" s="4653"/>
      <c r="EC35" s="4653"/>
      <c r="ED35" s="4653"/>
      <c r="EE35" s="4653"/>
      <c r="EF35" s="4653"/>
      <c r="EG35" s="4653"/>
      <c r="EH35" s="4653"/>
      <c r="EI35" s="4653"/>
      <c r="EJ35" s="4653"/>
      <c r="EK35" s="4653"/>
      <c r="EL35" s="4653"/>
      <c r="EM35" s="4653"/>
      <c r="EN35" s="4653"/>
      <c r="EO35" s="4653"/>
      <c r="EP35" s="4653"/>
      <c r="EQ35" s="4653"/>
      <c r="ER35" s="4653"/>
      <c r="ES35" s="4653"/>
      <c r="ET35" s="4653"/>
      <c r="EU35" s="4653"/>
      <c r="EV35" s="4653"/>
      <c r="EW35" s="4653"/>
      <c r="EX35" s="4653"/>
      <c r="EY35" s="4653"/>
      <c r="EZ35" s="4653"/>
      <c r="FA35" s="4653"/>
      <c r="FB35" s="4653"/>
      <c r="FC35" s="4653"/>
      <c r="FD35" s="4653"/>
      <c r="FE35" s="4653"/>
      <c r="FF35" s="4653"/>
      <c r="FG35" s="4653"/>
      <c r="FH35" s="4653"/>
      <c r="FI35" s="4653"/>
      <c r="FJ35" s="4653"/>
      <c r="FK35" s="4653"/>
      <c r="FL35" s="4653"/>
      <c r="FM35" s="4653"/>
      <c r="FN35" s="4653"/>
      <c r="FO35" s="4653"/>
      <c r="FP35" s="4653"/>
      <c r="FQ35" s="4653"/>
      <c r="FR35" s="4653"/>
      <c r="FS35" s="4653"/>
      <c r="FT35" s="4653"/>
      <c r="FU35" s="4653"/>
      <c r="FV35" s="4653"/>
      <c r="FW35" s="4653"/>
      <c r="FX35" s="4653"/>
      <c r="FY35" s="4653"/>
      <c r="FZ35" s="4653"/>
      <c r="GA35" s="4653"/>
      <c r="GB35" s="4653"/>
      <c r="GC35" s="4653"/>
      <c r="GD35" s="4653"/>
      <c r="GE35" s="4653"/>
      <c r="GF35" s="4653"/>
      <c r="GG35" s="4653"/>
      <c r="GH35" s="4653"/>
      <c r="GI35" s="4653"/>
      <c r="GJ35" s="4653"/>
      <c r="GK35" s="4653"/>
      <c r="GL35" s="4653"/>
      <c r="GM35" s="4653"/>
      <c r="GN35" s="4653"/>
      <c r="GO35" s="4653"/>
      <c r="GP35" s="4653"/>
      <c r="GQ35" s="4653"/>
      <c r="GR35" s="4653"/>
      <c r="GS35" s="4653"/>
      <c r="GT35" s="4653"/>
      <c r="GU35" s="4653"/>
      <c r="GV35" s="4653"/>
      <c r="GW35" s="4653"/>
      <c r="GX35" s="4653"/>
      <c r="GY35" s="4653"/>
      <c r="GZ35" s="4653"/>
      <c r="HA35" s="4653"/>
      <c r="HB35" s="4653"/>
      <c r="HC35" s="4653"/>
      <c r="HD35" s="4653"/>
      <c r="HE35" s="4653"/>
      <c r="HF35" s="4653"/>
      <c r="HG35" s="4653"/>
      <c r="HH35" s="4653"/>
      <c r="HI35" s="4653"/>
      <c r="HJ35" s="4653"/>
      <c r="HK35" s="4653"/>
      <c r="HL35" s="4653"/>
      <c r="HM35" s="4653"/>
      <c r="HN35" s="4653"/>
      <c r="HO35" s="4653"/>
      <c r="HP35" s="4653"/>
      <c r="HQ35" s="4653"/>
      <c r="HR35" s="4653"/>
      <c r="HS35" s="4653"/>
      <c r="HT35" s="4653"/>
      <c r="HU35" s="4653"/>
      <c r="HV35" s="4653"/>
      <c r="HW35" s="4653"/>
      <c r="HX35" s="4653"/>
      <c r="HY35" s="4653"/>
      <c r="HZ35" s="4653"/>
    </row>
    <row r="36" spans="1:234" s="4688" customFormat="1" ht="24" customHeight="1" x14ac:dyDescent="0.2">
      <c r="A36" s="4661" t="s">
        <v>2991</v>
      </c>
      <c r="B36" s="4651"/>
      <c r="C36" s="4651"/>
      <c r="D36" s="4651"/>
      <c r="E36" s="4651"/>
      <c r="F36" s="4684"/>
      <c r="G36" s="4684"/>
      <c r="H36" s="4684"/>
      <c r="I36" s="4684"/>
      <c r="J36" s="4684"/>
      <c r="K36" s="4684"/>
      <c r="L36" s="4684"/>
      <c r="M36" s="4684"/>
      <c r="N36" s="4684"/>
      <c r="O36" s="4684"/>
      <c r="P36" s="4684"/>
      <c r="Q36" s="4684"/>
      <c r="R36" s="4684"/>
      <c r="S36" s="4684"/>
      <c r="T36" s="4684"/>
      <c r="U36" s="4684"/>
      <c r="V36" s="4684"/>
      <c r="W36" s="4684"/>
      <c r="X36" s="4684"/>
      <c r="Y36" s="4657"/>
      <c r="Z36" s="4657"/>
      <c r="AA36" s="4657"/>
      <c r="AB36" s="4651"/>
      <c r="AC36" s="4651"/>
      <c r="AD36" s="4651"/>
      <c r="AE36" s="4651"/>
      <c r="AF36" s="4651"/>
      <c r="AG36" s="4651"/>
      <c r="AH36" s="4651"/>
      <c r="AI36" s="4651"/>
      <c r="AJ36" s="4651"/>
      <c r="AK36" s="4651"/>
      <c r="AL36" s="4651"/>
      <c r="AM36" s="4651"/>
      <c r="AN36" s="4651"/>
      <c r="AO36" s="4651"/>
      <c r="AP36" s="4651"/>
      <c r="AQ36" s="4651"/>
      <c r="AR36" s="4651"/>
      <c r="AS36" s="4651"/>
      <c r="AT36" s="4651"/>
      <c r="AU36" s="4651"/>
      <c r="AV36" s="4651"/>
      <c r="AW36" s="4651"/>
      <c r="AX36" s="4651"/>
      <c r="AY36" s="4651"/>
      <c r="AZ36" s="4651"/>
      <c r="BA36" s="4651"/>
      <c r="BB36" s="4651"/>
      <c r="BC36" s="4651"/>
      <c r="BD36" s="4651"/>
      <c r="BE36" s="4651"/>
      <c r="BF36" s="4651"/>
      <c r="BG36" s="4651"/>
      <c r="BH36" s="4651"/>
      <c r="BI36" s="4651"/>
      <c r="BJ36" s="4651"/>
      <c r="BK36" s="4651"/>
      <c r="BL36" s="4651"/>
      <c r="BM36" s="4651"/>
      <c r="BN36" s="4651"/>
      <c r="BO36" s="4651"/>
      <c r="BP36" s="4651"/>
      <c r="BQ36" s="4651"/>
      <c r="BR36" s="4651"/>
      <c r="BS36" s="4651"/>
      <c r="BT36" s="4651"/>
      <c r="BU36" s="4651"/>
      <c r="BV36" s="4651"/>
      <c r="BW36" s="4651"/>
      <c r="BX36" s="4652"/>
      <c r="BY36" s="4653"/>
      <c r="BZ36" s="4653"/>
      <c r="CA36" s="4655"/>
      <c r="CB36" s="4655"/>
      <c r="CC36" s="4655"/>
      <c r="CD36" s="4655"/>
      <c r="CE36" s="4655"/>
      <c r="CF36" s="4655"/>
      <c r="CG36" s="4654"/>
      <c r="CH36" s="4654"/>
      <c r="CI36" s="4654"/>
      <c r="CJ36" s="4654"/>
      <c r="CK36" s="4654"/>
      <c r="CL36" s="4654"/>
      <c r="CM36" s="4654"/>
      <c r="CN36" s="4654"/>
      <c r="CO36" s="4654"/>
      <c r="CP36" s="4654"/>
      <c r="CQ36" s="4654"/>
      <c r="CR36" s="4654"/>
      <c r="CS36" s="4654"/>
      <c r="CT36" s="4654"/>
      <c r="CU36" s="4654"/>
      <c r="CV36" s="4654"/>
      <c r="CW36" s="4654"/>
      <c r="CX36" s="4654"/>
      <c r="CY36" s="4654"/>
      <c r="CZ36" s="4654"/>
      <c r="DA36" s="4656"/>
      <c r="DB36" s="4656"/>
      <c r="DC36" s="4687"/>
      <c r="DD36" s="4687"/>
      <c r="DE36" s="4687"/>
      <c r="DF36" s="4687"/>
      <c r="DG36" s="4687"/>
      <c r="DH36" s="4687"/>
      <c r="DI36" s="4687"/>
      <c r="DJ36" s="4687"/>
      <c r="DK36" s="4687"/>
      <c r="DL36" s="4687"/>
      <c r="DM36" s="4687"/>
      <c r="DN36" s="4687"/>
      <c r="DO36" s="4687"/>
      <c r="DP36" s="4687"/>
      <c r="DQ36" s="4653"/>
      <c r="DR36" s="4653"/>
      <c r="DS36" s="4653"/>
      <c r="DT36" s="4653"/>
      <c r="DU36" s="4653"/>
      <c r="DV36" s="4653"/>
      <c r="DW36" s="4653"/>
      <c r="DX36" s="4653"/>
      <c r="DY36" s="4653"/>
      <c r="DZ36" s="4653"/>
      <c r="EA36" s="4653"/>
      <c r="EB36" s="4653"/>
      <c r="EC36" s="4653"/>
      <c r="ED36" s="4653"/>
      <c r="EE36" s="4653"/>
      <c r="EF36" s="4653"/>
      <c r="EG36" s="4653"/>
      <c r="EH36" s="4653"/>
      <c r="EI36" s="4653"/>
      <c r="EJ36" s="4653"/>
      <c r="EK36" s="4653"/>
      <c r="EL36" s="4653"/>
      <c r="EM36" s="4653"/>
      <c r="EN36" s="4653"/>
      <c r="EO36" s="4653"/>
      <c r="EP36" s="4653"/>
      <c r="EQ36" s="4653"/>
      <c r="ER36" s="4653"/>
      <c r="ES36" s="4653"/>
      <c r="ET36" s="4653"/>
      <c r="EU36" s="4653"/>
      <c r="EV36" s="4653"/>
      <c r="EW36" s="4653"/>
      <c r="EX36" s="4653"/>
      <c r="EY36" s="4653"/>
      <c r="EZ36" s="4653"/>
      <c r="FA36" s="4653"/>
      <c r="FB36" s="4653"/>
      <c r="FC36" s="4653"/>
      <c r="FD36" s="4653"/>
      <c r="FE36" s="4653"/>
      <c r="FF36" s="4653"/>
      <c r="FG36" s="4653"/>
      <c r="FH36" s="4653"/>
      <c r="FI36" s="4653"/>
      <c r="FJ36" s="4653"/>
      <c r="FK36" s="4653"/>
      <c r="FL36" s="4653"/>
      <c r="FM36" s="4653"/>
      <c r="FN36" s="4653"/>
      <c r="FO36" s="4653"/>
      <c r="FP36" s="4653"/>
      <c r="FQ36" s="4653"/>
      <c r="FR36" s="4653"/>
      <c r="FS36" s="4653"/>
      <c r="FT36" s="4653"/>
      <c r="FU36" s="4653"/>
      <c r="FV36" s="4653"/>
      <c r="FW36" s="4653"/>
      <c r="FX36" s="4653"/>
      <c r="FY36" s="4653"/>
      <c r="FZ36" s="4653"/>
      <c r="GA36" s="4653"/>
      <c r="GB36" s="4653"/>
      <c r="GC36" s="4653"/>
      <c r="GD36" s="4653"/>
      <c r="GE36" s="4653"/>
      <c r="GF36" s="4653"/>
      <c r="GG36" s="4653"/>
      <c r="GH36" s="4653"/>
      <c r="GI36" s="4653"/>
      <c r="GJ36" s="4653"/>
      <c r="GK36" s="4653"/>
      <c r="GL36" s="4653"/>
      <c r="GM36" s="4653"/>
      <c r="GN36" s="4653"/>
      <c r="GO36" s="4653"/>
      <c r="GP36" s="4653"/>
      <c r="GQ36" s="4653"/>
      <c r="GR36" s="4653"/>
      <c r="GS36" s="4653"/>
      <c r="GT36" s="4653"/>
      <c r="GU36" s="4653"/>
      <c r="GV36" s="4653"/>
      <c r="GW36" s="4653"/>
      <c r="GX36" s="4653"/>
      <c r="GY36" s="4653"/>
      <c r="GZ36" s="4653"/>
      <c r="HA36" s="4653"/>
      <c r="HB36" s="4653"/>
      <c r="HC36" s="4653"/>
      <c r="HD36" s="4653"/>
      <c r="HE36" s="4653"/>
      <c r="HF36" s="4653"/>
      <c r="HG36" s="4653"/>
      <c r="HH36" s="4653"/>
      <c r="HI36" s="4653"/>
      <c r="HJ36" s="4653"/>
      <c r="HK36" s="4653"/>
      <c r="HL36" s="4653"/>
      <c r="HM36" s="4653"/>
      <c r="HN36" s="4653"/>
      <c r="HO36" s="4653"/>
      <c r="HP36" s="4653"/>
      <c r="HQ36" s="4653"/>
      <c r="HR36" s="4653"/>
      <c r="HS36" s="4653"/>
      <c r="HT36" s="4653"/>
      <c r="HU36" s="4653"/>
      <c r="HV36" s="4653"/>
      <c r="HW36" s="4653"/>
      <c r="HX36" s="4653"/>
      <c r="HY36" s="4653"/>
      <c r="HZ36" s="4653"/>
    </row>
    <row r="37" spans="1:234" s="4688" customFormat="1" ht="51" customHeight="1" x14ac:dyDescent="0.2">
      <c r="A37" s="9822" t="s">
        <v>1687</v>
      </c>
      <c r="B37" s="9823"/>
      <c r="C37" s="4725" t="s">
        <v>3036</v>
      </c>
      <c r="D37" s="4726" t="s">
        <v>3037</v>
      </c>
      <c r="E37" s="4727" t="s">
        <v>3038</v>
      </c>
      <c r="F37" s="4727" t="s">
        <v>3039</v>
      </c>
      <c r="G37" s="4727" t="s">
        <v>3505</v>
      </c>
      <c r="H37" s="4727" t="s">
        <v>3504</v>
      </c>
      <c r="I37" s="4727" t="s">
        <v>3503</v>
      </c>
      <c r="J37" s="4726" t="s">
        <v>3501</v>
      </c>
      <c r="K37" s="4727" t="s">
        <v>359</v>
      </c>
      <c r="L37" s="4726" t="s">
        <v>360</v>
      </c>
      <c r="M37" s="4726" t="s">
        <v>3500</v>
      </c>
      <c r="N37" s="4728" t="s">
        <v>3502</v>
      </c>
      <c r="O37" s="4684"/>
      <c r="P37" s="4684"/>
      <c r="Q37" s="4684"/>
      <c r="R37" s="4684"/>
      <c r="S37" s="4684"/>
      <c r="T37" s="4684"/>
      <c r="U37" s="4684"/>
      <c r="V37" s="4684"/>
      <c r="W37" s="4684"/>
      <c r="X37" s="4657"/>
      <c r="Y37" s="4657"/>
      <c r="Z37" s="4657"/>
      <c r="AA37" s="4651"/>
      <c r="AB37" s="4651"/>
      <c r="AC37" s="4651"/>
      <c r="AD37" s="4651"/>
      <c r="AE37" s="4651"/>
      <c r="AF37" s="4651"/>
      <c r="AG37" s="4651"/>
      <c r="AH37" s="4651"/>
      <c r="AI37" s="4651"/>
      <c r="AJ37" s="4651"/>
      <c r="AK37" s="4651"/>
      <c r="AL37" s="4651"/>
      <c r="AM37" s="4651"/>
      <c r="AN37" s="4651"/>
      <c r="AO37" s="4651"/>
      <c r="AP37" s="4651"/>
      <c r="AQ37" s="4651"/>
      <c r="AR37" s="4651"/>
      <c r="AS37" s="4651"/>
      <c r="AT37" s="4651"/>
      <c r="AU37" s="4651"/>
      <c r="AV37" s="4651"/>
      <c r="AW37" s="4651"/>
      <c r="AX37" s="4651"/>
      <c r="AY37" s="4651"/>
      <c r="AZ37" s="4651"/>
      <c r="BA37" s="4651"/>
      <c r="BB37" s="4651"/>
      <c r="BC37" s="4651"/>
      <c r="BD37" s="4651"/>
      <c r="BE37" s="4651"/>
      <c r="BF37" s="4651"/>
      <c r="BG37" s="4651"/>
      <c r="BH37" s="4651"/>
      <c r="BI37" s="4651"/>
      <c r="BJ37" s="4651"/>
      <c r="BK37" s="4651"/>
      <c r="BL37" s="4651"/>
      <c r="BM37" s="4651"/>
      <c r="BN37" s="4651"/>
      <c r="BO37" s="4651"/>
      <c r="BP37" s="4651"/>
      <c r="BQ37" s="4651"/>
      <c r="BR37" s="4651"/>
      <c r="BS37" s="4651"/>
      <c r="BT37" s="4651"/>
      <c r="BU37" s="4651"/>
      <c r="BV37" s="4651"/>
      <c r="BW37" s="4652"/>
      <c r="BX37" s="4653"/>
      <c r="BY37" s="4653"/>
      <c r="BZ37" s="4657"/>
      <c r="CA37" s="4655"/>
      <c r="CB37" s="4655"/>
      <c r="CC37" s="4655"/>
      <c r="CD37" s="4655"/>
      <c r="CE37" s="4655"/>
      <c r="CF37" s="4655"/>
      <c r="CG37" s="4654"/>
      <c r="CH37" s="4654"/>
      <c r="CI37" s="4654"/>
      <c r="CJ37" s="4654"/>
      <c r="CK37" s="4654"/>
      <c r="CL37" s="4654"/>
      <c r="CM37" s="4654"/>
      <c r="CN37" s="4654"/>
      <c r="CO37" s="4654"/>
      <c r="CP37" s="4654"/>
      <c r="CQ37" s="4654"/>
      <c r="CR37" s="4654"/>
      <c r="CS37" s="4654"/>
      <c r="CT37" s="4654"/>
      <c r="CU37" s="4654"/>
      <c r="CV37" s="4654"/>
      <c r="CW37" s="4654"/>
      <c r="CX37" s="4654"/>
      <c r="CY37" s="4654"/>
      <c r="CZ37" s="4655"/>
      <c r="DA37" s="4656"/>
      <c r="DB37" s="4687"/>
      <c r="DC37" s="4687"/>
      <c r="DD37" s="4687"/>
      <c r="DE37" s="4687"/>
      <c r="DF37" s="4687"/>
      <c r="DG37" s="4687"/>
      <c r="DH37" s="4687"/>
      <c r="DI37" s="4687"/>
      <c r="DJ37" s="4687"/>
      <c r="DK37" s="4687"/>
      <c r="DL37" s="4687"/>
      <c r="DM37" s="4687"/>
      <c r="DN37" s="4687"/>
      <c r="DO37" s="4687"/>
      <c r="DP37" s="4687"/>
      <c r="DQ37" s="4653"/>
      <c r="DR37" s="4653"/>
      <c r="DS37" s="4653"/>
      <c r="DT37" s="4653"/>
      <c r="DU37" s="4653"/>
      <c r="DV37" s="4653"/>
      <c r="DW37" s="4653"/>
      <c r="DX37" s="4653"/>
      <c r="DY37" s="4653"/>
      <c r="DZ37" s="4653"/>
      <c r="EA37" s="4653"/>
      <c r="EB37" s="4653"/>
      <c r="EC37" s="4653"/>
      <c r="ED37" s="4653"/>
      <c r="EE37" s="4653"/>
      <c r="EF37" s="4653"/>
      <c r="EG37" s="4653"/>
      <c r="EH37" s="4653"/>
      <c r="EI37" s="4653"/>
      <c r="EJ37" s="4653"/>
      <c r="EK37" s="4653"/>
      <c r="EL37" s="4653"/>
      <c r="EM37" s="4653"/>
      <c r="EN37" s="4653"/>
      <c r="EO37" s="4653"/>
      <c r="EP37" s="4653"/>
      <c r="EQ37" s="4653"/>
      <c r="ER37" s="4653"/>
      <c r="ES37" s="4653"/>
      <c r="ET37" s="4653"/>
      <c r="EU37" s="4653"/>
      <c r="EV37" s="4653"/>
      <c r="EW37" s="4653"/>
      <c r="EX37" s="4653"/>
      <c r="EY37" s="4653"/>
      <c r="EZ37" s="4653"/>
      <c r="FA37" s="4653"/>
      <c r="FB37" s="4653"/>
      <c r="FC37" s="4653"/>
      <c r="FD37" s="4653"/>
      <c r="FE37" s="4653"/>
      <c r="FF37" s="4653"/>
      <c r="FG37" s="4653"/>
      <c r="FH37" s="4653"/>
      <c r="FI37" s="4653"/>
      <c r="FJ37" s="4653"/>
      <c r="FK37" s="4653"/>
      <c r="FL37" s="4653"/>
      <c r="FM37" s="4653"/>
      <c r="FN37" s="4653"/>
      <c r="FO37" s="4653"/>
      <c r="FP37" s="4653"/>
      <c r="FQ37" s="4653"/>
      <c r="FR37" s="4653"/>
      <c r="FS37" s="4653"/>
      <c r="FT37" s="4653"/>
      <c r="FU37" s="4653"/>
      <c r="FV37" s="4653"/>
      <c r="FW37" s="4653"/>
      <c r="FX37" s="4653"/>
      <c r="FY37" s="4653"/>
      <c r="FZ37" s="4653"/>
      <c r="GA37" s="4653"/>
      <c r="GB37" s="4653"/>
      <c r="GC37" s="4653"/>
      <c r="GD37" s="4653"/>
      <c r="GE37" s="4653"/>
      <c r="GF37" s="4653"/>
      <c r="GG37" s="4653"/>
      <c r="GH37" s="4653"/>
      <c r="GI37" s="4653"/>
      <c r="GJ37" s="4653"/>
      <c r="GK37" s="4653"/>
      <c r="GL37" s="4653"/>
      <c r="GM37" s="4653"/>
      <c r="GN37" s="4653"/>
      <c r="GO37" s="4653"/>
      <c r="GP37" s="4653"/>
      <c r="GQ37" s="4653"/>
      <c r="GR37" s="4653"/>
      <c r="GS37" s="4653"/>
      <c r="GT37" s="4653"/>
      <c r="GU37" s="4653"/>
      <c r="GV37" s="4653"/>
      <c r="GW37" s="4653"/>
      <c r="GX37" s="4653"/>
      <c r="GY37" s="4653"/>
      <c r="GZ37" s="4653"/>
      <c r="HA37" s="4653"/>
      <c r="HB37" s="4653"/>
      <c r="HC37" s="4653"/>
      <c r="HD37" s="4653"/>
      <c r="HE37" s="4653"/>
      <c r="HF37" s="4653"/>
      <c r="HG37" s="4653"/>
      <c r="HH37" s="4653"/>
      <c r="HI37" s="4653"/>
      <c r="HJ37" s="4653"/>
      <c r="HK37" s="4653"/>
      <c r="HL37" s="4653"/>
      <c r="HM37" s="4653"/>
      <c r="HN37" s="4653"/>
      <c r="HO37" s="4653"/>
      <c r="HP37" s="4653"/>
      <c r="HQ37" s="4653"/>
      <c r="HR37" s="4653"/>
      <c r="HS37" s="4653"/>
      <c r="HT37" s="4653"/>
      <c r="HU37" s="4653"/>
      <c r="HV37" s="4653"/>
      <c r="HW37" s="4653"/>
      <c r="HX37" s="4653"/>
      <c r="HY37" s="4653"/>
    </row>
    <row r="38" spans="1:234" s="4688" customFormat="1" ht="24" customHeight="1" x14ac:dyDescent="0.2">
      <c r="A38" s="10239" t="s">
        <v>2992</v>
      </c>
      <c r="B38" s="4729" t="s">
        <v>2993</v>
      </c>
      <c r="C38" s="4730"/>
      <c r="D38" s="4731"/>
      <c r="E38" s="4731"/>
      <c r="F38" s="4731"/>
      <c r="G38" s="4731"/>
      <c r="H38" s="4731"/>
      <c r="I38" s="4731"/>
      <c r="J38" s="4731"/>
      <c r="K38" s="4731"/>
      <c r="L38" s="4731"/>
      <c r="M38" s="4731"/>
      <c r="N38" s="4732"/>
      <c r="O38" s="4684"/>
      <c r="P38" s="4684"/>
      <c r="Q38" s="4684"/>
      <c r="R38" s="4684"/>
      <c r="S38" s="4684"/>
      <c r="T38" s="4684"/>
      <c r="U38" s="4684"/>
      <c r="V38" s="4684"/>
      <c r="W38" s="4684"/>
      <c r="X38" s="4657"/>
      <c r="Y38" s="4657"/>
      <c r="Z38" s="4657"/>
      <c r="AA38" s="4651"/>
      <c r="AB38" s="4651"/>
      <c r="AC38" s="4651"/>
      <c r="AD38" s="4651"/>
      <c r="AE38" s="4651"/>
      <c r="AF38" s="4651"/>
      <c r="AG38" s="4651"/>
      <c r="AH38" s="4651"/>
      <c r="AI38" s="4651"/>
      <c r="AJ38" s="4651"/>
      <c r="AK38" s="4651"/>
      <c r="AL38" s="4651"/>
      <c r="AM38" s="4651"/>
      <c r="AN38" s="4651"/>
      <c r="AO38" s="4651"/>
      <c r="AP38" s="4651"/>
      <c r="AQ38" s="4651"/>
      <c r="AR38" s="4651"/>
      <c r="AS38" s="4651"/>
      <c r="AT38" s="4651"/>
      <c r="AU38" s="4651"/>
      <c r="AV38" s="4651"/>
      <c r="AW38" s="4651"/>
      <c r="AX38" s="4651"/>
      <c r="AY38" s="4651"/>
      <c r="AZ38" s="4651"/>
      <c r="BA38" s="4651"/>
      <c r="BB38" s="4651"/>
      <c r="BC38" s="4651"/>
      <c r="BD38" s="4651"/>
      <c r="BE38" s="4651"/>
      <c r="BF38" s="4651"/>
      <c r="BG38" s="4651"/>
      <c r="BH38" s="4651"/>
      <c r="BI38" s="4651"/>
      <c r="BJ38" s="4651"/>
      <c r="BK38" s="4651"/>
      <c r="BL38" s="4651"/>
      <c r="BM38" s="4651"/>
      <c r="BN38" s="4651"/>
      <c r="BO38" s="4651"/>
      <c r="BP38" s="4651"/>
      <c r="BQ38" s="4651"/>
      <c r="BR38" s="4651"/>
      <c r="BS38" s="4651"/>
      <c r="BT38" s="4651"/>
      <c r="BU38" s="4651"/>
      <c r="BV38" s="4651"/>
      <c r="BW38" s="4652"/>
      <c r="BX38" s="4653"/>
      <c r="BY38" s="4653"/>
      <c r="BZ38" s="4657"/>
      <c r="CA38" s="4655"/>
      <c r="CB38" s="4655"/>
      <c r="CC38" s="4655"/>
      <c r="CD38" s="4655"/>
      <c r="CE38" s="4655"/>
      <c r="CF38" s="4655"/>
      <c r="CG38" s="4654"/>
      <c r="CH38" s="4654"/>
      <c r="CI38" s="4654"/>
      <c r="CJ38" s="4654"/>
      <c r="CK38" s="4654"/>
      <c r="CL38" s="4654"/>
      <c r="CM38" s="4654"/>
      <c r="CN38" s="4654"/>
      <c r="CO38" s="4654"/>
      <c r="CP38" s="4654"/>
      <c r="CQ38" s="4654"/>
      <c r="CR38" s="4654"/>
      <c r="CS38" s="4654"/>
      <c r="CT38" s="4654"/>
      <c r="CU38" s="4654"/>
      <c r="CV38" s="4654"/>
      <c r="CW38" s="4654"/>
      <c r="CX38" s="4654"/>
      <c r="CY38" s="4654"/>
      <c r="CZ38" s="4655"/>
      <c r="DA38" s="4656"/>
      <c r="DB38" s="4687"/>
      <c r="DC38" s="4687"/>
      <c r="DD38" s="4687"/>
      <c r="DE38" s="4687"/>
      <c r="DF38" s="4687"/>
      <c r="DG38" s="4687"/>
      <c r="DH38" s="4687"/>
      <c r="DI38" s="4687"/>
      <c r="DJ38" s="4687"/>
      <c r="DK38" s="4687"/>
      <c r="DL38" s="4687"/>
      <c r="DM38" s="4687"/>
      <c r="DN38" s="4687"/>
      <c r="DO38" s="4687"/>
      <c r="DP38" s="4687"/>
      <c r="DQ38" s="4653"/>
      <c r="DR38" s="4653"/>
      <c r="DS38" s="4653"/>
      <c r="DT38" s="4653"/>
      <c r="DU38" s="4653"/>
      <c r="DV38" s="4653"/>
      <c r="DW38" s="4653"/>
      <c r="DX38" s="4653"/>
      <c r="DY38" s="4653"/>
      <c r="DZ38" s="4653"/>
      <c r="EA38" s="4653"/>
      <c r="EB38" s="4653"/>
      <c r="EC38" s="4653"/>
      <c r="ED38" s="4653"/>
      <c r="EE38" s="4653"/>
      <c r="EF38" s="4653"/>
      <c r="EG38" s="4653"/>
      <c r="EH38" s="4653"/>
      <c r="EI38" s="4653"/>
      <c r="EJ38" s="4653"/>
      <c r="EK38" s="4653"/>
      <c r="EL38" s="4653"/>
      <c r="EM38" s="4653"/>
      <c r="EN38" s="4653"/>
      <c r="EO38" s="4653"/>
      <c r="EP38" s="4653"/>
      <c r="EQ38" s="4653"/>
      <c r="ER38" s="4653"/>
      <c r="ES38" s="4653"/>
      <c r="ET38" s="4653"/>
      <c r="EU38" s="4653"/>
      <c r="EV38" s="4653"/>
      <c r="EW38" s="4653"/>
      <c r="EX38" s="4653"/>
      <c r="EY38" s="4653"/>
      <c r="EZ38" s="4653"/>
      <c r="FA38" s="4653"/>
      <c r="FB38" s="4653"/>
      <c r="FC38" s="4653"/>
      <c r="FD38" s="4653"/>
      <c r="FE38" s="4653"/>
      <c r="FF38" s="4653"/>
      <c r="FG38" s="4653"/>
      <c r="FH38" s="4653"/>
      <c r="FI38" s="4653"/>
      <c r="FJ38" s="4653"/>
      <c r="FK38" s="4653"/>
      <c r="FL38" s="4653"/>
      <c r="FM38" s="4653"/>
      <c r="FN38" s="4653"/>
      <c r="FO38" s="4653"/>
      <c r="FP38" s="4653"/>
      <c r="FQ38" s="4653"/>
      <c r="FR38" s="4653"/>
      <c r="FS38" s="4653"/>
      <c r="FT38" s="4653"/>
      <c r="FU38" s="4653"/>
      <c r="FV38" s="4653"/>
      <c r="FW38" s="4653"/>
      <c r="FX38" s="4653"/>
      <c r="FY38" s="4653"/>
      <c r="FZ38" s="4653"/>
      <c r="GA38" s="4653"/>
      <c r="GB38" s="4653"/>
      <c r="GC38" s="4653"/>
      <c r="GD38" s="4653"/>
      <c r="GE38" s="4653"/>
      <c r="GF38" s="4653"/>
      <c r="GG38" s="4653"/>
      <c r="GH38" s="4653"/>
      <c r="GI38" s="4653"/>
      <c r="GJ38" s="4653"/>
      <c r="GK38" s="4653"/>
      <c r="GL38" s="4653"/>
      <c r="GM38" s="4653"/>
      <c r="GN38" s="4653"/>
      <c r="GO38" s="4653"/>
      <c r="GP38" s="4653"/>
      <c r="GQ38" s="4653"/>
      <c r="GR38" s="4653"/>
      <c r="GS38" s="4653"/>
      <c r="GT38" s="4653"/>
      <c r="GU38" s="4653"/>
      <c r="GV38" s="4653"/>
      <c r="GW38" s="4653"/>
      <c r="GX38" s="4653"/>
      <c r="GY38" s="4653"/>
      <c r="GZ38" s="4653"/>
      <c r="HA38" s="4653"/>
      <c r="HB38" s="4653"/>
      <c r="HC38" s="4653"/>
      <c r="HD38" s="4653"/>
      <c r="HE38" s="4653"/>
      <c r="HF38" s="4653"/>
      <c r="HG38" s="4653"/>
      <c r="HH38" s="4653"/>
      <c r="HI38" s="4653"/>
      <c r="HJ38" s="4653"/>
      <c r="HK38" s="4653"/>
      <c r="HL38" s="4653"/>
      <c r="HM38" s="4653"/>
      <c r="HN38" s="4653"/>
      <c r="HO38" s="4653"/>
      <c r="HP38" s="4653"/>
      <c r="HQ38" s="4653"/>
      <c r="HR38" s="4653"/>
      <c r="HS38" s="4653"/>
      <c r="HT38" s="4653"/>
      <c r="HU38" s="4653"/>
      <c r="HV38" s="4653"/>
      <c r="HW38" s="4653"/>
      <c r="HX38" s="4653"/>
      <c r="HY38" s="4653"/>
    </row>
    <row r="39" spans="1:234" s="4688" customFormat="1" ht="34.9" customHeight="1" x14ac:dyDescent="0.2">
      <c r="A39" s="10239"/>
      <c r="B39" s="4733" t="s">
        <v>3710</v>
      </c>
      <c r="C39" s="4734"/>
      <c r="D39" s="4735"/>
      <c r="E39" s="4735"/>
      <c r="F39" s="4735"/>
      <c r="G39" s="4735"/>
      <c r="H39" s="4735"/>
      <c r="I39" s="4735"/>
      <c r="J39" s="4735"/>
      <c r="K39" s="4735"/>
      <c r="L39" s="4735"/>
      <c r="M39" s="4735"/>
      <c r="N39" s="4736"/>
      <c r="O39" s="4684"/>
      <c r="P39" s="4684"/>
      <c r="Q39" s="4684"/>
      <c r="R39" s="4684"/>
      <c r="S39" s="4684"/>
      <c r="T39" s="4684"/>
      <c r="U39" s="4684"/>
      <c r="V39" s="4684"/>
      <c r="W39" s="4684"/>
      <c r="X39" s="4657"/>
      <c r="Y39" s="4657"/>
      <c r="Z39" s="4657"/>
      <c r="AA39" s="4651"/>
      <c r="AB39" s="4651"/>
      <c r="AC39" s="4651"/>
      <c r="AD39" s="4651"/>
      <c r="AE39" s="4651"/>
      <c r="AF39" s="4651"/>
      <c r="AG39" s="4651"/>
      <c r="AH39" s="4651"/>
      <c r="AI39" s="4651"/>
      <c r="AJ39" s="4651"/>
      <c r="AK39" s="4651"/>
      <c r="AL39" s="4651"/>
      <c r="AM39" s="4651"/>
      <c r="AN39" s="4651"/>
      <c r="AO39" s="4651"/>
      <c r="AP39" s="4651"/>
      <c r="AQ39" s="4651"/>
      <c r="AR39" s="4651"/>
      <c r="AS39" s="4651"/>
      <c r="AT39" s="4651"/>
      <c r="AU39" s="4651"/>
      <c r="AV39" s="4651"/>
      <c r="AW39" s="4651"/>
      <c r="AX39" s="4651"/>
      <c r="AY39" s="4651"/>
      <c r="AZ39" s="4651"/>
      <c r="BA39" s="4651"/>
      <c r="BB39" s="4651"/>
      <c r="BC39" s="4651"/>
      <c r="BD39" s="4651"/>
      <c r="BE39" s="4651"/>
      <c r="BF39" s="4651"/>
      <c r="BG39" s="4651"/>
      <c r="BH39" s="4651"/>
      <c r="BI39" s="4651"/>
      <c r="BJ39" s="4651"/>
      <c r="BK39" s="4651"/>
      <c r="BL39" s="4651"/>
      <c r="BM39" s="4651"/>
      <c r="BN39" s="4651"/>
      <c r="BO39" s="4651"/>
      <c r="BP39" s="4651"/>
      <c r="BQ39" s="4651"/>
      <c r="BR39" s="4651"/>
      <c r="BS39" s="4651"/>
      <c r="BT39" s="4651"/>
      <c r="BU39" s="4651"/>
      <c r="BV39" s="4651"/>
      <c r="BW39" s="4652"/>
      <c r="BX39" s="4653"/>
      <c r="BY39" s="4653"/>
      <c r="BZ39" s="4657"/>
      <c r="CA39" s="4655"/>
      <c r="CB39" s="4655"/>
      <c r="CC39" s="4655"/>
      <c r="CD39" s="4655"/>
      <c r="CE39" s="4655"/>
      <c r="CF39" s="4655"/>
      <c r="CG39" s="4654"/>
      <c r="CH39" s="4654"/>
      <c r="CI39" s="4654"/>
      <c r="CJ39" s="4654"/>
      <c r="CK39" s="4654"/>
      <c r="CL39" s="4654"/>
      <c r="CM39" s="4654"/>
      <c r="CN39" s="4654"/>
      <c r="CO39" s="4654"/>
      <c r="CP39" s="4654"/>
      <c r="CQ39" s="4654"/>
      <c r="CR39" s="4654"/>
      <c r="CS39" s="4654"/>
      <c r="CT39" s="4654"/>
      <c r="CU39" s="4654"/>
      <c r="CV39" s="4654"/>
      <c r="CW39" s="4654"/>
      <c r="CX39" s="4654"/>
      <c r="CY39" s="4654"/>
      <c r="CZ39" s="4655"/>
      <c r="DA39" s="4656"/>
      <c r="DB39" s="4687"/>
      <c r="DC39" s="4687"/>
      <c r="DD39" s="4687"/>
      <c r="DE39" s="4687"/>
      <c r="DF39" s="4687"/>
      <c r="DG39" s="4687"/>
      <c r="DH39" s="4687"/>
      <c r="DI39" s="4687"/>
      <c r="DJ39" s="4687"/>
      <c r="DK39" s="4687"/>
      <c r="DL39" s="4687"/>
      <c r="DM39" s="4687"/>
      <c r="DN39" s="4687"/>
      <c r="DO39" s="4687"/>
      <c r="DP39" s="4687"/>
      <c r="DQ39" s="4653"/>
      <c r="DR39" s="4653"/>
      <c r="DS39" s="4653"/>
      <c r="DT39" s="4653"/>
      <c r="DU39" s="4653"/>
      <c r="DV39" s="4653"/>
      <c r="DW39" s="4653"/>
      <c r="DX39" s="4653"/>
      <c r="DY39" s="4653"/>
      <c r="DZ39" s="4653"/>
      <c r="EA39" s="4653"/>
      <c r="EB39" s="4653"/>
      <c r="EC39" s="4653"/>
      <c r="ED39" s="4653"/>
      <c r="EE39" s="4653"/>
      <c r="EF39" s="4653"/>
      <c r="EG39" s="4653"/>
      <c r="EH39" s="4653"/>
      <c r="EI39" s="4653"/>
      <c r="EJ39" s="4653"/>
      <c r="EK39" s="4653"/>
      <c r="EL39" s="4653"/>
      <c r="EM39" s="4653"/>
      <c r="EN39" s="4653"/>
      <c r="EO39" s="4653"/>
      <c r="EP39" s="4653"/>
      <c r="EQ39" s="4653"/>
      <c r="ER39" s="4653"/>
      <c r="ES39" s="4653"/>
      <c r="ET39" s="4653"/>
      <c r="EU39" s="4653"/>
      <c r="EV39" s="4653"/>
      <c r="EW39" s="4653"/>
      <c r="EX39" s="4653"/>
      <c r="EY39" s="4653"/>
      <c r="EZ39" s="4653"/>
      <c r="FA39" s="4653"/>
      <c r="FB39" s="4653"/>
      <c r="FC39" s="4653"/>
      <c r="FD39" s="4653"/>
      <c r="FE39" s="4653"/>
      <c r="FF39" s="4653"/>
      <c r="FG39" s="4653"/>
      <c r="FH39" s="4653"/>
      <c r="FI39" s="4653"/>
      <c r="FJ39" s="4653"/>
      <c r="FK39" s="4653"/>
      <c r="FL39" s="4653"/>
      <c r="FM39" s="4653"/>
      <c r="FN39" s="4653"/>
      <c r="FO39" s="4653"/>
      <c r="FP39" s="4653"/>
      <c r="FQ39" s="4653"/>
      <c r="FR39" s="4653"/>
      <c r="FS39" s="4653"/>
      <c r="FT39" s="4653"/>
      <c r="FU39" s="4653"/>
      <c r="FV39" s="4653"/>
      <c r="FW39" s="4653"/>
      <c r="FX39" s="4653"/>
      <c r="FY39" s="4653"/>
      <c r="FZ39" s="4653"/>
      <c r="GA39" s="4653"/>
      <c r="GB39" s="4653"/>
      <c r="GC39" s="4653"/>
      <c r="GD39" s="4653"/>
      <c r="GE39" s="4653"/>
      <c r="GF39" s="4653"/>
      <c r="GG39" s="4653"/>
      <c r="GH39" s="4653"/>
      <c r="GI39" s="4653"/>
      <c r="GJ39" s="4653"/>
      <c r="GK39" s="4653"/>
      <c r="GL39" s="4653"/>
      <c r="GM39" s="4653"/>
      <c r="GN39" s="4653"/>
      <c r="GO39" s="4653"/>
      <c r="GP39" s="4653"/>
      <c r="GQ39" s="4653"/>
      <c r="GR39" s="4653"/>
      <c r="GS39" s="4653"/>
      <c r="GT39" s="4653"/>
      <c r="GU39" s="4653"/>
      <c r="GV39" s="4653"/>
      <c r="GW39" s="4653"/>
      <c r="GX39" s="4653"/>
      <c r="GY39" s="4653"/>
      <c r="GZ39" s="4653"/>
      <c r="HA39" s="4653"/>
      <c r="HB39" s="4653"/>
      <c r="HC39" s="4653"/>
      <c r="HD39" s="4653"/>
      <c r="HE39" s="4653"/>
      <c r="HF39" s="4653"/>
      <c r="HG39" s="4653"/>
      <c r="HH39" s="4653"/>
      <c r="HI39" s="4653"/>
      <c r="HJ39" s="4653"/>
      <c r="HK39" s="4653"/>
      <c r="HL39" s="4653"/>
      <c r="HM39" s="4653"/>
      <c r="HN39" s="4653"/>
      <c r="HO39" s="4653"/>
      <c r="HP39" s="4653"/>
      <c r="HQ39" s="4653"/>
      <c r="HR39" s="4653"/>
      <c r="HS39" s="4653"/>
      <c r="HT39" s="4653"/>
      <c r="HU39" s="4653"/>
      <c r="HV39" s="4653"/>
      <c r="HW39" s="4653"/>
      <c r="HX39" s="4653"/>
      <c r="HY39" s="4653"/>
    </row>
    <row r="40" spans="1:234" s="4688" customFormat="1" ht="38.25" customHeight="1" x14ac:dyDescent="0.2">
      <c r="A40" s="10239"/>
      <c r="B40" s="4733" t="s">
        <v>1706</v>
      </c>
      <c r="C40" s="4734"/>
      <c r="D40" s="4735"/>
      <c r="E40" s="4735"/>
      <c r="F40" s="4735"/>
      <c r="G40" s="4735"/>
      <c r="H40" s="4735"/>
      <c r="I40" s="4735"/>
      <c r="J40" s="4735"/>
      <c r="K40" s="4735"/>
      <c r="L40" s="4735"/>
      <c r="M40" s="4735"/>
      <c r="N40" s="4736"/>
      <c r="O40" s="4684"/>
      <c r="P40" s="4684"/>
      <c r="Q40" s="4684"/>
      <c r="R40" s="4684"/>
      <c r="S40" s="4684"/>
      <c r="T40" s="4684"/>
      <c r="U40" s="4684"/>
      <c r="V40" s="4684"/>
      <c r="W40" s="4684"/>
      <c r="X40" s="4657"/>
      <c r="Y40" s="4657"/>
      <c r="Z40" s="4657"/>
      <c r="AA40" s="4651"/>
      <c r="AB40" s="4651"/>
      <c r="AC40" s="4651"/>
      <c r="AD40" s="4651"/>
      <c r="AE40" s="4651"/>
      <c r="AF40" s="4651"/>
      <c r="AG40" s="4651"/>
      <c r="AH40" s="4651"/>
      <c r="AI40" s="4651"/>
      <c r="AJ40" s="4651"/>
      <c r="AK40" s="4651"/>
      <c r="AL40" s="4651"/>
      <c r="AM40" s="4651"/>
      <c r="AN40" s="4651"/>
      <c r="AO40" s="4651"/>
      <c r="AP40" s="4651"/>
      <c r="AQ40" s="4651"/>
      <c r="AR40" s="4651"/>
      <c r="AS40" s="4651"/>
      <c r="AT40" s="4651"/>
      <c r="AU40" s="4651"/>
      <c r="AV40" s="4651"/>
      <c r="AW40" s="4651"/>
      <c r="AX40" s="4651"/>
      <c r="AY40" s="4651"/>
      <c r="AZ40" s="4651"/>
      <c r="BA40" s="4651"/>
      <c r="BB40" s="4651"/>
      <c r="BC40" s="4651"/>
      <c r="BD40" s="4651"/>
      <c r="BE40" s="4651"/>
      <c r="BF40" s="4651"/>
      <c r="BG40" s="4651"/>
      <c r="BH40" s="4651"/>
      <c r="BI40" s="4651"/>
      <c r="BJ40" s="4651"/>
      <c r="BK40" s="4651"/>
      <c r="BL40" s="4651"/>
      <c r="BM40" s="4651"/>
      <c r="BN40" s="4651"/>
      <c r="BO40" s="4651"/>
      <c r="BP40" s="4651"/>
      <c r="BQ40" s="4651"/>
      <c r="BR40" s="4651"/>
      <c r="BS40" s="4651"/>
      <c r="BT40" s="4651"/>
      <c r="BU40" s="4651"/>
      <c r="BV40" s="4651"/>
      <c r="BW40" s="4652"/>
      <c r="BX40" s="4653"/>
      <c r="BY40" s="4653"/>
      <c r="BZ40" s="4657"/>
      <c r="CA40" s="4655"/>
      <c r="CB40" s="4655"/>
      <c r="CC40" s="4655"/>
      <c r="CD40" s="4655"/>
      <c r="CE40" s="4655"/>
      <c r="CF40" s="4655"/>
      <c r="CG40" s="4654"/>
      <c r="CH40" s="4654"/>
      <c r="CI40" s="4654"/>
      <c r="CJ40" s="4654"/>
      <c r="CK40" s="4654"/>
      <c r="CL40" s="4654"/>
      <c r="CM40" s="4654"/>
      <c r="CN40" s="4654"/>
      <c r="CO40" s="4654"/>
      <c r="CP40" s="4654"/>
      <c r="CQ40" s="4654"/>
      <c r="CR40" s="4654"/>
      <c r="CS40" s="4654"/>
      <c r="CT40" s="4654"/>
      <c r="CU40" s="4654"/>
      <c r="CV40" s="4654"/>
      <c r="CW40" s="4654"/>
      <c r="CX40" s="4654"/>
      <c r="CY40" s="4654"/>
      <c r="CZ40" s="4655"/>
      <c r="DA40" s="4656"/>
      <c r="DB40" s="4687"/>
      <c r="DC40" s="4687"/>
      <c r="DD40" s="4687"/>
      <c r="DE40" s="4687"/>
      <c r="DF40" s="4687"/>
      <c r="DG40" s="4687"/>
      <c r="DH40" s="4687"/>
      <c r="DI40" s="4687"/>
      <c r="DJ40" s="4687"/>
      <c r="DK40" s="4687"/>
      <c r="DL40" s="4687"/>
      <c r="DM40" s="4687"/>
      <c r="DN40" s="4687"/>
      <c r="DO40" s="4687"/>
      <c r="DP40" s="4687"/>
      <c r="DQ40" s="4653"/>
      <c r="DR40" s="4653"/>
      <c r="DS40" s="4653"/>
      <c r="DT40" s="4653"/>
      <c r="DU40" s="4653"/>
      <c r="DV40" s="4653"/>
      <c r="DW40" s="4653"/>
      <c r="DX40" s="4653"/>
      <c r="DY40" s="4653"/>
      <c r="DZ40" s="4653"/>
      <c r="EA40" s="4653"/>
      <c r="EB40" s="4653"/>
      <c r="EC40" s="4653"/>
      <c r="ED40" s="4653"/>
      <c r="EE40" s="4653"/>
      <c r="EF40" s="4653"/>
      <c r="EG40" s="4653"/>
      <c r="EH40" s="4653"/>
      <c r="EI40" s="4653"/>
      <c r="EJ40" s="4653"/>
      <c r="EK40" s="4653"/>
      <c r="EL40" s="4653"/>
      <c r="EM40" s="4653"/>
      <c r="EN40" s="4653"/>
      <c r="EO40" s="4653"/>
      <c r="EP40" s="4653"/>
      <c r="EQ40" s="4653"/>
      <c r="ER40" s="4653"/>
      <c r="ES40" s="4653"/>
      <c r="ET40" s="4653"/>
      <c r="EU40" s="4653"/>
      <c r="EV40" s="4653"/>
      <c r="EW40" s="4653"/>
      <c r="EX40" s="4653"/>
      <c r="EY40" s="4653"/>
      <c r="EZ40" s="4653"/>
      <c r="FA40" s="4653"/>
      <c r="FB40" s="4653"/>
      <c r="FC40" s="4653"/>
      <c r="FD40" s="4653"/>
      <c r="FE40" s="4653"/>
      <c r="FF40" s="4653"/>
      <c r="FG40" s="4653"/>
      <c r="FH40" s="4653"/>
      <c r="FI40" s="4653"/>
      <c r="FJ40" s="4653"/>
      <c r="FK40" s="4653"/>
      <c r="FL40" s="4653"/>
      <c r="FM40" s="4653"/>
      <c r="FN40" s="4653"/>
      <c r="FO40" s="4653"/>
      <c r="FP40" s="4653"/>
      <c r="FQ40" s="4653"/>
      <c r="FR40" s="4653"/>
      <c r="FS40" s="4653"/>
      <c r="FT40" s="4653"/>
      <c r="FU40" s="4653"/>
      <c r="FV40" s="4653"/>
      <c r="FW40" s="4653"/>
      <c r="FX40" s="4653"/>
      <c r="FY40" s="4653"/>
      <c r="FZ40" s="4653"/>
      <c r="GA40" s="4653"/>
      <c r="GB40" s="4653"/>
      <c r="GC40" s="4653"/>
      <c r="GD40" s="4653"/>
      <c r="GE40" s="4653"/>
      <c r="GF40" s="4653"/>
      <c r="GG40" s="4653"/>
      <c r="GH40" s="4653"/>
      <c r="GI40" s="4653"/>
      <c r="GJ40" s="4653"/>
      <c r="GK40" s="4653"/>
      <c r="GL40" s="4653"/>
      <c r="GM40" s="4653"/>
      <c r="GN40" s="4653"/>
      <c r="GO40" s="4653"/>
      <c r="GP40" s="4653"/>
      <c r="GQ40" s="4653"/>
      <c r="GR40" s="4653"/>
      <c r="GS40" s="4653"/>
      <c r="GT40" s="4653"/>
      <c r="GU40" s="4653"/>
      <c r="GV40" s="4653"/>
      <c r="GW40" s="4653"/>
      <c r="GX40" s="4653"/>
      <c r="GY40" s="4653"/>
      <c r="GZ40" s="4653"/>
      <c r="HA40" s="4653"/>
      <c r="HB40" s="4653"/>
      <c r="HC40" s="4653"/>
      <c r="HD40" s="4653"/>
      <c r="HE40" s="4653"/>
      <c r="HF40" s="4653"/>
      <c r="HG40" s="4653"/>
      <c r="HH40" s="4653"/>
      <c r="HI40" s="4653"/>
      <c r="HJ40" s="4653"/>
      <c r="HK40" s="4653"/>
      <c r="HL40" s="4653"/>
      <c r="HM40" s="4653"/>
      <c r="HN40" s="4653"/>
      <c r="HO40" s="4653"/>
      <c r="HP40" s="4653"/>
      <c r="HQ40" s="4653"/>
      <c r="HR40" s="4653"/>
      <c r="HS40" s="4653"/>
      <c r="HT40" s="4653"/>
      <c r="HU40" s="4653"/>
      <c r="HV40" s="4653"/>
      <c r="HW40" s="4653"/>
      <c r="HX40" s="4653"/>
      <c r="HY40" s="4653"/>
    </row>
    <row r="41" spans="1:234" s="4688" customFormat="1" ht="31.5" customHeight="1" x14ac:dyDescent="0.2">
      <c r="A41" s="10239"/>
      <c r="B41" s="4737" t="s">
        <v>1703</v>
      </c>
      <c r="C41" s="4738"/>
      <c r="D41" s="4739"/>
      <c r="E41" s="4739"/>
      <c r="F41" s="4739"/>
      <c r="G41" s="4739"/>
      <c r="H41" s="4739"/>
      <c r="I41" s="4739"/>
      <c r="J41" s="4739"/>
      <c r="K41" s="4739"/>
      <c r="L41" s="4739"/>
      <c r="M41" s="4739"/>
      <c r="N41" s="4740"/>
      <c r="O41" s="4684"/>
      <c r="P41" s="4684"/>
      <c r="Q41" s="4684"/>
      <c r="R41" s="4684"/>
      <c r="S41" s="4684"/>
      <c r="T41" s="4684"/>
      <c r="U41" s="4684"/>
      <c r="V41" s="4684"/>
      <c r="W41" s="4684"/>
      <c r="X41" s="4657"/>
      <c r="Y41" s="4657"/>
      <c r="Z41" s="4657"/>
      <c r="AA41" s="4651"/>
      <c r="AB41" s="4651"/>
      <c r="AC41" s="4651"/>
      <c r="AD41" s="4651"/>
      <c r="AE41" s="4651"/>
      <c r="AF41" s="4651"/>
      <c r="AG41" s="4651"/>
      <c r="AH41" s="4651"/>
      <c r="AI41" s="4651"/>
      <c r="AJ41" s="4651"/>
      <c r="AK41" s="4651"/>
      <c r="AL41" s="4651"/>
      <c r="AM41" s="4651"/>
      <c r="AN41" s="4651"/>
      <c r="AO41" s="4651"/>
      <c r="AP41" s="4651"/>
      <c r="AQ41" s="4651"/>
      <c r="AR41" s="4651"/>
      <c r="AS41" s="4651"/>
      <c r="AT41" s="4651"/>
      <c r="AU41" s="4651"/>
      <c r="AV41" s="4651"/>
      <c r="AW41" s="4651"/>
      <c r="AX41" s="4651"/>
      <c r="AY41" s="4651"/>
      <c r="AZ41" s="4651"/>
      <c r="BA41" s="4651"/>
      <c r="BB41" s="4651"/>
      <c r="BC41" s="4651"/>
      <c r="BD41" s="4651"/>
      <c r="BE41" s="4651"/>
      <c r="BF41" s="4651"/>
      <c r="BG41" s="4651"/>
      <c r="BH41" s="4651"/>
      <c r="BI41" s="4651"/>
      <c r="BJ41" s="4651"/>
      <c r="BK41" s="4651"/>
      <c r="BL41" s="4651"/>
      <c r="BM41" s="4651"/>
      <c r="BN41" s="4651"/>
      <c r="BO41" s="4651"/>
      <c r="BP41" s="4651"/>
      <c r="BQ41" s="4651"/>
      <c r="BR41" s="4651"/>
      <c r="BS41" s="4651"/>
      <c r="BT41" s="4651"/>
      <c r="BU41" s="4651"/>
      <c r="BV41" s="4651"/>
      <c r="BW41" s="4652"/>
      <c r="BX41" s="4653"/>
      <c r="BY41" s="4653"/>
      <c r="BZ41" s="4657"/>
      <c r="CA41" s="4655"/>
      <c r="CB41" s="4655"/>
      <c r="CC41" s="4655"/>
      <c r="CD41" s="4655"/>
      <c r="CE41" s="4655"/>
      <c r="CF41" s="4655"/>
      <c r="CG41" s="4655"/>
      <c r="CH41" s="4654"/>
      <c r="CI41" s="4654"/>
      <c r="CJ41" s="4654"/>
      <c r="CK41" s="4654"/>
      <c r="CL41" s="4654"/>
      <c r="CM41" s="4654"/>
      <c r="CN41" s="4654"/>
      <c r="CO41" s="4654"/>
      <c r="CP41" s="4654"/>
      <c r="CQ41" s="4654"/>
      <c r="CR41" s="4654"/>
      <c r="CS41" s="4654"/>
      <c r="CT41" s="4654"/>
      <c r="CU41" s="4654"/>
      <c r="CV41" s="4654"/>
      <c r="CW41" s="4654"/>
      <c r="CX41" s="4654"/>
      <c r="CY41" s="4654"/>
      <c r="CZ41" s="4655"/>
      <c r="DA41" s="4687"/>
      <c r="DB41" s="4687"/>
      <c r="DC41" s="4687"/>
      <c r="DD41" s="4687"/>
      <c r="DE41" s="4687"/>
      <c r="DF41" s="4687"/>
      <c r="DG41" s="4687"/>
      <c r="DH41" s="4687"/>
      <c r="DI41" s="4687"/>
      <c r="DJ41" s="4687"/>
      <c r="DK41" s="4687"/>
      <c r="DL41" s="4687"/>
      <c r="DM41" s="4687"/>
      <c r="DN41" s="4687"/>
      <c r="DO41" s="4687"/>
      <c r="DP41" s="4687"/>
      <c r="DQ41" s="4653"/>
      <c r="DR41" s="4653"/>
      <c r="DS41" s="4653"/>
      <c r="DT41" s="4653"/>
      <c r="DU41" s="4653"/>
      <c r="DV41" s="4653"/>
      <c r="DW41" s="4653"/>
      <c r="DX41" s="4653"/>
      <c r="DY41" s="4653"/>
      <c r="DZ41" s="4653"/>
      <c r="EA41" s="4653"/>
      <c r="EB41" s="4653"/>
      <c r="EC41" s="4653"/>
      <c r="ED41" s="4653"/>
      <c r="EE41" s="4653"/>
      <c r="EF41" s="4653"/>
      <c r="EG41" s="4653"/>
      <c r="EH41" s="4653"/>
      <c r="EI41" s="4653"/>
      <c r="EJ41" s="4653"/>
      <c r="EK41" s="4653"/>
      <c r="EL41" s="4653"/>
      <c r="EM41" s="4653"/>
      <c r="EN41" s="4653"/>
      <c r="EO41" s="4653"/>
      <c r="EP41" s="4653"/>
      <c r="EQ41" s="4653"/>
      <c r="ER41" s="4653"/>
      <c r="ES41" s="4653"/>
      <c r="ET41" s="4653"/>
      <c r="EU41" s="4653"/>
      <c r="EV41" s="4653"/>
      <c r="EW41" s="4653"/>
      <c r="EX41" s="4653"/>
      <c r="EY41" s="4653"/>
      <c r="EZ41" s="4653"/>
      <c r="FA41" s="4653"/>
      <c r="FB41" s="4653"/>
      <c r="FC41" s="4653"/>
      <c r="FD41" s="4653"/>
      <c r="FE41" s="4653"/>
      <c r="FF41" s="4653"/>
      <c r="FG41" s="4653"/>
      <c r="FH41" s="4653"/>
      <c r="FI41" s="4653"/>
      <c r="FJ41" s="4653"/>
      <c r="FK41" s="4653"/>
      <c r="FL41" s="4653"/>
      <c r="FM41" s="4653"/>
      <c r="FN41" s="4653"/>
      <c r="FO41" s="4653"/>
      <c r="FP41" s="4653"/>
      <c r="FQ41" s="4653"/>
      <c r="FR41" s="4653"/>
      <c r="FS41" s="4653"/>
      <c r="FT41" s="4653"/>
      <c r="FU41" s="4653"/>
      <c r="FV41" s="4653"/>
      <c r="FW41" s="4653"/>
      <c r="FX41" s="4653"/>
      <c r="FY41" s="4653"/>
      <c r="FZ41" s="4653"/>
      <c r="GA41" s="4653"/>
      <c r="GB41" s="4653"/>
      <c r="GC41" s="4653"/>
      <c r="GD41" s="4653"/>
      <c r="GE41" s="4653"/>
      <c r="GF41" s="4653"/>
      <c r="GG41" s="4653"/>
      <c r="GH41" s="4653"/>
      <c r="GI41" s="4653"/>
      <c r="GJ41" s="4653"/>
      <c r="GK41" s="4653"/>
      <c r="GL41" s="4653"/>
      <c r="GM41" s="4653"/>
      <c r="GN41" s="4653"/>
      <c r="GO41" s="4653"/>
      <c r="GP41" s="4653"/>
      <c r="GQ41" s="4653"/>
      <c r="GR41" s="4653"/>
      <c r="GS41" s="4653"/>
      <c r="GT41" s="4653"/>
      <c r="GU41" s="4653"/>
      <c r="GV41" s="4653"/>
      <c r="GW41" s="4653"/>
      <c r="GX41" s="4653"/>
      <c r="GY41" s="4653"/>
      <c r="GZ41" s="4653"/>
      <c r="HA41" s="4653"/>
      <c r="HB41" s="4653"/>
      <c r="HC41" s="4653"/>
      <c r="HD41" s="4653"/>
      <c r="HE41" s="4653"/>
      <c r="HF41" s="4653"/>
      <c r="HG41" s="4653"/>
      <c r="HH41" s="4653"/>
      <c r="HI41" s="4653"/>
      <c r="HJ41" s="4653"/>
      <c r="HK41" s="4653"/>
      <c r="HL41" s="4653"/>
      <c r="HM41" s="4653"/>
      <c r="HN41" s="4653"/>
      <c r="HO41" s="4653"/>
      <c r="HP41" s="4653"/>
      <c r="HQ41" s="4653"/>
      <c r="HR41" s="4653"/>
      <c r="HS41" s="4653"/>
      <c r="HT41" s="4653"/>
      <c r="HU41" s="4653"/>
      <c r="HV41" s="4653"/>
      <c r="HW41" s="4653"/>
      <c r="HX41" s="4653"/>
      <c r="HY41" s="4653"/>
    </row>
    <row r="42" spans="1:234" s="4688" customFormat="1" ht="31.5" customHeight="1" x14ac:dyDescent="0.2">
      <c r="A42" s="4741" t="s">
        <v>3495</v>
      </c>
      <c r="B42" s="4684"/>
      <c r="C42" s="4684"/>
      <c r="D42" s="4684"/>
      <c r="E42" s="4684"/>
      <c r="F42" s="4684"/>
      <c r="G42" s="4684"/>
      <c r="H42" s="4684"/>
      <c r="I42" s="4684"/>
      <c r="J42" s="4684"/>
      <c r="K42" s="4684"/>
      <c r="L42" s="4684"/>
      <c r="M42" s="4684"/>
      <c r="N42" s="4684"/>
      <c r="O42" s="4684"/>
      <c r="P42" s="4684"/>
      <c r="Q42" s="4684"/>
      <c r="R42" s="4684"/>
      <c r="S42" s="4684"/>
      <c r="T42" s="4684"/>
      <c r="U42" s="4684"/>
      <c r="V42" s="4684"/>
      <c r="W42" s="4684"/>
      <c r="X42" s="4684"/>
      <c r="Y42" s="4684"/>
      <c r="Z42" s="4684"/>
      <c r="AA42" s="4684"/>
      <c r="AB42" s="4684"/>
      <c r="AC42" s="4684"/>
      <c r="AD42" s="4684"/>
      <c r="AE42" s="4684"/>
      <c r="AF42" s="4684"/>
      <c r="AG42" s="4684"/>
      <c r="AH42" s="4684"/>
      <c r="AI42" s="4684"/>
      <c r="AJ42" s="4684"/>
      <c r="AK42" s="4684"/>
      <c r="AL42" s="4684"/>
      <c r="AM42" s="4684"/>
      <c r="AN42" s="4651"/>
      <c r="AO42" s="4651"/>
      <c r="AP42" s="4651"/>
      <c r="AQ42" s="4651"/>
      <c r="AR42" s="4651"/>
      <c r="AS42" s="4651"/>
      <c r="AT42" s="4651"/>
      <c r="AU42" s="4651"/>
      <c r="AV42" s="4651"/>
      <c r="AW42" s="4651"/>
      <c r="AX42" s="4651"/>
      <c r="AY42" s="4651"/>
      <c r="AZ42" s="4651"/>
      <c r="BA42" s="4651"/>
      <c r="BB42" s="4651"/>
      <c r="BC42" s="4651"/>
      <c r="BD42" s="4651"/>
      <c r="BE42" s="4651"/>
      <c r="BF42" s="4651"/>
      <c r="BG42" s="4651"/>
      <c r="BH42" s="4651"/>
      <c r="BI42" s="4651"/>
      <c r="BJ42" s="4651"/>
      <c r="BK42" s="4651"/>
      <c r="BL42" s="4651"/>
      <c r="BM42" s="4651"/>
      <c r="BN42" s="4651"/>
      <c r="BO42" s="4651"/>
      <c r="BP42" s="4651"/>
      <c r="BQ42" s="4651"/>
      <c r="BR42" s="4651"/>
      <c r="BS42" s="4651"/>
      <c r="BT42" s="4651"/>
      <c r="BU42" s="4651"/>
      <c r="BV42" s="4651"/>
      <c r="BW42" s="4651"/>
      <c r="BX42" s="4652"/>
      <c r="BY42" s="4653"/>
      <c r="BZ42" s="4653"/>
      <c r="CA42" s="4655"/>
      <c r="CB42" s="4655"/>
      <c r="CC42" s="4655"/>
      <c r="CD42" s="4655"/>
      <c r="CE42" s="4655"/>
      <c r="CF42" s="4655"/>
      <c r="CG42" s="4655"/>
      <c r="CH42" s="4655"/>
      <c r="CI42" s="4654"/>
      <c r="CJ42" s="4654"/>
      <c r="CK42" s="4654"/>
      <c r="CL42" s="4654"/>
      <c r="CM42" s="4654"/>
      <c r="CN42" s="4654"/>
      <c r="CO42" s="4654"/>
      <c r="CP42" s="4654"/>
      <c r="CQ42" s="4654"/>
      <c r="CR42" s="4654"/>
      <c r="CS42" s="4654"/>
      <c r="CT42" s="4654"/>
      <c r="CU42" s="4654"/>
      <c r="CV42" s="4654"/>
      <c r="CW42" s="4654"/>
      <c r="CX42" s="4654"/>
      <c r="CY42" s="4654"/>
      <c r="CZ42" s="4654"/>
      <c r="DA42" s="4656"/>
      <c r="DB42" s="4687"/>
      <c r="DC42" s="4687"/>
      <c r="DD42" s="4687"/>
      <c r="DE42" s="4687"/>
      <c r="DF42" s="4687"/>
      <c r="DG42" s="4687"/>
      <c r="DH42" s="4687"/>
      <c r="DI42" s="4687"/>
      <c r="DJ42" s="4687"/>
      <c r="DK42" s="4687"/>
      <c r="DL42" s="4687"/>
      <c r="DM42" s="4687"/>
      <c r="DN42" s="4687"/>
      <c r="DO42" s="4687"/>
      <c r="DP42" s="4687"/>
      <c r="DQ42" s="4653"/>
      <c r="DR42" s="4653"/>
      <c r="DS42" s="4653"/>
      <c r="DT42" s="4653"/>
      <c r="DU42" s="4653"/>
      <c r="DV42" s="4653"/>
      <c r="DW42" s="4653"/>
      <c r="DX42" s="4653"/>
      <c r="DY42" s="4653"/>
      <c r="DZ42" s="4653"/>
      <c r="EA42" s="4653"/>
      <c r="EB42" s="4653"/>
      <c r="EC42" s="4653"/>
      <c r="ED42" s="4653"/>
      <c r="EE42" s="4653"/>
      <c r="EF42" s="4653"/>
      <c r="EG42" s="4653"/>
      <c r="EH42" s="4653"/>
      <c r="EI42" s="4653"/>
      <c r="EJ42" s="4653"/>
      <c r="EK42" s="4653"/>
      <c r="EL42" s="4653"/>
      <c r="EM42" s="4653"/>
      <c r="EN42" s="4653"/>
      <c r="EO42" s="4653"/>
      <c r="EP42" s="4653"/>
      <c r="EQ42" s="4653"/>
      <c r="ER42" s="4653"/>
      <c r="ES42" s="4653"/>
      <c r="ET42" s="4653"/>
      <c r="EU42" s="4653"/>
      <c r="EV42" s="4653"/>
      <c r="EW42" s="4653"/>
      <c r="EX42" s="4653"/>
      <c r="EY42" s="4653"/>
      <c r="EZ42" s="4653"/>
      <c r="FA42" s="4653"/>
      <c r="FB42" s="4653"/>
      <c r="FC42" s="4653"/>
      <c r="FD42" s="4653"/>
      <c r="FE42" s="4653"/>
      <c r="FF42" s="4653"/>
      <c r="FG42" s="4653"/>
      <c r="FH42" s="4653"/>
      <c r="FI42" s="4653"/>
      <c r="FJ42" s="4653"/>
      <c r="FK42" s="4653"/>
      <c r="FL42" s="4653"/>
      <c r="FM42" s="4653"/>
      <c r="FN42" s="4653"/>
      <c r="FO42" s="4653"/>
      <c r="FP42" s="4653"/>
      <c r="FQ42" s="4653"/>
      <c r="FR42" s="4653"/>
      <c r="FS42" s="4653"/>
      <c r="FT42" s="4653"/>
      <c r="FU42" s="4653"/>
      <c r="FV42" s="4653"/>
      <c r="FW42" s="4653"/>
      <c r="FX42" s="4653"/>
      <c r="FY42" s="4653"/>
      <c r="FZ42" s="4653"/>
      <c r="GA42" s="4653"/>
      <c r="GB42" s="4653"/>
      <c r="GC42" s="4653"/>
      <c r="GD42" s="4653"/>
      <c r="GE42" s="4653"/>
      <c r="GF42" s="4653"/>
      <c r="GG42" s="4653"/>
      <c r="GH42" s="4653"/>
      <c r="GI42" s="4653"/>
      <c r="GJ42" s="4653"/>
      <c r="GK42" s="4653"/>
      <c r="GL42" s="4653"/>
      <c r="GM42" s="4653"/>
      <c r="GN42" s="4653"/>
      <c r="GO42" s="4653"/>
      <c r="GP42" s="4653"/>
      <c r="GQ42" s="4653"/>
      <c r="GR42" s="4653"/>
      <c r="GS42" s="4653"/>
      <c r="GT42" s="4653"/>
      <c r="GU42" s="4653"/>
      <c r="GV42" s="4653"/>
      <c r="GW42" s="4653"/>
      <c r="GX42" s="4653"/>
      <c r="GY42" s="4653"/>
      <c r="GZ42" s="4653"/>
      <c r="HA42" s="4653"/>
      <c r="HB42" s="4653"/>
      <c r="HC42" s="4653"/>
      <c r="HD42" s="4653"/>
      <c r="HE42" s="4653"/>
      <c r="HF42" s="4653"/>
      <c r="HG42" s="4653"/>
      <c r="HH42" s="4653"/>
      <c r="HI42" s="4653"/>
      <c r="HJ42" s="4653"/>
      <c r="HK42" s="4653"/>
      <c r="HL42" s="4653"/>
      <c r="HM42" s="4653"/>
      <c r="HN42" s="4653"/>
      <c r="HO42" s="4653"/>
      <c r="HP42" s="4653"/>
      <c r="HQ42" s="4653"/>
      <c r="HR42" s="4653"/>
      <c r="HS42" s="4653"/>
      <c r="HT42" s="4653"/>
      <c r="HU42" s="4653"/>
      <c r="HV42" s="4653"/>
      <c r="HW42" s="4653"/>
      <c r="HX42" s="4653"/>
      <c r="HY42" s="4653"/>
      <c r="HZ42" s="4653"/>
    </row>
    <row r="43" spans="1:234" s="4688" customFormat="1" ht="31.5" customHeight="1" x14ac:dyDescent="0.2">
      <c r="A43" s="10205" t="s">
        <v>1687</v>
      </c>
      <c r="B43" s="9802" t="s">
        <v>24</v>
      </c>
      <c r="C43" s="9803"/>
      <c r="D43" s="9804"/>
      <c r="E43" s="9845" t="s">
        <v>2</v>
      </c>
      <c r="F43" s="9846"/>
      <c r="G43" s="9846"/>
      <c r="H43" s="9846"/>
      <c r="I43" s="9846"/>
      <c r="J43" s="9846"/>
      <c r="K43" s="9846"/>
      <c r="L43" s="9846"/>
      <c r="M43" s="9846"/>
      <c r="N43" s="9846"/>
      <c r="O43" s="9846"/>
      <c r="P43" s="9846"/>
      <c r="Q43" s="9846"/>
      <c r="R43" s="9846"/>
      <c r="S43" s="9846"/>
      <c r="T43" s="9846"/>
      <c r="U43" s="9846"/>
      <c r="V43" s="9846"/>
      <c r="W43" s="9846"/>
      <c r="X43" s="9846"/>
      <c r="Y43" s="9846"/>
      <c r="Z43" s="9846"/>
      <c r="AA43" s="9846"/>
      <c r="AB43" s="9846"/>
      <c r="AC43" s="9846"/>
      <c r="AD43" s="9846"/>
      <c r="AE43" s="9846"/>
      <c r="AF43" s="9846"/>
      <c r="AG43" s="9846"/>
      <c r="AH43" s="9846"/>
      <c r="AI43" s="9846"/>
      <c r="AJ43" s="9846"/>
      <c r="AK43" s="9846"/>
      <c r="AL43" s="9873"/>
      <c r="AM43" s="9821" t="s">
        <v>74</v>
      </c>
      <c r="AN43" s="9820"/>
      <c r="AO43" s="9801"/>
      <c r="AP43" s="4651"/>
      <c r="AQ43" s="4651"/>
      <c r="AR43" s="4651"/>
      <c r="AS43" s="4742"/>
      <c r="AT43" s="4651"/>
      <c r="AU43" s="4651"/>
      <c r="AV43" s="4651"/>
      <c r="AW43" s="4651"/>
      <c r="AX43" s="4651"/>
      <c r="AY43" s="4651"/>
      <c r="AZ43" s="4651"/>
      <c r="BA43" s="4651"/>
      <c r="BB43" s="4651"/>
      <c r="BC43" s="4651"/>
      <c r="BD43" s="4651"/>
      <c r="BE43" s="4651"/>
      <c r="BF43" s="4651"/>
      <c r="BG43" s="4651"/>
      <c r="BH43" s="4651"/>
      <c r="BI43" s="4651"/>
      <c r="BJ43" s="4651"/>
      <c r="BK43" s="4651"/>
      <c r="BL43" s="4651"/>
      <c r="BM43" s="4651"/>
      <c r="BN43" s="4651"/>
      <c r="BO43" s="4651"/>
      <c r="BP43" s="4651"/>
      <c r="BQ43" s="4651"/>
      <c r="BR43" s="4651"/>
      <c r="BS43" s="4651"/>
      <c r="BT43" s="4651"/>
      <c r="BU43" s="4651"/>
      <c r="BV43" s="4651"/>
      <c r="BW43" s="4651"/>
      <c r="BX43" s="4652"/>
      <c r="BY43" s="4653"/>
      <c r="BZ43" s="4653"/>
      <c r="CA43" s="4655"/>
      <c r="CB43" s="4655"/>
      <c r="CC43" s="4655"/>
      <c r="CD43" s="4655"/>
      <c r="CE43" s="4655"/>
      <c r="CF43" s="4655"/>
      <c r="CG43" s="4655"/>
      <c r="CH43" s="4655"/>
      <c r="CI43" s="4654"/>
      <c r="CJ43" s="4654"/>
      <c r="CK43" s="4654"/>
      <c r="CL43" s="4654"/>
      <c r="CM43" s="4654"/>
      <c r="CN43" s="4654"/>
      <c r="CO43" s="4654"/>
      <c r="CP43" s="4654"/>
      <c r="CQ43" s="4654"/>
      <c r="CR43" s="4654"/>
      <c r="CS43" s="4654"/>
      <c r="CT43" s="4654"/>
      <c r="CU43" s="4654"/>
      <c r="CV43" s="4654"/>
      <c r="CW43" s="4654"/>
      <c r="CX43" s="4654"/>
      <c r="CY43" s="4654"/>
      <c r="CZ43" s="4654"/>
      <c r="DA43" s="4656"/>
      <c r="DB43" s="4687"/>
      <c r="DC43" s="4687"/>
      <c r="DD43" s="4687"/>
      <c r="DE43" s="4687"/>
      <c r="DF43" s="4687"/>
      <c r="DG43" s="4687"/>
      <c r="DH43" s="4687"/>
      <c r="DI43" s="4687"/>
      <c r="DJ43" s="4687"/>
      <c r="DK43" s="4687"/>
      <c r="DL43" s="4687"/>
      <c r="DM43" s="4687"/>
      <c r="DN43" s="4687"/>
      <c r="DO43" s="4687"/>
      <c r="DP43" s="4687"/>
      <c r="DQ43" s="4653"/>
      <c r="DR43" s="4653"/>
      <c r="DS43" s="4653"/>
      <c r="DT43" s="4653"/>
      <c r="DU43" s="4653"/>
      <c r="DV43" s="4653"/>
      <c r="DW43" s="4653"/>
      <c r="DX43" s="4653"/>
      <c r="DY43" s="4653"/>
      <c r="DZ43" s="4653"/>
      <c r="EA43" s="4653"/>
      <c r="EB43" s="4653"/>
      <c r="EC43" s="4653"/>
      <c r="ED43" s="4653"/>
      <c r="EE43" s="4653"/>
      <c r="EF43" s="4653"/>
      <c r="EG43" s="4653"/>
      <c r="EH43" s="4653"/>
      <c r="EI43" s="4653"/>
      <c r="EJ43" s="4653"/>
      <c r="EK43" s="4653"/>
      <c r="EL43" s="4653"/>
      <c r="EM43" s="4653"/>
      <c r="EN43" s="4653"/>
      <c r="EO43" s="4653"/>
      <c r="EP43" s="4653"/>
      <c r="EQ43" s="4653"/>
      <c r="ER43" s="4653"/>
      <c r="ES43" s="4653"/>
      <c r="ET43" s="4653"/>
      <c r="EU43" s="4653"/>
      <c r="EV43" s="4653"/>
      <c r="EW43" s="4653"/>
      <c r="EX43" s="4653"/>
      <c r="EY43" s="4653"/>
      <c r="EZ43" s="4653"/>
      <c r="FA43" s="4653"/>
      <c r="FB43" s="4653"/>
      <c r="FC43" s="4653"/>
      <c r="FD43" s="4653"/>
      <c r="FE43" s="4653"/>
      <c r="FF43" s="4653"/>
      <c r="FG43" s="4653"/>
      <c r="FH43" s="4653"/>
      <c r="FI43" s="4653"/>
      <c r="FJ43" s="4653"/>
      <c r="FK43" s="4653"/>
      <c r="FL43" s="4653"/>
      <c r="FM43" s="4653"/>
      <c r="FN43" s="4653"/>
      <c r="FO43" s="4653"/>
      <c r="FP43" s="4653"/>
      <c r="FQ43" s="4653"/>
      <c r="FR43" s="4653"/>
      <c r="FS43" s="4653"/>
      <c r="FT43" s="4653"/>
      <c r="FU43" s="4653"/>
      <c r="FV43" s="4653"/>
      <c r="FW43" s="4653"/>
      <c r="FX43" s="4653"/>
      <c r="FY43" s="4653"/>
      <c r="FZ43" s="4653"/>
      <c r="GA43" s="4653"/>
      <c r="GB43" s="4653"/>
      <c r="GC43" s="4653"/>
      <c r="GD43" s="4653"/>
      <c r="GE43" s="4653"/>
      <c r="GF43" s="4653"/>
      <c r="GG43" s="4653"/>
      <c r="GH43" s="4653"/>
      <c r="GI43" s="4653"/>
      <c r="GJ43" s="4653"/>
      <c r="GK43" s="4653"/>
      <c r="GL43" s="4653"/>
      <c r="GM43" s="4653"/>
      <c r="GN43" s="4653"/>
      <c r="GO43" s="4653"/>
      <c r="GP43" s="4653"/>
      <c r="GQ43" s="4653"/>
      <c r="GR43" s="4653"/>
      <c r="GS43" s="4653"/>
      <c r="GT43" s="4653"/>
      <c r="GU43" s="4653"/>
      <c r="GV43" s="4653"/>
      <c r="GW43" s="4653"/>
      <c r="GX43" s="4653"/>
      <c r="GY43" s="4653"/>
      <c r="GZ43" s="4653"/>
      <c r="HA43" s="4653"/>
      <c r="HB43" s="4653"/>
      <c r="HC43" s="4653"/>
      <c r="HD43" s="4653"/>
      <c r="HE43" s="4653"/>
      <c r="HF43" s="4653"/>
      <c r="HG43" s="4653"/>
      <c r="HH43" s="4653"/>
      <c r="HI43" s="4653"/>
      <c r="HJ43" s="4653"/>
      <c r="HK43" s="4653"/>
      <c r="HL43" s="4653"/>
      <c r="HM43" s="4653"/>
      <c r="HN43" s="4653"/>
      <c r="HO43" s="4653"/>
      <c r="HP43" s="4653"/>
      <c r="HQ43" s="4653"/>
      <c r="HR43" s="4653"/>
      <c r="HS43" s="4653"/>
      <c r="HT43" s="4653"/>
      <c r="HU43" s="4653"/>
      <c r="HV43" s="4653"/>
      <c r="HW43" s="4653"/>
      <c r="HX43" s="4653"/>
      <c r="HY43" s="4653"/>
      <c r="HZ43" s="4653"/>
    </row>
    <row r="44" spans="1:234" s="4688" customFormat="1" ht="18.600000000000001" customHeight="1" x14ac:dyDescent="0.2">
      <c r="A44" s="10206"/>
      <c r="B44" s="10202"/>
      <c r="C44" s="10203"/>
      <c r="D44" s="10204"/>
      <c r="E44" s="9822" t="s">
        <v>1414</v>
      </c>
      <c r="F44" s="9823"/>
      <c r="G44" s="9822" t="s">
        <v>1911</v>
      </c>
      <c r="H44" s="9823"/>
      <c r="I44" s="9822" t="s">
        <v>79</v>
      </c>
      <c r="J44" s="9823"/>
      <c r="K44" s="9822" t="s">
        <v>3489</v>
      </c>
      <c r="L44" s="9823"/>
      <c r="M44" s="9822" t="s">
        <v>1914</v>
      </c>
      <c r="N44" s="9823"/>
      <c r="O44" s="9822" t="s">
        <v>115</v>
      </c>
      <c r="P44" s="9823"/>
      <c r="Q44" s="9822" t="s">
        <v>83</v>
      </c>
      <c r="R44" s="9823"/>
      <c r="S44" s="9822" t="s">
        <v>398</v>
      </c>
      <c r="T44" s="9823"/>
      <c r="U44" s="9822" t="s">
        <v>124</v>
      </c>
      <c r="V44" s="9823"/>
      <c r="W44" s="9822" t="s">
        <v>125</v>
      </c>
      <c r="X44" s="9823"/>
      <c r="Y44" s="9822" t="s">
        <v>126</v>
      </c>
      <c r="Z44" s="9823"/>
      <c r="AA44" s="9822" t="s">
        <v>127</v>
      </c>
      <c r="AB44" s="9823"/>
      <c r="AC44" s="9822" t="s">
        <v>128</v>
      </c>
      <c r="AD44" s="9823"/>
      <c r="AE44" s="9822" t="s">
        <v>129</v>
      </c>
      <c r="AF44" s="9823"/>
      <c r="AG44" s="9822" t="s">
        <v>130</v>
      </c>
      <c r="AH44" s="9823"/>
      <c r="AI44" s="9822" t="s">
        <v>131</v>
      </c>
      <c r="AJ44" s="9823"/>
      <c r="AK44" s="9822" t="s">
        <v>1916</v>
      </c>
      <c r="AL44" s="9823"/>
      <c r="AM44" s="10208"/>
      <c r="AN44" s="10209"/>
      <c r="AO44" s="10210"/>
      <c r="AP44" s="4651"/>
      <c r="AQ44" s="4651"/>
      <c r="AR44" s="4651"/>
      <c r="AS44" s="4651"/>
      <c r="AT44" s="4651"/>
      <c r="AU44" s="4651"/>
      <c r="AV44" s="4651"/>
      <c r="AW44" s="4651"/>
      <c r="AX44" s="4651"/>
      <c r="AY44" s="4651"/>
      <c r="AZ44" s="4651"/>
      <c r="BA44" s="4651"/>
      <c r="BB44" s="4651"/>
      <c r="BC44" s="4651"/>
      <c r="BD44" s="4651"/>
      <c r="BE44" s="4651"/>
      <c r="BF44" s="4651"/>
      <c r="BG44" s="4651"/>
      <c r="BH44" s="4651"/>
      <c r="BI44" s="4651"/>
      <c r="BJ44" s="4651"/>
      <c r="BK44" s="4651"/>
      <c r="BL44" s="4651"/>
      <c r="BM44" s="4651"/>
      <c r="BN44" s="4651"/>
      <c r="BO44" s="4651"/>
      <c r="BP44" s="4651"/>
      <c r="BQ44" s="4651"/>
      <c r="BR44" s="4652"/>
      <c r="BS44" s="4653"/>
      <c r="BT44" s="4653"/>
      <c r="BU44" s="4657"/>
      <c r="BV44" s="4657"/>
      <c r="BW44" s="4657"/>
      <c r="BX44" s="4657"/>
      <c r="BY44" s="4657"/>
      <c r="BZ44" s="4657"/>
      <c r="CA44" s="4655"/>
      <c r="CB44" s="4655"/>
      <c r="CC44" s="4654"/>
      <c r="CD44" s="4654"/>
      <c r="CE44" s="4654"/>
      <c r="CF44" s="4654"/>
      <c r="CG44" s="4654"/>
      <c r="CH44" s="4654"/>
      <c r="CI44" s="4654"/>
      <c r="CJ44" s="4654"/>
      <c r="CK44" s="4654"/>
      <c r="CL44" s="4654"/>
      <c r="CM44" s="4654"/>
      <c r="CN44" s="4654"/>
      <c r="CO44" s="4654"/>
      <c r="CP44" s="4654"/>
      <c r="CQ44" s="4654"/>
      <c r="CR44" s="4654"/>
      <c r="CS44" s="4654"/>
      <c r="CT44" s="4654"/>
      <c r="CU44" s="4655"/>
      <c r="CV44" s="4654"/>
      <c r="CW44" s="4654"/>
      <c r="CX44" s="4654"/>
      <c r="CY44" s="4654"/>
      <c r="CZ44" s="4654"/>
      <c r="DA44" s="4687"/>
      <c r="DB44" s="4687"/>
      <c r="DC44" s="4687"/>
      <c r="DD44" s="4687"/>
      <c r="DE44" s="4687"/>
      <c r="DF44" s="4687"/>
      <c r="DG44" s="4687"/>
      <c r="DH44" s="4687"/>
      <c r="DI44" s="4687"/>
      <c r="DJ44" s="4687"/>
      <c r="DK44" s="4687"/>
      <c r="DL44" s="4687"/>
      <c r="DM44" s="4687"/>
      <c r="DN44" s="4687"/>
      <c r="DO44" s="4687"/>
      <c r="DP44" s="4687"/>
      <c r="DQ44" s="4653"/>
      <c r="DR44" s="4653"/>
      <c r="DS44" s="4653"/>
      <c r="DT44" s="4653"/>
      <c r="DU44" s="4653"/>
      <c r="DV44" s="4653"/>
      <c r="DW44" s="4653"/>
      <c r="DX44" s="4653"/>
      <c r="DY44" s="4653"/>
      <c r="DZ44" s="4653"/>
      <c r="EA44" s="4653"/>
      <c r="EB44" s="4653"/>
      <c r="EC44" s="4653"/>
      <c r="ED44" s="4653"/>
      <c r="EE44" s="4653"/>
      <c r="EF44" s="4653"/>
      <c r="EG44" s="4653"/>
      <c r="EH44" s="4653"/>
      <c r="EI44" s="4653"/>
      <c r="EJ44" s="4653"/>
      <c r="EK44" s="4653"/>
      <c r="EL44" s="4653"/>
      <c r="EM44" s="4653"/>
      <c r="EN44" s="4653"/>
      <c r="EO44" s="4653"/>
      <c r="EP44" s="4653"/>
      <c r="EQ44" s="4653"/>
      <c r="ER44" s="4653"/>
      <c r="ES44" s="4653"/>
      <c r="ET44" s="4653"/>
      <c r="EU44" s="4653"/>
      <c r="EV44" s="4653"/>
      <c r="EW44" s="4653"/>
      <c r="EX44" s="4653"/>
      <c r="EY44" s="4653"/>
      <c r="EZ44" s="4653"/>
      <c r="FA44" s="4653"/>
      <c r="FB44" s="4653"/>
      <c r="FC44" s="4653"/>
      <c r="FD44" s="4653"/>
      <c r="FE44" s="4653"/>
      <c r="FF44" s="4653"/>
      <c r="FG44" s="4653"/>
      <c r="FH44" s="4653"/>
      <c r="FI44" s="4653"/>
      <c r="FJ44" s="4653"/>
      <c r="FK44" s="4653"/>
      <c r="FL44" s="4653"/>
      <c r="FM44" s="4653"/>
      <c r="FN44" s="4653"/>
      <c r="FO44" s="4653"/>
      <c r="FP44" s="4653"/>
      <c r="FQ44" s="4653"/>
      <c r="FR44" s="4653"/>
      <c r="FS44" s="4653"/>
      <c r="FT44" s="4653"/>
      <c r="FU44" s="4653"/>
      <c r="FV44" s="4653"/>
      <c r="FW44" s="4653"/>
      <c r="FX44" s="4653"/>
      <c r="FY44" s="4653"/>
      <c r="FZ44" s="4653"/>
      <c r="GA44" s="4653"/>
      <c r="GB44" s="4653"/>
      <c r="GC44" s="4653"/>
      <c r="GD44" s="4653"/>
      <c r="GE44" s="4653"/>
      <c r="GF44" s="4653"/>
      <c r="GG44" s="4653"/>
      <c r="GH44" s="4653"/>
      <c r="GI44" s="4653"/>
      <c r="GJ44" s="4653"/>
      <c r="GK44" s="4653"/>
      <c r="GL44" s="4653"/>
      <c r="GM44" s="4653"/>
      <c r="GN44" s="4653"/>
      <c r="GO44" s="4653"/>
      <c r="GP44" s="4653"/>
      <c r="GQ44" s="4653"/>
      <c r="GR44" s="4653"/>
      <c r="GS44" s="4653"/>
      <c r="GT44" s="4653"/>
      <c r="GU44" s="4653"/>
      <c r="GV44" s="4653"/>
      <c r="GW44" s="4653"/>
      <c r="GX44" s="4653"/>
      <c r="GY44" s="4653"/>
      <c r="GZ44" s="4653"/>
      <c r="HA44" s="4653"/>
      <c r="HB44" s="4653"/>
      <c r="HC44" s="4653"/>
      <c r="HD44" s="4653"/>
      <c r="HE44" s="4653"/>
      <c r="HF44" s="4653"/>
      <c r="HG44" s="4653"/>
      <c r="HH44" s="4653"/>
      <c r="HI44" s="4653"/>
      <c r="HJ44" s="4653"/>
      <c r="HK44" s="4653"/>
      <c r="HL44" s="4653"/>
      <c r="HM44" s="4653"/>
      <c r="HN44" s="4653"/>
      <c r="HO44" s="4653"/>
      <c r="HP44" s="4653"/>
      <c r="HQ44" s="4653"/>
      <c r="HR44" s="4653"/>
      <c r="HS44" s="4653"/>
      <c r="HT44" s="4653"/>
    </row>
    <row r="45" spans="1:234" s="4688" customFormat="1" ht="16.149999999999999" customHeight="1" x14ac:dyDescent="0.2">
      <c r="A45" s="10207"/>
      <c r="B45" s="4743" t="s">
        <v>42</v>
      </c>
      <c r="C45" s="4744" t="s">
        <v>17</v>
      </c>
      <c r="D45" s="4745" t="s">
        <v>18</v>
      </c>
      <c r="E45" s="4744" t="s">
        <v>17</v>
      </c>
      <c r="F45" s="4745" t="s">
        <v>18</v>
      </c>
      <c r="G45" s="4744" t="s">
        <v>17</v>
      </c>
      <c r="H45" s="4745" t="s">
        <v>18</v>
      </c>
      <c r="I45" s="4744" t="s">
        <v>17</v>
      </c>
      <c r="J45" s="4745" t="s">
        <v>18</v>
      </c>
      <c r="K45" s="4744" t="s">
        <v>17</v>
      </c>
      <c r="L45" s="4745" t="s">
        <v>18</v>
      </c>
      <c r="M45" s="4744" t="s">
        <v>17</v>
      </c>
      <c r="N45" s="4745" t="s">
        <v>18</v>
      </c>
      <c r="O45" s="4744" t="s">
        <v>17</v>
      </c>
      <c r="P45" s="4745" t="s">
        <v>18</v>
      </c>
      <c r="Q45" s="4744" t="s">
        <v>17</v>
      </c>
      <c r="R45" s="4745" t="s">
        <v>18</v>
      </c>
      <c r="S45" s="4744" t="s">
        <v>17</v>
      </c>
      <c r="T45" s="4745" t="s">
        <v>18</v>
      </c>
      <c r="U45" s="4744" t="s">
        <v>17</v>
      </c>
      <c r="V45" s="4745" t="s">
        <v>18</v>
      </c>
      <c r="W45" s="4744" t="s">
        <v>17</v>
      </c>
      <c r="X45" s="4745" t="s">
        <v>18</v>
      </c>
      <c r="Y45" s="4744" t="s">
        <v>17</v>
      </c>
      <c r="Z45" s="4745" t="s">
        <v>18</v>
      </c>
      <c r="AA45" s="4744" t="s">
        <v>17</v>
      </c>
      <c r="AB45" s="4745" t="s">
        <v>18</v>
      </c>
      <c r="AC45" s="4744" t="s">
        <v>17</v>
      </c>
      <c r="AD45" s="4745" t="s">
        <v>18</v>
      </c>
      <c r="AE45" s="4744" t="s">
        <v>17</v>
      </c>
      <c r="AF45" s="4745" t="s">
        <v>18</v>
      </c>
      <c r="AG45" s="4744" t="s">
        <v>17</v>
      </c>
      <c r="AH45" s="4745" t="s">
        <v>18</v>
      </c>
      <c r="AI45" s="4744" t="s">
        <v>17</v>
      </c>
      <c r="AJ45" s="4745" t="s">
        <v>18</v>
      </c>
      <c r="AK45" s="4744" t="s">
        <v>17</v>
      </c>
      <c r="AL45" s="4745" t="s">
        <v>18</v>
      </c>
      <c r="AM45" s="4746" t="s">
        <v>3490</v>
      </c>
      <c r="AN45" s="4747" t="s">
        <v>783</v>
      </c>
      <c r="AO45" s="4747" t="s">
        <v>1674</v>
      </c>
      <c r="AP45" s="4651"/>
      <c r="AQ45" s="4651"/>
      <c r="AR45" s="4651"/>
      <c r="AS45" s="4651"/>
      <c r="AT45" s="4651"/>
      <c r="AU45" s="4651"/>
      <c r="AV45" s="4651"/>
      <c r="AW45" s="4651"/>
      <c r="AX45" s="4651"/>
      <c r="AY45" s="4651"/>
      <c r="AZ45" s="4651"/>
      <c r="BA45" s="4651"/>
      <c r="BB45" s="4651"/>
      <c r="BC45" s="4651"/>
      <c r="BD45" s="4651"/>
      <c r="BE45" s="4651"/>
      <c r="BF45" s="4651"/>
      <c r="BG45" s="4651"/>
      <c r="BH45" s="4651"/>
      <c r="BI45" s="4651"/>
      <c r="BJ45" s="4651"/>
      <c r="BK45" s="4651"/>
      <c r="BL45" s="4651"/>
      <c r="BM45" s="4651"/>
      <c r="BN45" s="4651"/>
      <c r="BO45" s="4651"/>
      <c r="BP45" s="4651"/>
      <c r="BQ45" s="4651"/>
      <c r="BR45" s="4652"/>
      <c r="BS45" s="4653"/>
      <c r="BT45" s="4653"/>
      <c r="BU45" s="4657"/>
      <c r="BV45" s="4657"/>
      <c r="BW45" s="4657"/>
      <c r="BX45" s="4657"/>
      <c r="BY45" s="4657"/>
      <c r="BZ45" s="4657"/>
      <c r="CA45" s="4655"/>
      <c r="CB45" s="4655"/>
      <c r="CC45" s="4654"/>
      <c r="CD45" s="4654"/>
      <c r="CE45" s="4654"/>
      <c r="CF45" s="4654"/>
      <c r="CG45" s="4654"/>
      <c r="CH45" s="4654"/>
      <c r="CI45" s="4654"/>
      <c r="CJ45" s="4654"/>
      <c r="CK45" s="4654"/>
      <c r="CL45" s="4654"/>
      <c r="CM45" s="4654"/>
      <c r="CN45" s="4654"/>
      <c r="CO45" s="4654"/>
      <c r="CP45" s="4654"/>
      <c r="CQ45" s="4654"/>
      <c r="CR45" s="4654"/>
      <c r="CS45" s="4654"/>
      <c r="CT45" s="4654"/>
      <c r="CU45" s="4655"/>
      <c r="CV45" s="4654"/>
      <c r="CW45" s="4654"/>
      <c r="CX45" s="4654"/>
      <c r="CY45" s="4654"/>
      <c r="CZ45" s="4654"/>
      <c r="DA45" s="4687"/>
      <c r="DB45" s="4687"/>
      <c r="DC45" s="4687"/>
      <c r="DD45" s="4687"/>
      <c r="DE45" s="4687"/>
      <c r="DF45" s="4687"/>
      <c r="DG45" s="4687"/>
      <c r="DH45" s="4687"/>
      <c r="DI45" s="4687"/>
      <c r="DJ45" s="4687"/>
      <c r="DK45" s="4687"/>
      <c r="DL45" s="4687"/>
      <c r="DM45" s="4687"/>
      <c r="DN45" s="4687"/>
      <c r="DO45" s="4687"/>
      <c r="DP45" s="4687"/>
      <c r="DQ45" s="4653"/>
      <c r="DR45" s="4653"/>
      <c r="DS45" s="4653"/>
      <c r="DT45" s="4653"/>
      <c r="DU45" s="4653"/>
      <c r="DV45" s="4653"/>
      <c r="DW45" s="4653"/>
      <c r="DX45" s="4653"/>
      <c r="DY45" s="4653"/>
      <c r="DZ45" s="4653"/>
      <c r="EA45" s="4653"/>
      <c r="EB45" s="4653"/>
      <c r="EC45" s="4653"/>
      <c r="ED45" s="4653"/>
      <c r="EE45" s="4653"/>
      <c r="EF45" s="4653"/>
      <c r="EG45" s="4653"/>
      <c r="EH45" s="4653"/>
      <c r="EI45" s="4653"/>
      <c r="EJ45" s="4653"/>
      <c r="EK45" s="4653"/>
      <c r="EL45" s="4653"/>
      <c r="EM45" s="4653"/>
      <c r="EN45" s="4653"/>
      <c r="EO45" s="4653"/>
      <c r="EP45" s="4653"/>
      <c r="EQ45" s="4653"/>
      <c r="ER45" s="4653"/>
      <c r="ES45" s="4653"/>
      <c r="ET45" s="4653"/>
      <c r="EU45" s="4653"/>
      <c r="EV45" s="4653"/>
      <c r="EW45" s="4653"/>
      <c r="EX45" s="4653"/>
      <c r="EY45" s="4653"/>
      <c r="EZ45" s="4653"/>
      <c r="FA45" s="4653"/>
      <c r="FB45" s="4653"/>
      <c r="FC45" s="4653"/>
      <c r="FD45" s="4653"/>
      <c r="FE45" s="4653"/>
      <c r="FF45" s="4653"/>
      <c r="FG45" s="4653"/>
      <c r="FH45" s="4653"/>
      <c r="FI45" s="4653"/>
      <c r="FJ45" s="4653"/>
      <c r="FK45" s="4653"/>
      <c r="FL45" s="4653"/>
      <c r="FM45" s="4653"/>
      <c r="FN45" s="4653"/>
      <c r="FO45" s="4653"/>
      <c r="FP45" s="4653"/>
      <c r="FQ45" s="4653"/>
      <c r="FR45" s="4653"/>
      <c r="FS45" s="4653"/>
      <c r="FT45" s="4653"/>
      <c r="FU45" s="4653"/>
      <c r="FV45" s="4653"/>
      <c r="FW45" s="4653"/>
      <c r="FX45" s="4653"/>
      <c r="FY45" s="4653"/>
      <c r="FZ45" s="4653"/>
      <c r="GA45" s="4653"/>
      <c r="GB45" s="4653"/>
      <c r="GC45" s="4653"/>
      <c r="GD45" s="4653"/>
      <c r="GE45" s="4653"/>
      <c r="GF45" s="4653"/>
      <c r="GG45" s="4653"/>
      <c r="GH45" s="4653"/>
      <c r="GI45" s="4653"/>
      <c r="GJ45" s="4653"/>
      <c r="GK45" s="4653"/>
      <c r="GL45" s="4653"/>
      <c r="GM45" s="4653"/>
      <c r="GN45" s="4653"/>
      <c r="GO45" s="4653"/>
      <c r="GP45" s="4653"/>
      <c r="GQ45" s="4653"/>
      <c r="GR45" s="4653"/>
      <c r="GS45" s="4653"/>
      <c r="GT45" s="4653"/>
      <c r="GU45" s="4653"/>
      <c r="GV45" s="4653"/>
      <c r="GW45" s="4653"/>
      <c r="GX45" s="4653"/>
      <c r="GY45" s="4653"/>
      <c r="GZ45" s="4653"/>
      <c r="HA45" s="4653"/>
      <c r="HB45" s="4653"/>
      <c r="HC45" s="4653"/>
      <c r="HD45" s="4653"/>
      <c r="HE45" s="4653"/>
      <c r="HF45" s="4653"/>
      <c r="HG45" s="4653"/>
      <c r="HH45" s="4653"/>
      <c r="HI45" s="4653"/>
      <c r="HJ45" s="4653"/>
      <c r="HK45" s="4653"/>
      <c r="HL45" s="4653"/>
      <c r="HM45" s="4653"/>
      <c r="HN45" s="4653"/>
      <c r="HO45" s="4653"/>
      <c r="HP45" s="4653"/>
      <c r="HQ45" s="4653"/>
      <c r="HR45" s="4653"/>
      <c r="HS45" s="4653"/>
      <c r="HT45" s="4653"/>
    </row>
    <row r="46" spans="1:234" s="4688" customFormat="1" ht="16.899999999999999" customHeight="1" x14ac:dyDescent="0.25">
      <c r="A46" s="4748" t="s">
        <v>742</v>
      </c>
      <c r="B46" s="4749">
        <f>SUM(C46:D46)</f>
        <v>0</v>
      </c>
      <c r="C46" s="4749">
        <f t="shared" ref="C46:D49" si="12">+E46+G46+I46+K46+M46+O46+Q46+S46+U46+W46+Y46+AA46+AC46+AE46+AG46+AI46+AK46</f>
        <v>0</v>
      </c>
      <c r="D46" s="4750">
        <f t="shared" si="12"/>
        <v>0</v>
      </c>
      <c r="E46" s="4730"/>
      <c r="F46" s="4732"/>
      <c r="G46" s="4730"/>
      <c r="H46" s="4732"/>
      <c r="I46" s="4730"/>
      <c r="J46" s="4732"/>
      <c r="K46" s="4730"/>
      <c r="L46" s="4732"/>
      <c r="M46" s="4730"/>
      <c r="N46" s="4732"/>
      <c r="O46" s="4730"/>
      <c r="P46" s="4732"/>
      <c r="Q46" s="4730"/>
      <c r="R46" s="4732"/>
      <c r="S46" s="4730"/>
      <c r="T46" s="4732"/>
      <c r="U46" s="4730"/>
      <c r="V46" s="4732"/>
      <c r="W46" s="4730"/>
      <c r="X46" s="4732"/>
      <c r="Y46" s="4730"/>
      <c r="Z46" s="4732"/>
      <c r="AA46" s="4730"/>
      <c r="AB46" s="4732"/>
      <c r="AC46" s="4730"/>
      <c r="AD46" s="4732"/>
      <c r="AE46" s="4730"/>
      <c r="AF46" s="4732"/>
      <c r="AG46" s="4730"/>
      <c r="AH46" s="4732"/>
      <c r="AI46" s="4730"/>
      <c r="AJ46" s="4732"/>
      <c r="AK46" s="4730"/>
      <c r="AL46" s="4732"/>
      <c r="AM46" s="4751"/>
      <c r="AN46" s="4751"/>
      <c r="AO46" s="4751"/>
      <c r="AP46" s="4651"/>
      <c r="AQ46" s="4651"/>
      <c r="AR46" s="4651"/>
      <c r="AS46" s="4651"/>
      <c r="AT46" s="4651"/>
      <c r="AU46" s="4651"/>
      <c r="AV46" s="4651"/>
      <c r="AW46" s="4651"/>
      <c r="AX46" s="4651"/>
      <c r="AY46" s="4651"/>
      <c r="AZ46" s="4651"/>
      <c r="BA46" s="4651"/>
      <c r="BB46" s="4651"/>
      <c r="BC46" s="4651"/>
      <c r="BD46" s="4651"/>
      <c r="BE46" s="4651"/>
      <c r="BF46" s="4651"/>
      <c r="BG46" s="4651"/>
      <c r="BH46" s="4651"/>
      <c r="BI46" s="4651"/>
      <c r="BJ46" s="4651"/>
      <c r="BK46" s="4651"/>
      <c r="BL46" s="4651"/>
      <c r="BM46" s="4651"/>
      <c r="BN46" s="4651"/>
      <c r="BO46" s="4651"/>
      <c r="BP46" s="4651"/>
      <c r="BQ46" s="4651"/>
      <c r="BR46" s="4652"/>
      <c r="BS46" s="4653"/>
      <c r="BT46" s="4653"/>
      <c r="BU46" s="4657"/>
      <c r="BV46" s="4657"/>
      <c r="BW46" s="4657"/>
      <c r="BX46" s="4657"/>
      <c r="BY46" s="4657"/>
      <c r="BZ46" s="4657"/>
      <c r="CA46" s="4655"/>
      <c r="CB46" s="4655"/>
      <c r="CC46" s="4654"/>
      <c r="CD46" s="4654"/>
      <c r="CE46" s="4654"/>
      <c r="CF46" s="4654"/>
      <c r="CG46" s="4654"/>
      <c r="CH46" s="4654"/>
      <c r="CI46" s="4654"/>
      <c r="CJ46" s="4654"/>
      <c r="CK46" s="4654"/>
      <c r="CL46" s="4654"/>
      <c r="CM46" s="4654"/>
      <c r="CN46" s="4654"/>
      <c r="CO46" s="4654"/>
      <c r="CP46" s="4654"/>
      <c r="CQ46" s="4654"/>
      <c r="CR46" s="4654"/>
      <c r="CS46" s="4654"/>
      <c r="CT46" s="4654"/>
      <c r="CU46" s="4655"/>
      <c r="CV46" s="4654"/>
      <c r="CW46" s="4654"/>
      <c r="CX46" s="4654"/>
      <c r="CY46" s="4654"/>
      <c r="CZ46" s="4654"/>
      <c r="DA46" s="4687"/>
      <c r="DB46" s="4687"/>
      <c r="DC46" s="4687"/>
      <c r="DD46" s="4687"/>
      <c r="DE46" s="4687"/>
      <c r="DF46" s="4687"/>
      <c r="DG46" s="4687"/>
      <c r="DH46" s="4687"/>
      <c r="DI46" s="4687"/>
      <c r="DJ46" s="4687"/>
      <c r="DK46" s="4687"/>
      <c r="DL46" s="4687"/>
      <c r="DM46" s="4687"/>
      <c r="DN46" s="4687"/>
      <c r="DO46" s="4687"/>
      <c r="DP46" s="4687"/>
      <c r="DQ46" s="4653"/>
      <c r="DR46" s="4653"/>
      <c r="DS46" s="4653"/>
      <c r="DT46" s="4653"/>
      <c r="DU46" s="4653"/>
      <c r="DV46" s="4653"/>
      <c r="DW46" s="4653"/>
      <c r="DX46" s="4653"/>
      <c r="DY46" s="4653"/>
      <c r="DZ46" s="4653"/>
      <c r="EA46" s="4653"/>
      <c r="EB46" s="4653"/>
      <c r="EC46" s="4653"/>
      <c r="ED46" s="4653"/>
      <c r="EE46" s="4653"/>
      <c r="EF46" s="4653"/>
      <c r="EG46" s="4653"/>
      <c r="EH46" s="4653"/>
      <c r="EI46" s="4653"/>
      <c r="EJ46" s="4653"/>
      <c r="EK46" s="4653"/>
      <c r="EL46" s="4653"/>
      <c r="EM46" s="4653"/>
      <c r="EN46" s="4653"/>
      <c r="EO46" s="4653"/>
      <c r="EP46" s="4653"/>
      <c r="EQ46" s="4653"/>
      <c r="ER46" s="4653"/>
      <c r="ES46" s="4653"/>
      <c r="ET46" s="4653"/>
      <c r="EU46" s="4653"/>
      <c r="EV46" s="4653"/>
      <c r="EW46" s="4653"/>
      <c r="EX46" s="4653"/>
      <c r="EY46" s="4653"/>
      <c r="EZ46" s="4653"/>
      <c r="FA46" s="4653"/>
      <c r="FB46" s="4653"/>
      <c r="FC46" s="4653"/>
      <c r="FD46" s="4653"/>
      <c r="FE46" s="4653"/>
      <c r="FF46" s="4653"/>
      <c r="FG46" s="4653"/>
      <c r="FH46" s="4653"/>
      <c r="FI46" s="4653"/>
      <c r="FJ46" s="4653"/>
      <c r="FK46" s="4653"/>
      <c r="FL46" s="4653"/>
      <c r="FM46" s="4653"/>
      <c r="FN46" s="4653"/>
      <c r="FO46" s="4653"/>
      <c r="FP46" s="4653"/>
      <c r="FQ46" s="4653"/>
      <c r="FR46" s="4653"/>
      <c r="FS46" s="4653"/>
      <c r="FT46" s="4653"/>
      <c r="FU46" s="4653"/>
      <c r="FV46" s="4653"/>
      <c r="FW46" s="4653"/>
      <c r="FX46" s="4653"/>
      <c r="FY46" s="4653"/>
      <c r="FZ46" s="4653"/>
      <c r="GA46" s="4653"/>
      <c r="GB46" s="4653"/>
      <c r="GC46" s="4653"/>
      <c r="GD46" s="4653"/>
      <c r="GE46" s="4653"/>
      <c r="GF46" s="4653"/>
      <c r="GG46" s="4653"/>
      <c r="GH46" s="4653"/>
      <c r="GI46" s="4653"/>
      <c r="GJ46" s="4653"/>
      <c r="GK46" s="4653"/>
      <c r="GL46" s="4653"/>
      <c r="GM46" s="4653"/>
      <c r="GN46" s="4653"/>
      <c r="GO46" s="4653"/>
      <c r="GP46" s="4653"/>
      <c r="GQ46" s="4653"/>
      <c r="GR46" s="4653"/>
      <c r="GS46" s="4653"/>
      <c r="GT46" s="4653"/>
      <c r="GU46" s="4653"/>
      <c r="GV46" s="4653"/>
      <c r="GW46" s="4653"/>
      <c r="GX46" s="4653"/>
      <c r="GY46" s="4653"/>
      <c r="GZ46" s="4653"/>
      <c r="HA46" s="4653"/>
      <c r="HB46" s="4653"/>
      <c r="HC46" s="4653"/>
      <c r="HD46" s="4653"/>
      <c r="HE46" s="4653"/>
      <c r="HF46" s="4653"/>
      <c r="HG46" s="4653"/>
      <c r="HH46" s="4653"/>
      <c r="HI46" s="4653"/>
      <c r="HJ46" s="4653"/>
      <c r="HK46" s="4653"/>
      <c r="HL46" s="4653"/>
      <c r="HM46" s="4653"/>
      <c r="HN46" s="4653"/>
      <c r="HO46" s="4653"/>
      <c r="HP46" s="4653"/>
      <c r="HQ46" s="4653"/>
      <c r="HR46" s="4653"/>
      <c r="HS46" s="4653"/>
      <c r="HT46" s="4653"/>
    </row>
    <row r="47" spans="1:234" s="4688" customFormat="1" ht="16.899999999999999" customHeight="1" x14ac:dyDescent="0.25">
      <c r="A47" s="4752" t="s">
        <v>3483</v>
      </c>
      <c r="B47" s="4753">
        <f>SUM(C47:D47)</f>
        <v>0</v>
      </c>
      <c r="C47" s="4753">
        <f t="shared" si="12"/>
        <v>0</v>
      </c>
      <c r="D47" s="4754">
        <f t="shared" si="12"/>
        <v>0</v>
      </c>
      <c r="E47" s="4734"/>
      <c r="F47" s="4755"/>
      <c r="G47" s="4734"/>
      <c r="H47" s="4755"/>
      <c r="I47" s="4734"/>
      <c r="J47" s="4755"/>
      <c r="K47" s="4734"/>
      <c r="L47" s="4755"/>
      <c r="M47" s="4734"/>
      <c r="N47" s="4755"/>
      <c r="O47" s="4734"/>
      <c r="P47" s="4755"/>
      <c r="Q47" s="4734"/>
      <c r="R47" s="4755"/>
      <c r="S47" s="4734"/>
      <c r="T47" s="4755"/>
      <c r="U47" s="4734"/>
      <c r="V47" s="4755"/>
      <c r="W47" s="4734"/>
      <c r="X47" s="4755"/>
      <c r="Y47" s="4734"/>
      <c r="Z47" s="4755"/>
      <c r="AA47" s="4734"/>
      <c r="AB47" s="4755"/>
      <c r="AC47" s="4734"/>
      <c r="AD47" s="4755"/>
      <c r="AE47" s="4734"/>
      <c r="AF47" s="4755"/>
      <c r="AG47" s="4734"/>
      <c r="AH47" s="4755"/>
      <c r="AI47" s="4734"/>
      <c r="AJ47" s="4755"/>
      <c r="AK47" s="4734"/>
      <c r="AL47" s="4755"/>
      <c r="AM47" s="4756"/>
      <c r="AN47" s="4756"/>
      <c r="AO47" s="4756"/>
      <c r="AP47" s="4651"/>
      <c r="AQ47" s="4651"/>
      <c r="AR47" s="4651"/>
      <c r="AS47" s="4651"/>
      <c r="AT47" s="4651"/>
      <c r="AU47" s="4651"/>
      <c r="AV47" s="4651"/>
      <c r="AW47" s="4651"/>
      <c r="AX47" s="4651"/>
      <c r="AY47" s="4651"/>
      <c r="AZ47" s="4651"/>
      <c r="BA47" s="4651"/>
      <c r="BB47" s="4651"/>
      <c r="BC47" s="4651"/>
      <c r="BD47" s="4651"/>
      <c r="BE47" s="4651"/>
      <c r="BF47" s="4651"/>
      <c r="BG47" s="4651"/>
      <c r="BH47" s="4651"/>
      <c r="BI47" s="4651"/>
      <c r="BJ47" s="4651"/>
      <c r="BK47" s="4651"/>
      <c r="BL47" s="4651"/>
      <c r="BM47" s="4651"/>
      <c r="BN47" s="4651"/>
      <c r="BO47" s="4651"/>
      <c r="BP47" s="4651"/>
      <c r="BQ47" s="4651"/>
      <c r="BR47" s="4652"/>
      <c r="BS47" s="4653"/>
      <c r="BT47" s="4653"/>
      <c r="BU47" s="4657"/>
      <c r="BV47" s="4657"/>
      <c r="BW47" s="4657"/>
      <c r="BX47" s="4657"/>
      <c r="BY47" s="4657"/>
      <c r="BZ47" s="4657"/>
      <c r="CA47" s="4655"/>
      <c r="CB47" s="4655"/>
      <c r="CC47" s="4654"/>
      <c r="CD47" s="4654"/>
      <c r="CE47" s="4654"/>
      <c r="CF47" s="4654"/>
      <c r="CG47" s="4654"/>
      <c r="CH47" s="4654"/>
      <c r="CI47" s="4654"/>
      <c r="CJ47" s="4654"/>
      <c r="CK47" s="4654"/>
      <c r="CL47" s="4654"/>
      <c r="CM47" s="4654"/>
      <c r="CN47" s="4654"/>
      <c r="CO47" s="4654"/>
      <c r="CP47" s="4654"/>
      <c r="CQ47" s="4654"/>
      <c r="CR47" s="4654"/>
      <c r="CS47" s="4654"/>
      <c r="CT47" s="4654"/>
      <c r="CU47" s="4655"/>
      <c r="CV47" s="4654"/>
      <c r="CW47" s="4654"/>
      <c r="CX47" s="4654"/>
      <c r="CY47" s="4654"/>
      <c r="CZ47" s="4654"/>
      <c r="DA47" s="4687"/>
      <c r="DB47" s="4687"/>
      <c r="DC47" s="4687"/>
      <c r="DD47" s="4687"/>
      <c r="DE47" s="4687"/>
      <c r="DF47" s="4687"/>
      <c r="DG47" s="4687"/>
      <c r="DH47" s="4687"/>
      <c r="DI47" s="4687"/>
      <c r="DJ47" s="4687"/>
      <c r="DK47" s="4687"/>
      <c r="DL47" s="4687"/>
      <c r="DM47" s="4687"/>
      <c r="DN47" s="4687"/>
      <c r="DO47" s="4687"/>
      <c r="DP47" s="4687"/>
      <c r="DQ47" s="4653"/>
      <c r="DR47" s="4653"/>
      <c r="DS47" s="4653"/>
      <c r="DT47" s="4653"/>
      <c r="DU47" s="4653"/>
      <c r="DV47" s="4653"/>
      <c r="DW47" s="4653"/>
      <c r="DX47" s="4653"/>
      <c r="DY47" s="4653"/>
      <c r="DZ47" s="4653"/>
      <c r="EA47" s="4653"/>
      <c r="EB47" s="4653"/>
      <c r="EC47" s="4653"/>
      <c r="ED47" s="4653"/>
      <c r="EE47" s="4653"/>
      <c r="EF47" s="4653"/>
      <c r="EG47" s="4653"/>
      <c r="EH47" s="4653"/>
      <c r="EI47" s="4653"/>
      <c r="EJ47" s="4653"/>
      <c r="EK47" s="4653"/>
      <c r="EL47" s="4653"/>
      <c r="EM47" s="4653"/>
      <c r="EN47" s="4653"/>
      <c r="EO47" s="4653"/>
      <c r="EP47" s="4653"/>
      <c r="EQ47" s="4653"/>
      <c r="ER47" s="4653"/>
      <c r="ES47" s="4653"/>
      <c r="ET47" s="4653"/>
      <c r="EU47" s="4653"/>
      <c r="EV47" s="4653"/>
      <c r="EW47" s="4653"/>
      <c r="EX47" s="4653"/>
      <c r="EY47" s="4653"/>
      <c r="EZ47" s="4653"/>
      <c r="FA47" s="4653"/>
      <c r="FB47" s="4653"/>
      <c r="FC47" s="4653"/>
      <c r="FD47" s="4653"/>
      <c r="FE47" s="4653"/>
      <c r="FF47" s="4653"/>
      <c r="FG47" s="4653"/>
      <c r="FH47" s="4653"/>
      <c r="FI47" s="4653"/>
      <c r="FJ47" s="4653"/>
      <c r="FK47" s="4653"/>
      <c r="FL47" s="4653"/>
      <c r="FM47" s="4653"/>
      <c r="FN47" s="4653"/>
      <c r="FO47" s="4653"/>
      <c r="FP47" s="4653"/>
      <c r="FQ47" s="4653"/>
      <c r="FR47" s="4653"/>
      <c r="FS47" s="4653"/>
      <c r="FT47" s="4653"/>
      <c r="FU47" s="4653"/>
      <c r="FV47" s="4653"/>
      <c r="FW47" s="4653"/>
      <c r="FX47" s="4653"/>
      <c r="FY47" s="4653"/>
      <c r="FZ47" s="4653"/>
      <c r="GA47" s="4653"/>
      <c r="GB47" s="4653"/>
      <c r="GC47" s="4653"/>
      <c r="GD47" s="4653"/>
      <c r="GE47" s="4653"/>
      <c r="GF47" s="4653"/>
      <c r="GG47" s="4653"/>
      <c r="GH47" s="4653"/>
      <c r="GI47" s="4653"/>
      <c r="GJ47" s="4653"/>
      <c r="GK47" s="4653"/>
      <c r="GL47" s="4653"/>
      <c r="GM47" s="4653"/>
      <c r="GN47" s="4653"/>
      <c r="GO47" s="4653"/>
      <c r="GP47" s="4653"/>
      <c r="GQ47" s="4653"/>
      <c r="GR47" s="4653"/>
      <c r="GS47" s="4653"/>
      <c r="GT47" s="4653"/>
      <c r="GU47" s="4653"/>
      <c r="GV47" s="4653"/>
      <c r="GW47" s="4653"/>
      <c r="GX47" s="4653"/>
      <c r="GY47" s="4653"/>
      <c r="GZ47" s="4653"/>
      <c r="HA47" s="4653"/>
      <c r="HB47" s="4653"/>
      <c r="HC47" s="4653"/>
      <c r="HD47" s="4653"/>
      <c r="HE47" s="4653"/>
      <c r="HF47" s="4653"/>
      <c r="HG47" s="4653"/>
      <c r="HH47" s="4653"/>
      <c r="HI47" s="4653"/>
      <c r="HJ47" s="4653"/>
      <c r="HK47" s="4653"/>
      <c r="HL47" s="4653"/>
      <c r="HM47" s="4653"/>
      <c r="HN47" s="4653"/>
      <c r="HO47" s="4653"/>
      <c r="HP47" s="4653"/>
      <c r="HQ47" s="4653"/>
      <c r="HR47" s="4653"/>
      <c r="HS47" s="4653"/>
      <c r="HT47" s="4653"/>
    </row>
    <row r="48" spans="1:234" s="4688" customFormat="1" ht="16.899999999999999" customHeight="1" x14ac:dyDescent="0.2">
      <c r="A48" s="4752" t="s">
        <v>798</v>
      </c>
      <c r="B48" s="4753">
        <f>SUM(C48:D48)</f>
        <v>0</v>
      </c>
      <c r="C48" s="4753">
        <f t="shared" si="12"/>
        <v>0</v>
      </c>
      <c r="D48" s="4754">
        <f t="shared" si="12"/>
        <v>0</v>
      </c>
      <c r="E48" s="4734"/>
      <c r="F48" s="4755"/>
      <c r="G48" s="4734"/>
      <c r="H48" s="4755"/>
      <c r="I48" s="4734"/>
      <c r="J48" s="4755"/>
      <c r="K48" s="4734"/>
      <c r="L48" s="4755"/>
      <c r="M48" s="4734"/>
      <c r="N48" s="4755"/>
      <c r="O48" s="4734"/>
      <c r="P48" s="4755"/>
      <c r="Q48" s="4734"/>
      <c r="R48" s="4755"/>
      <c r="S48" s="4734"/>
      <c r="T48" s="4755"/>
      <c r="U48" s="4734"/>
      <c r="V48" s="4755"/>
      <c r="W48" s="4734"/>
      <c r="X48" s="4755"/>
      <c r="Y48" s="4734"/>
      <c r="Z48" s="4755"/>
      <c r="AA48" s="4734"/>
      <c r="AB48" s="4755"/>
      <c r="AC48" s="4734"/>
      <c r="AD48" s="4755"/>
      <c r="AE48" s="4734"/>
      <c r="AF48" s="4755"/>
      <c r="AG48" s="4734"/>
      <c r="AH48" s="4755"/>
      <c r="AI48" s="4734"/>
      <c r="AJ48" s="4755"/>
      <c r="AK48" s="4734"/>
      <c r="AL48" s="4755"/>
      <c r="AM48" s="4755"/>
      <c r="AN48" s="4755"/>
      <c r="AO48" s="4755"/>
      <c r="AP48" s="4651"/>
      <c r="AQ48" s="4651"/>
      <c r="AR48" s="4651"/>
      <c r="AS48" s="4651"/>
      <c r="AT48" s="4651"/>
      <c r="AU48" s="4651"/>
      <c r="AV48" s="4651"/>
      <c r="AW48" s="4651"/>
      <c r="AX48" s="4651"/>
      <c r="AY48" s="4651"/>
      <c r="AZ48" s="4651"/>
      <c r="BA48" s="4651"/>
      <c r="BB48" s="4651"/>
      <c r="BC48" s="4651"/>
      <c r="BD48" s="4651"/>
      <c r="BE48" s="4651"/>
      <c r="BF48" s="4651"/>
      <c r="BG48" s="4651"/>
      <c r="BH48" s="4651"/>
      <c r="BI48" s="4651"/>
      <c r="BJ48" s="4651"/>
      <c r="BK48" s="4651"/>
      <c r="BL48" s="4651"/>
      <c r="BM48" s="4651"/>
      <c r="BN48" s="4651"/>
      <c r="BO48" s="4651"/>
      <c r="BP48" s="4651"/>
      <c r="BQ48" s="4651"/>
      <c r="BR48" s="4652"/>
      <c r="BS48" s="4653"/>
      <c r="BT48" s="4653"/>
      <c r="BU48" s="4657"/>
      <c r="BV48" s="4657"/>
      <c r="BW48" s="4657"/>
      <c r="BX48" s="4657"/>
      <c r="BY48" s="4657"/>
      <c r="BZ48" s="4657"/>
      <c r="CA48" s="4655"/>
      <c r="CB48" s="4655"/>
      <c r="CC48" s="4654"/>
      <c r="CD48" s="4654"/>
      <c r="CE48" s="4654"/>
      <c r="CF48" s="4654"/>
      <c r="CG48" s="4654"/>
      <c r="CH48" s="4654"/>
      <c r="CI48" s="4654"/>
      <c r="CJ48" s="4654"/>
      <c r="CK48" s="4654"/>
      <c r="CL48" s="4654"/>
      <c r="CM48" s="4654"/>
      <c r="CN48" s="4654"/>
      <c r="CO48" s="4654"/>
      <c r="CP48" s="4654"/>
      <c r="CQ48" s="4654"/>
      <c r="CR48" s="4654"/>
      <c r="CS48" s="4654"/>
      <c r="CT48" s="4654"/>
      <c r="CU48" s="4655"/>
      <c r="CV48" s="4654"/>
      <c r="CW48" s="4654"/>
      <c r="CX48" s="4654"/>
      <c r="CY48" s="4654"/>
      <c r="CZ48" s="4654"/>
      <c r="DA48" s="4687"/>
      <c r="DB48" s="4687"/>
      <c r="DC48" s="4687"/>
      <c r="DD48" s="4687"/>
      <c r="DE48" s="4687"/>
      <c r="DF48" s="4687"/>
      <c r="DG48" s="4687"/>
      <c r="DH48" s="4687"/>
      <c r="DI48" s="4687"/>
      <c r="DJ48" s="4687"/>
      <c r="DK48" s="4687"/>
      <c r="DL48" s="4687"/>
      <c r="DM48" s="4687"/>
      <c r="DN48" s="4687"/>
      <c r="DO48" s="4687"/>
      <c r="DP48" s="4687"/>
      <c r="DQ48" s="4653"/>
      <c r="DR48" s="4653"/>
      <c r="DS48" s="4653"/>
      <c r="DT48" s="4653"/>
      <c r="DU48" s="4653"/>
      <c r="DV48" s="4653"/>
      <c r="DW48" s="4653"/>
      <c r="DX48" s="4653"/>
      <c r="DY48" s="4653"/>
      <c r="DZ48" s="4653"/>
      <c r="EA48" s="4653"/>
      <c r="EB48" s="4653"/>
      <c r="EC48" s="4653"/>
      <c r="ED48" s="4653"/>
      <c r="EE48" s="4653"/>
      <c r="EF48" s="4653"/>
      <c r="EG48" s="4653"/>
      <c r="EH48" s="4653"/>
      <c r="EI48" s="4653"/>
      <c r="EJ48" s="4653"/>
      <c r="EK48" s="4653"/>
      <c r="EL48" s="4653"/>
      <c r="EM48" s="4653"/>
      <c r="EN48" s="4653"/>
      <c r="EO48" s="4653"/>
      <c r="EP48" s="4653"/>
      <c r="EQ48" s="4653"/>
      <c r="ER48" s="4653"/>
      <c r="ES48" s="4653"/>
      <c r="ET48" s="4653"/>
      <c r="EU48" s="4653"/>
      <c r="EV48" s="4653"/>
      <c r="EW48" s="4653"/>
      <c r="EX48" s="4653"/>
      <c r="EY48" s="4653"/>
      <c r="EZ48" s="4653"/>
      <c r="FA48" s="4653"/>
      <c r="FB48" s="4653"/>
      <c r="FC48" s="4653"/>
      <c r="FD48" s="4653"/>
      <c r="FE48" s="4653"/>
      <c r="FF48" s="4653"/>
      <c r="FG48" s="4653"/>
      <c r="FH48" s="4653"/>
      <c r="FI48" s="4653"/>
      <c r="FJ48" s="4653"/>
      <c r="FK48" s="4653"/>
      <c r="FL48" s="4653"/>
      <c r="FM48" s="4653"/>
      <c r="FN48" s="4653"/>
      <c r="FO48" s="4653"/>
      <c r="FP48" s="4653"/>
      <c r="FQ48" s="4653"/>
      <c r="FR48" s="4653"/>
      <c r="FS48" s="4653"/>
      <c r="FT48" s="4653"/>
      <c r="FU48" s="4653"/>
      <c r="FV48" s="4653"/>
      <c r="FW48" s="4653"/>
      <c r="FX48" s="4653"/>
      <c r="FY48" s="4653"/>
      <c r="FZ48" s="4653"/>
      <c r="GA48" s="4653"/>
      <c r="GB48" s="4653"/>
      <c r="GC48" s="4653"/>
      <c r="GD48" s="4653"/>
      <c r="GE48" s="4653"/>
      <c r="GF48" s="4653"/>
      <c r="GG48" s="4653"/>
      <c r="GH48" s="4653"/>
      <c r="GI48" s="4653"/>
      <c r="GJ48" s="4653"/>
      <c r="GK48" s="4653"/>
      <c r="GL48" s="4653"/>
      <c r="GM48" s="4653"/>
      <c r="GN48" s="4653"/>
      <c r="GO48" s="4653"/>
      <c r="GP48" s="4653"/>
      <c r="GQ48" s="4653"/>
      <c r="GR48" s="4653"/>
      <c r="GS48" s="4653"/>
      <c r="GT48" s="4653"/>
      <c r="GU48" s="4653"/>
      <c r="GV48" s="4653"/>
      <c r="GW48" s="4653"/>
      <c r="GX48" s="4653"/>
      <c r="GY48" s="4653"/>
      <c r="GZ48" s="4653"/>
      <c r="HA48" s="4653"/>
      <c r="HB48" s="4653"/>
      <c r="HC48" s="4653"/>
      <c r="HD48" s="4653"/>
      <c r="HE48" s="4653"/>
      <c r="HF48" s="4653"/>
      <c r="HG48" s="4653"/>
      <c r="HH48" s="4653"/>
      <c r="HI48" s="4653"/>
      <c r="HJ48" s="4653"/>
      <c r="HK48" s="4653"/>
      <c r="HL48" s="4653"/>
      <c r="HM48" s="4653"/>
      <c r="HN48" s="4653"/>
      <c r="HO48" s="4653"/>
      <c r="HP48" s="4653"/>
      <c r="HQ48" s="4653"/>
      <c r="HR48" s="4653"/>
      <c r="HS48" s="4653"/>
      <c r="HT48" s="4653"/>
    </row>
    <row r="49" spans="1:233" s="4688" customFormat="1" ht="16.899999999999999" customHeight="1" x14ac:dyDescent="0.25">
      <c r="A49" s="4757" t="s">
        <v>3484</v>
      </c>
      <c r="B49" s="4758">
        <f>SUM(C49:D49)</f>
        <v>0</v>
      </c>
      <c r="C49" s="4758">
        <f t="shared" si="12"/>
        <v>0</v>
      </c>
      <c r="D49" s="4759">
        <f t="shared" si="12"/>
        <v>0</v>
      </c>
      <c r="E49" s="4760"/>
      <c r="F49" s="4761"/>
      <c r="G49" s="4760"/>
      <c r="H49" s="4761"/>
      <c r="I49" s="4760"/>
      <c r="J49" s="4761"/>
      <c r="K49" s="4760"/>
      <c r="L49" s="4761"/>
      <c r="M49" s="4760"/>
      <c r="N49" s="4761"/>
      <c r="O49" s="4760"/>
      <c r="P49" s="4761"/>
      <c r="Q49" s="4760"/>
      <c r="R49" s="4761"/>
      <c r="S49" s="4760"/>
      <c r="T49" s="4761"/>
      <c r="U49" s="4760"/>
      <c r="V49" s="4761"/>
      <c r="W49" s="4760"/>
      <c r="X49" s="4761"/>
      <c r="Y49" s="4760"/>
      <c r="Z49" s="4761"/>
      <c r="AA49" s="4760"/>
      <c r="AB49" s="4761"/>
      <c r="AC49" s="4760"/>
      <c r="AD49" s="4761"/>
      <c r="AE49" s="4760"/>
      <c r="AF49" s="4761"/>
      <c r="AG49" s="4760"/>
      <c r="AH49" s="4761"/>
      <c r="AI49" s="4760"/>
      <c r="AJ49" s="4761"/>
      <c r="AK49" s="4760"/>
      <c r="AL49" s="4761"/>
      <c r="AM49" s="4762"/>
      <c r="AN49" s="4762"/>
      <c r="AO49" s="4762"/>
      <c r="AP49" s="4651"/>
      <c r="AQ49" s="4651"/>
      <c r="AR49" s="4651"/>
      <c r="AS49" s="4651"/>
      <c r="AT49" s="4651"/>
      <c r="AU49" s="4651"/>
      <c r="AV49" s="4651"/>
      <c r="AW49" s="4651"/>
      <c r="AX49" s="4651"/>
      <c r="AY49" s="4651"/>
      <c r="AZ49" s="4651"/>
      <c r="BA49" s="4651"/>
      <c r="BB49" s="4651"/>
      <c r="BC49" s="4651"/>
      <c r="BD49" s="4651"/>
      <c r="BE49" s="4651"/>
      <c r="BF49" s="4651"/>
      <c r="BG49" s="4651"/>
      <c r="BH49" s="4651"/>
      <c r="BI49" s="4651"/>
      <c r="BJ49" s="4651"/>
      <c r="BK49" s="4651"/>
      <c r="BL49" s="4651"/>
      <c r="BM49" s="4651"/>
      <c r="BN49" s="4651"/>
      <c r="BO49" s="4651"/>
      <c r="BP49" s="4651"/>
      <c r="BQ49" s="4651"/>
      <c r="BR49" s="4652"/>
      <c r="BS49" s="4653"/>
      <c r="BT49" s="4653"/>
      <c r="BU49" s="4657"/>
      <c r="BV49" s="4657"/>
      <c r="BW49" s="4657"/>
      <c r="BX49" s="4657"/>
      <c r="BY49" s="4657"/>
      <c r="BZ49" s="4657"/>
      <c r="CA49" s="4655"/>
      <c r="CB49" s="4655"/>
      <c r="CC49" s="4654"/>
      <c r="CD49" s="4654"/>
      <c r="CE49" s="4654"/>
      <c r="CF49" s="4654"/>
      <c r="CG49" s="4654"/>
      <c r="CH49" s="4654"/>
      <c r="CI49" s="4654"/>
      <c r="CJ49" s="4654"/>
      <c r="CK49" s="4654"/>
      <c r="CL49" s="4654"/>
      <c r="CM49" s="4654"/>
      <c r="CN49" s="4654"/>
      <c r="CO49" s="4654"/>
      <c r="CP49" s="4654"/>
      <c r="CQ49" s="4654"/>
      <c r="CR49" s="4654"/>
      <c r="CS49" s="4654"/>
      <c r="CT49" s="4654"/>
      <c r="CU49" s="4655"/>
      <c r="CV49" s="4654"/>
      <c r="CW49" s="4654"/>
      <c r="CX49" s="4654"/>
      <c r="CY49" s="4654"/>
      <c r="CZ49" s="4654"/>
      <c r="DA49" s="4687"/>
      <c r="DB49" s="4687"/>
      <c r="DC49" s="4687"/>
      <c r="DD49" s="4687"/>
      <c r="DE49" s="4687"/>
      <c r="DF49" s="4687"/>
      <c r="DG49" s="4687"/>
      <c r="DH49" s="4687"/>
      <c r="DI49" s="4687"/>
      <c r="DJ49" s="4687"/>
      <c r="DK49" s="4687"/>
      <c r="DL49" s="4687"/>
      <c r="DM49" s="4687"/>
      <c r="DN49" s="4687"/>
      <c r="DO49" s="4687"/>
      <c r="DP49" s="4687"/>
      <c r="DQ49" s="4653"/>
      <c r="DR49" s="4653"/>
      <c r="DS49" s="4653"/>
      <c r="DT49" s="4653"/>
      <c r="DU49" s="4653"/>
      <c r="DV49" s="4653"/>
      <c r="DW49" s="4653"/>
      <c r="DX49" s="4653"/>
      <c r="DY49" s="4653"/>
      <c r="DZ49" s="4653"/>
      <c r="EA49" s="4653"/>
      <c r="EB49" s="4653"/>
      <c r="EC49" s="4653"/>
      <c r="ED49" s="4653"/>
      <c r="EE49" s="4653"/>
      <c r="EF49" s="4653"/>
      <c r="EG49" s="4653"/>
      <c r="EH49" s="4653"/>
      <c r="EI49" s="4653"/>
      <c r="EJ49" s="4653"/>
      <c r="EK49" s="4653"/>
      <c r="EL49" s="4653"/>
      <c r="EM49" s="4653"/>
      <c r="EN49" s="4653"/>
      <c r="EO49" s="4653"/>
      <c r="EP49" s="4653"/>
      <c r="EQ49" s="4653"/>
      <c r="ER49" s="4653"/>
      <c r="ES49" s="4653"/>
      <c r="ET49" s="4653"/>
      <c r="EU49" s="4653"/>
      <c r="EV49" s="4653"/>
      <c r="EW49" s="4653"/>
      <c r="EX49" s="4653"/>
      <c r="EY49" s="4653"/>
      <c r="EZ49" s="4653"/>
      <c r="FA49" s="4653"/>
      <c r="FB49" s="4653"/>
      <c r="FC49" s="4653"/>
      <c r="FD49" s="4653"/>
      <c r="FE49" s="4653"/>
      <c r="FF49" s="4653"/>
      <c r="FG49" s="4653"/>
      <c r="FH49" s="4653"/>
      <c r="FI49" s="4653"/>
      <c r="FJ49" s="4653"/>
      <c r="FK49" s="4653"/>
      <c r="FL49" s="4653"/>
      <c r="FM49" s="4653"/>
      <c r="FN49" s="4653"/>
      <c r="FO49" s="4653"/>
      <c r="FP49" s="4653"/>
      <c r="FQ49" s="4653"/>
      <c r="FR49" s="4653"/>
      <c r="FS49" s="4653"/>
      <c r="FT49" s="4653"/>
      <c r="FU49" s="4653"/>
      <c r="FV49" s="4653"/>
      <c r="FW49" s="4653"/>
      <c r="FX49" s="4653"/>
      <c r="FY49" s="4653"/>
      <c r="FZ49" s="4653"/>
      <c r="GA49" s="4653"/>
      <c r="GB49" s="4653"/>
      <c r="GC49" s="4653"/>
      <c r="GD49" s="4653"/>
      <c r="GE49" s="4653"/>
      <c r="GF49" s="4653"/>
      <c r="GG49" s="4653"/>
      <c r="GH49" s="4653"/>
      <c r="GI49" s="4653"/>
      <c r="GJ49" s="4653"/>
      <c r="GK49" s="4653"/>
      <c r="GL49" s="4653"/>
      <c r="GM49" s="4653"/>
      <c r="GN49" s="4653"/>
      <c r="GO49" s="4653"/>
      <c r="GP49" s="4653"/>
      <c r="GQ49" s="4653"/>
      <c r="GR49" s="4653"/>
      <c r="GS49" s="4653"/>
      <c r="GT49" s="4653"/>
      <c r="GU49" s="4653"/>
      <c r="GV49" s="4653"/>
      <c r="GW49" s="4653"/>
      <c r="GX49" s="4653"/>
      <c r="GY49" s="4653"/>
      <c r="GZ49" s="4653"/>
      <c r="HA49" s="4653"/>
      <c r="HB49" s="4653"/>
      <c r="HC49" s="4653"/>
      <c r="HD49" s="4653"/>
      <c r="HE49" s="4653"/>
      <c r="HF49" s="4653"/>
      <c r="HG49" s="4653"/>
      <c r="HH49" s="4653"/>
      <c r="HI49" s="4653"/>
      <c r="HJ49" s="4653"/>
      <c r="HK49" s="4653"/>
      <c r="HL49" s="4653"/>
      <c r="HM49" s="4653"/>
      <c r="HN49" s="4653"/>
      <c r="HO49" s="4653"/>
      <c r="HP49" s="4653"/>
      <c r="HQ49" s="4653"/>
      <c r="HR49" s="4653"/>
      <c r="HS49" s="4653"/>
      <c r="HT49" s="4653"/>
    </row>
    <row r="50" spans="1:233" s="4688" customFormat="1" ht="32.1" customHeight="1" x14ac:dyDescent="0.2">
      <c r="A50" s="4741" t="s">
        <v>1699</v>
      </c>
      <c r="B50" s="4763"/>
      <c r="C50" s="4763"/>
      <c r="D50" s="4764"/>
      <c r="E50" s="4764"/>
      <c r="F50" s="4764"/>
      <c r="G50" s="4764"/>
      <c r="H50" s="4328"/>
      <c r="I50" s="4662"/>
      <c r="J50" s="4328"/>
      <c r="K50" s="4328"/>
      <c r="L50" s="4657"/>
      <c r="M50" s="4657"/>
      <c r="N50" s="4657"/>
      <c r="O50" s="4657"/>
      <c r="P50" s="4657"/>
      <c r="Q50" s="4657"/>
      <c r="R50" s="4657"/>
      <c r="S50" s="4657"/>
      <c r="T50" s="4657"/>
      <c r="U50" s="4657"/>
      <c r="V50" s="4657"/>
      <c r="W50" s="4657"/>
      <c r="X50" s="4657"/>
      <c r="Y50" s="4657"/>
      <c r="Z50" s="4651"/>
      <c r="AA50" s="4651"/>
      <c r="AB50" s="4651"/>
      <c r="AC50" s="4651"/>
      <c r="AD50" s="4651"/>
      <c r="AE50" s="4651"/>
      <c r="AF50" s="4651"/>
      <c r="AG50" s="4651"/>
      <c r="AH50" s="4651"/>
      <c r="AI50" s="4651"/>
      <c r="AJ50" s="4651"/>
      <c r="AK50" s="4651"/>
      <c r="AL50" s="4651"/>
      <c r="AM50" s="4651"/>
      <c r="AN50" s="4651"/>
      <c r="AO50" s="4651"/>
      <c r="AP50" s="4651"/>
      <c r="AQ50" s="4651"/>
      <c r="AR50" s="4651"/>
      <c r="AS50" s="4651"/>
      <c r="AT50" s="4651"/>
      <c r="AU50" s="4651"/>
      <c r="AV50" s="4651"/>
      <c r="AW50" s="4651"/>
      <c r="AX50" s="4651"/>
      <c r="AY50" s="4651"/>
      <c r="AZ50" s="4651"/>
      <c r="BA50" s="4651"/>
      <c r="BB50" s="4651"/>
      <c r="BC50" s="4651"/>
      <c r="BD50" s="4651"/>
      <c r="BE50" s="4651"/>
      <c r="BF50" s="4651"/>
      <c r="BG50" s="4651"/>
      <c r="BH50" s="4651"/>
      <c r="BI50" s="4651"/>
      <c r="BJ50" s="4651"/>
      <c r="BK50" s="4651"/>
      <c r="BL50" s="4651"/>
      <c r="BM50" s="4651"/>
      <c r="BN50" s="4651"/>
      <c r="BO50" s="4651"/>
      <c r="BP50" s="4651"/>
      <c r="BQ50" s="4651"/>
      <c r="BR50" s="4651"/>
      <c r="BS50" s="4651"/>
      <c r="BT50" s="4651"/>
      <c r="BU50" s="4651"/>
      <c r="BV50" s="4652"/>
      <c r="BW50" s="4652"/>
      <c r="BX50" s="4653"/>
      <c r="BY50" s="4653"/>
      <c r="BZ50" s="4653"/>
      <c r="CA50" s="4654"/>
      <c r="CB50" s="4654"/>
      <c r="CC50" s="4654"/>
      <c r="CD50" s="4654"/>
      <c r="CE50" s="4654"/>
      <c r="CF50" s="4654"/>
      <c r="CG50" s="4654"/>
      <c r="CH50" s="4654"/>
      <c r="CI50" s="4654"/>
      <c r="CJ50" s="4654"/>
      <c r="CK50" s="4654"/>
      <c r="CL50" s="4654"/>
      <c r="CM50" s="4654"/>
      <c r="CN50" s="4654"/>
      <c r="CO50" s="4654"/>
      <c r="CP50" s="4654"/>
      <c r="CQ50" s="4654"/>
      <c r="CR50" s="4654"/>
      <c r="CS50" s="4654"/>
      <c r="CT50" s="4654"/>
      <c r="CU50" s="4654"/>
      <c r="CV50" s="4654"/>
      <c r="CW50" s="4654"/>
      <c r="CX50" s="4654"/>
      <c r="CY50" s="4654"/>
      <c r="CZ50" s="4655"/>
      <c r="DA50" s="4687"/>
      <c r="DB50" s="4687"/>
      <c r="DC50" s="4687"/>
      <c r="DD50" s="4687"/>
      <c r="DE50" s="4687"/>
      <c r="DF50" s="4687"/>
      <c r="DG50" s="4687"/>
      <c r="DH50" s="4687"/>
      <c r="DI50" s="4687"/>
      <c r="DJ50" s="4687"/>
      <c r="DK50" s="4687"/>
      <c r="DL50" s="4687"/>
      <c r="DM50" s="4687"/>
      <c r="DN50" s="4687"/>
      <c r="DO50" s="4687"/>
      <c r="DP50" s="4687"/>
      <c r="DQ50" s="4653"/>
      <c r="DR50" s="4653"/>
      <c r="DS50" s="4653"/>
      <c r="DT50" s="4653"/>
      <c r="DU50" s="4653"/>
      <c r="DV50" s="4653"/>
      <c r="DW50" s="4653"/>
      <c r="DX50" s="4653"/>
      <c r="DY50" s="4653"/>
      <c r="DZ50" s="4653"/>
      <c r="EA50" s="4653"/>
      <c r="EB50" s="4653"/>
      <c r="EC50" s="4653"/>
      <c r="ED50" s="4653"/>
      <c r="EE50" s="4653"/>
      <c r="EF50" s="4653"/>
      <c r="EG50" s="4653"/>
      <c r="EH50" s="4653"/>
      <c r="EI50" s="4653"/>
      <c r="EJ50" s="4653"/>
      <c r="EK50" s="4653"/>
      <c r="EL50" s="4653"/>
      <c r="EM50" s="4653"/>
      <c r="EN50" s="4653"/>
      <c r="EO50" s="4653"/>
      <c r="EP50" s="4653"/>
      <c r="EQ50" s="4653"/>
      <c r="ER50" s="4653"/>
      <c r="ES50" s="4653"/>
      <c r="ET50" s="4653"/>
      <c r="EU50" s="4653"/>
      <c r="EV50" s="4653"/>
      <c r="EW50" s="4653"/>
      <c r="EX50" s="4653"/>
      <c r="EY50" s="4653"/>
      <c r="EZ50" s="4653"/>
      <c r="FA50" s="4653"/>
      <c r="FB50" s="4653"/>
      <c r="FC50" s="4653"/>
      <c r="FD50" s="4653"/>
      <c r="FE50" s="4653"/>
      <c r="FF50" s="4653"/>
      <c r="FG50" s="4653"/>
      <c r="FH50" s="4653"/>
      <c r="FI50" s="4653"/>
      <c r="FJ50" s="4653"/>
      <c r="FK50" s="4653"/>
      <c r="FL50" s="4653"/>
      <c r="FM50" s="4653"/>
      <c r="FN50" s="4653"/>
      <c r="FO50" s="4653"/>
      <c r="FP50" s="4653"/>
      <c r="FQ50" s="4653"/>
      <c r="FR50" s="4653"/>
      <c r="FS50" s="4653"/>
      <c r="FT50" s="4653"/>
      <c r="FU50" s="4653"/>
      <c r="FV50" s="4653"/>
      <c r="FW50" s="4653"/>
      <c r="FX50" s="4653"/>
      <c r="FY50" s="4653"/>
      <c r="FZ50" s="4653"/>
      <c r="GA50" s="4653"/>
      <c r="GB50" s="4653"/>
      <c r="GC50" s="4653"/>
      <c r="GD50" s="4653"/>
      <c r="GE50" s="4653"/>
      <c r="GF50" s="4653"/>
      <c r="GG50" s="4653"/>
      <c r="GH50" s="4653"/>
      <c r="GI50" s="4653"/>
      <c r="GJ50" s="4653"/>
      <c r="GK50" s="4653"/>
      <c r="GL50" s="4653"/>
      <c r="GM50" s="4653"/>
      <c r="GN50" s="4653"/>
      <c r="GO50" s="4653"/>
      <c r="GP50" s="4653"/>
      <c r="GQ50" s="4653"/>
      <c r="GR50" s="4653"/>
      <c r="GS50" s="4653"/>
      <c r="GT50" s="4653"/>
      <c r="GU50" s="4653"/>
      <c r="GV50" s="4653"/>
      <c r="GW50" s="4653"/>
      <c r="GX50" s="4653"/>
      <c r="GY50" s="4653"/>
      <c r="GZ50" s="4653"/>
      <c r="HA50" s="4653"/>
      <c r="HB50" s="4653"/>
      <c r="HC50" s="4653"/>
      <c r="HD50" s="4653"/>
      <c r="HE50" s="4653"/>
      <c r="HF50" s="4653"/>
      <c r="HG50" s="4653"/>
      <c r="HH50" s="4653"/>
      <c r="HI50" s="4653"/>
      <c r="HJ50" s="4653"/>
      <c r="HK50" s="4653"/>
      <c r="HL50" s="4653"/>
      <c r="HM50" s="4653"/>
      <c r="HN50" s="4653"/>
      <c r="HO50" s="4653"/>
      <c r="HP50" s="4653"/>
      <c r="HQ50" s="4653"/>
      <c r="HR50" s="4653"/>
      <c r="HS50" s="4653"/>
      <c r="HT50" s="4653"/>
      <c r="HU50" s="4653"/>
      <c r="HV50" s="4653"/>
      <c r="HW50" s="4653"/>
      <c r="HX50" s="4653"/>
      <c r="HY50" s="4653"/>
    </row>
    <row r="51" spans="1:233" s="4688" customFormat="1" ht="58.5" customHeight="1" x14ac:dyDescent="0.2">
      <c r="A51" s="9001" t="s">
        <v>1687</v>
      </c>
      <c r="B51" s="10234"/>
      <c r="C51" s="4765" t="s">
        <v>24</v>
      </c>
      <c r="D51" s="4765" t="s">
        <v>133</v>
      </c>
      <c r="E51" s="4766" t="s">
        <v>1698</v>
      </c>
      <c r="F51" s="4767" t="s">
        <v>3717</v>
      </c>
      <c r="G51" s="4639" t="s">
        <v>2785</v>
      </c>
      <c r="H51" s="4671" t="s">
        <v>516</v>
      </c>
      <c r="I51" s="4768" t="s">
        <v>1697</v>
      </c>
      <c r="J51" s="4672" t="s">
        <v>360</v>
      </c>
      <c r="K51" s="4672" t="s">
        <v>359</v>
      </c>
      <c r="L51" s="4672" t="s">
        <v>2804</v>
      </c>
      <c r="M51" s="4672" t="s">
        <v>2607</v>
      </c>
      <c r="N51" s="4657"/>
      <c r="O51" s="4657"/>
      <c r="P51" s="4657"/>
      <c r="Q51" s="4657"/>
      <c r="R51" s="4657"/>
      <c r="S51" s="4657"/>
      <c r="T51" s="4657"/>
      <c r="U51" s="4657"/>
      <c r="V51" s="4657"/>
      <c r="W51" s="4657"/>
      <c r="X51" s="4657"/>
      <c r="Y51" s="4657"/>
      <c r="Z51" s="4651"/>
      <c r="AA51" s="4651"/>
      <c r="AB51" s="4651"/>
      <c r="AC51" s="4651"/>
      <c r="AD51" s="4651"/>
      <c r="AE51" s="4651"/>
      <c r="AF51" s="4651"/>
      <c r="AG51" s="4651"/>
      <c r="AH51" s="4651"/>
      <c r="AI51" s="4651"/>
      <c r="AJ51" s="4651"/>
      <c r="AK51" s="4651"/>
      <c r="AL51" s="4651"/>
      <c r="AM51" s="4651"/>
      <c r="AN51" s="4651"/>
      <c r="AO51" s="4651"/>
      <c r="AP51" s="4651"/>
      <c r="AQ51" s="4651"/>
      <c r="AR51" s="4651"/>
      <c r="AS51" s="4651"/>
      <c r="AT51" s="4651"/>
      <c r="AU51" s="4651"/>
      <c r="AV51" s="4651"/>
      <c r="AW51" s="4651"/>
      <c r="AX51" s="4651"/>
      <c r="AY51" s="4651"/>
      <c r="AZ51" s="4651"/>
      <c r="BA51" s="4651"/>
      <c r="BB51" s="4651"/>
      <c r="BC51" s="4651"/>
      <c r="BD51" s="4651"/>
      <c r="BE51" s="4651"/>
      <c r="BF51" s="4651"/>
      <c r="BG51" s="4651"/>
      <c r="BH51" s="4651"/>
      <c r="BI51" s="4651"/>
      <c r="BJ51" s="4651"/>
      <c r="BK51" s="4651"/>
      <c r="BL51" s="4651"/>
      <c r="BM51" s="4651"/>
      <c r="BN51" s="4651"/>
      <c r="BO51" s="4651"/>
      <c r="BP51" s="4651"/>
      <c r="BQ51" s="4651"/>
      <c r="BR51" s="4651"/>
      <c r="BS51" s="4651"/>
      <c r="BT51" s="4651"/>
      <c r="BU51" s="4651"/>
      <c r="BV51" s="4652"/>
      <c r="BW51" s="4652"/>
      <c r="BX51" s="4653"/>
      <c r="BY51" s="4653"/>
      <c r="BZ51" s="4653"/>
      <c r="CA51" s="4654"/>
      <c r="CB51" s="4654"/>
      <c r="CC51" s="4654"/>
      <c r="CD51" s="4654"/>
      <c r="CE51" s="4654"/>
      <c r="CF51" s="4654"/>
      <c r="CG51" s="4654"/>
      <c r="CH51" s="4654"/>
      <c r="CI51" s="4654"/>
      <c r="CJ51" s="4654"/>
      <c r="CK51" s="4654"/>
      <c r="CL51" s="4654"/>
      <c r="CM51" s="4654"/>
      <c r="CN51" s="4654"/>
      <c r="CO51" s="4654"/>
      <c r="CP51" s="4654"/>
      <c r="CQ51" s="4654"/>
      <c r="CR51" s="4654"/>
      <c r="CS51" s="4654"/>
      <c r="CT51" s="4654"/>
      <c r="CU51" s="4654"/>
      <c r="CV51" s="4654"/>
      <c r="CW51" s="4654"/>
      <c r="CX51" s="4654"/>
      <c r="CY51" s="4654"/>
      <c r="CZ51" s="4655"/>
      <c r="DA51" s="4687"/>
      <c r="DB51" s="4687"/>
      <c r="DC51" s="4687"/>
      <c r="DD51" s="4687"/>
      <c r="DE51" s="4687"/>
      <c r="DF51" s="4687"/>
      <c r="DG51" s="4687"/>
      <c r="DH51" s="4687"/>
      <c r="DI51" s="4687"/>
      <c r="DJ51" s="4687"/>
      <c r="DK51" s="4687"/>
      <c r="DL51" s="4687"/>
      <c r="DM51" s="4687"/>
      <c r="DN51" s="4687"/>
      <c r="DO51" s="4687"/>
      <c r="DP51" s="4687"/>
      <c r="DQ51" s="4653"/>
      <c r="DR51" s="4653"/>
      <c r="DS51" s="4653"/>
      <c r="DT51" s="4653"/>
      <c r="DU51" s="4653"/>
      <c r="DV51" s="4653"/>
      <c r="DW51" s="4653"/>
      <c r="DX51" s="4653"/>
      <c r="DY51" s="4653"/>
      <c r="DZ51" s="4653"/>
      <c r="EA51" s="4653"/>
      <c r="EB51" s="4653"/>
      <c r="EC51" s="4653"/>
      <c r="ED51" s="4653"/>
      <c r="EE51" s="4653"/>
      <c r="EF51" s="4653"/>
      <c r="EG51" s="4653"/>
      <c r="EH51" s="4653"/>
      <c r="EI51" s="4653"/>
      <c r="EJ51" s="4653"/>
      <c r="EK51" s="4653"/>
      <c r="EL51" s="4653"/>
      <c r="EM51" s="4653"/>
      <c r="EN51" s="4653"/>
      <c r="EO51" s="4653"/>
      <c r="EP51" s="4653"/>
      <c r="EQ51" s="4653"/>
      <c r="ER51" s="4653"/>
      <c r="ES51" s="4653"/>
      <c r="ET51" s="4653"/>
      <c r="EU51" s="4653"/>
      <c r="EV51" s="4653"/>
      <c r="EW51" s="4653"/>
      <c r="EX51" s="4653"/>
      <c r="EY51" s="4653"/>
      <c r="EZ51" s="4653"/>
      <c r="FA51" s="4653"/>
      <c r="FB51" s="4653"/>
      <c r="FC51" s="4653"/>
      <c r="FD51" s="4653"/>
      <c r="FE51" s="4653"/>
      <c r="FF51" s="4653"/>
      <c r="FG51" s="4653"/>
      <c r="FH51" s="4653"/>
      <c r="FI51" s="4653"/>
      <c r="FJ51" s="4653"/>
      <c r="FK51" s="4653"/>
      <c r="FL51" s="4653"/>
      <c r="FM51" s="4653"/>
      <c r="FN51" s="4653"/>
      <c r="FO51" s="4653"/>
      <c r="FP51" s="4653"/>
      <c r="FQ51" s="4653"/>
      <c r="FR51" s="4653"/>
      <c r="FS51" s="4653"/>
      <c r="FT51" s="4653"/>
      <c r="FU51" s="4653"/>
      <c r="FV51" s="4653"/>
      <c r="FW51" s="4653"/>
      <c r="FX51" s="4653"/>
      <c r="FY51" s="4653"/>
      <c r="FZ51" s="4653"/>
      <c r="GA51" s="4653"/>
      <c r="GB51" s="4653"/>
      <c r="GC51" s="4653"/>
      <c r="GD51" s="4653"/>
      <c r="GE51" s="4653"/>
      <c r="GF51" s="4653"/>
      <c r="GG51" s="4653"/>
      <c r="GH51" s="4653"/>
      <c r="GI51" s="4653"/>
      <c r="GJ51" s="4653"/>
      <c r="GK51" s="4653"/>
      <c r="GL51" s="4653"/>
      <c r="GM51" s="4653"/>
      <c r="GN51" s="4653"/>
      <c r="GO51" s="4653"/>
      <c r="GP51" s="4653"/>
      <c r="GQ51" s="4653"/>
      <c r="GR51" s="4653"/>
      <c r="GS51" s="4653"/>
      <c r="GT51" s="4653"/>
      <c r="GU51" s="4653"/>
      <c r="GV51" s="4653"/>
      <c r="GW51" s="4653"/>
      <c r="GX51" s="4653"/>
      <c r="GY51" s="4653"/>
      <c r="GZ51" s="4653"/>
      <c r="HA51" s="4653"/>
      <c r="HB51" s="4653"/>
      <c r="HC51" s="4653"/>
      <c r="HD51" s="4653"/>
      <c r="HE51" s="4653"/>
      <c r="HF51" s="4653"/>
      <c r="HG51" s="4653"/>
      <c r="HH51" s="4653"/>
      <c r="HI51" s="4653"/>
      <c r="HJ51" s="4653"/>
      <c r="HK51" s="4653"/>
      <c r="HL51" s="4653"/>
      <c r="HM51" s="4653"/>
      <c r="HN51" s="4653"/>
      <c r="HO51" s="4653"/>
      <c r="HP51" s="4653"/>
      <c r="HQ51" s="4653"/>
      <c r="HR51" s="4653"/>
      <c r="HS51" s="4653"/>
      <c r="HT51" s="4653"/>
      <c r="HU51" s="4653"/>
      <c r="HV51" s="4653"/>
      <c r="HW51" s="4653"/>
      <c r="HX51" s="4653"/>
      <c r="HY51" s="4653"/>
    </row>
    <row r="52" spans="1:233" s="4688" customFormat="1" x14ac:dyDescent="0.2">
      <c r="A52" s="10235" t="s">
        <v>1696</v>
      </c>
      <c r="B52" s="10236"/>
      <c r="C52" s="4769">
        <f>SUM(D52:F52)</f>
        <v>0</v>
      </c>
      <c r="D52" s="4770"/>
      <c r="E52" s="4771"/>
      <c r="F52" s="4772"/>
      <c r="G52" s="4773"/>
      <c r="H52" s="4774"/>
      <c r="I52" s="4775"/>
      <c r="J52" s="4776"/>
      <c r="K52" s="4776"/>
      <c r="L52" s="4776"/>
      <c r="M52" s="4776"/>
      <c r="N52" s="4657" t="str">
        <f>CA52&amp;CB52&amp;CC52&amp;CD52</f>
        <v/>
      </c>
      <c r="O52" s="4657"/>
      <c r="P52" s="4657"/>
      <c r="Q52" s="4657"/>
      <c r="R52" s="4657"/>
      <c r="S52" s="4657"/>
      <c r="T52" s="4657"/>
      <c r="U52" s="4657"/>
      <c r="V52" s="4657"/>
      <c r="W52" s="4657"/>
      <c r="X52" s="4657"/>
      <c r="Y52" s="4657"/>
      <c r="Z52" s="4651"/>
      <c r="AA52" s="4651"/>
      <c r="AB52" s="4651"/>
      <c r="AC52" s="4651"/>
      <c r="AD52" s="4651"/>
      <c r="AE52" s="4651"/>
      <c r="AF52" s="4651"/>
      <c r="AG52" s="4651"/>
      <c r="AH52" s="4651"/>
      <c r="AI52" s="4651"/>
      <c r="AJ52" s="4651"/>
      <c r="AK52" s="4651"/>
      <c r="AL52" s="4651"/>
      <c r="AM52" s="4651"/>
      <c r="AN52" s="4651"/>
      <c r="AO52" s="4651"/>
      <c r="AP52" s="4651"/>
      <c r="AQ52" s="4651"/>
      <c r="AR52" s="4651"/>
      <c r="AS52" s="4651"/>
      <c r="AT52" s="4651"/>
      <c r="AU52" s="4651"/>
      <c r="AV52" s="4651"/>
      <c r="AW52" s="4651"/>
      <c r="AX52" s="4651"/>
      <c r="AY52" s="4651"/>
      <c r="AZ52" s="4651"/>
      <c r="BA52" s="4651"/>
      <c r="BB52" s="4651"/>
      <c r="BC52" s="4651"/>
      <c r="BD52" s="4651"/>
      <c r="BE52" s="4651"/>
      <c r="BF52" s="4651"/>
      <c r="BG52" s="4651"/>
      <c r="BH52" s="4651"/>
      <c r="BI52" s="4651"/>
      <c r="BJ52" s="4651"/>
      <c r="BK52" s="4651"/>
      <c r="BL52" s="4651"/>
      <c r="BM52" s="4651"/>
      <c r="BN52" s="4651"/>
      <c r="BO52" s="4651"/>
      <c r="BP52" s="4651"/>
      <c r="BQ52" s="4651"/>
      <c r="BR52" s="4651"/>
      <c r="BS52" s="4651"/>
      <c r="BT52" s="4651"/>
      <c r="BU52" s="4651"/>
      <c r="BV52" s="4652"/>
      <c r="BW52" s="4652"/>
      <c r="BX52" s="4653"/>
      <c r="BY52" s="4653"/>
      <c r="BZ52" s="4653"/>
      <c r="CA52" s="4685" t="str">
        <f>IF(DA52=1,"* Pueblos Originarios debe ser MENOR O IGUAL al Total. ","")</f>
        <v/>
      </c>
      <c r="CB52" s="4685" t="str">
        <f>IF(DB52=1,"* Migrantes debe ser MENOR O IGUAL al Total. ","")</f>
        <v/>
      </c>
      <c r="CC52" s="4685" t="str">
        <f>IF(DC52=1,"* NNAJ SENAME debe ser MENOR O IGUAL al Total. ","")</f>
        <v/>
      </c>
      <c r="CD52" s="4685" t="str">
        <f>IF(DD52=1,"* NNAJ Mejor Niñez debe ser MENOR O IGUAL al Total. ","")</f>
        <v/>
      </c>
      <c r="CE52" s="4654"/>
      <c r="CF52" s="4654"/>
      <c r="CG52" s="4654"/>
      <c r="CH52" s="4654"/>
      <c r="CI52" s="4654"/>
      <c r="CJ52" s="4654"/>
      <c r="CK52" s="4654"/>
      <c r="CL52" s="4654"/>
      <c r="CM52" s="4654"/>
      <c r="CN52" s="4654"/>
      <c r="CO52" s="4654"/>
      <c r="CP52" s="4654"/>
      <c r="CQ52" s="4654"/>
      <c r="CR52" s="4654"/>
      <c r="CS52" s="4654"/>
      <c r="CT52" s="4654"/>
      <c r="CU52" s="4654"/>
      <c r="CV52" s="4654"/>
      <c r="CW52" s="4654"/>
      <c r="CX52" s="4654"/>
      <c r="CY52" s="4654"/>
      <c r="CZ52" s="4655"/>
      <c r="DA52" s="4686">
        <f>IF(J52&gt;$C52,1,0)</f>
        <v>0</v>
      </c>
      <c r="DB52" s="4686">
        <f>IF(K52&gt;$C52,1,0)</f>
        <v>0</v>
      </c>
      <c r="DC52" s="4686">
        <f>IF(L52&gt;$C52,1,0)</f>
        <v>0</v>
      </c>
      <c r="DD52" s="4686">
        <f>IF(M52&gt;$C52,1,0)</f>
        <v>0</v>
      </c>
      <c r="DE52" s="4687"/>
      <c r="DF52" s="4687"/>
      <c r="DG52" s="4687"/>
      <c r="DH52" s="4687"/>
      <c r="DI52" s="4687"/>
      <c r="DJ52" s="4687"/>
      <c r="DK52" s="4687"/>
      <c r="DL52" s="4687"/>
      <c r="DM52" s="4687"/>
      <c r="DN52" s="4687"/>
      <c r="DO52" s="4687"/>
      <c r="DP52" s="4687"/>
      <c r="DQ52" s="4653"/>
      <c r="DR52" s="4653"/>
      <c r="DS52" s="4653"/>
      <c r="DT52" s="4653"/>
      <c r="DU52" s="4653"/>
      <c r="DV52" s="4653"/>
      <c r="DW52" s="4653"/>
      <c r="DX52" s="4653"/>
      <c r="DY52" s="4653"/>
      <c r="DZ52" s="4653"/>
      <c r="EA52" s="4653"/>
      <c r="EB52" s="4653"/>
      <c r="EC52" s="4653"/>
      <c r="ED52" s="4653"/>
      <c r="EE52" s="4653"/>
      <c r="EF52" s="4653"/>
      <c r="EG52" s="4653"/>
      <c r="EH52" s="4653"/>
      <c r="EI52" s="4653"/>
      <c r="EJ52" s="4653"/>
      <c r="EK52" s="4653"/>
      <c r="EL52" s="4653"/>
      <c r="EM52" s="4653"/>
      <c r="EN52" s="4653"/>
      <c r="EO52" s="4653"/>
      <c r="EP52" s="4653"/>
      <c r="EQ52" s="4653"/>
      <c r="ER52" s="4653"/>
      <c r="ES52" s="4653"/>
      <c r="ET52" s="4653"/>
      <c r="EU52" s="4653"/>
      <c r="EV52" s="4653"/>
      <c r="EW52" s="4653"/>
      <c r="EX52" s="4653"/>
      <c r="EY52" s="4653"/>
      <c r="EZ52" s="4653"/>
      <c r="FA52" s="4653"/>
      <c r="FB52" s="4653"/>
      <c r="FC52" s="4653"/>
      <c r="FD52" s="4653"/>
      <c r="FE52" s="4653"/>
      <c r="FF52" s="4653"/>
      <c r="FG52" s="4653"/>
      <c r="FH52" s="4653"/>
      <c r="FI52" s="4653"/>
      <c r="FJ52" s="4653"/>
      <c r="FK52" s="4653"/>
      <c r="FL52" s="4653"/>
      <c r="FM52" s="4653"/>
      <c r="FN52" s="4653"/>
      <c r="FO52" s="4653"/>
      <c r="FP52" s="4653"/>
      <c r="FQ52" s="4653"/>
      <c r="FR52" s="4653"/>
      <c r="FS52" s="4653"/>
      <c r="FT52" s="4653"/>
      <c r="FU52" s="4653"/>
      <c r="FV52" s="4653"/>
      <c r="FW52" s="4653"/>
      <c r="FX52" s="4653"/>
      <c r="FY52" s="4653"/>
      <c r="FZ52" s="4653"/>
      <c r="GA52" s="4653"/>
      <c r="GB52" s="4653"/>
      <c r="GC52" s="4653"/>
      <c r="GD52" s="4653"/>
      <c r="GE52" s="4653"/>
      <c r="GF52" s="4653"/>
      <c r="GG52" s="4653"/>
      <c r="GH52" s="4653"/>
      <c r="GI52" s="4653"/>
      <c r="GJ52" s="4653"/>
      <c r="GK52" s="4653"/>
      <c r="GL52" s="4653"/>
      <c r="GM52" s="4653"/>
      <c r="GN52" s="4653"/>
      <c r="GO52" s="4653"/>
      <c r="GP52" s="4653"/>
      <c r="GQ52" s="4653"/>
      <c r="GR52" s="4653"/>
      <c r="GS52" s="4653"/>
      <c r="GT52" s="4653"/>
      <c r="GU52" s="4653"/>
      <c r="GV52" s="4653"/>
      <c r="GW52" s="4653"/>
      <c r="GX52" s="4653"/>
      <c r="GY52" s="4653"/>
      <c r="GZ52" s="4653"/>
      <c r="HA52" s="4653"/>
      <c r="HB52" s="4653"/>
      <c r="HC52" s="4653"/>
      <c r="HD52" s="4653"/>
      <c r="HE52" s="4653"/>
      <c r="HF52" s="4653"/>
      <c r="HG52" s="4653"/>
      <c r="HH52" s="4653"/>
      <c r="HI52" s="4653"/>
      <c r="HJ52" s="4653"/>
      <c r="HK52" s="4653"/>
      <c r="HL52" s="4653"/>
      <c r="HM52" s="4653"/>
      <c r="HN52" s="4653"/>
      <c r="HO52" s="4653"/>
      <c r="HP52" s="4653"/>
      <c r="HQ52" s="4653"/>
      <c r="HR52" s="4653"/>
      <c r="HS52" s="4653"/>
      <c r="HT52" s="4653"/>
      <c r="HU52" s="4653"/>
      <c r="HV52" s="4653"/>
      <c r="HW52" s="4653"/>
      <c r="HX52" s="4653"/>
      <c r="HY52" s="4653"/>
    </row>
    <row r="53" spans="1:233" s="4688" customFormat="1" x14ac:dyDescent="0.2">
      <c r="A53" s="10231" t="s">
        <v>1695</v>
      </c>
      <c r="B53" s="10232"/>
      <c r="C53" s="4777">
        <f t="shared" ref="C53:C58" si="13">SUM(D53:F53)</f>
        <v>0</v>
      </c>
      <c r="D53" s="4778"/>
      <c r="E53" s="4779"/>
      <c r="F53" s="4780"/>
      <c r="G53" s="4781"/>
      <c r="H53" s="4774"/>
      <c r="I53" s="4775"/>
      <c r="J53" s="4776"/>
      <c r="K53" s="4776"/>
      <c r="L53" s="4776"/>
      <c r="M53" s="4776"/>
      <c r="N53" s="4657" t="str">
        <f t="shared" ref="N53:N60" si="14">CA53&amp;CB53&amp;CC53&amp;CD53</f>
        <v/>
      </c>
      <c r="O53" s="4651"/>
      <c r="P53" s="4651"/>
      <c r="Q53" s="4651"/>
      <c r="R53" s="4651"/>
      <c r="S53" s="4651"/>
      <c r="T53" s="4651"/>
      <c r="U53" s="4651"/>
      <c r="V53" s="4651"/>
      <c r="W53" s="4651"/>
      <c r="X53" s="4651"/>
      <c r="Y53" s="4651"/>
      <c r="Z53" s="4651"/>
      <c r="AA53" s="4651"/>
      <c r="AB53" s="4651"/>
      <c r="AC53" s="4651"/>
      <c r="AD53" s="4651"/>
      <c r="AE53" s="4651"/>
      <c r="AF53" s="4651"/>
      <c r="AG53" s="4651"/>
      <c r="AH53" s="4651"/>
      <c r="AI53" s="4651"/>
      <c r="AJ53" s="4651"/>
      <c r="AK53" s="4651"/>
      <c r="AL53" s="4651"/>
      <c r="AM53" s="4651"/>
      <c r="AN53" s="4651"/>
      <c r="AO53" s="4651"/>
      <c r="AP53" s="4651"/>
      <c r="AQ53" s="4651"/>
      <c r="AR53" s="4651"/>
      <c r="AS53" s="4651"/>
      <c r="AT53" s="4651"/>
      <c r="AU53" s="4651"/>
      <c r="AV53" s="4651"/>
      <c r="AW53" s="4651"/>
      <c r="AX53" s="4651"/>
      <c r="AY53" s="4651"/>
      <c r="AZ53" s="4651"/>
      <c r="BA53" s="4651"/>
      <c r="BB53" s="4651"/>
      <c r="BC53" s="4651"/>
      <c r="BD53" s="4651"/>
      <c r="BE53" s="4651"/>
      <c r="BF53" s="4651"/>
      <c r="BG53" s="4651"/>
      <c r="BH53" s="4651"/>
      <c r="BI53" s="4651"/>
      <c r="BJ53" s="4651"/>
      <c r="BK53" s="4651"/>
      <c r="BL53" s="4651"/>
      <c r="BM53" s="4651"/>
      <c r="BN53" s="4651"/>
      <c r="BO53" s="4651"/>
      <c r="BP53" s="4651"/>
      <c r="BQ53" s="4651"/>
      <c r="BR53" s="4651"/>
      <c r="BS53" s="4651"/>
      <c r="BT53" s="4651"/>
      <c r="BU53" s="4651"/>
      <c r="BV53" s="4652"/>
      <c r="BW53" s="4652"/>
      <c r="BX53" s="4653"/>
      <c r="BY53" s="4653"/>
      <c r="BZ53" s="4653"/>
      <c r="CA53" s="4685" t="str">
        <f t="shared" ref="CA53:CA60" si="15">IF(DA53=1,"* Pueblos Originarios debe ser MENOR O IGUAL al Total. ","")</f>
        <v/>
      </c>
      <c r="CB53" s="4685" t="str">
        <f t="shared" ref="CB53:CB60" si="16">IF(DB53=1,"* Migrantes debe ser MENOR O IGUAL al Total. ","")</f>
        <v/>
      </c>
      <c r="CC53" s="4685" t="str">
        <f t="shared" ref="CC53:CC60" si="17">IF(DC53=1,"* NNAJ SENAME debe ser MENOR O IGUAL al Total. ","")</f>
        <v/>
      </c>
      <c r="CD53" s="4685" t="str">
        <f t="shared" ref="CD53:CD60" si="18">IF(DD53=1,"* NNAJ Mejor Niñez debe ser MENOR O IGUAL al Total. ","")</f>
        <v/>
      </c>
      <c r="CE53" s="4654"/>
      <c r="CF53" s="4654"/>
      <c r="CG53" s="4654"/>
      <c r="CH53" s="4654"/>
      <c r="CI53" s="4654"/>
      <c r="CJ53" s="4654"/>
      <c r="CK53" s="4654"/>
      <c r="CL53" s="4654"/>
      <c r="CM53" s="4654"/>
      <c r="CN53" s="4654"/>
      <c r="CO53" s="4654"/>
      <c r="CP53" s="4654"/>
      <c r="CQ53" s="4654"/>
      <c r="CR53" s="4654"/>
      <c r="CS53" s="4654"/>
      <c r="CT53" s="4654"/>
      <c r="CU53" s="4654"/>
      <c r="CV53" s="4654"/>
      <c r="CW53" s="4654"/>
      <c r="CX53" s="4654"/>
      <c r="CY53" s="4654"/>
      <c r="CZ53" s="4655"/>
      <c r="DA53" s="4686">
        <f t="shared" ref="DA53:DA60" si="19">IF(J53&gt;$C53,1,0)</f>
        <v>0</v>
      </c>
      <c r="DB53" s="4686">
        <f t="shared" ref="DB53:DB60" si="20">IF(K53&gt;$C53,1,0)</f>
        <v>0</v>
      </c>
      <c r="DC53" s="4686">
        <f t="shared" ref="DC53:DC60" si="21">IF(L53&gt;$C53,1,0)</f>
        <v>0</v>
      </c>
      <c r="DD53" s="4686">
        <f t="shared" ref="DD53:DD60" si="22">IF(M53&gt;$C53,1,0)</f>
        <v>0</v>
      </c>
      <c r="DE53" s="4687"/>
      <c r="DF53" s="4687"/>
      <c r="DG53" s="4687"/>
      <c r="DH53" s="4687"/>
      <c r="DI53" s="4687"/>
      <c r="DJ53" s="4687"/>
      <c r="DK53" s="4687"/>
      <c r="DL53" s="4687"/>
      <c r="DM53" s="4687"/>
      <c r="DN53" s="4687"/>
      <c r="DO53" s="4687"/>
      <c r="DP53" s="4687"/>
      <c r="DQ53" s="4653"/>
      <c r="DR53" s="4653"/>
      <c r="DS53" s="4653"/>
      <c r="DT53" s="4653"/>
      <c r="DU53" s="4653"/>
      <c r="DV53" s="4653"/>
      <c r="DW53" s="4653"/>
      <c r="DX53" s="4653"/>
      <c r="DY53" s="4653"/>
      <c r="DZ53" s="4653"/>
      <c r="EA53" s="4653"/>
      <c r="EB53" s="4653"/>
      <c r="EC53" s="4653"/>
      <c r="ED53" s="4653"/>
      <c r="EE53" s="4653"/>
      <c r="EF53" s="4653"/>
      <c r="EG53" s="4653"/>
      <c r="EH53" s="4653"/>
      <c r="EI53" s="4653"/>
      <c r="EJ53" s="4653"/>
      <c r="EK53" s="4653"/>
      <c r="EL53" s="4653"/>
      <c r="EM53" s="4653"/>
      <c r="EN53" s="4653"/>
      <c r="EO53" s="4653"/>
      <c r="EP53" s="4653"/>
      <c r="EQ53" s="4653"/>
      <c r="ER53" s="4653"/>
      <c r="ES53" s="4653"/>
      <c r="ET53" s="4653"/>
      <c r="EU53" s="4653"/>
      <c r="EV53" s="4653"/>
      <c r="EW53" s="4653"/>
      <c r="EX53" s="4653"/>
      <c r="EY53" s="4653"/>
      <c r="EZ53" s="4653"/>
      <c r="FA53" s="4653"/>
      <c r="FB53" s="4653"/>
      <c r="FC53" s="4653"/>
      <c r="FD53" s="4653"/>
      <c r="FE53" s="4653"/>
      <c r="FF53" s="4653"/>
      <c r="FG53" s="4653"/>
      <c r="FH53" s="4653"/>
      <c r="FI53" s="4653"/>
      <c r="FJ53" s="4653"/>
      <c r="FK53" s="4653"/>
      <c r="FL53" s="4653"/>
      <c r="FM53" s="4653"/>
      <c r="FN53" s="4653"/>
      <c r="FO53" s="4653"/>
      <c r="FP53" s="4653"/>
      <c r="FQ53" s="4653"/>
      <c r="FR53" s="4653"/>
      <c r="FS53" s="4653"/>
      <c r="FT53" s="4653"/>
      <c r="FU53" s="4653"/>
      <c r="FV53" s="4653"/>
      <c r="FW53" s="4653"/>
      <c r="FX53" s="4653"/>
      <c r="FY53" s="4653"/>
      <c r="FZ53" s="4653"/>
      <c r="GA53" s="4653"/>
      <c r="GB53" s="4653"/>
      <c r="GC53" s="4653"/>
      <c r="GD53" s="4653"/>
      <c r="GE53" s="4653"/>
      <c r="GF53" s="4653"/>
      <c r="GG53" s="4653"/>
      <c r="GH53" s="4653"/>
      <c r="GI53" s="4653"/>
      <c r="GJ53" s="4653"/>
      <c r="GK53" s="4653"/>
      <c r="GL53" s="4653"/>
      <c r="GM53" s="4653"/>
      <c r="GN53" s="4653"/>
      <c r="GO53" s="4653"/>
      <c r="GP53" s="4653"/>
      <c r="GQ53" s="4653"/>
      <c r="GR53" s="4653"/>
      <c r="GS53" s="4653"/>
      <c r="GT53" s="4653"/>
      <c r="GU53" s="4653"/>
      <c r="GV53" s="4653"/>
      <c r="GW53" s="4653"/>
      <c r="GX53" s="4653"/>
      <c r="GY53" s="4653"/>
      <c r="GZ53" s="4653"/>
      <c r="HA53" s="4653"/>
      <c r="HB53" s="4653"/>
      <c r="HC53" s="4653"/>
      <c r="HD53" s="4653"/>
      <c r="HE53" s="4653"/>
      <c r="HF53" s="4653"/>
      <c r="HG53" s="4653"/>
      <c r="HH53" s="4653"/>
      <c r="HI53" s="4653"/>
      <c r="HJ53" s="4653"/>
      <c r="HK53" s="4653"/>
      <c r="HL53" s="4653"/>
      <c r="HM53" s="4653"/>
      <c r="HN53" s="4653"/>
      <c r="HO53" s="4653"/>
      <c r="HP53" s="4653"/>
      <c r="HQ53" s="4653"/>
      <c r="HR53" s="4653"/>
      <c r="HS53" s="4653"/>
      <c r="HT53" s="4653"/>
      <c r="HU53" s="4653"/>
      <c r="HV53" s="4653"/>
      <c r="HW53" s="4653"/>
      <c r="HX53" s="4653"/>
      <c r="HY53" s="4653"/>
    </row>
    <row r="54" spans="1:233" s="4688" customFormat="1" x14ac:dyDescent="0.2">
      <c r="A54" s="10231" t="s">
        <v>1694</v>
      </c>
      <c r="B54" s="10232"/>
      <c r="C54" s="4782">
        <f t="shared" si="13"/>
        <v>0</v>
      </c>
      <c r="D54" s="4778"/>
      <c r="E54" s="4779"/>
      <c r="F54" s="4780"/>
      <c r="G54" s="4781"/>
      <c r="H54" s="4774"/>
      <c r="I54" s="4775"/>
      <c r="J54" s="4776"/>
      <c r="K54" s="4776"/>
      <c r="L54" s="4776"/>
      <c r="M54" s="4776"/>
      <c r="N54" s="4657" t="str">
        <f t="shared" si="14"/>
        <v/>
      </c>
      <c r="O54" s="4651"/>
      <c r="P54" s="4651"/>
      <c r="Q54" s="4651"/>
      <c r="R54" s="4651"/>
      <c r="S54" s="4651"/>
      <c r="T54" s="4651"/>
      <c r="U54" s="4651"/>
      <c r="V54" s="4651"/>
      <c r="W54" s="4651"/>
      <c r="X54" s="4651"/>
      <c r="Y54" s="4651"/>
      <c r="Z54" s="4651"/>
      <c r="AA54" s="4651"/>
      <c r="AB54" s="4651"/>
      <c r="AC54" s="4651"/>
      <c r="AD54" s="4651"/>
      <c r="AE54" s="4651"/>
      <c r="AF54" s="4651"/>
      <c r="AG54" s="4651"/>
      <c r="AH54" s="4651"/>
      <c r="AI54" s="4651"/>
      <c r="AJ54" s="4651"/>
      <c r="AK54" s="4651"/>
      <c r="AL54" s="4651"/>
      <c r="AM54" s="4651"/>
      <c r="AN54" s="4651"/>
      <c r="AO54" s="4651"/>
      <c r="AP54" s="4651"/>
      <c r="AQ54" s="4651"/>
      <c r="AR54" s="4651"/>
      <c r="AS54" s="4651"/>
      <c r="AT54" s="4651"/>
      <c r="AU54" s="4651"/>
      <c r="AV54" s="4651"/>
      <c r="AW54" s="4651"/>
      <c r="AX54" s="4651"/>
      <c r="AY54" s="4651"/>
      <c r="AZ54" s="4651"/>
      <c r="BA54" s="4651"/>
      <c r="BB54" s="4651"/>
      <c r="BC54" s="4651"/>
      <c r="BD54" s="4651"/>
      <c r="BE54" s="4651"/>
      <c r="BF54" s="4651"/>
      <c r="BG54" s="4651"/>
      <c r="BH54" s="4651"/>
      <c r="BI54" s="4651"/>
      <c r="BJ54" s="4651"/>
      <c r="BK54" s="4651"/>
      <c r="BL54" s="4651"/>
      <c r="BM54" s="4651"/>
      <c r="BN54" s="4651"/>
      <c r="BO54" s="4651"/>
      <c r="BP54" s="4651"/>
      <c r="BQ54" s="4651"/>
      <c r="BR54" s="4651"/>
      <c r="BS54" s="4651"/>
      <c r="BT54" s="4651"/>
      <c r="BU54" s="4651"/>
      <c r="BV54" s="4652"/>
      <c r="BW54" s="4652"/>
      <c r="BX54" s="4653"/>
      <c r="BY54" s="4653"/>
      <c r="BZ54" s="4653"/>
      <c r="CA54" s="4685" t="str">
        <f t="shared" si="15"/>
        <v/>
      </c>
      <c r="CB54" s="4685" t="str">
        <f t="shared" si="16"/>
        <v/>
      </c>
      <c r="CC54" s="4685" t="str">
        <f t="shared" si="17"/>
        <v/>
      </c>
      <c r="CD54" s="4685" t="str">
        <f t="shared" si="18"/>
        <v/>
      </c>
      <c r="CE54" s="4654"/>
      <c r="CF54" s="4654"/>
      <c r="CG54" s="4654"/>
      <c r="CH54" s="4654"/>
      <c r="CI54" s="4654"/>
      <c r="CJ54" s="4654"/>
      <c r="CK54" s="4654"/>
      <c r="CL54" s="4654"/>
      <c r="CM54" s="4654"/>
      <c r="CN54" s="4654"/>
      <c r="CO54" s="4654"/>
      <c r="CP54" s="4654"/>
      <c r="CQ54" s="4654"/>
      <c r="CR54" s="4654"/>
      <c r="CS54" s="4654"/>
      <c r="CT54" s="4654"/>
      <c r="CU54" s="4654"/>
      <c r="CV54" s="4654"/>
      <c r="CW54" s="4654"/>
      <c r="CX54" s="4654"/>
      <c r="CY54" s="4654"/>
      <c r="CZ54" s="4655"/>
      <c r="DA54" s="4686">
        <f t="shared" si="19"/>
        <v>0</v>
      </c>
      <c r="DB54" s="4686">
        <f t="shared" si="20"/>
        <v>0</v>
      </c>
      <c r="DC54" s="4686">
        <f t="shared" si="21"/>
        <v>0</v>
      </c>
      <c r="DD54" s="4686">
        <f t="shared" si="22"/>
        <v>0</v>
      </c>
      <c r="DE54" s="4687"/>
      <c r="DF54" s="4687"/>
      <c r="DG54" s="4687"/>
      <c r="DH54" s="4687"/>
      <c r="DI54" s="4687"/>
      <c r="DJ54" s="4687"/>
      <c r="DK54" s="4687"/>
      <c r="DL54" s="4687"/>
      <c r="DM54" s="4687"/>
      <c r="DN54" s="4687"/>
      <c r="DO54" s="4687"/>
      <c r="DP54" s="4687"/>
      <c r="DQ54" s="4653"/>
      <c r="DR54" s="4653"/>
      <c r="DS54" s="4653"/>
      <c r="DT54" s="4653"/>
      <c r="DU54" s="4653"/>
      <c r="DV54" s="4653"/>
      <c r="DW54" s="4653"/>
      <c r="DX54" s="4653"/>
      <c r="DY54" s="4653"/>
      <c r="DZ54" s="4653"/>
      <c r="EA54" s="4653"/>
      <c r="EB54" s="4653"/>
      <c r="EC54" s="4653"/>
      <c r="ED54" s="4653"/>
      <c r="EE54" s="4653"/>
      <c r="EF54" s="4653"/>
      <c r="EG54" s="4653"/>
      <c r="EH54" s="4653"/>
      <c r="EI54" s="4653"/>
      <c r="EJ54" s="4653"/>
      <c r="EK54" s="4653"/>
      <c r="EL54" s="4653"/>
      <c r="EM54" s="4653"/>
      <c r="EN54" s="4653"/>
      <c r="EO54" s="4653"/>
      <c r="EP54" s="4653"/>
      <c r="EQ54" s="4653"/>
      <c r="ER54" s="4653"/>
      <c r="ES54" s="4653"/>
      <c r="ET54" s="4653"/>
      <c r="EU54" s="4653"/>
      <c r="EV54" s="4653"/>
      <c r="EW54" s="4653"/>
      <c r="EX54" s="4653"/>
      <c r="EY54" s="4653"/>
      <c r="EZ54" s="4653"/>
      <c r="FA54" s="4653"/>
      <c r="FB54" s="4653"/>
      <c r="FC54" s="4653"/>
      <c r="FD54" s="4653"/>
      <c r="FE54" s="4653"/>
      <c r="FF54" s="4653"/>
      <c r="FG54" s="4653"/>
      <c r="FH54" s="4653"/>
      <c r="FI54" s="4653"/>
      <c r="FJ54" s="4653"/>
      <c r="FK54" s="4653"/>
      <c r="FL54" s="4653"/>
      <c r="FM54" s="4653"/>
      <c r="FN54" s="4653"/>
      <c r="FO54" s="4653"/>
      <c r="FP54" s="4653"/>
      <c r="FQ54" s="4653"/>
      <c r="FR54" s="4653"/>
      <c r="FS54" s="4653"/>
      <c r="FT54" s="4653"/>
      <c r="FU54" s="4653"/>
      <c r="FV54" s="4653"/>
      <c r="FW54" s="4653"/>
      <c r="FX54" s="4653"/>
      <c r="FY54" s="4653"/>
      <c r="FZ54" s="4653"/>
      <c r="GA54" s="4653"/>
      <c r="GB54" s="4653"/>
      <c r="GC54" s="4653"/>
      <c r="GD54" s="4653"/>
      <c r="GE54" s="4653"/>
      <c r="GF54" s="4653"/>
      <c r="GG54" s="4653"/>
      <c r="GH54" s="4653"/>
      <c r="GI54" s="4653"/>
      <c r="GJ54" s="4653"/>
      <c r="GK54" s="4653"/>
      <c r="GL54" s="4653"/>
      <c r="GM54" s="4653"/>
      <c r="GN54" s="4653"/>
      <c r="GO54" s="4653"/>
      <c r="GP54" s="4653"/>
      <c r="GQ54" s="4653"/>
      <c r="GR54" s="4653"/>
      <c r="GS54" s="4653"/>
      <c r="GT54" s="4653"/>
      <c r="GU54" s="4653"/>
      <c r="GV54" s="4653"/>
      <c r="GW54" s="4653"/>
      <c r="GX54" s="4653"/>
      <c r="GY54" s="4653"/>
      <c r="GZ54" s="4653"/>
      <c r="HA54" s="4653"/>
      <c r="HB54" s="4653"/>
      <c r="HC54" s="4653"/>
      <c r="HD54" s="4653"/>
      <c r="HE54" s="4653"/>
      <c r="HF54" s="4653"/>
      <c r="HG54" s="4653"/>
      <c r="HH54" s="4653"/>
      <c r="HI54" s="4653"/>
      <c r="HJ54" s="4653"/>
      <c r="HK54" s="4653"/>
      <c r="HL54" s="4653"/>
      <c r="HM54" s="4653"/>
      <c r="HN54" s="4653"/>
      <c r="HO54" s="4653"/>
      <c r="HP54" s="4653"/>
      <c r="HQ54" s="4653"/>
      <c r="HR54" s="4653"/>
      <c r="HS54" s="4653"/>
      <c r="HT54" s="4653"/>
      <c r="HU54" s="4653"/>
      <c r="HV54" s="4653"/>
      <c r="HW54" s="4653"/>
      <c r="HX54" s="4653"/>
      <c r="HY54" s="4653"/>
    </row>
    <row r="55" spans="1:233" s="4688" customFormat="1" x14ac:dyDescent="0.2">
      <c r="A55" s="10231" t="s">
        <v>1693</v>
      </c>
      <c r="B55" s="10232"/>
      <c r="C55" s="4782">
        <f t="shared" si="13"/>
        <v>0</v>
      </c>
      <c r="D55" s="4778"/>
      <c r="E55" s="4783"/>
      <c r="F55" s="4780"/>
      <c r="G55" s="4784"/>
      <c r="H55" s="4785"/>
      <c r="I55" s="4786"/>
      <c r="J55" s="4787"/>
      <c r="K55" s="4787"/>
      <c r="L55" s="4787"/>
      <c r="M55" s="4787"/>
      <c r="N55" s="4657" t="str">
        <f t="shared" si="14"/>
        <v/>
      </c>
      <c r="O55" s="4651"/>
      <c r="P55" s="4651"/>
      <c r="Q55" s="4651"/>
      <c r="R55" s="4651"/>
      <c r="S55" s="4651"/>
      <c r="T55" s="4651"/>
      <c r="U55" s="4651"/>
      <c r="V55" s="4651"/>
      <c r="W55" s="4651"/>
      <c r="X55" s="4651"/>
      <c r="Y55" s="4651"/>
      <c r="Z55" s="4651"/>
      <c r="AA55" s="4651"/>
      <c r="AB55" s="4651"/>
      <c r="AC55" s="4651"/>
      <c r="AD55" s="4651"/>
      <c r="AE55" s="4651"/>
      <c r="AF55" s="4651"/>
      <c r="AG55" s="4651"/>
      <c r="AH55" s="4651"/>
      <c r="AI55" s="4651"/>
      <c r="AJ55" s="4651"/>
      <c r="AK55" s="4651"/>
      <c r="AL55" s="4651"/>
      <c r="AM55" s="4651"/>
      <c r="AN55" s="4651"/>
      <c r="AO55" s="4651"/>
      <c r="AP55" s="4651"/>
      <c r="AQ55" s="4651"/>
      <c r="AR55" s="4651"/>
      <c r="AS55" s="4651"/>
      <c r="AT55" s="4651"/>
      <c r="AU55" s="4651"/>
      <c r="AV55" s="4651"/>
      <c r="AW55" s="4651"/>
      <c r="AX55" s="4651"/>
      <c r="AY55" s="4651"/>
      <c r="AZ55" s="4651"/>
      <c r="BA55" s="4651"/>
      <c r="BB55" s="4651"/>
      <c r="BC55" s="4651"/>
      <c r="BD55" s="4651"/>
      <c r="BE55" s="4651"/>
      <c r="BF55" s="4651"/>
      <c r="BG55" s="4651"/>
      <c r="BH55" s="4651"/>
      <c r="BI55" s="4651"/>
      <c r="BJ55" s="4651"/>
      <c r="BK55" s="4651"/>
      <c r="BL55" s="4651"/>
      <c r="BM55" s="4651"/>
      <c r="BN55" s="4651"/>
      <c r="BO55" s="4651"/>
      <c r="BP55" s="4651"/>
      <c r="BQ55" s="4651"/>
      <c r="BR55" s="4651"/>
      <c r="BS55" s="4651"/>
      <c r="BT55" s="4651"/>
      <c r="BU55" s="4651"/>
      <c r="BV55" s="4652"/>
      <c r="BW55" s="4652"/>
      <c r="BX55" s="4653"/>
      <c r="BY55" s="4653"/>
      <c r="BZ55" s="4653"/>
      <c r="CA55" s="4685" t="str">
        <f t="shared" si="15"/>
        <v/>
      </c>
      <c r="CB55" s="4685" t="str">
        <f t="shared" si="16"/>
        <v/>
      </c>
      <c r="CC55" s="4685" t="str">
        <f t="shared" si="17"/>
        <v/>
      </c>
      <c r="CD55" s="4685" t="str">
        <f t="shared" si="18"/>
        <v/>
      </c>
      <c r="CE55" s="4654"/>
      <c r="CF55" s="4654"/>
      <c r="CG55" s="4654"/>
      <c r="CH55" s="4654"/>
      <c r="CI55" s="4654"/>
      <c r="CJ55" s="4654"/>
      <c r="CK55" s="4654"/>
      <c r="CL55" s="4654"/>
      <c r="CM55" s="4654"/>
      <c r="CN55" s="4654"/>
      <c r="CO55" s="4654"/>
      <c r="CP55" s="4654"/>
      <c r="CQ55" s="4654"/>
      <c r="CR55" s="4654"/>
      <c r="CS55" s="4654"/>
      <c r="CT55" s="4654"/>
      <c r="CU55" s="4654"/>
      <c r="CV55" s="4654"/>
      <c r="CW55" s="4654"/>
      <c r="CX55" s="4654"/>
      <c r="CY55" s="4654"/>
      <c r="CZ55" s="4655"/>
      <c r="DA55" s="4686">
        <f t="shared" si="19"/>
        <v>0</v>
      </c>
      <c r="DB55" s="4686">
        <f t="shared" si="20"/>
        <v>0</v>
      </c>
      <c r="DC55" s="4686">
        <f t="shared" si="21"/>
        <v>0</v>
      </c>
      <c r="DD55" s="4686">
        <f t="shared" si="22"/>
        <v>0</v>
      </c>
      <c r="DE55" s="4687"/>
      <c r="DF55" s="4687"/>
      <c r="DG55" s="4687"/>
      <c r="DH55" s="4687"/>
      <c r="DI55" s="4687"/>
      <c r="DJ55" s="4687"/>
      <c r="DK55" s="4687"/>
      <c r="DL55" s="4687"/>
      <c r="DM55" s="4687"/>
      <c r="DN55" s="4687"/>
      <c r="DO55" s="4687"/>
      <c r="DP55" s="4687"/>
      <c r="DQ55" s="4653"/>
      <c r="DR55" s="4653"/>
      <c r="DS55" s="4653"/>
      <c r="DT55" s="4653"/>
      <c r="DU55" s="4653"/>
      <c r="DV55" s="4653"/>
      <c r="DW55" s="4653"/>
      <c r="DX55" s="4653"/>
      <c r="DY55" s="4653"/>
      <c r="DZ55" s="4653"/>
      <c r="EA55" s="4653"/>
      <c r="EB55" s="4653"/>
      <c r="EC55" s="4653"/>
      <c r="ED55" s="4653"/>
      <c r="EE55" s="4653"/>
      <c r="EF55" s="4653"/>
      <c r="EG55" s="4653"/>
      <c r="EH55" s="4653"/>
      <c r="EI55" s="4653"/>
      <c r="EJ55" s="4653"/>
      <c r="EK55" s="4653"/>
      <c r="EL55" s="4653"/>
      <c r="EM55" s="4653"/>
      <c r="EN55" s="4653"/>
      <c r="EO55" s="4653"/>
      <c r="EP55" s="4653"/>
      <c r="EQ55" s="4653"/>
      <c r="ER55" s="4653"/>
      <c r="ES55" s="4653"/>
      <c r="ET55" s="4653"/>
      <c r="EU55" s="4653"/>
      <c r="EV55" s="4653"/>
      <c r="EW55" s="4653"/>
      <c r="EX55" s="4653"/>
      <c r="EY55" s="4653"/>
      <c r="EZ55" s="4653"/>
      <c r="FA55" s="4653"/>
      <c r="FB55" s="4653"/>
      <c r="FC55" s="4653"/>
      <c r="FD55" s="4653"/>
      <c r="FE55" s="4653"/>
      <c r="FF55" s="4653"/>
      <c r="FG55" s="4653"/>
      <c r="FH55" s="4653"/>
      <c r="FI55" s="4653"/>
      <c r="FJ55" s="4653"/>
      <c r="FK55" s="4653"/>
      <c r="FL55" s="4653"/>
      <c r="FM55" s="4653"/>
      <c r="FN55" s="4653"/>
      <c r="FO55" s="4653"/>
      <c r="FP55" s="4653"/>
      <c r="FQ55" s="4653"/>
      <c r="FR55" s="4653"/>
      <c r="FS55" s="4653"/>
      <c r="FT55" s="4653"/>
      <c r="FU55" s="4653"/>
      <c r="FV55" s="4653"/>
      <c r="FW55" s="4653"/>
      <c r="FX55" s="4653"/>
      <c r="FY55" s="4653"/>
      <c r="FZ55" s="4653"/>
      <c r="GA55" s="4653"/>
      <c r="GB55" s="4653"/>
      <c r="GC55" s="4653"/>
      <c r="GD55" s="4653"/>
      <c r="GE55" s="4653"/>
      <c r="GF55" s="4653"/>
      <c r="GG55" s="4653"/>
      <c r="GH55" s="4653"/>
      <c r="GI55" s="4653"/>
      <c r="GJ55" s="4653"/>
      <c r="GK55" s="4653"/>
      <c r="GL55" s="4653"/>
      <c r="GM55" s="4653"/>
      <c r="GN55" s="4653"/>
      <c r="GO55" s="4653"/>
      <c r="GP55" s="4653"/>
      <c r="GQ55" s="4653"/>
      <c r="GR55" s="4653"/>
      <c r="GS55" s="4653"/>
      <c r="GT55" s="4653"/>
      <c r="GU55" s="4653"/>
      <c r="GV55" s="4653"/>
      <c r="GW55" s="4653"/>
      <c r="GX55" s="4653"/>
      <c r="GY55" s="4653"/>
      <c r="GZ55" s="4653"/>
      <c r="HA55" s="4653"/>
      <c r="HB55" s="4653"/>
      <c r="HC55" s="4653"/>
      <c r="HD55" s="4653"/>
      <c r="HE55" s="4653"/>
      <c r="HF55" s="4653"/>
      <c r="HG55" s="4653"/>
      <c r="HH55" s="4653"/>
      <c r="HI55" s="4653"/>
      <c r="HJ55" s="4653"/>
      <c r="HK55" s="4653"/>
      <c r="HL55" s="4653"/>
      <c r="HM55" s="4653"/>
      <c r="HN55" s="4653"/>
      <c r="HO55" s="4653"/>
      <c r="HP55" s="4653"/>
      <c r="HQ55" s="4653"/>
      <c r="HR55" s="4653"/>
      <c r="HS55" s="4653"/>
      <c r="HT55" s="4653"/>
      <c r="HU55" s="4653"/>
      <c r="HV55" s="4653"/>
      <c r="HW55" s="4653"/>
      <c r="HX55" s="4653"/>
      <c r="HY55" s="4653"/>
    </row>
    <row r="56" spans="1:233" s="4688" customFormat="1" x14ac:dyDescent="0.2">
      <c r="A56" s="10233" t="s">
        <v>1692</v>
      </c>
      <c r="B56" s="4788" t="s">
        <v>1691</v>
      </c>
      <c r="C56" s="4789">
        <f t="shared" si="13"/>
        <v>0</v>
      </c>
      <c r="D56" s="4770"/>
      <c r="E56" s="4771"/>
      <c r="F56" s="4772"/>
      <c r="G56" s="4773"/>
      <c r="H56" s="4790"/>
      <c r="I56" s="4791"/>
      <c r="J56" s="4792"/>
      <c r="K56" s="4792"/>
      <c r="L56" s="4792"/>
      <c r="M56" s="4792"/>
      <c r="N56" s="4657" t="str">
        <f t="shared" si="14"/>
        <v/>
      </c>
      <c r="O56" s="4651"/>
      <c r="P56" s="4651"/>
      <c r="Q56" s="4651"/>
      <c r="R56" s="4651"/>
      <c r="S56" s="4651"/>
      <c r="T56" s="4651"/>
      <c r="U56" s="4651"/>
      <c r="V56" s="4651"/>
      <c r="W56" s="4651"/>
      <c r="X56" s="4651"/>
      <c r="Y56" s="4651"/>
      <c r="Z56" s="4651"/>
      <c r="AA56" s="4651"/>
      <c r="AB56" s="4651"/>
      <c r="AC56" s="4651"/>
      <c r="AD56" s="4651"/>
      <c r="AE56" s="4651"/>
      <c r="AF56" s="4651"/>
      <c r="AG56" s="4651"/>
      <c r="AH56" s="4651"/>
      <c r="AI56" s="4651"/>
      <c r="AJ56" s="4651"/>
      <c r="AK56" s="4651"/>
      <c r="AL56" s="4651"/>
      <c r="AM56" s="4651"/>
      <c r="AN56" s="4651"/>
      <c r="AO56" s="4651"/>
      <c r="AP56" s="4651"/>
      <c r="AQ56" s="4651"/>
      <c r="AR56" s="4651"/>
      <c r="AS56" s="4651"/>
      <c r="AT56" s="4651"/>
      <c r="AU56" s="4651"/>
      <c r="AV56" s="4651"/>
      <c r="AW56" s="4651"/>
      <c r="AX56" s="4651"/>
      <c r="AY56" s="4651"/>
      <c r="AZ56" s="4651"/>
      <c r="BA56" s="4651"/>
      <c r="BB56" s="4651"/>
      <c r="BC56" s="4651"/>
      <c r="BD56" s="4651"/>
      <c r="BE56" s="4651"/>
      <c r="BF56" s="4651"/>
      <c r="BG56" s="4651"/>
      <c r="BH56" s="4651"/>
      <c r="BI56" s="4651"/>
      <c r="BJ56" s="4651"/>
      <c r="BK56" s="4651"/>
      <c r="BL56" s="4651"/>
      <c r="BM56" s="4651"/>
      <c r="BN56" s="4651"/>
      <c r="BO56" s="4651"/>
      <c r="BP56" s="4651"/>
      <c r="BQ56" s="4651"/>
      <c r="BR56" s="4651"/>
      <c r="BS56" s="4651"/>
      <c r="BT56" s="4651"/>
      <c r="BU56" s="4651"/>
      <c r="BV56" s="4652"/>
      <c r="BW56" s="4652"/>
      <c r="BX56" s="4653"/>
      <c r="BY56" s="4653"/>
      <c r="BZ56" s="4653"/>
      <c r="CA56" s="4685" t="str">
        <f t="shared" si="15"/>
        <v/>
      </c>
      <c r="CB56" s="4685" t="str">
        <f t="shared" si="16"/>
        <v/>
      </c>
      <c r="CC56" s="4685" t="str">
        <f t="shared" si="17"/>
        <v/>
      </c>
      <c r="CD56" s="4685" t="str">
        <f t="shared" si="18"/>
        <v/>
      </c>
      <c r="CE56" s="4654"/>
      <c r="CF56" s="4654"/>
      <c r="CG56" s="4654"/>
      <c r="CH56" s="4654"/>
      <c r="CI56" s="4654"/>
      <c r="CJ56" s="4654"/>
      <c r="CK56" s="4654"/>
      <c r="CL56" s="4654"/>
      <c r="CM56" s="4654"/>
      <c r="CN56" s="4654"/>
      <c r="CO56" s="4654"/>
      <c r="CP56" s="4654"/>
      <c r="CQ56" s="4654"/>
      <c r="CR56" s="4654"/>
      <c r="CS56" s="4654"/>
      <c r="CT56" s="4654"/>
      <c r="CU56" s="4654"/>
      <c r="CV56" s="4654"/>
      <c r="CW56" s="4654"/>
      <c r="CX56" s="4654"/>
      <c r="CY56" s="4654"/>
      <c r="CZ56" s="4655"/>
      <c r="DA56" s="4686">
        <f t="shared" si="19"/>
        <v>0</v>
      </c>
      <c r="DB56" s="4686">
        <f t="shared" si="20"/>
        <v>0</v>
      </c>
      <c r="DC56" s="4686">
        <f t="shared" si="21"/>
        <v>0</v>
      </c>
      <c r="DD56" s="4686">
        <f t="shared" si="22"/>
        <v>0</v>
      </c>
      <c r="DE56" s="4687"/>
      <c r="DF56" s="4687"/>
      <c r="DG56" s="4687"/>
      <c r="DH56" s="4687"/>
      <c r="DI56" s="4687"/>
      <c r="DJ56" s="4687"/>
      <c r="DK56" s="4687"/>
      <c r="DL56" s="4687"/>
      <c r="DM56" s="4687"/>
      <c r="DN56" s="4687"/>
      <c r="DO56" s="4687"/>
      <c r="DP56" s="4687"/>
      <c r="DQ56" s="4653"/>
      <c r="DR56" s="4653"/>
      <c r="DS56" s="4653"/>
      <c r="DT56" s="4653"/>
      <c r="DU56" s="4653"/>
      <c r="DV56" s="4653"/>
      <c r="DW56" s="4653"/>
      <c r="DX56" s="4653"/>
      <c r="DY56" s="4653"/>
      <c r="DZ56" s="4653"/>
      <c r="EA56" s="4653"/>
      <c r="EB56" s="4653"/>
      <c r="EC56" s="4653"/>
      <c r="ED56" s="4653"/>
      <c r="EE56" s="4653"/>
      <c r="EF56" s="4653"/>
      <c r="EG56" s="4653"/>
      <c r="EH56" s="4653"/>
      <c r="EI56" s="4653"/>
      <c r="EJ56" s="4653"/>
      <c r="EK56" s="4653"/>
      <c r="EL56" s="4653"/>
      <c r="EM56" s="4653"/>
      <c r="EN56" s="4653"/>
      <c r="EO56" s="4653"/>
      <c r="EP56" s="4653"/>
      <c r="EQ56" s="4653"/>
      <c r="ER56" s="4653"/>
      <c r="ES56" s="4653"/>
      <c r="ET56" s="4653"/>
      <c r="EU56" s="4653"/>
      <c r="EV56" s="4653"/>
      <c r="EW56" s="4653"/>
      <c r="EX56" s="4653"/>
      <c r="EY56" s="4653"/>
      <c r="EZ56" s="4653"/>
      <c r="FA56" s="4653"/>
      <c r="FB56" s="4653"/>
      <c r="FC56" s="4653"/>
      <c r="FD56" s="4653"/>
      <c r="FE56" s="4653"/>
      <c r="FF56" s="4653"/>
      <c r="FG56" s="4653"/>
      <c r="FH56" s="4653"/>
      <c r="FI56" s="4653"/>
      <c r="FJ56" s="4653"/>
      <c r="FK56" s="4653"/>
      <c r="FL56" s="4653"/>
      <c r="FM56" s="4653"/>
      <c r="FN56" s="4653"/>
      <c r="FO56" s="4653"/>
      <c r="FP56" s="4653"/>
      <c r="FQ56" s="4653"/>
      <c r="FR56" s="4653"/>
      <c r="FS56" s="4653"/>
      <c r="FT56" s="4653"/>
      <c r="FU56" s="4653"/>
      <c r="FV56" s="4653"/>
      <c r="FW56" s="4653"/>
      <c r="FX56" s="4653"/>
      <c r="FY56" s="4653"/>
      <c r="FZ56" s="4653"/>
      <c r="GA56" s="4653"/>
      <c r="GB56" s="4653"/>
      <c r="GC56" s="4653"/>
      <c r="GD56" s="4653"/>
      <c r="GE56" s="4653"/>
      <c r="GF56" s="4653"/>
      <c r="GG56" s="4653"/>
      <c r="GH56" s="4653"/>
      <c r="GI56" s="4653"/>
      <c r="GJ56" s="4653"/>
      <c r="GK56" s="4653"/>
      <c r="GL56" s="4653"/>
      <c r="GM56" s="4653"/>
      <c r="GN56" s="4653"/>
      <c r="GO56" s="4653"/>
      <c r="GP56" s="4653"/>
      <c r="GQ56" s="4653"/>
      <c r="GR56" s="4653"/>
      <c r="GS56" s="4653"/>
      <c r="GT56" s="4653"/>
      <c r="GU56" s="4653"/>
      <c r="GV56" s="4653"/>
      <c r="GW56" s="4653"/>
      <c r="GX56" s="4653"/>
      <c r="GY56" s="4653"/>
      <c r="GZ56" s="4653"/>
      <c r="HA56" s="4653"/>
      <c r="HB56" s="4653"/>
      <c r="HC56" s="4653"/>
      <c r="HD56" s="4653"/>
      <c r="HE56" s="4653"/>
      <c r="HF56" s="4653"/>
      <c r="HG56" s="4653"/>
      <c r="HH56" s="4653"/>
      <c r="HI56" s="4653"/>
      <c r="HJ56" s="4653"/>
      <c r="HK56" s="4653"/>
      <c r="HL56" s="4653"/>
      <c r="HM56" s="4653"/>
      <c r="HN56" s="4653"/>
      <c r="HO56" s="4653"/>
      <c r="HP56" s="4653"/>
      <c r="HQ56" s="4653"/>
      <c r="HR56" s="4653"/>
      <c r="HS56" s="4653"/>
      <c r="HT56" s="4653"/>
      <c r="HU56" s="4653"/>
      <c r="HV56" s="4653"/>
      <c r="HW56" s="4653"/>
      <c r="HX56" s="4653"/>
      <c r="HY56" s="4653"/>
    </row>
    <row r="57" spans="1:233" s="4688" customFormat="1" x14ac:dyDescent="0.2">
      <c r="A57" s="10233"/>
      <c r="B57" s="4793" t="s">
        <v>1667</v>
      </c>
      <c r="C57" s="4782">
        <f t="shared" si="13"/>
        <v>0</v>
      </c>
      <c r="D57" s="4778"/>
      <c r="E57" s="4779"/>
      <c r="F57" s="4780"/>
      <c r="G57" s="4781"/>
      <c r="H57" s="4790"/>
      <c r="I57" s="4791"/>
      <c r="J57" s="4792"/>
      <c r="K57" s="4792"/>
      <c r="L57" s="4792"/>
      <c r="M57" s="4792"/>
      <c r="N57" s="4657" t="str">
        <f t="shared" si="14"/>
        <v/>
      </c>
      <c r="O57" s="4651"/>
      <c r="P57" s="4651"/>
      <c r="Q57" s="4651"/>
      <c r="R57" s="4651"/>
      <c r="S57" s="4651"/>
      <c r="T57" s="4651"/>
      <c r="U57" s="4651"/>
      <c r="V57" s="4651"/>
      <c r="W57" s="4651"/>
      <c r="X57" s="4651"/>
      <c r="Y57" s="4651"/>
      <c r="Z57" s="4651"/>
      <c r="AA57" s="4651"/>
      <c r="AB57" s="4651"/>
      <c r="AC57" s="4651"/>
      <c r="AD57" s="4651"/>
      <c r="AE57" s="4651"/>
      <c r="AF57" s="4651"/>
      <c r="AG57" s="4651"/>
      <c r="AH57" s="4651"/>
      <c r="AI57" s="4651"/>
      <c r="AJ57" s="4651"/>
      <c r="AK57" s="4651"/>
      <c r="AL57" s="4651"/>
      <c r="AM57" s="4651"/>
      <c r="AN57" s="4651"/>
      <c r="AO57" s="4651"/>
      <c r="AP57" s="4651"/>
      <c r="AQ57" s="4651"/>
      <c r="AR57" s="4651"/>
      <c r="AS57" s="4651"/>
      <c r="AT57" s="4651"/>
      <c r="AU57" s="4651"/>
      <c r="AV57" s="4651"/>
      <c r="AW57" s="4651"/>
      <c r="AX57" s="4651"/>
      <c r="AY57" s="4651"/>
      <c r="AZ57" s="4651"/>
      <c r="BA57" s="4651"/>
      <c r="BB57" s="4651"/>
      <c r="BC57" s="4651"/>
      <c r="BD57" s="4651"/>
      <c r="BE57" s="4651"/>
      <c r="BF57" s="4651"/>
      <c r="BG57" s="4651"/>
      <c r="BH57" s="4651"/>
      <c r="BI57" s="4651"/>
      <c r="BJ57" s="4651"/>
      <c r="BK57" s="4651"/>
      <c r="BL57" s="4651"/>
      <c r="BM57" s="4651"/>
      <c r="BN57" s="4651"/>
      <c r="BO57" s="4651"/>
      <c r="BP57" s="4651"/>
      <c r="BQ57" s="4651"/>
      <c r="BR57" s="4651"/>
      <c r="BS57" s="4651"/>
      <c r="BT57" s="4651"/>
      <c r="BU57" s="4651"/>
      <c r="BV57" s="4652"/>
      <c r="BW57" s="4652"/>
      <c r="BX57" s="4653"/>
      <c r="BY57" s="4653"/>
      <c r="BZ57" s="4653"/>
      <c r="CA57" s="4685" t="str">
        <f t="shared" si="15"/>
        <v/>
      </c>
      <c r="CB57" s="4685" t="str">
        <f t="shared" si="16"/>
        <v/>
      </c>
      <c r="CC57" s="4685" t="str">
        <f t="shared" si="17"/>
        <v/>
      </c>
      <c r="CD57" s="4685" t="str">
        <f t="shared" si="18"/>
        <v/>
      </c>
      <c r="CE57" s="4654"/>
      <c r="CF57" s="4654"/>
      <c r="CG57" s="4654"/>
      <c r="CH57" s="4654"/>
      <c r="CI57" s="4654"/>
      <c r="CJ57" s="4654"/>
      <c r="CK57" s="4654"/>
      <c r="CL57" s="4654"/>
      <c r="CM57" s="4654"/>
      <c r="CN57" s="4654"/>
      <c r="CO57" s="4654"/>
      <c r="CP57" s="4654"/>
      <c r="CQ57" s="4654"/>
      <c r="CR57" s="4654"/>
      <c r="CS57" s="4654"/>
      <c r="CT57" s="4654"/>
      <c r="CU57" s="4654"/>
      <c r="CV57" s="4654"/>
      <c r="CW57" s="4654"/>
      <c r="CX57" s="4654"/>
      <c r="CY57" s="4654"/>
      <c r="CZ57" s="4655"/>
      <c r="DA57" s="4686">
        <f t="shared" si="19"/>
        <v>0</v>
      </c>
      <c r="DB57" s="4686">
        <f t="shared" si="20"/>
        <v>0</v>
      </c>
      <c r="DC57" s="4686">
        <f t="shared" si="21"/>
        <v>0</v>
      </c>
      <c r="DD57" s="4686">
        <f t="shared" si="22"/>
        <v>0</v>
      </c>
      <c r="DE57" s="4687"/>
      <c r="DF57" s="4687"/>
      <c r="DG57" s="4687"/>
      <c r="DH57" s="4687"/>
      <c r="DI57" s="4687"/>
      <c r="DJ57" s="4687"/>
      <c r="DK57" s="4687"/>
      <c r="DL57" s="4687"/>
      <c r="DM57" s="4687"/>
      <c r="DN57" s="4687"/>
      <c r="DO57" s="4687"/>
      <c r="DP57" s="4687"/>
      <c r="DQ57" s="4653"/>
      <c r="DR57" s="4653"/>
      <c r="DS57" s="4653"/>
      <c r="DT57" s="4653"/>
      <c r="DU57" s="4653"/>
      <c r="DV57" s="4653"/>
      <c r="DW57" s="4653"/>
      <c r="DX57" s="4653"/>
      <c r="DY57" s="4653"/>
      <c r="DZ57" s="4653"/>
      <c r="EA57" s="4653"/>
      <c r="EB57" s="4653"/>
      <c r="EC57" s="4653"/>
      <c r="ED57" s="4653"/>
      <c r="EE57" s="4653"/>
      <c r="EF57" s="4653"/>
      <c r="EG57" s="4653"/>
      <c r="EH57" s="4653"/>
      <c r="EI57" s="4653"/>
      <c r="EJ57" s="4653"/>
      <c r="EK57" s="4653"/>
      <c r="EL57" s="4653"/>
      <c r="EM57" s="4653"/>
      <c r="EN57" s="4653"/>
      <c r="EO57" s="4653"/>
      <c r="EP57" s="4653"/>
      <c r="EQ57" s="4653"/>
      <c r="ER57" s="4653"/>
      <c r="ES57" s="4653"/>
      <c r="ET57" s="4653"/>
      <c r="EU57" s="4653"/>
      <c r="EV57" s="4653"/>
      <c r="EW57" s="4653"/>
      <c r="EX57" s="4653"/>
      <c r="EY57" s="4653"/>
      <c r="EZ57" s="4653"/>
      <c r="FA57" s="4653"/>
      <c r="FB57" s="4653"/>
      <c r="FC57" s="4653"/>
      <c r="FD57" s="4653"/>
      <c r="FE57" s="4653"/>
      <c r="FF57" s="4653"/>
      <c r="FG57" s="4653"/>
      <c r="FH57" s="4653"/>
      <c r="FI57" s="4653"/>
      <c r="FJ57" s="4653"/>
      <c r="FK57" s="4653"/>
      <c r="FL57" s="4653"/>
      <c r="FM57" s="4653"/>
      <c r="FN57" s="4653"/>
      <c r="FO57" s="4653"/>
      <c r="FP57" s="4653"/>
      <c r="FQ57" s="4653"/>
      <c r="FR57" s="4653"/>
      <c r="FS57" s="4653"/>
      <c r="FT57" s="4653"/>
      <c r="FU57" s="4653"/>
      <c r="FV57" s="4653"/>
      <c r="FW57" s="4653"/>
      <c r="FX57" s="4653"/>
      <c r="FY57" s="4653"/>
      <c r="FZ57" s="4653"/>
      <c r="GA57" s="4653"/>
      <c r="GB57" s="4653"/>
      <c r="GC57" s="4653"/>
      <c r="GD57" s="4653"/>
      <c r="GE57" s="4653"/>
      <c r="GF57" s="4653"/>
      <c r="GG57" s="4653"/>
      <c r="GH57" s="4653"/>
      <c r="GI57" s="4653"/>
      <c r="GJ57" s="4653"/>
      <c r="GK57" s="4653"/>
      <c r="GL57" s="4653"/>
      <c r="GM57" s="4653"/>
      <c r="GN57" s="4653"/>
      <c r="GO57" s="4653"/>
      <c r="GP57" s="4653"/>
      <c r="GQ57" s="4653"/>
      <c r="GR57" s="4653"/>
      <c r="GS57" s="4653"/>
      <c r="GT57" s="4653"/>
      <c r="GU57" s="4653"/>
      <c r="GV57" s="4653"/>
      <c r="GW57" s="4653"/>
      <c r="GX57" s="4653"/>
      <c r="GY57" s="4653"/>
      <c r="GZ57" s="4653"/>
      <c r="HA57" s="4653"/>
      <c r="HB57" s="4653"/>
      <c r="HC57" s="4653"/>
      <c r="HD57" s="4653"/>
      <c r="HE57" s="4653"/>
      <c r="HF57" s="4653"/>
      <c r="HG57" s="4653"/>
      <c r="HH57" s="4653"/>
      <c r="HI57" s="4653"/>
      <c r="HJ57" s="4653"/>
      <c r="HK57" s="4653"/>
      <c r="HL57" s="4653"/>
      <c r="HM57" s="4653"/>
      <c r="HN57" s="4653"/>
      <c r="HO57" s="4653"/>
      <c r="HP57" s="4653"/>
      <c r="HQ57" s="4653"/>
      <c r="HR57" s="4653"/>
      <c r="HS57" s="4653"/>
      <c r="HT57" s="4653"/>
      <c r="HU57" s="4653"/>
      <c r="HV57" s="4653"/>
      <c r="HW57" s="4653"/>
      <c r="HX57" s="4653"/>
      <c r="HY57" s="4653"/>
    </row>
    <row r="58" spans="1:233" s="4688" customFormat="1" ht="23.45" customHeight="1" x14ac:dyDescent="0.2">
      <c r="A58" s="10233"/>
      <c r="B58" s="4794" t="s">
        <v>1690</v>
      </c>
      <c r="C58" s="4795">
        <f t="shared" si="13"/>
        <v>0</v>
      </c>
      <c r="D58" s="4796"/>
      <c r="E58" s="4797"/>
      <c r="F58" s="4798"/>
      <c r="G58" s="4799"/>
      <c r="H58" s="4774"/>
      <c r="I58" s="4775"/>
      <c r="J58" s="4776"/>
      <c r="K58" s="4776"/>
      <c r="L58" s="4776"/>
      <c r="M58" s="4776"/>
      <c r="N58" s="4657" t="str">
        <f t="shared" si="14"/>
        <v/>
      </c>
      <c r="O58" s="4651"/>
      <c r="P58" s="4651"/>
      <c r="Q58" s="4651"/>
      <c r="R58" s="4651"/>
      <c r="S58" s="4651"/>
      <c r="T58" s="4651"/>
      <c r="U58" s="4651"/>
      <c r="V58" s="4651"/>
      <c r="W58" s="4651"/>
      <c r="X58" s="4651"/>
      <c r="Y58" s="4651"/>
      <c r="Z58" s="4651"/>
      <c r="AA58" s="4651"/>
      <c r="AB58" s="4651"/>
      <c r="AC58" s="4651"/>
      <c r="AD58" s="4651"/>
      <c r="AE58" s="4651"/>
      <c r="AF58" s="4651"/>
      <c r="AG58" s="4651"/>
      <c r="AH58" s="4651"/>
      <c r="AI58" s="4651"/>
      <c r="AJ58" s="4651"/>
      <c r="AK58" s="4651"/>
      <c r="AL58" s="4651"/>
      <c r="AM58" s="4651"/>
      <c r="AN58" s="4651"/>
      <c r="AO58" s="4651"/>
      <c r="AP58" s="4651"/>
      <c r="AQ58" s="4651"/>
      <c r="AR58" s="4651"/>
      <c r="AS58" s="4651"/>
      <c r="AT58" s="4651"/>
      <c r="AU58" s="4651"/>
      <c r="AV58" s="4651"/>
      <c r="AW58" s="4651"/>
      <c r="AX58" s="4651"/>
      <c r="AY58" s="4651"/>
      <c r="AZ58" s="4651"/>
      <c r="BA58" s="4651"/>
      <c r="BB58" s="4651"/>
      <c r="BC58" s="4651"/>
      <c r="BD58" s="4651"/>
      <c r="BE58" s="4651"/>
      <c r="BF58" s="4651"/>
      <c r="BG58" s="4651"/>
      <c r="BH58" s="4651"/>
      <c r="BI58" s="4651"/>
      <c r="BJ58" s="4651"/>
      <c r="BK58" s="4651"/>
      <c r="BL58" s="4651"/>
      <c r="BM58" s="4651"/>
      <c r="BN58" s="4651"/>
      <c r="BO58" s="4651"/>
      <c r="BP58" s="4651"/>
      <c r="BQ58" s="4651"/>
      <c r="BR58" s="4651"/>
      <c r="BS58" s="4651"/>
      <c r="BT58" s="4651"/>
      <c r="BU58" s="4651"/>
      <c r="BV58" s="4652"/>
      <c r="BW58" s="4652"/>
      <c r="BX58" s="4653"/>
      <c r="BY58" s="4653"/>
      <c r="BZ58" s="4653"/>
      <c r="CA58" s="4685" t="str">
        <f t="shared" si="15"/>
        <v/>
      </c>
      <c r="CB58" s="4685" t="str">
        <f t="shared" si="16"/>
        <v/>
      </c>
      <c r="CC58" s="4685" t="str">
        <f t="shared" si="17"/>
        <v/>
      </c>
      <c r="CD58" s="4685" t="str">
        <f t="shared" si="18"/>
        <v/>
      </c>
      <c r="CE58" s="4654"/>
      <c r="CF58" s="4654"/>
      <c r="CG58" s="4654"/>
      <c r="CH58" s="4654"/>
      <c r="CI58" s="4654"/>
      <c r="CJ58" s="4654"/>
      <c r="CK58" s="4654"/>
      <c r="CL58" s="4654"/>
      <c r="CM58" s="4654"/>
      <c r="CN58" s="4654"/>
      <c r="CO58" s="4654"/>
      <c r="CP58" s="4654"/>
      <c r="CQ58" s="4654"/>
      <c r="CR58" s="4654"/>
      <c r="CS58" s="4654"/>
      <c r="CT58" s="4654"/>
      <c r="CU58" s="4654"/>
      <c r="CV58" s="4654"/>
      <c r="CW58" s="4654"/>
      <c r="CX58" s="4654"/>
      <c r="CY58" s="4654"/>
      <c r="CZ58" s="4655"/>
      <c r="DA58" s="4686">
        <f t="shared" si="19"/>
        <v>0</v>
      </c>
      <c r="DB58" s="4686">
        <f t="shared" si="20"/>
        <v>0</v>
      </c>
      <c r="DC58" s="4686">
        <f t="shared" si="21"/>
        <v>0</v>
      </c>
      <c r="DD58" s="4686">
        <f t="shared" si="22"/>
        <v>0</v>
      </c>
      <c r="DE58" s="4687"/>
      <c r="DF58" s="4687"/>
      <c r="DG58" s="4687"/>
      <c r="DH58" s="4687"/>
      <c r="DI58" s="4687"/>
      <c r="DJ58" s="4687"/>
      <c r="DK58" s="4687"/>
      <c r="DL58" s="4687"/>
      <c r="DM58" s="4687"/>
      <c r="DN58" s="4687"/>
      <c r="DO58" s="4687"/>
      <c r="DP58" s="4687"/>
      <c r="DQ58" s="4653"/>
      <c r="DR58" s="4653"/>
      <c r="DS58" s="4653"/>
      <c r="DT58" s="4653"/>
      <c r="DU58" s="4653"/>
      <c r="DV58" s="4653"/>
      <c r="DW58" s="4653"/>
      <c r="DX58" s="4653"/>
      <c r="DY58" s="4653"/>
      <c r="DZ58" s="4653"/>
      <c r="EA58" s="4653"/>
      <c r="EB58" s="4653"/>
      <c r="EC58" s="4653"/>
      <c r="ED58" s="4653"/>
      <c r="EE58" s="4653"/>
      <c r="EF58" s="4653"/>
      <c r="EG58" s="4653"/>
      <c r="EH58" s="4653"/>
      <c r="EI58" s="4653"/>
      <c r="EJ58" s="4653"/>
      <c r="EK58" s="4653"/>
      <c r="EL58" s="4653"/>
      <c r="EM58" s="4653"/>
      <c r="EN58" s="4653"/>
      <c r="EO58" s="4653"/>
      <c r="EP58" s="4653"/>
      <c r="EQ58" s="4653"/>
      <c r="ER58" s="4653"/>
      <c r="ES58" s="4653"/>
      <c r="ET58" s="4653"/>
      <c r="EU58" s="4653"/>
      <c r="EV58" s="4653"/>
      <c r="EW58" s="4653"/>
      <c r="EX58" s="4653"/>
      <c r="EY58" s="4653"/>
      <c r="EZ58" s="4653"/>
      <c r="FA58" s="4653"/>
      <c r="FB58" s="4653"/>
      <c r="FC58" s="4653"/>
      <c r="FD58" s="4653"/>
      <c r="FE58" s="4653"/>
      <c r="FF58" s="4653"/>
      <c r="FG58" s="4653"/>
      <c r="FH58" s="4653"/>
      <c r="FI58" s="4653"/>
      <c r="FJ58" s="4653"/>
      <c r="FK58" s="4653"/>
      <c r="FL58" s="4653"/>
      <c r="FM58" s="4653"/>
      <c r="FN58" s="4653"/>
      <c r="FO58" s="4653"/>
      <c r="FP58" s="4653"/>
      <c r="FQ58" s="4653"/>
      <c r="FR58" s="4653"/>
      <c r="FS58" s="4653"/>
      <c r="FT58" s="4653"/>
      <c r="FU58" s="4653"/>
      <c r="FV58" s="4653"/>
      <c r="FW58" s="4653"/>
      <c r="FX58" s="4653"/>
      <c r="FY58" s="4653"/>
      <c r="FZ58" s="4653"/>
      <c r="GA58" s="4653"/>
      <c r="GB58" s="4653"/>
      <c r="GC58" s="4653"/>
      <c r="GD58" s="4653"/>
      <c r="GE58" s="4653"/>
      <c r="GF58" s="4653"/>
      <c r="GG58" s="4653"/>
      <c r="GH58" s="4653"/>
      <c r="GI58" s="4653"/>
      <c r="GJ58" s="4653"/>
      <c r="GK58" s="4653"/>
      <c r="GL58" s="4653"/>
      <c r="GM58" s="4653"/>
      <c r="GN58" s="4653"/>
      <c r="GO58" s="4653"/>
      <c r="GP58" s="4653"/>
      <c r="GQ58" s="4653"/>
      <c r="GR58" s="4653"/>
      <c r="GS58" s="4653"/>
      <c r="GT58" s="4653"/>
      <c r="GU58" s="4653"/>
      <c r="GV58" s="4653"/>
      <c r="GW58" s="4653"/>
      <c r="GX58" s="4653"/>
      <c r="GY58" s="4653"/>
      <c r="GZ58" s="4653"/>
      <c r="HA58" s="4653"/>
      <c r="HB58" s="4653"/>
      <c r="HC58" s="4653"/>
      <c r="HD58" s="4653"/>
      <c r="HE58" s="4653"/>
      <c r="HF58" s="4653"/>
      <c r="HG58" s="4653"/>
      <c r="HH58" s="4653"/>
      <c r="HI58" s="4653"/>
      <c r="HJ58" s="4653"/>
      <c r="HK58" s="4653"/>
      <c r="HL58" s="4653"/>
      <c r="HM58" s="4653"/>
      <c r="HN58" s="4653"/>
      <c r="HO58" s="4653"/>
      <c r="HP58" s="4653"/>
      <c r="HQ58" s="4653"/>
      <c r="HR58" s="4653"/>
      <c r="HS58" s="4653"/>
      <c r="HT58" s="4653"/>
      <c r="HU58" s="4653"/>
      <c r="HV58" s="4653"/>
      <c r="HW58" s="4653"/>
      <c r="HX58" s="4653"/>
      <c r="HY58" s="4653"/>
    </row>
    <row r="59" spans="1:233" s="4688" customFormat="1" x14ac:dyDescent="0.2">
      <c r="A59" s="10230" t="s">
        <v>1689</v>
      </c>
      <c r="B59" s="10215"/>
      <c r="C59" s="4789">
        <f>SUM(D59:G59)</f>
        <v>0</v>
      </c>
      <c r="D59" s="4770"/>
      <c r="E59" s="4771"/>
      <c r="F59" s="4772"/>
      <c r="G59" s="4800"/>
      <c r="H59" s="4801"/>
      <c r="I59" s="4802"/>
      <c r="J59" s="4803"/>
      <c r="K59" s="4803"/>
      <c r="L59" s="4803"/>
      <c r="M59" s="4803"/>
      <c r="N59" s="4657" t="str">
        <f t="shared" si="14"/>
        <v/>
      </c>
      <c r="O59" s="4651"/>
      <c r="P59" s="4651"/>
      <c r="Q59" s="4651"/>
      <c r="R59" s="4651"/>
      <c r="S59" s="4651"/>
      <c r="T59" s="4651"/>
      <c r="U59" s="4651"/>
      <c r="V59" s="4651"/>
      <c r="W59" s="4651"/>
      <c r="X59" s="4651"/>
      <c r="Y59" s="4651"/>
      <c r="Z59" s="4651"/>
      <c r="AA59" s="4651"/>
      <c r="AB59" s="4651"/>
      <c r="AC59" s="4651"/>
      <c r="AD59" s="4651"/>
      <c r="AE59" s="4651"/>
      <c r="AF59" s="4651"/>
      <c r="AG59" s="4651"/>
      <c r="AH59" s="4651"/>
      <c r="AI59" s="4651"/>
      <c r="AJ59" s="4651"/>
      <c r="AK59" s="4651"/>
      <c r="AL59" s="4651"/>
      <c r="AM59" s="4651"/>
      <c r="AN59" s="4651"/>
      <c r="AO59" s="4651"/>
      <c r="AP59" s="4651"/>
      <c r="AQ59" s="4651"/>
      <c r="AR59" s="4651"/>
      <c r="AS59" s="4651"/>
      <c r="AT59" s="4651"/>
      <c r="AU59" s="4651"/>
      <c r="AV59" s="4651"/>
      <c r="AW59" s="4651"/>
      <c r="AX59" s="4651"/>
      <c r="AY59" s="4651"/>
      <c r="AZ59" s="4651"/>
      <c r="BA59" s="4651"/>
      <c r="BB59" s="4651"/>
      <c r="BC59" s="4651"/>
      <c r="BD59" s="4651"/>
      <c r="BE59" s="4651"/>
      <c r="BF59" s="4651"/>
      <c r="BG59" s="4651"/>
      <c r="BH59" s="4651"/>
      <c r="BI59" s="4651"/>
      <c r="BJ59" s="4651"/>
      <c r="BK59" s="4651"/>
      <c r="BL59" s="4651"/>
      <c r="BM59" s="4651"/>
      <c r="BN59" s="4651"/>
      <c r="BO59" s="4651"/>
      <c r="BP59" s="4651"/>
      <c r="BQ59" s="4651"/>
      <c r="BR59" s="4651"/>
      <c r="BS59" s="4651"/>
      <c r="BT59" s="4651"/>
      <c r="BU59" s="4651"/>
      <c r="BV59" s="4652"/>
      <c r="BW59" s="4652"/>
      <c r="BX59" s="4653"/>
      <c r="BY59" s="4653"/>
      <c r="BZ59" s="4653"/>
      <c r="CA59" s="4685" t="str">
        <f t="shared" si="15"/>
        <v/>
      </c>
      <c r="CB59" s="4685" t="str">
        <f t="shared" si="16"/>
        <v/>
      </c>
      <c r="CC59" s="4685" t="str">
        <f t="shared" si="17"/>
        <v/>
      </c>
      <c r="CD59" s="4685" t="str">
        <f t="shared" si="18"/>
        <v/>
      </c>
      <c r="CE59" s="4654"/>
      <c r="CF59" s="4654"/>
      <c r="CG59" s="4654"/>
      <c r="CH59" s="4654"/>
      <c r="CI59" s="4654"/>
      <c r="CJ59" s="4654"/>
      <c r="CK59" s="4654"/>
      <c r="CL59" s="4654"/>
      <c r="CM59" s="4654"/>
      <c r="CN59" s="4654"/>
      <c r="CO59" s="4654"/>
      <c r="CP59" s="4654"/>
      <c r="CQ59" s="4654"/>
      <c r="CR59" s="4654"/>
      <c r="CS59" s="4654"/>
      <c r="CT59" s="4654"/>
      <c r="CU59" s="4654"/>
      <c r="CV59" s="4654"/>
      <c r="CW59" s="4654"/>
      <c r="CX59" s="4654"/>
      <c r="CY59" s="4654"/>
      <c r="CZ59" s="4655"/>
      <c r="DA59" s="4686">
        <f t="shared" si="19"/>
        <v>0</v>
      </c>
      <c r="DB59" s="4686">
        <f t="shared" si="20"/>
        <v>0</v>
      </c>
      <c r="DC59" s="4686">
        <f t="shared" si="21"/>
        <v>0</v>
      </c>
      <c r="DD59" s="4686">
        <f t="shared" si="22"/>
        <v>0</v>
      </c>
      <c r="DE59" s="4687"/>
      <c r="DF59" s="4687"/>
      <c r="DG59" s="4687"/>
      <c r="DH59" s="4687"/>
      <c r="DI59" s="4687"/>
      <c r="DJ59" s="4687"/>
      <c r="DK59" s="4687"/>
      <c r="DL59" s="4687"/>
      <c r="DM59" s="4687"/>
      <c r="DN59" s="4687"/>
      <c r="DO59" s="4687"/>
      <c r="DP59" s="4687"/>
      <c r="DQ59" s="4653"/>
      <c r="DR59" s="4653"/>
      <c r="DS59" s="4653"/>
      <c r="DT59" s="4653"/>
      <c r="DU59" s="4653"/>
      <c r="DV59" s="4653"/>
      <c r="DW59" s="4653"/>
      <c r="DX59" s="4653"/>
      <c r="DY59" s="4653"/>
      <c r="DZ59" s="4653"/>
      <c r="EA59" s="4653"/>
      <c r="EB59" s="4653"/>
      <c r="EC59" s="4653"/>
      <c r="ED59" s="4653"/>
      <c r="EE59" s="4653"/>
      <c r="EF59" s="4653"/>
      <c r="EG59" s="4653"/>
      <c r="EH59" s="4653"/>
      <c r="EI59" s="4653"/>
      <c r="EJ59" s="4653"/>
      <c r="EK59" s="4653"/>
      <c r="EL59" s="4653"/>
      <c r="EM59" s="4653"/>
      <c r="EN59" s="4653"/>
      <c r="EO59" s="4653"/>
      <c r="EP59" s="4653"/>
      <c r="EQ59" s="4653"/>
      <c r="ER59" s="4653"/>
      <c r="ES59" s="4653"/>
      <c r="ET59" s="4653"/>
      <c r="EU59" s="4653"/>
      <c r="EV59" s="4653"/>
      <c r="EW59" s="4653"/>
      <c r="EX59" s="4653"/>
      <c r="EY59" s="4653"/>
      <c r="EZ59" s="4653"/>
      <c r="FA59" s="4653"/>
      <c r="FB59" s="4653"/>
      <c r="FC59" s="4653"/>
      <c r="FD59" s="4653"/>
      <c r="FE59" s="4653"/>
      <c r="FF59" s="4653"/>
      <c r="FG59" s="4653"/>
      <c r="FH59" s="4653"/>
      <c r="FI59" s="4653"/>
      <c r="FJ59" s="4653"/>
      <c r="FK59" s="4653"/>
      <c r="FL59" s="4653"/>
      <c r="FM59" s="4653"/>
      <c r="FN59" s="4653"/>
      <c r="FO59" s="4653"/>
      <c r="FP59" s="4653"/>
      <c r="FQ59" s="4653"/>
      <c r="FR59" s="4653"/>
      <c r="FS59" s="4653"/>
      <c r="FT59" s="4653"/>
      <c r="FU59" s="4653"/>
      <c r="FV59" s="4653"/>
      <c r="FW59" s="4653"/>
      <c r="FX59" s="4653"/>
      <c r="FY59" s="4653"/>
      <c r="FZ59" s="4653"/>
      <c r="GA59" s="4653"/>
      <c r="GB59" s="4653"/>
      <c r="GC59" s="4653"/>
      <c r="GD59" s="4653"/>
      <c r="GE59" s="4653"/>
      <c r="GF59" s="4653"/>
      <c r="GG59" s="4653"/>
      <c r="GH59" s="4653"/>
      <c r="GI59" s="4653"/>
      <c r="GJ59" s="4653"/>
      <c r="GK59" s="4653"/>
      <c r="GL59" s="4653"/>
      <c r="GM59" s="4653"/>
      <c r="GN59" s="4653"/>
      <c r="GO59" s="4653"/>
      <c r="GP59" s="4653"/>
      <c r="GQ59" s="4653"/>
      <c r="GR59" s="4653"/>
      <c r="GS59" s="4653"/>
      <c r="GT59" s="4653"/>
      <c r="GU59" s="4653"/>
      <c r="GV59" s="4653"/>
      <c r="GW59" s="4653"/>
      <c r="GX59" s="4653"/>
      <c r="GY59" s="4653"/>
      <c r="GZ59" s="4653"/>
      <c r="HA59" s="4653"/>
      <c r="HB59" s="4653"/>
      <c r="HC59" s="4653"/>
      <c r="HD59" s="4653"/>
      <c r="HE59" s="4653"/>
      <c r="HF59" s="4653"/>
      <c r="HG59" s="4653"/>
      <c r="HH59" s="4653"/>
      <c r="HI59" s="4653"/>
      <c r="HJ59" s="4653"/>
      <c r="HK59" s="4653"/>
      <c r="HL59" s="4653"/>
      <c r="HM59" s="4653"/>
      <c r="HN59" s="4653"/>
      <c r="HO59" s="4653"/>
      <c r="HP59" s="4653"/>
      <c r="HQ59" s="4653"/>
      <c r="HR59" s="4653"/>
      <c r="HS59" s="4653"/>
      <c r="HT59" s="4653"/>
      <c r="HU59" s="4653"/>
      <c r="HV59" s="4653"/>
      <c r="HW59" s="4653"/>
      <c r="HX59" s="4653"/>
      <c r="HY59" s="4653"/>
    </row>
    <row r="60" spans="1:233" s="4688" customFormat="1" x14ac:dyDescent="0.2">
      <c r="A60" s="10237" t="s">
        <v>28</v>
      </c>
      <c r="B60" s="10238"/>
      <c r="C60" s="4795">
        <f>SUM(D60:G60)</f>
        <v>0</v>
      </c>
      <c r="D60" s="4796"/>
      <c r="E60" s="4797"/>
      <c r="F60" s="4804"/>
      <c r="G60" s="4805"/>
      <c r="H60" s="4785"/>
      <c r="I60" s="4786"/>
      <c r="J60" s="4787"/>
      <c r="K60" s="4787"/>
      <c r="L60" s="4787"/>
      <c r="M60" s="4787"/>
      <c r="N60" s="4657" t="str">
        <f t="shared" si="14"/>
        <v/>
      </c>
      <c r="O60" s="4651"/>
      <c r="P60" s="4651"/>
      <c r="Q60" s="4651"/>
      <c r="R60" s="4651"/>
      <c r="S60" s="4651"/>
      <c r="T60" s="4651"/>
      <c r="U60" s="4651"/>
      <c r="V60" s="4651"/>
      <c r="W60" s="4651"/>
      <c r="X60" s="4651"/>
      <c r="Y60" s="4651"/>
      <c r="Z60" s="4651"/>
      <c r="AA60" s="4651"/>
      <c r="AB60" s="4651"/>
      <c r="AC60" s="4651"/>
      <c r="AD60" s="4651"/>
      <c r="AE60" s="4651"/>
      <c r="AF60" s="4651"/>
      <c r="AG60" s="4651"/>
      <c r="AH60" s="4651"/>
      <c r="AI60" s="4651"/>
      <c r="AJ60" s="4651"/>
      <c r="AK60" s="4651"/>
      <c r="AL60" s="4651"/>
      <c r="AM60" s="4651"/>
      <c r="AN60" s="4651"/>
      <c r="AO60" s="4651"/>
      <c r="AP60" s="4651"/>
      <c r="AQ60" s="4651"/>
      <c r="AR60" s="4651"/>
      <c r="AS60" s="4651"/>
      <c r="AT60" s="4651"/>
      <c r="AU60" s="4651"/>
      <c r="AV60" s="4651"/>
      <c r="AW60" s="4651"/>
      <c r="AX60" s="4651"/>
      <c r="AY60" s="4651"/>
      <c r="AZ60" s="4651"/>
      <c r="BA60" s="4651"/>
      <c r="BB60" s="4651"/>
      <c r="BC60" s="4651"/>
      <c r="BD60" s="4651"/>
      <c r="BE60" s="4651"/>
      <c r="BF60" s="4651"/>
      <c r="BG60" s="4651"/>
      <c r="BH60" s="4651"/>
      <c r="BI60" s="4651"/>
      <c r="BJ60" s="4651"/>
      <c r="BK60" s="4651"/>
      <c r="BL60" s="4651"/>
      <c r="BM60" s="4651"/>
      <c r="BN60" s="4651"/>
      <c r="BO60" s="4651"/>
      <c r="BP60" s="4651"/>
      <c r="BQ60" s="4651"/>
      <c r="BR60" s="4651"/>
      <c r="BS60" s="4651"/>
      <c r="BT60" s="4651"/>
      <c r="BU60" s="4651"/>
      <c r="BV60" s="4652"/>
      <c r="BW60" s="4652"/>
      <c r="BX60" s="4653"/>
      <c r="BY60" s="4653"/>
      <c r="BZ60" s="4653"/>
      <c r="CA60" s="4685" t="str">
        <f t="shared" si="15"/>
        <v/>
      </c>
      <c r="CB60" s="4685" t="str">
        <f t="shared" si="16"/>
        <v/>
      </c>
      <c r="CC60" s="4685" t="str">
        <f t="shared" si="17"/>
        <v/>
      </c>
      <c r="CD60" s="4685" t="str">
        <f t="shared" si="18"/>
        <v/>
      </c>
      <c r="CE60" s="4654"/>
      <c r="CF60" s="4654"/>
      <c r="CG60" s="4654"/>
      <c r="CH60" s="4654"/>
      <c r="CI60" s="4654"/>
      <c r="CJ60" s="4654"/>
      <c r="CK60" s="4654"/>
      <c r="CL60" s="4654"/>
      <c r="CM60" s="4654"/>
      <c r="CN60" s="4654"/>
      <c r="CO60" s="4654"/>
      <c r="CP60" s="4654"/>
      <c r="CQ60" s="4654"/>
      <c r="CR60" s="4654"/>
      <c r="CS60" s="4654"/>
      <c r="CT60" s="4654"/>
      <c r="CU60" s="4654"/>
      <c r="CV60" s="4654"/>
      <c r="CW60" s="4654"/>
      <c r="CX60" s="4654"/>
      <c r="CY60" s="4654"/>
      <c r="CZ60" s="4655"/>
      <c r="DA60" s="4686">
        <f t="shared" si="19"/>
        <v>0</v>
      </c>
      <c r="DB60" s="4686">
        <f t="shared" si="20"/>
        <v>0</v>
      </c>
      <c r="DC60" s="4686">
        <f t="shared" si="21"/>
        <v>0</v>
      </c>
      <c r="DD60" s="4686">
        <f t="shared" si="22"/>
        <v>0</v>
      </c>
      <c r="DE60" s="4687"/>
      <c r="DF60" s="4687"/>
      <c r="DG60" s="4687"/>
      <c r="DH60" s="4687"/>
      <c r="DI60" s="4687"/>
      <c r="DJ60" s="4687"/>
      <c r="DK60" s="4687"/>
      <c r="DL60" s="4687"/>
      <c r="DM60" s="4687"/>
      <c r="DN60" s="4687"/>
      <c r="DO60" s="4687"/>
      <c r="DP60" s="4687"/>
      <c r="DQ60" s="4653"/>
      <c r="DR60" s="4653"/>
      <c r="DS60" s="4653"/>
      <c r="DT60" s="4653"/>
      <c r="DU60" s="4653"/>
      <c r="DV60" s="4653"/>
      <c r="DW60" s="4653"/>
      <c r="DX60" s="4653"/>
      <c r="DY60" s="4653"/>
      <c r="DZ60" s="4653"/>
      <c r="EA60" s="4653"/>
      <c r="EB60" s="4653"/>
      <c r="EC60" s="4653"/>
      <c r="ED60" s="4653"/>
      <c r="EE60" s="4653"/>
      <c r="EF60" s="4653"/>
      <c r="EG60" s="4653"/>
      <c r="EH60" s="4653"/>
      <c r="EI60" s="4653"/>
      <c r="EJ60" s="4653"/>
      <c r="EK60" s="4653"/>
      <c r="EL60" s="4653"/>
      <c r="EM60" s="4653"/>
      <c r="EN60" s="4653"/>
      <c r="EO60" s="4653"/>
      <c r="EP60" s="4653"/>
      <c r="EQ60" s="4653"/>
      <c r="ER60" s="4653"/>
      <c r="ES60" s="4653"/>
      <c r="ET60" s="4653"/>
      <c r="EU60" s="4653"/>
      <c r="EV60" s="4653"/>
      <c r="EW60" s="4653"/>
      <c r="EX60" s="4653"/>
      <c r="EY60" s="4653"/>
      <c r="EZ60" s="4653"/>
      <c r="FA60" s="4653"/>
      <c r="FB60" s="4653"/>
      <c r="FC60" s="4653"/>
      <c r="FD60" s="4653"/>
      <c r="FE60" s="4653"/>
      <c r="FF60" s="4653"/>
      <c r="FG60" s="4653"/>
      <c r="FH60" s="4653"/>
      <c r="FI60" s="4653"/>
      <c r="FJ60" s="4653"/>
      <c r="FK60" s="4653"/>
      <c r="FL60" s="4653"/>
      <c r="FM60" s="4653"/>
      <c r="FN60" s="4653"/>
      <c r="FO60" s="4653"/>
      <c r="FP60" s="4653"/>
      <c r="FQ60" s="4653"/>
      <c r="FR60" s="4653"/>
      <c r="FS60" s="4653"/>
      <c r="FT60" s="4653"/>
      <c r="FU60" s="4653"/>
      <c r="FV60" s="4653"/>
      <c r="FW60" s="4653"/>
      <c r="FX60" s="4653"/>
      <c r="FY60" s="4653"/>
      <c r="FZ60" s="4653"/>
      <c r="GA60" s="4653"/>
      <c r="GB60" s="4653"/>
      <c r="GC60" s="4653"/>
      <c r="GD60" s="4653"/>
      <c r="GE60" s="4653"/>
      <c r="GF60" s="4653"/>
      <c r="GG60" s="4653"/>
      <c r="GH60" s="4653"/>
      <c r="GI60" s="4653"/>
      <c r="GJ60" s="4653"/>
      <c r="GK60" s="4653"/>
      <c r="GL60" s="4653"/>
      <c r="GM60" s="4653"/>
      <c r="GN60" s="4653"/>
      <c r="GO60" s="4653"/>
      <c r="GP60" s="4653"/>
      <c r="GQ60" s="4653"/>
      <c r="GR60" s="4653"/>
      <c r="GS60" s="4653"/>
      <c r="GT60" s="4653"/>
      <c r="GU60" s="4653"/>
      <c r="GV60" s="4653"/>
      <c r="GW60" s="4653"/>
      <c r="GX60" s="4653"/>
      <c r="GY60" s="4653"/>
      <c r="GZ60" s="4653"/>
      <c r="HA60" s="4653"/>
      <c r="HB60" s="4653"/>
      <c r="HC60" s="4653"/>
      <c r="HD60" s="4653"/>
      <c r="HE60" s="4653"/>
      <c r="HF60" s="4653"/>
      <c r="HG60" s="4653"/>
      <c r="HH60" s="4653"/>
      <c r="HI60" s="4653"/>
      <c r="HJ60" s="4653"/>
      <c r="HK60" s="4653"/>
      <c r="HL60" s="4653"/>
      <c r="HM60" s="4653"/>
      <c r="HN60" s="4653"/>
      <c r="HO60" s="4653"/>
      <c r="HP60" s="4653"/>
      <c r="HQ60" s="4653"/>
      <c r="HR60" s="4653"/>
      <c r="HS60" s="4653"/>
      <c r="HT60" s="4653"/>
      <c r="HU60" s="4653"/>
      <c r="HV60" s="4653"/>
      <c r="HW60" s="4653"/>
      <c r="HX60" s="4653"/>
      <c r="HY60" s="4653"/>
    </row>
    <row r="61" spans="1:233" s="4688" customFormat="1" x14ac:dyDescent="0.2">
      <c r="A61" s="10226" t="s">
        <v>24</v>
      </c>
      <c r="B61" s="10227"/>
      <c r="C61" s="4806">
        <f t="shared" ref="C61:J61" si="23">SUM(C52:C60)</f>
        <v>0</v>
      </c>
      <c r="D61" s="4806">
        <f>SUM(D52:D60)</f>
        <v>0</v>
      </c>
      <c r="E61" s="4807">
        <f t="shared" si="23"/>
        <v>0</v>
      </c>
      <c r="F61" s="4808">
        <f t="shared" si="23"/>
        <v>0</v>
      </c>
      <c r="G61" s="4809">
        <f>SUM(G59:G60)</f>
        <v>0</v>
      </c>
      <c r="H61" s="4810">
        <f t="shared" si="23"/>
        <v>0</v>
      </c>
      <c r="I61" s="4811">
        <f t="shared" si="23"/>
        <v>0</v>
      </c>
      <c r="J61" s="4812">
        <f t="shared" si="23"/>
        <v>0</v>
      </c>
      <c r="K61" s="4812">
        <f>SUM(K52:K60)</f>
        <v>0</v>
      </c>
      <c r="L61" s="4812">
        <f>SUM(L52:L60)</f>
        <v>0</v>
      </c>
      <c r="M61" s="4812">
        <f>SUM(M52:M60)</f>
        <v>0</v>
      </c>
      <c r="N61" s="4651"/>
      <c r="O61" s="4651"/>
      <c r="P61" s="4651"/>
      <c r="Q61" s="4651"/>
      <c r="R61" s="4651"/>
      <c r="S61" s="4651"/>
      <c r="T61" s="4651"/>
      <c r="U61" s="4651"/>
      <c r="V61" s="4651"/>
      <c r="W61" s="4651"/>
      <c r="X61" s="4651"/>
      <c r="Y61" s="4651"/>
      <c r="Z61" s="4651"/>
      <c r="AA61" s="4651"/>
      <c r="AB61" s="4651"/>
      <c r="AC61" s="4651"/>
      <c r="AD61" s="4651"/>
      <c r="AE61" s="4651"/>
      <c r="AF61" s="4651"/>
      <c r="AG61" s="4651"/>
      <c r="AH61" s="4651"/>
      <c r="AI61" s="4651"/>
      <c r="AJ61" s="4651"/>
      <c r="AK61" s="4651"/>
      <c r="AL61" s="4651"/>
      <c r="AM61" s="4651"/>
      <c r="AN61" s="4651"/>
      <c r="AO61" s="4651"/>
      <c r="AP61" s="4651"/>
      <c r="AQ61" s="4651"/>
      <c r="AR61" s="4651"/>
      <c r="AS61" s="4651"/>
      <c r="AT61" s="4651"/>
      <c r="AU61" s="4651"/>
      <c r="AV61" s="4651"/>
      <c r="AW61" s="4651"/>
      <c r="AX61" s="4651"/>
      <c r="AY61" s="4651"/>
      <c r="AZ61" s="4651"/>
      <c r="BA61" s="4651"/>
      <c r="BB61" s="4651"/>
      <c r="BC61" s="4651"/>
      <c r="BD61" s="4651"/>
      <c r="BE61" s="4651"/>
      <c r="BF61" s="4651"/>
      <c r="BG61" s="4651"/>
      <c r="BH61" s="4651"/>
      <c r="BI61" s="4651"/>
      <c r="BJ61" s="4651"/>
      <c r="BK61" s="4651"/>
      <c r="BL61" s="4651"/>
      <c r="BM61" s="4651"/>
      <c r="BN61" s="4651"/>
      <c r="BO61" s="4651"/>
      <c r="BP61" s="4651"/>
      <c r="BQ61" s="4651"/>
      <c r="BR61" s="4651"/>
      <c r="BS61" s="4651"/>
      <c r="BT61" s="4651"/>
      <c r="BU61" s="4651"/>
      <c r="BV61" s="4652"/>
      <c r="BW61" s="4652"/>
      <c r="BX61" s="4653"/>
      <c r="BY61" s="4653"/>
      <c r="BZ61" s="4653"/>
      <c r="CA61" s="4654"/>
      <c r="CB61" s="4654"/>
      <c r="CC61" s="4654"/>
      <c r="CD61" s="4654"/>
      <c r="CE61" s="4654"/>
      <c r="CF61" s="4654"/>
      <c r="CG61" s="4654"/>
      <c r="CH61" s="4654"/>
      <c r="CI61" s="4654"/>
      <c r="CJ61" s="4654"/>
      <c r="CK61" s="4654"/>
      <c r="CL61" s="4654"/>
      <c r="CM61" s="4654"/>
      <c r="CN61" s="4654"/>
      <c r="CO61" s="4654"/>
      <c r="CP61" s="4654"/>
      <c r="CQ61" s="4654"/>
      <c r="CR61" s="4654"/>
      <c r="CS61" s="4654"/>
      <c r="CT61" s="4654"/>
      <c r="CU61" s="4654"/>
      <c r="CV61" s="4654"/>
      <c r="CW61" s="4654"/>
      <c r="CX61" s="4654"/>
      <c r="CY61" s="4654"/>
      <c r="CZ61" s="4655"/>
      <c r="DA61" s="4687"/>
      <c r="DB61" s="4687"/>
      <c r="DC61" s="4687"/>
      <c r="DD61" s="4687"/>
      <c r="DE61" s="4687"/>
      <c r="DF61" s="4687"/>
      <c r="DG61" s="4687"/>
      <c r="DH61" s="4687"/>
      <c r="DI61" s="4687"/>
      <c r="DJ61" s="4687"/>
      <c r="DK61" s="4687"/>
      <c r="DL61" s="4687"/>
      <c r="DM61" s="4687"/>
      <c r="DN61" s="4687"/>
      <c r="DO61" s="4687"/>
      <c r="DP61" s="4687"/>
      <c r="DQ61" s="4653"/>
      <c r="DR61" s="4653"/>
      <c r="DS61" s="4653"/>
      <c r="DT61" s="4653"/>
      <c r="DU61" s="4653"/>
      <c r="DV61" s="4653"/>
      <c r="DW61" s="4653"/>
      <c r="DX61" s="4653"/>
      <c r="DY61" s="4653"/>
      <c r="DZ61" s="4653"/>
      <c r="EA61" s="4653"/>
      <c r="EB61" s="4653"/>
      <c r="EC61" s="4653"/>
      <c r="ED61" s="4653"/>
      <c r="EE61" s="4653"/>
      <c r="EF61" s="4653"/>
      <c r="EG61" s="4653"/>
      <c r="EH61" s="4653"/>
      <c r="EI61" s="4653"/>
      <c r="EJ61" s="4653"/>
      <c r="EK61" s="4653"/>
      <c r="EL61" s="4653"/>
      <c r="EM61" s="4653"/>
      <c r="EN61" s="4653"/>
      <c r="EO61" s="4653"/>
      <c r="EP61" s="4653"/>
      <c r="EQ61" s="4653"/>
      <c r="ER61" s="4653"/>
      <c r="ES61" s="4653"/>
      <c r="ET61" s="4653"/>
      <c r="EU61" s="4653"/>
      <c r="EV61" s="4653"/>
      <c r="EW61" s="4653"/>
      <c r="EX61" s="4653"/>
      <c r="EY61" s="4653"/>
      <c r="EZ61" s="4653"/>
      <c r="FA61" s="4653"/>
      <c r="FB61" s="4653"/>
      <c r="FC61" s="4653"/>
      <c r="FD61" s="4653"/>
      <c r="FE61" s="4653"/>
      <c r="FF61" s="4653"/>
      <c r="FG61" s="4653"/>
      <c r="FH61" s="4653"/>
      <c r="FI61" s="4653"/>
      <c r="FJ61" s="4653"/>
      <c r="FK61" s="4653"/>
      <c r="FL61" s="4653"/>
      <c r="FM61" s="4653"/>
      <c r="FN61" s="4653"/>
      <c r="FO61" s="4653"/>
      <c r="FP61" s="4653"/>
      <c r="FQ61" s="4653"/>
      <c r="FR61" s="4653"/>
      <c r="FS61" s="4653"/>
      <c r="FT61" s="4653"/>
      <c r="FU61" s="4653"/>
      <c r="FV61" s="4653"/>
      <c r="FW61" s="4653"/>
      <c r="FX61" s="4653"/>
      <c r="FY61" s="4653"/>
      <c r="FZ61" s="4653"/>
      <c r="GA61" s="4653"/>
      <c r="GB61" s="4653"/>
      <c r="GC61" s="4653"/>
      <c r="GD61" s="4653"/>
      <c r="GE61" s="4653"/>
      <c r="GF61" s="4653"/>
      <c r="GG61" s="4653"/>
      <c r="GH61" s="4653"/>
      <c r="GI61" s="4653"/>
      <c r="GJ61" s="4653"/>
      <c r="GK61" s="4653"/>
      <c r="GL61" s="4653"/>
      <c r="GM61" s="4653"/>
      <c r="GN61" s="4653"/>
      <c r="GO61" s="4653"/>
      <c r="GP61" s="4653"/>
      <c r="GQ61" s="4653"/>
      <c r="GR61" s="4653"/>
      <c r="GS61" s="4653"/>
      <c r="GT61" s="4653"/>
      <c r="GU61" s="4653"/>
      <c r="GV61" s="4653"/>
      <c r="GW61" s="4653"/>
      <c r="GX61" s="4653"/>
      <c r="GY61" s="4653"/>
      <c r="GZ61" s="4653"/>
      <c r="HA61" s="4653"/>
      <c r="HB61" s="4653"/>
      <c r="HC61" s="4653"/>
      <c r="HD61" s="4653"/>
      <c r="HE61" s="4653"/>
      <c r="HF61" s="4653"/>
      <c r="HG61" s="4653"/>
      <c r="HH61" s="4653"/>
      <c r="HI61" s="4653"/>
      <c r="HJ61" s="4653"/>
      <c r="HK61" s="4653"/>
      <c r="HL61" s="4653"/>
      <c r="HM61" s="4653"/>
      <c r="HN61" s="4653"/>
      <c r="HO61" s="4653"/>
      <c r="HP61" s="4653"/>
      <c r="HQ61" s="4653"/>
      <c r="HR61" s="4653"/>
      <c r="HS61" s="4653"/>
      <c r="HT61" s="4653"/>
      <c r="HU61" s="4653"/>
      <c r="HV61" s="4653"/>
      <c r="HW61" s="4653"/>
      <c r="HX61" s="4653"/>
      <c r="HY61" s="4653"/>
    </row>
    <row r="62" spans="1:233" s="4688" customFormat="1" ht="27" customHeight="1" x14ac:dyDescent="0.2">
      <c r="A62" s="4813" t="s">
        <v>1688</v>
      </c>
      <c r="B62" s="4814"/>
      <c r="C62" s="4815"/>
      <c r="D62" s="4815"/>
      <c r="E62" s="4815"/>
      <c r="F62" s="4662"/>
      <c r="G62" s="4662"/>
      <c r="H62" s="4328"/>
      <c r="I62" s="4662"/>
      <c r="J62" s="4328"/>
      <c r="K62" s="4328"/>
      <c r="L62" s="4651"/>
      <c r="M62" s="4651"/>
      <c r="N62" s="4651"/>
      <c r="O62" s="4651"/>
      <c r="P62" s="4651"/>
      <c r="Q62" s="4651"/>
      <c r="R62" s="4651"/>
      <c r="S62" s="4651"/>
      <c r="T62" s="4651"/>
      <c r="U62" s="4651"/>
      <c r="V62" s="4651"/>
      <c r="W62" s="4651"/>
      <c r="X62" s="4651"/>
      <c r="Y62" s="4651"/>
      <c r="Z62" s="4651"/>
      <c r="AA62" s="4651"/>
      <c r="AB62" s="4651"/>
      <c r="AC62" s="4651"/>
      <c r="AD62" s="4651"/>
      <c r="AE62" s="4651"/>
      <c r="AF62" s="4651"/>
      <c r="AG62" s="4651"/>
      <c r="AH62" s="4651"/>
      <c r="AI62" s="4651"/>
      <c r="AJ62" s="4651"/>
      <c r="AK62" s="4651"/>
      <c r="AL62" s="4651"/>
      <c r="AM62" s="4651"/>
      <c r="AN62" s="4651"/>
      <c r="AO62" s="4651"/>
      <c r="AP62" s="4651"/>
      <c r="AQ62" s="4651"/>
      <c r="AR62" s="4651"/>
      <c r="AS62" s="4651"/>
      <c r="AT62" s="4651"/>
      <c r="AU62" s="4651"/>
      <c r="AV62" s="4651"/>
      <c r="AW62" s="4651"/>
      <c r="AX62" s="4651"/>
      <c r="AY62" s="4651"/>
      <c r="AZ62" s="4651"/>
      <c r="BA62" s="4651"/>
      <c r="BB62" s="4651"/>
      <c r="BC62" s="4651"/>
      <c r="BD62" s="4651"/>
      <c r="BE62" s="4651"/>
      <c r="BF62" s="4651"/>
      <c r="BG62" s="4651"/>
      <c r="BH62" s="4651"/>
      <c r="BI62" s="4651"/>
      <c r="BJ62" s="4651"/>
      <c r="BK62" s="4651"/>
      <c r="BL62" s="4651"/>
      <c r="BM62" s="4651"/>
      <c r="BN62" s="4651"/>
      <c r="BO62" s="4651"/>
      <c r="BP62" s="4651"/>
      <c r="BQ62" s="4651"/>
      <c r="BR62" s="4651"/>
      <c r="BS62" s="4651"/>
      <c r="BT62" s="4651"/>
      <c r="BU62" s="4651"/>
      <c r="BV62" s="4652"/>
      <c r="BW62" s="4652"/>
      <c r="BX62" s="4653"/>
      <c r="BY62" s="4653"/>
      <c r="BZ62" s="4653"/>
      <c r="CA62" s="4654"/>
      <c r="CB62" s="4654"/>
      <c r="CC62" s="4654"/>
      <c r="CD62" s="4654"/>
      <c r="CE62" s="4654"/>
      <c r="CF62" s="4654"/>
      <c r="CG62" s="4654"/>
      <c r="CH62" s="4654"/>
      <c r="CI62" s="4654"/>
      <c r="CJ62" s="4654"/>
      <c r="CK62" s="4654"/>
      <c r="CL62" s="4654"/>
      <c r="CM62" s="4654"/>
      <c r="CN62" s="4654"/>
      <c r="CO62" s="4654"/>
      <c r="CP62" s="4654"/>
      <c r="CQ62" s="4654"/>
      <c r="CR62" s="4654"/>
      <c r="CS62" s="4654"/>
      <c r="CT62" s="4654"/>
      <c r="CU62" s="4654"/>
      <c r="CV62" s="4654"/>
      <c r="CW62" s="4654"/>
      <c r="CX62" s="4654"/>
      <c r="CY62" s="4654"/>
      <c r="CZ62" s="4655"/>
      <c r="DA62" s="4687"/>
      <c r="DB62" s="4687"/>
      <c r="DC62" s="4687"/>
      <c r="DD62" s="4687"/>
      <c r="DE62" s="4687"/>
      <c r="DF62" s="4687"/>
      <c r="DG62" s="4687"/>
      <c r="DH62" s="4687"/>
      <c r="DI62" s="4687"/>
      <c r="DJ62" s="4687"/>
      <c r="DK62" s="4687"/>
      <c r="DL62" s="4687"/>
      <c r="DM62" s="4687"/>
      <c r="DN62" s="4687"/>
      <c r="DO62" s="4687"/>
      <c r="DP62" s="4687"/>
      <c r="DQ62" s="4653"/>
      <c r="DR62" s="4653"/>
      <c r="DS62" s="4653"/>
      <c r="DT62" s="4653"/>
      <c r="DU62" s="4653"/>
      <c r="DV62" s="4653"/>
      <c r="DW62" s="4653"/>
      <c r="DX62" s="4653"/>
      <c r="DY62" s="4653"/>
      <c r="DZ62" s="4653"/>
      <c r="EA62" s="4653"/>
      <c r="EB62" s="4653"/>
      <c r="EC62" s="4653"/>
      <c r="ED62" s="4653"/>
      <c r="EE62" s="4653"/>
      <c r="EF62" s="4653"/>
      <c r="EG62" s="4653"/>
      <c r="EH62" s="4653"/>
      <c r="EI62" s="4653"/>
      <c r="EJ62" s="4653"/>
      <c r="EK62" s="4653"/>
      <c r="EL62" s="4653"/>
      <c r="EM62" s="4653"/>
      <c r="EN62" s="4653"/>
      <c r="EO62" s="4653"/>
      <c r="EP62" s="4653"/>
      <c r="EQ62" s="4653"/>
      <c r="ER62" s="4653"/>
      <c r="ES62" s="4653"/>
      <c r="ET62" s="4653"/>
      <c r="EU62" s="4653"/>
      <c r="EV62" s="4653"/>
      <c r="EW62" s="4653"/>
      <c r="EX62" s="4653"/>
      <c r="EY62" s="4653"/>
      <c r="EZ62" s="4653"/>
      <c r="FA62" s="4653"/>
      <c r="FB62" s="4653"/>
      <c r="FC62" s="4653"/>
      <c r="FD62" s="4653"/>
      <c r="FE62" s="4653"/>
      <c r="FF62" s="4653"/>
      <c r="FG62" s="4653"/>
      <c r="FH62" s="4653"/>
      <c r="FI62" s="4653"/>
      <c r="FJ62" s="4653"/>
      <c r="FK62" s="4653"/>
      <c r="FL62" s="4653"/>
      <c r="FM62" s="4653"/>
      <c r="FN62" s="4653"/>
      <c r="FO62" s="4653"/>
      <c r="FP62" s="4653"/>
      <c r="FQ62" s="4653"/>
      <c r="FR62" s="4653"/>
      <c r="FS62" s="4653"/>
      <c r="FT62" s="4653"/>
      <c r="FU62" s="4653"/>
      <c r="FV62" s="4653"/>
      <c r="FW62" s="4653"/>
      <c r="FX62" s="4653"/>
      <c r="FY62" s="4653"/>
      <c r="FZ62" s="4653"/>
      <c r="GA62" s="4653"/>
      <c r="GB62" s="4653"/>
      <c r="GC62" s="4653"/>
      <c r="GD62" s="4653"/>
      <c r="GE62" s="4653"/>
      <c r="GF62" s="4653"/>
      <c r="GG62" s="4653"/>
      <c r="GH62" s="4653"/>
      <c r="GI62" s="4653"/>
      <c r="GJ62" s="4653"/>
      <c r="GK62" s="4653"/>
      <c r="GL62" s="4653"/>
      <c r="GM62" s="4653"/>
      <c r="GN62" s="4653"/>
      <c r="GO62" s="4653"/>
      <c r="GP62" s="4653"/>
      <c r="GQ62" s="4653"/>
      <c r="GR62" s="4653"/>
      <c r="GS62" s="4653"/>
      <c r="GT62" s="4653"/>
      <c r="GU62" s="4653"/>
      <c r="GV62" s="4653"/>
      <c r="GW62" s="4653"/>
      <c r="GX62" s="4653"/>
      <c r="GY62" s="4653"/>
      <c r="GZ62" s="4653"/>
      <c r="HA62" s="4653"/>
      <c r="HB62" s="4653"/>
      <c r="HC62" s="4653"/>
      <c r="HD62" s="4653"/>
      <c r="HE62" s="4653"/>
      <c r="HF62" s="4653"/>
      <c r="HG62" s="4653"/>
      <c r="HH62" s="4653"/>
      <c r="HI62" s="4653"/>
      <c r="HJ62" s="4653"/>
      <c r="HK62" s="4653"/>
      <c r="HL62" s="4653"/>
      <c r="HM62" s="4653"/>
      <c r="HN62" s="4653"/>
      <c r="HO62" s="4653"/>
      <c r="HP62" s="4653"/>
      <c r="HQ62" s="4653"/>
      <c r="HR62" s="4653"/>
      <c r="HS62" s="4653"/>
      <c r="HT62" s="4653"/>
      <c r="HU62" s="4653"/>
      <c r="HV62" s="4653"/>
      <c r="HW62" s="4653"/>
      <c r="HX62" s="4653"/>
      <c r="HY62" s="4653"/>
    </row>
    <row r="63" spans="1:233" s="4688" customFormat="1" ht="21" customHeight="1" x14ac:dyDescent="0.2">
      <c r="A63" s="4071" t="s">
        <v>3491</v>
      </c>
      <c r="B63" s="4816"/>
      <c r="C63" s="4816"/>
      <c r="D63" s="4816"/>
      <c r="E63" s="4816"/>
      <c r="F63" s="4817"/>
      <c r="G63" s="4817"/>
      <c r="H63" s="4817"/>
      <c r="I63" s="4662"/>
      <c r="J63" s="4328"/>
      <c r="K63" s="4328"/>
      <c r="L63" s="4651"/>
      <c r="M63" s="4651"/>
      <c r="N63" s="4651"/>
      <c r="O63" s="4651"/>
      <c r="P63" s="4651"/>
      <c r="Q63" s="4651"/>
      <c r="R63" s="4651"/>
      <c r="S63" s="4651"/>
      <c r="T63" s="4651"/>
      <c r="U63" s="4651"/>
      <c r="V63" s="4651"/>
      <c r="W63" s="4651"/>
      <c r="X63" s="4651"/>
      <c r="Y63" s="4651"/>
      <c r="Z63" s="4651"/>
      <c r="AA63" s="4651"/>
      <c r="AB63" s="4651"/>
      <c r="AC63" s="4651"/>
      <c r="AD63" s="4651"/>
      <c r="AE63" s="4651"/>
      <c r="AF63" s="4651"/>
      <c r="AG63" s="4651"/>
      <c r="AH63" s="4651"/>
      <c r="AI63" s="4651"/>
      <c r="AJ63" s="4651"/>
      <c r="AK63" s="4651"/>
      <c r="AL63" s="4651"/>
      <c r="AM63" s="4651"/>
      <c r="AN63" s="4651"/>
      <c r="AO63" s="4651"/>
      <c r="AP63" s="4651"/>
      <c r="AQ63" s="4651"/>
      <c r="AR63" s="4651"/>
      <c r="AS63" s="4651"/>
      <c r="AT63" s="4651"/>
      <c r="AU63" s="4651"/>
      <c r="AV63" s="4651"/>
      <c r="AW63" s="4651"/>
      <c r="AX63" s="4651"/>
      <c r="AY63" s="4651"/>
      <c r="AZ63" s="4651"/>
      <c r="BA63" s="4651"/>
      <c r="BB63" s="4651"/>
      <c r="BC63" s="4651"/>
      <c r="BD63" s="4651"/>
      <c r="BE63" s="4651"/>
      <c r="BF63" s="4651"/>
      <c r="BG63" s="4651"/>
      <c r="BH63" s="4651"/>
      <c r="BI63" s="4651"/>
      <c r="BJ63" s="4651"/>
      <c r="BK63" s="4651"/>
      <c r="BL63" s="4651"/>
      <c r="BM63" s="4651"/>
      <c r="BN63" s="4651"/>
      <c r="BO63" s="4651"/>
      <c r="BP63" s="4651"/>
      <c r="BQ63" s="4651"/>
      <c r="BR63" s="4651"/>
      <c r="BS63" s="4651"/>
      <c r="BT63" s="4651"/>
      <c r="BU63" s="4651"/>
      <c r="BV63" s="4652"/>
      <c r="BW63" s="4652"/>
      <c r="BX63" s="4653"/>
      <c r="BY63" s="4653"/>
      <c r="BZ63" s="4653"/>
      <c r="CA63" s="4654"/>
      <c r="CB63" s="4654"/>
      <c r="CC63" s="4654"/>
      <c r="CD63" s="4654"/>
      <c r="CE63" s="4654"/>
      <c r="CF63" s="4654"/>
      <c r="CG63" s="4654"/>
      <c r="CH63" s="4654"/>
      <c r="CI63" s="4654"/>
      <c r="CJ63" s="4654"/>
      <c r="CK63" s="4654"/>
      <c r="CL63" s="4654"/>
      <c r="CM63" s="4654"/>
      <c r="CN63" s="4654"/>
      <c r="CO63" s="4654"/>
      <c r="CP63" s="4654"/>
      <c r="CQ63" s="4654"/>
      <c r="CR63" s="4654"/>
      <c r="CS63" s="4654"/>
      <c r="CT63" s="4654"/>
      <c r="CU63" s="4654"/>
      <c r="CV63" s="4654"/>
      <c r="CW63" s="4654"/>
      <c r="CX63" s="4654"/>
      <c r="CY63" s="4654"/>
      <c r="CZ63" s="4655"/>
      <c r="DA63" s="4687"/>
      <c r="DB63" s="4687"/>
      <c r="DC63" s="4687"/>
      <c r="DD63" s="4687"/>
      <c r="DE63" s="4687"/>
      <c r="DF63" s="4687"/>
      <c r="DG63" s="4687"/>
      <c r="DH63" s="4687"/>
      <c r="DI63" s="4687"/>
      <c r="DJ63" s="4687"/>
      <c r="DK63" s="4687"/>
      <c r="DL63" s="4687"/>
      <c r="DM63" s="4687"/>
      <c r="DN63" s="4687"/>
      <c r="DO63" s="4687"/>
      <c r="DP63" s="4687"/>
      <c r="DQ63" s="4653"/>
      <c r="DR63" s="4653"/>
      <c r="DS63" s="4653"/>
      <c r="DT63" s="4653"/>
      <c r="DU63" s="4653"/>
      <c r="DV63" s="4653"/>
      <c r="DW63" s="4653"/>
      <c r="DX63" s="4653"/>
      <c r="DY63" s="4653"/>
      <c r="DZ63" s="4653"/>
      <c r="EA63" s="4653"/>
      <c r="EB63" s="4653"/>
      <c r="EC63" s="4653"/>
      <c r="ED63" s="4653"/>
      <c r="EE63" s="4653"/>
      <c r="EF63" s="4653"/>
      <c r="EG63" s="4653"/>
      <c r="EH63" s="4653"/>
      <c r="EI63" s="4653"/>
      <c r="EJ63" s="4653"/>
      <c r="EK63" s="4653"/>
      <c r="EL63" s="4653"/>
      <c r="EM63" s="4653"/>
      <c r="EN63" s="4653"/>
      <c r="EO63" s="4653"/>
      <c r="EP63" s="4653"/>
      <c r="EQ63" s="4653"/>
      <c r="ER63" s="4653"/>
      <c r="ES63" s="4653"/>
      <c r="ET63" s="4653"/>
      <c r="EU63" s="4653"/>
      <c r="EV63" s="4653"/>
      <c r="EW63" s="4653"/>
      <c r="EX63" s="4653"/>
      <c r="EY63" s="4653"/>
      <c r="EZ63" s="4653"/>
      <c r="FA63" s="4653"/>
      <c r="FB63" s="4653"/>
      <c r="FC63" s="4653"/>
      <c r="FD63" s="4653"/>
      <c r="FE63" s="4653"/>
      <c r="FF63" s="4653"/>
      <c r="FG63" s="4653"/>
      <c r="FH63" s="4653"/>
      <c r="FI63" s="4653"/>
      <c r="FJ63" s="4653"/>
      <c r="FK63" s="4653"/>
      <c r="FL63" s="4653"/>
      <c r="FM63" s="4653"/>
      <c r="FN63" s="4653"/>
      <c r="FO63" s="4653"/>
      <c r="FP63" s="4653"/>
      <c r="FQ63" s="4653"/>
      <c r="FR63" s="4653"/>
      <c r="FS63" s="4653"/>
      <c r="FT63" s="4653"/>
      <c r="FU63" s="4653"/>
      <c r="FV63" s="4653"/>
      <c r="FW63" s="4653"/>
      <c r="FX63" s="4653"/>
      <c r="FY63" s="4653"/>
      <c r="FZ63" s="4653"/>
      <c r="GA63" s="4653"/>
      <c r="GB63" s="4653"/>
      <c r="GC63" s="4653"/>
      <c r="GD63" s="4653"/>
      <c r="GE63" s="4653"/>
      <c r="GF63" s="4653"/>
      <c r="GG63" s="4653"/>
      <c r="GH63" s="4653"/>
      <c r="GI63" s="4653"/>
      <c r="GJ63" s="4653"/>
      <c r="GK63" s="4653"/>
      <c r="GL63" s="4653"/>
      <c r="GM63" s="4653"/>
      <c r="GN63" s="4653"/>
      <c r="GO63" s="4653"/>
      <c r="GP63" s="4653"/>
      <c r="GQ63" s="4653"/>
      <c r="GR63" s="4653"/>
      <c r="GS63" s="4653"/>
      <c r="GT63" s="4653"/>
      <c r="GU63" s="4653"/>
      <c r="GV63" s="4653"/>
      <c r="GW63" s="4653"/>
      <c r="GX63" s="4653"/>
      <c r="GY63" s="4653"/>
      <c r="GZ63" s="4653"/>
      <c r="HA63" s="4653"/>
      <c r="HB63" s="4653"/>
      <c r="HC63" s="4653"/>
      <c r="HD63" s="4653"/>
      <c r="HE63" s="4653"/>
      <c r="HF63" s="4653"/>
      <c r="HG63" s="4653"/>
      <c r="HH63" s="4653"/>
      <c r="HI63" s="4653"/>
      <c r="HJ63" s="4653"/>
      <c r="HK63" s="4653"/>
      <c r="HL63" s="4653"/>
      <c r="HM63" s="4653"/>
      <c r="HN63" s="4653"/>
      <c r="HO63" s="4653"/>
      <c r="HP63" s="4653"/>
      <c r="HQ63" s="4653"/>
      <c r="HR63" s="4653"/>
      <c r="HS63" s="4653"/>
      <c r="HT63" s="4653"/>
      <c r="HU63" s="4653"/>
      <c r="HV63" s="4653"/>
      <c r="HW63" s="4653"/>
      <c r="HX63" s="4653"/>
      <c r="HY63" s="4653"/>
    </row>
    <row r="64" spans="1:233" customFormat="1" ht="38.450000000000003" customHeight="1" x14ac:dyDescent="0.25">
      <c r="A64" s="10228" t="s">
        <v>1687</v>
      </c>
      <c r="B64" s="10229"/>
      <c r="C64" s="4818" t="s">
        <v>24</v>
      </c>
      <c r="D64" s="4819" t="s">
        <v>2761</v>
      </c>
      <c r="E64" s="4726" t="s">
        <v>2760</v>
      </c>
      <c r="F64" s="4820" t="s">
        <v>1674</v>
      </c>
      <c r="G64" s="4725" t="s">
        <v>360</v>
      </c>
      <c r="H64" s="4726" t="s">
        <v>359</v>
      </c>
      <c r="I64" s="4726" t="s">
        <v>2758</v>
      </c>
      <c r="J64" s="4821" t="s">
        <v>2759</v>
      </c>
      <c r="K64" s="4651"/>
      <c r="L64" s="4651"/>
      <c r="M64" s="4651"/>
      <c r="N64" s="4651"/>
      <c r="O64" s="4651"/>
      <c r="P64" s="4651"/>
      <c r="Q64" s="4651"/>
      <c r="R64" s="4651"/>
      <c r="S64" s="4651"/>
      <c r="T64" s="4651"/>
      <c r="U64" s="4651"/>
      <c r="V64" s="4651"/>
      <c r="W64" s="4651"/>
      <c r="X64" s="4651"/>
      <c r="Y64" s="4651"/>
      <c r="Z64" s="4651"/>
      <c r="AA64" s="4651"/>
      <c r="AB64" s="4651"/>
      <c r="AC64" s="4651"/>
      <c r="AD64" s="4651"/>
      <c r="AE64" s="4651"/>
      <c r="AF64" s="4651"/>
      <c r="AG64" s="4651"/>
      <c r="AH64" s="4651"/>
      <c r="AI64" s="4651"/>
      <c r="AJ64" s="4651"/>
      <c r="AK64" s="4651"/>
      <c r="AL64" s="4651"/>
      <c r="AM64" s="4651"/>
      <c r="AN64" s="4651"/>
      <c r="AO64" s="4651"/>
      <c r="AP64" s="4651"/>
      <c r="AQ64" s="4651"/>
      <c r="AR64" s="4651"/>
      <c r="AS64" s="4651"/>
      <c r="AT64" s="4651"/>
      <c r="AU64" s="4651"/>
      <c r="AV64" s="4651"/>
      <c r="AW64" s="4651"/>
      <c r="AX64" s="4651"/>
      <c r="AY64" s="4651"/>
      <c r="AZ64" s="4651"/>
      <c r="BA64" s="4651"/>
      <c r="BB64" s="4651"/>
      <c r="BC64" s="4651"/>
      <c r="BD64" s="4651"/>
      <c r="BE64" s="4651"/>
      <c r="BF64" s="4651"/>
      <c r="BG64" s="4651"/>
      <c r="BH64" s="4651"/>
      <c r="BI64" s="4651"/>
      <c r="BJ64" s="4651"/>
      <c r="BK64" s="4651"/>
      <c r="BL64" s="4651"/>
      <c r="BM64" s="4651"/>
      <c r="BN64" s="4651"/>
      <c r="BO64" s="4651"/>
      <c r="BP64" s="4651"/>
      <c r="BQ64" s="4651"/>
      <c r="BR64" s="4651"/>
      <c r="BS64" s="4651"/>
      <c r="BT64" s="4651"/>
      <c r="BU64" s="4651"/>
      <c r="BV64" s="4651"/>
      <c r="BW64" s="4651"/>
      <c r="BX64" s="4651"/>
      <c r="BY64" s="4651"/>
      <c r="BZ64" s="4651"/>
      <c r="CA64" s="4655"/>
      <c r="CB64" s="4655"/>
      <c r="CC64" s="4655"/>
      <c r="CD64" s="4655"/>
      <c r="CE64" s="4655"/>
      <c r="CF64" s="4655"/>
      <c r="CG64" s="4655"/>
      <c r="CH64" s="4655"/>
      <c r="CI64" s="4655"/>
      <c r="CJ64" s="4655"/>
      <c r="CK64" s="4655"/>
      <c r="CL64" s="4655"/>
      <c r="CM64" s="4655"/>
      <c r="CN64" s="4655"/>
      <c r="CO64" s="4655"/>
      <c r="CP64" s="4655"/>
      <c r="CQ64" s="4655"/>
      <c r="CR64" s="4655"/>
      <c r="CS64" s="4655"/>
      <c r="CT64" s="4655"/>
      <c r="CU64" s="4655"/>
      <c r="CV64" s="4655"/>
      <c r="CW64" s="4655"/>
      <c r="CX64" s="4655"/>
      <c r="CY64" s="4655"/>
      <c r="CZ64" s="4655"/>
      <c r="DA64" s="4656"/>
      <c r="DB64" s="4656"/>
      <c r="DC64" s="4656"/>
      <c r="DD64" s="4656"/>
      <c r="DE64" s="4656"/>
      <c r="DF64" s="4656"/>
      <c r="DG64" s="4656"/>
      <c r="DH64" s="4656"/>
      <c r="DI64" s="4656"/>
      <c r="DJ64" s="4656"/>
      <c r="DK64" s="4656"/>
      <c r="DL64" s="4656"/>
      <c r="DM64" s="4656"/>
      <c r="DN64" s="4656"/>
      <c r="DO64" s="4656"/>
      <c r="DP64" s="4656"/>
      <c r="DQ64" s="4651"/>
      <c r="DR64" s="4651"/>
      <c r="DS64" s="4651"/>
      <c r="DT64" s="4651"/>
      <c r="DU64" s="4651"/>
      <c r="DV64" s="4651"/>
      <c r="DW64" s="4651"/>
      <c r="DX64" s="4651"/>
      <c r="DY64" s="4651"/>
    </row>
    <row r="65" spans="1:233" customFormat="1" ht="24.6" customHeight="1" x14ac:dyDescent="0.25">
      <c r="A65" s="10248" t="s">
        <v>1686</v>
      </c>
      <c r="B65" s="10249"/>
      <c r="C65" s="4822">
        <f>SUM(D65:F65)</f>
        <v>0</v>
      </c>
      <c r="D65" s="4823"/>
      <c r="E65" s="4282"/>
      <c r="F65" s="4824"/>
      <c r="G65" s="4825"/>
      <c r="H65" s="4826"/>
      <c r="I65" s="4826"/>
      <c r="J65" s="4827"/>
      <c r="K65" s="4651"/>
      <c r="L65" s="4651"/>
      <c r="M65" s="4651"/>
      <c r="N65" s="4651"/>
      <c r="O65" s="4651"/>
      <c r="P65" s="4651"/>
      <c r="Q65" s="4651"/>
      <c r="R65" s="4651"/>
      <c r="S65" s="4651"/>
      <c r="T65" s="4651"/>
      <c r="U65" s="4651"/>
      <c r="V65" s="4651"/>
      <c r="W65" s="4651"/>
      <c r="X65" s="4651"/>
      <c r="Y65" s="4651"/>
      <c r="Z65" s="4651"/>
      <c r="AA65" s="4651"/>
      <c r="AB65" s="4651"/>
      <c r="AC65" s="4651"/>
      <c r="AD65" s="4651"/>
      <c r="AE65" s="4651"/>
      <c r="AF65" s="4651"/>
      <c r="AG65" s="4651"/>
      <c r="AH65" s="4651"/>
      <c r="AI65" s="4651"/>
      <c r="AJ65" s="4651"/>
      <c r="AK65" s="4651"/>
      <c r="AL65" s="4651"/>
      <c r="AM65" s="4651"/>
      <c r="AN65" s="4651"/>
      <c r="AO65" s="4651"/>
      <c r="AP65" s="4651"/>
      <c r="AQ65" s="4651"/>
      <c r="AR65" s="4651"/>
      <c r="AS65" s="4651"/>
      <c r="AT65" s="4651"/>
      <c r="AU65" s="4651"/>
      <c r="AV65" s="4651"/>
      <c r="AW65" s="4651"/>
      <c r="AX65" s="4651"/>
      <c r="AY65" s="4651"/>
      <c r="AZ65" s="4651"/>
      <c r="BA65" s="4651"/>
      <c r="BB65" s="4651"/>
      <c r="BC65" s="4651"/>
      <c r="BD65" s="4651"/>
      <c r="BE65" s="4651"/>
      <c r="BF65" s="4651"/>
      <c r="BG65" s="4651"/>
      <c r="BH65" s="4651"/>
      <c r="BI65" s="4651"/>
      <c r="BJ65" s="4651"/>
      <c r="BK65" s="4651"/>
      <c r="BL65" s="4651"/>
      <c r="BM65" s="4651"/>
      <c r="BN65" s="4651"/>
      <c r="BO65" s="4651"/>
      <c r="BP65" s="4651"/>
      <c r="BQ65" s="4651"/>
      <c r="BR65" s="4651"/>
      <c r="BS65" s="4651"/>
      <c r="BT65" s="4651"/>
      <c r="BU65" s="4651"/>
      <c r="BV65" s="4651"/>
      <c r="BW65" s="4651"/>
      <c r="BX65" s="4651"/>
      <c r="BY65" s="4651"/>
      <c r="BZ65" s="4651"/>
      <c r="CA65" s="4685" t="str">
        <f>IF(DA65=1,"* Pueblos Originarios debe ser MENOR O IGUAL al Total. ","")</f>
        <v/>
      </c>
      <c r="CB65" s="4685" t="str">
        <f>IF(DB65=1,"* Migrantes debe ser MENOR O IGUAL al Total. ","")</f>
        <v/>
      </c>
      <c r="CC65" s="4685" t="str">
        <f>IF(DC65=1,"* Multimorbilidad Crónica debe ser MENOR O IGUAL al Total. ","")</f>
        <v/>
      </c>
      <c r="CD65" s="4685" t="str">
        <f>IF(DD65=1,"* Población ELEAM o Institucionalizada debe ser MENOR O IGUAL al Total. ","")</f>
        <v/>
      </c>
      <c r="CE65" s="4655"/>
      <c r="CF65" s="4655"/>
      <c r="CG65" s="4655"/>
      <c r="CH65" s="4655"/>
      <c r="CI65" s="4655"/>
      <c r="CJ65" s="4655"/>
      <c r="CK65" s="4655"/>
      <c r="CL65" s="4655"/>
      <c r="CM65" s="4655"/>
      <c r="CN65" s="4655"/>
      <c r="CO65" s="4655"/>
      <c r="CP65" s="4655"/>
      <c r="CQ65" s="4655"/>
      <c r="CR65" s="4655"/>
      <c r="CS65" s="4655"/>
      <c r="CT65" s="4655"/>
      <c r="CU65" s="4655"/>
      <c r="CV65" s="4655"/>
      <c r="CW65" s="4655"/>
      <c r="CX65" s="4655"/>
      <c r="CY65" s="4655"/>
      <c r="CZ65" s="4655"/>
      <c r="DA65" s="4686">
        <f>IF(G65&gt;$C65,1,0)</f>
        <v>0</v>
      </c>
      <c r="DB65" s="4686">
        <f>IF(H65&gt;$C65,1,0)</f>
        <v>0</v>
      </c>
      <c r="DC65" s="4686">
        <f>IF(I65&gt;$C65,1,0)</f>
        <v>0</v>
      </c>
      <c r="DD65" s="4686">
        <f>IF(J65&gt;$C65,1,0)</f>
        <v>0</v>
      </c>
      <c r="DE65" s="4656"/>
      <c r="DF65" s="4656"/>
      <c r="DG65" s="4656"/>
      <c r="DH65" s="4656"/>
      <c r="DI65" s="4656"/>
      <c r="DJ65" s="4656"/>
      <c r="DK65" s="4656"/>
      <c r="DL65" s="4656"/>
      <c r="DM65" s="4656"/>
      <c r="DN65" s="4656"/>
      <c r="DO65" s="4656"/>
      <c r="DP65" s="4656"/>
      <c r="DQ65" s="4651"/>
      <c r="DR65" s="4651"/>
      <c r="DS65" s="4651"/>
      <c r="DT65" s="4651"/>
      <c r="DU65" s="4651"/>
      <c r="DV65" s="4651"/>
      <c r="DW65" s="4651"/>
      <c r="DX65" s="4651"/>
      <c r="DY65" s="4651"/>
    </row>
    <row r="66" spans="1:233" customFormat="1" ht="24.95" customHeight="1" x14ac:dyDescent="0.25">
      <c r="A66" s="10250" t="s">
        <v>1685</v>
      </c>
      <c r="B66" s="10251"/>
      <c r="C66" s="4828">
        <f>SUM(D66:F66)</f>
        <v>0</v>
      </c>
      <c r="D66" s="4829"/>
      <c r="E66" s="4830"/>
      <c r="F66" s="4831"/>
      <c r="G66" s="4832"/>
      <c r="H66" s="4833"/>
      <c r="I66" s="4833"/>
      <c r="J66" s="4834"/>
      <c r="K66" s="4651"/>
      <c r="L66" s="4651"/>
      <c r="M66" s="4651"/>
      <c r="N66" s="4651"/>
      <c r="O66" s="4651"/>
      <c r="P66" s="4651"/>
      <c r="Q66" s="4651"/>
      <c r="R66" s="4651"/>
      <c r="S66" s="4651"/>
      <c r="T66" s="4651"/>
      <c r="U66" s="4651"/>
      <c r="V66" s="4651"/>
      <c r="W66" s="4651"/>
      <c r="X66" s="4651"/>
      <c r="Y66" s="4651"/>
      <c r="Z66" s="4651"/>
      <c r="AA66" s="4651"/>
      <c r="AB66" s="4651"/>
      <c r="AC66" s="4651"/>
      <c r="AD66" s="4651"/>
      <c r="AE66" s="4651"/>
      <c r="AF66" s="4651"/>
      <c r="AG66" s="4651"/>
      <c r="AH66" s="4651"/>
      <c r="AI66" s="4651"/>
      <c r="AJ66" s="4651"/>
      <c r="AK66" s="4651"/>
      <c r="AL66" s="4651"/>
      <c r="AM66" s="4651"/>
      <c r="AN66" s="4651"/>
      <c r="AO66" s="4651"/>
      <c r="AP66" s="4651"/>
      <c r="AQ66" s="4651"/>
      <c r="AR66" s="4651"/>
      <c r="AS66" s="4651"/>
      <c r="AT66" s="4651"/>
      <c r="AU66" s="4651"/>
      <c r="AV66" s="4651"/>
      <c r="AW66" s="4651"/>
      <c r="AX66" s="4651"/>
      <c r="AY66" s="4651"/>
      <c r="AZ66" s="4651"/>
      <c r="BA66" s="4651"/>
      <c r="BB66" s="4651"/>
      <c r="BC66" s="4651"/>
      <c r="BD66" s="4651"/>
      <c r="BE66" s="4651"/>
      <c r="BF66" s="4651"/>
      <c r="BG66" s="4651"/>
      <c r="BH66" s="4651"/>
      <c r="BI66" s="4651"/>
      <c r="BJ66" s="4651"/>
      <c r="BK66" s="4651"/>
      <c r="BL66" s="4651"/>
      <c r="BM66" s="4651"/>
      <c r="BN66" s="4651"/>
      <c r="BO66" s="4651"/>
      <c r="BP66" s="4651"/>
      <c r="BQ66" s="4651"/>
      <c r="BR66" s="4651"/>
      <c r="BS66" s="4651"/>
      <c r="BT66" s="4651"/>
      <c r="BU66" s="4651"/>
      <c r="BV66" s="4651"/>
      <c r="BW66" s="4651"/>
      <c r="BX66" s="4651"/>
      <c r="BY66" s="4651"/>
      <c r="BZ66" s="4651"/>
      <c r="CA66" s="4685" t="str">
        <f t="shared" ref="CA66:CA75" si="24">IF(DA66=1,"* Pueblos Originarios debe ser MENOR O IGUAL al Total. ","")</f>
        <v/>
      </c>
      <c r="CB66" s="4685" t="str">
        <f t="shared" ref="CB66:CB75" si="25">IF(DB66=1,"* Migrantes debe ser MENOR O IGUAL al Total. ","")</f>
        <v/>
      </c>
      <c r="CC66" s="4685" t="str">
        <f t="shared" ref="CC66:CC75" si="26">IF(DC66=1,"* Multimorbilidad Crónica debe ser MENOR O IGUAL al Total. ","")</f>
        <v/>
      </c>
      <c r="CD66" s="4685" t="str">
        <f t="shared" ref="CD66:CD75" si="27">IF(DD66=1,"* Población ELEAM o Institucionalizada debe ser MENOR O IGUAL al Total. ","")</f>
        <v/>
      </c>
      <c r="CE66" s="4655"/>
      <c r="CF66" s="4655"/>
      <c r="CG66" s="4655"/>
      <c r="CH66" s="4655"/>
      <c r="CI66" s="4655"/>
      <c r="CJ66" s="4655"/>
      <c r="CK66" s="4655"/>
      <c r="CL66" s="4655"/>
      <c r="CM66" s="4655"/>
      <c r="CN66" s="4655"/>
      <c r="CO66" s="4655"/>
      <c r="CP66" s="4655"/>
      <c r="CQ66" s="4655"/>
      <c r="CR66" s="4655"/>
      <c r="CS66" s="4655"/>
      <c r="CT66" s="4655"/>
      <c r="CU66" s="4655"/>
      <c r="CV66" s="4655"/>
      <c r="CW66" s="4655"/>
      <c r="CX66" s="4655"/>
      <c r="CY66" s="4655"/>
      <c r="CZ66" s="4655"/>
      <c r="DA66" s="4686">
        <f t="shared" ref="DA66:DA77" si="28">IF(G66&gt;$C66,1,0)</f>
        <v>0</v>
      </c>
      <c r="DB66" s="4686">
        <f t="shared" ref="DB66:DB77" si="29">IF(H66&gt;$C66,1,0)</f>
        <v>0</v>
      </c>
      <c r="DC66" s="4686">
        <f t="shared" ref="DC66:DC77" si="30">IF(I66&gt;$C66,1,0)</f>
        <v>0</v>
      </c>
      <c r="DD66" s="4686">
        <f t="shared" ref="DD66:DD77" si="31">IF(J66&gt;$C66,1,0)</f>
        <v>0</v>
      </c>
      <c r="DE66" s="4656"/>
      <c r="DF66" s="4656"/>
      <c r="DG66" s="4656"/>
      <c r="DH66" s="4656"/>
      <c r="DI66" s="4656"/>
      <c r="DJ66" s="4656"/>
      <c r="DK66" s="4656"/>
      <c r="DL66" s="4656"/>
      <c r="DM66" s="4656"/>
      <c r="DN66" s="4656"/>
      <c r="DO66" s="4656"/>
      <c r="DP66" s="4656"/>
      <c r="DQ66" s="4651"/>
      <c r="DR66" s="4651"/>
      <c r="DS66" s="4651"/>
      <c r="DT66" s="4651"/>
      <c r="DU66" s="4651"/>
      <c r="DV66" s="4651"/>
      <c r="DW66" s="4651"/>
      <c r="DX66" s="4651"/>
      <c r="DY66" s="4651"/>
    </row>
    <row r="67" spans="1:233" customFormat="1" ht="24.95" customHeight="1" x14ac:dyDescent="0.25">
      <c r="A67" s="10252" t="s">
        <v>1684</v>
      </c>
      <c r="B67" s="7223" t="s">
        <v>1683</v>
      </c>
      <c r="C67" s="4822">
        <f>SUM(D67:F67)</f>
        <v>0</v>
      </c>
      <c r="D67" s="4835"/>
      <c r="E67" s="4836"/>
      <c r="F67" s="4295"/>
      <c r="G67" s="4837"/>
      <c r="H67" s="4838"/>
      <c r="I67" s="4838"/>
      <c r="J67" s="4839"/>
      <c r="K67" s="4651"/>
      <c r="L67" s="4651"/>
      <c r="M67" s="4651"/>
      <c r="N67" s="4651"/>
      <c r="O67" s="4651"/>
      <c r="P67" s="4651"/>
      <c r="Q67" s="4651"/>
      <c r="R67" s="4651"/>
      <c r="S67" s="4651"/>
      <c r="T67" s="4651"/>
      <c r="U67" s="4651"/>
      <c r="V67" s="4651"/>
      <c r="W67" s="4651"/>
      <c r="X67" s="4651"/>
      <c r="Y67" s="4651"/>
      <c r="Z67" s="4651"/>
      <c r="AA67" s="4651"/>
      <c r="AB67" s="4651"/>
      <c r="AC67" s="4651"/>
      <c r="AD67" s="4651"/>
      <c r="AE67" s="4651"/>
      <c r="AF67" s="4651"/>
      <c r="AG67" s="4651"/>
      <c r="AH67" s="4651"/>
      <c r="AI67" s="4651"/>
      <c r="AJ67" s="4651"/>
      <c r="AK67" s="4651"/>
      <c r="AL67" s="4651"/>
      <c r="AM67" s="4651"/>
      <c r="AN67" s="4651"/>
      <c r="AO67" s="4651"/>
      <c r="AP67" s="4651"/>
      <c r="AQ67" s="4651"/>
      <c r="AR67" s="4651"/>
      <c r="AS67" s="4651"/>
      <c r="AT67" s="4651"/>
      <c r="AU67" s="4651"/>
      <c r="AV67" s="4651"/>
      <c r="AW67" s="4651"/>
      <c r="AX67" s="4651"/>
      <c r="AY67" s="4651"/>
      <c r="AZ67" s="4651"/>
      <c r="BA67" s="4651"/>
      <c r="BB67" s="4651"/>
      <c r="BC67" s="4651"/>
      <c r="BD67" s="4651"/>
      <c r="BE67" s="4651"/>
      <c r="BF67" s="4651"/>
      <c r="BG67" s="4651"/>
      <c r="BH67" s="4651"/>
      <c r="BI67" s="4651"/>
      <c r="BJ67" s="4651"/>
      <c r="BK67" s="4651"/>
      <c r="BL67" s="4651"/>
      <c r="BM67" s="4651"/>
      <c r="BN67" s="4651"/>
      <c r="BO67" s="4651"/>
      <c r="BP67" s="4651"/>
      <c r="BQ67" s="4651"/>
      <c r="BR67" s="4651"/>
      <c r="BS67" s="4651"/>
      <c r="BT67" s="4651"/>
      <c r="BU67" s="4651"/>
      <c r="BV67" s="4651"/>
      <c r="BW67" s="4651"/>
      <c r="BX67" s="4651"/>
      <c r="BY67" s="4651"/>
      <c r="BZ67" s="4651"/>
      <c r="CA67" s="4685" t="str">
        <f t="shared" si="24"/>
        <v/>
      </c>
      <c r="CB67" s="4685" t="str">
        <f t="shared" si="25"/>
        <v/>
      </c>
      <c r="CC67" s="4685" t="str">
        <f t="shared" si="26"/>
        <v/>
      </c>
      <c r="CD67" s="4685" t="str">
        <f t="shared" si="27"/>
        <v/>
      </c>
      <c r="CE67" s="4655"/>
      <c r="CF67" s="4655"/>
      <c r="CG67" s="4655"/>
      <c r="CH67" s="4655"/>
      <c r="CI67" s="4655"/>
      <c r="CJ67" s="4655"/>
      <c r="CK67" s="4655"/>
      <c r="CL67" s="4655"/>
      <c r="CM67" s="4655"/>
      <c r="CN67" s="4655"/>
      <c r="CO67" s="4655"/>
      <c r="CP67" s="4655"/>
      <c r="CQ67" s="4655"/>
      <c r="CR67" s="4655"/>
      <c r="CS67" s="4655"/>
      <c r="CT67" s="4655"/>
      <c r="CU67" s="4655"/>
      <c r="CV67" s="4655"/>
      <c r="CW67" s="4655"/>
      <c r="CX67" s="4655"/>
      <c r="CY67" s="4655"/>
      <c r="CZ67" s="4655"/>
      <c r="DA67" s="4686">
        <f t="shared" si="28"/>
        <v>0</v>
      </c>
      <c r="DB67" s="4686">
        <f t="shared" si="29"/>
        <v>0</v>
      </c>
      <c r="DC67" s="4686">
        <f t="shared" si="30"/>
        <v>0</v>
      </c>
      <c r="DD67" s="4686">
        <f t="shared" si="31"/>
        <v>0</v>
      </c>
      <c r="DE67" s="4656"/>
      <c r="DF67" s="4656"/>
      <c r="DG67" s="4656"/>
      <c r="DH67" s="4656"/>
      <c r="DI67" s="4656"/>
      <c r="DJ67" s="4656"/>
      <c r="DK67" s="4656"/>
      <c r="DL67" s="4656"/>
      <c r="DM67" s="4656"/>
      <c r="DN67" s="4656"/>
      <c r="DO67" s="4656"/>
      <c r="DP67" s="4656"/>
      <c r="DQ67" s="4651"/>
      <c r="DR67" s="4651"/>
      <c r="DS67" s="4651"/>
      <c r="DT67" s="4651"/>
      <c r="DU67" s="4651"/>
      <c r="DV67" s="4651"/>
      <c r="DW67" s="4651"/>
      <c r="DX67" s="4651"/>
      <c r="DY67" s="4651"/>
    </row>
    <row r="68" spans="1:233" customFormat="1" ht="24.95" customHeight="1" x14ac:dyDescent="0.25">
      <c r="A68" s="10252"/>
      <c r="B68" s="4840" t="s">
        <v>1682</v>
      </c>
      <c r="C68" s="4841">
        <f>SUM(D68:F68)</f>
        <v>0</v>
      </c>
      <c r="D68" s="4622"/>
      <c r="E68" s="4842"/>
      <c r="F68" s="4359"/>
      <c r="G68" s="4843"/>
      <c r="H68" s="4844"/>
      <c r="I68" s="4844"/>
      <c r="J68" s="4845"/>
      <c r="K68" s="4651"/>
      <c r="L68" s="4651"/>
      <c r="M68" s="4651"/>
      <c r="N68" s="4651"/>
      <c r="O68" s="4651"/>
      <c r="P68" s="4651"/>
      <c r="Q68" s="4651"/>
      <c r="R68" s="4651"/>
      <c r="S68" s="4651"/>
      <c r="T68" s="4651"/>
      <c r="U68" s="4651"/>
      <c r="V68" s="4651"/>
      <c r="W68" s="4651"/>
      <c r="X68" s="4651"/>
      <c r="Y68" s="4651"/>
      <c r="Z68" s="4651"/>
      <c r="AA68" s="4651"/>
      <c r="AB68" s="4651"/>
      <c r="AC68" s="4651"/>
      <c r="AD68" s="4651"/>
      <c r="AE68" s="4651"/>
      <c r="AF68" s="4651"/>
      <c r="AG68" s="4651"/>
      <c r="AH68" s="4651"/>
      <c r="AI68" s="4651"/>
      <c r="AJ68" s="4651"/>
      <c r="AK68" s="4651"/>
      <c r="AL68" s="4651"/>
      <c r="AM68" s="4651"/>
      <c r="AN68" s="4651"/>
      <c r="AO68" s="4651"/>
      <c r="AP68" s="4651"/>
      <c r="AQ68" s="4651"/>
      <c r="AR68" s="4651"/>
      <c r="AS68" s="4651"/>
      <c r="AT68" s="4651"/>
      <c r="AU68" s="4651"/>
      <c r="AV68" s="4651"/>
      <c r="AW68" s="4651"/>
      <c r="AX68" s="4651"/>
      <c r="AY68" s="4651"/>
      <c r="AZ68" s="4651"/>
      <c r="BA68" s="4651"/>
      <c r="BB68" s="4651"/>
      <c r="BC68" s="4651"/>
      <c r="BD68" s="4651"/>
      <c r="BE68" s="4651"/>
      <c r="BF68" s="4651"/>
      <c r="BG68" s="4651"/>
      <c r="BH68" s="4651"/>
      <c r="BI68" s="4651"/>
      <c r="BJ68" s="4651"/>
      <c r="BK68" s="4651"/>
      <c r="BL68" s="4651"/>
      <c r="BM68" s="4651"/>
      <c r="BN68" s="4651"/>
      <c r="BO68" s="4651"/>
      <c r="BP68" s="4651"/>
      <c r="BQ68" s="4651"/>
      <c r="BR68" s="4651"/>
      <c r="BS68" s="4651"/>
      <c r="BT68" s="4651"/>
      <c r="BU68" s="4651"/>
      <c r="BV68" s="4651"/>
      <c r="BW68" s="4651"/>
      <c r="BX68" s="4651"/>
      <c r="BY68" s="4651"/>
      <c r="BZ68" s="4651"/>
      <c r="CA68" s="4685" t="str">
        <f t="shared" si="24"/>
        <v/>
      </c>
      <c r="CB68" s="4685" t="str">
        <f t="shared" si="25"/>
        <v/>
      </c>
      <c r="CC68" s="4685" t="str">
        <f t="shared" si="26"/>
        <v/>
      </c>
      <c r="CD68" s="4685" t="str">
        <f t="shared" si="27"/>
        <v/>
      </c>
      <c r="CE68" s="4655"/>
      <c r="CF68" s="4655"/>
      <c r="CG68" s="4655"/>
      <c r="CH68" s="4655"/>
      <c r="CI68" s="4655"/>
      <c r="CJ68" s="4655"/>
      <c r="CK68" s="4655"/>
      <c r="CL68" s="4655"/>
      <c r="CM68" s="4655"/>
      <c r="CN68" s="4655"/>
      <c r="CO68" s="4655"/>
      <c r="CP68" s="4655"/>
      <c r="CQ68" s="4655"/>
      <c r="CR68" s="4655"/>
      <c r="CS68" s="4655"/>
      <c r="CT68" s="4655"/>
      <c r="CU68" s="4655"/>
      <c r="CV68" s="4655"/>
      <c r="CW68" s="4655"/>
      <c r="CX68" s="4655"/>
      <c r="CY68" s="4655"/>
      <c r="CZ68" s="4655"/>
      <c r="DA68" s="4686">
        <f t="shared" si="28"/>
        <v>0</v>
      </c>
      <c r="DB68" s="4686">
        <f t="shared" si="29"/>
        <v>0</v>
      </c>
      <c r="DC68" s="4686">
        <f t="shared" si="30"/>
        <v>0</v>
      </c>
      <c r="DD68" s="4686">
        <f t="shared" si="31"/>
        <v>0</v>
      </c>
      <c r="DE68" s="4656"/>
      <c r="DF68" s="4656"/>
      <c r="DG68" s="4656"/>
      <c r="DH68" s="4656"/>
      <c r="DI68" s="4656"/>
      <c r="DJ68" s="4656"/>
      <c r="DK68" s="4656"/>
      <c r="DL68" s="4656"/>
      <c r="DM68" s="4656"/>
      <c r="DN68" s="4656"/>
      <c r="DO68" s="4656"/>
      <c r="DP68" s="4656"/>
      <c r="DQ68" s="4651"/>
      <c r="DR68" s="4651"/>
      <c r="DS68" s="4651"/>
      <c r="DT68" s="4651"/>
      <c r="DU68" s="4651"/>
      <c r="DV68" s="4651"/>
      <c r="DW68" s="4651"/>
      <c r="DX68" s="4651"/>
      <c r="DY68" s="4651"/>
    </row>
    <row r="69" spans="1:233" customFormat="1" ht="24.95" customHeight="1" x14ac:dyDescent="0.25">
      <c r="A69" s="10252"/>
      <c r="B69" s="4846" t="s">
        <v>2738</v>
      </c>
      <c r="C69" s="4847">
        <f>SUM(D69)</f>
        <v>0</v>
      </c>
      <c r="D69" s="4622"/>
      <c r="E69" s="7396"/>
      <c r="F69" s="6546"/>
      <c r="G69" s="4843"/>
      <c r="H69" s="4844"/>
      <c r="I69" s="4844"/>
      <c r="J69" s="4845"/>
      <c r="K69" s="4651"/>
      <c r="L69" s="4651"/>
      <c r="M69" s="4651"/>
      <c r="N69" s="4651"/>
      <c r="O69" s="4651"/>
      <c r="P69" s="4651"/>
      <c r="Q69" s="4651"/>
      <c r="R69" s="4651"/>
      <c r="S69" s="4651"/>
      <c r="T69" s="4651"/>
      <c r="U69" s="4651"/>
      <c r="V69" s="4651"/>
      <c r="W69" s="4651"/>
      <c r="X69" s="4651"/>
      <c r="Y69" s="4651"/>
      <c r="Z69" s="4651"/>
      <c r="AA69" s="4651"/>
      <c r="AB69" s="4651"/>
      <c r="AC69" s="4651"/>
      <c r="AD69" s="4651"/>
      <c r="AE69" s="4651"/>
      <c r="AF69" s="4651"/>
      <c r="AG69" s="4651"/>
      <c r="AH69" s="4651"/>
      <c r="AI69" s="4651"/>
      <c r="AJ69" s="4651"/>
      <c r="AK69" s="4651"/>
      <c r="AL69" s="4651"/>
      <c r="AM69" s="4651"/>
      <c r="AN69" s="4651"/>
      <c r="AO69" s="4651"/>
      <c r="AP69" s="4651"/>
      <c r="AQ69" s="4651"/>
      <c r="AR69" s="4651"/>
      <c r="AS69" s="4651"/>
      <c r="AT69" s="4651"/>
      <c r="AU69" s="4651"/>
      <c r="AV69" s="4651"/>
      <c r="AW69" s="4651"/>
      <c r="AX69" s="4651"/>
      <c r="AY69" s="4651"/>
      <c r="AZ69" s="4651"/>
      <c r="BA69" s="4651"/>
      <c r="BB69" s="4651"/>
      <c r="BC69" s="4651"/>
      <c r="BD69" s="4651"/>
      <c r="BE69" s="4651"/>
      <c r="BF69" s="4651"/>
      <c r="BG69" s="4651"/>
      <c r="BH69" s="4651"/>
      <c r="BI69" s="4651"/>
      <c r="BJ69" s="4651"/>
      <c r="BK69" s="4651"/>
      <c r="BL69" s="4651"/>
      <c r="BM69" s="4651"/>
      <c r="BN69" s="4651"/>
      <c r="BO69" s="4651"/>
      <c r="BP69" s="4651"/>
      <c r="BQ69" s="4651"/>
      <c r="BR69" s="4651"/>
      <c r="BS69" s="4651"/>
      <c r="BT69" s="4651"/>
      <c r="BU69" s="4651"/>
      <c r="BV69" s="4651"/>
      <c r="BW69" s="4651"/>
      <c r="BX69" s="4651"/>
      <c r="BY69" s="4651"/>
      <c r="BZ69" s="4651"/>
      <c r="CA69" s="4685" t="str">
        <f t="shared" si="24"/>
        <v/>
      </c>
      <c r="CB69" s="4685" t="str">
        <f t="shared" si="25"/>
        <v/>
      </c>
      <c r="CC69" s="4685" t="str">
        <f t="shared" si="26"/>
        <v/>
      </c>
      <c r="CD69" s="4685" t="str">
        <f t="shared" si="27"/>
        <v/>
      </c>
      <c r="CE69" s="4655"/>
      <c r="CF69" s="4655"/>
      <c r="CG69" s="4655"/>
      <c r="CH69" s="4655"/>
      <c r="CI69" s="4655"/>
      <c r="CJ69" s="4655"/>
      <c r="CK69" s="4655"/>
      <c r="CL69" s="4655"/>
      <c r="CM69" s="4655"/>
      <c r="CN69" s="4655"/>
      <c r="CO69" s="4655"/>
      <c r="CP69" s="4655"/>
      <c r="CQ69" s="4655"/>
      <c r="CR69" s="4655"/>
      <c r="CS69" s="4655"/>
      <c r="CT69" s="4655"/>
      <c r="CU69" s="4655"/>
      <c r="CV69" s="4655"/>
      <c r="CW69" s="4655"/>
      <c r="CX69" s="4655"/>
      <c r="CY69" s="4655"/>
      <c r="CZ69" s="4655"/>
      <c r="DA69" s="4686">
        <f t="shared" si="28"/>
        <v>0</v>
      </c>
      <c r="DB69" s="4686">
        <f t="shared" si="29"/>
        <v>0</v>
      </c>
      <c r="DC69" s="4686">
        <f t="shared" si="30"/>
        <v>0</v>
      </c>
      <c r="DD69" s="4686">
        <f t="shared" si="31"/>
        <v>0</v>
      </c>
      <c r="DE69" s="4656"/>
      <c r="DF69" s="4656"/>
      <c r="DG69" s="4656"/>
      <c r="DH69" s="4656"/>
      <c r="DI69" s="4656"/>
      <c r="DJ69" s="4656"/>
      <c r="DK69" s="4656"/>
      <c r="DL69" s="4656"/>
      <c r="DM69" s="4656"/>
      <c r="DN69" s="4656"/>
      <c r="DO69" s="4656"/>
      <c r="DP69" s="4656"/>
      <c r="DQ69" s="4651"/>
      <c r="DR69" s="4651"/>
      <c r="DS69" s="4651"/>
      <c r="DT69" s="4651"/>
      <c r="DU69" s="4651"/>
      <c r="DV69" s="4651"/>
      <c r="DW69" s="4651"/>
      <c r="DX69" s="4651"/>
      <c r="DY69" s="4651"/>
    </row>
    <row r="70" spans="1:233" customFormat="1" ht="24.95" customHeight="1" x14ac:dyDescent="0.25">
      <c r="A70" s="10252"/>
      <c r="B70" s="4846" t="s">
        <v>2739</v>
      </c>
      <c r="C70" s="4841">
        <f>SUM(D70:F70)</f>
        <v>0</v>
      </c>
      <c r="D70" s="4622"/>
      <c r="E70" s="4842"/>
      <c r="F70" s="4359"/>
      <c r="G70" s="4843"/>
      <c r="H70" s="4844"/>
      <c r="I70" s="4844"/>
      <c r="J70" s="4845"/>
      <c r="K70" s="4651"/>
      <c r="L70" s="4651"/>
      <c r="M70" s="4651"/>
      <c r="N70" s="4651"/>
      <c r="O70" s="4651"/>
      <c r="P70" s="4651"/>
      <c r="Q70" s="4651"/>
      <c r="R70" s="4651"/>
      <c r="S70" s="4651"/>
      <c r="T70" s="4651"/>
      <c r="U70" s="4651"/>
      <c r="V70" s="4651"/>
      <c r="W70" s="4651"/>
      <c r="X70" s="4651"/>
      <c r="Y70" s="4651"/>
      <c r="Z70" s="4651"/>
      <c r="AA70" s="4651"/>
      <c r="AB70" s="4651"/>
      <c r="AC70" s="4651"/>
      <c r="AD70" s="4651"/>
      <c r="AE70" s="4651"/>
      <c r="AF70" s="4651"/>
      <c r="AG70" s="4651"/>
      <c r="AH70" s="4651"/>
      <c r="AI70" s="4651"/>
      <c r="AJ70" s="4651"/>
      <c r="AK70" s="4651"/>
      <c r="AL70" s="4651"/>
      <c r="AM70" s="4651"/>
      <c r="AN70" s="4651"/>
      <c r="AO70" s="4651"/>
      <c r="AP70" s="4651"/>
      <c r="AQ70" s="4651"/>
      <c r="AR70" s="4651"/>
      <c r="AS70" s="4651"/>
      <c r="AT70" s="4651"/>
      <c r="AU70" s="4651"/>
      <c r="AV70" s="4651"/>
      <c r="AW70" s="4651"/>
      <c r="AX70" s="4651"/>
      <c r="AY70" s="4651"/>
      <c r="AZ70" s="4651"/>
      <c r="BA70" s="4651"/>
      <c r="BB70" s="4651"/>
      <c r="BC70" s="4651"/>
      <c r="BD70" s="4651"/>
      <c r="BE70" s="4651"/>
      <c r="BF70" s="4651"/>
      <c r="BG70" s="4651"/>
      <c r="BH70" s="4651"/>
      <c r="BI70" s="4651"/>
      <c r="BJ70" s="4651"/>
      <c r="BK70" s="4651"/>
      <c r="BL70" s="4651"/>
      <c r="BM70" s="4651"/>
      <c r="BN70" s="4651"/>
      <c r="BO70" s="4651"/>
      <c r="BP70" s="4651"/>
      <c r="BQ70" s="4651"/>
      <c r="BR70" s="4651"/>
      <c r="BS70" s="4651"/>
      <c r="BT70" s="4651"/>
      <c r="BU70" s="4651"/>
      <c r="BV70" s="4651"/>
      <c r="BW70" s="4651"/>
      <c r="BX70" s="4651"/>
      <c r="BY70" s="4651"/>
      <c r="BZ70" s="4651"/>
      <c r="CA70" s="4685" t="str">
        <f t="shared" si="24"/>
        <v/>
      </c>
      <c r="CB70" s="4685" t="str">
        <f t="shared" si="25"/>
        <v/>
      </c>
      <c r="CC70" s="4685" t="str">
        <f t="shared" si="26"/>
        <v/>
      </c>
      <c r="CD70" s="4685" t="str">
        <f t="shared" si="27"/>
        <v/>
      </c>
      <c r="CE70" s="4655"/>
      <c r="CF70" s="4655"/>
      <c r="CG70" s="4655"/>
      <c r="CH70" s="4655"/>
      <c r="CI70" s="4655"/>
      <c r="CJ70" s="4655"/>
      <c r="CK70" s="4655"/>
      <c r="CL70" s="4655"/>
      <c r="CM70" s="4655"/>
      <c r="CN70" s="4655"/>
      <c r="CO70" s="4655"/>
      <c r="CP70" s="4655"/>
      <c r="CQ70" s="4655"/>
      <c r="CR70" s="4655"/>
      <c r="CS70" s="4655"/>
      <c r="CT70" s="4655"/>
      <c r="CU70" s="4655"/>
      <c r="CV70" s="4655"/>
      <c r="CW70" s="4655"/>
      <c r="CX70" s="4655"/>
      <c r="CY70" s="4655"/>
      <c r="CZ70" s="4655"/>
      <c r="DA70" s="4686">
        <f t="shared" si="28"/>
        <v>0</v>
      </c>
      <c r="DB70" s="4686">
        <f t="shared" si="29"/>
        <v>0</v>
      </c>
      <c r="DC70" s="4686">
        <f t="shared" si="30"/>
        <v>0</v>
      </c>
      <c r="DD70" s="4686">
        <f t="shared" si="31"/>
        <v>0</v>
      </c>
      <c r="DE70" s="4656"/>
      <c r="DF70" s="4656"/>
      <c r="DG70" s="4656"/>
      <c r="DH70" s="4656"/>
      <c r="DI70" s="4656"/>
      <c r="DJ70" s="4656"/>
      <c r="DK70" s="4656"/>
      <c r="DL70" s="4656"/>
      <c r="DM70" s="4656"/>
      <c r="DN70" s="4656"/>
      <c r="DO70" s="4656"/>
      <c r="DP70" s="4656"/>
      <c r="DQ70" s="4651"/>
      <c r="DR70" s="4651"/>
      <c r="DS70" s="4651"/>
      <c r="DT70" s="4651"/>
      <c r="DU70" s="4651"/>
      <c r="DV70" s="4651"/>
      <c r="DW70" s="4651"/>
      <c r="DX70" s="4651"/>
      <c r="DY70" s="4651"/>
    </row>
    <row r="71" spans="1:233" customFormat="1" ht="24.95" customHeight="1" x14ac:dyDescent="0.25">
      <c r="A71" s="10252"/>
      <c r="B71" s="4846" t="s">
        <v>3716</v>
      </c>
      <c r="C71" s="4848">
        <f>SUM(D71)</f>
        <v>0</v>
      </c>
      <c r="D71" s="4622"/>
      <c r="E71" s="7396"/>
      <c r="F71" s="6546"/>
      <c r="G71" s="4843"/>
      <c r="H71" s="4844"/>
      <c r="I71" s="4844"/>
      <c r="J71" s="4845"/>
      <c r="K71" s="4651"/>
      <c r="L71" s="4651"/>
      <c r="M71" s="4651"/>
      <c r="N71" s="4651"/>
      <c r="O71" s="4651"/>
      <c r="P71" s="4651"/>
      <c r="Q71" s="4651"/>
      <c r="R71" s="4651"/>
      <c r="S71" s="4651"/>
      <c r="T71" s="4651"/>
      <c r="U71" s="4651"/>
      <c r="V71" s="4651"/>
      <c r="W71" s="4651"/>
      <c r="X71" s="4651"/>
      <c r="Y71" s="4651"/>
      <c r="Z71" s="4651"/>
      <c r="AA71" s="4651"/>
      <c r="AB71" s="4651"/>
      <c r="AC71" s="4651"/>
      <c r="AD71" s="4651"/>
      <c r="AE71" s="4651"/>
      <c r="AF71" s="4651"/>
      <c r="AG71" s="4651"/>
      <c r="AH71" s="4651"/>
      <c r="AI71" s="4651"/>
      <c r="AJ71" s="4651"/>
      <c r="AK71" s="4651"/>
      <c r="AL71" s="4651"/>
      <c r="AM71" s="4651"/>
      <c r="AN71" s="4651"/>
      <c r="AO71" s="4651"/>
      <c r="AP71" s="4651"/>
      <c r="AQ71" s="4651"/>
      <c r="AR71" s="4651"/>
      <c r="AS71" s="4651"/>
      <c r="AT71" s="4651"/>
      <c r="AU71" s="4651"/>
      <c r="AV71" s="4651"/>
      <c r="AW71" s="4651"/>
      <c r="AX71" s="4651"/>
      <c r="AY71" s="4651"/>
      <c r="AZ71" s="4651"/>
      <c r="BA71" s="4651"/>
      <c r="BB71" s="4651"/>
      <c r="BC71" s="4651"/>
      <c r="BD71" s="4651"/>
      <c r="BE71" s="4651"/>
      <c r="BF71" s="4651"/>
      <c r="BG71" s="4651"/>
      <c r="BH71" s="4651"/>
      <c r="BI71" s="4651"/>
      <c r="BJ71" s="4651"/>
      <c r="BK71" s="4651"/>
      <c r="BL71" s="4651"/>
      <c r="BM71" s="4651"/>
      <c r="BN71" s="4651"/>
      <c r="BO71" s="4651"/>
      <c r="BP71" s="4651"/>
      <c r="BQ71" s="4651"/>
      <c r="BR71" s="4651"/>
      <c r="BS71" s="4651"/>
      <c r="BT71" s="4651"/>
      <c r="BU71" s="4651"/>
      <c r="BV71" s="4651"/>
      <c r="BW71" s="4651"/>
      <c r="BX71" s="4651"/>
      <c r="BY71" s="4651"/>
      <c r="BZ71" s="4651"/>
      <c r="CA71" s="4685" t="str">
        <f t="shared" si="24"/>
        <v/>
      </c>
      <c r="CB71" s="4685" t="str">
        <f t="shared" si="25"/>
        <v/>
      </c>
      <c r="CC71" s="4685" t="str">
        <f t="shared" si="26"/>
        <v/>
      </c>
      <c r="CD71" s="4685" t="str">
        <f t="shared" si="27"/>
        <v/>
      </c>
      <c r="CE71" s="4655"/>
      <c r="CF71" s="4655"/>
      <c r="CG71" s="4655"/>
      <c r="CH71" s="4655"/>
      <c r="CI71" s="4655"/>
      <c r="CJ71" s="4655"/>
      <c r="CK71" s="4655"/>
      <c r="CL71" s="4655"/>
      <c r="CM71" s="4655"/>
      <c r="CN71" s="4655"/>
      <c r="CO71" s="4655"/>
      <c r="CP71" s="4655"/>
      <c r="CQ71" s="4655"/>
      <c r="CR71" s="4655"/>
      <c r="CS71" s="4655"/>
      <c r="CT71" s="4655"/>
      <c r="CU71" s="4655"/>
      <c r="CV71" s="4655"/>
      <c r="CW71" s="4655"/>
      <c r="CX71" s="4655"/>
      <c r="CY71" s="4655"/>
      <c r="CZ71" s="4655"/>
      <c r="DA71" s="4686">
        <f t="shared" si="28"/>
        <v>0</v>
      </c>
      <c r="DB71" s="4686">
        <f t="shared" si="29"/>
        <v>0</v>
      </c>
      <c r="DC71" s="4686">
        <f t="shared" si="30"/>
        <v>0</v>
      </c>
      <c r="DD71" s="4686">
        <f t="shared" si="31"/>
        <v>0</v>
      </c>
      <c r="DE71" s="4656"/>
      <c r="DF71" s="4656"/>
      <c r="DG71" s="4656"/>
      <c r="DH71" s="4656"/>
      <c r="DI71" s="4656"/>
      <c r="DJ71" s="4656"/>
      <c r="DK71" s="4656"/>
      <c r="DL71" s="4656"/>
      <c r="DM71" s="4656"/>
      <c r="DN71" s="4656"/>
      <c r="DO71" s="4656"/>
      <c r="DP71" s="4656"/>
      <c r="DQ71" s="4651"/>
      <c r="DR71" s="4651"/>
      <c r="DS71" s="4651"/>
      <c r="DT71" s="4651"/>
      <c r="DU71" s="4651"/>
      <c r="DV71" s="4651"/>
      <c r="DW71" s="4651"/>
      <c r="DX71" s="4651"/>
      <c r="DY71" s="4651"/>
    </row>
    <row r="72" spans="1:233" customFormat="1" ht="33" customHeight="1" x14ac:dyDescent="0.25">
      <c r="A72" s="10252"/>
      <c r="B72" s="4846" t="s">
        <v>2740</v>
      </c>
      <c r="C72" s="4848">
        <f>SUM(D72)</f>
        <v>0</v>
      </c>
      <c r="D72" s="4622"/>
      <c r="E72" s="7396"/>
      <c r="F72" s="6546"/>
      <c r="G72" s="4843"/>
      <c r="H72" s="4844"/>
      <c r="I72" s="4844"/>
      <c r="J72" s="4845"/>
      <c r="K72" s="4651"/>
      <c r="L72" s="4651"/>
      <c r="M72" s="4651"/>
      <c r="N72" s="4651"/>
      <c r="O72" s="4651"/>
      <c r="P72" s="4651"/>
      <c r="Q72" s="4651"/>
      <c r="R72" s="4651"/>
      <c r="S72" s="4651"/>
      <c r="T72" s="4651"/>
      <c r="U72" s="4651"/>
      <c r="V72" s="4651"/>
      <c r="W72" s="4651"/>
      <c r="X72" s="4651"/>
      <c r="Y72" s="4651"/>
      <c r="Z72" s="4651"/>
      <c r="AA72" s="4651"/>
      <c r="AB72" s="4651"/>
      <c r="AC72" s="4651"/>
      <c r="AD72" s="4651"/>
      <c r="AE72" s="4651"/>
      <c r="AF72" s="4651"/>
      <c r="AG72" s="4651"/>
      <c r="AH72" s="4651"/>
      <c r="AI72" s="4651"/>
      <c r="AJ72" s="4651"/>
      <c r="AK72" s="4651"/>
      <c r="AL72" s="4651"/>
      <c r="AM72" s="4651"/>
      <c r="AN72" s="4651"/>
      <c r="AO72" s="4651"/>
      <c r="AP72" s="4651"/>
      <c r="AQ72" s="4651"/>
      <c r="AR72" s="4651"/>
      <c r="AS72" s="4651"/>
      <c r="AT72" s="4651"/>
      <c r="AU72" s="4651"/>
      <c r="AV72" s="4651"/>
      <c r="AW72" s="4651"/>
      <c r="AX72" s="4651"/>
      <c r="AY72" s="4651"/>
      <c r="AZ72" s="4651"/>
      <c r="BA72" s="4651"/>
      <c r="BB72" s="4651"/>
      <c r="BC72" s="4651"/>
      <c r="BD72" s="4651"/>
      <c r="BE72" s="4651"/>
      <c r="BF72" s="4651"/>
      <c r="BG72" s="4651"/>
      <c r="BH72" s="4651"/>
      <c r="BI72" s="4651"/>
      <c r="BJ72" s="4651"/>
      <c r="BK72" s="4651"/>
      <c r="BL72" s="4651"/>
      <c r="BM72" s="4651"/>
      <c r="BN72" s="4651"/>
      <c r="BO72" s="4651"/>
      <c r="BP72" s="4651"/>
      <c r="BQ72" s="4651"/>
      <c r="BR72" s="4651"/>
      <c r="BS72" s="4651"/>
      <c r="BT72" s="4651"/>
      <c r="BU72" s="4651"/>
      <c r="BV72" s="4651"/>
      <c r="BW72" s="4651"/>
      <c r="BX72" s="4651"/>
      <c r="BY72" s="4651"/>
      <c r="BZ72" s="4651"/>
      <c r="CA72" s="4685" t="str">
        <f t="shared" si="24"/>
        <v/>
      </c>
      <c r="CB72" s="4685" t="str">
        <f t="shared" si="25"/>
        <v/>
      </c>
      <c r="CC72" s="4685" t="str">
        <f t="shared" si="26"/>
        <v/>
      </c>
      <c r="CD72" s="4685" t="str">
        <f t="shared" si="27"/>
        <v/>
      </c>
      <c r="CE72" s="4655"/>
      <c r="CF72" s="4655"/>
      <c r="CG72" s="4655"/>
      <c r="CH72" s="4655"/>
      <c r="CI72" s="4655"/>
      <c r="CJ72" s="4655"/>
      <c r="CK72" s="4655"/>
      <c r="CL72" s="4655"/>
      <c r="CM72" s="4655"/>
      <c r="CN72" s="4655"/>
      <c r="CO72" s="4655"/>
      <c r="CP72" s="4655"/>
      <c r="CQ72" s="4655"/>
      <c r="CR72" s="4655"/>
      <c r="CS72" s="4655"/>
      <c r="CT72" s="4655"/>
      <c r="CU72" s="4655"/>
      <c r="CV72" s="4655"/>
      <c r="CW72" s="4655"/>
      <c r="CX72" s="4655"/>
      <c r="CY72" s="4655"/>
      <c r="CZ72" s="4655"/>
      <c r="DA72" s="4686">
        <f t="shared" si="28"/>
        <v>0</v>
      </c>
      <c r="DB72" s="4686">
        <f t="shared" si="29"/>
        <v>0</v>
      </c>
      <c r="DC72" s="4686">
        <f t="shared" si="30"/>
        <v>0</v>
      </c>
      <c r="DD72" s="4686">
        <f t="shared" si="31"/>
        <v>0</v>
      </c>
      <c r="DE72" s="4656"/>
      <c r="DF72" s="4656"/>
      <c r="DG72" s="4656"/>
      <c r="DH72" s="4656"/>
      <c r="DI72" s="4656"/>
      <c r="DJ72" s="4656"/>
      <c r="DK72" s="4656"/>
      <c r="DL72" s="4656"/>
      <c r="DM72" s="4656"/>
      <c r="DN72" s="4656"/>
      <c r="DO72" s="4656"/>
      <c r="DP72" s="4656"/>
      <c r="DQ72" s="4651"/>
      <c r="DR72" s="4651"/>
      <c r="DS72" s="4651"/>
      <c r="DT72" s="4651"/>
      <c r="DU72" s="4651"/>
      <c r="DV72" s="4651"/>
      <c r="DW72" s="4651"/>
      <c r="DX72" s="4651"/>
      <c r="DY72" s="4651"/>
    </row>
    <row r="73" spans="1:233" customFormat="1" ht="24.95" customHeight="1" x14ac:dyDescent="0.25">
      <c r="A73" s="10252"/>
      <c r="B73" s="4846" t="s">
        <v>2741</v>
      </c>
      <c r="C73" s="4848">
        <f>SUM(F73)</f>
        <v>0</v>
      </c>
      <c r="D73" s="7397"/>
      <c r="E73" s="7396"/>
      <c r="F73" s="4359"/>
      <c r="G73" s="4843"/>
      <c r="H73" s="4844"/>
      <c r="I73" s="4844"/>
      <c r="J73" s="4845"/>
      <c r="K73" s="4651"/>
      <c r="L73" s="4651"/>
      <c r="M73" s="4651"/>
      <c r="N73" s="4651"/>
      <c r="O73" s="4651"/>
      <c r="P73" s="4651"/>
      <c r="Q73" s="4651"/>
      <c r="R73" s="4651"/>
      <c r="S73" s="4651"/>
      <c r="T73" s="4651"/>
      <c r="U73" s="4651"/>
      <c r="V73" s="4651"/>
      <c r="W73" s="4651"/>
      <c r="X73" s="4651"/>
      <c r="Y73" s="4651"/>
      <c r="Z73" s="4651"/>
      <c r="AA73" s="4651"/>
      <c r="AB73" s="4651"/>
      <c r="AC73" s="4651"/>
      <c r="AD73" s="4651"/>
      <c r="AE73" s="4651"/>
      <c r="AF73" s="4651"/>
      <c r="AG73" s="4651"/>
      <c r="AH73" s="4651"/>
      <c r="AI73" s="4651"/>
      <c r="AJ73" s="4651"/>
      <c r="AK73" s="4651"/>
      <c r="AL73" s="4651"/>
      <c r="AM73" s="4651"/>
      <c r="AN73" s="4651"/>
      <c r="AO73" s="4651"/>
      <c r="AP73" s="4651"/>
      <c r="AQ73" s="4651"/>
      <c r="AR73" s="4651"/>
      <c r="AS73" s="4651"/>
      <c r="AT73" s="4651"/>
      <c r="AU73" s="4651"/>
      <c r="AV73" s="4651"/>
      <c r="AW73" s="4651"/>
      <c r="AX73" s="4651"/>
      <c r="AY73" s="4651"/>
      <c r="AZ73" s="4651"/>
      <c r="BA73" s="4651"/>
      <c r="BB73" s="4651"/>
      <c r="BC73" s="4651"/>
      <c r="BD73" s="4651"/>
      <c r="BE73" s="4651"/>
      <c r="BF73" s="4651"/>
      <c r="BG73" s="4651"/>
      <c r="BH73" s="4651"/>
      <c r="BI73" s="4651"/>
      <c r="BJ73" s="4651"/>
      <c r="BK73" s="4651"/>
      <c r="BL73" s="4651"/>
      <c r="BM73" s="4651"/>
      <c r="BN73" s="4651"/>
      <c r="BO73" s="4651"/>
      <c r="BP73" s="4651"/>
      <c r="BQ73" s="4651"/>
      <c r="BR73" s="4651"/>
      <c r="BS73" s="4651"/>
      <c r="BT73" s="4651"/>
      <c r="BU73" s="4651"/>
      <c r="BV73" s="4651"/>
      <c r="BW73" s="4651"/>
      <c r="BX73" s="4651"/>
      <c r="BY73" s="4651"/>
      <c r="BZ73" s="4651"/>
      <c r="CA73" s="4685" t="str">
        <f t="shared" si="24"/>
        <v/>
      </c>
      <c r="CB73" s="4685" t="str">
        <f t="shared" si="25"/>
        <v/>
      </c>
      <c r="CC73" s="4685" t="str">
        <f t="shared" si="26"/>
        <v/>
      </c>
      <c r="CD73" s="4685" t="str">
        <f t="shared" si="27"/>
        <v/>
      </c>
      <c r="CE73" s="4655"/>
      <c r="CF73" s="4655"/>
      <c r="CG73" s="4655"/>
      <c r="CH73" s="4655"/>
      <c r="CI73" s="4655"/>
      <c r="CJ73" s="4655"/>
      <c r="CK73" s="4655"/>
      <c r="CL73" s="4655"/>
      <c r="CM73" s="4655"/>
      <c r="CN73" s="4655"/>
      <c r="CO73" s="4655"/>
      <c r="CP73" s="4655"/>
      <c r="CQ73" s="4655"/>
      <c r="CR73" s="4655"/>
      <c r="CS73" s="4655"/>
      <c r="CT73" s="4655"/>
      <c r="CU73" s="4655"/>
      <c r="CV73" s="4655"/>
      <c r="CW73" s="4655"/>
      <c r="CX73" s="4655"/>
      <c r="CY73" s="4655"/>
      <c r="CZ73" s="4655"/>
      <c r="DA73" s="4686">
        <f t="shared" si="28"/>
        <v>0</v>
      </c>
      <c r="DB73" s="4686">
        <f t="shared" si="29"/>
        <v>0</v>
      </c>
      <c r="DC73" s="4686">
        <f t="shared" si="30"/>
        <v>0</v>
      </c>
      <c r="DD73" s="4686">
        <f t="shared" si="31"/>
        <v>0</v>
      </c>
      <c r="DE73" s="4656"/>
      <c r="DF73" s="4656"/>
      <c r="DG73" s="4656"/>
      <c r="DH73" s="4656"/>
      <c r="DI73" s="4656"/>
      <c r="DJ73" s="4656"/>
      <c r="DK73" s="4656"/>
      <c r="DL73" s="4656"/>
      <c r="DM73" s="4656"/>
      <c r="DN73" s="4656"/>
      <c r="DO73" s="4656"/>
      <c r="DP73" s="4656"/>
      <c r="DQ73" s="4651"/>
      <c r="DR73" s="4651"/>
      <c r="DS73" s="4651"/>
      <c r="DT73" s="4651"/>
      <c r="DU73" s="4651"/>
      <c r="DV73" s="4651"/>
      <c r="DW73" s="4651"/>
      <c r="DX73" s="4651"/>
      <c r="DY73" s="4651"/>
    </row>
    <row r="74" spans="1:233" customFormat="1" ht="24.95" customHeight="1" x14ac:dyDescent="0.25">
      <c r="A74" s="10252"/>
      <c r="B74" s="4846" t="s">
        <v>2742</v>
      </c>
      <c r="C74" s="4841">
        <f>SUM(D74:F74)</f>
        <v>0</v>
      </c>
      <c r="D74" s="4622"/>
      <c r="E74" s="4842"/>
      <c r="F74" s="4359"/>
      <c r="G74" s="4843"/>
      <c r="H74" s="4844"/>
      <c r="I74" s="4844"/>
      <c r="J74" s="4845"/>
      <c r="K74" s="4651"/>
      <c r="L74" s="4651"/>
      <c r="M74" s="4651"/>
      <c r="N74" s="4651"/>
      <c r="O74" s="4651"/>
      <c r="P74" s="4651"/>
      <c r="Q74" s="4651"/>
      <c r="R74" s="4651"/>
      <c r="S74" s="4651"/>
      <c r="T74" s="4651"/>
      <c r="U74" s="4651"/>
      <c r="V74" s="4651"/>
      <c r="W74" s="4651"/>
      <c r="X74" s="4651"/>
      <c r="Y74" s="4651"/>
      <c r="Z74" s="4651"/>
      <c r="AA74" s="4651"/>
      <c r="AB74" s="4651"/>
      <c r="AC74" s="4651"/>
      <c r="AD74" s="4651"/>
      <c r="AE74" s="4651"/>
      <c r="AF74" s="4651"/>
      <c r="AG74" s="4651"/>
      <c r="AH74" s="4651"/>
      <c r="AI74" s="4651"/>
      <c r="AJ74" s="4651"/>
      <c r="AK74" s="4651"/>
      <c r="AL74" s="4651"/>
      <c r="AM74" s="4651"/>
      <c r="AN74" s="4651"/>
      <c r="AO74" s="4651"/>
      <c r="AP74" s="4651"/>
      <c r="AQ74" s="4651"/>
      <c r="AR74" s="4651"/>
      <c r="AS74" s="4651"/>
      <c r="AT74" s="4651"/>
      <c r="AU74" s="4651"/>
      <c r="AV74" s="4651"/>
      <c r="AW74" s="4651"/>
      <c r="AX74" s="4651"/>
      <c r="AY74" s="4651"/>
      <c r="AZ74" s="4651"/>
      <c r="BA74" s="4651"/>
      <c r="BB74" s="4651"/>
      <c r="BC74" s="4651"/>
      <c r="BD74" s="4651"/>
      <c r="BE74" s="4651"/>
      <c r="BF74" s="4651"/>
      <c r="BG74" s="4651"/>
      <c r="BH74" s="4651"/>
      <c r="BI74" s="4651"/>
      <c r="BJ74" s="4651"/>
      <c r="BK74" s="4651"/>
      <c r="BL74" s="4651"/>
      <c r="BM74" s="4651"/>
      <c r="BN74" s="4651"/>
      <c r="BO74" s="4651"/>
      <c r="BP74" s="4651"/>
      <c r="BQ74" s="4651"/>
      <c r="BR74" s="4651"/>
      <c r="BS74" s="4651"/>
      <c r="BT74" s="4651"/>
      <c r="BU74" s="4651"/>
      <c r="BV74" s="4651"/>
      <c r="BW74" s="4651"/>
      <c r="BX74" s="4651"/>
      <c r="BY74" s="4651"/>
      <c r="BZ74" s="4651"/>
      <c r="CA74" s="4685" t="str">
        <f t="shared" si="24"/>
        <v/>
      </c>
      <c r="CB74" s="4685" t="str">
        <f t="shared" si="25"/>
        <v/>
      </c>
      <c r="CC74" s="4685" t="str">
        <f t="shared" si="26"/>
        <v/>
      </c>
      <c r="CD74" s="4685" t="str">
        <f t="shared" si="27"/>
        <v/>
      </c>
      <c r="CE74" s="4655"/>
      <c r="CF74" s="4655"/>
      <c r="CG74" s="4655"/>
      <c r="CH74" s="4655"/>
      <c r="CI74" s="4655"/>
      <c r="CJ74" s="4655"/>
      <c r="CK74" s="4655"/>
      <c r="CL74" s="4655"/>
      <c r="CM74" s="4655"/>
      <c r="CN74" s="4655"/>
      <c r="CO74" s="4655"/>
      <c r="CP74" s="4655"/>
      <c r="CQ74" s="4655"/>
      <c r="CR74" s="4655"/>
      <c r="CS74" s="4655"/>
      <c r="CT74" s="4655"/>
      <c r="CU74" s="4655"/>
      <c r="CV74" s="4655"/>
      <c r="CW74" s="4655"/>
      <c r="CX74" s="4655"/>
      <c r="CY74" s="4655"/>
      <c r="CZ74" s="4655"/>
      <c r="DA74" s="4686">
        <f t="shared" si="28"/>
        <v>0</v>
      </c>
      <c r="DB74" s="4686">
        <f t="shared" si="29"/>
        <v>0</v>
      </c>
      <c r="DC74" s="4686">
        <f t="shared" si="30"/>
        <v>0</v>
      </c>
      <c r="DD74" s="4686">
        <f t="shared" si="31"/>
        <v>0</v>
      </c>
      <c r="DE74" s="4656"/>
      <c r="DF74" s="4656"/>
      <c r="DG74" s="4656"/>
      <c r="DH74" s="4656"/>
      <c r="DI74" s="4656"/>
      <c r="DJ74" s="4656"/>
      <c r="DK74" s="4656"/>
      <c r="DL74" s="4656"/>
      <c r="DM74" s="4656"/>
      <c r="DN74" s="4656"/>
      <c r="DO74" s="4656"/>
      <c r="DP74" s="4656"/>
      <c r="DQ74" s="4651"/>
      <c r="DR74" s="4651"/>
      <c r="DS74" s="4651"/>
      <c r="DT74" s="4651"/>
      <c r="DU74" s="4651"/>
      <c r="DV74" s="4651"/>
      <c r="DW74" s="4651"/>
      <c r="DX74" s="4651"/>
      <c r="DY74" s="4651"/>
    </row>
    <row r="75" spans="1:233" customFormat="1" ht="24.75" customHeight="1" x14ac:dyDescent="0.25">
      <c r="A75" s="10252"/>
      <c r="B75" s="4846" t="s">
        <v>2743</v>
      </c>
      <c r="C75" s="4841">
        <f>SUM(D75:F75)</f>
        <v>0</v>
      </c>
      <c r="D75" s="4622"/>
      <c r="E75" s="4842"/>
      <c r="F75" s="4359"/>
      <c r="G75" s="4843"/>
      <c r="H75" s="4844"/>
      <c r="I75" s="4844"/>
      <c r="J75" s="4845"/>
      <c r="K75" s="4651"/>
      <c r="L75" s="4651"/>
      <c r="M75" s="4651"/>
      <c r="N75" s="4651"/>
      <c r="O75" s="4651"/>
      <c r="P75" s="4651"/>
      <c r="Q75" s="4651"/>
      <c r="R75" s="4651"/>
      <c r="S75" s="4651"/>
      <c r="T75" s="4651"/>
      <c r="U75" s="4651"/>
      <c r="V75" s="4651"/>
      <c r="W75" s="4651"/>
      <c r="X75" s="4651"/>
      <c r="Y75" s="4651"/>
      <c r="Z75" s="4651"/>
      <c r="AA75" s="4651"/>
      <c r="AB75" s="4651"/>
      <c r="AC75" s="4651"/>
      <c r="AD75" s="4651"/>
      <c r="AE75" s="4651"/>
      <c r="AF75" s="4651"/>
      <c r="AG75" s="4651"/>
      <c r="AH75" s="4651"/>
      <c r="AI75" s="4651"/>
      <c r="AJ75" s="4651"/>
      <c r="AK75" s="4651"/>
      <c r="AL75" s="4651"/>
      <c r="AM75" s="4651"/>
      <c r="AN75" s="4651"/>
      <c r="AO75" s="4651"/>
      <c r="AP75" s="4651"/>
      <c r="AQ75" s="4651"/>
      <c r="AR75" s="4651"/>
      <c r="AS75" s="4651"/>
      <c r="AT75" s="4651"/>
      <c r="AU75" s="4651"/>
      <c r="AV75" s="4651"/>
      <c r="AW75" s="4651"/>
      <c r="AX75" s="4651"/>
      <c r="AY75" s="4651"/>
      <c r="AZ75" s="4651"/>
      <c r="BA75" s="4651"/>
      <c r="BB75" s="4651"/>
      <c r="BC75" s="4651"/>
      <c r="BD75" s="4651"/>
      <c r="BE75" s="4651"/>
      <c r="BF75" s="4651"/>
      <c r="BG75" s="4651"/>
      <c r="BH75" s="4651"/>
      <c r="BI75" s="4651"/>
      <c r="BJ75" s="4651"/>
      <c r="BK75" s="4651"/>
      <c r="BL75" s="4651"/>
      <c r="BM75" s="4651"/>
      <c r="BN75" s="4651"/>
      <c r="BO75" s="4651"/>
      <c r="BP75" s="4651"/>
      <c r="BQ75" s="4651"/>
      <c r="BR75" s="4651"/>
      <c r="BS75" s="4651"/>
      <c r="BT75" s="4651"/>
      <c r="BU75" s="4651"/>
      <c r="BV75" s="4651"/>
      <c r="BW75" s="4651"/>
      <c r="BX75" s="4651"/>
      <c r="BY75" s="4651"/>
      <c r="BZ75" s="4651"/>
      <c r="CA75" s="4685" t="str">
        <f t="shared" si="24"/>
        <v/>
      </c>
      <c r="CB75" s="4685" t="str">
        <f t="shared" si="25"/>
        <v/>
      </c>
      <c r="CC75" s="4685" t="str">
        <f t="shared" si="26"/>
        <v/>
      </c>
      <c r="CD75" s="4685" t="str">
        <f t="shared" si="27"/>
        <v/>
      </c>
      <c r="CE75" s="4655"/>
      <c r="CF75" s="4655"/>
      <c r="CG75" s="4655"/>
      <c r="CH75" s="4655"/>
      <c r="CI75" s="4655"/>
      <c r="CJ75" s="4655"/>
      <c r="CK75" s="4655"/>
      <c r="CL75" s="4655"/>
      <c r="CM75" s="4655"/>
      <c r="CN75" s="4655"/>
      <c r="CO75" s="4655"/>
      <c r="CP75" s="4655"/>
      <c r="CQ75" s="4655"/>
      <c r="CR75" s="4655"/>
      <c r="CS75" s="4655"/>
      <c r="CT75" s="4655"/>
      <c r="CU75" s="4655"/>
      <c r="CV75" s="4655"/>
      <c r="CW75" s="4655"/>
      <c r="CX75" s="4655"/>
      <c r="CY75" s="4655"/>
      <c r="CZ75" s="4655"/>
      <c r="DA75" s="4686">
        <f t="shared" si="28"/>
        <v>0</v>
      </c>
      <c r="DB75" s="4686">
        <f t="shared" si="29"/>
        <v>0</v>
      </c>
      <c r="DC75" s="4686">
        <f t="shared" si="30"/>
        <v>0</v>
      </c>
      <c r="DD75" s="4686">
        <f t="shared" si="31"/>
        <v>0</v>
      </c>
      <c r="DE75" s="4656"/>
      <c r="DF75" s="4656"/>
      <c r="DG75" s="4656"/>
      <c r="DH75" s="4656"/>
      <c r="DI75" s="4656"/>
      <c r="DJ75" s="4656"/>
      <c r="DK75" s="4656"/>
      <c r="DL75" s="4656"/>
      <c r="DM75" s="4656"/>
      <c r="DN75" s="4656"/>
      <c r="DO75" s="4656"/>
      <c r="DP75" s="4656"/>
      <c r="DQ75" s="4651"/>
      <c r="DR75" s="4651"/>
      <c r="DS75" s="4651"/>
      <c r="DT75" s="4651"/>
      <c r="DU75" s="4651"/>
      <c r="DV75" s="4651"/>
      <c r="DW75" s="4651"/>
      <c r="DX75" s="4651"/>
      <c r="DY75" s="4651"/>
    </row>
    <row r="76" spans="1:233" customFormat="1" ht="24" customHeight="1" x14ac:dyDescent="0.25">
      <c r="A76" s="10252"/>
      <c r="B76" s="4846" t="s">
        <v>2744</v>
      </c>
      <c r="C76" s="4841">
        <f>SUM(D76:F76)</f>
        <v>0</v>
      </c>
      <c r="D76" s="4622"/>
      <c r="E76" s="4842"/>
      <c r="F76" s="4359"/>
      <c r="G76" s="4843"/>
      <c r="H76" s="4844"/>
      <c r="I76" s="4844"/>
      <c r="J76" s="4845"/>
      <c r="K76" s="4651"/>
      <c r="L76" s="4651"/>
      <c r="M76" s="4651"/>
      <c r="N76" s="4651"/>
      <c r="O76" s="4651"/>
      <c r="P76" s="4651"/>
      <c r="Q76" s="4651"/>
      <c r="R76" s="4651"/>
      <c r="S76" s="4651"/>
      <c r="T76" s="4651"/>
      <c r="U76" s="4651"/>
      <c r="V76" s="4651"/>
      <c r="W76" s="4651"/>
      <c r="X76" s="4651"/>
      <c r="Y76" s="4651"/>
      <c r="Z76" s="4651"/>
      <c r="AA76" s="4651"/>
      <c r="AB76" s="4651"/>
      <c r="AC76" s="4651"/>
      <c r="AD76" s="4651"/>
      <c r="AE76" s="4651"/>
      <c r="AF76" s="4651"/>
      <c r="AG76" s="4651"/>
      <c r="AH76" s="4651"/>
      <c r="AI76" s="4651"/>
      <c r="AJ76" s="4651"/>
      <c r="AK76" s="4651"/>
      <c r="AL76" s="4651"/>
      <c r="AM76" s="4651"/>
      <c r="AN76" s="4651"/>
      <c r="AO76" s="4651"/>
      <c r="AP76" s="4651"/>
      <c r="AQ76" s="4651"/>
      <c r="AR76" s="4651"/>
      <c r="AS76" s="4651"/>
      <c r="AT76" s="4651"/>
      <c r="AU76" s="4651"/>
      <c r="AV76" s="4651"/>
      <c r="AW76" s="4651"/>
      <c r="AX76" s="4651"/>
      <c r="AY76" s="4651"/>
      <c r="AZ76" s="4651"/>
      <c r="BA76" s="4651"/>
      <c r="BB76" s="4651"/>
      <c r="BC76" s="4651"/>
      <c r="BD76" s="4651"/>
      <c r="BE76" s="4651"/>
      <c r="BF76" s="4651"/>
      <c r="BG76" s="4651"/>
      <c r="BH76" s="4651"/>
      <c r="BI76" s="4651"/>
      <c r="BJ76" s="4651"/>
      <c r="BK76" s="4651"/>
      <c r="BL76" s="4651"/>
      <c r="BM76" s="4651"/>
      <c r="BN76" s="4651"/>
      <c r="BO76" s="4651"/>
      <c r="BP76" s="4651"/>
      <c r="BQ76" s="4651"/>
      <c r="BR76" s="4651"/>
      <c r="BS76" s="4651"/>
      <c r="BT76" s="4651"/>
      <c r="BU76" s="4651"/>
      <c r="BV76" s="4651"/>
      <c r="BW76" s="4651"/>
      <c r="BX76" s="4651"/>
      <c r="BY76" s="4651"/>
      <c r="BZ76" s="4651"/>
      <c r="CA76" s="4685" t="str">
        <f>IF(DA76=1,"* Pueblos Originarios debe ser MENOR O IGUAL al Total. ","")</f>
        <v/>
      </c>
      <c r="CB76" s="4685" t="str">
        <f>IF(DB76=1,"* Migrantes debe ser MENOR O IGUAL al Total. ","")</f>
        <v/>
      </c>
      <c r="CC76" s="4685" t="str">
        <f>IF(DC76=1,"* Multimorbilidad Crónica debe ser MENOR O IGUAL al Total. ","")</f>
        <v/>
      </c>
      <c r="CD76" s="4685" t="str">
        <f>IF(DD76=1,"* Población ELEAM o Institucionalizada debe ser MENOR O IGUAL al Total. ","")</f>
        <v/>
      </c>
      <c r="CE76" s="4655"/>
      <c r="CF76" s="4655"/>
      <c r="CG76" s="4655"/>
      <c r="CH76" s="4655"/>
      <c r="CI76" s="4655"/>
      <c r="CJ76" s="4655"/>
      <c r="CK76" s="4655"/>
      <c r="CL76" s="4655"/>
      <c r="CM76" s="4655"/>
      <c r="CN76" s="4655"/>
      <c r="CO76" s="4655"/>
      <c r="CP76" s="4655"/>
      <c r="CQ76" s="4655"/>
      <c r="CR76" s="4655"/>
      <c r="CS76" s="4655"/>
      <c r="CT76" s="4655"/>
      <c r="CU76" s="4655"/>
      <c r="CV76" s="4655"/>
      <c r="CW76" s="4655"/>
      <c r="CX76" s="4655"/>
      <c r="CY76" s="4655"/>
      <c r="CZ76" s="4655"/>
      <c r="DA76" s="4686">
        <f t="shared" si="28"/>
        <v>0</v>
      </c>
      <c r="DB76" s="4686">
        <f t="shared" si="29"/>
        <v>0</v>
      </c>
      <c r="DC76" s="4686">
        <f t="shared" si="30"/>
        <v>0</v>
      </c>
      <c r="DD76" s="4686">
        <f t="shared" si="31"/>
        <v>0</v>
      </c>
      <c r="DE76" s="4656"/>
      <c r="DF76" s="4656"/>
      <c r="DG76" s="4656"/>
      <c r="DH76" s="4656"/>
      <c r="DI76" s="4656"/>
      <c r="DJ76" s="4656"/>
      <c r="DK76" s="4656"/>
      <c r="DL76" s="4656"/>
      <c r="DM76" s="4656"/>
      <c r="DN76" s="4656"/>
      <c r="DO76" s="4656"/>
      <c r="DP76" s="4656"/>
      <c r="DQ76" s="4651"/>
      <c r="DR76" s="4651"/>
      <c r="DS76" s="4651"/>
      <c r="DT76" s="4651"/>
      <c r="DU76" s="4651"/>
      <c r="DV76" s="4651"/>
      <c r="DW76" s="4651"/>
      <c r="DX76" s="4651"/>
      <c r="DY76" s="4651"/>
    </row>
    <row r="77" spans="1:233" customFormat="1" ht="27" customHeight="1" x14ac:dyDescent="0.25">
      <c r="A77" s="10252"/>
      <c r="B77" s="7224" t="s">
        <v>2745</v>
      </c>
      <c r="C77" s="4849">
        <f>SUM(D77:F77)</f>
        <v>0</v>
      </c>
      <c r="D77" s="4625"/>
      <c r="E77" s="4850"/>
      <c r="F77" s="4851"/>
      <c r="G77" s="4852"/>
      <c r="H77" s="4739"/>
      <c r="I77" s="4739"/>
      <c r="J77" s="4853"/>
      <c r="K77" s="4651"/>
      <c r="L77" s="4651"/>
      <c r="M77" s="4651"/>
      <c r="N77" s="4651"/>
      <c r="O77" s="4651"/>
      <c r="P77" s="4651"/>
      <c r="Q77" s="4651"/>
      <c r="R77" s="4651"/>
      <c r="S77" s="4651"/>
      <c r="T77" s="4651"/>
      <c r="U77" s="4651"/>
      <c r="V77" s="4651"/>
      <c r="W77" s="4651"/>
      <c r="X77" s="4651"/>
      <c r="Y77" s="4651"/>
      <c r="Z77" s="4651"/>
      <c r="AA77" s="4651"/>
      <c r="AB77" s="4651"/>
      <c r="AC77" s="4651"/>
      <c r="AD77" s="4651"/>
      <c r="AE77" s="4651"/>
      <c r="AF77" s="4651"/>
      <c r="AG77" s="4651"/>
      <c r="AH77" s="4651"/>
      <c r="AI77" s="4651"/>
      <c r="AJ77" s="4651"/>
      <c r="AK77" s="4651"/>
      <c r="AL77" s="4651"/>
      <c r="AM77" s="4651"/>
      <c r="AN77" s="4651"/>
      <c r="AO77" s="4651"/>
      <c r="AP77" s="4651"/>
      <c r="AQ77" s="4651"/>
      <c r="AR77" s="4651"/>
      <c r="AS77" s="4651"/>
      <c r="AT77" s="4651"/>
      <c r="AU77" s="4651"/>
      <c r="AV77" s="4651"/>
      <c r="AW77" s="4651"/>
      <c r="AX77" s="4651"/>
      <c r="AY77" s="4651"/>
      <c r="AZ77" s="4651"/>
      <c r="BA77" s="4651"/>
      <c r="BB77" s="4651"/>
      <c r="BC77" s="4651"/>
      <c r="BD77" s="4651"/>
      <c r="BE77" s="4651"/>
      <c r="BF77" s="4651"/>
      <c r="BG77" s="4651"/>
      <c r="BH77" s="4651"/>
      <c r="BI77" s="4651"/>
      <c r="BJ77" s="4651"/>
      <c r="BK77" s="4651"/>
      <c r="BL77" s="4651"/>
      <c r="BM77" s="4651"/>
      <c r="BN77" s="4651"/>
      <c r="BO77" s="4651"/>
      <c r="BP77" s="4651"/>
      <c r="BQ77" s="4651"/>
      <c r="BR77" s="4651"/>
      <c r="BS77" s="4651"/>
      <c r="BT77" s="4651"/>
      <c r="BU77" s="4651"/>
      <c r="BV77" s="4651"/>
      <c r="BW77" s="4651"/>
      <c r="BX77" s="4651"/>
      <c r="BY77" s="4651"/>
      <c r="BZ77" s="4651"/>
      <c r="CA77" s="4685" t="str">
        <f>IF(DA77=1,"* Pueblos Originarios debe ser MENOR O IGUAL al Total. ","")</f>
        <v/>
      </c>
      <c r="CB77" s="4685" t="str">
        <f>IF(DB77=1,"* Migrantes debe ser MENOR O IGUAL al Total. ","")</f>
        <v/>
      </c>
      <c r="CC77" s="4685" t="str">
        <f>IF(DC77=1,"* Multimorbilidad Crónica debe ser MENOR O IGUAL al Total. ","")</f>
        <v/>
      </c>
      <c r="CD77" s="4685" t="str">
        <f>IF(DD77=1,"* Población ELEAM o Institucionalizada debe ser MENOR O IGUAL al Total. ","")</f>
        <v/>
      </c>
      <c r="CE77" s="4655"/>
      <c r="CF77" s="4655"/>
      <c r="CG77" s="4655"/>
      <c r="CH77" s="4655"/>
      <c r="CI77" s="4655"/>
      <c r="CJ77" s="4655"/>
      <c r="CK77" s="4655"/>
      <c r="CL77" s="4655"/>
      <c r="CM77" s="4655"/>
      <c r="CN77" s="4655"/>
      <c r="CO77" s="4655"/>
      <c r="CP77" s="4655"/>
      <c r="CQ77" s="4655"/>
      <c r="CR77" s="4655"/>
      <c r="CS77" s="4655"/>
      <c r="CT77" s="4655"/>
      <c r="CU77" s="4655"/>
      <c r="CV77" s="4655"/>
      <c r="CW77" s="4655"/>
      <c r="CX77" s="4655"/>
      <c r="CY77" s="4655"/>
      <c r="CZ77" s="4655"/>
      <c r="DA77" s="4686">
        <f t="shared" si="28"/>
        <v>0</v>
      </c>
      <c r="DB77" s="4686">
        <f t="shared" si="29"/>
        <v>0</v>
      </c>
      <c r="DC77" s="4686">
        <f t="shared" si="30"/>
        <v>0</v>
      </c>
      <c r="DD77" s="4686">
        <f t="shared" si="31"/>
        <v>0</v>
      </c>
      <c r="DE77" s="4656"/>
      <c r="DF77" s="4656"/>
      <c r="DG77" s="4656"/>
      <c r="DH77" s="4656"/>
      <c r="DI77" s="4656"/>
      <c r="DJ77" s="4656"/>
      <c r="DK77" s="4656"/>
      <c r="DL77" s="4656"/>
      <c r="DM77" s="4656"/>
      <c r="DN77" s="4656"/>
      <c r="DO77" s="4656"/>
      <c r="DP77" s="4656"/>
      <c r="DQ77" s="4651"/>
      <c r="DR77" s="4651"/>
      <c r="DS77" s="4651"/>
      <c r="DT77" s="4651"/>
      <c r="DU77" s="4651"/>
      <c r="DV77" s="4651"/>
      <c r="DW77" s="4651"/>
      <c r="DX77" s="4651"/>
      <c r="DY77" s="4651"/>
    </row>
    <row r="78" spans="1:233" s="4688" customFormat="1" ht="32.1" customHeight="1" x14ac:dyDescent="0.2">
      <c r="A78" s="4071" t="s">
        <v>1681</v>
      </c>
      <c r="B78" s="4816"/>
      <c r="C78" s="4816"/>
      <c r="D78" s="4816"/>
      <c r="E78" s="4816"/>
      <c r="F78" s="4816"/>
      <c r="G78" s="4854"/>
      <c r="H78" s="4855"/>
      <c r="I78" s="4856"/>
      <c r="J78" s="4627"/>
      <c r="K78" s="4651"/>
      <c r="L78" s="4651"/>
      <c r="M78" s="4651"/>
      <c r="N78" s="4651"/>
      <c r="O78" s="4651"/>
      <c r="P78" s="4651"/>
      <c r="Q78" s="4651"/>
      <c r="R78" s="4651"/>
      <c r="S78" s="4651"/>
      <c r="T78" s="4651"/>
      <c r="U78" s="4651"/>
      <c r="V78" s="4651"/>
      <c r="W78" s="4651"/>
      <c r="X78" s="4651"/>
      <c r="Y78" s="4651"/>
      <c r="Z78" s="4651"/>
      <c r="AA78" s="4651"/>
      <c r="AB78" s="4651"/>
      <c r="AC78" s="4651"/>
      <c r="AD78" s="4651"/>
      <c r="AE78" s="4651"/>
      <c r="AF78" s="4651"/>
      <c r="AG78" s="4651"/>
      <c r="AH78" s="4651"/>
      <c r="AI78" s="4651"/>
      <c r="AJ78" s="4651"/>
      <c r="AK78" s="4651"/>
      <c r="AL78" s="4651"/>
      <c r="AM78" s="4651"/>
      <c r="AN78" s="4651"/>
      <c r="AO78" s="4651"/>
      <c r="AP78" s="4651"/>
      <c r="AQ78" s="4651"/>
      <c r="AR78" s="4651"/>
      <c r="AS78" s="4651"/>
      <c r="AT78" s="4651"/>
      <c r="AU78" s="4651"/>
      <c r="AV78" s="4651"/>
      <c r="AW78" s="4651"/>
      <c r="AX78" s="4651"/>
      <c r="AY78" s="4651"/>
      <c r="AZ78" s="4651"/>
      <c r="BA78" s="4651"/>
      <c r="BB78" s="4651"/>
      <c r="BC78" s="4651"/>
      <c r="BD78" s="4651"/>
      <c r="BE78" s="4651"/>
      <c r="BF78" s="4651"/>
      <c r="BG78" s="4651"/>
      <c r="BH78" s="4651"/>
      <c r="BI78" s="4651"/>
      <c r="BJ78" s="4651"/>
      <c r="BK78" s="4651"/>
      <c r="BL78" s="4651"/>
      <c r="BM78" s="4651"/>
      <c r="BN78" s="4651"/>
      <c r="BO78" s="4651"/>
      <c r="BP78" s="4651"/>
      <c r="BQ78" s="4651"/>
      <c r="BR78" s="4651"/>
      <c r="BS78" s="4651"/>
      <c r="BT78" s="4651"/>
      <c r="BU78" s="4651"/>
      <c r="BV78" s="4651"/>
      <c r="BW78" s="4651"/>
      <c r="BX78" s="4651"/>
      <c r="BY78" s="4651"/>
      <c r="BZ78" s="4651"/>
      <c r="CA78" s="4655"/>
      <c r="CB78" s="4655"/>
      <c r="CC78" s="4655"/>
      <c r="CD78" s="4655"/>
      <c r="CE78" s="4655"/>
      <c r="CF78" s="4655"/>
      <c r="CG78" s="4655"/>
      <c r="CH78" s="4655"/>
      <c r="CI78" s="4655"/>
      <c r="CJ78" s="4655"/>
      <c r="CK78" s="4655"/>
      <c r="CL78" s="4655"/>
      <c r="CM78" s="4655"/>
      <c r="CN78" s="4655"/>
      <c r="CO78" s="4655"/>
      <c r="CP78" s="4655"/>
      <c r="CQ78" s="4655"/>
      <c r="CR78" s="4655"/>
      <c r="CS78" s="4655"/>
      <c r="CT78" s="4655"/>
      <c r="CU78" s="4655"/>
      <c r="CV78" s="4655"/>
      <c r="CW78" s="4655"/>
      <c r="CX78" s="4655"/>
      <c r="CY78" s="4655"/>
      <c r="CZ78" s="4655"/>
      <c r="DA78" s="4656"/>
      <c r="DB78" s="4656"/>
      <c r="DC78" s="4656"/>
      <c r="DD78" s="4656"/>
      <c r="DE78" s="4656"/>
      <c r="DF78" s="4656"/>
      <c r="DG78" s="4656"/>
      <c r="DH78" s="4656"/>
      <c r="DI78" s="4656"/>
      <c r="DJ78" s="4656"/>
      <c r="DK78" s="4656"/>
      <c r="DL78" s="4656"/>
      <c r="DM78" s="4656"/>
      <c r="DN78" s="4656"/>
      <c r="DO78" s="4656"/>
      <c r="DP78" s="4656"/>
      <c r="DQ78" s="4651"/>
      <c r="DR78" s="4651"/>
      <c r="DS78" s="4651"/>
      <c r="DT78" s="4651"/>
      <c r="DU78" s="4651"/>
      <c r="DV78" s="4651"/>
      <c r="DW78" s="4651"/>
      <c r="DX78" s="4651"/>
      <c r="DY78" s="4651"/>
      <c r="DZ78" s="4653"/>
      <c r="EA78" s="4653"/>
      <c r="EB78" s="4653"/>
      <c r="EC78" s="4653"/>
      <c r="ED78" s="4653"/>
      <c r="EE78" s="4653"/>
      <c r="EF78" s="4653"/>
      <c r="EG78" s="4653"/>
      <c r="EH78" s="4653"/>
      <c r="EI78" s="4653"/>
      <c r="EJ78" s="4653"/>
      <c r="EK78" s="4653"/>
      <c r="EL78" s="4653"/>
      <c r="EM78" s="4653"/>
      <c r="EN78" s="4653"/>
      <c r="EO78" s="4653"/>
      <c r="EP78" s="4653"/>
      <c r="EQ78" s="4653"/>
      <c r="ER78" s="4653"/>
      <c r="ES78" s="4653"/>
      <c r="ET78" s="4653"/>
      <c r="EU78" s="4653"/>
      <c r="EV78" s="4653"/>
      <c r="EW78" s="4653"/>
      <c r="EX78" s="4653"/>
      <c r="EY78" s="4653"/>
      <c r="EZ78" s="4653"/>
      <c r="FA78" s="4653"/>
      <c r="FB78" s="4653"/>
      <c r="FC78" s="4653"/>
      <c r="FD78" s="4653"/>
      <c r="FE78" s="4653"/>
      <c r="FF78" s="4653"/>
      <c r="FG78" s="4653"/>
      <c r="FH78" s="4653"/>
      <c r="FI78" s="4653"/>
      <c r="FJ78" s="4653"/>
      <c r="FK78" s="4653"/>
      <c r="FL78" s="4653"/>
      <c r="FM78" s="4653"/>
      <c r="FN78" s="4653"/>
      <c r="FO78" s="4653"/>
      <c r="FP78" s="4653"/>
      <c r="FQ78" s="4653"/>
      <c r="FR78" s="4653"/>
      <c r="FS78" s="4653"/>
      <c r="FT78" s="4653"/>
      <c r="FU78" s="4653"/>
      <c r="FV78" s="4653"/>
      <c r="FW78" s="4653"/>
      <c r="FX78" s="4653"/>
      <c r="FY78" s="4653"/>
      <c r="FZ78" s="4653"/>
      <c r="GA78" s="4653"/>
      <c r="GB78" s="4653"/>
      <c r="GC78" s="4653"/>
      <c r="GD78" s="4653"/>
      <c r="GE78" s="4653"/>
      <c r="GF78" s="4653"/>
      <c r="GG78" s="4653"/>
      <c r="GH78" s="4653"/>
      <c r="GI78" s="4653"/>
      <c r="GJ78" s="4653"/>
      <c r="GK78" s="4653"/>
      <c r="GL78" s="4653"/>
      <c r="GM78" s="4653"/>
      <c r="GN78" s="4653"/>
      <c r="GO78" s="4653"/>
      <c r="GP78" s="4653"/>
      <c r="GQ78" s="4653"/>
      <c r="GR78" s="4653"/>
      <c r="GS78" s="4653"/>
      <c r="GT78" s="4653"/>
      <c r="GU78" s="4653"/>
      <c r="GV78" s="4653"/>
      <c r="GW78" s="4653"/>
      <c r="GX78" s="4653"/>
      <c r="GY78" s="4653"/>
      <c r="GZ78" s="4653"/>
      <c r="HA78" s="4653"/>
      <c r="HB78" s="4653"/>
      <c r="HC78" s="4653"/>
      <c r="HD78" s="4653"/>
      <c r="HE78" s="4653"/>
      <c r="HF78" s="4653"/>
      <c r="HG78" s="4653"/>
      <c r="HH78" s="4653"/>
      <c r="HI78" s="4653"/>
      <c r="HJ78" s="4653"/>
      <c r="HK78" s="4653"/>
      <c r="HL78" s="4653"/>
      <c r="HM78" s="4653"/>
      <c r="HN78" s="4653"/>
      <c r="HO78" s="4653"/>
      <c r="HP78" s="4653"/>
      <c r="HQ78" s="4653"/>
      <c r="HR78" s="4653"/>
      <c r="HS78" s="4653"/>
      <c r="HT78" s="4653"/>
      <c r="HU78" s="4653"/>
      <c r="HV78" s="4653"/>
      <c r="HW78" s="4653"/>
      <c r="HX78" s="4653"/>
      <c r="HY78" s="4653"/>
    </row>
    <row r="79" spans="1:233" s="4688" customFormat="1" x14ac:dyDescent="0.2">
      <c r="A79" s="9043" t="s">
        <v>1680</v>
      </c>
      <c r="B79" s="10240"/>
      <c r="C79" s="10243" t="s">
        <v>1679</v>
      </c>
      <c r="D79" s="10243"/>
      <c r="E79" s="10243"/>
      <c r="F79" s="10243"/>
      <c r="G79" s="10244"/>
      <c r="H79" s="8781" t="s">
        <v>1678</v>
      </c>
      <c r="I79" s="9042"/>
      <c r="J79" s="4328"/>
      <c r="K79" s="4651"/>
      <c r="L79" s="4651"/>
      <c r="M79" s="4651"/>
      <c r="N79" s="4651"/>
      <c r="O79" s="4651"/>
      <c r="P79" s="4651"/>
      <c r="Q79" s="4651"/>
      <c r="R79" s="4651"/>
      <c r="S79" s="4651"/>
      <c r="T79" s="4651"/>
      <c r="U79" s="4651"/>
      <c r="V79" s="4651"/>
      <c r="W79" s="4651"/>
      <c r="X79" s="4651"/>
      <c r="Y79" s="4651"/>
      <c r="Z79" s="4651"/>
      <c r="AA79" s="4651"/>
      <c r="AB79" s="4651"/>
      <c r="AC79" s="4651"/>
      <c r="AD79" s="4651"/>
      <c r="AE79" s="4651"/>
      <c r="AF79" s="4651"/>
      <c r="AG79" s="4651"/>
      <c r="AH79" s="4651"/>
      <c r="AI79" s="4651"/>
      <c r="AJ79" s="4651"/>
      <c r="AK79" s="4651"/>
      <c r="AL79" s="4651"/>
      <c r="AM79" s="4651"/>
      <c r="AN79" s="4651"/>
      <c r="AO79" s="4651"/>
      <c r="AP79" s="4651"/>
      <c r="AQ79" s="4651"/>
      <c r="AR79" s="4651"/>
      <c r="AS79" s="4651"/>
      <c r="AT79" s="4651"/>
      <c r="AU79" s="4651"/>
      <c r="AV79" s="4651"/>
      <c r="AW79" s="4651"/>
      <c r="AX79" s="4651"/>
      <c r="AY79" s="4651"/>
      <c r="AZ79" s="4651"/>
      <c r="BA79" s="4651"/>
      <c r="BB79" s="4651"/>
      <c r="BC79" s="4651"/>
      <c r="BD79" s="4651"/>
      <c r="BE79" s="4651"/>
      <c r="BF79" s="4651"/>
      <c r="BG79" s="4651"/>
      <c r="BH79" s="4651"/>
      <c r="BI79" s="4651"/>
      <c r="BJ79" s="4651"/>
      <c r="BK79" s="4651"/>
      <c r="BL79" s="4651"/>
      <c r="BM79" s="4651"/>
      <c r="BN79" s="4651"/>
      <c r="BO79" s="4651"/>
      <c r="BP79" s="4651"/>
      <c r="BQ79" s="4651"/>
      <c r="BR79" s="4651"/>
      <c r="BS79" s="4651"/>
      <c r="BT79" s="4651"/>
      <c r="BU79" s="4651"/>
      <c r="BV79" s="4651"/>
      <c r="BW79" s="4651"/>
      <c r="BX79" s="4651"/>
      <c r="BY79" s="4651"/>
      <c r="BZ79" s="4651"/>
      <c r="CA79" s="4655"/>
      <c r="CB79" s="4655"/>
      <c r="CC79" s="4655"/>
      <c r="CD79" s="4655"/>
      <c r="CE79" s="4655"/>
      <c r="CF79" s="4655"/>
      <c r="CG79" s="4655"/>
      <c r="CH79" s="4655"/>
      <c r="CI79" s="4655"/>
      <c r="CJ79" s="4655"/>
      <c r="CK79" s="4655"/>
      <c r="CL79" s="4655"/>
      <c r="CM79" s="4655"/>
      <c r="CN79" s="4655"/>
      <c r="CO79" s="4655"/>
      <c r="CP79" s="4655"/>
      <c r="CQ79" s="4655"/>
      <c r="CR79" s="4655"/>
      <c r="CS79" s="4655"/>
      <c r="CT79" s="4655"/>
      <c r="CU79" s="4655"/>
      <c r="CV79" s="4655"/>
      <c r="CW79" s="4655"/>
      <c r="CX79" s="4655"/>
      <c r="CY79" s="4655"/>
      <c r="CZ79" s="4655"/>
      <c r="DA79" s="4656"/>
      <c r="DB79" s="4656"/>
      <c r="DC79" s="4656"/>
      <c r="DD79" s="4656"/>
      <c r="DE79" s="4656"/>
      <c r="DF79" s="4656"/>
      <c r="DG79" s="4656"/>
      <c r="DH79" s="4656"/>
      <c r="DI79" s="4656"/>
      <c r="DJ79" s="4656"/>
      <c r="DK79" s="4656"/>
      <c r="DL79" s="4656"/>
      <c r="DM79" s="4656"/>
      <c r="DN79" s="4656"/>
      <c r="DO79" s="4656"/>
      <c r="DP79" s="4656"/>
      <c r="DQ79" s="4651"/>
      <c r="DR79" s="4651"/>
      <c r="DS79" s="4651"/>
      <c r="DT79" s="4651"/>
      <c r="DU79" s="4651"/>
      <c r="DV79" s="4651"/>
      <c r="DW79" s="4651"/>
      <c r="DX79" s="4651"/>
      <c r="DY79" s="4651"/>
      <c r="DZ79" s="4653"/>
      <c r="EA79" s="4653"/>
      <c r="EB79" s="4653"/>
      <c r="EC79" s="4653"/>
      <c r="ED79" s="4653"/>
      <c r="EE79" s="4653"/>
      <c r="EF79" s="4653"/>
      <c r="EG79" s="4653"/>
      <c r="EH79" s="4653"/>
      <c r="EI79" s="4653"/>
      <c r="EJ79" s="4653"/>
      <c r="EK79" s="4653"/>
      <c r="EL79" s="4653"/>
      <c r="EM79" s="4653"/>
      <c r="EN79" s="4653"/>
      <c r="EO79" s="4653"/>
      <c r="EP79" s="4653"/>
      <c r="EQ79" s="4653"/>
      <c r="ER79" s="4653"/>
      <c r="ES79" s="4653"/>
      <c r="ET79" s="4653"/>
      <c r="EU79" s="4653"/>
      <c r="EV79" s="4653"/>
      <c r="EW79" s="4653"/>
      <c r="EX79" s="4653"/>
      <c r="EY79" s="4653"/>
      <c r="EZ79" s="4653"/>
      <c r="FA79" s="4653"/>
      <c r="FB79" s="4653"/>
      <c r="FC79" s="4653"/>
      <c r="FD79" s="4653"/>
      <c r="FE79" s="4653"/>
      <c r="FF79" s="4653"/>
      <c r="FG79" s="4653"/>
      <c r="FH79" s="4653"/>
      <c r="FI79" s="4653"/>
      <c r="FJ79" s="4653"/>
      <c r="FK79" s="4653"/>
      <c r="FL79" s="4653"/>
      <c r="FM79" s="4653"/>
      <c r="FN79" s="4653"/>
      <c r="FO79" s="4653"/>
      <c r="FP79" s="4653"/>
      <c r="FQ79" s="4653"/>
      <c r="FR79" s="4653"/>
      <c r="FS79" s="4653"/>
      <c r="FT79" s="4653"/>
      <c r="FU79" s="4653"/>
      <c r="FV79" s="4653"/>
      <c r="FW79" s="4653"/>
      <c r="FX79" s="4653"/>
      <c r="FY79" s="4653"/>
      <c r="FZ79" s="4653"/>
      <c r="GA79" s="4653"/>
      <c r="GB79" s="4653"/>
      <c r="GC79" s="4653"/>
      <c r="GD79" s="4653"/>
      <c r="GE79" s="4653"/>
      <c r="GF79" s="4653"/>
      <c r="GG79" s="4653"/>
      <c r="GH79" s="4653"/>
      <c r="GI79" s="4653"/>
      <c r="GJ79" s="4653"/>
      <c r="GK79" s="4653"/>
      <c r="GL79" s="4653"/>
      <c r="GM79" s="4653"/>
      <c r="GN79" s="4653"/>
      <c r="GO79" s="4653"/>
      <c r="GP79" s="4653"/>
      <c r="GQ79" s="4653"/>
      <c r="GR79" s="4653"/>
      <c r="GS79" s="4653"/>
      <c r="GT79" s="4653"/>
      <c r="GU79" s="4653"/>
      <c r="GV79" s="4653"/>
      <c r="GW79" s="4653"/>
      <c r="GX79" s="4653"/>
      <c r="GY79" s="4653"/>
      <c r="GZ79" s="4653"/>
      <c r="HA79" s="4653"/>
      <c r="HB79" s="4653"/>
      <c r="HC79" s="4653"/>
      <c r="HD79" s="4653"/>
      <c r="HE79" s="4653"/>
      <c r="HF79" s="4653"/>
      <c r="HG79" s="4653"/>
      <c r="HH79" s="4653"/>
      <c r="HI79" s="4653"/>
      <c r="HJ79" s="4653"/>
      <c r="HK79" s="4653"/>
      <c r="HL79" s="4653"/>
      <c r="HM79" s="4653"/>
      <c r="HN79" s="4653"/>
      <c r="HO79" s="4653"/>
      <c r="HP79" s="4653"/>
      <c r="HQ79" s="4653"/>
      <c r="HR79" s="4653"/>
      <c r="HS79" s="4653"/>
      <c r="HT79" s="4653"/>
      <c r="HU79" s="4653"/>
      <c r="HV79" s="4653"/>
      <c r="HW79" s="4653"/>
      <c r="HX79" s="4653"/>
      <c r="HY79" s="4653"/>
    </row>
    <row r="80" spans="1:233" s="4688" customFormat="1" x14ac:dyDescent="0.2">
      <c r="A80" s="10241"/>
      <c r="B80" s="10242"/>
      <c r="C80" s="9043" t="s">
        <v>24</v>
      </c>
      <c r="D80" s="9001" t="s">
        <v>1677</v>
      </c>
      <c r="E80" s="9002"/>
      <c r="F80" s="10234"/>
      <c r="G80" s="9044" t="s">
        <v>1676</v>
      </c>
      <c r="H80" s="8784"/>
      <c r="I80" s="9042"/>
      <c r="J80" s="4328"/>
      <c r="K80" s="4328"/>
      <c r="L80" s="4651"/>
      <c r="M80" s="4651"/>
      <c r="N80" s="4651"/>
      <c r="O80" s="4651"/>
      <c r="P80" s="4651"/>
      <c r="Q80" s="4651"/>
      <c r="R80" s="4651"/>
      <c r="S80" s="4651"/>
      <c r="T80" s="4651"/>
      <c r="U80" s="4651"/>
      <c r="V80" s="4651"/>
      <c r="W80" s="4651"/>
      <c r="X80" s="4651"/>
      <c r="Y80" s="4651"/>
      <c r="Z80" s="4651"/>
      <c r="AA80" s="4651"/>
      <c r="AB80" s="4651"/>
      <c r="AC80" s="4651"/>
      <c r="AD80" s="4651"/>
      <c r="AE80" s="4651"/>
      <c r="AF80" s="4651"/>
      <c r="AG80" s="4651"/>
      <c r="AH80" s="4651"/>
      <c r="AI80" s="4651"/>
      <c r="AJ80" s="4651"/>
      <c r="AK80" s="4651"/>
      <c r="AL80" s="4651"/>
      <c r="AM80" s="4651"/>
      <c r="AN80" s="4651"/>
      <c r="AO80" s="4651"/>
      <c r="AP80" s="4651"/>
      <c r="AQ80" s="4651"/>
      <c r="AR80" s="4651"/>
      <c r="AS80" s="4651"/>
      <c r="AT80" s="4651"/>
      <c r="AU80" s="4651"/>
      <c r="AV80" s="4651"/>
      <c r="AW80" s="4651"/>
      <c r="AX80" s="4651"/>
      <c r="AY80" s="4651"/>
      <c r="AZ80" s="4651"/>
      <c r="BA80" s="4651"/>
      <c r="BB80" s="4651"/>
      <c r="BC80" s="4651"/>
      <c r="BD80" s="4651"/>
      <c r="BE80" s="4651"/>
      <c r="BF80" s="4651"/>
      <c r="BG80" s="4651"/>
      <c r="BH80" s="4651"/>
      <c r="BI80" s="4651"/>
      <c r="BJ80" s="4651"/>
      <c r="BK80" s="4651"/>
      <c r="BL80" s="4651"/>
      <c r="BM80" s="4651"/>
      <c r="BN80" s="4651"/>
      <c r="BO80" s="4651"/>
      <c r="BP80" s="4651"/>
      <c r="BQ80" s="4651"/>
      <c r="BR80" s="4651"/>
      <c r="BS80" s="4651"/>
      <c r="BT80" s="4651"/>
      <c r="BU80" s="4651"/>
      <c r="BV80" s="4652"/>
      <c r="BW80" s="4652"/>
      <c r="BX80" s="4653"/>
      <c r="BY80" s="4653"/>
      <c r="BZ80" s="4653"/>
      <c r="CA80" s="4654"/>
      <c r="CB80" s="4654"/>
      <c r="CC80" s="4654"/>
      <c r="CD80" s="4654"/>
      <c r="CE80" s="4654"/>
      <c r="CF80" s="4654"/>
      <c r="CG80" s="4654"/>
      <c r="CH80" s="4654"/>
      <c r="CI80" s="4654"/>
      <c r="CJ80" s="4654"/>
      <c r="CK80" s="4654"/>
      <c r="CL80" s="4654"/>
      <c r="CM80" s="4654"/>
      <c r="CN80" s="4654"/>
      <c r="CO80" s="4654"/>
      <c r="CP80" s="4654"/>
      <c r="CQ80" s="4654"/>
      <c r="CR80" s="4654"/>
      <c r="CS80" s="4654"/>
      <c r="CT80" s="4654"/>
      <c r="CU80" s="4654"/>
      <c r="CV80" s="4654"/>
      <c r="CW80" s="4654"/>
      <c r="CX80" s="4654"/>
      <c r="CY80" s="4654"/>
      <c r="CZ80" s="4655"/>
      <c r="DA80" s="4687"/>
      <c r="DB80" s="4687"/>
      <c r="DC80" s="4687"/>
      <c r="DD80" s="4687"/>
      <c r="DE80" s="4687"/>
      <c r="DF80" s="4687"/>
      <c r="DG80" s="4687"/>
      <c r="DH80" s="4687"/>
      <c r="DI80" s="4687"/>
      <c r="DJ80" s="4687"/>
      <c r="DK80" s="4687"/>
      <c r="DL80" s="4687"/>
      <c r="DM80" s="4687"/>
      <c r="DN80" s="4687"/>
      <c r="DO80" s="4687"/>
      <c r="DP80" s="4687"/>
      <c r="DQ80" s="4653"/>
      <c r="DR80" s="4653"/>
      <c r="DS80" s="4653"/>
      <c r="DT80" s="4653"/>
      <c r="DU80" s="4653"/>
      <c r="DV80" s="4653"/>
      <c r="DW80" s="4653"/>
      <c r="DX80" s="4653"/>
      <c r="DY80" s="4653"/>
      <c r="DZ80" s="4653"/>
      <c r="EA80" s="4653"/>
      <c r="EB80" s="4653"/>
      <c r="EC80" s="4653"/>
      <c r="ED80" s="4653"/>
      <c r="EE80" s="4653"/>
      <c r="EF80" s="4653"/>
      <c r="EG80" s="4653"/>
      <c r="EH80" s="4653"/>
      <c r="EI80" s="4653"/>
      <c r="EJ80" s="4653"/>
      <c r="EK80" s="4653"/>
      <c r="EL80" s="4653"/>
      <c r="EM80" s="4653"/>
      <c r="EN80" s="4653"/>
      <c r="EO80" s="4653"/>
      <c r="EP80" s="4653"/>
      <c r="EQ80" s="4653"/>
      <c r="ER80" s="4653"/>
      <c r="ES80" s="4653"/>
      <c r="ET80" s="4653"/>
      <c r="EU80" s="4653"/>
      <c r="EV80" s="4653"/>
      <c r="EW80" s="4653"/>
      <c r="EX80" s="4653"/>
      <c r="EY80" s="4653"/>
      <c r="EZ80" s="4653"/>
      <c r="FA80" s="4653"/>
      <c r="FB80" s="4653"/>
      <c r="FC80" s="4653"/>
      <c r="FD80" s="4653"/>
      <c r="FE80" s="4653"/>
      <c r="FF80" s="4653"/>
      <c r="FG80" s="4653"/>
      <c r="FH80" s="4653"/>
      <c r="FI80" s="4653"/>
      <c r="FJ80" s="4653"/>
      <c r="FK80" s="4653"/>
      <c r="FL80" s="4653"/>
      <c r="FM80" s="4653"/>
      <c r="FN80" s="4653"/>
      <c r="FO80" s="4653"/>
      <c r="FP80" s="4653"/>
      <c r="FQ80" s="4653"/>
      <c r="FR80" s="4653"/>
      <c r="FS80" s="4653"/>
      <c r="FT80" s="4653"/>
      <c r="FU80" s="4653"/>
      <c r="FV80" s="4653"/>
      <c r="FW80" s="4653"/>
      <c r="FX80" s="4653"/>
      <c r="FY80" s="4653"/>
      <c r="FZ80" s="4653"/>
      <c r="GA80" s="4653"/>
      <c r="GB80" s="4653"/>
      <c r="GC80" s="4653"/>
      <c r="GD80" s="4653"/>
      <c r="GE80" s="4653"/>
      <c r="GF80" s="4653"/>
      <c r="GG80" s="4653"/>
      <c r="GH80" s="4653"/>
      <c r="GI80" s="4653"/>
      <c r="GJ80" s="4653"/>
      <c r="GK80" s="4653"/>
      <c r="GL80" s="4653"/>
      <c r="GM80" s="4653"/>
      <c r="GN80" s="4653"/>
      <c r="GO80" s="4653"/>
      <c r="GP80" s="4653"/>
      <c r="GQ80" s="4653"/>
      <c r="GR80" s="4653"/>
      <c r="GS80" s="4653"/>
      <c r="GT80" s="4653"/>
      <c r="GU80" s="4653"/>
      <c r="GV80" s="4653"/>
      <c r="GW80" s="4653"/>
      <c r="GX80" s="4653"/>
      <c r="GY80" s="4653"/>
      <c r="GZ80" s="4653"/>
      <c r="HA80" s="4653"/>
      <c r="HB80" s="4653"/>
      <c r="HC80" s="4653"/>
      <c r="HD80" s="4653"/>
      <c r="HE80" s="4653"/>
      <c r="HF80" s="4653"/>
      <c r="HG80" s="4653"/>
      <c r="HH80" s="4653"/>
      <c r="HI80" s="4653"/>
      <c r="HJ80" s="4653"/>
      <c r="HK80" s="4653"/>
      <c r="HL80" s="4653"/>
      <c r="HM80" s="4653"/>
      <c r="HN80" s="4653"/>
      <c r="HO80" s="4653"/>
      <c r="HP80" s="4653"/>
      <c r="HQ80" s="4653"/>
      <c r="HR80" s="4653"/>
      <c r="HS80" s="4653"/>
      <c r="HT80" s="4653"/>
      <c r="HU80" s="4653"/>
      <c r="HV80" s="4653"/>
      <c r="HW80" s="4653"/>
      <c r="HX80" s="4653"/>
      <c r="HY80" s="4653"/>
    </row>
    <row r="81" spans="1:233" s="4688" customFormat="1" ht="26.45" customHeight="1" x14ac:dyDescent="0.2">
      <c r="A81" s="8783"/>
      <c r="B81" s="8785"/>
      <c r="C81" s="8783"/>
      <c r="D81" s="4857" t="s">
        <v>3494</v>
      </c>
      <c r="E81" s="4767" t="s">
        <v>1675</v>
      </c>
      <c r="F81" s="4858" t="s">
        <v>1674</v>
      </c>
      <c r="G81" s="9045"/>
      <c r="H81" s="4859" t="s">
        <v>1673</v>
      </c>
      <c r="I81" s="4640" t="s">
        <v>1672</v>
      </c>
      <c r="J81" s="4651"/>
      <c r="K81" s="4651"/>
      <c r="L81" s="4651"/>
      <c r="M81" s="4651"/>
      <c r="N81" s="4651"/>
      <c r="O81" s="4651"/>
      <c r="P81" s="4651"/>
      <c r="Q81" s="4651"/>
      <c r="R81" s="4651"/>
      <c r="S81" s="4651"/>
      <c r="T81" s="4651"/>
      <c r="U81" s="4651"/>
      <c r="V81" s="4651"/>
      <c r="W81" s="4651"/>
      <c r="X81" s="4651"/>
      <c r="Y81" s="4651"/>
      <c r="Z81" s="4651"/>
      <c r="AA81" s="4651"/>
      <c r="AB81" s="4651"/>
      <c r="AC81" s="4651"/>
      <c r="AD81" s="4651"/>
      <c r="AE81" s="4651"/>
      <c r="AF81" s="4651"/>
      <c r="AG81" s="4651"/>
      <c r="AH81" s="4651"/>
      <c r="AI81" s="4651"/>
      <c r="AJ81" s="4651"/>
      <c r="AK81" s="4651"/>
      <c r="AL81" s="4651"/>
      <c r="AM81" s="4651"/>
      <c r="AN81" s="4651"/>
      <c r="AO81" s="4651"/>
      <c r="AP81" s="4651"/>
      <c r="AQ81" s="4651"/>
      <c r="AR81" s="4651"/>
      <c r="AS81" s="4651"/>
      <c r="AT81" s="4651"/>
      <c r="AU81" s="4651"/>
      <c r="AV81" s="4651"/>
      <c r="AW81" s="4651"/>
      <c r="AX81" s="4651"/>
      <c r="AY81" s="4651"/>
      <c r="AZ81" s="4651"/>
      <c r="BA81" s="4651"/>
      <c r="BB81" s="4651"/>
      <c r="BC81" s="4651"/>
      <c r="BD81" s="4651"/>
      <c r="BE81" s="4651"/>
      <c r="BF81" s="4651"/>
      <c r="BG81" s="4651"/>
      <c r="BH81" s="4651"/>
      <c r="BI81" s="4651"/>
      <c r="BJ81" s="4651"/>
      <c r="BK81" s="4651"/>
      <c r="BL81" s="4651"/>
      <c r="BM81" s="4651"/>
      <c r="BN81" s="4651"/>
      <c r="BO81" s="4651"/>
      <c r="BP81" s="4651"/>
      <c r="BQ81" s="4651"/>
      <c r="BR81" s="4651"/>
      <c r="BS81" s="4651"/>
      <c r="BT81" s="4651"/>
      <c r="BU81" s="4651"/>
      <c r="BV81" s="4652"/>
      <c r="BW81" s="4652"/>
      <c r="BX81" s="4653"/>
      <c r="BY81" s="4653"/>
      <c r="BZ81" s="4653"/>
      <c r="CA81" s="4654"/>
      <c r="CB81" s="4654"/>
      <c r="CC81" s="4654"/>
      <c r="CD81" s="4654"/>
      <c r="CE81" s="4654"/>
      <c r="CF81" s="4654"/>
      <c r="CG81" s="4654"/>
      <c r="CH81" s="4654"/>
      <c r="CI81" s="4654"/>
      <c r="CJ81" s="4654"/>
      <c r="CK81" s="4654"/>
      <c r="CL81" s="4654"/>
      <c r="CM81" s="4654"/>
      <c r="CN81" s="4654"/>
      <c r="CO81" s="4654"/>
      <c r="CP81" s="4654"/>
      <c r="CQ81" s="4654"/>
      <c r="CR81" s="4654"/>
      <c r="CS81" s="4654"/>
      <c r="CT81" s="4654"/>
      <c r="CU81" s="4654"/>
      <c r="CV81" s="4654"/>
      <c r="CW81" s="4654"/>
      <c r="CX81" s="4654"/>
      <c r="CY81" s="4654"/>
      <c r="CZ81" s="4655"/>
      <c r="DA81" s="4687"/>
      <c r="DB81" s="4687"/>
      <c r="DC81" s="4687"/>
      <c r="DD81" s="4687"/>
      <c r="DE81" s="4687"/>
      <c r="DF81" s="4687"/>
      <c r="DG81" s="4687"/>
      <c r="DH81" s="4687"/>
      <c r="DI81" s="4687"/>
      <c r="DJ81" s="4687"/>
      <c r="DK81" s="4687"/>
      <c r="DL81" s="4687"/>
      <c r="DM81" s="4687"/>
      <c r="DN81" s="4687"/>
      <c r="DO81" s="4687"/>
      <c r="DP81" s="4687"/>
      <c r="DQ81" s="4653"/>
      <c r="DR81" s="4653"/>
      <c r="DS81" s="4653"/>
      <c r="DT81" s="4653"/>
      <c r="DU81" s="4653"/>
      <c r="DV81" s="4653"/>
      <c r="DW81" s="4653"/>
      <c r="DX81" s="4653"/>
      <c r="DY81" s="4653"/>
      <c r="DZ81" s="4653"/>
      <c r="EA81" s="4653"/>
      <c r="EB81" s="4653"/>
      <c r="EC81" s="4653"/>
      <c r="ED81" s="4653"/>
      <c r="EE81" s="4653"/>
      <c r="EF81" s="4653"/>
      <c r="EG81" s="4653"/>
      <c r="EH81" s="4653"/>
      <c r="EI81" s="4653"/>
      <c r="EJ81" s="4653"/>
      <c r="EK81" s="4653"/>
      <c r="EL81" s="4653"/>
      <c r="EM81" s="4653"/>
      <c r="EN81" s="4653"/>
      <c r="EO81" s="4653"/>
      <c r="EP81" s="4653"/>
      <c r="EQ81" s="4653"/>
      <c r="ER81" s="4653"/>
      <c r="ES81" s="4653"/>
      <c r="ET81" s="4653"/>
      <c r="EU81" s="4653"/>
      <c r="EV81" s="4653"/>
      <c r="EW81" s="4653"/>
      <c r="EX81" s="4653"/>
      <c r="EY81" s="4653"/>
      <c r="EZ81" s="4653"/>
      <c r="FA81" s="4653"/>
      <c r="FB81" s="4653"/>
      <c r="FC81" s="4653"/>
      <c r="FD81" s="4653"/>
      <c r="FE81" s="4653"/>
      <c r="FF81" s="4653"/>
      <c r="FG81" s="4653"/>
      <c r="FH81" s="4653"/>
      <c r="FI81" s="4653"/>
      <c r="FJ81" s="4653"/>
      <c r="FK81" s="4653"/>
      <c r="FL81" s="4653"/>
      <c r="FM81" s="4653"/>
      <c r="FN81" s="4653"/>
      <c r="FO81" s="4653"/>
      <c r="FP81" s="4653"/>
      <c r="FQ81" s="4653"/>
      <c r="FR81" s="4653"/>
      <c r="FS81" s="4653"/>
      <c r="FT81" s="4653"/>
      <c r="FU81" s="4653"/>
      <c r="FV81" s="4653"/>
      <c r="FW81" s="4653"/>
      <c r="FX81" s="4653"/>
      <c r="FY81" s="4653"/>
      <c r="FZ81" s="4653"/>
      <c r="GA81" s="4653"/>
      <c r="GB81" s="4653"/>
      <c r="GC81" s="4653"/>
      <c r="GD81" s="4653"/>
      <c r="GE81" s="4653"/>
      <c r="GF81" s="4653"/>
      <c r="GG81" s="4653"/>
      <c r="GH81" s="4653"/>
      <c r="GI81" s="4653"/>
      <c r="GJ81" s="4653"/>
      <c r="GK81" s="4653"/>
      <c r="GL81" s="4653"/>
      <c r="GM81" s="4653"/>
      <c r="GN81" s="4653"/>
      <c r="GO81" s="4653"/>
      <c r="GP81" s="4653"/>
      <c r="GQ81" s="4653"/>
      <c r="GR81" s="4653"/>
      <c r="GS81" s="4653"/>
      <c r="GT81" s="4653"/>
      <c r="GU81" s="4653"/>
      <c r="GV81" s="4653"/>
      <c r="GW81" s="4653"/>
      <c r="GX81" s="4653"/>
      <c r="GY81" s="4653"/>
      <c r="GZ81" s="4653"/>
      <c r="HA81" s="4653"/>
      <c r="HB81" s="4653"/>
      <c r="HC81" s="4653"/>
      <c r="HD81" s="4653"/>
      <c r="HE81" s="4653"/>
      <c r="HF81" s="4653"/>
      <c r="HG81" s="4653"/>
      <c r="HH81" s="4653"/>
      <c r="HI81" s="4653"/>
      <c r="HJ81" s="4653"/>
      <c r="HK81" s="4653"/>
      <c r="HL81" s="4653"/>
      <c r="HM81" s="4653"/>
      <c r="HN81" s="4653"/>
      <c r="HO81" s="4653"/>
      <c r="HP81" s="4653"/>
      <c r="HQ81" s="4653"/>
      <c r="HR81" s="4653"/>
      <c r="HS81" s="4653"/>
      <c r="HT81" s="4653"/>
      <c r="HU81" s="4653"/>
      <c r="HV81" s="4653"/>
      <c r="HW81" s="4653"/>
      <c r="HX81" s="4653"/>
      <c r="HY81" s="4653"/>
    </row>
    <row r="82" spans="1:233" s="4688" customFormat="1" x14ac:dyDescent="0.2">
      <c r="A82" s="10263" t="s">
        <v>3492</v>
      </c>
      <c r="B82" s="10264"/>
      <c r="C82" s="4860">
        <f t="shared" ref="C82:C89" si="32">SUM(D82:F82)+H82</f>
        <v>0</v>
      </c>
      <c r="D82" s="4770"/>
      <c r="E82" s="4771"/>
      <c r="F82" s="4861"/>
      <c r="G82" s="4862"/>
      <c r="H82" s="4863"/>
      <c r="I82" s="4864"/>
      <c r="J82" s="4651"/>
      <c r="K82" s="4651"/>
      <c r="L82" s="4651"/>
      <c r="M82" s="4651"/>
      <c r="N82" s="4651"/>
      <c r="O82" s="4651"/>
      <c r="P82" s="4651"/>
      <c r="Q82" s="4651"/>
      <c r="R82" s="4651"/>
      <c r="S82" s="4651"/>
      <c r="T82" s="4651"/>
      <c r="U82" s="4651"/>
      <c r="V82" s="4651"/>
      <c r="W82" s="4651"/>
      <c r="X82" s="4651"/>
      <c r="Y82" s="4651"/>
      <c r="Z82" s="4651"/>
      <c r="AA82" s="4651"/>
      <c r="AB82" s="4651"/>
      <c r="AC82" s="4651"/>
      <c r="AD82" s="4651"/>
      <c r="AE82" s="4651"/>
      <c r="AF82" s="4651"/>
      <c r="AG82" s="4651"/>
      <c r="AH82" s="4651"/>
      <c r="AI82" s="4651"/>
      <c r="AJ82" s="4651"/>
      <c r="AK82" s="4651"/>
      <c r="AL82" s="4651"/>
      <c r="AM82" s="4651"/>
      <c r="AN82" s="4651"/>
      <c r="AO82" s="4651"/>
      <c r="AP82" s="4651"/>
      <c r="AQ82" s="4651"/>
      <c r="AR82" s="4651"/>
      <c r="AS82" s="4651"/>
      <c r="AT82" s="4651"/>
      <c r="AU82" s="4651"/>
      <c r="AV82" s="4651"/>
      <c r="AW82" s="4651"/>
      <c r="AX82" s="4651"/>
      <c r="AY82" s="4651"/>
      <c r="AZ82" s="4651"/>
      <c r="BA82" s="4651"/>
      <c r="BB82" s="4651"/>
      <c r="BC82" s="4651"/>
      <c r="BD82" s="4651"/>
      <c r="BE82" s="4651"/>
      <c r="BF82" s="4651"/>
      <c r="BG82" s="4651"/>
      <c r="BH82" s="4651"/>
      <c r="BI82" s="4651"/>
      <c r="BJ82" s="4651"/>
      <c r="BK82" s="4651"/>
      <c r="BL82" s="4651"/>
      <c r="BM82" s="4651"/>
      <c r="BN82" s="4651"/>
      <c r="BO82" s="4651"/>
      <c r="BP82" s="4651"/>
      <c r="BQ82" s="4651"/>
      <c r="BR82" s="4651"/>
      <c r="BS82" s="4651"/>
      <c r="BT82" s="4651"/>
      <c r="BU82" s="4651"/>
      <c r="BV82" s="4652"/>
      <c r="BW82" s="4652"/>
      <c r="BX82" s="4653"/>
      <c r="BY82" s="4653"/>
      <c r="BZ82" s="4653"/>
      <c r="CA82" s="4654"/>
      <c r="CB82" s="4654"/>
      <c r="CC82" s="4654"/>
      <c r="CD82" s="4654"/>
      <c r="CE82" s="4654"/>
      <c r="CF82" s="4654"/>
      <c r="CG82" s="4654"/>
      <c r="CH82" s="4654"/>
      <c r="CI82" s="4654"/>
      <c r="CJ82" s="4654"/>
      <c r="CK82" s="4654"/>
      <c r="CL82" s="4654"/>
      <c r="CM82" s="4654"/>
      <c r="CN82" s="4654"/>
      <c r="CO82" s="4654"/>
      <c r="CP82" s="4654"/>
      <c r="CQ82" s="4654"/>
      <c r="CR82" s="4654"/>
      <c r="CS82" s="4654"/>
      <c r="CT82" s="4654"/>
      <c r="CU82" s="4654"/>
      <c r="CV82" s="4654"/>
      <c r="CW82" s="4654"/>
      <c r="CX82" s="4654"/>
      <c r="CY82" s="4654"/>
      <c r="CZ82" s="4655"/>
      <c r="DA82" s="4687"/>
      <c r="DB82" s="4687"/>
      <c r="DC82" s="4687"/>
      <c r="DD82" s="4687"/>
      <c r="DE82" s="4687"/>
      <c r="DF82" s="4687"/>
      <c r="DG82" s="4687"/>
      <c r="DH82" s="4687"/>
      <c r="DI82" s="4687"/>
      <c r="DJ82" s="4687"/>
      <c r="DK82" s="4687"/>
      <c r="DL82" s="4687"/>
      <c r="DM82" s="4687"/>
      <c r="DN82" s="4687"/>
      <c r="DO82" s="4687"/>
      <c r="DP82" s="4687"/>
      <c r="DQ82" s="4653"/>
      <c r="DR82" s="4653"/>
      <c r="DS82" s="4653"/>
      <c r="DT82" s="4653"/>
      <c r="DU82" s="4653"/>
      <c r="DV82" s="4653"/>
      <c r="DW82" s="4653"/>
      <c r="DX82" s="4653"/>
      <c r="DY82" s="4653"/>
      <c r="DZ82" s="4653"/>
      <c r="EA82" s="4653"/>
      <c r="EB82" s="4653"/>
      <c r="EC82" s="4653"/>
      <c r="ED82" s="4653"/>
      <c r="EE82" s="4653"/>
      <c r="EF82" s="4653"/>
      <c r="EG82" s="4653"/>
      <c r="EH82" s="4653"/>
      <c r="EI82" s="4653"/>
      <c r="EJ82" s="4653"/>
      <c r="EK82" s="4653"/>
      <c r="EL82" s="4653"/>
      <c r="EM82" s="4653"/>
      <c r="EN82" s="4653"/>
      <c r="EO82" s="4653"/>
      <c r="EP82" s="4653"/>
      <c r="EQ82" s="4653"/>
      <c r="ER82" s="4653"/>
      <c r="ES82" s="4653"/>
      <c r="ET82" s="4653"/>
      <c r="EU82" s="4653"/>
      <c r="EV82" s="4653"/>
      <c r="EW82" s="4653"/>
      <c r="EX82" s="4653"/>
      <c r="EY82" s="4653"/>
      <c r="EZ82" s="4653"/>
      <c r="FA82" s="4653"/>
      <c r="FB82" s="4653"/>
      <c r="FC82" s="4653"/>
      <c r="FD82" s="4653"/>
      <c r="FE82" s="4653"/>
      <c r="FF82" s="4653"/>
      <c r="FG82" s="4653"/>
      <c r="FH82" s="4653"/>
      <c r="FI82" s="4653"/>
      <c r="FJ82" s="4653"/>
      <c r="FK82" s="4653"/>
      <c r="FL82" s="4653"/>
      <c r="FM82" s="4653"/>
      <c r="FN82" s="4653"/>
      <c r="FO82" s="4653"/>
      <c r="FP82" s="4653"/>
      <c r="FQ82" s="4653"/>
      <c r="FR82" s="4653"/>
      <c r="FS82" s="4653"/>
      <c r="FT82" s="4653"/>
      <c r="FU82" s="4653"/>
      <c r="FV82" s="4653"/>
      <c r="FW82" s="4653"/>
      <c r="FX82" s="4653"/>
      <c r="FY82" s="4653"/>
      <c r="FZ82" s="4653"/>
      <c r="GA82" s="4653"/>
      <c r="GB82" s="4653"/>
      <c r="GC82" s="4653"/>
      <c r="GD82" s="4653"/>
      <c r="GE82" s="4653"/>
      <c r="GF82" s="4653"/>
      <c r="GG82" s="4653"/>
      <c r="GH82" s="4653"/>
      <c r="GI82" s="4653"/>
      <c r="GJ82" s="4653"/>
      <c r="GK82" s="4653"/>
      <c r="GL82" s="4653"/>
      <c r="GM82" s="4653"/>
      <c r="GN82" s="4653"/>
      <c r="GO82" s="4653"/>
      <c r="GP82" s="4653"/>
      <c r="GQ82" s="4653"/>
      <c r="GR82" s="4653"/>
      <c r="GS82" s="4653"/>
      <c r="GT82" s="4653"/>
      <c r="GU82" s="4653"/>
      <c r="GV82" s="4653"/>
      <c r="GW82" s="4653"/>
      <c r="GX82" s="4653"/>
      <c r="GY82" s="4653"/>
      <c r="GZ82" s="4653"/>
      <c r="HA82" s="4653"/>
      <c r="HB82" s="4653"/>
      <c r="HC82" s="4653"/>
      <c r="HD82" s="4653"/>
      <c r="HE82" s="4653"/>
      <c r="HF82" s="4653"/>
      <c r="HG82" s="4653"/>
      <c r="HH82" s="4653"/>
      <c r="HI82" s="4653"/>
      <c r="HJ82" s="4653"/>
      <c r="HK82" s="4653"/>
      <c r="HL82" s="4653"/>
      <c r="HM82" s="4653"/>
      <c r="HN82" s="4653"/>
      <c r="HO82" s="4653"/>
      <c r="HP82" s="4653"/>
      <c r="HQ82" s="4653"/>
      <c r="HR82" s="4653"/>
      <c r="HS82" s="4653"/>
      <c r="HT82" s="4653"/>
      <c r="HU82" s="4653"/>
      <c r="HV82" s="4653"/>
      <c r="HW82" s="4653"/>
      <c r="HX82" s="4653"/>
      <c r="HY82" s="4653"/>
    </row>
    <row r="83" spans="1:233" s="4688" customFormat="1" x14ac:dyDescent="0.2">
      <c r="A83" s="10245" t="s">
        <v>1618</v>
      </c>
      <c r="B83" s="10246"/>
      <c r="C83" s="4865">
        <f t="shared" si="32"/>
        <v>0</v>
      </c>
      <c r="D83" s="4778"/>
      <c r="E83" s="4779"/>
      <c r="F83" s="4866"/>
      <c r="G83" s="4867"/>
      <c r="H83" s="4868"/>
      <c r="I83" s="4869"/>
      <c r="J83" s="4651"/>
      <c r="K83" s="4651"/>
      <c r="L83" s="4651"/>
      <c r="M83" s="4651"/>
      <c r="N83" s="4651"/>
      <c r="O83" s="4651"/>
      <c r="P83" s="4651"/>
      <c r="Q83" s="4651"/>
      <c r="R83" s="4651"/>
      <c r="S83" s="4651"/>
      <c r="T83" s="4651"/>
      <c r="U83" s="4651"/>
      <c r="V83" s="4651"/>
      <c r="W83" s="4651"/>
      <c r="X83" s="4651"/>
      <c r="Y83" s="4651"/>
      <c r="Z83" s="4651"/>
      <c r="AA83" s="4651"/>
      <c r="AB83" s="4651"/>
      <c r="AC83" s="4651"/>
      <c r="AD83" s="4651"/>
      <c r="AE83" s="4651"/>
      <c r="AF83" s="4651"/>
      <c r="AG83" s="4651"/>
      <c r="AH83" s="4651"/>
      <c r="AI83" s="4651"/>
      <c r="AJ83" s="4651"/>
      <c r="AK83" s="4651"/>
      <c r="AL83" s="4651"/>
      <c r="AM83" s="4651"/>
      <c r="AN83" s="4651"/>
      <c r="AO83" s="4651"/>
      <c r="AP83" s="4651"/>
      <c r="AQ83" s="4651"/>
      <c r="AR83" s="4651"/>
      <c r="AS83" s="4651"/>
      <c r="AT83" s="4651"/>
      <c r="AU83" s="4651"/>
      <c r="AV83" s="4651"/>
      <c r="AW83" s="4651"/>
      <c r="AX83" s="4651"/>
      <c r="AY83" s="4651"/>
      <c r="AZ83" s="4651"/>
      <c r="BA83" s="4651"/>
      <c r="BB83" s="4651"/>
      <c r="BC83" s="4651"/>
      <c r="BD83" s="4651"/>
      <c r="BE83" s="4651"/>
      <c r="BF83" s="4651"/>
      <c r="BG83" s="4651"/>
      <c r="BH83" s="4651"/>
      <c r="BI83" s="4651"/>
      <c r="BJ83" s="4651"/>
      <c r="BK83" s="4651"/>
      <c r="BL83" s="4651"/>
      <c r="BM83" s="4651"/>
      <c r="BN83" s="4651"/>
      <c r="BO83" s="4651"/>
      <c r="BP83" s="4651"/>
      <c r="BQ83" s="4651"/>
      <c r="BR83" s="4651"/>
      <c r="BS83" s="4651"/>
      <c r="BT83" s="4651"/>
      <c r="BU83" s="4651"/>
      <c r="BV83" s="4652"/>
      <c r="BW83" s="4652"/>
      <c r="BX83" s="4653"/>
      <c r="BY83" s="4653"/>
      <c r="BZ83" s="4653"/>
      <c r="CA83" s="4654"/>
      <c r="CB83" s="4654"/>
      <c r="CC83" s="4654"/>
      <c r="CD83" s="4654"/>
      <c r="CE83" s="4654"/>
      <c r="CF83" s="4654"/>
      <c r="CG83" s="4654"/>
      <c r="CH83" s="4654"/>
      <c r="CI83" s="4654"/>
      <c r="CJ83" s="4654"/>
      <c r="CK83" s="4654"/>
      <c r="CL83" s="4654"/>
      <c r="CM83" s="4654"/>
      <c r="CN83" s="4654"/>
      <c r="CO83" s="4654"/>
      <c r="CP83" s="4654"/>
      <c r="CQ83" s="4654"/>
      <c r="CR83" s="4654"/>
      <c r="CS83" s="4654"/>
      <c r="CT83" s="4654"/>
      <c r="CU83" s="4654"/>
      <c r="CV83" s="4654"/>
      <c r="CW83" s="4654"/>
      <c r="CX83" s="4654"/>
      <c r="CY83" s="4654"/>
      <c r="CZ83" s="4655"/>
      <c r="DA83" s="4687"/>
      <c r="DB83" s="4687"/>
      <c r="DC83" s="4687"/>
      <c r="DD83" s="4687"/>
      <c r="DE83" s="4687"/>
      <c r="DF83" s="4687"/>
      <c r="DG83" s="4687"/>
      <c r="DH83" s="4687"/>
      <c r="DI83" s="4687"/>
      <c r="DJ83" s="4687"/>
      <c r="DK83" s="4687"/>
      <c r="DL83" s="4687"/>
      <c r="DM83" s="4687"/>
      <c r="DN83" s="4687"/>
      <c r="DO83" s="4687"/>
      <c r="DP83" s="4687"/>
      <c r="DQ83" s="4653"/>
      <c r="DR83" s="4653"/>
      <c r="DS83" s="4653"/>
      <c r="DT83" s="4653"/>
      <c r="DU83" s="4653"/>
      <c r="DV83" s="4653"/>
      <c r="DW83" s="4653"/>
      <c r="DX83" s="4653"/>
      <c r="DY83" s="4653"/>
      <c r="DZ83" s="4653"/>
      <c r="EA83" s="4653"/>
      <c r="EB83" s="4653"/>
      <c r="EC83" s="4653"/>
      <c r="ED83" s="4653"/>
      <c r="EE83" s="4653"/>
      <c r="EF83" s="4653"/>
      <c r="EG83" s="4653"/>
      <c r="EH83" s="4653"/>
      <c r="EI83" s="4653"/>
      <c r="EJ83" s="4653"/>
      <c r="EK83" s="4653"/>
      <c r="EL83" s="4653"/>
      <c r="EM83" s="4653"/>
      <c r="EN83" s="4653"/>
      <c r="EO83" s="4653"/>
      <c r="EP83" s="4653"/>
      <c r="EQ83" s="4653"/>
      <c r="ER83" s="4653"/>
      <c r="ES83" s="4653"/>
      <c r="ET83" s="4653"/>
      <c r="EU83" s="4653"/>
      <c r="EV83" s="4653"/>
      <c r="EW83" s="4653"/>
      <c r="EX83" s="4653"/>
      <c r="EY83" s="4653"/>
      <c r="EZ83" s="4653"/>
      <c r="FA83" s="4653"/>
      <c r="FB83" s="4653"/>
      <c r="FC83" s="4653"/>
      <c r="FD83" s="4653"/>
      <c r="FE83" s="4653"/>
      <c r="FF83" s="4653"/>
      <c r="FG83" s="4653"/>
      <c r="FH83" s="4653"/>
      <c r="FI83" s="4653"/>
      <c r="FJ83" s="4653"/>
      <c r="FK83" s="4653"/>
      <c r="FL83" s="4653"/>
      <c r="FM83" s="4653"/>
      <c r="FN83" s="4653"/>
      <c r="FO83" s="4653"/>
      <c r="FP83" s="4653"/>
      <c r="FQ83" s="4653"/>
      <c r="FR83" s="4653"/>
      <c r="FS83" s="4653"/>
      <c r="FT83" s="4653"/>
      <c r="FU83" s="4653"/>
      <c r="FV83" s="4653"/>
      <c r="FW83" s="4653"/>
      <c r="FX83" s="4653"/>
      <c r="FY83" s="4653"/>
      <c r="FZ83" s="4653"/>
      <c r="GA83" s="4653"/>
      <c r="GB83" s="4653"/>
      <c r="GC83" s="4653"/>
      <c r="GD83" s="4653"/>
      <c r="GE83" s="4653"/>
      <c r="GF83" s="4653"/>
      <c r="GG83" s="4653"/>
      <c r="GH83" s="4653"/>
      <c r="GI83" s="4653"/>
      <c r="GJ83" s="4653"/>
      <c r="GK83" s="4653"/>
      <c r="GL83" s="4653"/>
      <c r="GM83" s="4653"/>
      <c r="GN83" s="4653"/>
      <c r="GO83" s="4653"/>
      <c r="GP83" s="4653"/>
      <c r="GQ83" s="4653"/>
      <c r="GR83" s="4653"/>
      <c r="GS83" s="4653"/>
      <c r="GT83" s="4653"/>
      <c r="GU83" s="4653"/>
      <c r="GV83" s="4653"/>
      <c r="GW83" s="4653"/>
      <c r="GX83" s="4653"/>
      <c r="GY83" s="4653"/>
      <c r="GZ83" s="4653"/>
      <c r="HA83" s="4653"/>
      <c r="HB83" s="4653"/>
      <c r="HC83" s="4653"/>
      <c r="HD83" s="4653"/>
      <c r="HE83" s="4653"/>
      <c r="HF83" s="4653"/>
      <c r="HG83" s="4653"/>
      <c r="HH83" s="4653"/>
      <c r="HI83" s="4653"/>
      <c r="HJ83" s="4653"/>
      <c r="HK83" s="4653"/>
      <c r="HL83" s="4653"/>
      <c r="HM83" s="4653"/>
      <c r="HN83" s="4653"/>
      <c r="HO83" s="4653"/>
      <c r="HP83" s="4653"/>
      <c r="HQ83" s="4653"/>
      <c r="HR83" s="4653"/>
      <c r="HS83" s="4653"/>
      <c r="HT83" s="4653"/>
      <c r="HU83" s="4653"/>
      <c r="HV83" s="4653"/>
      <c r="HW83" s="4653"/>
      <c r="HX83" s="4653"/>
      <c r="HY83" s="4653"/>
    </row>
    <row r="84" spans="1:233" s="4688" customFormat="1" x14ac:dyDescent="0.2">
      <c r="A84" s="10245" t="s">
        <v>1413</v>
      </c>
      <c r="B84" s="10246"/>
      <c r="C84" s="4865">
        <f t="shared" si="32"/>
        <v>0</v>
      </c>
      <c r="D84" s="4778"/>
      <c r="E84" s="4779"/>
      <c r="F84" s="4866"/>
      <c r="G84" s="4867"/>
      <c r="H84" s="4868"/>
      <c r="I84" s="4869"/>
      <c r="J84" s="4651"/>
      <c r="K84" s="4651"/>
      <c r="L84" s="4651"/>
      <c r="M84" s="4651"/>
      <c r="N84" s="4651"/>
      <c r="O84" s="4651"/>
      <c r="P84" s="4651"/>
      <c r="Q84" s="4651"/>
      <c r="R84" s="4651"/>
      <c r="S84" s="4651"/>
      <c r="T84" s="4651"/>
      <c r="U84" s="4651"/>
      <c r="V84" s="4651"/>
      <c r="W84" s="4651"/>
      <c r="X84" s="4651"/>
      <c r="Y84" s="4651"/>
      <c r="Z84" s="4651"/>
      <c r="AA84" s="4651"/>
      <c r="AB84" s="4651"/>
      <c r="AC84" s="4651"/>
      <c r="AD84" s="4651"/>
      <c r="AE84" s="4651"/>
      <c r="AF84" s="4651"/>
      <c r="AG84" s="4651"/>
      <c r="AH84" s="4651"/>
      <c r="AI84" s="4651"/>
      <c r="AJ84" s="4651"/>
      <c r="AK84" s="4651"/>
      <c r="AL84" s="4651"/>
      <c r="AM84" s="4651"/>
      <c r="AN84" s="4651"/>
      <c r="AO84" s="4651"/>
      <c r="AP84" s="4651"/>
      <c r="AQ84" s="4651"/>
      <c r="AR84" s="4651"/>
      <c r="AS84" s="4651"/>
      <c r="AT84" s="4651"/>
      <c r="AU84" s="4651"/>
      <c r="AV84" s="4651"/>
      <c r="AW84" s="4651"/>
      <c r="AX84" s="4651"/>
      <c r="AY84" s="4651"/>
      <c r="AZ84" s="4651"/>
      <c r="BA84" s="4651"/>
      <c r="BB84" s="4651"/>
      <c r="BC84" s="4651"/>
      <c r="BD84" s="4651"/>
      <c r="BE84" s="4651"/>
      <c r="BF84" s="4651"/>
      <c r="BG84" s="4651"/>
      <c r="BH84" s="4651"/>
      <c r="BI84" s="4651"/>
      <c r="BJ84" s="4651"/>
      <c r="BK84" s="4651"/>
      <c r="BL84" s="4651"/>
      <c r="BM84" s="4651"/>
      <c r="BN84" s="4651"/>
      <c r="BO84" s="4651"/>
      <c r="BP84" s="4651"/>
      <c r="BQ84" s="4651"/>
      <c r="BR84" s="4651"/>
      <c r="BS84" s="4651"/>
      <c r="BT84" s="4651"/>
      <c r="BU84" s="4651"/>
      <c r="BV84" s="4652"/>
      <c r="BW84" s="4652"/>
      <c r="BX84" s="4653"/>
      <c r="BY84" s="4653"/>
      <c r="BZ84" s="4653"/>
      <c r="CA84" s="4654"/>
      <c r="CB84" s="4654"/>
      <c r="CC84" s="4654"/>
      <c r="CD84" s="4654"/>
      <c r="CE84" s="4654"/>
      <c r="CF84" s="4654"/>
      <c r="CG84" s="4654"/>
      <c r="CH84" s="4654"/>
      <c r="CI84" s="4654"/>
      <c r="CJ84" s="4654"/>
      <c r="CK84" s="4654"/>
      <c r="CL84" s="4654"/>
      <c r="CM84" s="4654"/>
      <c r="CN84" s="4654"/>
      <c r="CO84" s="4654"/>
      <c r="CP84" s="4654"/>
      <c r="CQ84" s="4654"/>
      <c r="CR84" s="4654"/>
      <c r="CS84" s="4654"/>
      <c r="CT84" s="4654"/>
      <c r="CU84" s="4654"/>
      <c r="CV84" s="4654"/>
      <c r="CW84" s="4654"/>
      <c r="CX84" s="4654"/>
      <c r="CY84" s="4654"/>
      <c r="CZ84" s="4655"/>
      <c r="DA84" s="4687"/>
      <c r="DB84" s="4687"/>
      <c r="DC84" s="4687"/>
      <c r="DD84" s="4687"/>
      <c r="DE84" s="4687"/>
      <c r="DF84" s="4687"/>
      <c r="DG84" s="4687"/>
      <c r="DH84" s="4687"/>
      <c r="DI84" s="4687"/>
      <c r="DJ84" s="4687"/>
      <c r="DK84" s="4687"/>
      <c r="DL84" s="4687"/>
      <c r="DM84" s="4687"/>
      <c r="DN84" s="4687"/>
      <c r="DO84" s="4687"/>
      <c r="DP84" s="4687"/>
      <c r="DQ84" s="4653"/>
      <c r="DR84" s="4653"/>
      <c r="DS84" s="4653"/>
      <c r="DT84" s="4653"/>
      <c r="DU84" s="4653"/>
      <c r="DV84" s="4653"/>
      <c r="DW84" s="4653"/>
      <c r="DX84" s="4653"/>
      <c r="DY84" s="4653"/>
      <c r="DZ84" s="4653"/>
      <c r="EA84" s="4653"/>
      <c r="EB84" s="4653"/>
      <c r="EC84" s="4653"/>
      <c r="ED84" s="4653"/>
      <c r="EE84" s="4653"/>
      <c r="EF84" s="4653"/>
      <c r="EG84" s="4653"/>
      <c r="EH84" s="4653"/>
      <c r="EI84" s="4653"/>
      <c r="EJ84" s="4653"/>
      <c r="EK84" s="4653"/>
      <c r="EL84" s="4653"/>
      <c r="EM84" s="4653"/>
      <c r="EN84" s="4653"/>
      <c r="EO84" s="4653"/>
      <c r="EP84" s="4653"/>
      <c r="EQ84" s="4653"/>
      <c r="ER84" s="4653"/>
      <c r="ES84" s="4653"/>
      <c r="ET84" s="4653"/>
      <c r="EU84" s="4653"/>
      <c r="EV84" s="4653"/>
      <c r="EW84" s="4653"/>
      <c r="EX84" s="4653"/>
      <c r="EY84" s="4653"/>
      <c r="EZ84" s="4653"/>
      <c r="FA84" s="4653"/>
      <c r="FB84" s="4653"/>
      <c r="FC84" s="4653"/>
      <c r="FD84" s="4653"/>
      <c r="FE84" s="4653"/>
      <c r="FF84" s="4653"/>
      <c r="FG84" s="4653"/>
      <c r="FH84" s="4653"/>
      <c r="FI84" s="4653"/>
      <c r="FJ84" s="4653"/>
      <c r="FK84" s="4653"/>
      <c r="FL84" s="4653"/>
      <c r="FM84" s="4653"/>
      <c r="FN84" s="4653"/>
      <c r="FO84" s="4653"/>
      <c r="FP84" s="4653"/>
      <c r="FQ84" s="4653"/>
      <c r="FR84" s="4653"/>
      <c r="FS84" s="4653"/>
      <c r="FT84" s="4653"/>
      <c r="FU84" s="4653"/>
      <c r="FV84" s="4653"/>
      <c r="FW84" s="4653"/>
      <c r="FX84" s="4653"/>
      <c r="FY84" s="4653"/>
      <c r="FZ84" s="4653"/>
      <c r="GA84" s="4653"/>
      <c r="GB84" s="4653"/>
      <c r="GC84" s="4653"/>
      <c r="GD84" s="4653"/>
      <c r="GE84" s="4653"/>
      <c r="GF84" s="4653"/>
      <c r="GG84" s="4653"/>
      <c r="GH84" s="4653"/>
      <c r="GI84" s="4653"/>
      <c r="GJ84" s="4653"/>
      <c r="GK84" s="4653"/>
      <c r="GL84" s="4653"/>
      <c r="GM84" s="4653"/>
      <c r="GN84" s="4653"/>
      <c r="GO84" s="4653"/>
      <c r="GP84" s="4653"/>
      <c r="GQ84" s="4653"/>
      <c r="GR84" s="4653"/>
      <c r="GS84" s="4653"/>
      <c r="GT84" s="4653"/>
      <c r="GU84" s="4653"/>
      <c r="GV84" s="4653"/>
      <c r="GW84" s="4653"/>
      <c r="GX84" s="4653"/>
      <c r="GY84" s="4653"/>
      <c r="GZ84" s="4653"/>
      <c r="HA84" s="4653"/>
      <c r="HB84" s="4653"/>
      <c r="HC84" s="4653"/>
      <c r="HD84" s="4653"/>
      <c r="HE84" s="4653"/>
      <c r="HF84" s="4653"/>
      <c r="HG84" s="4653"/>
      <c r="HH84" s="4653"/>
      <c r="HI84" s="4653"/>
      <c r="HJ84" s="4653"/>
      <c r="HK84" s="4653"/>
      <c r="HL84" s="4653"/>
      <c r="HM84" s="4653"/>
      <c r="HN84" s="4653"/>
      <c r="HO84" s="4653"/>
      <c r="HP84" s="4653"/>
      <c r="HQ84" s="4653"/>
      <c r="HR84" s="4653"/>
      <c r="HS84" s="4653"/>
      <c r="HT84" s="4653"/>
      <c r="HU84" s="4653"/>
      <c r="HV84" s="4653"/>
      <c r="HW84" s="4653"/>
      <c r="HX84" s="4653"/>
      <c r="HY84" s="4653"/>
    </row>
    <row r="85" spans="1:233" s="4688" customFormat="1" x14ac:dyDescent="0.2">
      <c r="A85" s="10247" t="s">
        <v>3493</v>
      </c>
      <c r="B85" s="10246"/>
      <c r="C85" s="4870">
        <f t="shared" si="32"/>
        <v>0</v>
      </c>
      <c r="D85" s="4622"/>
      <c r="E85" s="4871"/>
      <c r="F85" s="4623"/>
      <c r="G85" s="4872"/>
      <c r="H85" s="4774"/>
      <c r="I85" s="4208"/>
      <c r="J85" s="4651"/>
      <c r="K85" s="4651"/>
      <c r="L85" s="4651"/>
      <c r="M85" s="4651"/>
      <c r="N85" s="4651"/>
      <c r="O85" s="4651"/>
      <c r="P85" s="4651"/>
      <c r="Q85" s="4651"/>
      <c r="R85" s="4651"/>
      <c r="S85" s="4651"/>
      <c r="T85" s="4651"/>
      <c r="U85" s="4651"/>
      <c r="V85" s="4651"/>
      <c r="W85" s="4651"/>
      <c r="X85" s="4651"/>
      <c r="Y85" s="4651"/>
      <c r="Z85" s="4651"/>
      <c r="AA85" s="4651"/>
      <c r="AB85" s="4651"/>
      <c r="AC85" s="4651"/>
      <c r="AD85" s="4651"/>
      <c r="AE85" s="4651"/>
      <c r="AF85" s="4651"/>
      <c r="AG85" s="4651"/>
      <c r="AH85" s="4651"/>
      <c r="AI85" s="4651"/>
      <c r="AJ85" s="4651"/>
      <c r="AK85" s="4651"/>
      <c r="AL85" s="4651"/>
      <c r="AM85" s="4651"/>
      <c r="AN85" s="4651"/>
      <c r="AO85" s="4651"/>
      <c r="AP85" s="4651"/>
      <c r="AQ85" s="4651"/>
      <c r="AR85" s="4651"/>
      <c r="AS85" s="4651"/>
      <c r="AT85" s="4651"/>
      <c r="AU85" s="4651"/>
      <c r="AV85" s="4651"/>
      <c r="AW85" s="4651"/>
      <c r="AX85" s="4651"/>
      <c r="AY85" s="4651"/>
      <c r="AZ85" s="4651"/>
      <c r="BA85" s="4651"/>
      <c r="BB85" s="4651"/>
      <c r="BC85" s="4651"/>
      <c r="BD85" s="4651"/>
      <c r="BE85" s="4651"/>
      <c r="BF85" s="4651"/>
      <c r="BG85" s="4651"/>
      <c r="BH85" s="4651"/>
      <c r="BI85" s="4651"/>
      <c r="BJ85" s="4651"/>
      <c r="BK85" s="4651"/>
      <c r="BL85" s="4651"/>
      <c r="BM85" s="4651"/>
      <c r="BN85" s="4651"/>
      <c r="BO85" s="4651"/>
      <c r="BP85" s="4651"/>
      <c r="BQ85" s="4651"/>
      <c r="BR85" s="4651"/>
      <c r="BS85" s="4651"/>
      <c r="BT85" s="4651"/>
      <c r="BU85" s="4651"/>
      <c r="BV85" s="4652"/>
      <c r="BW85" s="4652"/>
      <c r="BX85" s="4653"/>
      <c r="BY85" s="4653"/>
      <c r="BZ85" s="4653"/>
      <c r="CA85" s="4654"/>
      <c r="CB85" s="4654"/>
      <c r="CC85" s="4654"/>
      <c r="CD85" s="4654"/>
      <c r="CE85" s="4654"/>
      <c r="CF85" s="4654"/>
      <c r="CG85" s="4654"/>
      <c r="CH85" s="4654"/>
      <c r="CI85" s="4654"/>
      <c r="CJ85" s="4654"/>
      <c r="CK85" s="4654"/>
      <c r="CL85" s="4654"/>
      <c r="CM85" s="4654"/>
      <c r="CN85" s="4654"/>
      <c r="CO85" s="4654"/>
      <c r="CP85" s="4654"/>
      <c r="CQ85" s="4654"/>
      <c r="CR85" s="4654"/>
      <c r="CS85" s="4654"/>
      <c r="CT85" s="4654"/>
      <c r="CU85" s="4654"/>
      <c r="CV85" s="4654"/>
      <c r="CW85" s="4654"/>
      <c r="CX85" s="4654"/>
      <c r="CY85" s="4654"/>
      <c r="CZ85" s="4655"/>
      <c r="DA85" s="4687"/>
      <c r="DB85" s="4687"/>
      <c r="DC85" s="4687"/>
      <c r="DD85" s="4687"/>
      <c r="DE85" s="4687"/>
      <c r="DF85" s="4687"/>
      <c r="DG85" s="4687"/>
      <c r="DH85" s="4687"/>
      <c r="DI85" s="4687"/>
      <c r="DJ85" s="4687"/>
      <c r="DK85" s="4687"/>
      <c r="DL85" s="4687"/>
      <c r="DM85" s="4687"/>
      <c r="DN85" s="4687"/>
      <c r="DO85" s="4687"/>
      <c r="DP85" s="4687"/>
      <c r="DQ85" s="4653"/>
      <c r="DR85" s="4653"/>
      <c r="DS85" s="4653"/>
      <c r="DT85" s="4653"/>
      <c r="DU85" s="4653"/>
      <c r="DV85" s="4653"/>
      <c r="DW85" s="4653"/>
      <c r="DX85" s="4653"/>
      <c r="DY85" s="4653"/>
      <c r="DZ85" s="4653"/>
      <c r="EA85" s="4653"/>
      <c r="EB85" s="4653"/>
      <c r="EC85" s="4653"/>
      <c r="ED85" s="4653"/>
      <c r="EE85" s="4653"/>
      <c r="EF85" s="4653"/>
      <c r="EG85" s="4653"/>
      <c r="EH85" s="4653"/>
      <c r="EI85" s="4653"/>
      <c r="EJ85" s="4653"/>
      <c r="EK85" s="4653"/>
      <c r="EL85" s="4653"/>
      <c r="EM85" s="4653"/>
      <c r="EN85" s="4653"/>
      <c r="EO85" s="4653"/>
      <c r="EP85" s="4653"/>
      <c r="EQ85" s="4653"/>
      <c r="ER85" s="4653"/>
      <c r="ES85" s="4653"/>
      <c r="ET85" s="4653"/>
      <c r="EU85" s="4653"/>
      <c r="EV85" s="4653"/>
      <c r="EW85" s="4653"/>
      <c r="EX85" s="4653"/>
      <c r="EY85" s="4653"/>
      <c r="EZ85" s="4653"/>
      <c r="FA85" s="4653"/>
      <c r="FB85" s="4653"/>
      <c r="FC85" s="4653"/>
      <c r="FD85" s="4653"/>
      <c r="FE85" s="4653"/>
      <c r="FF85" s="4653"/>
      <c r="FG85" s="4653"/>
      <c r="FH85" s="4653"/>
      <c r="FI85" s="4653"/>
      <c r="FJ85" s="4653"/>
      <c r="FK85" s="4653"/>
      <c r="FL85" s="4653"/>
      <c r="FM85" s="4653"/>
      <c r="FN85" s="4653"/>
      <c r="FO85" s="4653"/>
      <c r="FP85" s="4653"/>
      <c r="FQ85" s="4653"/>
      <c r="FR85" s="4653"/>
      <c r="FS85" s="4653"/>
      <c r="FT85" s="4653"/>
      <c r="FU85" s="4653"/>
      <c r="FV85" s="4653"/>
      <c r="FW85" s="4653"/>
      <c r="FX85" s="4653"/>
      <c r="FY85" s="4653"/>
      <c r="FZ85" s="4653"/>
      <c r="GA85" s="4653"/>
      <c r="GB85" s="4653"/>
      <c r="GC85" s="4653"/>
      <c r="GD85" s="4653"/>
      <c r="GE85" s="4653"/>
      <c r="GF85" s="4653"/>
      <c r="GG85" s="4653"/>
      <c r="GH85" s="4653"/>
      <c r="GI85" s="4653"/>
      <c r="GJ85" s="4653"/>
      <c r="GK85" s="4653"/>
      <c r="GL85" s="4653"/>
      <c r="GM85" s="4653"/>
      <c r="GN85" s="4653"/>
      <c r="GO85" s="4653"/>
      <c r="GP85" s="4653"/>
      <c r="GQ85" s="4653"/>
      <c r="GR85" s="4653"/>
      <c r="GS85" s="4653"/>
      <c r="GT85" s="4653"/>
      <c r="GU85" s="4653"/>
      <c r="GV85" s="4653"/>
      <c r="GW85" s="4653"/>
      <c r="GX85" s="4653"/>
      <c r="GY85" s="4653"/>
      <c r="GZ85" s="4653"/>
      <c r="HA85" s="4653"/>
      <c r="HB85" s="4653"/>
      <c r="HC85" s="4653"/>
      <c r="HD85" s="4653"/>
      <c r="HE85" s="4653"/>
      <c r="HF85" s="4653"/>
      <c r="HG85" s="4653"/>
      <c r="HH85" s="4653"/>
      <c r="HI85" s="4653"/>
      <c r="HJ85" s="4653"/>
      <c r="HK85" s="4653"/>
      <c r="HL85" s="4653"/>
      <c r="HM85" s="4653"/>
      <c r="HN85" s="4653"/>
      <c r="HO85" s="4653"/>
      <c r="HP85" s="4653"/>
      <c r="HQ85" s="4653"/>
      <c r="HR85" s="4653"/>
      <c r="HS85" s="4653"/>
      <c r="HT85" s="4653"/>
      <c r="HU85" s="4653"/>
      <c r="HV85" s="4653"/>
      <c r="HW85" s="4653"/>
      <c r="HX85" s="4653"/>
      <c r="HY85" s="4653"/>
    </row>
    <row r="86" spans="1:233" s="4688" customFormat="1" x14ac:dyDescent="0.2">
      <c r="A86" s="10247" t="s">
        <v>33</v>
      </c>
      <c r="B86" s="10246"/>
      <c r="C86" s="4870">
        <f t="shared" si="32"/>
        <v>0</v>
      </c>
      <c r="D86" s="4622"/>
      <c r="E86" s="4871"/>
      <c r="F86" s="4623"/>
      <c r="G86" s="4872"/>
      <c r="H86" s="4774"/>
      <c r="I86" s="4208"/>
      <c r="J86" s="4651"/>
      <c r="K86" s="4651"/>
      <c r="L86" s="4651"/>
      <c r="M86" s="4651"/>
      <c r="N86" s="4651"/>
      <c r="O86" s="4651"/>
      <c r="P86" s="4651"/>
      <c r="Q86" s="4651"/>
      <c r="R86" s="4651"/>
      <c r="S86" s="4651"/>
      <c r="T86" s="4651"/>
      <c r="U86" s="4651"/>
      <c r="V86" s="4651"/>
      <c r="W86" s="4651"/>
      <c r="X86" s="4651"/>
      <c r="Y86" s="4651"/>
      <c r="Z86" s="4651"/>
      <c r="AA86" s="4651"/>
      <c r="AB86" s="4651"/>
      <c r="AC86" s="4651"/>
      <c r="AD86" s="4651"/>
      <c r="AE86" s="4651"/>
      <c r="AF86" s="4651"/>
      <c r="AG86" s="4651"/>
      <c r="AH86" s="4651"/>
      <c r="AI86" s="4651"/>
      <c r="AJ86" s="4651"/>
      <c r="AK86" s="4651"/>
      <c r="AL86" s="4651"/>
      <c r="AM86" s="4651"/>
      <c r="AN86" s="4651"/>
      <c r="AO86" s="4651"/>
      <c r="AP86" s="4651"/>
      <c r="AQ86" s="4651"/>
      <c r="AR86" s="4651"/>
      <c r="AS86" s="4651"/>
      <c r="AT86" s="4651"/>
      <c r="AU86" s="4651"/>
      <c r="AV86" s="4651"/>
      <c r="AW86" s="4651"/>
      <c r="AX86" s="4651"/>
      <c r="AY86" s="4651"/>
      <c r="AZ86" s="4651"/>
      <c r="BA86" s="4651"/>
      <c r="BB86" s="4651"/>
      <c r="BC86" s="4651"/>
      <c r="BD86" s="4651"/>
      <c r="BE86" s="4651"/>
      <c r="BF86" s="4651"/>
      <c r="BG86" s="4651"/>
      <c r="BH86" s="4651"/>
      <c r="BI86" s="4651"/>
      <c r="BJ86" s="4651"/>
      <c r="BK86" s="4651"/>
      <c r="BL86" s="4651"/>
      <c r="BM86" s="4651"/>
      <c r="BN86" s="4651"/>
      <c r="BO86" s="4651"/>
      <c r="BP86" s="4651"/>
      <c r="BQ86" s="4651"/>
      <c r="BR86" s="4651"/>
      <c r="BS86" s="4651"/>
      <c r="BT86" s="4651"/>
      <c r="BU86" s="4651"/>
      <c r="BV86" s="4652"/>
      <c r="BW86" s="4652"/>
      <c r="BX86" s="4653"/>
      <c r="BY86" s="4653"/>
      <c r="BZ86" s="4653"/>
      <c r="CA86" s="4654"/>
      <c r="CB86" s="4654"/>
      <c r="CC86" s="4654"/>
      <c r="CD86" s="4654"/>
      <c r="CE86" s="4654"/>
      <c r="CF86" s="4654"/>
      <c r="CG86" s="4654"/>
      <c r="CH86" s="4654"/>
      <c r="CI86" s="4654"/>
      <c r="CJ86" s="4654"/>
      <c r="CK86" s="4654"/>
      <c r="CL86" s="4654"/>
      <c r="CM86" s="4654"/>
      <c r="CN86" s="4654"/>
      <c r="CO86" s="4654"/>
      <c r="CP86" s="4654"/>
      <c r="CQ86" s="4654"/>
      <c r="CR86" s="4654"/>
      <c r="CS86" s="4654"/>
      <c r="CT86" s="4654"/>
      <c r="CU86" s="4654"/>
      <c r="CV86" s="4654"/>
      <c r="CW86" s="4654"/>
      <c r="CX86" s="4654"/>
      <c r="CY86" s="4654"/>
      <c r="CZ86" s="4655"/>
      <c r="DA86" s="4687"/>
      <c r="DB86" s="4687"/>
      <c r="DC86" s="4687"/>
      <c r="DD86" s="4687"/>
      <c r="DE86" s="4687"/>
      <c r="DF86" s="4687"/>
      <c r="DG86" s="4687"/>
      <c r="DH86" s="4687"/>
      <c r="DI86" s="4687"/>
      <c r="DJ86" s="4687"/>
      <c r="DK86" s="4687"/>
      <c r="DL86" s="4687"/>
      <c r="DM86" s="4687"/>
      <c r="DN86" s="4687"/>
      <c r="DO86" s="4687"/>
      <c r="DP86" s="4687"/>
      <c r="DQ86" s="4653"/>
      <c r="DR86" s="4653"/>
      <c r="DS86" s="4653"/>
      <c r="DT86" s="4653"/>
      <c r="DU86" s="4653"/>
      <c r="DV86" s="4653"/>
      <c r="DW86" s="4653"/>
      <c r="DX86" s="4653"/>
      <c r="DY86" s="4653"/>
      <c r="DZ86" s="4653"/>
      <c r="EA86" s="4653"/>
      <c r="EB86" s="4653"/>
      <c r="EC86" s="4653"/>
      <c r="ED86" s="4653"/>
      <c r="EE86" s="4653"/>
      <c r="EF86" s="4653"/>
      <c r="EG86" s="4653"/>
      <c r="EH86" s="4653"/>
      <c r="EI86" s="4653"/>
      <c r="EJ86" s="4653"/>
      <c r="EK86" s="4653"/>
      <c r="EL86" s="4653"/>
      <c r="EM86" s="4653"/>
      <c r="EN86" s="4653"/>
      <c r="EO86" s="4653"/>
      <c r="EP86" s="4653"/>
      <c r="EQ86" s="4653"/>
      <c r="ER86" s="4653"/>
      <c r="ES86" s="4653"/>
      <c r="ET86" s="4653"/>
      <c r="EU86" s="4653"/>
      <c r="EV86" s="4653"/>
      <c r="EW86" s="4653"/>
      <c r="EX86" s="4653"/>
      <c r="EY86" s="4653"/>
      <c r="EZ86" s="4653"/>
      <c r="FA86" s="4653"/>
      <c r="FB86" s="4653"/>
      <c r="FC86" s="4653"/>
      <c r="FD86" s="4653"/>
      <c r="FE86" s="4653"/>
      <c r="FF86" s="4653"/>
      <c r="FG86" s="4653"/>
      <c r="FH86" s="4653"/>
      <c r="FI86" s="4653"/>
      <c r="FJ86" s="4653"/>
      <c r="FK86" s="4653"/>
      <c r="FL86" s="4653"/>
      <c r="FM86" s="4653"/>
      <c r="FN86" s="4653"/>
      <c r="FO86" s="4653"/>
      <c r="FP86" s="4653"/>
      <c r="FQ86" s="4653"/>
      <c r="FR86" s="4653"/>
      <c r="FS86" s="4653"/>
      <c r="FT86" s="4653"/>
      <c r="FU86" s="4653"/>
      <c r="FV86" s="4653"/>
      <c r="FW86" s="4653"/>
      <c r="FX86" s="4653"/>
      <c r="FY86" s="4653"/>
      <c r="FZ86" s="4653"/>
      <c r="GA86" s="4653"/>
      <c r="GB86" s="4653"/>
      <c r="GC86" s="4653"/>
      <c r="GD86" s="4653"/>
      <c r="GE86" s="4653"/>
      <c r="GF86" s="4653"/>
      <c r="GG86" s="4653"/>
      <c r="GH86" s="4653"/>
      <c r="GI86" s="4653"/>
      <c r="GJ86" s="4653"/>
      <c r="GK86" s="4653"/>
      <c r="GL86" s="4653"/>
      <c r="GM86" s="4653"/>
      <c r="GN86" s="4653"/>
      <c r="GO86" s="4653"/>
      <c r="GP86" s="4653"/>
      <c r="GQ86" s="4653"/>
      <c r="GR86" s="4653"/>
      <c r="GS86" s="4653"/>
      <c r="GT86" s="4653"/>
      <c r="GU86" s="4653"/>
      <c r="GV86" s="4653"/>
      <c r="GW86" s="4653"/>
      <c r="GX86" s="4653"/>
      <c r="GY86" s="4653"/>
      <c r="GZ86" s="4653"/>
      <c r="HA86" s="4653"/>
      <c r="HB86" s="4653"/>
      <c r="HC86" s="4653"/>
      <c r="HD86" s="4653"/>
      <c r="HE86" s="4653"/>
      <c r="HF86" s="4653"/>
      <c r="HG86" s="4653"/>
      <c r="HH86" s="4653"/>
      <c r="HI86" s="4653"/>
      <c r="HJ86" s="4653"/>
      <c r="HK86" s="4653"/>
      <c r="HL86" s="4653"/>
      <c r="HM86" s="4653"/>
      <c r="HN86" s="4653"/>
      <c r="HO86" s="4653"/>
      <c r="HP86" s="4653"/>
      <c r="HQ86" s="4653"/>
      <c r="HR86" s="4653"/>
      <c r="HS86" s="4653"/>
      <c r="HT86" s="4653"/>
      <c r="HU86" s="4653"/>
      <c r="HV86" s="4653"/>
      <c r="HW86" s="4653"/>
      <c r="HX86" s="4653"/>
      <c r="HY86" s="4653"/>
    </row>
    <row r="87" spans="1:233" s="4688" customFormat="1" x14ac:dyDescent="0.2">
      <c r="A87" s="10245" t="s">
        <v>40</v>
      </c>
      <c r="B87" s="10246"/>
      <c r="C87" s="4865">
        <f t="shared" si="32"/>
        <v>0</v>
      </c>
      <c r="D87" s="4778"/>
      <c r="E87" s="4779"/>
      <c r="F87" s="4866"/>
      <c r="G87" s="4867"/>
      <c r="H87" s="4868"/>
      <c r="I87" s="4869"/>
      <c r="J87" s="4651"/>
      <c r="K87" s="4651"/>
      <c r="L87" s="4651"/>
      <c r="M87" s="4651"/>
      <c r="N87" s="4651"/>
      <c r="O87" s="4651"/>
      <c r="P87" s="4651"/>
      <c r="Q87" s="4651"/>
      <c r="R87" s="4651"/>
      <c r="S87" s="4651"/>
      <c r="T87" s="4651"/>
      <c r="U87" s="4651"/>
      <c r="V87" s="4651"/>
      <c r="W87" s="4651"/>
      <c r="X87" s="4651"/>
      <c r="Y87" s="4651"/>
      <c r="Z87" s="4651"/>
      <c r="AA87" s="4651"/>
      <c r="AB87" s="4651"/>
      <c r="AC87" s="4651"/>
      <c r="AD87" s="4651"/>
      <c r="AE87" s="4651"/>
      <c r="AF87" s="4651"/>
      <c r="AG87" s="4651"/>
      <c r="AH87" s="4651"/>
      <c r="AI87" s="4651"/>
      <c r="AJ87" s="4651"/>
      <c r="AK87" s="4651"/>
      <c r="AL87" s="4651"/>
      <c r="AM87" s="4651"/>
      <c r="AN87" s="4651"/>
      <c r="AO87" s="4651"/>
      <c r="AP87" s="4651"/>
      <c r="AQ87" s="4651"/>
      <c r="AR87" s="4651"/>
      <c r="AS87" s="4651"/>
      <c r="AT87" s="4651"/>
      <c r="AU87" s="4651"/>
      <c r="AV87" s="4651"/>
      <c r="AW87" s="4651"/>
      <c r="AX87" s="4651"/>
      <c r="AY87" s="4651"/>
      <c r="AZ87" s="4651"/>
      <c r="BA87" s="4651"/>
      <c r="BB87" s="4651"/>
      <c r="BC87" s="4651"/>
      <c r="BD87" s="4651"/>
      <c r="BE87" s="4651"/>
      <c r="BF87" s="4651"/>
      <c r="BG87" s="4651"/>
      <c r="BH87" s="4651"/>
      <c r="BI87" s="4651"/>
      <c r="BJ87" s="4651"/>
      <c r="BK87" s="4651"/>
      <c r="BL87" s="4651"/>
      <c r="BM87" s="4651"/>
      <c r="BN87" s="4651"/>
      <c r="BO87" s="4651"/>
      <c r="BP87" s="4651"/>
      <c r="BQ87" s="4651"/>
      <c r="BR87" s="4651"/>
      <c r="BS87" s="4651"/>
      <c r="BT87" s="4651"/>
      <c r="BU87" s="4651"/>
      <c r="BV87" s="4652"/>
      <c r="BW87" s="4652"/>
      <c r="BX87" s="4653"/>
      <c r="BY87" s="4653"/>
      <c r="BZ87" s="4653"/>
      <c r="CA87" s="4654"/>
      <c r="CB87" s="4654"/>
      <c r="CC87" s="4654"/>
      <c r="CD87" s="4654"/>
      <c r="CE87" s="4654"/>
      <c r="CF87" s="4654"/>
      <c r="CG87" s="4654"/>
      <c r="CH87" s="4654"/>
      <c r="CI87" s="4654"/>
      <c r="CJ87" s="4654"/>
      <c r="CK87" s="4654"/>
      <c r="CL87" s="4654"/>
      <c r="CM87" s="4654"/>
      <c r="CN87" s="4654"/>
      <c r="CO87" s="4654"/>
      <c r="CP87" s="4654"/>
      <c r="CQ87" s="4654"/>
      <c r="CR87" s="4654"/>
      <c r="CS87" s="4654"/>
      <c r="CT87" s="4654"/>
      <c r="CU87" s="4654"/>
      <c r="CV87" s="4654"/>
      <c r="CW87" s="4654"/>
      <c r="CX87" s="4654"/>
      <c r="CY87" s="4654"/>
      <c r="CZ87" s="4655"/>
      <c r="DA87" s="4687"/>
      <c r="DB87" s="4687"/>
      <c r="DC87" s="4687"/>
      <c r="DD87" s="4687"/>
      <c r="DE87" s="4687"/>
      <c r="DF87" s="4687"/>
      <c r="DG87" s="4687"/>
      <c r="DH87" s="4687"/>
      <c r="DI87" s="4687"/>
      <c r="DJ87" s="4687"/>
      <c r="DK87" s="4687"/>
      <c r="DL87" s="4687"/>
      <c r="DM87" s="4687"/>
      <c r="DN87" s="4687"/>
      <c r="DO87" s="4687"/>
      <c r="DP87" s="4687"/>
      <c r="DQ87" s="4653"/>
      <c r="DR87" s="4653"/>
      <c r="DS87" s="4653"/>
      <c r="DT87" s="4653"/>
      <c r="DU87" s="4653"/>
      <c r="DV87" s="4653"/>
      <c r="DW87" s="4653"/>
      <c r="DX87" s="4653"/>
      <c r="DY87" s="4653"/>
      <c r="DZ87" s="4653"/>
      <c r="EA87" s="4653"/>
      <c r="EB87" s="4653"/>
      <c r="EC87" s="4653"/>
      <c r="ED87" s="4653"/>
      <c r="EE87" s="4653"/>
      <c r="EF87" s="4653"/>
      <c r="EG87" s="4653"/>
      <c r="EH87" s="4653"/>
      <c r="EI87" s="4653"/>
      <c r="EJ87" s="4653"/>
      <c r="EK87" s="4653"/>
      <c r="EL87" s="4653"/>
      <c r="EM87" s="4653"/>
      <c r="EN87" s="4653"/>
      <c r="EO87" s="4653"/>
      <c r="EP87" s="4653"/>
      <c r="EQ87" s="4653"/>
      <c r="ER87" s="4653"/>
      <c r="ES87" s="4653"/>
      <c r="ET87" s="4653"/>
      <c r="EU87" s="4653"/>
      <c r="EV87" s="4653"/>
      <c r="EW87" s="4653"/>
      <c r="EX87" s="4653"/>
      <c r="EY87" s="4653"/>
      <c r="EZ87" s="4653"/>
      <c r="FA87" s="4653"/>
      <c r="FB87" s="4653"/>
      <c r="FC87" s="4653"/>
      <c r="FD87" s="4653"/>
      <c r="FE87" s="4653"/>
      <c r="FF87" s="4653"/>
      <c r="FG87" s="4653"/>
      <c r="FH87" s="4653"/>
      <c r="FI87" s="4653"/>
      <c r="FJ87" s="4653"/>
      <c r="FK87" s="4653"/>
      <c r="FL87" s="4653"/>
      <c r="FM87" s="4653"/>
      <c r="FN87" s="4653"/>
      <c r="FO87" s="4653"/>
      <c r="FP87" s="4653"/>
      <c r="FQ87" s="4653"/>
      <c r="FR87" s="4653"/>
      <c r="FS87" s="4653"/>
      <c r="FT87" s="4653"/>
      <c r="FU87" s="4653"/>
      <c r="FV87" s="4653"/>
      <c r="FW87" s="4653"/>
      <c r="FX87" s="4653"/>
      <c r="FY87" s="4653"/>
      <c r="FZ87" s="4653"/>
      <c r="GA87" s="4653"/>
      <c r="GB87" s="4653"/>
      <c r="GC87" s="4653"/>
      <c r="GD87" s="4653"/>
      <c r="GE87" s="4653"/>
      <c r="GF87" s="4653"/>
      <c r="GG87" s="4653"/>
      <c r="GH87" s="4653"/>
      <c r="GI87" s="4653"/>
      <c r="GJ87" s="4653"/>
      <c r="GK87" s="4653"/>
      <c r="GL87" s="4653"/>
      <c r="GM87" s="4653"/>
      <c r="GN87" s="4653"/>
      <c r="GO87" s="4653"/>
      <c r="GP87" s="4653"/>
      <c r="GQ87" s="4653"/>
      <c r="GR87" s="4653"/>
      <c r="GS87" s="4653"/>
      <c r="GT87" s="4653"/>
      <c r="GU87" s="4653"/>
      <c r="GV87" s="4653"/>
      <c r="GW87" s="4653"/>
      <c r="GX87" s="4653"/>
      <c r="GY87" s="4653"/>
      <c r="GZ87" s="4653"/>
      <c r="HA87" s="4653"/>
      <c r="HB87" s="4653"/>
      <c r="HC87" s="4653"/>
      <c r="HD87" s="4653"/>
      <c r="HE87" s="4653"/>
      <c r="HF87" s="4653"/>
      <c r="HG87" s="4653"/>
      <c r="HH87" s="4653"/>
      <c r="HI87" s="4653"/>
      <c r="HJ87" s="4653"/>
      <c r="HK87" s="4653"/>
      <c r="HL87" s="4653"/>
      <c r="HM87" s="4653"/>
      <c r="HN87" s="4653"/>
      <c r="HO87" s="4653"/>
      <c r="HP87" s="4653"/>
      <c r="HQ87" s="4653"/>
      <c r="HR87" s="4653"/>
      <c r="HS87" s="4653"/>
      <c r="HT87" s="4653"/>
      <c r="HU87" s="4653"/>
      <c r="HV87" s="4653"/>
      <c r="HW87" s="4653"/>
      <c r="HX87" s="4653"/>
      <c r="HY87" s="4653"/>
    </row>
    <row r="88" spans="1:233" s="4688" customFormat="1" x14ac:dyDescent="0.2">
      <c r="A88" s="10245" t="s">
        <v>1432</v>
      </c>
      <c r="B88" s="10246"/>
      <c r="C88" s="4865">
        <f t="shared" si="32"/>
        <v>0</v>
      </c>
      <c r="D88" s="4778"/>
      <c r="E88" s="4779"/>
      <c r="F88" s="4866"/>
      <c r="G88" s="4867"/>
      <c r="H88" s="4868"/>
      <c r="I88" s="4869"/>
      <c r="J88" s="4651"/>
      <c r="K88" s="4651"/>
      <c r="L88" s="4651"/>
      <c r="M88" s="4651"/>
      <c r="N88" s="4651"/>
      <c r="O88" s="4651"/>
      <c r="P88" s="4651"/>
      <c r="Q88" s="4651"/>
      <c r="R88" s="4651"/>
      <c r="S88" s="4651"/>
      <c r="T88" s="4651"/>
      <c r="U88" s="4651"/>
      <c r="V88" s="4651"/>
      <c r="W88" s="4651"/>
      <c r="X88" s="4651"/>
      <c r="Y88" s="4651"/>
      <c r="Z88" s="4651"/>
      <c r="AA88" s="4651"/>
      <c r="AB88" s="4651"/>
      <c r="AC88" s="4651"/>
      <c r="AD88" s="4651"/>
      <c r="AE88" s="4651"/>
      <c r="AF88" s="4651"/>
      <c r="AG88" s="4651"/>
      <c r="AH88" s="4651"/>
      <c r="AI88" s="4651"/>
      <c r="AJ88" s="4651"/>
      <c r="AK88" s="4651"/>
      <c r="AL88" s="4651"/>
      <c r="AM88" s="4651"/>
      <c r="AN88" s="4651"/>
      <c r="AO88" s="4651"/>
      <c r="AP88" s="4651"/>
      <c r="AQ88" s="4651"/>
      <c r="AR88" s="4651"/>
      <c r="AS88" s="4651"/>
      <c r="AT88" s="4651"/>
      <c r="AU88" s="4651"/>
      <c r="AV88" s="4651"/>
      <c r="AW88" s="4651"/>
      <c r="AX88" s="4651"/>
      <c r="AY88" s="4651"/>
      <c r="AZ88" s="4651"/>
      <c r="BA88" s="4651"/>
      <c r="BB88" s="4651"/>
      <c r="BC88" s="4651"/>
      <c r="BD88" s="4651"/>
      <c r="BE88" s="4651"/>
      <c r="BF88" s="4651"/>
      <c r="BG88" s="4651"/>
      <c r="BH88" s="4651"/>
      <c r="BI88" s="4651"/>
      <c r="BJ88" s="4651"/>
      <c r="BK88" s="4651"/>
      <c r="BL88" s="4651"/>
      <c r="BM88" s="4651"/>
      <c r="BN88" s="4651"/>
      <c r="BO88" s="4651"/>
      <c r="BP88" s="4651"/>
      <c r="BQ88" s="4651"/>
      <c r="BR88" s="4651"/>
      <c r="BS88" s="4651"/>
      <c r="BT88" s="4651"/>
      <c r="BU88" s="4651"/>
      <c r="BV88" s="4652"/>
      <c r="BW88" s="4652"/>
      <c r="BX88" s="4653"/>
      <c r="BY88" s="4653"/>
      <c r="BZ88" s="4653"/>
      <c r="CA88" s="4654"/>
      <c r="CB88" s="4654"/>
      <c r="CC88" s="4654"/>
      <c r="CD88" s="4654"/>
      <c r="CE88" s="4654"/>
      <c r="CF88" s="4654"/>
      <c r="CG88" s="4654"/>
      <c r="CH88" s="4654"/>
      <c r="CI88" s="4654"/>
      <c r="CJ88" s="4654"/>
      <c r="CK88" s="4654"/>
      <c r="CL88" s="4654"/>
      <c r="CM88" s="4654"/>
      <c r="CN88" s="4654"/>
      <c r="CO88" s="4654"/>
      <c r="CP88" s="4654"/>
      <c r="CQ88" s="4654"/>
      <c r="CR88" s="4654"/>
      <c r="CS88" s="4654"/>
      <c r="CT88" s="4654"/>
      <c r="CU88" s="4654"/>
      <c r="CV88" s="4654"/>
      <c r="CW88" s="4654"/>
      <c r="CX88" s="4654"/>
      <c r="CY88" s="4654"/>
      <c r="CZ88" s="4655"/>
      <c r="DA88" s="4687"/>
      <c r="DB88" s="4687"/>
      <c r="DC88" s="4687"/>
      <c r="DD88" s="4687"/>
      <c r="DE88" s="4687"/>
      <c r="DF88" s="4687"/>
      <c r="DG88" s="4687"/>
      <c r="DH88" s="4687"/>
      <c r="DI88" s="4687"/>
      <c r="DJ88" s="4687"/>
      <c r="DK88" s="4687"/>
      <c r="DL88" s="4687"/>
      <c r="DM88" s="4687"/>
      <c r="DN88" s="4687"/>
      <c r="DO88" s="4687"/>
      <c r="DP88" s="4687"/>
      <c r="DQ88" s="4653"/>
      <c r="DR88" s="4653"/>
      <c r="DS88" s="4653"/>
      <c r="DT88" s="4653"/>
      <c r="DU88" s="4653"/>
      <c r="DV88" s="4653"/>
      <c r="DW88" s="4653"/>
      <c r="DX88" s="4653"/>
      <c r="DY88" s="4653"/>
      <c r="DZ88" s="4653"/>
      <c r="EA88" s="4653"/>
      <c r="EB88" s="4653"/>
      <c r="EC88" s="4653"/>
      <c r="ED88" s="4653"/>
      <c r="EE88" s="4653"/>
      <c r="EF88" s="4653"/>
      <c r="EG88" s="4653"/>
      <c r="EH88" s="4653"/>
      <c r="EI88" s="4653"/>
      <c r="EJ88" s="4653"/>
      <c r="EK88" s="4653"/>
      <c r="EL88" s="4653"/>
      <c r="EM88" s="4653"/>
      <c r="EN88" s="4653"/>
      <c r="EO88" s="4653"/>
      <c r="EP88" s="4653"/>
      <c r="EQ88" s="4653"/>
      <c r="ER88" s="4653"/>
      <c r="ES88" s="4653"/>
      <c r="ET88" s="4653"/>
      <c r="EU88" s="4653"/>
      <c r="EV88" s="4653"/>
      <c r="EW88" s="4653"/>
      <c r="EX88" s="4653"/>
      <c r="EY88" s="4653"/>
      <c r="EZ88" s="4653"/>
      <c r="FA88" s="4653"/>
      <c r="FB88" s="4653"/>
      <c r="FC88" s="4653"/>
      <c r="FD88" s="4653"/>
      <c r="FE88" s="4653"/>
      <c r="FF88" s="4653"/>
      <c r="FG88" s="4653"/>
      <c r="FH88" s="4653"/>
      <c r="FI88" s="4653"/>
      <c r="FJ88" s="4653"/>
      <c r="FK88" s="4653"/>
      <c r="FL88" s="4653"/>
      <c r="FM88" s="4653"/>
      <c r="FN88" s="4653"/>
      <c r="FO88" s="4653"/>
      <c r="FP88" s="4653"/>
      <c r="FQ88" s="4653"/>
      <c r="FR88" s="4653"/>
      <c r="FS88" s="4653"/>
      <c r="FT88" s="4653"/>
      <c r="FU88" s="4653"/>
      <c r="FV88" s="4653"/>
      <c r="FW88" s="4653"/>
      <c r="FX88" s="4653"/>
      <c r="FY88" s="4653"/>
      <c r="FZ88" s="4653"/>
      <c r="GA88" s="4653"/>
      <c r="GB88" s="4653"/>
      <c r="GC88" s="4653"/>
      <c r="GD88" s="4653"/>
      <c r="GE88" s="4653"/>
      <c r="GF88" s="4653"/>
      <c r="GG88" s="4653"/>
      <c r="GH88" s="4653"/>
      <c r="GI88" s="4653"/>
      <c r="GJ88" s="4653"/>
      <c r="GK88" s="4653"/>
      <c r="GL88" s="4653"/>
      <c r="GM88" s="4653"/>
      <c r="GN88" s="4653"/>
      <c r="GO88" s="4653"/>
      <c r="GP88" s="4653"/>
      <c r="GQ88" s="4653"/>
      <c r="GR88" s="4653"/>
      <c r="GS88" s="4653"/>
      <c r="GT88" s="4653"/>
      <c r="GU88" s="4653"/>
      <c r="GV88" s="4653"/>
      <c r="GW88" s="4653"/>
      <c r="GX88" s="4653"/>
      <c r="GY88" s="4653"/>
      <c r="GZ88" s="4653"/>
      <c r="HA88" s="4653"/>
      <c r="HB88" s="4653"/>
      <c r="HC88" s="4653"/>
      <c r="HD88" s="4653"/>
      <c r="HE88" s="4653"/>
      <c r="HF88" s="4653"/>
      <c r="HG88" s="4653"/>
      <c r="HH88" s="4653"/>
      <c r="HI88" s="4653"/>
      <c r="HJ88" s="4653"/>
      <c r="HK88" s="4653"/>
      <c r="HL88" s="4653"/>
      <c r="HM88" s="4653"/>
      <c r="HN88" s="4653"/>
      <c r="HO88" s="4653"/>
      <c r="HP88" s="4653"/>
      <c r="HQ88" s="4653"/>
      <c r="HR88" s="4653"/>
      <c r="HS88" s="4653"/>
      <c r="HT88" s="4653"/>
      <c r="HU88" s="4653"/>
      <c r="HV88" s="4653"/>
      <c r="HW88" s="4653"/>
      <c r="HX88" s="4653"/>
      <c r="HY88" s="4653"/>
    </row>
    <row r="89" spans="1:233" s="4688" customFormat="1" x14ac:dyDescent="0.2">
      <c r="A89" s="10265" t="s">
        <v>2799</v>
      </c>
      <c r="B89" s="10266"/>
      <c r="C89" s="4873">
        <f t="shared" si="32"/>
        <v>0</v>
      </c>
      <c r="D89" s="4796"/>
      <c r="E89" s="4797"/>
      <c r="F89" s="4874"/>
      <c r="G89" s="4875"/>
      <c r="H89" s="4876"/>
      <c r="I89" s="4877"/>
      <c r="J89" s="4651"/>
      <c r="K89" s="4651"/>
      <c r="L89" s="4651"/>
      <c r="M89" s="4651"/>
      <c r="N89" s="4651"/>
      <c r="O89" s="4651"/>
      <c r="P89" s="4651"/>
      <c r="Q89" s="4651"/>
      <c r="R89" s="4651"/>
      <c r="S89" s="4651"/>
      <c r="T89" s="4651"/>
      <c r="U89" s="4651"/>
      <c r="V89" s="4651"/>
      <c r="W89" s="4651"/>
      <c r="X89" s="4651"/>
      <c r="Y89" s="4651"/>
      <c r="Z89" s="4651"/>
      <c r="AA89" s="4651"/>
      <c r="AB89" s="4651"/>
      <c r="AC89" s="4651"/>
      <c r="AD89" s="4651"/>
      <c r="AE89" s="4651"/>
      <c r="AF89" s="4651"/>
      <c r="AG89" s="4651"/>
      <c r="AH89" s="4651"/>
      <c r="AI89" s="4651"/>
      <c r="AJ89" s="4651"/>
      <c r="AK89" s="4651"/>
      <c r="AL89" s="4651"/>
      <c r="AM89" s="4651"/>
      <c r="AN89" s="4651"/>
      <c r="AO89" s="4651"/>
      <c r="AP89" s="4651"/>
      <c r="AQ89" s="4651"/>
      <c r="AR89" s="4651"/>
      <c r="AS89" s="4651"/>
      <c r="AT89" s="4651"/>
      <c r="AU89" s="4651"/>
      <c r="AV89" s="4651"/>
      <c r="AW89" s="4651"/>
      <c r="AX89" s="4651"/>
      <c r="AY89" s="4651"/>
      <c r="AZ89" s="4651"/>
      <c r="BA89" s="4651"/>
      <c r="BB89" s="4651"/>
      <c r="BC89" s="4651"/>
      <c r="BD89" s="4651"/>
      <c r="BE89" s="4651"/>
      <c r="BF89" s="4651"/>
      <c r="BG89" s="4651"/>
      <c r="BH89" s="4651"/>
      <c r="BI89" s="4651"/>
      <c r="BJ89" s="4651"/>
      <c r="BK89" s="4651"/>
      <c r="BL89" s="4651"/>
      <c r="BM89" s="4651"/>
      <c r="BN89" s="4651"/>
      <c r="BO89" s="4651"/>
      <c r="BP89" s="4651"/>
      <c r="BQ89" s="4651"/>
      <c r="BR89" s="4651"/>
      <c r="BS89" s="4651"/>
      <c r="BT89" s="4651"/>
      <c r="BU89" s="4651"/>
      <c r="BV89" s="4652"/>
      <c r="BW89" s="4652"/>
      <c r="BX89" s="4653"/>
      <c r="BY89" s="4653"/>
      <c r="BZ89" s="4653"/>
      <c r="CA89" s="4654"/>
      <c r="CB89" s="4654"/>
      <c r="CC89" s="4654"/>
      <c r="CD89" s="4654"/>
      <c r="CE89" s="4654"/>
      <c r="CF89" s="4654"/>
      <c r="CG89" s="4654"/>
      <c r="CH89" s="4654"/>
      <c r="CI89" s="4654"/>
      <c r="CJ89" s="4654"/>
      <c r="CK89" s="4654"/>
      <c r="CL89" s="4654"/>
      <c r="CM89" s="4654"/>
      <c r="CN89" s="4654"/>
      <c r="CO89" s="4654"/>
      <c r="CP89" s="4654"/>
      <c r="CQ89" s="4654"/>
      <c r="CR89" s="4654"/>
      <c r="CS89" s="4654"/>
      <c r="CT89" s="4654"/>
      <c r="CU89" s="4654"/>
      <c r="CV89" s="4654"/>
      <c r="CW89" s="4654"/>
      <c r="CX89" s="4654"/>
      <c r="CY89" s="4654"/>
      <c r="CZ89" s="4655"/>
      <c r="DA89" s="4687"/>
      <c r="DB89" s="4687"/>
      <c r="DC89" s="4687"/>
      <c r="DD89" s="4687"/>
      <c r="DE89" s="4687"/>
      <c r="DF89" s="4687"/>
      <c r="DG89" s="4687"/>
      <c r="DH89" s="4687"/>
      <c r="DI89" s="4687"/>
      <c r="DJ89" s="4687"/>
      <c r="DK89" s="4687"/>
      <c r="DL89" s="4687"/>
      <c r="DM89" s="4687"/>
      <c r="DN89" s="4687"/>
      <c r="DO89" s="4687"/>
      <c r="DP89" s="4687"/>
      <c r="DQ89" s="4653"/>
      <c r="DR89" s="4653"/>
      <c r="DS89" s="4653"/>
      <c r="DT89" s="4653"/>
      <c r="DU89" s="4653"/>
      <c r="DV89" s="4653"/>
      <c r="DW89" s="4653"/>
      <c r="DX89" s="4653"/>
      <c r="DY89" s="4653"/>
      <c r="DZ89" s="4653"/>
      <c r="EA89" s="4653"/>
      <c r="EB89" s="4653"/>
      <c r="EC89" s="4653"/>
      <c r="ED89" s="4653"/>
      <c r="EE89" s="4653"/>
      <c r="EF89" s="4653"/>
      <c r="EG89" s="4653"/>
      <c r="EH89" s="4653"/>
      <c r="EI89" s="4653"/>
      <c r="EJ89" s="4653"/>
      <c r="EK89" s="4653"/>
      <c r="EL89" s="4653"/>
      <c r="EM89" s="4653"/>
      <c r="EN89" s="4653"/>
      <c r="EO89" s="4653"/>
      <c r="EP89" s="4653"/>
      <c r="EQ89" s="4653"/>
      <c r="ER89" s="4653"/>
      <c r="ES89" s="4653"/>
      <c r="ET89" s="4653"/>
      <c r="EU89" s="4653"/>
      <c r="EV89" s="4653"/>
      <c r="EW89" s="4653"/>
      <c r="EX89" s="4653"/>
      <c r="EY89" s="4653"/>
      <c r="EZ89" s="4653"/>
      <c r="FA89" s="4653"/>
      <c r="FB89" s="4653"/>
      <c r="FC89" s="4653"/>
      <c r="FD89" s="4653"/>
      <c r="FE89" s="4653"/>
      <c r="FF89" s="4653"/>
      <c r="FG89" s="4653"/>
      <c r="FH89" s="4653"/>
      <c r="FI89" s="4653"/>
      <c r="FJ89" s="4653"/>
      <c r="FK89" s="4653"/>
      <c r="FL89" s="4653"/>
      <c r="FM89" s="4653"/>
      <c r="FN89" s="4653"/>
      <c r="FO89" s="4653"/>
      <c r="FP89" s="4653"/>
      <c r="FQ89" s="4653"/>
      <c r="FR89" s="4653"/>
      <c r="FS89" s="4653"/>
      <c r="FT89" s="4653"/>
      <c r="FU89" s="4653"/>
      <c r="FV89" s="4653"/>
      <c r="FW89" s="4653"/>
      <c r="FX89" s="4653"/>
      <c r="FY89" s="4653"/>
      <c r="FZ89" s="4653"/>
      <c r="GA89" s="4653"/>
      <c r="GB89" s="4653"/>
      <c r="GC89" s="4653"/>
      <c r="GD89" s="4653"/>
      <c r="GE89" s="4653"/>
      <c r="GF89" s="4653"/>
      <c r="GG89" s="4653"/>
      <c r="GH89" s="4653"/>
      <c r="GI89" s="4653"/>
      <c r="GJ89" s="4653"/>
      <c r="GK89" s="4653"/>
      <c r="GL89" s="4653"/>
      <c r="GM89" s="4653"/>
      <c r="GN89" s="4653"/>
      <c r="GO89" s="4653"/>
      <c r="GP89" s="4653"/>
      <c r="GQ89" s="4653"/>
      <c r="GR89" s="4653"/>
      <c r="GS89" s="4653"/>
      <c r="GT89" s="4653"/>
      <c r="GU89" s="4653"/>
      <c r="GV89" s="4653"/>
      <c r="GW89" s="4653"/>
      <c r="GX89" s="4653"/>
      <c r="GY89" s="4653"/>
      <c r="GZ89" s="4653"/>
      <c r="HA89" s="4653"/>
      <c r="HB89" s="4653"/>
      <c r="HC89" s="4653"/>
      <c r="HD89" s="4653"/>
      <c r="HE89" s="4653"/>
      <c r="HF89" s="4653"/>
      <c r="HG89" s="4653"/>
      <c r="HH89" s="4653"/>
      <c r="HI89" s="4653"/>
      <c r="HJ89" s="4653"/>
      <c r="HK89" s="4653"/>
      <c r="HL89" s="4653"/>
      <c r="HM89" s="4653"/>
      <c r="HN89" s="4653"/>
      <c r="HO89" s="4653"/>
      <c r="HP89" s="4653"/>
      <c r="HQ89" s="4653"/>
      <c r="HR89" s="4653"/>
      <c r="HS89" s="4653"/>
      <c r="HT89" s="4653"/>
      <c r="HU89" s="4653"/>
      <c r="HV89" s="4653"/>
      <c r="HW89" s="4653"/>
      <c r="HX89" s="4653"/>
      <c r="HY89" s="4653"/>
    </row>
    <row r="90" spans="1:233" s="4688" customFormat="1" x14ac:dyDescent="0.2">
      <c r="A90" s="4173" t="s">
        <v>1671</v>
      </c>
      <c r="B90" s="4328"/>
      <c r="C90" s="4328"/>
      <c r="D90" s="4328"/>
      <c r="E90" s="4328"/>
      <c r="F90" s="4328"/>
      <c r="G90" s="4328"/>
      <c r="H90" s="4328"/>
      <c r="I90" s="4662"/>
      <c r="J90" s="4651"/>
      <c r="K90" s="4651"/>
      <c r="L90" s="4651"/>
      <c r="M90" s="4651"/>
      <c r="N90" s="4651"/>
      <c r="O90" s="4651"/>
      <c r="P90" s="4651"/>
      <c r="Q90" s="4651"/>
      <c r="R90" s="4651"/>
      <c r="S90" s="4651"/>
      <c r="T90" s="4651"/>
      <c r="U90" s="4651"/>
      <c r="V90" s="4651"/>
      <c r="W90" s="4651"/>
      <c r="X90" s="4651"/>
      <c r="Y90" s="4651"/>
      <c r="Z90" s="4651"/>
      <c r="AA90" s="4651"/>
      <c r="AB90" s="4651"/>
      <c r="AC90" s="4651"/>
      <c r="AD90" s="4651"/>
      <c r="AE90" s="4651"/>
      <c r="AF90" s="4651"/>
      <c r="AG90" s="4651"/>
      <c r="AH90" s="4651"/>
      <c r="AI90" s="4651"/>
      <c r="AJ90" s="4651"/>
      <c r="AK90" s="4651"/>
      <c r="AL90" s="4651"/>
      <c r="AM90" s="4651"/>
      <c r="AN90" s="4651"/>
      <c r="AO90" s="4651"/>
      <c r="AP90" s="4651"/>
      <c r="AQ90" s="4651"/>
      <c r="AR90" s="4651"/>
      <c r="AS90" s="4651"/>
      <c r="AT90" s="4651"/>
      <c r="AU90" s="4651"/>
      <c r="AV90" s="4651"/>
      <c r="AW90" s="4651"/>
      <c r="AX90" s="4651"/>
      <c r="AY90" s="4651"/>
      <c r="AZ90" s="4651"/>
      <c r="BA90" s="4651"/>
      <c r="BB90" s="4651"/>
      <c r="BC90" s="4651"/>
      <c r="BD90" s="4651"/>
      <c r="BE90" s="4651"/>
      <c r="BF90" s="4651"/>
      <c r="BG90" s="4651"/>
      <c r="BH90" s="4651"/>
      <c r="BI90" s="4651"/>
      <c r="BJ90" s="4651"/>
      <c r="BK90" s="4651"/>
      <c r="BL90" s="4651"/>
      <c r="BM90" s="4651"/>
      <c r="BN90" s="4651"/>
      <c r="BO90" s="4651"/>
      <c r="BP90" s="4651"/>
      <c r="BQ90" s="4651"/>
      <c r="BR90" s="4651"/>
      <c r="BS90" s="4651"/>
      <c r="BT90" s="4651"/>
      <c r="BU90" s="4651"/>
      <c r="BV90" s="4652"/>
      <c r="BW90" s="4652"/>
      <c r="BX90" s="4653"/>
      <c r="BY90" s="4653"/>
      <c r="BZ90" s="4653"/>
      <c r="CA90" s="4654"/>
      <c r="CB90" s="4654"/>
      <c r="CC90" s="4654"/>
      <c r="CD90" s="4654"/>
      <c r="CE90" s="4654"/>
      <c r="CF90" s="4654"/>
      <c r="CG90" s="4654"/>
      <c r="CH90" s="4654"/>
      <c r="CI90" s="4654"/>
      <c r="CJ90" s="4654"/>
      <c r="CK90" s="4654"/>
      <c r="CL90" s="4654"/>
      <c r="CM90" s="4654"/>
      <c r="CN90" s="4654"/>
      <c r="CO90" s="4654"/>
      <c r="CP90" s="4654"/>
      <c r="CQ90" s="4654"/>
      <c r="CR90" s="4654"/>
      <c r="CS90" s="4654"/>
      <c r="CT90" s="4654"/>
      <c r="CU90" s="4654"/>
      <c r="CV90" s="4654"/>
      <c r="CW90" s="4654"/>
      <c r="CX90" s="4654"/>
      <c r="CY90" s="4654"/>
      <c r="CZ90" s="4655"/>
      <c r="DA90" s="4687"/>
      <c r="DB90" s="4687"/>
      <c r="DC90" s="4687"/>
      <c r="DD90" s="4687"/>
      <c r="DE90" s="4687"/>
      <c r="DF90" s="4687"/>
      <c r="DG90" s="4687"/>
      <c r="DH90" s="4687"/>
      <c r="DI90" s="4687"/>
      <c r="DJ90" s="4687"/>
      <c r="DK90" s="4687"/>
      <c r="DL90" s="4687"/>
      <c r="DM90" s="4687"/>
      <c r="DN90" s="4687"/>
      <c r="DO90" s="4687"/>
      <c r="DP90" s="4687"/>
      <c r="DQ90" s="4653"/>
      <c r="DR90" s="4653"/>
      <c r="DS90" s="4653"/>
      <c r="DT90" s="4653"/>
      <c r="DU90" s="4653"/>
      <c r="DV90" s="4653"/>
      <c r="DW90" s="4653"/>
      <c r="DX90" s="4653"/>
      <c r="DY90" s="4653"/>
      <c r="DZ90" s="4653"/>
      <c r="EA90" s="4653"/>
      <c r="EB90" s="4653"/>
      <c r="EC90" s="4653"/>
      <c r="ED90" s="4653"/>
      <c r="EE90" s="4653"/>
      <c r="EF90" s="4653"/>
      <c r="EG90" s="4653"/>
      <c r="EH90" s="4653"/>
      <c r="EI90" s="4653"/>
      <c r="EJ90" s="4653"/>
      <c r="EK90" s="4653"/>
      <c r="EL90" s="4653"/>
      <c r="EM90" s="4653"/>
      <c r="EN90" s="4653"/>
      <c r="EO90" s="4653"/>
      <c r="EP90" s="4653"/>
      <c r="EQ90" s="4653"/>
      <c r="ER90" s="4653"/>
      <c r="ES90" s="4653"/>
      <c r="ET90" s="4653"/>
      <c r="EU90" s="4653"/>
      <c r="EV90" s="4653"/>
      <c r="EW90" s="4653"/>
      <c r="EX90" s="4653"/>
      <c r="EY90" s="4653"/>
      <c r="EZ90" s="4653"/>
      <c r="FA90" s="4653"/>
      <c r="FB90" s="4653"/>
      <c r="FC90" s="4653"/>
      <c r="FD90" s="4653"/>
      <c r="FE90" s="4653"/>
      <c r="FF90" s="4653"/>
      <c r="FG90" s="4653"/>
      <c r="FH90" s="4653"/>
      <c r="FI90" s="4653"/>
      <c r="FJ90" s="4653"/>
      <c r="FK90" s="4653"/>
      <c r="FL90" s="4653"/>
      <c r="FM90" s="4653"/>
      <c r="FN90" s="4653"/>
      <c r="FO90" s="4653"/>
      <c r="FP90" s="4653"/>
      <c r="FQ90" s="4653"/>
      <c r="FR90" s="4653"/>
      <c r="FS90" s="4653"/>
      <c r="FT90" s="4653"/>
      <c r="FU90" s="4653"/>
      <c r="FV90" s="4653"/>
      <c r="FW90" s="4653"/>
      <c r="FX90" s="4653"/>
      <c r="FY90" s="4653"/>
      <c r="FZ90" s="4653"/>
      <c r="GA90" s="4653"/>
      <c r="GB90" s="4653"/>
      <c r="GC90" s="4653"/>
      <c r="GD90" s="4653"/>
      <c r="GE90" s="4653"/>
      <c r="GF90" s="4653"/>
      <c r="GG90" s="4653"/>
      <c r="GH90" s="4653"/>
      <c r="GI90" s="4653"/>
      <c r="GJ90" s="4653"/>
      <c r="GK90" s="4653"/>
      <c r="GL90" s="4653"/>
      <c r="GM90" s="4653"/>
      <c r="GN90" s="4653"/>
      <c r="GO90" s="4653"/>
      <c r="GP90" s="4653"/>
      <c r="GQ90" s="4653"/>
      <c r="GR90" s="4653"/>
      <c r="GS90" s="4653"/>
      <c r="GT90" s="4653"/>
      <c r="GU90" s="4653"/>
      <c r="GV90" s="4653"/>
      <c r="GW90" s="4653"/>
      <c r="GX90" s="4653"/>
      <c r="GY90" s="4653"/>
      <c r="GZ90" s="4653"/>
      <c r="HA90" s="4653"/>
      <c r="HB90" s="4653"/>
      <c r="HC90" s="4653"/>
      <c r="HD90" s="4653"/>
      <c r="HE90" s="4653"/>
      <c r="HF90" s="4653"/>
      <c r="HG90" s="4653"/>
      <c r="HH90" s="4653"/>
      <c r="HI90" s="4653"/>
      <c r="HJ90" s="4653"/>
      <c r="HK90" s="4653"/>
      <c r="HL90" s="4653"/>
      <c r="HM90" s="4653"/>
      <c r="HN90" s="4653"/>
      <c r="HO90" s="4653"/>
      <c r="HP90" s="4653"/>
      <c r="HQ90" s="4653"/>
      <c r="HR90" s="4653"/>
      <c r="HS90" s="4653"/>
      <c r="HT90" s="4653"/>
      <c r="HU90" s="4653"/>
      <c r="HV90" s="4653"/>
      <c r="HW90" s="4653"/>
      <c r="HX90" s="4653"/>
      <c r="HY90" s="4653"/>
    </row>
    <row r="91" spans="1:233" s="4688" customFormat="1" ht="22.15" customHeight="1" x14ac:dyDescent="0.2">
      <c r="A91" s="4878" t="s">
        <v>1670</v>
      </c>
      <c r="B91" s="4879"/>
      <c r="C91" s="4879"/>
      <c r="D91" s="4879"/>
      <c r="E91" s="4879"/>
      <c r="F91" s="4880"/>
      <c r="G91" s="4880"/>
      <c r="H91" s="4651"/>
      <c r="I91" s="4651"/>
      <c r="J91" s="4651"/>
      <c r="K91" s="4651"/>
      <c r="L91" s="4651"/>
      <c r="M91" s="4651"/>
      <c r="N91" s="4651"/>
      <c r="O91" s="4651"/>
      <c r="P91" s="4651"/>
      <c r="Q91" s="4651"/>
      <c r="R91" s="4651"/>
      <c r="S91" s="4651"/>
      <c r="T91" s="4651"/>
      <c r="U91" s="4651"/>
      <c r="V91" s="4651"/>
      <c r="W91" s="4651"/>
      <c r="X91" s="4651"/>
      <c r="Y91" s="4651"/>
      <c r="Z91" s="4651"/>
      <c r="AA91" s="4651"/>
      <c r="AB91" s="4651"/>
      <c r="AC91" s="4651"/>
      <c r="AD91" s="4651"/>
      <c r="AE91" s="4651"/>
      <c r="AF91" s="4651"/>
      <c r="AG91" s="4651"/>
      <c r="AH91" s="4651"/>
      <c r="AI91" s="4651"/>
      <c r="AJ91" s="4651"/>
      <c r="AK91" s="4651"/>
      <c r="AL91" s="4651"/>
      <c r="AM91" s="4651"/>
      <c r="AN91" s="4651"/>
      <c r="AO91" s="4651"/>
      <c r="AP91" s="4651"/>
      <c r="AQ91" s="4651"/>
      <c r="AR91" s="4651"/>
      <c r="AS91" s="4651"/>
      <c r="AT91" s="4651"/>
      <c r="AU91" s="4651"/>
      <c r="AV91" s="4651"/>
      <c r="AW91" s="4651"/>
      <c r="AX91" s="4651"/>
      <c r="AY91" s="4651"/>
      <c r="AZ91" s="4651"/>
      <c r="BA91" s="4651"/>
      <c r="BB91" s="4651"/>
      <c r="BC91" s="4651"/>
      <c r="BD91" s="4651"/>
      <c r="BE91" s="4651"/>
      <c r="BF91" s="4651"/>
      <c r="BG91" s="4651"/>
      <c r="BH91" s="4651"/>
      <c r="BI91" s="4651"/>
      <c r="BJ91" s="4651"/>
      <c r="BK91" s="4651"/>
      <c r="BL91" s="4651"/>
      <c r="BM91" s="4651"/>
      <c r="BN91" s="4651"/>
      <c r="BO91" s="4651"/>
      <c r="BP91" s="4651"/>
      <c r="BQ91" s="4651"/>
      <c r="BR91" s="4651"/>
      <c r="BS91" s="4651"/>
      <c r="BT91" s="4651"/>
      <c r="BU91" s="4651"/>
      <c r="BV91" s="4652"/>
      <c r="BW91" s="4652"/>
      <c r="BX91" s="4653"/>
      <c r="BY91" s="4653"/>
      <c r="BZ91" s="4653"/>
      <c r="CA91" s="4654"/>
      <c r="CB91" s="4654"/>
      <c r="CC91" s="4654"/>
      <c r="CD91" s="4654"/>
      <c r="CE91" s="4654"/>
      <c r="CF91" s="4654"/>
      <c r="CG91" s="4654"/>
      <c r="CH91" s="4654"/>
      <c r="CI91" s="4654"/>
      <c r="CJ91" s="4654"/>
      <c r="CK91" s="4654"/>
      <c r="CL91" s="4654"/>
      <c r="CM91" s="4654"/>
      <c r="CN91" s="4654"/>
      <c r="CO91" s="4654"/>
      <c r="CP91" s="4654"/>
      <c r="CQ91" s="4654"/>
      <c r="CR91" s="4654"/>
      <c r="CS91" s="4654"/>
      <c r="CT91" s="4654"/>
      <c r="CU91" s="4654"/>
      <c r="CV91" s="4654"/>
      <c r="CW91" s="4654"/>
      <c r="CX91" s="4654"/>
      <c r="CY91" s="4654"/>
      <c r="CZ91" s="4655"/>
      <c r="DA91" s="4687"/>
      <c r="DB91" s="4687"/>
      <c r="DC91" s="4687"/>
      <c r="DD91" s="4687"/>
      <c r="DE91" s="4687"/>
      <c r="DF91" s="4687"/>
      <c r="DG91" s="4687"/>
      <c r="DH91" s="4687"/>
      <c r="DI91" s="4687"/>
      <c r="DJ91" s="4687"/>
      <c r="DK91" s="4687"/>
      <c r="DL91" s="4687"/>
      <c r="DM91" s="4687"/>
      <c r="DN91" s="4687"/>
      <c r="DO91" s="4687"/>
      <c r="DP91" s="4687"/>
      <c r="DQ91" s="4653"/>
      <c r="DR91" s="4653"/>
      <c r="DS91" s="4653"/>
      <c r="DT91" s="4653"/>
      <c r="DU91" s="4653"/>
      <c r="DV91" s="4653"/>
      <c r="DW91" s="4653"/>
      <c r="DX91" s="4653"/>
      <c r="DY91" s="4653"/>
      <c r="DZ91" s="4653"/>
      <c r="EA91" s="4653"/>
      <c r="EB91" s="4653"/>
      <c r="EC91" s="4653"/>
      <c r="ED91" s="4653"/>
      <c r="EE91" s="4653"/>
      <c r="EF91" s="4653"/>
      <c r="EG91" s="4653"/>
      <c r="EH91" s="4653"/>
      <c r="EI91" s="4653"/>
      <c r="EJ91" s="4653"/>
      <c r="EK91" s="4653"/>
      <c r="EL91" s="4653"/>
      <c r="EM91" s="4653"/>
      <c r="EN91" s="4653"/>
      <c r="EO91" s="4653"/>
      <c r="EP91" s="4653"/>
      <c r="EQ91" s="4653"/>
      <c r="ER91" s="4653"/>
      <c r="ES91" s="4653"/>
      <c r="ET91" s="4653"/>
      <c r="EU91" s="4653"/>
      <c r="EV91" s="4653"/>
      <c r="EW91" s="4653"/>
      <c r="EX91" s="4653"/>
      <c r="EY91" s="4653"/>
      <c r="EZ91" s="4653"/>
      <c r="FA91" s="4653"/>
      <c r="FB91" s="4653"/>
      <c r="FC91" s="4653"/>
      <c r="FD91" s="4653"/>
      <c r="FE91" s="4653"/>
      <c r="FF91" s="4653"/>
      <c r="FG91" s="4653"/>
      <c r="FH91" s="4653"/>
      <c r="FI91" s="4653"/>
      <c r="FJ91" s="4653"/>
      <c r="FK91" s="4653"/>
      <c r="FL91" s="4653"/>
      <c r="FM91" s="4653"/>
      <c r="FN91" s="4653"/>
      <c r="FO91" s="4653"/>
      <c r="FP91" s="4653"/>
      <c r="FQ91" s="4653"/>
      <c r="FR91" s="4653"/>
      <c r="FS91" s="4653"/>
      <c r="FT91" s="4653"/>
      <c r="FU91" s="4653"/>
      <c r="FV91" s="4653"/>
      <c r="FW91" s="4653"/>
      <c r="FX91" s="4653"/>
      <c r="FY91" s="4653"/>
      <c r="FZ91" s="4653"/>
      <c r="GA91" s="4653"/>
      <c r="GB91" s="4653"/>
      <c r="GC91" s="4653"/>
      <c r="GD91" s="4653"/>
      <c r="GE91" s="4653"/>
      <c r="GF91" s="4653"/>
      <c r="GG91" s="4653"/>
      <c r="GH91" s="4653"/>
      <c r="GI91" s="4653"/>
      <c r="GJ91" s="4653"/>
      <c r="GK91" s="4653"/>
      <c r="GL91" s="4653"/>
      <c r="GM91" s="4653"/>
      <c r="GN91" s="4653"/>
      <c r="GO91" s="4653"/>
      <c r="GP91" s="4653"/>
      <c r="GQ91" s="4653"/>
      <c r="GR91" s="4653"/>
      <c r="GS91" s="4653"/>
      <c r="GT91" s="4653"/>
      <c r="GU91" s="4653"/>
      <c r="GV91" s="4653"/>
      <c r="GW91" s="4653"/>
      <c r="GX91" s="4653"/>
      <c r="GY91" s="4653"/>
      <c r="GZ91" s="4653"/>
      <c r="HA91" s="4653"/>
      <c r="HB91" s="4653"/>
      <c r="HC91" s="4653"/>
      <c r="HD91" s="4653"/>
      <c r="HE91" s="4653"/>
      <c r="HF91" s="4653"/>
      <c r="HG91" s="4653"/>
      <c r="HH91" s="4653"/>
      <c r="HI91" s="4653"/>
      <c r="HJ91" s="4653"/>
      <c r="HK91" s="4653"/>
      <c r="HL91" s="4653"/>
      <c r="HM91" s="4653"/>
      <c r="HN91" s="4653"/>
      <c r="HO91" s="4653"/>
      <c r="HP91" s="4653"/>
      <c r="HQ91" s="4653"/>
      <c r="HR91" s="4653"/>
      <c r="HS91" s="4653"/>
      <c r="HT91" s="4653"/>
      <c r="HU91" s="4653"/>
      <c r="HV91" s="4653"/>
      <c r="HW91" s="4653"/>
      <c r="HX91" s="4653"/>
      <c r="HY91" s="4653"/>
    </row>
    <row r="92" spans="1:233" s="4688" customFormat="1" ht="21" customHeight="1" x14ac:dyDescent="0.2">
      <c r="A92" s="8996" t="s">
        <v>1666</v>
      </c>
      <c r="B92" s="8996" t="s">
        <v>1669</v>
      </c>
      <c r="C92" s="9001" t="s">
        <v>1668</v>
      </c>
      <c r="D92" s="9002"/>
      <c r="E92" s="9002"/>
      <c r="F92" s="9002"/>
      <c r="G92" s="10234"/>
      <c r="H92" s="4651"/>
      <c r="I92" s="4651"/>
      <c r="J92" s="4651"/>
      <c r="K92" s="4651"/>
      <c r="L92" s="4651"/>
      <c r="M92" s="4651"/>
      <c r="N92" s="4651"/>
      <c r="O92" s="4651"/>
      <c r="P92" s="4651"/>
      <c r="Q92" s="4651"/>
      <c r="R92" s="4651"/>
      <c r="S92" s="4651"/>
      <c r="T92" s="4651"/>
      <c r="U92" s="4651"/>
      <c r="V92" s="4651"/>
      <c r="W92" s="4651"/>
      <c r="X92" s="4651"/>
      <c r="Y92" s="4651"/>
      <c r="Z92" s="4651"/>
      <c r="AA92" s="4651"/>
      <c r="AB92" s="4651"/>
      <c r="AC92" s="4651"/>
      <c r="AD92" s="4651"/>
      <c r="AE92" s="4651"/>
      <c r="AF92" s="4651"/>
      <c r="AG92" s="4651"/>
      <c r="AH92" s="4651"/>
      <c r="AI92" s="4651"/>
      <c r="AJ92" s="4651"/>
      <c r="AK92" s="4651"/>
      <c r="AL92" s="4651"/>
      <c r="AM92" s="4651"/>
      <c r="AN92" s="4651"/>
      <c r="AO92" s="4651"/>
      <c r="AP92" s="4651"/>
      <c r="AQ92" s="4651"/>
      <c r="AR92" s="4651"/>
      <c r="AS92" s="4651"/>
      <c r="AT92" s="4651"/>
      <c r="AU92" s="4651"/>
      <c r="AV92" s="4651"/>
      <c r="AW92" s="4651"/>
      <c r="AX92" s="4651"/>
      <c r="AY92" s="4651"/>
      <c r="AZ92" s="4651"/>
      <c r="BA92" s="4651"/>
      <c r="BB92" s="4651"/>
      <c r="BC92" s="4651"/>
      <c r="BD92" s="4651"/>
      <c r="BE92" s="4651"/>
      <c r="BF92" s="4651"/>
      <c r="BG92" s="4651"/>
      <c r="BH92" s="4651"/>
      <c r="BI92" s="4651"/>
      <c r="BJ92" s="4651"/>
      <c r="BK92" s="4651"/>
      <c r="BL92" s="4651"/>
      <c r="BM92" s="4651"/>
      <c r="BN92" s="4651"/>
      <c r="BO92" s="4651"/>
      <c r="BP92" s="4651"/>
      <c r="BQ92" s="4651"/>
      <c r="BR92" s="4651"/>
      <c r="BS92" s="4651"/>
      <c r="BT92" s="4651"/>
      <c r="BU92" s="4651"/>
      <c r="BV92" s="4652"/>
      <c r="BW92" s="4652"/>
      <c r="BX92" s="4653"/>
      <c r="BY92" s="4653"/>
      <c r="BZ92" s="4653"/>
      <c r="CA92" s="4654"/>
      <c r="CB92" s="4654"/>
      <c r="CC92" s="4654"/>
      <c r="CD92" s="4654"/>
      <c r="CE92" s="4654"/>
      <c r="CF92" s="4654"/>
      <c r="CG92" s="4654"/>
      <c r="CH92" s="4654"/>
      <c r="CI92" s="4654"/>
      <c r="CJ92" s="4654"/>
      <c r="CK92" s="4654"/>
      <c r="CL92" s="4654"/>
      <c r="CM92" s="4654"/>
      <c r="CN92" s="4654"/>
      <c r="CO92" s="4654"/>
      <c r="CP92" s="4654"/>
      <c r="CQ92" s="4654"/>
      <c r="CR92" s="4654"/>
      <c r="CS92" s="4654"/>
      <c r="CT92" s="4654"/>
      <c r="CU92" s="4654"/>
      <c r="CV92" s="4654"/>
      <c r="CW92" s="4654"/>
      <c r="CX92" s="4654"/>
      <c r="CY92" s="4654"/>
      <c r="CZ92" s="4655"/>
      <c r="DA92" s="4687"/>
      <c r="DB92" s="4687"/>
      <c r="DC92" s="4687"/>
      <c r="DD92" s="4687"/>
      <c r="DE92" s="4687"/>
      <c r="DF92" s="4687"/>
      <c r="DG92" s="4687"/>
      <c r="DH92" s="4687"/>
      <c r="DI92" s="4687"/>
      <c r="DJ92" s="4687"/>
      <c r="DK92" s="4687"/>
      <c r="DL92" s="4687"/>
      <c r="DM92" s="4687"/>
      <c r="DN92" s="4687"/>
      <c r="DO92" s="4687"/>
      <c r="DP92" s="4687"/>
      <c r="DQ92" s="4653"/>
      <c r="DR92" s="4653"/>
      <c r="DS92" s="4653"/>
      <c r="DT92" s="4653"/>
      <c r="DU92" s="4653"/>
      <c r="DV92" s="4653"/>
      <c r="DW92" s="4653"/>
      <c r="DX92" s="4653"/>
      <c r="DY92" s="4653"/>
      <c r="DZ92" s="4653"/>
      <c r="EA92" s="4653"/>
      <c r="EB92" s="4653"/>
      <c r="EC92" s="4653"/>
      <c r="ED92" s="4653"/>
      <c r="EE92" s="4653"/>
      <c r="EF92" s="4653"/>
      <c r="EG92" s="4653"/>
      <c r="EH92" s="4653"/>
      <c r="EI92" s="4653"/>
      <c r="EJ92" s="4653"/>
      <c r="EK92" s="4653"/>
      <c r="EL92" s="4653"/>
      <c r="EM92" s="4653"/>
      <c r="EN92" s="4653"/>
      <c r="EO92" s="4653"/>
      <c r="EP92" s="4653"/>
      <c r="EQ92" s="4653"/>
      <c r="ER92" s="4653"/>
      <c r="ES92" s="4653"/>
      <c r="ET92" s="4653"/>
      <c r="EU92" s="4653"/>
      <c r="EV92" s="4653"/>
      <c r="EW92" s="4653"/>
      <c r="EX92" s="4653"/>
      <c r="EY92" s="4653"/>
      <c r="EZ92" s="4653"/>
      <c r="FA92" s="4653"/>
      <c r="FB92" s="4653"/>
      <c r="FC92" s="4653"/>
      <c r="FD92" s="4653"/>
      <c r="FE92" s="4653"/>
      <c r="FF92" s="4653"/>
      <c r="FG92" s="4653"/>
      <c r="FH92" s="4653"/>
      <c r="FI92" s="4653"/>
      <c r="FJ92" s="4653"/>
      <c r="FK92" s="4653"/>
      <c r="FL92" s="4653"/>
      <c r="FM92" s="4653"/>
      <c r="FN92" s="4653"/>
      <c r="FO92" s="4653"/>
      <c r="FP92" s="4653"/>
      <c r="FQ92" s="4653"/>
      <c r="FR92" s="4653"/>
      <c r="FS92" s="4653"/>
      <c r="FT92" s="4653"/>
      <c r="FU92" s="4653"/>
      <c r="FV92" s="4653"/>
      <c r="FW92" s="4653"/>
      <c r="FX92" s="4653"/>
      <c r="FY92" s="4653"/>
      <c r="FZ92" s="4653"/>
      <c r="GA92" s="4653"/>
      <c r="GB92" s="4653"/>
      <c r="GC92" s="4653"/>
      <c r="GD92" s="4653"/>
      <c r="GE92" s="4653"/>
      <c r="GF92" s="4653"/>
      <c r="GG92" s="4653"/>
      <c r="GH92" s="4653"/>
      <c r="GI92" s="4653"/>
      <c r="GJ92" s="4653"/>
      <c r="GK92" s="4653"/>
      <c r="GL92" s="4653"/>
      <c r="GM92" s="4653"/>
      <c r="GN92" s="4653"/>
      <c r="GO92" s="4653"/>
      <c r="GP92" s="4653"/>
      <c r="GQ92" s="4653"/>
      <c r="GR92" s="4653"/>
      <c r="GS92" s="4653"/>
      <c r="GT92" s="4653"/>
      <c r="GU92" s="4653"/>
      <c r="GV92" s="4653"/>
      <c r="GW92" s="4653"/>
      <c r="GX92" s="4653"/>
      <c r="GY92" s="4653"/>
      <c r="GZ92" s="4653"/>
      <c r="HA92" s="4653"/>
      <c r="HB92" s="4653"/>
      <c r="HC92" s="4653"/>
      <c r="HD92" s="4653"/>
      <c r="HE92" s="4653"/>
      <c r="HF92" s="4653"/>
      <c r="HG92" s="4653"/>
      <c r="HH92" s="4653"/>
      <c r="HI92" s="4653"/>
      <c r="HJ92" s="4653"/>
      <c r="HK92" s="4653"/>
      <c r="HL92" s="4653"/>
      <c r="HM92" s="4653"/>
      <c r="HN92" s="4653"/>
      <c r="HO92" s="4653"/>
      <c r="HP92" s="4653"/>
      <c r="HQ92" s="4653"/>
      <c r="HR92" s="4653"/>
      <c r="HS92" s="4653"/>
      <c r="HT92" s="4653"/>
      <c r="HU92" s="4653"/>
      <c r="HV92" s="4653"/>
      <c r="HW92" s="4653"/>
      <c r="HX92" s="4653"/>
      <c r="HY92" s="4653"/>
    </row>
    <row r="93" spans="1:233" s="4688" customFormat="1" ht="21.75" customHeight="1" x14ac:dyDescent="0.2">
      <c r="A93" s="8997"/>
      <c r="B93" s="8997"/>
      <c r="C93" s="4857" t="s">
        <v>397</v>
      </c>
      <c r="D93" s="4881" t="s">
        <v>54</v>
      </c>
      <c r="E93" s="4767" t="s">
        <v>79</v>
      </c>
      <c r="F93" s="4767" t="s">
        <v>80</v>
      </c>
      <c r="G93" s="4858" t="s">
        <v>81</v>
      </c>
      <c r="H93" s="4651"/>
      <c r="I93" s="4651"/>
      <c r="J93" s="4651"/>
      <c r="K93" s="4651"/>
      <c r="L93" s="4651"/>
      <c r="M93" s="4651"/>
      <c r="N93" s="4651"/>
      <c r="O93" s="4651"/>
      <c r="P93" s="4651"/>
      <c r="Q93" s="4651"/>
      <c r="R93" s="4651"/>
      <c r="S93" s="4651"/>
      <c r="T93" s="4651"/>
      <c r="U93" s="4651"/>
      <c r="V93" s="4651"/>
      <c r="W93" s="4651"/>
      <c r="X93" s="4651"/>
      <c r="Y93" s="4651"/>
      <c r="Z93" s="4651"/>
      <c r="AA93" s="4651"/>
      <c r="AB93" s="4651"/>
      <c r="AC93" s="4651"/>
      <c r="AD93" s="4651"/>
      <c r="AE93" s="4651"/>
      <c r="AF93" s="4651"/>
      <c r="AG93" s="4651"/>
      <c r="AH93" s="4651"/>
      <c r="AI93" s="4651"/>
      <c r="AJ93" s="4651"/>
      <c r="AK93" s="4651"/>
      <c r="AL93" s="4651"/>
      <c r="AM93" s="4651"/>
      <c r="AN93" s="4651"/>
      <c r="AO93" s="4651"/>
      <c r="AP93" s="4651"/>
      <c r="AQ93" s="4651"/>
      <c r="AR93" s="4651"/>
      <c r="AS93" s="4651"/>
      <c r="AT93" s="4651"/>
      <c r="AU93" s="4651"/>
      <c r="AV93" s="4651"/>
      <c r="AW93" s="4651"/>
      <c r="AX93" s="4651"/>
      <c r="AY93" s="4651"/>
      <c r="AZ93" s="4651"/>
      <c r="BA93" s="4651"/>
      <c r="BB93" s="4651"/>
      <c r="BC93" s="4651"/>
      <c r="BD93" s="4651"/>
      <c r="BE93" s="4651"/>
      <c r="BF93" s="4651"/>
      <c r="BG93" s="4651"/>
      <c r="BH93" s="4651"/>
      <c r="BI93" s="4651"/>
      <c r="BJ93" s="4651"/>
      <c r="BK93" s="4651"/>
      <c r="BL93" s="4651"/>
      <c r="BM93" s="4651"/>
      <c r="BN93" s="4651"/>
      <c r="BO93" s="4651"/>
      <c r="BP93" s="4651"/>
      <c r="BQ93" s="4651"/>
      <c r="BR93" s="4651"/>
      <c r="BS93" s="4651"/>
      <c r="BT93" s="4651"/>
      <c r="BU93" s="4651"/>
      <c r="BV93" s="4652"/>
      <c r="BW93" s="4652"/>
      <c r="BX93" s="4653"/>
      <c r="BY93" s="4653"/>
      <c r="BZ93" s="4653"/>
      <c r="CA93" s="4654"/>
      <c r="CB93" s="4654"/>
      <c r="CC93" s="4654"/>
      <c r="CD93" s="4654"/>
      <c r="CE93" s="4654"/>
      <c r="CF93" s="4654"/>
      <c r="CG93" s="4654"/>
      <c r="CH93" s="4654"/>
      <c r="CI93" s="4654"/>
      <c r="CJ93" s="4654"/>
      <c r="CK93" s="4654"/>
      <c r="CL93" s="4654"/>
      <c r="CM93" s="4654"/>
      <c r="CN93" s="4654"/>
      <c r="CO93" s="4654"/>
      <c r="CP93" s="4654"/>
      <c r="CQ93" s="4654"/>
      <c r="CR93" s="4654"/>
      <c r="CS93" s="4654"/>
      <c r="CT93" s="4654"/>
      <c r="CU93" s="4654"/>
      <c r="CV93" s="4654"/>
      <c r="CW93" s="4654"/>
      <c r="CX93" s="4654"/>
      <c r="CY93" s="4654"/>
      <c r="CZ93" s="4655"/>
      <c r="DA93" s="4687"/>
      <c r="DB93" s="4687"/>
      <c r="DC93" s="4687"/>
      <c r="DD93" s="4687"/>
      <c r="DE93" s="4687"/>
      <c r="DF93" s="4687"/>
      <c r="DG93" s="4687"/>
      <c r="DH93" s="4687"/>
      <c r="DI93" s="4687"/>
      <c r="DJ93" s="4687"/>
      <c r="DK93" s="4687"/>
      <c r="DL93" s="4687"/>
      <c r="DM93" s="4687"/>
      <c r="DN93" s="4687"/>
      <c r="DO93" s="4687"/>
      <c r="DP93" s="4687"/>
      <c r="DQ93" s="4653"/>
      <c r="DR93" s="4653"/>
      <c r="DS93" s="4653"/>
      <c r="DT93" s="4653"/>
      <c r="DU93" s="4653"/>
      <c r="DV93" s="4653"/>
      <c r="DW93" s="4653"/>
      <c r="DX93" s="4653"/>
      <c r="DY93" s="4653"/>
      <c r="DZ93" s="4653"/>
      <c r="EA93" s="4653"/>
      <c r="EB93" s="4653"/>
      <c r="EC93" s="4653"/>
      <c r="ED93" s="4653"/>
      <c r="EE93" s="4653"/>
      <c r="EF93" s="4653"/>
      <c r="EG93" s="4653"/>
      <c r="EH93" s="4653"/>
      <c r="EI93" s="4653"/>
      <c r="EJ93" s="4653"/>
      <c r="EK93" s="4653"/>
      <c r="EL93" s="4653"/>
      <c r="EM93" s="4653"/>
      <c r="EN93" s="4653"/>
      <c r="EO93" s="4653"/>
      <c r="EP93" s="4653"/>
      <c r="EQ93" s="4653"/>
      <c r="ER93" s="4653"/>
      <c r="ES93" s="4653"/>
      <c r="ET93" s="4653"/>
      <c r="EU93" s="4653"/>
      <c r="EV93" s="4653"/>
      <c r="EW93" s="4653"/>
      <c r="EX93" s="4653"/>
      <c r="EY93" s="4653"/>
      <c r="EZ93" s="4653"/>
      <c r="FA93" s="4653"/>
      <c r="FB93" s="4653"/>
      <c r="FC93" s="4653"/>
      <c r="FD93" s="4653"/>
      <c r="FE93" s="4653"/>
      <c r="FF93" s="4653"/>
      <c r="FG93" s="4653"/>
      <c r="FH93" s="4653"/>
      <c r="FI93" s="4653"/>
      <c r="FJ93" s="4653"/>
      <c r="FK93" s="4653"/>
      <c r="FL93" s="4653"/>
      <c r="FM93" s="4653"/>
      <c r="FN93" s="4653"/>
      <c r="FO93" s="4653"/>
      <c r="FP93" s="4653"/>
      <c r="FQ93" s="4653"/>
      <c r="FR93" s="4653"/>
      <c r="FS93" s="4653"/>
      <c r="FT93" s="4653"/>
      <c r="FU93" s="4653"/>
      <c r="FV93" s="4653"/>
      <c r="FW93" s="4653"/>
      <c r="FX93" s="4653"/>
      <c r="FY93" s="4653"/>
      <c r="FZ93" s="4653"/>
      <c r="GA93" s="4653"/>
      <c r="GB93" s="4653"/>
      <c r="GC93" s="4653"/>
      <c r="GD93" s="4653"/>
      <c r="GE93" s="4653"/>
      <c r="GF93" s="4653"/>
      <c r="GG93" s="4653"/>
      <c r="GH93" s="4653"/>
      <c r="GI93" s="4653"/>
      <c r="GJ93" s="4653"/>
      <c r="GK93" s="4653"/>
      <c r="GL93" s="4653"/>
      <c r="GM93" s="4653"/>
      <c r="GN93" s="4653"/>
      <c r="GO93" s="4653"/>
      <c r="GP93" s="4653"/>
      <c r="GQ93" s="4653"/>
      <c r="GR93" s="4653"/>
      <c r="GS93" s="4653"/>
      <c r="GT93" s="4653"/>
      <c r="GU93" s="4653"/>
      <c r="GV93" s="4653"/>
      <c r="GW93" s="4653"/>
      <c r="GX93" s="4653"/>
      <c r="GY93" s="4653"/>
      <c r="GZ93" s="4653"/>
      <c r="HA93" s="4653"/>
      <c r="HB93" s="4653"/>
      <c r="HC93" s="4653"/>
      <c r="HD93" s="4653"/>
      <c r="HE93" s="4653"/>
      <c r="HF93" s="4653"/>
      <c r="HG93" s="4653"/>
      <c r="HH93" s="4653"/>
      <c r="HI93" s="4653"/>
      <c r="HJ93" s="4653"/>
      <c r="HK93" s="4653"/>
      <c r="HL93" s="4653"/>
      <c r="HM93" s="4653"/>
      <c r="HN93" s="4653"/>
      <c r="HO93" s="4653"/>
      <c r="HP93" s="4653"/>
      <c r="HQ93" s="4653"/>
      <c r="HR93" s="4653"/>
      <c r="HS93" s="4653"/>
      <c r="HT93" s="4653"/>
      <c r="HU93" s="4653"/>
      <c r="HV93" s="4653"/>
      <c r="HW93" s="4653"/>
      <c r="HX93" s="4653"/>
      <c r="HY93" s="4653"/>
    </row>
    <row r="94" spans="1:233" s="4688" customFormat="1" ht="21" customHeight="1" x14ac:dyDescent="0.2">
      <c r="A94" s="4882" t="s">
        <v>1660</v>
      </c>
      <c r="B94" s="4883">
        <f>SUM(C94:G94)</f>
        <v>0</v>
      </c>
      <c r="C94" s="4770"/>
      <c r="D94" s="4884"/>
      <c r="E94" s="4884"/>
      <c r="F94" s="4884"/>
      <c r="G94" s="4885"/>
      <c r="H94" s="4651"/>
      <c r="I94" s="4651"/>
      <c r="J94" s="4651"/>
      <c r="K94" s="4651"/>
      <c r="L94" s="4651"/>
      <c r="M94" s="4651"/>
      <c r="N94" s="4651"/>
      <c r="O94" s="4651"/>
      <c r="P94" s="4651"/>
      <c r="Q94" s="4651"/>
      <c r="R94" s="4651"/>
      <c r="S94" s="4651"/>
      <c r="T94" s="4651"/>
      <c r="U94" s="4651"/>
      <c r="V94" s="4651"/>
      <c r="W94" s="4651"/>
      <c r="X94" s="4651"/>
      <c r="Y94" s="4651"/>
      <c r="Z94" s="4651"/>
      <c r="AA94" s="4651"/>
      <c r="AB94" s="4651"/>
      <c r="AC94" s="4651"/>
      <c r="AD94" s="4651"/>
      <c r="AE94" s="4651"/>
      <c r="AF94" s="4651"/>
      <c r="AG94" s="4651"/>
      <c r="AH94" s="4651"/>
      <c r="AI94" s="4651"/>
      <c r="AJ94" s="4651"/>
      <c r="AK94" s="4651"/>
      <c r="AL94" s="4651"/>
      <c r="AM94" s="4651"/>
      <c r="AN94" s="4651"/>
      <c r="AO94" s="4651"/>
      <c r="AP94" s="4651"/>
      <c r="AQ94" s="4651"/>
      <c r="AR94" s="4651"/>
      <c r="AS94" s="4651"/>
      <c r="AT94" s="4651"/>
      <c r="AU94" s="4651"/>
      <c r="AV94" s="4651"/>
      <c r="AW94" s="4651"/>
      <c r="AX94" s="4651"/>
      <c r="AY94" s="4651"/>
      <c r="AZ94" s="4651"/>
      <c r="BA94" s="4651"/>
      <c r="BB94" s="4651"/>
      <c r="BC94" s="4651"/>
      <c r="BD94" s="4651"/>
      <c r="BE94" s="4651"/>
      <c r="BF94" s="4651"/>
      <c r="BG94" s="4651"/>
      <c r="BH94" s="4651"/>
      <c r="BI94" s="4651"/>
      <c r="BJ94" s="4651"/>
      <c r="BK94" s="4651"/>
      <c r="BL94" s="4651"/>
      <c r="BM94" s="4651"/>
      <c r="BN94" s="4651"/>
      <c r="BO94" s="4651"/>
      <c r="BP94" s="4651"/>
      <c r="BQ94" s="4651"/>
      <c r="BR94" s="4651"/>
      <c r="BS94" s="4651"/>
      <c r="BT94" s="4651"/>
      <c r="BU94" s="4651"/>
      <c r="BV94" s="4652"/>
      <c r="BW94" s="4652"/>
      <c r="BX94" s="4653"/>
      <c r="BY94" s="4653"/>
      <c r="BZ94" s="4653"/>
      <c r="CA94" s="4654"/>
      <c r="CB94" s="4654"/>
      <c r="CC94" s="4654"/>
      <c r="CD94" s="4654"/>
      <c r="CE94" s="4654"/>
      <c r="CF94" s="4654"/>
      <c r="CG94" s="4654"/>
      <c r="CH94" s="4654"/>
      <c r="CI94" s="4654"/>
      <c r="CJ94" s="4654"/>
      <c r="CK94" s="4654"/>
      <c r="CL94" s="4654"/>
      <c r="CM94" s="4654"/>
      <c r="CN94" s="4654"/>
      <c r="CO94" s="4654"/>
      <c r="CP94" s="4654"/>
      <c r="CQ94" s="4654"/>
      <c r="CR94" s="4654"/>
      <c r="CS94" s="4654"/>
      <c r="CT94" s="4654"/>
      <c r="CU94" s="4654"/>
      <c r="CV94" s="4654"/>
      <c r="CW94" s="4654"/>
      <c r="CX94" s="4654"/>
      <c r="CY94" s="4654"/>
      <c r="CZ94" s="4655"/>
      <c r="DA94" s="4687"/>
      <c r="DB94" s="4687"/>
      <c r="DC94" s="4687"/>
      <c r="DD94" s="4687"/>
      <c r="DE94" s="4687"/>
      <c r="DF94" s="4687"/>
      <c r="DG94" s="4687"/>
      <c r="DH94" s="4687"/>
      <c r="DI94" s="4687"/>
      <c r="DJ94" s="4687"/>
      <c r="DK94" s="4687"/>
      <c r="DL94" s="4687"/>
      <c r="DM94" s="4687"/>
      <c r="DN94" s="4687"/>
      <c r="DO94" s="4687"/>
      <c r="DP94" s="4687"/>
      <c r="DQ94" s="4653"/>
      <c r="DR94" s="4653"/>
      <c r="DS94" s="4653"/>
      <c r="DT94" s="4653"/>
      <c r="DU94" s="4653"/>
      <c r="DV94" s="4653"/>
      <c r="DW94" s="4653"/>
      <c r="DX94" s="4653"/>
      <c r="DY94" s="4653"/>
      <c r="DZ94" s="4653"/>
      <c r="EA94" s="4653"/>
      <c r="EB94" s="4653"/>
      <c r="EC94" s="4653"/>
      <c r="ED94" s="4653"/>
      <c r="EE94" s="4653"/>
      <c r="EF94" s="4653"/>
      <c r="EG94" s="4653"/>
      <c r="EH94" s="4653"/>
      <c r="EI94" s="4653"/>
      <c r="EJ94" s="4653"/>
      <c r="EK94" s="4653"/>
      <c r="EL94" s="4653"/>
      <c r="EM94" s="4653"/>
      <c r="EN94" s="4653"/>
      <c r="EO94" s="4653"/>
      <c r="EP94" s="4653"/>
      <c r="EQ94" s="4653"/>
      <c r="ER94" s="4653"/>
      <c r="ES94" s="4653"/>
      <c r="ET94" s="4653"/>
      <c r="EU94" s="4653"/>
      <c r="EV94" s="4653"/>
      <c r="EW94" s="4653"/>
      <c r="EX94" s="4653"/>
      <c r="EY94" s="4653"/>
      <c r="EZ94" s="4653"/>
      <c r="FA94" s="4653"/>
      <c r="FB94" s="4653"/>
      <c r="FC94" s="4653"/>
      <c r="FD94" s="4653"/>
      <c r="FE94" s="4653"/>
      <c r="FF94" s="4653"/>
      <c r="FG94" s="4653"/>
      <c r="FH94" s="4653"/>
      <c r="FI94" s="4653"/>
      <c r="FJ94" s="4653"/>
      <c r="FK94" s="4653"/>
      <c r="FL94" s="4653"/>
      <c r="FM94" s="4653"/>
      <c r="FN94" s="4653"/>
      <c r="FO94" s="4653"/>
      <c r="FP94" s="4653"/>
      <c r="FQ94" s="4653"/>
      <c r="FR94" s="4653"/>
      <c r="FS94" s="4653"/>
      <c r="FT94" s="4653"/>
      <c r="FU94" s="4653"/>
      <c r="FV94" s="4653"/>
      <c r="FW94" s="4653"/>
      <c r="FX94" s="4653"/>
      <c r="FY94" s="4653"/>
      <c r="FZ94" s="4653"/>
      <c r="GA94" s="4653"/>
      <c r="GB94" s="4653"/>
      <c r="GC94" s="4653"/>
      <c r="GD94" s="4653"/>
      <c r="GE94" s="4653"/>
      <c r="GF94" s="4653"/>
      <c r="GG94" s="4653"/>
      <c r="GH94" s="4653"/>
      <c r="GI94" s="4653"/>
      <c r="GJ94" s="4653"/>
      <c r="GK94" s="4653"/>
      <c r="GL94" s="4653"/>
      <c r="GM94" s="4653"/>
      <c r="GN94" s="4653"/>
      <c r="GO94" s="4653"/>
      <c r="GP94" s="4653"/>
      <c r="GQ94" s="4653"/>
      <c r="GR94" s="4653"/>
      <c r="GS94" s="4653"/>
      <c r="GT94" s="4653"/>
      <c r="GU94" s="4653"/>
      <c r="GV94" s="4653"/>
      <c r="GW94" s="4653"/>
      <c r="GX94" s="4653"/>
      <c r="GY94" s="4653"/>
      <c r="GZ94" s="4653"/>
      <c r="HA94" s="4653"/>
      <c r="HB94" s="4653"/>
      <c r="HC94" s="4653"/>
      <c r="HD94" s="4653"/>
      <c r="HE94" s="4653"/>
      <c r="HF94" s="4653"/>
      <c r="HG94" s="4653"/>
      <c r="HH94" s="4653"/>
      <c r="HI94" s="4653"/>
      <c r="HJ94" s="4653"/>
      <c r="HK94" s="4653"/>
      <c r="HL94" s="4653"/>
      <c r="HM94" s="4653"/>
      <c r="HN94" s="4653"/>
      <c r="HO94" s="4653"/>
      <c r="HP94" s="4653"/>
      <c r="HQ94" s="4653"/>
      <c r="HR94" s="4653"/>
      <c r="HS94" s="4653"/>
      <c r="HT94" s="4653"/>
      <c r="HU94" s="4653"/>
      <c r="HV94" s="4653"/>
      <c r="HW94" s="4653"/>
      <c r="HX94" s="4653"/>
      <c r="HY94" s="4653"/>
    </row>
    <row r="95" spans="1:233" s="4688" customFormat="1" ht="21" customHeight="1" x14ac:dyDescent="0.2">
      <c r="A95" s="4886" t="s">
        <v>1667</v>
      </c>
      <c r="B95" s="4887">
        <f>SUM(C95:G95)</f>
        <v>0</v>
      </c>
      <c r="C95" s="4796"/>
      <c r="D95" s="4798"/>
      <c r="E95" s="4798"/>
      <c r="F95" s="4798"/>
      <c r="G95" s="4888"/>
      <c r="H95" s="4651"/>
      <c r="I95" s="4651"/>
      <c r="J95" s="4651"/>
      <c r="K95" s="4651"/>
      <c r="L95" s="4651"/>
      <c r="M95" s="4651"/>
      <c r="N95" s="4651"/>
      <c r="O95" s="4651"/>
      <c r="P95" s="4651"/>
      <c r="Q95" s="4651"/>
      <c r="R95" s="4651"/>
      <c r="S95" s="4651"/>
      <c r="T95" s="4651"/>
      <c r="U95" s="4651"/>
      <c r="V95" s="4651"/>
      <c r="W95" s="4651"/>
      <c r="X95" s="4651"/>
      <c r="Y95" s="4651"/>
      <c r="Z95" s="4651"/>
      <c r="AA95" s="4651"/>
      <c r="AB95" s="4651"/>
      <c r="AC95" s="4651"/>
      <c r="AD95" s="4651"/>
      <c r="AE95" s="4651"/>
      <c r="AF95" s="4651"/>
      <c r="AG95" s="4651"/>
      <c r="AH95" s="4651"/>
      <c r="AI95" s="4651"/>
      <c r="AJ95" s="4651"/>
      <c r="AK95" s="4651"/>
      <c r="AL95" s="4651"/>
      <c r="AM95" s="4651"/>
      <c r="AN95" s="4651"/>
      <c r="AO95" s="4651"/>
      <c r="AP95" s="4651"/>
      <c r="AQ95" s="4651"/>
      <c r="AR95" s="4651"/>
      <c r="AS95" s="4651"/>
      <c r="AT95" s="4651"/>
      <c r="AU95" s="4651"/>
      <c r="AV95" s="4651"/>
      <c r="AW95" s="4651"/>
      <c r="AX95" s="4651"/>
      <c r="AY95" s="4651"/>
      <c r="AZ95" s="4651"/>
      <c r="BA95" s="4651"/>
      <c r="BB95" s="4651"/>
      <c r="BC95" s="4651"/>
      <c r="BD95" s="4651"/>
      <c r="BE95" s="4651"/>
      <c r="BF95" s="4651"/>
      <c r="BG95" s="4651"/>
      <c r="BH95" s="4651"/>
      <c r="BI95" s="4651"/>
      <c r="BJ95" s="4651"/>
      <c r="BK95" s="4651"/>
      <c r="BL95" s="4651"/>
      <c r="BM95" s="4651"/>
      <c r="BN95" s="4651"/>
      <c r="BO95" s="4651"/>
      <c r="BP95" s="4651"/>
      <c r="BQ95" s="4651"/>
      <c r="BR95" s="4651"/>
      <c r="BS95" s="4651"/>
      <c r="BT95" s="4651"/>
      <c r="BU95" s="4651"/>
      <c r="BV95" s="4652"/>
      <c r="BW95" s="4652"/>
      <c r="BX95" s="4653"/>
      <c r="BY95" s="4653"/>
      <c r="BZ95" s="4653"/>
      <c r="CA95" s="4654"/>
      <c r="CB95" s="4654"/>
      <c r="CC95" s="4654"/>
      <c r="CD95" s="4654"/>
      <c r="CE95" s="4654"/>
      <c r="CF95" s="4654"/>
      <c r="CG95" s="4654"/>
      <c r="CH95" s="4654"/>
      <c r="CI95" s="4654"/>
      <c r="CJ95" s="4654"/>
      <c r="CK95" s="4654"/>
      <c r="CL95" s="4654"/>
      <c r="CM95" s="4654"/>
      <c r="CN95" s="4654"/>
      <c r="CO95" s="4654"/>
      <c r="CP95" s="4654"/>
      <c r="CQ95" s="4654"/>
      <c r="CR95" s="4654"/>
      <c r="CS95" s="4654"/>
      <c r="CT95" s="4654"/>
      <c r="CU95" s="4654"/>
      <c r="CV95" s="4654"/>
      <c r="CW95" s="4654"/>
      <c r="CX95" s="4654"/>
      <c r="CY95" s="4654"/>
      <c r="CZ95" s="4655"/>
      <c r="DA95" s="4687"/>
      <c r="DB95" s="4687"/>
      <c r="DC95" s="4687"/>
      <c r="DD95" s="4687"/>
      <c r="DE95" s="4687"/>
      <c r="DF95" s="4687"/>
      <c r="DG95" s="4687"/>
      <c r="DH95" s="4687"/>
      <c r="DI95" s="4687"/>
      <c r="DJ95" s="4687"/>
      <c r="DK95" s="4687"/>
      <c r="DL95" s="4687"/>
      <c r="DM95" s="4687"/>
      <c r="DN95" s="4687"/>
      <c r="DO95" s="4687"/>
      <c r="DP95" s="4687"/>
      <c r="DQ95" s="4653"/>
      <c r="DR95" s="4653"/>
      <c r="DS95" s="4653"/>
      <c r="DT95" s="4653"/>
      <c r="DU95" s="4653"/>
      <c r="DV95" s="4653"/>
      <c r="DW95" s="4653"/>
      <c r="DX95" s="4653"/>
      <c r="DY95" s="4653"/>
      <c r="DZ95" s="4653"/>
      <c r="EA95" s="4653"/>
      <c r="EB95" s="4653"/>
      <c r="EC95" s="4653"/>
      <c r="ED95" s="4653"/>
      <c r="EE95" s="4653"/>
      <c r="EF95" s="4653"/>
      <c r="EG95" s="4653"/>
      <c r="EH95" s="4653"/>
      <c r="EI95" s="4653"/>
      <c r="EJ95" s="4653"/>
      <c r="EK95" s="4653"/>
      <c r="EL95" s="4653"/>
      <c r="EM95" s="4653"/>
      <c r="EN95" s="4653"/>
      <c r="EO95" s="4653"/>
      <c r="EP95" s="4653"/>
      <c r="EQ95" s="4653"/>
      <c r="ER95" s="4653"/>
      <c r="ES95" s="4653"/>
      <c r="ET95" s="4653"/>
      <c r="EU95" s="4653"/>
      <c r="EV95" s="4653"/>
      <c r="EW95" s="4653"/>
      <c r="EX95" s="4653"/>
      <c r="EY95" s="4653"/>
      <c r="EZ95" s="4653"/>
      <c r="FA95" s="4653"/>
      <c r="FB95" s="4653"/>
      <c r="FC95" s="4653"/>
      <c r="FD95" s="4653"/>
      <c r="FE95" s="4653"/>
      <c r="FF95" s="4653"/>
      <c r="FG95" s="4653"/>
      <c r="FH95" s="4653"/>
      <c r="FI95" s="4653"/>
      <c r="FJ95" s="4653"/>
      <c r="FK95" s="4653"/>
      <c r="FL95" s="4653"/>
      <c r="FM95" s="4653"/>
      <c r="FN95" s="4653"/>
      <c r="FO95" s="4653"/>
      <c r="FP95" s="4653"/>
      <c r="FQ95" s="4653"/>
      <c r="FR95" s="4653"/>
      <c r="FS95" s="4653"/>
      <c r="FT95" s="4653"/>
      <c r="FU95" s="4653"/>
      <c r="FV95" s="4653"/>
      <c r="FW95" s="4653"/>
      <c r="FX95" s="4653"/>
      <c r="FY95" s="4653"/>
      <c r="FZ95" s="4653"/>
      <c r="GA95" s="4653"/>
      <c r="GB95" s="4653"/>
      <c r="GC95" s="4653"/>
      <c r="GD95" s="4653"/>
      <c r="GE95" s="4653"/>
      <c r="GF95" s="4653"/>
      <c r="GG95" s="4653"/>
      <c r="GH95" s="4653"/>
      <c r="GI95" s="4653"/>
      <c r="GJ95" s="4653"/>
      <c r="GK95" s="4653"/>
      <c r="GL95" s="4653"/>
      <c r="GM95" s="4653"/>
      <c r="GN95" s="4653"/>
      <c r="GO95" s="4653"/>
      <c r="GP95" s="4653"/>
      <c r="GQ95" s="4653"/>
      <c r="GR95" s="4653"/>
      <c r="GS95" s="4653"/>
      <c r="GT95" s="4653"/>
      <c r="GU95" s="4653"/>
      <c r="GV95" s="4653"/>
      <c r="GW95" s="4653"/>
      <c r="GX95" s="4653"/>
      <c r="GY95" s="4653"/>
      <c r="GZ95" s="4653"/>
      <c r="HA95" s="4653"/>
      <c r="HB95" s="4653"/>
      <c r="HC95" s="4653"/>
      <c r="HD95" s="4653"/>
      <c r="HE95" s="4653"/>
      <c r="HF95" s="4653"/>
      <c r="HG95" s="4653"/>
      <c r="HH95" s="4653"/>
      <c r="HI95" s="4653"/>
      <c r="HJ95" s="4653"/>
      <c r="HK95" s="4653"/>
      <c r="HL95" s="4653"/>
      <c r="HM95" s="4653"/>
      <c r="HN95" s="4653"/>
      <c r="HO95" s="4653"/>
      <c r="HP95" s="4653"/>
      <c r="HQ95" s="4653"/>
      <c r="HR95" s="4653"/>
      <c r="HS95" s="4653"/>
      <c r="HT95" s="4653"/>
      <c r="HU95" s="4653"/>
      <c r="HV95" s="4653"/>
      <c r="HW95" s="4653"/>
      <c r="HX95" s="4653"/>
      <c r="HY95" s="4653"/>
    </row>
    <row r="96" spans="1:233" ht="20.45" customHeight="1" x14ac:dyDescent="0.2">
      <c r="A96" s="4878" t="s">
        <v>3485</v>
      </c>
      <c r="B96" s="4879"/>
      <c r="C96" s="4879"/>
      <c r="D96" s="4879"/>
      <c r="E96" s="4879"/>
      <c r="F96" s="4880"/>
      <c r="G96" s="4880"/>
    </row>
    <row r="97" spans="1:105" ht="21" customHeight="1" x14ac:dyDescent="0.2">
      <c r="A97" s="8996" t="s">
        <v>31</v>
      </c>
      <c r="B97" s="8652" t="s">
        <v>1662</v>
      </c>
      <c r="C97" s="8652" t="s">
        <v>1661</v>
      </c>
    </row>
    <row r="98" spans="1:105" ht="21" customHeight="1" x14ac:dyDescent="0.2">
      <c r="A98" s="8997"/>
      <c r="B98" s="8975"/>
      <c r="C98" s="8653"/>
    </row>
    <row r="99" spans="1:105" ht="25.5" customHeight="1" x14ac:dyDescent="0.2">
      <c r="A99" s="4889" t="s">
        <v>1660</v>
      </c>
      <c r="B99" s="4890"/>
      <c r="C99" s="4890"/>
    </row>
    <row r="100" spans="1:105" ht="28.5" customHeight="1" x14ac:dyDescent="0.2">
      <c r="A100" s="4891" t="s">
        <v>3486</v>
      </c>
      <c r="B100" s="4892"/>
      <c r="C100" s="4892"/>
      <c r="D100" s="4892"/>
      <c r="E100" s="4892"/>
      <c r="F100" s="4892"/>
      <c r="G100" s="4892"/>
      <c r="H100" s="4892"/>
      <c r="I100" s="4892"/>
      <c r="J100" s="4892"/>
      <c r="K100" s="4572"/>
      <c r="L100" s="4572"/>
      <c r="M100" s="4572"/>
      <c r="N100" s="4572"/>
      <c r="O100" s="4572"/>
      <c r="P100" s="4572"/>
      <c r="Q100" s="4572"/>
      <c r="R100" s="4572"/>
      <c r="S100" s="4572"/>
      <c r="T100" s="4572"/>
    </row>
    <row r="101" spans="1:105" ht="18" customHeight="1" x14ac:dyDescent="0.2">
      <c r="A101" s="10262" t="s">
        <v>1234</v>
      </c>
      <c r="B101" s="10262" t="s">
        <v>24</v>
      </c>
      <c r="C101" s="10258" t="s">
        <v>2389</v>
      </c>
      <c r="D101" s="10259"/>
      <c r="E101" s="10259"/>
      <c r="F101" s="10259"/>
      <c r="G101" s="10259"/>
      <c r="H101" s="10259"/>
      <c r="I101" s="10259"/>
      <c r="J101" s="10259"/>
      <c r="K101" s="10259"/>
      <c r="L101" s="10259"/>
      <c r="M101" s="10259"/>
      <c r="N101" s="10259"/>
      <c r="O101" s="10259"/>
      <c r="P101" s="10259"/>
      <c r="Q101" s="10259"/>
      <c r="R101" s="10259"/>
      <c r="S101" s="10259"/>
      <c r="T101" s="10254" t="s">
        <v>22</v>
      </c>
      <c r="U101" s="10255"/>
      <c r="BQ101" s="4652"/>
      <c r="BR101" s="4652"/>
      <c r="BS101" s="4652"/>
      <c r="BT101" s="4652"/>
      <c r="BV101" s="4651"/>
      <c r="BW101" s="4651"/>
      <c r="BX101" s="4651"/>
      <c r="CU101" s="4655"/>
      <c r="CV101" s="4655"/>
      <c r="CW101" s="4655"/>
      <c r="CX101" s="4655"/>
      <c r="CY101" s="4655"/>
    </row>
    <row r="102" spans="1:105" ht="27.75" customHeight="1" x14ac:dyDescent="0.2">
      <c r="A102" s="10262"/>
      <c r="B102" s="10262"/>
      <c r="C102" s="10260" t="s">
        <v>475</v>
      </c>
      <c r="D102" s="10261"/>
      <c r="E102" s="10261"/>
      <c r="F102" s="10261"/>
      <c r="G102" s="10261"/>
      <c r="H102" s="10261"/>
      <c r="I102" s="10261"/>
      <c r="J102" s="10261"/>
      <c r="K102" s="10261"/>
      <c r="L102" s="10261"/>
      <c r="M102" s="10261"/>
      <c r="N102" s="10261"/>
      <c r="O102" s="10261"/>
      <c r="P102" s="10261"/>
      <c r="Q102" s="10261"/>
      <c r="R102" s="10261"/>
      <c r="S102" s="10261"/>
      <c r="T102" s="10256"/>
      <c r="U102" s="10257"/>
      <c r="BQ102" s="4652"/>
      <c r="BR102" s="4652"/>
      <c r="BS102" s="4652"/>
      <c r="BT102" s="4652"/>
      <c r="BV102" s="4651"/>
      <c r="BW102" s="4651"/>
      <c r="BX102" s="4651"/>
      <c r="CU102" s="4655"/>
      <c r="CV102" s="4655"/>
      <c r="CW102" s="4655"/>
      <c r="CX102" s="4655"/>
      <c r="CY102" s="4655"/>
    </row>
    <row r="103" spans="1:105" ht="27.75" customHeight="1" x14ac:dyDescent="0.2">
      <c r="A103" s="10262"/>
      <c r="B103" s="10262"/>
      <c r="C103" s="4266" t="s">
        <v>397</v>
      </c>
      <c r="D103" s="4267" t="s">
        <v>54</v>
      </c>
      <c r="E103" s="4267" t="s">
        <v>79</v>
      </c>
      <c r="F103" s="4267" t="s">
        <v>80</v>
      </c>
      <c r="G103" s="4267" t="s">
        <v>81</v>
      </c>
      <c r="H103" s="4267" t="s">
        <v>82</v>
      </c>
      <c r="I103" s="4267" t="s">
        <v>83</v>
      </c>
      <c r="J103" s="4267" t="s">
        <v>398</v>
      </c>
      <c r="K103" s="4267" t="s">
        <v>124</v>
      </c>
      <c r="L103" s="4267" t="s">
        <v>125</v>
      </c>
      <c r="M103" s="4267" t="s">
        <v>126</v>
      </c>
      <c r="N103" s="4267" t="s">
        <v>127</v>
      </c>
      <c r="O103" s="4267" t="s">
        <v>128</v>
      </c>
      <c r="P103" s="4267" t="s">
        <v>129</v>
      </c>
      <c r="Q103" s="4267" t="s">
        <v>130</v>
      </c>
      <c r="R103" s="4267" t="s">
        <v>131</v>
      </c>
      <c r="S103" s="4268" t="s">
        <v>1916</v>
      </c>
      <c r="T103" s="4893" t="s">
        <v>17</v>
      </c>
      <c r="U103" s="4270" t="s">
        <v>18</v>
      </c>
      <c r="BQ103" s="4652"/>
      <c r="BR103" s="4652"/>
      <c r="BS103" s="4652"/>
      <c r="BT103" s="4652"/>
      <c r="BV103" s="4651"/>
      <c r="BW103" s="4651"/>
      <c r="BX103" s="4651"/>
      <c r="CU103" s="4655"/>
      <c r="CV103" s="4655"/>
      <c r="CW103" s="4655"/>
      <c r="CX103" s="4655"/>
      <c r="CY103" s="4655"/>
    </row>
    <row r="104" spans="1:105" ht="21" x14ac:dyDescent="0.2">
      <c r="A104" s="4894" t="s">
        <v>2390</v>
      </c>
      <c r="B104" s="4430">
        <f>SUM(C104:S104)</f>
        <v>0</v>
      </c>
      <c r="C104" s="4285"/>
      <c r="D104" s="4199"/>
      <c r="E104" s="4199"/>
      <c r="F104" s="4199"/>
      <c r="G104" s="4199"/>
      <c r="H104" s="4199"/>
      <c r="I104" s="4199"/>
      <c r="J104" s="4199"/>
      <c r="K104" s="4199"/>
      <c r="L104" s="4199"/>
      <c r="M104" s="4199"/>
      <c r="N104" s="4199"/>
      <c r="O104" s="4199"/>
      <c r="P104" s="4199"/>
      <c r="Q104" s="4199"/>
      <c r="R104" s="4199"/>
      <c r="S104" s="4200"/>
      <c r="T104" s="4545"/>
      <c r="U104" s="4204"/>
      <c r="V104" s="4651" t="str">
        <f>CA104</f>
        <v/>
      </c>
      <c r="CA104" s="4685" t="str">
        <f>IF(DA104=1,"* El Total de consultas por Sexo debe ser igual al Total de Consultas por Grupo de Edad. ","")</f>
        <v/>
      </c>
      <c r="DA104" s="4686">
        <f>IF(B104&lt;&gt;U104+T104,1,0)</f>
        <v>0</v>
      </c>
    </row>
    <row r="105" spans="1:105" x14ac:dyDescent="0.2">
      <c r="A105" s="4895" t="s">
        <v>2375</v>
      </c>
      <c r="B105" s="4430">
        <f t="shared" ref="B105:B118" si="33">SUM(C105:S105)</f>
        <v>0</v>
      </c>
      <c r="C105" s="4196"/>
      <c r="D105" s="4197"/>
      <c r="E105" s="4197"/>
      <c r="F105" s="4197"/>
      <c r="G105" s="4197"/>
      <c r="H105" s="4197"/>
      <c r="I105" s="4197"/>
      <c r="J105" s="4197"/>
      <c r="K105" s="4197"/>
      <c r="L105" s="4197"/>
      <c r="M105" s="4197"/>
      <c r="N105" s="4197"/>
      <c r="O105" s="4197"/>
      <c r="P105" s="4197"/>
      <c r="Q105" s="4197"/>
      <c r="R105" s="4197"/>
      <c r="S105" s="4207"/>
      <c r="T105" s="4431"/>
      <c r="U105" s="4211"/>
      <c r="V105" s="4651" t="str">
        <f t="shared" ref="V105:V118" si="34">CA105</f>
        <v/>
      </c>
      <c r="CA105" s="4685" t="str">
        <f t="shared" ref="CA105:CA118" si="35">IF(DA105=1,"* El Total de consultas por Sexo debe ser igual al Total de Consultas por Grupo de Edad. ","")</f>
        <v/>
      </c>
      <c r="DA105" s="4686">
        <f t="shared" ref="DA105:DA118" si="36">IF(B105&lt;&gt;U105+T105,1,0)</f>
        <v>0</v>
      </c>
    </row>
    <row r="106" spans="1:105" x14ac:dyDescent="0.2">
      <c r="A106" s="4895" t="s">
        <v>2376</v>
      </c>
      <c r="B106" s="4430">
        <f t="shared" si="33"/>
        <v>0</v>
      </c>
      <c r="C106" s="4196"/>
      <c r="D106" s="4197"/>
      <c r="E106" s="4197"/>
      <c r="F106" s="4197"/>
      <c r="G106" s="4197"/>
      <c r="H106" s="4197"/>
      <c r="I106" s="4197"/>
      <c r="J106" s="4197"/>
      <c r="K106" s="4197"/>
      <c r="L106" s="4197"/>
      <c r="M106" s="4197"/>
      <c r="N106" s="4197"/>
      <c r="O106" s="4197"/>
      <c r="P106" s="4197"/>
      <c r="Q106" s="4197"/>
      <c r="R106" s="4197"/>
      <c r="S106" s="4207"/>
      <c r="T106" s="4431"/>
      <c r="U106" s="4211"/>
      <c r="V106" s="4651" t="str">
        <f t="shared" si="34"/>
        <v/>
      </c>
      <c r="CA106" s="4685" t="str">
        <f t="shared" si="35"/>
        <v/>
      </c>
      <c r="DA106" s="4686">
        <f t="shared" si="36"/>
        <v>0</v>
      </c>
    </row>
    <row r="107" spans="1:105" ht="19.149999999999999" customHeight="1" x14ac:dyDescent="0.2">
      <c r="A107" s="4895" t="s">
        <v>2377</v>
      </c>
      <c r="B107" s="4430">
        <f t="shared" si="33"/>
        <v>0</v>
      </c>
      <c r="C107" s="4196"/>
      <c r="D107" s="4197"/>
      <c r="E107" s="4197"/>
      <c r="F107" s="4197"/>
      <c r="G107" s="4197"/>
      <c r="H107" s="4197"/>
      <c r="I107" s="4197"/>
      <c r="J107" s="4197"/>
      <c r="K107" s="4197"/>
      <c r="L107" s="4197"/>
      <c r="M107" s="4197"/>
      <c r="N107" s="4197"/>
      <c r="O107" s="4197"/>
      <c r="P107" s="4197"/>
      <c r="Q107" s="4197"/>
      <c r="R107" s="4197"/>
      <c r="S107" s="4207"/>
      <c r="T107" s="4431"/>
      <c r="U107" s="4211"/>
      <c r="V107" s="4651" t="str">
        <f t="shared" si="34"/>
        <v/>
      </c>
      <c r="CA107" s="4685" t="str">
        <f t="shared" si="35"/>
        <v/>
      </c>
      <c r="DA107" s="4686">
        <f t="shared" si="36"/>
        <v>0</v>
      </c>
    </row>
    <row r="108" spans="1:105" x14ac:dyDescent="0.2">
      <c r="A108" s="4895" t="s">
        <v>2378</v>
      </c>
      <c r="B108" s="4430">
        <f t="shared" si="33"/>
        <v>0</v>
      </c>
      <c r="C108" s="4196"/>
      <c r="D108" s="4197"/>
      <c r="E108" s="4197"/>
      <c r="F108" s="4197"/>
      <c r="G108" s="4197"/>
      <c r="H108" s="4197"/>
      <c r="I108" s="4197"/>
      <c r="J108" s="4197"/>
      <c r="K108" s="4197"/>
      <c r="L108" s="4197"/>
      <c r="M108" s="4197"/>
      <c r="N108" s="4197"/>
      <c r="O108" s="4197"/>
      <c r="P108" s="4197"/>
      <c r="Q108" s="4197"/>
      <c r="R108" s="4197"/>
      <c r="S108" s="4207"/>
      <c r="T108" s="4431"/>
      <c r="U108" s="4211"/>
      <c r="V108" s="4651" t="str">
        <f t="shared" si="34"/>
        <v/>
      </c>
      <c r="CA108" s="4685" t="str">
        <f t="shared" si="35"/>
        <v/>
      </c>
      <c r="DA108" s="4686">
        <f t="shared" si="36"/>
        <v>0</v>
      </c>
    </row>
    <row r="109" spans="1:105" x14ac:dyDescent="0.2">
      <c r="A109" s="4895" t="s">
        <v>2379</v>
      </c>
      <c r="B109" s="4430">
        <f t="shared" si="33"/>
        <v>0</v>
      </c>
      <c r="C109" s="4196"/>
      <c r="D109" s="4197"/>
      <c r="E109" s="4197"/>
      <c r="F109" s="4197"/>
      <c r="G109" s="4197"/>
      <c r="H109" s="4197"/>
      <c r="I109" s="4197"/>
      <c r="J109" s="4197"/>
      <c r="K109" s="4197"/>
      <c r="L109" s="4197"/>
      <c r="M109" s="4197"/>
      <c r="N109" s="4197"/>
      <c r="O109" s="4197"/>
      <c r="P109" s="4197"/>
      <c r="Q109" s="4197"/>
      <c r="R109" s="4197"/>
      <c r="S109" s="4207"/>
      <c r="T109" s="4431"/>
      <c r="U109" s="4211"/>
      <c r="V109" s="4651" t="str">
        <f t="shared" si="34"/>
        <v/>
      </c>
      <c r="CA109" s="4685" t="str">
        <f t="shared" si="35"/>
        <v/>
      </c>
      <c r="DA109" s="4686">
        <f t="shared" si="36"/>
        <v>0</v>
      </c>
    </row>
    <row r="110" spans="1:105" x14ac:dyDescent="0.2">
      <c r="A110" s="4895" t="s">
        <v>2380</v>
      </c>
      <c r="B110" s="4430">
        <f t="shared" si="33"/>
        <v>0</v>
      </c>
      <c r="C110" s="4196"/>
      <c r="D110" s="4197"/>
      <c r="E110" s="4197"/>
      <c r="F110" s="4197"/>
      <c r="G110" s="4197"/>
      <c r="H110" s="4197"/>
      <c r="I110" s="4197"/>
      <c r="J110" s="4197"/>
      <c r="K110" s="4197"/>
      <c r="L110" s="4197"/>
      <c r="M110" s="4197"/>
      <c r="N110" s="4197"/>
      <c r="O110" s="4197"/>
      <c r="P110" s="4197"/>
      <c r="Q110" s="4197"/>
      <c r="R110" s="4197"/>
      <c r="S110" s="4207"/>
      <c r="T110" s="4431"/>
      <c r="U110" s="4211"/>
      <c r="V110" s="4651" t="str">
        <f t="shared" si="34"/>
        <v/>
      </c>
      <c r="CA110" s="4685" t="str">
        <f t="shared" si="35"/>
        <v/>
      </c>
      <c r="DA110" s="4686">
        <f t="shared" si="36"/>
        <v>0</v>
      </c>
    </row>
    <row r="111" spans="1:105" x14ac:dyDescent="0.2">
      <c r="A111" s="4895" t="s">
        <v>2381</v>
      </c>
      <c r="B111" s="4430">
        <f t="shared" si="33"/>
        <v>0</v>
      </c>
      <c r="C111" s="4196"/>
      <c r="D111" s="4197"/>
      <c r="E111" s="4197"/>
      <c r="F111" s="4197"/>
      <c r="G111" s="4197"/>
      <c r="H111" s="4197"/>
      <c r="I111" s="4197"/>
      <c r="J111" s="4197"/>
      <c r="K111" s="4197"/>
      <c r="L111" s="4197"/>
      <c r="M111" s="4197"/>
      <c r="N111" s="4197"/>
      <c r="O111" s="4197"/>
      <c r="P111" s="4197"/>
      <c r="Q111" s="4197"/>
      <c r="R111" s="4197"/>
      <c r="S111" s="4207"/>
      <c r="T111" s="4431"/>
      <c r="U111" s="4211"/>
      <c r="V111" s="4651" t="str">
        <f t="shared" si="34"/>
        <v/>
      </c>
      <c r="CA111" s="4685" t="str">
        <f t="shared" si="35"/>
        <v/>
      </c>
      <c r="DA111" s="4686">
        <f t="shared" si="36"/>
        <v>0</v>
      </c>
    </row>
    <row r="112" spans="1:105" x14ac:dyDescent="0.2">
      <c r="A112" s="4895" t="s">
        <v>2382</v>
      </c>
      <c r="B112" s="4430">
        <f t="shared" si="33"/>
        <v>0</v>
      </c>
      <c r="C112" s="4196"/>
      <c r="D112" s="4197"/>
      <c r="E112" s="4197"/>
      <c r="F112" s="4197"/>
      <c r="G112" s="4197"/>
      <c r="H112" s="4197"/>
      <c r="I112" s="4197"/>
      <c r="J112" s="4197"/>
      <c r="K112" s="4197"/>
      <c r="L112" s="4197"/>
      <c r="M112" s="4197"/>
      <c r="N112" s="4197"/>
      <c r="O112" s="4197"/>
      <c r="P112" s="4197"/>
      <c r="Q112" s="4197"/>
      <c r="R112" s="4197"/>
      <c r="S112" s="4207"/>
      <c r="T112" s="4431"/>
      <c r="U112" s="4211"/>
      <c r="V112" s="4651" t="str">
        <f t="shared" si="34"/>
        <v/>
      </c>
      <c r="CA112" s="4685" t="str">
        <f t="shared" si="35"/>
        <v/>
      </c>
      <c r="DA112" s="4686">
        <f t="shared" si="36"/>
        <v>0</v>
      </c>
    </row>
    <row r="113" spans="1:105" x14ac:dyDescent="0.2">
      <c r="A113" s="3202" t="s">
        <v>2383</v>
      </c>
      <c r="B113" s="4430">
        <f t="shared" si="33"/>
        <v>0</v>
      </c>
      <c r="C113" s="4196"/>
      <c r="D113" s="4197"/>
      <c r="E113" s="4197"/>
      <c r="F113" s="4197"/>
      <c r="G113" s="4197"/>
      <c r="H113" s="4197"/>
      <c r="I113" s="4197"/>
      <c r="J113" s="4197"/>
      <c r="K113" s="4197"/>
      <c r="L113" s="4197"/>
      <c r="M113" s="4197"/>
      <c r="N113" s="4197"/>
      <c r="O113" s="4197"/>
      <c r="P113" s="4197"/>
      <c r="Q113" s="4197"/>
      <c r="R113" s="4197"/>
      <c r="S113" s="4207"/>
      <c r="T113" s="4431"/>
      <c r="U113" s="4211"/>
      <c r="V113" s="4651" t="str">
        <f t="shared" si="34"/>
        <v/>
      </c>
      <c r="CA113" s="4685" t="str">
        <f t="shared" si="35"/>
        <v/>
      </c>
      <c r="DA113" s="4686">
        <f t="shared" si="36"/>
        <v>0</v>
      </c>
    </row>
    <row r="114" spans="1:105" x14ac:dyDescent="0.2">
      <c r="A114" s="3202" t="s">
        <v>2384</v>
      </c>
      <c r="B114" s="4430">
        <f t="shared" si="33"/>
        <v>0</v>
      </c>
      <c r="C114" s="4196"/>
      <c r="D114" s="4197"/>
      <c r="E114" s="4197"/>
      <c r="F114" s="4197"/>
      <c r="G114" s="4197"/>
      <c r="H114" s="4197"/>
      <c r="I114" s="4197"/>
      <c r="J114" s="4197"/>
      <c r="K114" s="4197"/>
      <c r="L114" s="4197"/>
      <c r="M114" s="4197"/>
      <c r="N114" s="4197"/>
      <c r="O114" s="4197"/>
      <c r="P114" s="4197"/>
      <c r="Q114" s="4197"/>
      <c r="R114" s="4197"/>
      <c r="S114" s="4207"/>
      <c r="T114" s="4431"/>
      <c r="U114" s="4211"/>
      <c r="V114" s="4651" t="str">
        <f t="shared" si="34"/>
        <v/>
      </c>
      <c r="CA114" s="4685" t="str">
        <f t="shared" si="35"/>
        <v/>
      </c>
      <c r="DA114" s="4686">
        <f t="shared" si="36"/>
        <v>0</v>
      </c>
    </row>
    <row r="115" spans="1:105" x14ac:dyDescent="0.2">
      <c r="A115" s="3202" t="s">
        <v>2385</v>
      </c>
      <c r="B115" s="4430">
        <f t="shared" si="33"/>
        <v>0</v>
      </c>
      <c r="C115" s="4196"/>
      <c r="D115" s="4197"/>
      <c r="E115" s="4197"/>
      <c r="F115" s="4197"/>
      <c r="G115" s="4197"/>
      <c r="H115" s="4197"/>
      <c r="I115" s="4197"/>
      <c r="J115" s="4197"/>
      <c r="K115" s="4197"/>
      <c r="L115" s="4197"/>
      <c r="M115" s="4197"/>
      <c r="N115" s="4197"/>
      <c r="O115" s="4197"/>
      <c r="P115" s="4197"/>
      <c r="Q115" s="4197"/>
      <c r="R115" s="4197"/>
      <c r="S115" s="4207"/>
      <c r="T115" s="4431"/>
      <c r="U115" s="4211"/>
      <c r="V115" s="4651" t="str">
        <f t="shared" si="34"/>
        <v/>
      </c>
      <c r="CA115" s="4685" t="str">
        <f t="shared" si="35"/>
        <v/>
      </c>
      <c r="DA115" s="4686">
        <f t="shared" si="36"/>
        <v>0</v>
      </c>
    </row>
    <row r="116" spans="1:105" x14ac:dyDescent="0.2">
      <c r="A116" s="3202" t="s">
        <v>2386</v>
      </c>
      <c r="B116" s="4430">
        <f t="shared" si="33"/>
        <v>0</v>
      </c>
      <c r="C116" s="4196"/>
      <c r="D116" s="4197"/>
      <c r="E116" s="4197"/>
      <c r="F116" s="4197"/>
      <c r="G116" s="4197"/>
      <c r="H116" s="4197"/>
      <c r="I116" s="4197"/>
      <c r="J116" s="4197"/>
      <c r="K116" s="4197"/>
      <c r="L116" s="4197"/>
      <c r="M116" s="4197"/>
      <c r="N116" s="4197"/>
      <c r="O116" s="4197"/>
      <c r="P116" s="4197"/>
      <c r="Q116" s="4197"/>
      <c r="R116" s="4197"/>
      <c r="S116" s="4207"/>
      <c r="T116" s="4431"/>
      <c r="U116" s="4211"/>
      <c r="V116" s="4651" t="str">
        <f t="shared" si="34"/>
        <v/>
      </c>
      <c r="CA116" s="4685" t="str">
        <f t="shared" si="35"/>
        <v/>
      </c>
      <c r="DA116" s="4686">
        <f t="shared" si="36"/>
        <v>0</v>
      </c>
    </row>
    <row r="117" spans="1:105" x14ac:dyDescent="0.2">
      <c r="A117" s="3202" t="s">
        <v>2387</v>
      </c>
      <c r="B117" s="4430">
        <f t="shared" si="33"/>
        <v>0</v>
      </c>
      <c r="C117" s="4196"/>
      <c r="D117" s="4197"/>
      <c r="E117" s="4197"/>
      <c r="F117" s="4197"/>
      <c r="G117" s="4197"/>
      <c r="H117" s="4197"/>
      <c r="I117" s="4197"/>
      <c r="J117" s="4197"/>
      <c r="K117" s="4197"/>
      <c r="L117" s="4197"/>
      <c r="M117" s="4197"/>
      <c r="N117" s="4197"/>
      <c r="O117" s="4197"/>
      <c r="P117" s="4197"/>
      <c r="Q117" s="4197"/>
      <c r="R117" s="4197"/>
      <c r="S117" s="4207"/>
      <c r="T117" s="4431"/>
      <c r="U117" s="4211"/>
      <c r="V117" s="4651" t="str">
        <f t="shared" si="34"/>
        <v/>
      </c>
      <c r="CA117" s="4685" t="str">
        <f t="shared" si="35"/>
        <v/>
      </c>
      <c r="DA117" s="4686">
        <f t="shared" si="36"/>
        <v>0</v>
      </c>
    </row>
    <row r="118" spans="1:105" x14ac:dyDescent="0.2">
      <c r="A118" s="4896" t="s">
        <v>2388</v>
      </c>
      <c r="B118" s="4430">
        <f t="shared" si="33"/>
        <v>0</v>
      </c>
      <c r="C118" s="4367"/>
      <c r="D118" s="4586"/>
      <c r="E118" s="4586"/>
      <c r="F118" s="4586"/>
      <c r="G118" s="4586"/>
      <c r="H118" s="4586"/>
      <c r="I118" s="4586"/>
      <c r="J118" s="4586"/>
      <c r="K118" s="4586"/>
      <c r="L118" s="4586"/>
      <c r="M118" s="4586"/>
      <c r="N118" s="4586"/>
      <c r="O118" s="4586"/>
      <c r="P118" s="4586"/>
      <c r="Q118" s="4586"/>
      <c r="R118" s="4586"/>
      <c r="S118" s="4386"/>
      <c r="T118" s="4598"/>
      <c r="U118" s="4369"/>
      <c r="V118" s="4651" t="str">
        <f t="shared" si="34"/>
        <v/>
      </c>
      <c r="CA118" s="4685" t="str">
        <f t="shared" si="35"/>
        <v/>
      </c>
      <c r="DA118" s="4686">
        <f t="shared" si="36"/>
        <v>0</v>
      </c>
    </row>
    <row r="119" spans="1:105" x14ac:dyDescent="0.2">
      <c r="A119" s="4897" t="s">
        <v>24</v>
      </c>
      <c r="B119" s="4898">
        <f>SUM(C119:S119)</f>
        <v>0</v>
      </c>
      <c r="C119" s="4899">
        <f>SUM(C104:C118)</f>
        <v>0</v>
      </c>
      <c r="D119" s="4900">
        <f t="shared" ref="D119:P119" si="37">SUM(D104:D118)</f>
        <v>0</v>
      </c>
      <c r="E119" s="4900">
        <f t="shared" si="37"/>
        <v>0</v>
      </c>
      <c r="F119" s="4900">
        <f t="shared" si="37"/>
        <v>0</v>
      </c>
      <c r="G119" s="4900">
        <f t="shared" si="37"/>
        <v>0</v>
      </c>
      <c r="H119" s="4901">
        <f t="shared" si="37"/>
        <v>0</v>
      </c>
      <c r="I119" s="4900">
        <f t="shared" si="37"/>
        <v>0</v>
      </c>
      <c r="J119" s="4900">
        <f t="shared" si="37"/>
        <v>0</v>
      </c>
      <c r="K119" s="4900">
        <f t="shared" si="37"/>
        <v>0</v>
      </c>
      <c r="L119" s="4900">
        <f t="shared" si="37"/>
        <v>0</v>
      </c>
      <c r="M119" s="4900">
        <f t="shared" si="37"/>
        <v>0</v>
      </c>
      <c r="N119" s="4900">
        <f t="shared" si="37"/>
        <v>0</v>
      </c>
      <c r="O119" s="4900">
        <f t="shared" si="37"/>
        <v>0</v>
      </c>
      <c r="P119" s="4900">
        <f t="shared" si="37"/>
        <v>0</v>
      </c>
      <c r="Q119" s="4900">
        <f t="shared" ref="Q119:U119" si="38">SUM(Q104:Q118)</f>
        <v>0</v>
      </c>
      <c r="R119" s="4900">
        <f t="shared" si="38"/>
        <v>0</v>
      </c>
      <c r="S119" s="4902">
        <f t="shared" si="38"/>
        <v>0</v>
      </c>
      <c r="T119" s="4903">
        <f t="shared" si="38"/>
        <v>0</v>
      </c>
      <c r="U119" s="4902">
        <f t="shared" si="38"/>
        <v>0</v>
      </c>
    </row>
    <row r="197" spans="1:233" hidden="1" x14ac:dyDescent="0.2"/>
    <row r="198" spans="1:233" hidden="1" x14ac:dyDescent="0.2">
      <c r="A198" s="4904">
        <f>SUM(C10:C35,C38:N41,B46:B49,C61,C65:C77,C82:C89,B94:B95,B99:C99,B119)</f>
        <v>0</v>
      </c>
      <c r="B198" s="4904">
        <f>SUM(DA10:DZ119)</f>
        <v>0</v>
      </c>
      <c r="C198" s="4904"/>
      <c r="D198" s="4904"/>
      <c r="E198" s="4904"/>
      <c r="F198" s="4904"/>
      <c r="G198" s="4904"/>
    </row>
    <row r="199" spans="1:233" hidden="1" x14ac:dyDescent="0.2"/>
    <row r="200" spans="1:233" hidden="1" x14ac:dyDescent="0.2"/>
    <row r="201" spans="1:233" ht="12" hidden="1" customHeight="1" x14ac:dyDescent="0.2"/>
    <row r="202" spans="1:233" s="4904" customFormat="1" hidden="1" x14ac:dyDescent="0.2">
      <c r="A202" s="4651"/>
      <c r="B202" s="4651"/>
      <c r="C202" s="4651"/>
      <c r="D202" s="4651"/>
      <c r="E202" s="4651"/>
      <c r="F202" s="4651"/>
      <c r="G202" s="4651"/>
      <c r="BV202" s="4905"/>
      <c r="BW202" s="4905"/>
      <c r="BX202" s="4653"/>
      <c r="BY202" s="4653"/>
      <c r="BZ202" s="4653"/>
      <c r="CA202" s="4654"/>
      <c r="CB202" s="4654"/>
      <c r="CC202" s="4654"/>
      <c r="CD202" s="4654"/>
      <c r="CE202" s="4654"/>
      <c r="CF202" s="4654"/>
      <c r="CG202" s="4654"/>
      <c r="CH202" s="4654"/>
      <c r="CI202" s="4654"/>
      <c r="CJ202" s="4654"/>
      <c r="CK202" s="4654"/>
      <c r="CL202" s="4654"/>
      <c r="CM202" s="4654"/>
      <c r="CN202" s="4654"/>
      <c r="CO202" s="4654"/>
      <c r="CP202" s="4654"/>
      <c r="CQ202" s="4654"/>
      <c r="CR202" s="4654"/>
      <c r="CS202" s="4654"/>
      <c r="CT202" s="4654"/>
      <c r="CU202" s="4654"/>
      <c r="CV202" s="4654"/>
      <c r="CW202" s="4654"/>
      <c r="CX202" s="4654"/>
      <c r="CY202" s="4654"/>
      <c r="CZ202" s="4655"/>
      <c r="DA202" s="4656"/>
      <c r="DB202" s="4656"/>
      <c r="DC202" s="4656"/>
      <c r="DD202" s="4656"/>
      <c r="DE202" s="4656"/>
      <c r="DF202" s="4656"/>
      <c r="DG202" s="4656"/>
      <c r="DH202" s="4656"/>
      <c r="DI202" s="4656"/>
      <c r="DJ202" s="4656"/>
      <c r="DK202" s="4656"/>
      <c r="DL202" s="4656"/>
      <c r="DM202" s="4656"/>
      <c r="DN202" s="4656"/>
      <c r="DO202" s="4656"/>
      <c r="DP202" s="4656"/>
      <c r="DQ202" s="4657"/>
      <c r="DR202" s="4657"/>
      <c r="DS202" s="4657"/>
      <c r="DT202" s="4657"/>
      <c r="DU202" s="4657"/>
      <c r="DV202" s="4657"/>
      <c r="DW202" s="4657"/>
      <c r="DX202" s="4657"/>
      <c r="DY202" s="4657"/>
      <c r="DZ202" s="4657"/>
      <c r="EA202" s="4657"/>
      <c r="EB202" s="4657"/>
      <c r="EC202" s="4657"/>
      <c r="ED202" s="4657"/>
      <c r="EE202" s="4657"/>
      <c r="EF202" s="4657"/>
      <c r="EG202" s="4657"/>
      <c r="EH202" s="4657"/>
      <c r="EI202" s="4657"/>
      <c r="EJ202" s="4657"/>
      <c r="EK202" s="4657"/>
      <c r="EL202" s="4657"/>
      <c r="EM202" s="4657"/>
      <c r="EN202" s="4657"/>
      <c r="EO202" s="4657"/>
      <c r="EP202" s="4657"/>
      <c r="EQ202" s="4657"/>
      <c r="ER202" s="4657"/>
      <c r="ES202" s="4657"/>
      <c r="ET202" s="4657"/>
      <c r="EU202" s="4657"/>
      <c r="EV202" s="4657"/>
      <c r="EW202" s="4657"/>
      <c r="EX202" s="4657"/>
      <c r="EY202" s="4657"/>
      <c r="EZ202" s="4657"/>
      <c r="FA202" s="4657"/>
      <c r="FB202" s="4657"/>
      <c r="FC202" s="4657"/>
      <c r="FD202" s="4657"/>
      <c r="FE202" s="4657"/>
      <c r="FF202" s="4657"/>
      <c r="FG202" s="4657"/>
      <c r="FH202" s="4657"/>
      <c r="FI202" s="4657"/>
      <c r="FJ202" s="4657"/>
      <c r="FK202" s="4657"/>
      <c r="FL202" s="4657"/>
      <c r="FM202" s="4657"/>
      <c r="FN202" s="4657"/>
      <c r="FO202" s="4657"/>
      <c r="FP202" s="4657"/>
      <c r="FQ202" s="4657"/>
      <c r="FR202" s="4657"/>
      <c r="FS202" s="4657"/>
      <c r="FT202" s="4657"/>
      <c r="FU202" s="4657"/>
      <c r="FV202" s="4657"/>
      <c r="FW202" s="4657"/>
      <c r="FX202" s="4657"/>
      <c r="FY202" s="4657"/>
      <c r="FZ202" s="4657"/>
      <c r="GA202" s="4657"/>
      <c r="GB202" s="4657"/>
      <c r="GC202" s="4657"/>
      <c r="GD202" s="4657"/>
      <c r="GE202" s="4657"/>
      <c r="GF202" s="4657"/>
      <c r="GG202" s="4657"/>
      <c r="GH202" s="4657"/>
      <c r="GI202" s="4657"/>
      <c r="GJ202" s="4657"/>
      <c r="GK202" s="4657"/>
      <c r="GL202" s="4657"/>
      <c r="GM202" s="4657"/>
      <c r="GN202" s="4657"/>
      <c r="GO202" s="4657"/>
      <c r="GP202" s="4657"/>
      <c r="GQ202" s="4657"/>
      <c r="GR202" s="4657"/>
      <c r="GS202" s="4657"/>
      <c r="GT202" s="4657"/>
      <c r="GU202" s="4657"/>
      <c r="GV202" s="4657"/>
      <c r="GW202" s="4657"/>
      <c r="GX202" s="4657"/>
      <c r="GY202" s="4657"/>
      <c r="GZ202" s="4657"/>
      <c r="HA202" s="4657"/>
      <c r="HB202" s="4657"/>
      <c r="HC202" s="4657"/>
      <c r="HD202" s="4657"/>
      <c r="HE202" s="4657"/>
      <c r="HF202" s="4657"/>
      <c r="HG202" s="4657"/>
      <c r="HH202" s="4657"/>
      <c r="HI202" s="4657"/>
      <c r="HJ202" s="4657"/>
      <c r="HK202" s="4657"/>
      <c r="HL202" s="4657"/>
      <c r="HM202" s="4657"/>
      <c r="HN202" s="4657"/>
      <c r="HO202" s="4657"/>
      <c r="HP202" s="4657"/>
      <c r="HQ202" s="4657"/>
      <c r="HR202" s="4657"/>
      <c r="HS202" s="4657"/>
      <c r="HT202" s="4657"/>
      <c r="HU202" s="4657"/>
      <c r="HV202" s="4657"/>
      <c r="HW202" s="4657"/>
      <c r="HX202" s="4657"/>
      <c r="HY202" s="4657"/>
    </row>
  </sheetData>
  <sheetProtection algorithmName="SHA-512" hashValue="9RGR9kXQXPZtDUVuOPE9HqGB3R/eoHXtGdt/QLLziKVbAJsw0GRYF2CrjFAFQNbn3Y7Twu3S44nDdwMfYS1pjg==" saltValue="KILZCuxY4B7QFqz5LkXhBA==" spinCount="100000" sheet="1" objects="1" scenarios="1"/>
  <mergeCells count="89">
    <mergeCell ref="A6:P6"/>
    <mergeCell ref="T101:U102"/>
    <mergeCell ref="C101:S101"/>
    <mergeCell ref="C102:S102"/>
    <mergeCell ref="A101:A103"/>
    <mergeCell ref="B101:B103"/>
    <mergeCell ref="A82:B82"/>
    <mergeCell ref="A97:A98"/>
    <mergeCell ref="B97:B98"/>
    <mergeCell ref="C97:C98"/>
    <mergeCell ref="A92:A93"/>
    <mergeCell ref="B92:B93"/>
    <mergeCell ref="C92:G92"/>
    <mergeCell ref="A89:B89"/>
    <mergeCell ref="A83:B83"/>
    <mergeCell ref="A84:B84"/>
    <mergeCell ref="A87:B87"/>
    <mergeCell ref="A88:B88"/>
    <mergeCell ref="A85:B85"/>
    <mergeCell ref="A86:B86"/>
    <mergeCell ref="A65:B65"/>
    <mergeCell ref="A66:B66"/>
    <mergeCell ref="A67:A77"/>
    <mergeCell ref="H79:I80"/>
    <mergeCell ref="C80:C81"/>
    <mergeCell ref="D80:F80"/>
    <mergeCell ref="G80:G81"/>
    <mergeCell ref="A79:B81"/>
    <mergeCell ref="C79:G79"/>
    <mergeCell ref="A35:B35"/>
    <mergeCell ref="A61:B61"/>
    <mergeCell ref="A64:B64"/>
    <mergeCell ref="A59:B59"/>
    <mergeCell ref="A54:B54"/>
    <mergeCell ref="A55:B55"/>
    <mergeCell ref="A56:A58"/>
    <mergeCell ref="A51:B51"/>
    <mergeCell ref="A52:B52"/>
    <mergeCell ref="A53:B53"/>
    <mergeCell ref="A60:B60"/>
    <mergeCell ref="A37:B37"/>
    <mergeCell ref="A38:A41"/>
    <mergeCell ref="A9:B9"/>
    <mergeCell ref="A10:B10"/>
    <mergeCell ref="A11:B11"/>
    <mergeCell ref="A12:B12"/>
    <mergeCell ref="A13:B13"/>
    <mergeCell ref="A33:B33"/>
    <mergeCell ref="A34:B34"/>
    <mergeCell ref="A19:B19"/>
    <mergeCell ref="A14:B14"/>
    <mergeCell ref="A15:B15"/>
    <mergeCell ref="A16:B16"/>
    <mergeCell ref="A17:B17"/>
    <mergeCell ref="A18:B18"/>
    <mergeCell ref="A20:B20"/>
    <mergeCell ref="A21:B21"/>
    <mergeCell ref="A22:B22"/>
    <mergeCell ref="A32:B3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S44:T44"/>
    <mergeCell ref="U44:V44"/>
    <mergeCell ref="W44:X44"/>
    <mergeCell ref="Y44:Z44"/>
    <mergeCell ref="AA44:AB44"/>
    <mergeCell ref="E43:AL43"/>
    <mergeCell ref="B43:D44"/>
    <mergeCell ref="A43:A45"/>
    <mergeCell ref="AM43:AO44"/>
    <mergeCell ref="AC44:AD44"/>
    <mergeCell ref="AE44:AF44"/>
    <mergeCell ref="AG44:AH44"/>
    <mergeCell ref="AI44:AJ44"/>
    <mergeCell ref="AK44:AL44"/>
    <mergeCell ref="E44:F44"/>
    <mergeCell ref="G44:H44"/>
    <mergeCell ref="I44:J44"/>
    <mergeCell ref="K44:L44"/>
    <mergeCell ref="M44:N44"/>
    <mergeCell ref="O44:P44"/>
    <mergeCell ref="Q44:R44"/>
  </mergeCells>
  <dataValidations count="1">
    <dataValidation type="whole" operator="greaterThanOrEqual" allowBlank="1" showInputMessage="1" showErrorMessage="1" sqref="D10:P35 C38:N41 D65:J77 E46:AO49 D52:M60 D82:I89 C94:G95 B99:C99 C104:U118" xr:uid="{8DB96E8F-5F7D-4A47-B6A4-363D9383085A}">
      <formula1>0</formula1>
    </dataValidation>
  </dataValidations>
  <pageMargins left="0.7" right="0.7" top="0.75" bottom="0.75" header="0.3" footer="0.3"/>
  <pageSetup paperSize="9" orientation="portrait" r:id="rId1"/>
  <ignoredErrors>
    <ignoredError sqref="C69:C70" formula="1"/>
    <ignoredError sqref="B46:D49" unlocked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CZ216"/>
  <sheetViews>
    <sheetView zoomScaleNormal="100" workbookViewId="0">
      <selection activeCell="A6" sqref="A6:O6"/>
    </sheetView>
  </sheetViews>
  <sheetFormatPr baseColWidth="10" defaultColWidth="11.42578125" defaultRowHeight="15" x14ac:dyDescent="0.25"/>
  <cols>
    <col min="1" max="1" width="42.140625" style="823" customWidth="1"/>
    <col min="2" max="2" width="26.7109375" style="823" customWidth="1"/>
    <col min="3" max="3" width="30.5703125" style="823" customWidth="1"/>
    <col min="4" max="4" width="17.42578125" style="823" customWidth="1"/>
    <col min="5" max="6" width="14.140625" style="823" customWidth="1"/>
    <col min="7" max="7" width="14.7109375" style="823" customWidth="1"/>
    <col min="8" max="8" width="14.140625" style="823" customWidth="1"/>
    <col min="9" max="9" width="13.5703125" style="823" customWidth="1"/>
    <col min="10" max="13" width="14.7109375" style="823" customWidth="1"/>
    <col min="14" max="25" width="11.42578125" style="823"/>
    <col min="26" max="26" width="10" style="823" customWidth="1"/>
    <col min="27" max="28" width="9.140625" style="823"/>
    <col min="29" max="29" width="10.28515625" style="823" customWidth="1"/>
    <col min="30" max="30" width="9.140625" style="823"/>
    <col min="31" max="75" width="11.42578125" style="823"/>
    <col min="76" max="76" width="11.28515625" style="823" customWidth="1"/>
    <col min="77" max="77" width="11.28515625" style="1118" customWidth="1"/>
    <col min="78" max="78" width="11.7109375" style="1118" customWidth="1"/>
    <col min="79" max="104" width="11.7109375" style="1464" hidden="1" customWidth="1"/>
    <col min="105" max="105" width="11.7109375" style="823" customWidth="1"/>
    <col min="106" max="127" width="11.42578125" style="823" customWidth="1"/>
    <col min="128" max="16384" width="11.42578125" style="823"/>
  </cols>
  <sheetData>
    <row r="1" spans="1:104" s="150" customFormat="1" ht="16.350000000000001" customHeight="1" x14ac:dyDescent="0.15">
      <c r="A1" s="150" t="s">
        <v>206</v>
      </c>
      <c r="BY1" s="1462"/>
      <c r="BZ1" s="1462"/>
      <c r="CA1" s="1463"/>
      <c r="CB1" s="1463"/>
      <c r="CC1" s="1463"/>
      <c r="CD1" s="1463"/>
      <c r="CE1" s="1463"/>
      <c r="CF1" s="1463"/>
      <c r="CG1" s="1463"/>
      <c r="CH1" s="1463"/>
      <c r="CI1" s="1463"/>
      <c r="CJ1" s="1463"/>
      <c r="CK1" s="1463"/>
      <c r="CL1" s="1463"/>
      <c r="CM1" s="1463"/>
      <c r="CN1" s="1463"/>
      <c r="CO1" s="1463"/>
      <c r="CP1" s="1463"/>
      <c r="CQ1" s="1463"/>
      <c r="CR1" s="1463"/>
      <c r="CS1" s="1463"/>
      <c r="CT1" s="1463"/>
      <c r="CU1" s="1463"/>
      <c r="CV1" s="1463"/>
      <c r="CW1" s="1463"/>
      <c r="CX1" s="1463"/>
      <c r="CY1" s="1463"/>
      <c r="CZ1" s="1463"/>
    </row>
    <row r="2" spans="1:104" s="150" customFormat="1" ht="16.350000000000001" customHeight="1" x14ac:dyDescent="0.15">
      <c r="A2" s="150" t="str">
        <f>CONCATENATE("COMUNA: ",NOMBRE!B2," - ","( ",NOMBRE!C2,NOMBRE!D2,NOMBRE!E2,NOMBRE!F2,NOMBRE!G2," )")</f>
        <v>COMUNA:  - (  )</v>
      </c>
      <c r="BY2" s="1462"/>
      <c r="BZ2" s="1462"/>
      <c r="CA2" s="1463"/>
      <c r="CB2" s="1463"/>
      <c r="CC2" s="1463"/>
      <c r="CD2" s="1463"/>
      <c r="CE2" s="1463"/>
      <c r="CF2" s="1463"/>
      <c r="CG2" s="1463"/>
      <c r="CH2" s="1463"/>
      <c r="CI2" s="1463"/>
      <c r="CJ2" s="1463"/>
      <c r="CK2" s="1463"/>
      <c r="CL2" s="1463"/>
      <c r="CM2" s="1463"/>
      <c r="CN2" s="1463"/>
      <c r="CO2" s="1463"/>
      <c r="CP2" s="1463"/>
      <c r="CQ2" s="1463"/>
      <c r="CR2" s="1463"/>
      <c r="CS2" s="1463"/>
      <c r="CT2" s="1463"/>
      <c r="CU2" s="1463"/>
      <c r="CV2" s="1463"/>
      <c r="CW2" s="1463"/>
      <c r="CX2" s="1463"/>
      <c r="CY2" s="1463"/>
      <c r="CZ2" s="1463"/>
    </row>
    <row r="3" spans="1:104" s="150" customFormat="1" ht="16.350000000000001" customHeight="1" x14ac:dyDescent="0.15">
      <c r="A3" s="150" t="str">
        <f>CONCATENATE("ESTABLECIMIENTO/ESTRATEGIA: ",NOMBRE!B3," - ","( ",NOMBRE!C3,NOMBRE!D3,NOMBRE!E3,NOMBRE!F3,NOMBRE!G3,NOMBRE!H3," )")</f>
        <v>ESTABLECIMIENTO/ESTRATEGIA:  - (  )</v>
      </c>
      <c r="BY3" s="1462"/>
      <c r="BZ3" s="1462"/>
      <c r="CA3" s="1463"/>
      <c r="CB3" s="1463"/>
      <c r="CC3" s="1463"/>
      <c r="CD3" s="1463"/>
      <c r="CE3" s="1463"/>
      <c r="CF3" s="1463"/>
      <c r="CG3" s="1463"/>
      <c r="CH3" s="1463"/>
      <c r="CI3" s="1463"/>
      <c r="CJ3" s="1463"/>
      <c r="CK3" s="1463"/>
      <c r="CL3" s="1463"/>
      <c r="CM3" s="1463"/>
      <c r="CN3" s="1463"/>
      <c r="CO3" s="1463"/>
      <c r="CP3" s="1463"/>
      <c r="CQ3" s="1463"/>
      <c r="CR3" s="1463"/>
      <c r="CS3" s="1463"/>
      <c r="CT3" s="1463"/>
      <c r="CU3" s="1463"/>
      <c r="CV3" s="1463"/>
      <c r="CW3" s="1463"/>
      <c r="CX3" s="1463"/>
      <c r="CY3" s="1463"/>
      <c r="CZ3" s="1463"/>
    </row>
    <row r="4" spans="1:104" s="150" customFormat="1" ht="16.350000000000001" customHeight="1" x14ac:dyDescent="0.15">
      <c r="A4" s="150" t="str">
        <f>CONCATENATE("MES: ",NOMBRE!B6," - ","( ",NOMBRE!C6,NOMBRE!D6," )")</f>
        <v>MES:  - (  )</v>
      </c>
      <c r="BY4" s="1462"/>
      <c r="BZ4" s="1462"/>
      <c r="CA4" s="1463"/>
      <c r="CB4" s="1463"/>
      <c r="CC4" s="1463"/>
      <c r="CD4" s="1463"/>
      <c r="CE4" s="1463"/>
      <c r="CF4" s="1463"/>
      <c r="CG4" s="1463"/>
      <c r="CH4" s="1463"/>
      <c r="CI4" s="1463"/>
      <c r="CJ4" s="1463"/>
      <c r="CK4" s="1463"/>
      <c r="CL4" s="1463"/>
      <c r="CM4" s="1463"/>
      <c r="CN4" s="1463"/>
      <c r="CO4" s="1463"/>
      <c r="CP4" s="1463"/>
      <c r="CQ4" s="1463"/>
      <c r="CR4" s="1463"/>
      <c r="CS4" s="1463"/>
      <c r="CT4" s="1463"/>
      <c r="CU4" s="1463"/>
      <c r="CV4" s="1463"/>
      <c r="CW4" s="1463"/>
      <c r="CX4" s="1463"/>
      <c r="CY4" s="1463"/>
      <c r="CZ4" s="1463"/>
    </row>
    <row r="5" spans="1:104" s="150" customFormat="1" ht="16.350000000000001" customHeight="1" x14ac:dyDescent="0.15">
      <c r="A5" s="150" t="str">
        <f>CONCATENATE("AÑO: ",NOMBRE!B7)</f>
        <v>AÑO: 2023</v>
      </c>
      <c r="BY5" s="1462"/>
      <c r="BZ5" s="1462"/>
      <c r="CA5" s="1463"/>
      <c r="CB5" s="1463"/>
      <c r="CC5" s="1463"/>
      <c r="CD5" s="1463"/>
      <c r="CE5" s="1463"/>
      <c r="CF5" s="1463"/>
      <c r="CG5" s="1463"/>
      <c r="CH5" s="1463"/>
      <c r="CI5" s="1463"/>
      <c r="CJ5" s="1463"/>
      <c r="CK5" s="1463"/>
      <c r="CL5" s="1463"/>
      <c r="CM5" s="1463"/>
      <c r="CN5" s="1463"/>
      <c r="CO5" s="1463"/>
      <c r="CP5" s="1463"/>
      <c r="CQ5" s="1463"/>
      <c r="CR5" s="1463"/>
      <c r="CS5" s="1463"/>
      <c r="CT5" s="1463"/>
      <c r="CU5" s="1463"/>
      <c r="CV5" s="1463"/>
      <c r="CW5" s="1463"/>
      <c r="CX5" s="1463"/>
      <c r="CY5" s="1463"/>
      <c r="CZ5" s="1463"/>
    </row>
    <row r="6" spans="1:104" ht="15.75" x14ac:dyDescent="0.25">
      <c r="A6" s="9293" t="s">
        <v>471</v>
      </c>
      <c r="B6" s="9293"/>
      <c r="C6" s="9293"/>
      <c r="D6" s="9293"/>
      <c r="E6" s="9293"/>
      <c r="F6" s="9293"/>
      <c r="G6" s="9293"/>
      <c r="H6" s="9293"/>
      <c r="I6" s="9293"/>
      <c r="J6" s="9293"/>
      <c r="K6" s="9293"/>
      <c r="L6" s="9293"/>
      <c r="M6" s="9293"/>
      <c r="N6" s="9293"/>
      <c r="O6" s="9293"/>
      <c r="P6" s="325"/>
      <c r="Q6" s="214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</row>
    <row r="7" spans="1:104" ht="15.75" x14ac:dyDescent="0.25">
      <c r="A7" s="1091"/>
      <c r="B7" s="1091"/>
      <c r="C7" s="1091"/>
      <c r="D7" s="1091"/>
      <c r="E7" s="1091"/>
      <c r="F7" s="1091"/>
      <c r="G7" s="1091"/>
      <c r="H7" s="1091"/>
      <c r="I7" s="1091"/>
      <c r="J7" s="1091"/>
      <c r="K7" s="1091"/>
      <c r="L7" s="1091"/>
      <c r="M7" s="1091"/>
      <c r="N7" s="1091"/>
      <c r="O7" s="1091"/>
      <c r="P7" s="325"/>
      <c r="Q7" s="214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</row>
    <row r="8" spans="1:104" ht="32.1" customHeight="1" x14ac:dyDescent="0.25">
      <c r="A8" s="365" t="s">
        <v>472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5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CG8" s="1465"/>
      <c r="CH8" s="1465"/>
      <c r="CI8" s="1465"/>
      <c r="CJ8" s="1465"/>
      <c r="CK8" s="1465"/>
      <c r="CL8" s="1465"/>
      <c r="CM8" s="1465"/>
      <c r="CN8" s="1465"/>
      <c r="CO8" s="1465"/>
    </row>
    <row r="9" spans="1:104" ht="15" customHeight="1" x14ac:dyDescent="0.25">
      <c r="A9" s="10273" t="s">
        <v>473</v>
      </c>
      <c r="B9" s="10274"/>
      <c r="C9" s="9983"/>
      <c r="D9" s="10276" t="s">
        <v>24</v>
      </c>
      <c r="E9" s="10277" t="s">
        <v>474</v>
      </c>
      <c r="F9" s="10278"/>
      <c r="G9" s="10278"/>
      <c r="H9" s="10278"/>
      <c r="I9" s="10279"/>
      <c r="J9" s="8569" t="s">
        <v>475</v>
      </c>
      <c r="K9" s="10280"/>
      <c r="L9" s="10280"/>
      <c r="M9" s="10280"/>
      <c r="N9" s="10280"/>
      <c r="O9" s="10280"/>
      <c r="P9" s="10280"/>
      <c r="Q9" s="10280"/>
      <c r="R9" s="10280"/>
      <c r="S9" s="10280"/>
      <c r="T9" s="10280"/>
      <c r="U9" s="10280"/>
      <c r="V9" s="10280"/>
      <c r="W9" s="10280"/>
      <c r="X9" s="10281"/>
      <c r="Y9" s="10290" t="s">
        <v>85</v>
      </c>
      <c r="Z9" s="10291"/>
      <c r="AA9" s="10292"/>
      <c r="AB9" s="9203" t="s">
        <v>2591</v>
      </c>
      <c r="AC9" s="10276" t="s">
        <v>360</v>
      </c>
      <c r="AD9" s="10276" t="s">
        <v>359</v>
      </c>
      <c r="AE9" s="10276" t="s">
        <v>3702</v>
      </c>
      <c r="AF9" s="1187"/>
      <c r="AG9" s="1187"/>
      <c r="AH9" s="1187"/>
      <c r="AI9" s="1187"/>
      <c r="AJ9" s="1187"/>
      <c r="AK9" s="1187"/>
      <c r="AL9" s="1187"/>
      <c r="AM9" s="1187"/>
      <c r="AN9" s="1187"/>
      <c r="AO9" s="1187"/>
      <c r="AP9" s="1187"/>
      <c r="AQ9" s="1187"/>
      <c r="CG9" s="1465"/>
      <c r="CH9" s="1465"/>
      <c r="CI9" s="1465"/>
      <c r="CJ9" s="1465"/>
      <c r="CK9" s="1465"/>
      <c r="CL9" s="1465"/>
      <c r="CM9" s="1465"/>
      <c r="CN9" s="1465"/>
      <c r="CO9" s="1465"/>
    </row>
    <row r="10" spans="1:104" ht="33" customHeight="1" x14ac:dyDescent="0.25">
      <c r="A10" s="10275"/>
      <c r="B10" s="9195"/>
      <c r="C10" s="9154"/>
      <c r="D10" s="8562"/>
      <c r="E10" s="312" t="s">
        <v>137</v>
      </c>
      <c r="F10" s="326" t="s">
        <v>476</v>
      </c>
      <c r="G10" s="326" t="s">
        <v>477</v>
      </c>
      <c r="H10" s="2214" t="s">
        <v>478</v>
      </c>
      <c r="I10" s="327" t="s">
        <v>32</v>
      </c>
      <c r="J10" s="2162" t="s">
        <v>32</v>
      </c>
      <c r="K10" s="326" t="s">
        <v>33</v>
      </c>
      <c r="L10" s="326" t="s">
        <v>40</v>
      </c>
      <c r="M10" s="326" t="s">
        <v>82</v>
      </c>
      <c r="N10" s="326" t="s">
        <v>83</v>
      </c>
      <c r="O10" s="326" t="s">
        <v>398</v>
      </c>
      <c r="P10" s="326" t="s">
        <v>124</v>
      </c>
      <c r="Q10" s="326" t="s">
        <v>125</v>
      </c>
      <c r="R10" s="326" t="s">
        <v>126</v>
      </c>
      <c r="S10" s="326" t="s">
        <v>127</v>
      </c>
      <c r="T10" s="326" t="s">
        <v>128</v>
      </c>
      <c r="U10" s="326" t="s">
        <v>129</v>
      </c>
      <c r="V10" s="326" t="s">
        <v>130</v>
      </c>
      <c r="W10" s="326" t="s">
        <v>131</v>
      </c>
      <c r="X10" s="328" t="s">
        <v>1916</v>
      </c>
      <c r="Y10" s="321" t="s">
        <v>95</v>
      </c>
      <c r="Z10" s="2170" t="s">
        <v>2216</v>
      </c>
      <c r="AA10" s="2230" t="s">
        <v>2217</v>
      </c>
      <c r="AB10" s="8562"/>
      <c r="AC10" s="8562"/>
      <c r="AD10" s="8562"/>
      <c r="AE10" s="8562"/>
      <c r="AF10" s="1187"/>
      <c r="AG10" s="1187"/>
      <c r="AH10" s="1187"/>
      <c r="AI10" s="1187"/>
      <c r="AJ10" s="1187"/>
      <c r="AK10" s="1187"/>
      <c r="AL10" s="1187"/>
      <c r="AM10" s="1187"/>
      <c r="AN10" s="1187"/>
      <c r="AO10" s="1187"/>
      <c r="AP10" s="1187"/>
      <c r="AQ10" s="1187"/>
      <c r="CG10" s="1465"/>
      <c r="CH10" s="1465"/>
      <c r="CI10" s="1465"/>
      <c r="CJ10" s="1465"/>
      <c r="CK10" s="1465"/>
      <c r="CL10" s="1465"/>
      <c r="CM10" s="1465"/>
      <c r="CN10" s="1465"/>
      <c r="CO10" s="1465"/>
    </row>
    <row r="11" spans="1:104" x14ac:dyDescent="0.25">
      <c r="A11" s="10302" t="s">
        <v>479</v>
      </c>
      <c r="B11" s="10307" t="s">
        <v>480</v>
      </c>
      <c r="C11" s="10308"/>
      <c r="D11" s="329">
        <f>SUM(E11:G11)</f>
        <v>0</v>
      </c>
      <c r="E11" s="330"/>
      <c r="F11" s="331"/>
      <c r="G11" s="331"/>
      <c r="H11" s="332"/>
      <c r="I11" s="333"/>
      <c r="J11" s="332"/>
      <c r="K11" s="334"/>
      <c r="L11" s="334"/>
      <c r="M11" s="335"/>
      <c r="N11" s="335"/>
      <c r="O11" s="335"/>
      <c r="P11" s="335"/>
      <c r="Q11" s="335"/>
      <c r="R11" s="335"/>
      <c r="S11" s="335"/>
      <c r="T11" s="335"/>
      <c r="U11" s="335"/>
      <c r="V11" s="335"/>
      <c r="W11" s="335"/>
      <c r="X11" s="335"/>
      <c r="Y11" s="1743"/>
      <c r="Z11" s="1716"/>
      <c r="AA11" s="1735"/>
      <c r="AB11" s="1729"/>
      <c r="AC11" s="1730"/>
      <c r="AD11" s="1730"/>
      <c r="AE11" s="1730"/>
      <c r="AF11" s="1193" t="str">
        <f>CA11&amp;CB11&amp;CC11&amp;CD11</f>
        <v/>
      </c>
      <c r="AG11" s="1456"/>
      <c r="AH11" s="1456"/>
      <c r="AI11" s="1456"/>
      <c r="AJ11" s="1456"/>
      <c r="AK11" s="1456"/>
      <c r="AL11" s="1456"/>
      <c r="AM11" s="1456"/>
      <c r="AN11" s="1456"/>
      <c r="AO11" s="1187"/>
      <c r="AP11" s="1187"/>
      <c r="AQ11" s="1187"/>
      <c r="CA11" s="1467"/>
      <c r="CB11" s="1467"/>
      <c r="CC11" s="1467" t="str">
        <f>IF(AND($D11&lt;&gt;0,AD11=""),"* No olvide digitar el campo "&amp;AD$9&amp;" (Digite 0 si no tiene)","")</f>
        <v/>
      </c>
      <c r="CD11" s="1467" t="str">
        <f>IF(AND($D11&lt;&gt;0,AE11=""),"* No olvide digitar el campo "&amp;AE$9&amp;" (Digite 0 si no tiene)","")</f>
        <v/>
      </c>
      <c r="CG11" s="1468"/>
      <c r="CH11" s="1465"/>
      <c r="CI11" s="1465"/>
      <c r="CJ11" s="1465"/>
      <c r="CK11" s="1465"/>
      <c r="CL11" s="1465"/>
      <c r="CM11" s="1465"/>
      <c r="CN11" s="1465"/>
      <c r="CO11" s="1465"/>
    </row>
    <row r="12" spans="1:104" ht="21" x14ac:dyDescent="0.25">
      <c r="A12" s="10303"/>
      <c r="B12" s="8551" t="s">
        <v>481</v>
      </c>
      <c r="C12" s="315" t="s">
        <v>482</v>
      </c>
      <c r="D12" s="76">
        <f t="shared" ref="D12:D23" si="0">SUM(E12:X12)</f>
        <v>0</v>
      </c>
      <c r="E12" s="106"/>
      <c r="F12" s="89"/>
      <c r="G12" s="89"/>
      <c r="H12" s="89"/>
      <c r="I12" s="9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244"/>
      <c r="Y12" s="2422"/>
      <c r="Z12" s="1644"/>
      <c r="AA12" s="2423"/>
      <c r="AB12" s="1730"/>
      <c r="AC12" s="1730"/>
      <c r="AD12" s="1730"/>
      <c r="AE12" s="1730"/>
      <c r="AF12" s="1193"/>
      <c r="AG12" s="1456"/>
      <c r="AH12" s="1456"/>
      <c r="AI12" s="1456"/>
      <c r="AJ12" s="1456"/>
      <c r="AK12" s="1456"/>
      <c r="AL12" s="1456"/>
      <c r="AM12" s="1456"/>
      <c r="AN12" s="1456"/>
      <c r="AO12" s="1187"/>
      <c r="AP12" s="1187"/>
      <c r="AQ12" s="1187"/>
      <c r="CA12" s="1467"/>
      <c r="CB12" s="1467"/>
      <c r="CC12" s="1467" t="str">
        <f t="shared" ref="CC12:CC47" si="1">IF(AND($D12&lt;&gt;0,AD12=""),"* No olvide digitar el campo "&amp;AD$9&amp;" (Digite 0 si no tiene)","")</f>
        <v/>
      </c>
      <c r="CD12" s="1467" t="str">
        <f t="shared" ref="CD12:CD47" si="2">IF(AND($D12&lt;&gt;0,AE12=""),"* No olvide digitar el campo "&amp;AE$9&amp;" (Digite 0 si no tiene)","")</f>
        <v/>
      </c>
      <c r="CE12" s="1467"/>
      <c r="CF12" s="1467"/>
      <c r="CG12" s="1468"/>
      <c r="CH12" s="1465"/>
      <c r="CI12" s="1465"/>
      <c r="CJ12" s="1465"/>
      <c r="CK12" s="1465"/>
      <c r="CL12" s="1465"/>
      <c r="CM12" s="1465"/>
      <c r="CN12" s="1465"/>
      <c r="CO12" s="1465"/>
    </row>
    <row r="13" spans="1:104" x14ac:dyDescent="0.25">
      <c r="A13" s="10303"/>
      <c r="B13" s="8189"/>
      <c r="C13" s="2175" t="s">
        <v>483</v>
      </c>
      <c r="D13" s="109">
        <f t="shared" si="0"/>
        <v>0</v>
      </c>
      <c r="E13" s="129"/>
      <c r="F13" s="78"/>
      <c r="G13" s="78"/>
      <c r="H13" s="78"/>
      <c r="I13" s="130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197"/>
      <c r="Y13" s="2424"/>
      <c r="Z13" s="2425"/>
      <c r="AA13" s="2426"/>
      <c r="AB13" s="143"/>
      <c r="AC13" s="143"/>
      <c r="AD13" s="143"/>
      <c r="AE13" s="143"/>
      <c r="AF13" s="1193"/>
      <c r="AG13" s="1456"/>
      <c r="AH13" s="1456"/>
      <c r="AI13" s="1456"/>
      <c r="AJ13" s="1456"/>
      <c r="AK13" s="1456"/>
      <c r="AL13" s="1456"/>
      <c r="AM13" s="1456"/>
      <c r="AN13" s="1456"/>
      <c r="AO13" s="1187"/>
      <c r="AP13" s="1187"/>
      <c r="AQ13" s="1187"/>
      <c r="CA13" s="1467"/>
      <c r="CB13" s="1467"/>
      <c r="CC13" s="1467" t="str">
        <f t="shared" si="1"/>
        <v/>
      </c>
      <c r="CD13" s="1467" t="str">
        <f t="shared" si="2"/>
        <v/>
      </c>
      <c r="CE13" s="1467"/>
      <c r="CF13" s="1467"/>
      <c r="CG13" s="1468"/>
      <c r="CH13" s="1465"/>
      <c r="CI13" s="1465"/>
      <c r="CJ13" s="1465"/>
      <c r="CK13" s="1465"/>
      <c r="CL13" s="1465"/>
      <c r="CM13" s="1465"/>
      <c r="CN13" s="1465"/>
      <c r="CO13" s="1465"/>
    </row>
    <row r="14" spans="1:104" x14ac:dyDescent="0.25">
      <c r="A14" s="10303"/>
      <c r="B14" s="8189"/>
      <c r="C14" s="2132" t="s">
        <v>484</v>
      </c>
      <c r="D14" s="176">
        <f t="shared" si="0"/>
        <v>0</v>
      </c>
      <c r="E14" s="1307"/>
      <c r="F14" s="1412"/>
      <c r="G14" s="1412"/>
      <c r="H14" s="1412"/>
      <c r="I14" s="1327"/>
      <c r="J14" s="1412"/>
      <c r="K14" s="1412"/>
      <c r="L14" s="1412"/>
      <c r="M14" s="1412"/>
      <c r="N14" s="1412"/>
      <c r="O14" s="1412"/>
      <c r="P14" s="1412"/>
      <c r="Q14" s="1412"/>
      <c r="R14" s="1412"/>
      <c r="S14" s="1412"/>
      <c r="T14" s="1412"/>
      <c r="U14" s="1412"/>
      <c r="V14" s="1412"/>
      <c r="W14" s="1412"/>
      <c r="X14" s="1328"/>
      <c r="Y14" s="2427"/>
      <c r="Z14" s="2425"/>
      <c r="AA14" s="2426"/>
      <c r="AB14" s="1677"/>
      <c r="AC14" s="1677"/>
      <c r="AD14" s="1677"/>
      <c r="AE14" s="1677"/>
      <c r="AF14" s="1193"/>
      <c r="AG14" s="1456"/>
      <c r="AH14" s="1456"/>
      <c r="AI14" s="1456"/>
      <c r="AJ14" s="1456"/>
      <c r="AK14" s="1456"/>
      <c r="AL14" s="1456"/>
      <c r="AM14" s="1456"/>
      <c r="AN14" s="1456"/>
      <c r="AO14" s="1187"/>
      <c r="AP14" s="1187"/>
      <c r="AQ14" s="1187"/>
      <c r="CA14" s="1467"/>
      <c r="CB14" s="1467"/>
      <c r="CC14" s="1467" t="str">
        <f t="shared" si="1"/>
        <v/>
      </c>
      <c r="CD14" s="1467" t="str">
        <f t="shared" si="2"/>
        <v/>
      </c>
      <c r="CE14" s="1467"/>
      <c r="CF14" s="1467"/>
      <c r="CG14" s="1468"/>
      <c r="CH14" s="1465"/>
      <c r="CI14" s="1465"/>
      <c r="CJ14" s="1465"/>
      <c r="CK14" s="1465"/>
      <c r="CL14" s="1465"/>
      <c r="CM14" s="1465"/>
      <c r="CN14" s="1465"/>
      <c r="CO14" s="1465"/>
    </row>
    <row r="15" spans="1:104" x14ac:dyDescent="0.25">
      <c r="A15" s="10303"/>
      <c r="B15" s="8552"/>
      <c r="C15" s="345" t="s">
        <v>485</v>
      </c>
      <c r="D15" s="336">
        <f t="shared" si="0"/>
        <v>0</v>
      </c>
      <c r="E15" s="148"/>
      <c r="F15" s="95"/>
      <c r="G15" s="95"/>
      <c r="H15" s="95"/>
      <c r="I15" s="149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245"/>
      <c r="Y15" s="2428"/>
      <c r="Z15" s="2429"/>
      <c r="AA15" s="2430"/>
      <c r="AB15" s="1731"/>
      <c r="AC15" s="1731"/>
      <c r="AD15" s="1731"/>
      <c r="AE15" s="1731"/>
      <c r="AF15" s="1193"/>
      <c r="AG15" s="1456"/>
      <c r="AH15" s="1456"/>
      <c r="AI15" s="1456"/>
      <c r="AJ15" s="1456"/>
      <c r="AK15" s="1456"/>
      <c r="AL15" s="1456"/>
      <c r="AM15" s="1456"/>
      <c r="AN15" s="1456"/>
      <c r="AO15" s="1187"/>
      <c r="AP15" s="1187"/>
      <c r="AQ15" s="1187"/>
      <c r="CA15" s="1467"/>
      <c r="CB15" s="1467"/>
      <c r="CC15" s="1467" t="str">
        <f t="shared" si="1"/>
        <v/>
      </c>
      <c r="CD15" s="1467" t="str">
        <f t="shared" si="2"/>
        <v/>
      </c>
      <c r="CE15" s="1467"/>
      <c r="CF15" s="1467"/>
      <c r="CG15" s="1468"/>
      <c r="CH15" s="1465"/>
      <c r="CI15" s="1465"/>
      <c r="CJ15" s="1465"/>
      <c r="CK15" s="1465"/>
      <c r="CL15" s="1465"/>
      <c r="CM15" s="1465"/>
      <c r="CN15" s="1465"/>
      <c r="CO15" s="1465"/>
    </row>
    <row r="16" spans="1:104" x14ac:dyDescent="0.25">
      <c r="A16" s="10303"/>
      <c r="B16" s="9100" t="s">
        <v>486</v>
      </c>
      <c r="C16" s="9101"/>
      <c r="D16" s="87">
        <f t="shared" si="0"/>
        <v>0</v>
      </c>
      <c r="E16" s="129"/>
      <c r="F16" s="78"/>
      <c r="G16" s="78"/>
      <c r="H16" s="78"/>
      <c r="I16" s="143"/>
      <c r="J16" s="100"/>
      <c r="K16" s="78"/>
      <c r="L16" s="78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2431"/>
      <c r="Z16" s="1847"/>
      <c r="AA16" s="2432"/>
      <c r="AB16" s="143"/>
      <c r="AC16" s="143"/>
      <c r="AD16" s="143"/>
      <c r="AE16" s="143"/>
      <c r="AF16" s="1193"/>
      <c r="AG16" s="1456"/>
      <c r="AH16" s="1456"/>
      <c r="AI16" s="1456"/>
      <c r="AJ16" s="1456"/>
      <c r="AK16" s="1456"/>
      <c r="AL16" s="1456"/>
      <c r="AM16" s="1456"/>
      <c r="AN16" s="1456"/>
      <c r="AO16" s="1187"/>
      <c r="AP16" s="1187"/>
      <c r="AQ16" s="1187"/>
      <c r="CA16" s="1467"/>
      <c r="CB16" s="1467"/>
      <c r="CC16" s="1467" t="str">
        <f t="shared" si="1"/>
        <v/>
      </c>
      <c r="CD16" s="1467" t="str">
        <f t="shared" si="2"/>
        <v/>
      </c>
      <c r="CE16" s="1467"/>
      <c r="CF16" s="1467"/>
      <c r="CG16" s="1468"/>
      <c r="CH16" s="1465"/>
      <c r="CI16" s="1465"/>
      <c r="CJ16" s="1465"/>
      <c r="CK16" s="1465"/>
      <c r="CL16" s="1465"/>
      <c r="CM16" s="1465"/>
      <c r="CN16" s="1465"/>
      <c r="CO16" s="1465"/>
    </row>
    <row r="17" spans="1:93" x14ac:dyDescent="0.25">
      <c r="A17" s="10303"/>
      <c r="B17" s="8407" t="s">
        <v>487</v>
      </c>
      <c r="C17" s="9095"/>
      <c r="D17" s="109">
        <f t="shared" si="0"/>
        <v>0</v>
      </c>
      <c r="E17" s="110"/>
      <c r="F17" s="111"/>
      <c r="G17" s="111"/>
      <c r="H17" s="111"/>
      <c r="I17" s="144"/>
      <c r="J17" s="136"/>
      <c r="K17" s="111"/>
      <c r="L17" s="111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2433"/>
      <c r="Z17" s="2425"/>
      <c r="AA17" s="2426"/>
      <c r="AB17" s="1677"/>
      <c r="AC17" s="1677"/>
      <c r="AD17" s="1677"/>
      <c r="AE17" s="1677"/>
      <c r="AF17" s="1193"/>
      <c r="AG17" s="1456"/>
      <c r="AH17" s="1456"/>
      <c r="AI17" s="1456"/>
      <c r="AJ17" s="1456"/>
      <c r="AK17" s="1456"/>
      <c r="AL17" s="1456"/>
      <c r="AM17" s="1456"/>
      <c r="AN17" s="1456"/>
      <c r="AO17" s="1187"/>
      <c r="AP17" s="1187"/>
      <c r="AQ17" s="1187"/>
      <c r="CA17" s="1467"/>
      <c r="CB17" s="1467"/>
      <c r="CC17" s="1467" t="str">
        <f t="shared" si="1"/>
        <v/>
      </c>
      <c r="CD17" s="1467" t="str">
        <f t="shared" si="2"/>
        <v/>
      </c>
      <c r="CE17" s="1467"/>
      <c r="CF17" s="1467"/>
      <c r="CG17" s="1468"/>
      <c r="CH17" s="1465"/>
      <c r="CI17" s="1465"/>
      <c r="CJ17" s="1465"/>
      <c r="CK17" s="1465"/>
      <c r="CL17" s="1465"/>
      <c r="CM17" s="1465"/>
      <c r="CN17" s="1465"/>
      <c r="CO17" s="1465"/>
    </row>
    <row r="18" spans="1:93" x14ac:dyDescent="0.25">
      <c r="A18" s="10303"/>
      <c r="B18" s="8407" t="s">
        <v>488</v>
      </c>
      <c r="C18" s="9095"/>
      <c r="D18" s="109">
        <f t="shared" si="0"/>
        <v>0</v>
      </c>
      <c r="E18" s="110"/>
      <c r="F18" s="111"/>
      <c r="G18" s="111"/>
      <c r="H18" s="111"/>
      <c r="I18" s="144"/>
      <c r="J18" s="136"/>
      <c r="K18" s="111"/>
      <c r="L18" s="111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2433"/>
      <c r="Z18" s="2425"/>
      <c r="AA18" s="2426"/>
      <c r="AB18" s="1677"/>
      <c r="AC18" s="1677"/>
      <c r="AD18" s="1677"/>
      <c r="AE18" s="1677"/>
      <c r="AF18" s="1193"/>
      <c r="AG18" s="1456"/>
      <c r="AH18" s="1456"/>
      <c r="AI18" s="1456"/>
      <c r="AJ18" s="1456"/>
      <c r="AK18" s="1456"/>
      <c r="AL18" s="1456"/>
      <c r="AM18" s="1456"/>
      <c r="AN18" s="1456"/>
      <c r="AO18" s="1187"/>
      <c r="AP18" s="1187"/>
      <c r="AQ18" s="1187"/>
      <c r="CA18" s="1467"/>
      <c r="CB18" s="1467"/>
      <c r="CC18" s="1467" t="str">
        <f t="shared" si="1"/>
        <v/>
      </c>
      <c r="CD18" s="1467" t="str">
        <f t="shared" si="2"/>
        <v/>
      </c>
      <c r="CE18" s="1467"/>
      <c r="CF18" s="1467"/>
      <c r="CG18" s="1468"/>
      <c r="CH18" s="1465"/>
      <c r="CI18" s="1465"/>
      <c r="CJ18" s="1465"/>
      <c r="CK18" s="1465"/>
      <c r="CL18" s="1465"/>
      <c r="CM18" s="1465"/>
      <c r="CN18" s="1465"/>
      <c r="CO18" s="1465"/>
    </row>
    <row r="19" spans="1:93" x14ac:dyDescent="0.25">
      <c r="A19" s="10303"/>
      <c r="B19" s="10293" t="s">
        <v>489</v>
      </c>
      <c r="C19" s="9962"/>
      <c r="D19" s="1666">
        <f t="shared" si="0"/>
        <v>0</v>
      </c>
      <c r="E19" s="1654"/>
      <c r="F19" s="1875"/>
      <c r="G19" s="1875"/>
      <c r="H19" s="1875"/>
      <c r="I19" s="1669"/>
      <c r="J19" s="1699"/>
      <c r="K19" s="1875"/>
      <c r="L19" s="1875"/>
      <c r="M19" s="1898"/>
      <c r="N19" s="1898"/>
      <c r="O19" s="1898"/>
      <c r="P19" s="1898"/>
      <c r="Q19" s="1898"/>
      <c r="R19" s="1898"/>
      <c r="S19" s="1898"/>
      <c r="T19" s="1898"/>
      <c r="U19" s="1898"/>
      <c r="V19" s="1898"/>
      <c r="W19" s="1898"/>
      <c r="X19" s="1898"/>
      <c r="Y19" s="1659"/>
      <c r="Z19" s="1875"/>
      <c r="AA19" s="1876"/>
      <c r="AB19" s="1669"/>
      <c r="AC19" s="1669"/>
      <c r="AD19" s="1669"/>
      <c r="AE19" s="1669"/>
      <c r="AF19" s="1193"/>
      <c r="AG19" s="1456"/>
      <c r="AH19" s="1456"/>
      <c r="AI19" s="1456"/>
      <c r="AJ19" s="1456"/>
      <c r="AK19" s="1456"/>
      <c r="AL19" s="1456"/>
      <c r="AM19" s="1456"/>
      <c r="AN19" s="1456"/>
      <c r="AO19" s="1187"/>
      <c r="AP19" s="1187"/>
      <c r="AQ19" s="1187"/>
      <c r="CA19" s="1467"/>
      <c r="CB19" s="1467"/>
      <c r="CC19" s="1467" t="str">
        <f t="shared" si="1"/>
        <v/>
      </c>
      <c r="CD19" s="1467" t="str">
        <f t="shared" si="2"/>
        <v/>
      </c>
      <c r="CE19" s="1467"/>
      <c r="CF19" s="1467"/>
      <c r="CG19" s="1468"/>
      <c r="CH19" s="1465"/>
      <c r="CI19" s="1465"/>
      <c r="CJ19" s="1465"/>
      <c r="CK19" s="1465"/>
      <c r="CL19" s="1465"/>
      <c r="CM19" s="1465"/>
      <c r="CN19" s="1465"/>
      <c r="CO19" s="1465"/>
    </row>
    <row r="20" spans="1:93" x14ac:dyDescent="0.25">
      <c r="A20" s="10303"/>
      <c r="B20" s="8513" t="s">
        <v>490</v>
      </c>
      <c r="C20" s="2396" t="s">
        <v>698</v>
      </c>
      <c r="D20" s="1605">
        <f t="shared" si="0"/>
        <v>0</v>
      </c>
      <c r="E20" s="1332"/>
      <c r="F20" s="1703"/>
      <c r="G20" s="1703"/>
      <c r="H20" s="1703"/>
      <c r="I20" s="914"/>
      <c r="J20" s="1618"/>
      <c r="K20" s="1703"/>
      <c r="L20" s="1703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43"/>
      <c r="Z20" s="1703"/>
      <c r="AA20" s="1736"/>
      <c r="AB20" s="914"/>
      <c r="AC20" s="914"/>
      <c r="AD20" s="914"/>
      <c r="AE20" s="914"/>
      <c r="AF20" s="1193"/>
      <c r="AG20" s="1456"/>
      <c r="AH20" s="1456"/>
      <c r="AI20" s="1456"/>
      <c r="AJ20" s="1456"/>
      <c r="AK20" s="1456"/>
      <c r="AL20" s="1456"/>
      <c r="AM20" s="1456"/>
      <c r="AN20" s="1456"/>
      <c r="AO20" s="1187"/>
      <c r="AP20" s="1187"/>
      <c r="AQ20" s="1187"/>
      <c r="CA20" s="1467"/>
      <c r="CB20" s="1467"/>
      <c r="CC20" s="1467" t="str">
        <f t="shared" si="1"/>
        <v/>
      </c>
      <c r="CD20" s="1467" t="str">
        <f t="shared" si="2"/>
        <v/>
      </c>
      <c r="CE20" s="1467"/>
      <c r="CF20" s="1467"/>
      <c r="CG20" s="1468"/>
      <c r="CH20" s="1465"/>
      <c r="CI20" s="1465"/>
      <c r="CJ20" s="1465"/>
      <c r="CK20" s="1465"/>
      <c r="CL20" s="1465"/>
      <c r="CM20" s="1465"/>
      <c r="CN20" s="1465"/>
      <c r="CO20" s="1465"/>
    </row>
    <row r="21" spans="1:93" x14ac:dyDescent="0.25">
      <c r="A21" s="10303"/>
      <c r="B21" s="8125"/>
      <c r="C21" s="2397" t="s">
        <v>699</v>
      </c>
      <c r="D21" s="109">
        <f t="shared" si="0"/>
        <v>0</v>
      </c>
      <c r="E21" s="1694"/>
      <c r="F21" s="1695"/>
      <c r="G21" s="1695"/>
      <c r="H21" s="1695"/>
      <c r="I21" s="1677"/>
      <c r="J21" s="1698"/>
      <c r="K21" s="1695"/>
      <c r="L21" s="1695"/>
      <c r="M21" s="1723"/>
      <c r="N21" s="1723"/>
      <c r="O21" s="1723"/>
      <c r="P21" s="1723"/>
      <c r="Q21" s="1723"/>
      <c r="R21" s="1723"/>
      <c r="S21" s="1723"/>
      <c r="T21" s="1723"/>
      <c r="U21" s="1723"/>
      <c r="V21" s="1723"/>
      <c r="W21" s="1723"/>
      <c r="X21" s="1723"/>
      <c r="Y21" s="1724"/>
      <c r="Z21" s="1695"/>
      <c r="AA21" s="1671"/>
      <c r="AB21" s="1677"/>
      <c r="AC21" s="1677"/>
      <c r="AD21" s="1677"/>
      <c r="AE21" s="1677"/>
      <c r="AF21" s="1193"/>
      <c r="AG21" s="1456"/>
      <c r="AH21" s="1456"/>
      <c r="AI21" s="1456"/>
      <c r="AJ21" s="1456"/>
      <c r="AK21" s="1456"/>
      <c r="AL21" s="1456"/>
      <c r="AM21" s="1456"/>
      <c r="AN21" s="1456"/>
      <c r="AO21" s="1187"/>
      <c r="AP21" s="1187"/>
      <c r="AQ21" s="1187"/>
      <c r="CA21" s="1467"/>
      <c r="CB21" s="1467"/>
      <c r="CC21" s="1467" t="str">
        <f t="shared" si="1"/>
        <v/>
      </c>
      <c r="CD21" s="1467" t="str">
        <f t="shared" si="2"/>
        <v/>
      </c>
      <c r="CE21" s="1467"/>
      <c r="CF21" s="1467"/>
      <c r="CG21" s="1468"/>
      <c r="CH21" s="1465"/>
      <c r="CI21" s="1465"/>
      <c r="CJ21" s="1465"/>
      <c r="CK21" s="1465"/>
      <c r="CL21" s="1465"/>
      <c r="CM21" s="1465"/>
      <c r="CN21" s="1465"/>
      <c r="CO21" s="1465"/>
    </row>
    <row r="22" spans="1:93" x14ac:dyDescent="0.25">
      <c r="A22" s="10304"/>
      <c r="B22" s="8274"/>
      <c r="C22" s="1849" t="s">
        <v>2343</v>
      </c>
      <c r="D22" s="1878">
        <f t="shared" si="0"/>
        <v>0</v>
      </c>
      <c r="E22" s="1880"/>
      <c r="F22" s="1871"/>
      <c r="G22" s="1871"/>
      <c r="H22" s="1871"/>
      <c r="I22" s="1881"/>
      <c r="J22" s="1891"/>
      <c r="K22" s="1871"/>
      <c r="L22" s="1871"/>
      <c r="M22" s="1897"/>
      <c r="N22" s="1897"/>
      <c r="O22" s="1897"/>
      <c r="P22" s="1897"/>
      <c r="Q22" s="1897"/>
      <c r="R22" s="1897"/>
      <c r="S22" s="1897"/>
      <c r="T22" s="1897"/>
      <c r="U22" s="1897"/>
      <c r="V22" s="1897"/>
      <c r="W22" s="1897"/>
      <c r="X22" s="1897"/>
      <c r="Y22" s="1896"/>
      <c r="Z22" s="1871"/>
      <c r="AA22" s="1872"/>
      <c r="AB22" s="1881"/>
      <c r="AC22" s="1881"/>
      <c r="AD22" s="1881"/>
      <c r="AE22" s="1881"/>
      <c r="AF22" s="1193"/>
      <c r="AG22" s="1456"/>
      <c r="AH22" s="1456"/>
      <c r="AI22" s="1456"/>
      <c r="AJ22" s="1456"/>
      <c r="AK22" s="1456"/>
      <c r="AL22" s="1456"/>
      <c r="AM22" s="1456"/>
      <c r="AN22" s="1456"/>
      <c r="AO22" s="1187"/>
      <c r="AP22" s="1187"/>
      <c r="AQ22" s="1187"/>
      <c r="CA22" s="1467"/>
      <c r="CB22" s="1467"/>
      <c r="CC22" s="1467" t="str">
        <f t="shared" si="1"/>
        <v/>
      </c>
      <c r="CD22" s="1467" t="str">
        <f t="shared" si="2"/>
        <v/>
      </c>
      <c r="CE22" s="1467"/>
      <c r="CF22" s="1467"/>
      <c r="CG22" s="1468"/>
      <c r="CH22" s="1465"/>
      <c r="CI22" s="1465"/>
      <c r="CJ22" s="1465"/>
      <c r="CK22" s="1465"/>
      <c r="CL22" s="1465"/>
      <c r="CM22" s="1465"/>
      <c r="CN22" s="1465"/>
      <c r="CO22" s="1465"/>
    </row>
    <row r="23" spans="1:93" x14ac:dyDescent="0.25">
      <c r="A23" s="10303"/>
      <c r="B23" s="8514"/>
      <c r="C23" s="1850" t="s">
        <v>2344</v>
      </c>
      <c r="D23" s="1666">
        <f t="shared" si="0"/>
        <v>0</v>
      </c>
      <c r="E23" s="1654"/>
      <c r="F23" s="1875"/>
      <c r="G23" s="1875"/>
      <c r="H23" s="1875"/>
      <c r="I23" s="1669"/>
      <c r="J23" s="1699"/>
      <c r="K23" s="1875"/>
      <c r="L23" s="1875"/>
      <c r="M23" s="1898"/>
      <c r="N23" s="1898"/>
      <c r="O23" s="1898"/>
      <c r="P23" s="1898"/>
      <c r="Q23" s="1898"/>
      <c r="R23" s="1898"/>
      <c r="S23" s="1898"/>
      <c r="T23" s="1898"/>
      <c r="U23" s="1898"/>
      <c r="V23" s="1898"/>
      <c r="W23" s="1898"/>
      <c r="X23" s="1898"/>
      <c r="Y23" s="1659"/>
      <c r="Z23" s="1875"/>
      <c r="AA23" s="1876"/>
      <c r="AB23" s="1669"/>
      <c r="AC23" s="1669"/>
      <c r="AD23" s="1669"/>
      <c r="AE23" s="1669"/>
      <c r="AF23" s="1193"/>
      <c r="AG23" s="1456"/>
      <c r="AH23" s="1456"/>
      <c r="AI23" s="1456"/>
      <c r="AJ23" s="1456"/>
      <c r="AK23" s="1456"/>
      <c r="AL23" s="1456"/>
      <c r="AM23" s="1456"/>
      <c r="AN23" s="1456"/>
      <c r="AO23" s="1187"/>
      <c r="AP23" s="1187"/>
      <c r="AQ23" s="1187"/>
      <c r="CA23" s="1467"/>
      <c r="CB23" s="1467"/>
      <c r="CC23" s="1467" t="str">
        <f t="shared" si="1"/>
        <v/>
      </c>
      <c r="CD23" s="1467" t="str">
        <f t="shared" si="2"/>
        <v/>
      </c>
      <c r="CE23" s="1467"/>
      <c r="CF23" s="1467"/>
      <c r="CG23" s="1468"/>
      <c r="CH23" s="1465"/>
      <c r="CI23" s="1465"/>
      <c r="CJ23" s="1465"/>
      <c r="CK23" s="1465"/>
      <c r="CL23" s="1465"/>
      <c r="CM23" s="1465"/>
      <c r="CN23" s="1465"/>
      <c r="CO23" s="1465"/>
    </row>
    <row r="24" spans="1:93" x14ac:dyDescent="0.25">
      <c r="A24" s="10303"/>
      <c r="B24" s="10298" t="s">
        <v>598</v>
      </c>
      <c r="C24" s="9101"/>
      <c r="D24" s="1605">
        <f>+E24+F24+G24+H24+I24+Q24+R24+S24+T24</f>
        <v>0</v>
      </c>
      <c r="E24" s="1332"/>
      <c r="F24" s="1703"/>
      <c r="G24" s="1703"/>
      <c r="H24" s="1703"/>
      <c r="I24" s="914"/>
      <c r="J24" s="1768"/>
      <c r="K24" s="1714"/>
      <c r="L24" s="1714"/>
      <c r="M24" s="1714"/>
      <c r="N24" s="1714"/>
      <c r="O24" s="1714"/>
      <c r="P24" s="1768"/>
      <c r="Q24" s="166"/>
      <c r="R24" s="166"/>
      <c r="S24" s="166"/>
      <c r="T24" s="166"/>
      <c r="U24" s="1714"/>
      <c r="V24" s="1714"/>
      <c r="W24" s="1714"/>
      <c r="X24" s="1952"/>
      <c r="Y24" s="2434"/>
      <c r="Z24" s="1847"/>
      <c r="AA24" s="2432"/>
      <c r="AB24" s="914"/>
      <c r="AC24" s="914"/>
      <c r="AD24" s="914"/>
      <c r="AE24" s="914"/>
      <c r="AF24" s="1193"/>
      <c r="AG24" s="1456"/>
      <c r="AH24" s="1456"/>
      <c r="AI24" s="1456"/>
      <c r="AJ24" s="1456"/>
      <c r="AK24" s="1456"/>
      <c r="AL24" s="1456"/>
      <c r="AM24" s="1456"/>
      <c r="AN24" s="1456"/>
      <c r="AO24" s="1187"/>
      <c r="AP24" s="1187"/>
      <c r="AQ24" s="1187"/>
      <c r="CA24" s="1467"/>
      <c r="CB24" s="1467"/>
      <c r="CC24" s="1467" t="str">
        <f t="shared" si="1"/>
        <v/>
      </c>
      <c r="CD24" s="1467" t="str">
        <f t="shared" si="2"/>
        <v/>
      </c>
      <c r="CE24" s="1467"/>
      <c r="CF24" s="1467"/>
      <c r="CG24" s="1468"/>
      <c r="CH24" s="1465"/>
      <c r="CI24" s="1465"/>
      <c r="CJ24" s="1465"/>
      <c r="CK24" s="1465"/>
      <c r="CL24" s="1465"/>
      <c r="CM24" s="1465"/>
      <c r="CN24" s="1465"/>
      <c r="CO24" s="1465"/>
    </row>
    <row r="25" spans="1:93" ht="22.5" customHeight="1" x14ac:dyDescent="0.25">
      <c r="A25" s="10303"/>
      <c r="B25" s="9169" t="s">
        <v>491</v>
      </c>
      <c r="C25" s="9170"/>
      <c r="D25" s="109">
        <f>SUM(J25:S25)</f>
        <v>0</v>
      </c>
      <c r="E25" s="131"/>
      <c r="F25" s="114"/>
      <c r="G25" s="114"/>
      <c r="H25" s="114"/>
      <c r="I25" s="132"/>
      <c r="J25" s="136"/>
      <c r="K25" s="111"/>
      <c r="L25" s="111"/>
      <c r="M25" s="111"/>
      <c r="N25" s="111"/>
      <c r="O25" s="111"/>
      <c r="P25" s="111"/>
      <c r="Q25" s="111"/>
      <c r="R25" s="111"/>
      <c r="S25" s="111"/>
      <c r="T25" s="338"/>
      <c r="U25" s="338"/>
      <c r="V25" s="338"/>
      <c r="W25" s="338"/>
      <c r="X25" s="338"/>
      <c r="Y25" s="1724"/>
      <c r="Z25" s="1695"/>
      <c r="AA25" s="1671"/>
      <c r="AB25" s="1881"/>
      <c r="AC25" s="1881"/>
      <c r="AD25" s="1881"/>
      <c r="AE25" s="1881"/>
      <c r="AF25" s="1193"/>
      <c r="AG25" s="1456"/>
      <c r="AH25" s="1456"/>
      <c r="AI25" s="1456"/>
      <c r="AJ25" s="1456"/>
      <c r="AK25" s="1456"/>
      <c r="AL25" s="1456"/>
      <c r="AM25" s="1456"/>
      <c r="AN25" s="1456"/>
      <c r="AO25" s="1187"/>
      <c r="AP25" s="1187"/>
      <c r="AQ25" s="1187"/>
      <c r="CA25" s="1467"/>
      <c r="CB25" s="1467"/>
      <c r="CC25" s="1467" t="str">
        <f t="shared" si="1"/>
        <v/>
      </c>
      <c r="CD25" s="1467" t="str">
        <f t="shared" si="2"/>
        <v/>
      </c>
      <c r="CE25" s="1467"/>
      <c r="CF25" s="1467"/>
      <c r="CG25" s="1468"/>
      <c r="CH25" s="1465"/>
      <c r="CI25" s="1465"/>
      <c r="CJ25" s="1465"/>
      <c r="CK25" s="1465"/>
      <c r="CL25" s="1465"/>
      <c r="CM25" s="1465"/>
      <c r="CN25" s="1465"/>
      <c r="CO25" s="1465"/>
    </row>
    <row r="26" spans="1:93" ht="15" customHeight="1" x14ac:dyDescent="0.25">
      <c r="A26" s="10303"/>
      <c r="B26" s="10282" t="s">
        <v>2215</v>
      </c>
      <c r="C26" s="10283"/>
      <c r="D26" s="1725">
        <f>SUM(J26:S26)</f>
        <v>0</v>
      </c>
      <c r="E26" s="2087"/>
      <c r="F26" s="2076"/>
      <c r="G26" s="2076"/>
      <c r="H26" s="2076"/>
      <c r="I26" s="2088"/>
      <c r="J26" s="2060"/>
      <c r="K26" s="1316"/>
      <c r="L26" s="1316"/>
      <c r="M26" s="1316"/>
      <c r="N26" s="1316"/>
      <c r="O26" s="1316"/>
      <c r="P26" s="1316"/>
      <c r="Q26" s="1316"/>
      <c r="R26" s="1316"/>
      <c r="S26" s="1316"/>
      <c r="T26" s="338"/>
      <c r="U26" s="338"/>
      <c r="V26" s="338"/>
      <c r="W26" s="338"/>
      <c r="X26" s="338"/>
      <c r="Y26" s="2433"/>
      <c r="Z26" s="2425"/>
      <c r="AA26" s="1661"/>
      <c r="AB26" s="1881"/>
      <c r="AC26" s="1881"/>
      <c r="AD26" s="1881"/>
      <c r="AE26" s="1881"/>
      <c r="AF26" s="1193"/>
      <c r="AG26" s="1456"/>
      <c r="AH26" s="1456"/>
      <c r="AI26" s="1456"/>
      <c r="AJ26" s="1456"/>
      <c r="AK26" s="1456"/>
      <c r="AL26" s="1456"/>
      <c r="AM26" s="1456"/>
      <c r="AN26" s="1456"/>
      <c r="AO26" s="1187"/>
      <c r="AP26" s="1187"/>
      <c r="AQ26" s="1187"/>
      <c r="CA26" s="1467"/>
      <c r="CB26" s="1467"/>
      <c r="CC26" s="1467" t="str">
        <f t="shared" si="1"/>
        <v/>
      </c>
      <c r="CD26" s="1467" t="str">
        <f t="shared" si="2"/>
        <v/>
      </c>
      <c r="CE26" s="1467"/>
      <c r="CF26" s="1467"/>
      <c r="CG26" s="1468"/>
      <c r="CH26" s="1465"/>
      <c r="CI26" s="1465"/>
      <c r="CJ26" s="1465"/>
      <c r="CK26" s="1465"/>
      <c r="CL26" s="1465"/>
      <c r="CM26" s="1465"/>
      <c r="CN26" s="1465"/>
      <c r="CO26" s="1465"/>
    </row>
    <row r="27" spans="1:93" x14ac:dyDescent="0.25">
      <c r="A27" s="10303"/>
      <c r="B27" s="9961" t="s">
        <v>492</v>
      </c>
      <c r="C27" s="9962"/>
      <c r="D27" s="92">
        <f>SUM(H27:X27)</f>
        <v>0</v>
      </c>
      <c r="E27" s="1996"/>
      <c r="F27" s="2086"/>
      <c r="G27" s="2086"/>
      <c r="H27" s="1989"/>
      <c r="I27" s="2081"/>
      <c r="J27" s="2065"/>
      <c r="K27" s="1989"/>
      <c r="L27" s="1989"/>
      <c r="M27" s="1989"/>
      <c r="N27" s="1989"/>
      <c r="O27" s="1989"/>
      <c r="P27" s="1989"/>
      <c r="Q27" s="1989"/>
      <c r="R27" s="1989"/>
      <c r="S27" s="1989"/>
      <c r="T27" s="1989"/>
      <c r="U27" s="1989"/>
      <c r="V27" s="1989"/>
      <c r="W27" s="1989"/>
      <c r="X27" s="1989"/>
      <c r="Y27" s="2091"/>
      <c r="Z27" s="1989"/>
      <c r="AA27" s="1997"/>
      <c r="AB27" s="2444"/>
      <c r="AC27" s="2081"/>
      <c r="AD27" s="2081"/>
      <c r="AE27" s="2081"/>
      <c r="AF27" s="1193"/>
      <c r="AG27" s="1456"/>
      <c r="AH27" s="1456"/>
      <c r="AI27" s="1456"/>
      <c r="AJ27" s="1456"/>
      <c r="AK27" s="1456"/>
      <c r="AL27" s="1456"/>
      <c r="AM27" s="1456"/>
      <c r="AN27" s="1456"/>
      <c r="AO27" s="1187"/>
      <c r="AP27" s="1187"/>
      <c r="AQ27" s="1187"/>
      <c r="CA27" s="1467"/>
      <c r="CB27" s="1467"/>
      <c r="CC27" s="1467" t="str">
        <f t="shared" si="1"/>
        <v/>
      </c>
      <c r="CD27" s="1467" t="str">
        <f t="shared" si="2"/>
        <v/>
      </c>
      <c r="CE27" s="1467"/>
      <c r="CF27" s="1467"/>
      <c r="CG27" s="1468"/>
      <c r="CH27" s="1465"/>
      <c r="CI27" s="1465"/>
      <c r="CJ27" s="1465"/>
      <c r="CK27" s="1465"/>
      <c r="CL27" s="1465"/>
      <c r="CM27" s="1465"/>
      <c r="CN27" s="1465"/>
      <c r="CO27" s="1465"/>
    </row>
    <row r="28" spans="1:93" x14ac:dyDescent="0.25">
      <c r="A28" s="10303"/>
      <c r="B28" s="8561" t="s">
        <v>493</v>
      </c>
      <c r="C28" s="339" t="s">
        <v>494</v>
      </c>
      <c r="D28" s="329">
        <f>SUM(E28:F28)</f>
        <v>0</v>
      </c>
      <c r="E28" s="1332"/>
      <c r="F28" s="1340"/>
      <c r="G28" s="2075"/>
      <c r="H28" s="2070"/>
      <c r="I28" s="1845"/>
      <c r="J28" s="1768"/>
      <c r="K28" s="2075"/>
      <c r="L28" s="2075"/>
      <c r="M28" s="2075"/>
      <c r="N28" s="2075"/>
      <c r="O28" s="2075"/>
      <c r="P28" s="2075"/>
      <c r="Q28" s="2075"/>
      <c r="R28" s="2075"/>
      <c r="S28" s="2075"/>
      <c r="T28" s="2075"/>
      <c r="U28" s="2075"/>
      <c r="V28" s="2075"/>
      <c r="W28" s="2075"/>
      <c r="X28" s="1952"/>
      <c r="Y28" s="2089"/>
      <c r="Z28" s="2070"/>
      <c r="AA28" s="2090"/>
      <c r="AB28" s="2624"/>
      <c r="AC28" s="2615"/>
      <c r="AD28" s="2615"/>
      <c r="AE28" s="2615"/>
      <c r="AF28" s="1193"/>
      <c r="AG28" s="1456"/>
      <c r="AH28" s="1456"/>
      <c r="AI28" s="1456"/>
      <c r="AJ28" s="1456"/>
      <c r="AK28" s="1456"/>
      <c r="AL28" s="1456"/>
      <c r="AM28" s="1456"/>
      <c r="AN28" s="1456"/>
      <c r="AO28" s="1187"/>
      <c r="AP28" s="1187"/>
      <c r="AQ28" s="1187"/>
      <c r="CA28" s="1467"/>
      <c r="CB28" s="1467"/>
      <c r="CC28" s="1467" t="str">
        <f t="shared" si="1"/>
        <v/>
      </c>
      <c r="CD28" s="1467" t="str">
        <f t="shared" si="2"/>
        <v/>
      </c>
      <c r="CE28" s="1467"/>
      <c r="CF28" s="1467"/>
      <c r="CG28" s="1468"/>
      <c r="CH28" s="1465"/>
      <c r="CI28" s="1465"/>
      <c r="CJ28" s="1465"/>
      <c r="CK28" s="1465"/>
      <c r="CL28" s="1465"/>
      <c r="CM28" s="1465"/>
      <c r="CN28" s="1465"/>
      <c r="CO28" s="1465"/>
    </row>
    <row r="29" spans="1:93" x14ac:dyDescent="0.25">
      <c r="A29" s="10303"/>
      <c r="B29" s="8125"/>
      <c r="C29" s="2206" t="s">
        <v>495</v>
      </c>
      <c r="D29" s="92">
        <f>SUM(E29:G29)</f>
        <v>0</v>
      </c>
      <c r="E29" s="110"/>
      <c r="F29" s="111"/>
      <c r="G29" s="1340"/>
      <c r="H29" s="340"/>
      <c r="I29" s="96"/>
      <c r="J29" s="120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341"/>
      <c r="Y29" s="1745"/>
      <c r="Z29" s="1727"/>
      <c r="AA29" s="1737"/>
      <c r="AB29" s="2568"/>
      <c r="AC29" s="2555"/>
      <c r="AD29" s="2555"/>
      <c r="AE29" s="2555"/>
      <c r="AF29" s="1193"/>
      <c r="AG29" s="1456"/>
      <c r="AH29" s="1456"/>
      <c r="AI29" s="1456"/>
      <c r="AJ29" s="1456"/>
      <c r="AK29" s="1456"/>
      <c r="AL29" s="1456"/>
      <c r="AM29" s="1456"/>
      <c r="AN29" s="1456"/>
      <c r="AO29" s="1187"/>
      <c r="AP29" s="1187"/>
      <c r="AQ29" s="1187"/>
      <c r="CA29" s="1467"/>
      <c r="CB29" s="1467"/>
      <c r="CC29" s="1467" t="str">
        <f t="shared" si="1"/>
        <v/>
      </c>
      <c r="CD29" s="1467" t="str">
        <f t="shared" si="2"/>
        <v/>
      </c>
      <c r="CE29" s="1467"/>
      <c r="CF29" s="1467"/>
      <c r="CG29" s="1468"/>
      <c r="CH29" s="1465"/>
      <c r="CI29" s="1465"/>
      <c r="CJ29" s="1465"/>
      <c r="CK29" s="1465"/>
      <c r="CL29" s="1465"/>
      <c r="CM29" s="1465"/>
      <c r="CN29" s="1465"/>
      <c r="CO29" s="1465"/>
    </row>
    <row r="30" spans="1:93" x14ac:dyDescent="0.25">
      <c r="A30" s="10303"/>
      <c r="B30" s="8562"/>
      <c r="C30" s="2145" t="s">
        <v>70</v>
      </c>
      <c r="D30" s="81">
        <f>SUM(E30:G30)</f>
        <v>0</v>
      </c>
      <c r="E30" s="125"/>
      <c r="F30" s="180"/>
      <c r="G30" s="180"/>
      <c r="H30" s="263"/>
      <c r="I30" s="85"/>
      <c r="J30" s="263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117"/>
      <c r="Y30" s="1746"/>
      <c r="Z30" s="1720"/>
      <c r="AA30" s="1738"/>
      <c r="AB30" s="2498"/>
      <c r="AC30" s="2498"/>
      <c r="AD30" s="2498"/>
      <c r="AE30" s="2498"/>
      <c r="AF30" s="1193"/>
      <c r="AG30" s="1456"/>
      <c r="AH30" s="1456"/>
      <c r="AI30" s="1456"/>
      <c r="AJ30" s="1456"/>
      <c r="AK30" s="1456"/>
      <c r="AL30" s="1456"/>
      <c r="AM30" s="1456"/>
      <c r="AN30" s="1456"/>
      <c r="AO30" s="1187"/>
      <c r="AP30" s="1187"/>
      <c r="AQ30" s="1187"/>
      <c r="CA30" s="1467"/>
      <c r="CB30" s="1467"/>
      <c r="CC30" s="1467" t="str">
        <f t="shared" si="1"/>
        <v/>
      </c>
      <c r="CD30" s="1467" t="str">
        <f t="shared" si="2"/>
        <v/>
      </c>
      <c r="CE30" s="1467"/>
      <c r="CF30" s="1467"/>
      <c r="CG30" s="1468"/>
      <c r="CH30" s="1465"/>
      <c r="CI30" s="1465"/>
      <c r="CJ30" s="1465"/>
      <c r="CK30" s="1465"/>
      <c r="CL30" s="1465"/>
      <c r="CM30" s="1465"/>
      <c r="CN30" s="1465"/>
      <c r="CO30" s="1465"/>
    </row>
    <row r="31" spans="1:93" x14ac:dyDescent="0.25">
      <c r="A31" s="10303"/>
      <c r="B31" s="8561" t="s">
        <v>496</v>
      </c>
      <c r="C31" s="315" t="s">
        <v>497</v>
      </c>
      <c r="D31" s="76">
        <f>SUM(E31:H31)</f>
        <v>0</v>
      </c>
      <c r="E31" s="1901"/>
      <c r="F31" s="1902"/>
      <c r="G31" s="1902"/>
      <c r="H31" s="1902"/>
      <c r="I31" s="343"/>
      <c r="J31" s="119"/>
      <c r="K31" s="79"/>
      <c r="L31" s="79"/>
      <c r="M31" s="344"/>
      <c r="N31" s="344"/>
      <c r="O31" s="344"/>
      <c r="P31" s="344"/>
      <c r="Q31" s="344"/>
      <c r="R31" s="344"/>
      <c r="S31" s="344"/>
      <c r="T31" s="344"/>
      <c r="U31" s="344"/>
      <c r="V31" s="344"/>
      <c r="W31" s="344"/>
      <c r="X31" s="344"/>
      <c r="Y31" s="1744"/>
      <c r="Z31" s="1716"/>
      <c r="AA31" s="1735"/>
      <c r="AB31" s="1730"/>
      <c r="AC31" s="1730"/>
      <c r="AD31" s="1730"/>
      <c r="AE31" s="1730"/>
      <c r="AF31" s="1193"/>
      <c r="AG31" s="1456"/>
      <c r="AH31" s="1456"/>
      <c r="AI31" s="1456"/>
      <c r="AJ31" s="1456"/>
      <c r="AK31" s="1456"/>
      <c r="AL31" s="1456"/>
      <c r="AM31" s="1456"/>
      <c r="AN31" s="1456"/>
      <c r="AO31" s="1187"/>
      <c r="AP31" s="1187"/>
      <c r="AQ31" s="1187"/>
      <c r="CA31" s="1467"/>
      <c r="CB31" s="1467"/>
      <c r="CC31" s="1467" t="str">
        <f t="shared" si="1"/>
        <v/>
      </c>
      <c r="CD31" s="1467" t="str">
        <f t="shared" si="2"/>
        <v/>
      </c>
      <c r="CE31" s="1467"/>
      <c r="CF31" s="1467"/>
      <c r="CG31" s="1468"/>
      <c r="CH31" s="1465"/>
      <c r="CI31" s="1465"/>
      <c r="CJ31" s="1465"/>
      <c r="CK31" s="1465"/>
      <c r="CL31" s="1465"/>
      <c r="CM31" s="1465"/>
      <c r="CN31" s="1465"/>
      <c r="CO31" s="1465"/>
    </row>
    <row r="32" spans="1:93" x14ac:dyDescent="0.25">
      <c r="A32" s="10303"/>
      <c r="B32" s="8125"/>
      <c r="C32" s="2854" t="s">
        <v>498</v>
      </c>
      <c r="D32" s="109">
        <f>SUM(I32+J32)</f>
        <v>0</v>
      </c>
      <c r="E32" s="2733"/>
      <c r="F32" s="2734"/>
      <c r="G32" s="2734"/>
      <c r="H32" s="2734"/>
      <c r="I32" s="144"/>
      <c r="J32" s="136"/>
      <c r="K32" s="114"/>
      <c r="L32" s="114"/>
      <c r="M32" s="338"/>
      <c r="N32" s="338"/>
      <c r="O32" s="338"/>
      <c r="P32" s="338"/>
      <c r="Q32" s="338"/>
      <c r="R32" s="338"/>
      <c r="S32" s="338"/>
      <c r="T32" s="338"/>
      <c r="U32" s="338"/>
      <c r="V32" s="338"/>
      <c r="W32" s="338"/>
      <c r="X32" s="338"/>
      <c r="Y32" s="1745"/>
      <c r="Z32" s="1727"/>
      <c r="AA32" s="1737"/>
      <c r="AB32" s="1677"/>
      <c r="AC32" s="1677"/>
      <c r="AD32" s="1677"/>
      <c r="AE32" s="1677"/>
      <c r="AF32" s="1193"/>
      <c r="AG32" s="1456"/>
      <c r="AH32" s="1456"/>
      <c r="AI32" s="1456"/>
      <c r="AJ32" s="1456"/>
      <c r="AK32" s="1456"/>
      <c r="AL32" s="1456"/>
      <c r="AM32" s="1456"/>
      <c r="AN32" s="1456"/>
      <c r="AO32" s="1187"/>
      <c r="AP32" s="1187"/>
      <c r="AQ32" s="1187"/>
      <c r="CA32" s="1467"/>
      <c r="CB32" s="1467"/>
      <c r="CC32" s="1467" t="str">
        <f t="shared" si="1"/>
        <v/>
      </c>
      <c r="CD32" s="1467" t="str">
        <f t="shared" si="2"/>
        <v/>
      </c>
      <c r="CE32" s="1467"/>
      <c r="CF32" s="1467"/>
      <c r="CG32" s="1468"/>
      <c r="CH32" s="1465"/>
      <c r="CI32" s="1465"/>
      <c r="CJ32" s="1465"/>
      <c r="CK32" s="1465"/>
      <c r="CL32" s="1465"/>
      <c r="CM32" s="1465"/>
      <c r="CN32" s="1465"/>
      <c r="CO32" s="1465"/>
    </row>
    <row r="33" spans="1:93" x14ac:dyDescent="0.25">
      <c r="A33" s="10303"/>
      <c r="B33" s="8562"/>
      <c r="C33" s="2145" t="s">
        <v>70</v>
      </c>
      <c r="D33" s="81">
        <f>SUM(E33:I33)</f>
        <v>0</v>
      </c>
      <c r="E33" s="1689"/>
      <c r="F33" s="753"/>
      <c r="G33" s="753"/>
      <c r="H33" s="753"/>
      <c r="I33" s="127"/>
      <c r="J33" s="263"/>
      <c r="K33" s="84"/>
      <c r="L33" s="84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746"/>
      <c r="Z33" s="1720"/>
      <c r="AA33" s="1738"/>
      <c r="AB33" s="1669"/>
      <c r="AC33" s="1669"/>
      <c r="AD33" s="1669"/>
      <c r="AE33" s="1669"/>
      <c r="AF33" s="1193"/>
      <c r="AG33" s="1456"/>
      <c r="AH33" s="1456"/>
      <c r="AI33" s="1456"/>
      <c r="AJ33" s="1456"/>
      <c r="AK33" s="1456"/>
      <c r="AL33" s="1456"/>
      <c r="AM33" s="1456"/>
      <c r="AN33" s="1456"/>
      <c r="AO33" s="1187"/>
      <c r="AP33" s="1187"/>
      <c r="AQ33" s="1187"/>
      <c r="CA33" s="1467"/>
      <c r="CB33" s="1467"/>
      <c r="CC33" s="1467" t="str">
        <f t="shared" si="1"/>
        <v/>
      </c>
      <c r="CD33" s="1467" t="str">
        <f t="shared" si="2"/>
        <v/>
      </c>
      <c r="CE33" s="1467"/>
      <c r="CF33" s="1467"/>
      <c r="CG33" s="1468"/>
      <c r="CH33" s="1465"/>
      <c r="CI33" s="1465"/>
      <c r="CJ33" s="1465"/>
      <c r="CK33" s="1465"/>
      <c r="CL33" s="1465"/>
      <c r="CM33" s="1465"/>
      <c r="CN33" s="1465"/>
      <c r="CO33" s="1465"/>
    </row>
    <row r="34" spans="1:93" x14ac:dyDescent="0.25">
      <c r="A34" s="10303"/>
      <c r="B34" s="10296" t="s">
        <v>499</v>
      </c>
      <c r="C34" s="10297"/>
      <c r="D34" s="1953">
        <f>SUM(E34:X34)</f>
        <v>0</v>
      </c>
      <c r="E34" s="1954"/>
      <c r="F34" s="1955"/>
      <c r="G34" s="1955"/>
      <c r="H34" s="1955"/>
      <c r="I34" s="1956"/>
      <c r="J34" s="1957"/>
      <c r="K34" s="1955"/>
      <c r="L34" s="1955"/>
      <c r="M34" s="1958"/>
      <c r="N34" s="1958"/>
      <c r="O34" s="1958"/>
      <c r="P34" s="1958"/>
      <c r="Q34" s="1958"/>
      <c r="R34" s="1958"/>
      <c r="S34" s="1958"/>
      <c r="T34" s="1958"/>
      <c r="U34" s="1958"/>
      <c r="V34" s="1958"/>
      <c r="W34" s="1958"/>
      <c r="X34" s="1958"/>
      <c r="Y34" s="1959"/>
      <c r="Z34" s="1955"/>
      <c r="AA34" s="1913"/>
      <c r="AB34" s="1956"/>
      <c r="AC34" s="1956"/>
      <c r="AD34" s="1956"/>
      <c r="AE34" s="1956"/>
      <c r="AF34" s="1193"/>
      <c r="AG34" s="1456"/>
      <c r="AH34" s="1456"/>
      <c r="AI34" s="1456"/>
      <c r="AJ34" s="1456"/>
      <c r="AK34" s="1456"/>
      <c r="AL34" s="1456"/>
      <c r="AM34" s="1456"/>
      <c r="AN34" s="1456"/>
      <c r="AO34" s="1187"/>
      <c r="AP34" s="1187"/>
      <c r="AQ34" s="1187"/>
      <c r="CA34" s="1467"/>
      <c r="CB34" s="1467"/>
      <c r="CC34" s="1467" t="str">
        <f t="shared" si="1"/>
        <v/>
      </c>
      <c r="CD34" s="1467" t="str">
        <f t="shared" si="2"/>
        <v/>
      </c>
      <c r="CE34" s="1467"/>
      <c r="CF34" s="1467"/>
      <c r="CG34" s="1468"/>
      <c r="CH34" s="1465"/>
      <c r="CI34" s="1465"/>
      <c r="CJ34" s="1465"/>
      <c r="CK34" s="1465"/>
      <c r="CL34" s="1465"/>
      <c r="CM34" s="1465"/>
      <c r="CN34" s="1465"/>
      <c r="CO34" s="1465"/>
    </row>
    <row r="35" spans="1:93" x14ac:dyDescent="0.25">
      <c r="A35" s="10303"/>
      <c r="B35" s="8518" t="s">
        <v>500</v>
      </c>
      <c r="C35" s="1846" t="s">
        <v>501</v>
      </c>
      <c r="D35" s="1605">
        <f>SUM(E35:X35)</f>
        <v>0</v>
      </c>
      <c r="E35" s="1332"/>
      <c r="F35" s="1340"/>
      <c r="G35" s="1340"/>
      <c r="H35" s="1340"/>
      <c r="I35" s="914"/>
      <c r="J35" s="1618"/>
      <c r="K35" s="1340"/>
      <c r="L35" s="1340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43"/>
      <c r="Z35" s="1340"/>
      <c r="AA35" s="1339"/>
      <c r="AB35" s="914"/>
      <c r="AC35" s="914"/>
      <c r="AD35" s="914"/>
      <c r="AE35" s="914"/>
      <c r="AF35" s="1193"/>
      <c r="AG35" s="1456"/>
      <c r="AH35" s="1456"/>
      <c r="AI35" s="1456"/>
      <c r="AJ35" s="1456"/>
      <c r="AK35" s="1456"/>
      <c r="AL35" s="1456"/>
      <c r="AM35" s="1456"/>
      <c r="AN35" s="1456"/>
      <c r="AO35" s="1187"/>
      <c r="AP35" s="1187"/>
      <c r="AQ35" s="1187"/>
      <c r="CA35" s="1467"/>
      <c r="CB35" s="1467"/>
      <c r="CC35" s="1467" t="str">
        <f t="shared" si="1"/>
        <v/>
      </c>
      <c r="CD35" s="1467" t="str">
        <f t="shared" si="2"/>
        <v/>
      </c>
      <c r="CE35" s="1467"/>
      <c r="CF35" s="1467"/>
      <c r="CG35" s="1468"/>
      <c r="CH35" s="1465"/>
      <c r="CI35" s="1465"/>
      <c r="CJ35" s="1465"/>
      <c r="CK35" s="1465"/>
      <c r="CL35" s="1465"/>
      <c r="CM35" s="1465"/>
      <c r="CN35" s="1465"/>
      <c r="CO35" s="1465"/>
    </row>
    <row r="36" spans="1:93" x14ac:dyDescent="0.25">
      <c r="A36" s="10303"/>
      <c r="B36" s="10294"/>
      <c r="C36" s="345" t="s">
        <v>502</v>
      </c>
      <c r="D36" s="109">
        <f>SUM(E36:X36)</f>
        <v>0</v>
      </c>
      <c r="E36" s="110"/>
      <c r="F36" s="111"/>
      <c r="G36" s="111"/>
      <c r="H36" s="111"/>
      <c r="I36" s="144"/>
      <c r="J36" s="136"/>
      <c r="K36" s="111"/>
      <c r="L36" s="111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724"/>
      <c r="Z36" s="1695"/>
      <c r="AA36" s="1671"/>
      <c r="AB36" s="1677"/>
      <c r="AC36" s="1677"/>
      <c r="AD36" s="1677"/>
      <c r="AE36" s="1677"/>
      <c r="AF36" s="1193"/>
      <c r="AG36" s="1456"/>
      <c r="AH36" s="1456"/>
      <c r="AI36" s="1456"/>
      <c r="AJ36" s="1456"/>
      <c r="AK36" s="1456"/>
      <c r="AL36" s="1456"/>
      <c r="AM36" s="1456"/>
      <c r="AN36" s="1456"/>
      <c r="AO36" s="1187"/>
      <c r="AP36" s="1187"/>
      <c r="AQ36" s="1187"/>
      <c r="CA36" s="1467"/>
      <c r="CB36" s="1467"/>
      <c r="CC36" s="1467" t="str">
        <f t="shared" si="1"/>
        <v/>
      </c>
      <c r="CD36" s="1467" t="str">
        <f t="shared" si="2"/>
        <v/>
      </c>
      <c r="CE36" s="1467"/>
      <c r="CF36" s="1467"/>
      <c r="CG36" s="1468"/>
      <c r="CH36" s="1465"/>
      <c r="CI36" s="1465"/>
      <c r="CJ36" s="1465"/>
      <c r="CK36" s="1465"/>
      <c r="CL36" s="1465"/>
      <c r="CM36" s="1465"/>
      <c r="CN36" s="1465"/>
      <c r="CO36" s="1465"/>
    </row>
    <row r="37" spans="1:93" x14ac:dyDescent="0.25">
      <c r="A37" s="10303"/>
      <c r="B37" s="10295" t="s">
        <v>622</v>
      </c>
      <c r="C37" s="10295"/>
      <c r="D37" s="109">
        <f>SUM(E37:X37)</f>
        <v>0</v>
      </c>
      <c r="E37" s="110"/>
      <c r="F37" s="111"/>
      <c r="G37" s="111"/>
      <c r="H37" s="111"/>
      <c r="I37" s="144"/>
      <c r="J37" s="136"/>
      <c r="K37" s="111"/>
      <c r="L37" s="111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724"/>
      <c r="Z37" s="1695"/>
      <c r="AA37" s="1671"/>
      <c r="AB37" s="1677"/>
      <c r="AC37" s="1677"/>
      <c r="AD37" s="1677"/>
      <c r="AE37" s="1677"/>
      <c r="AF37" s="1193"/>
      <c r="AG37" s="1456"/>
      <c r="AH37" s="1456"/>
      <c r="AI37" s="1456"/>
      <c r="AJ37" s="1456"/>
      <c r="AK37" s="1456"/>
      <c r="AL37" s="1456"/>
      <c r="AM37" s="1456"/>
      <c r="AN37" s="1456"/>
      <c r="AO37" s="1187"/>
      <c r="AP37" s="1187"/>
      <c r="AQ37" s="1187"/>
      <c r="CA37" s="1467"/>
      <c r="CB37" s="1467"/>
      <c r="CC37" s="1467" t="str">
        <f t="shared" si="1"/>
        <v/>
      </c>
      <c r="CD37" s="1467" t="str">
        <f t="shared" si="2"/>
        <v/>
      </c>
      <c r="CE37" s="1467"/>
      <c r="CF37" s="1467"/>
      <c r="CG37" s="1468"/>
      <c r="CH37" s="1465"/>
      <c r="CI37" s="1465"/>
      <c r="CJ37" s="1465"/>
      <c r="CK37" s="1465"/>
      <c r="CL37" s="1465"/>
      <c r="CM37" s="1465"/>
      <c r="CN37" s="1465"/>
      <c r="CO37" s="1465"/>
    </row>
    <row r="38" spans="1:93" x14ac:dyDescent="0.25">
      <c r="A38" s="10303"/>
      <c r="B38" s="9100" t="s">
        <v>503</v>
      </c>
      <c r="C38" s="9101"/>
      <c r="D38" s="109">
        <f>SUM(E38:X38)</f>
        <v>0</v>
      </c>
      <c r="E38" s="110"/>
      <c r="F38" s="111"/>
      <c r="G38" s="111"/>
      <c r="H38" s="111"/>
      <c r="I38" s="144"/>
      <c r="J38" s="136"/>
      <c r="K38" s="111"/>
      <c r="L38" s="111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724"/>
      <c r="Z38" s="1695"/>
      <c r="AA38" s="1671"/>
      <c r="AB38" s="1677"/>
      <c r="AC38" s="1677"/>
      <c r="AD38" s="1677"/>
      <c r="AE38" s="1677"/>
      <c r="AF38" s="1193"/>
      <c r="AG38" s="1456"/>
      <c r="AH38" s="1456"/>
      <c r="AI38" s="1456"/>
      <c r="AJ38" s="1456"/>
      <c r="AK38" s="1456"/>
      <c r="AL38" s="1456"/>
      <c r="AM38" s="1456"/>
      <c r="AN38" s="1456"/>
      <c r="AO38" s="1187"/>
      <c r="AP38" s="1187"/>
      <c r="AQ38" s="1187"/>
      <c r="CA38" s="1467"/>
      <c r="CB38" s="1467"/>
      <c r="CC38" s="1467" t="str">
        <f t="shared" si="1"/>
        <v/>
      </c>
      <c r="CD38" s="1467" t="str">
        <f t="shared" si="2"/>
        <v/>
      </c>
      <c r="CE38" s="1467"/>
      <c r="CF38" s="1467"/>
      <c r="CG38" s="1468"/>
      <c r="CH38" s="1465"/>
      <c r="CI38" s="1465"/>
      <c r="CJ38" s="1465"/>
      <c r="CK38" s="1465"/>
      <c r="CL38" s="1465"/>
      <c r="CM38" s="1465"/>
      <c r="CN38" s="1465"/>
      <c r="CO38" s="1465"/>
    </row>
    <row r="39" spans="1:93" x14ac:dyDescent="0.25">
      <c r="A39" s="10303"/>
      <c r="B39" s="9169" t="s">
        <v>504</v>
      </c>
      <c r="C39" s="9170"/>
      <c r="D39" s="176">
        <f>SUM(J39:S39)</f>
        <v>0</v>
      </c>
      <c r="E39" s="131"/>
      <c r="F39" s="114"/>
      <c r="G39" s="114"/>
      <c r="H39" s="114"/>
      <c r="I39" s="132"/>
      <c r="J39" s="136"/>
      <c r="K39" s="111"/>
      <c r="L39" s="111"/>
      <c r="M39" s="168"/>
      <c r="N39" s="168"/>
      <c r="O39" s="168"/>
      <c r="P39" s="168"/>
      <c r="Q39" s="168"/>
      <c r="R39" s="168"/>
      <c r="S39" s="168"/>
      <c r="T39" s="338"/>
      <c r="U39" s="338"/>
      <c r="V39" s="338"/>
      <c r="W39" s="338"/>
      <c r="X39" s="338"/>
      <c r="Y39" s="1724"/>
      <c r="Z39" s="1695"/>
      <c r="AA39" s="1671"/>
      <c r="AB39" s="1677"/>
      <c r="AC39" s="1677"/>
      <c r="AD39" s="1677"/>
      <c r="AE39" s="1677"/>
      <c r="AF39" s="1193"/>
      <c r="AG39" s="1456"/>
      <c r="AH39" s="1456"/>
      <c r="AI39" s="1456"/>
      <c r="AJ39" s="1456"/>
      <c r="AK39" s="1456"/>
      <c r="AL39" s="1456"/>
      <c r="AM39" s="1456"/>
      <c r="AN39" s="1456"/>
      <c r="AO39" s="1187"/>
      <c r="AP39" s="1187"/>
      <c r="AQ39" s="1187"/>
      <c r="CA39" s="1467"/>
      <c r="CB39" s="1467"/>
      <c r="CC39" s="1467" t="str">
        <f t="shared" si="1"/>
        <v/>
      </c>
      <c r="CD39" s="1467" t="str">
        <f t="shared" si="2"/>
        <v/>
      </c>
      <c r="CE39" s="1467"/>
      <c r="CF39" s="1467"/>
      <c r="CG39" s="1468"/>
      <c r="CH39" s="1465"/>
      <c r="CI39" s="1465"/>
      <c r="CJ39" s="1465"/>
      <c r="CK39" s="1465"/>
      <c r="CL39" s="1465"/>
      <c r="CM39" s="1465"/>
      <c r="CN39" s="1465"/>
      <c r="CO39" s="1465"/>
    </row>
    <row r="40" spans="1:93" x14ac:dyDescent="0.25">
      <c r="A40" s="10303"/>
      <c r="B40" s="9961" t="s">
        <v>505</v>
      </c>
      <c r="C40" s="9962"/>
      <c r="D40" s="92">
        <f>SUM(E40:X40)</f>
        <v>0</v>
      </c>
      <c r="E40" s="137"/>
      <c r="F40" s="115"/>
      <c r="G40" s="115"/>
      <c r="H40" s="115"/>
      <c r="I40" s="164"/>
      <c r="J40" s="113"/>
      <c r="K40" s="115"/>
      <c r="L40" s="115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657"/>
      <c r="Z40" s="1316"/>
      <c r="AA40" s="1661"/>
      <c r="AB40" s="164"/>
      <c r="AC40" s="164"/>
      <c r="AD40" s="164"/>
      <c r="AE40" s="164"/>
      <c r="AF40" s="1193"/>
      <c r="AG40" s="1456"/>
      <c r="AH40" s="1456"/>
      <c r="AI40" s="1456"/>
      <c r="AJ40" s="1456"/>
      <c r="AK40" s="1456"/>
      <c r="AL40" s="1456"/>
      <c r="AM40" s="1456"/>
      <c r="AN40" s="1456"/>
      <c r="AO40" s="1187"/>
      <c r="AP40" s="1187"/>
      <c r="AQ40" s="1187"/>
      <c r="CA40" s="1467"/>
      <c r="CB40" s="1467"/>
      <c r="CC40" s="1467" t="str">
        <f t="shared" si="1"/>
        <v/>
      </c>
      <c r="CD40" s="1467" t="str">
        <f t="shared" si="2"/>
        <v/>
      </c>
      <c r="CE40" s="1467"/>
      <c r="CF40" s="1467"/>
      <c r="CG40" s="1468"/>
      <c r="CH40" s="1465"/>
      <c r="CI40" s="1465"/>
      <c r="CJ40" s="1465"/>
      <c r="CK40" s="1465"/>
      <c r="CL40" s="1465"/>
      <c r="CM40" s="1465"/>
      <c r="CN40" s="1465"/>
      <c r="CO40" s="1465"/>
    </row>
    <row r="41" spans="1:93" ht="14.45" customHeight="1" x14ac:dyDescent="0.25">
      <c r="A41" s="10303"/>
      <c r="B41" s="9191" t="s">
        <v>506</v>
      </c>
      <c r="C41" s="346" t="s">
        <v>507</v>
      </c>
      <c r="D41" s="76">
        <f>SUM(U41:X41)</f>
        <v>0</v>
      </c>
      <c r="E41" s="77"/>
      <c r="F41" s="79"/>
      <c r="G41" s="79"/>
      <c r="H41" s="79"/>
      <c r="I41" s="343"/>
      <c r="J41" s="11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174"/>
      <c r="V41" s="174"/>
      <c r="W41" s="174"/>
      <c r="X41" s="174"/>
      <c r="Y41" s="1747"/>
      <c r="Z41" s="1718"/>
      <c r="AA41" s="1739"/>
      <c r="AB41" s="1677"/>
      <c r="AC41" s="1677"/>
      <c r="AD41" s="1677"/>
      <c r="AE41" s="1677"/>
      <c r="AF41" s="1193"/>
      <c r="AG41" s="1456"/>
      <c r="AH41" s="1456"/>
      <c r="AI41" s="1456"/>
      <c r="AJ41" s="1456"/>
      <c r="AK41" s="1456"/>
      <c r="AL41" s="1456"/>
      <c r="AM41" s="1456"/>
      <c r="AN41" s="1456"/>
      <c r="AO41" s="1187"/>
      <c r="AP41" s="1187"/>
      <c r="AQ41" s="1187"/>
      <c r="CA41" s="1467"/>
      <c r="CB41" s="1467"/>
      <c r="CC41" s="1467" t="str">
        <f t="shared" si="1"/>
        <v/>
      </c>
      <c r="CD41" s="1467" t="str">
        <f t="shared" si="2"/>
        <v/>
      </c>
      <c r="CG41" s="1468"/>
      <c r="CH41" s="1465"/>
      <c r="CI41" s="1465"/>
      <c r="CJ41" s="1465"/>
      <c r="CK41" s="1465"/>
      <c r="CL41" s="1465"/>
      <c r="CM41" s="1465"/>
      <c r="CN41" s="1465"/>
      <c r="CO41" s="1465"/>
    </row>
    <row r="42" spans="1:93" x14ac:dyDescent="0.25">
      <c r="A42" s="10303"/>
      <c r="B42" s="8274"/>
      <c r="C42" s="347" t="s">
        <v>508</v>
      </c>
      <c r="D42" s="109">
        <f>SUM(U42:X42)</f>
        <v>0</v>
      </c>
      <c r="E42" s="131"/>
      <c r="F42" s="114"/>
      <c r="G42" s="114"/>
      <c r="H42" s="114"/>
      <c r="I42" s="132"/>
      <c r="J42" s="120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68"/>
      <c r="V42" s="168"/>
      <c r="W42" s="168"/>
      <c r="X42" s="168"/>
      <c r="Y42" s="1748"/>
      <c r="Z42" s="1719"/>
      <c r="AA42" s="1740"/>
      <c r="AB42" s="1677"/>
      <c r="AC42" s="1677"/>
      <c r="AD42" s="1677"/>
      <c r="AE42" s="1677"/>
      <c r="AF42" s="1193"/>
      <c r="AG42" s="1456"/>
      <c r="AH42" s="1456"/>
      <c r="AI42" s="1456"/>
      <c r="AJ42" s="1456"/>
      <c r="AK42" s="1456"/>
      <c r="AL42" s="1456"/>
      <c r="AM42" s="1456"/>
      <c r="AN42" s="1456"/>
      <c r="AO42" s="1187"/>
      <c r="AP42" s="1187"/>
      <c r="AQ42" s="1187"/>
      <c r="CA42" s="1467"/>
      <c r="CB42" s="1467"/>
      <c r="CC42" s="1467" t="str">
        <f t="shared" si="1"/>
        <v/>
      </c>
      <c r="CD42" s="1467" t="str">
        <f t="shared" si="2"/>
        <v/>
      </c>
      <c r="CG42" s="1468"/>
      <c r="CH42" s="1465"/>
      <c r="CI42" s="1465"/>
      <c r="CJ42" s="1465"/>
      <c r="CK42" s="1465"/>
      <c r="CL42" s="1465"/>
      <c r="CM42" s="1465"/>
      <c r="CN42" s="1465"/>
      <c r="CO42" s="1465"/>
    </row>
    <row r="43" spans="1:93" ht="22.5" x14ac:dyDescent="0.25">
      <c r="A43" s="10303"/>
      <c r="B43" s="8274"/>
      <c r="C43" s="2837" t="s">
        <v>509</v>
      </c>
      <c r="D43" s="2787">
        <f>SUM(U43:X43)</f>
        <v>0</v>
      </c>
      <c r="E43" s="2461"/>
      <c r="F43" s="2487"/>
      <c r="G43" s="2487"/>
      <c r="H43" s="2487"/>
      <c r="I43" s="2838"/>
      <c r="J43" s="2645"/>
      <c r="K43" s="2487"/>
      <c r="L43" s="2487"/>
      <c r="M43" s="2487"/>
      <c r="N43" s="2487"/>
      <c r="O43" s="2487"/>
      <c r="P43" s="2487"/>
      <c r="Q43" s="2487"/>
      <c r="R43" s="2487"/>
      <c r="S43" s="2487"/>
      <c r="T43" s="2487"/>
      <c r="U43" s="2584"/>
      <c r="V43" s="2584"/>
      <c r="W43" s="2584"/>
      <c r="X43" s="2584"/>
      <c r="Y43" s="2839"/>
      <c r="Z43" s="2487"/>
      <c r="AA43" s="2492"/>
      <c r="AB43" s="2568"/>
      <c r="AC43" s="2729"/>
      <c r="AD43" s="2729"/>
      <c r="AE43" s="2729"/>
      <c r="AF43" s="1193"/>
      <c r="AG43" s="1456"/>
      <c r="AH43" s="1456"/>
      <c r="AI43" s="1456"/>
      <c r="AJ43" s="1456"/>
      <c r="AK43" s="1456"/>
      <c r="AL43" s="1456"/>
      <c r="AM43" s="1456"/>
      <c r="AN43" s="1456"/>
      <c r="AO43" s="1187"/>
      <c r="AP43" s="1187"/>
      <c r="AQ43" s="1187"/>
      <c r="CA43" s="1467"/>
      <c r="CB43" s="1467"/>
      <c r="CC43" s="1467" t="str">
        <f t="shared" si="1"/>
        <v/>
      </c>
      <c r="CD43" s="1467" t="str">
        <f t="shared" si="2"/>
        <v/>
      </c>
      <c r="CG43" s="1468"/>
      <c r="CH43" s="1465"/>
      <c r="CI43" s="1465"/>
      <c r="CJ43" s="1465"/>
      <c r="CK43" s="1465"/>
      <c r="CL43" s="1465"/>
      <c r="CM43" s="1465"/>
      <c r="CN43" s="1465"/>
      <c r="CO43" s="1465"/>
    </row>
    <row r="44" spans="1:93" x14ac:dyDescent="0.25">
      <c r="A44" s="10304"/>
      <c r="B44" s="8274"/>
      <c r="C44" s="3685" t="s">
        <v>2696</v>
      </c>
      <c r="D44" s="2787">
        <f>SUM(U44:X44)</f>
        <v>0</v>
      </c>
      <c r="E44" s="1705"/>
      <c r="F44" s="2070"/>
      <c r="G44" s="2070"/>
      <c r="H44" s="2070"/>
      <c r="I44" s="1706"/>
      <c r="J44" s="2648"/>
      <c r="K44" s="2070"/>
      <c r="L44" s="2070"/>
      <c r="M44" s="2835"/>
      <c r="N44" s="2835"/>
      <c r="O44" s="2835"/>
      <c r="P44" s="2835"/>
      <c r="Q44" s="2835"/>
      <c r="R44" s="2835"/>
      <c r="S44" s="2835"/>
      <c r="T44" s="2835"/>
      <c r="U44" s="2499"/>
      <c r="V44" s="2499"/>
      <c r="W44" s="2499"/>
      <c r="X44" s="2499"/>
      <c r="Y44" s="2089"/>
      <c r="Z44" s="2070"/>
      <c r="AA44" s="2836"/>
      <c r="AB44" s="1145"/>
      <c r="AC44" s="1145"/>
      <c r="AD44" s="1145"/>
      <c r="AE44" s="1145"/>
      <c r="AF44" s="1193"/>
      <c r="AG44" s="1456"/>
      <c r="AH44" s="1456"/>
      <c r="AI44" s="1456"/>
      <c r="AJ44" s="1456"/>
      <c r="AK44" s="1456"/>
      <c r="AL44" s="1456"/>
      <c r="AM44" s="1456"/>
      <c r="AN44" s="1456"/>
      <c r="AO44" s="1187"/>
      <c r="AP44" s="1187"/>
      <c r="AQ44" s="1187"/>
      <c r="CA44" s="1467"/>
      <c r="CB44" s="1467"/>
      <c r="CC44" s="1467" t="str">
        <f t="shared" si="1"/>
        <v/>
      </c>
      <c r="CD44" s="1467" t="str">
        <f t="shared" si="2"/>
        <v/>
      </c>
      <c r="CG44" s="1468"/>
      <c r="CH44" s="1465"/>
      <c r="CI44" s="1465"/>
      <c r="CJ44" s="1465"/>
      <c r="CK44" s="1465"/>
      <c r="CL44" s="1465"/>
      <c r="CM44" s="1465"/>
      <c r="CN44" s="1465"/>
      <c r="CO44" s="1465"/>
    </row>
    <row r="45" spans="1:93" x14ac:dyDescent="0.25">
      <c r="A45" s="10304"/>
      <c r="B45" s="9192"/>
      <c r="C45" s="3685" t="s">
        <v>2697</v>
      </c>
      <c r="D45" s="2787">
        <f>SUM(U45:X45)</f>
        <v>0</v>
      </c>
      <c r="E45" s="1705"/>
      <c r="F45" s="2070"/>
      <c r="G45" s="2070"/>
      <c r="H45" s="2070"/>
      <c r="I45" s="1706"/>
      <c r="J45" s="2648"/>
      <c r="K45" s="2070"/>
      <c r="L45" s="2070"/>
      <c r="M45" s="2835"/>
      <c r="N45" s="2835"/>
      <c r="O45" s="2835"/>
      <c r="P45" s="2835"/>
      <c r="Q45" s="2835"/>
      <c r="R45" s="2835"/>
      <c r="S45" s="2835"/>
      <c r="T45" s="2835"/>
      <c r="U45" s="2499"/>
      <c r="V45" s="2499"/>
      <c r="W45" s="2499"/>
      <c r="X45" s="2499"/>
      <c r="Y45" s="2089"/>
      <c r="Z45" s="2070"/>
      <c r="AA45" s="2836"/>
      <c r="AB45" s="1145"/>
      <c r="AC45" s="1145"/>
      <c r="AD45" s="1145"/>
      <c r="AE45" s="1145"/>
      <c r="AF45" s="1193"/>
      <c r="AG45" s="1456"/>
      <c r="AH45" s="1456"/>
      <c r="AI45" s="1456"/>
      <c r="AJ45" s="1456"/>
      <c r="AK45" s="1456"/>
      <c r="AL45" s="1456"/>
      <c r="AM45" s="1456"/>
      <c r="AN45" s="1456"/>
      <c r="AO45" s="1187"/>
      <c r="AP45" s="1187"/>
      <c r="AQ45" s="1187"/>
      <c r="CA45" s="1467"/>
      <c r="CB45" s="1467"/>
      <c r="CC45" s="1467" t="str">
        <f t="shared" si="1"/>
        <v/>
      </c>
      <c r="CD45" s="1467" t="str">
        <f t="shared" si="2"/>
        <v/>
      </c>
      <c r="CG45" s="1468"/>
      <c r="CH45" s="1465"/>
      <c r="CI45" s="1465"/>
      <c r="CJ45" s="1465"/>
      <c r="CK45" s="1465"/>
      <c r="CL45" s="1465"/>
      <c r="CM45" s="1465"/>
      <c r="CN45" s="1465"/>
      <c r="CO45" s="1465"/>
    </row>
    <row r="46" spans="1:93" x14ac:dyDescent="0.25">
      <c r="A46" s="10303"/>
      <c r="B46" s="10284" t="s">
        <v>510</v>
      </c>
      <c r="C46" s="10285"/>
      <c r="D46" s="76">
        <f>SUM(E46:X46)</f>
        <v>0</v>
      </c>
      <c r="E46" s="106"/>
      <c r="F46" s="89"/>
      <c r="G46" s="89"/>
      <c r="H46" s="89"/>
      <c r="I46" s="304"/>
      <c r="J46" s="134"/>
      <c r="K46" s="89"/>
      <c r="L46" s="89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7"/>
      <c r="Z46" s="1718"/>
      <c r="AA46" s="1739"/>
      <c r="AB46" s="2475"/>
      <c r="AC46" s="2475"/>
      <c r="AD46" s="2475"/>
      <c r="AE46" s="2475"/>
      <c r="AF46" s="1193"/>
      <c r="AG46" s="1456"/>
      <c r="AH46" s="1456"/>
      <c r="AI46" s="1456"/>
      <c r="AJ46" s="1456"/>
      <c r="AK46" s="1456"/>
      <c r="AL46" s="1456"/>
      <c r="AM46" s="1456"/>
      <c r="AN46" s="1456"/>
      <c r="AO46" s="1187"/>
      <c r="AP46" s="1187"/>
      <c r="AQ46" s="1187"/>
      <c r="CA46" s="1467"/>
      <c r="CB46" s="1467"/>
      <c r="CC46" s="1467" t="str">
        <f t="shared" si="1"/>
        <v/>
      </c>
      <c r="CD46" s="1467" t="str">
        <f t="shared" si="2"/>
        <v/>
      </c>
      <c r="CG46" s="1468"/>
      <c r="CH46" s="1465"/>
      <c r="CI46" s="1465"/>
      <c r="CJ46" s="1465"/>
      <c r="CK46" s="1465"/>
      <c r="CL46" s="1465"/>
      <c r="CM46" s="1465"/>
      <c r="CN46" s="1465"/>
      <c r="CO46" s="1465"/>
    </row>
    <row r="47" spans="1:93" ht="20.25" customHeight="1" x14ac:dyDescent="0.25">
      <c r="A47" s="10303"/>
      <c r="B47" s="10286" t="s">
        <v>511</v>
      </c>
      <c r="C47" s="10287"/>
      <c r="D47" s="336">
        <f>SUM(E47:X47)</f>
        <v>0</v>
      </c>
      <c r="E47" s="148"/>
      <c r="F47" s="95"/>
      <c r="G47" s="95"/>
      <c r="H47" s="95"/>
      <c r="I47" s="337"/>
      <c r="J47" s="180"/>
      <c r="K47" s="95"/>
      <c r="L47" s="95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749"/>
      <c r="Z47" s="799"/>
      <c r="AA47" s="1741"/>
      <c r="AB47" s="1677"/>
      <c r="AC47" s="1677"/>
      <c r="AD47" s="1677"/>
      <c r="AE47" s="1677"/>
      <c r="AF47" s="1193"/>
      <c r="AG47" s="1456"/>
      <c r="AH47" s="1456"/>
      <c r="AI47" s="1456"/>
      <c r="AJ47" s="1456"/>
      <c r="AK47" s="1456"/>
      <c r="AL47" s="1456"/>
      <c r="AM47" s="1456"/>
      <c r="AN47" s="1456"/>
      <c r="AO47" s="1187"/>
      <c r="AP47" s="1187"/>
      <c r="AQ47" s="1187"/>
      <c r="CA47" s="1467"/>
      <c r="CB47" s="1467"/>
      <c r="CC47" s="1467" t="str">
        <f t="shared" si="1"/>
        <v/>
      </c>
      <c r="CD47" s="1467" t="str">
        <f t="shared" si="2"/>
        <v/>
      </c>
      <c r="CG47" s="1468"/>
      <c r="CH47" s="1465"/>
      <c r="CI47" s="1465"/>
      <c r="CJ47" s="1465"/>
      <c r="CK47" s="1465"/>
      <c r="CL47" s="1465"/>
      <c r="CM47" s="1465"/>
      <c r="CN47" s="1465"/>
      <c r="CO47" s="1465"/>
    </row>
    <row r="48" spans="1:93" x14ac:dyDescent="0.25">
      <c r="A48" s="10306"/>
      <c r="B48" s="10288" t="s">
        <v>24</v>
      </c>
      <c r="C48" s="10289"/>
      <c r="D48" s="348">
        <f>SUM(E48:X48)</f>
        <v>0</v>
      </c>
      <c r="E48" s="310">
        <f>SUM(E11:E47)</f>
        <v>0</v>
      </c>
      <c r="F48" s="349">
        <f t="shared" ref="F48:AA48" si="3">SUM(F11:F47)</f>
        <v>0</v>
      </c>
      <c r="G48" s="349">
        <f t="shared" si="3"/>
        <v>0</v>
      </c>
      <c r="H48" s="349">
        <f t="shared" si="3"/>
        <v>0</v>
      </c>
      <c r="I48" s="350">
        <f t="shared" si="3"/>
        <v>0</v>
      </c>
      <c r="J48" s="351">
        <f t="shared" si="3"/>
        <v>0</v>
      </c>
      <c r="K48" s="349">
        <f t="shared" si="3"/>
        <v>0</v>
      </c>
      <c r="L48" s="349">
        <f t="shared" si="3"/>
        <v>0</v>
      </c>
      <c r="M48" s="352">
        <f t="shared" si="3"/>
        <v>0</v>
      </c>
      <c r="N48" s="352">
        <f t="shared" si="3"/>
        <v>0</v>
      </c>
      <c r="O48" s="352">
        <f t="shared" si="3"/>
        <v>0</v>
      </c>
      <c r="P48" s="352">
        <f t="shared" si="3"/>
        <v>0</v>
      </c>
      <c r="Q48" s="352">
        <f t="shared" si="3"/>
        <v>0</v>
      </c>
      <c r="R48" s="352">
        <f t="shared" si="3"/>
        <v>0</v>
      </c>
      <c r="S48" s="352">
        <f t="shared" si="3"/>
        <v>0</v>
      </c>
      <c r="T48" s="352">
        <f t="shared" si="3"/>
        <v>0</v>
      </c>
      <c r="U48" s="352">
        <f t="shared" si="3"/>
        <v>0</v>
      </c>
      <c r="V48" s="352">
        <f t="shared" si="3"/>
        <v>0</v>
      </c>
      <c r="W48" s="352">
        <f>SUM(W11:W47)</f>
        <v>0</v>
      </c>
      <c r="X48" s="352">
        <f t="shared" si="3"/>
        <v>0</v>
      </c>
      <c r="Y48" s="353">
        <f>SUM(Y11:Y47)</f>
        <v>0</v>
      </c>
      <c r="Z48" s="1734">
        <f t="shared" si="3"/>
        <v>0</v>
      </c>
      <c r="AA48" s="1734">
        <f t="shared" si="3"/>
        <v>0</v>
      </c>
      <c r="AB48" s="350">
        <f>SUM(AB11:AB47)</f>
        <v>0</v>
      </c>
      <c r="AC48" s="350">
        <f>SUM(AC11:AC47)</f>
        <v>0</v>
      </c>
      <c r="AD48" s="350">
        <f>SUM(AD11:AD47)</f>
        <v>0</v>
      </c>
      <c r="AE48" s="350">
        <f>SUM(AE11:AE47)</f>
        <v>0</v>
      </c>
      <c r="AF48" s="1187"/>
      <c r="AG48" s="1187"/>
      <c r="AH48" s="1187"/>
      <c r="AI48" s="1187"/>
      <c r="AJ48" s="1187"/>
      <c r="AK48" s="1187"/>
      <c r="AL48" s="1187"/>
      <c r="AM48" s="1187"/>
      <c r="AN48" s="1187"/>
      <c r="AO48" s="1187"/>
      <c r="AP48" s="1187"/>
      <c r="AQ48" s="1187"/>
      <c r="CG48" s="1468"/>
      <c r="CH48" s="1465"/>
      <c r="CI48" s="1465"/>
      <c r="CJ48" s="1465"/>
      <c r="CK48" s="1465"/>
      <c r="CL48" s="1465"/>
      <c r="CM48" s="1465"/>
      <c r="CN48" s="1465"/>
      <c r="CO48" s="1465"/>
    </row>
    <row r="49" spans="1:93" ht="32.1" customHeight="1" x14ac:dyDescent="0.25">
      <c r="A49" s="365" t="s">
        <v>512</v>
      </c>
      <c r="B49" s="354"/>
      <c r="C49" s="354"/>
      <c r="D49" s="354"/>
      <c r="E49" s="354"/>
      <c r="F49" s="354"/>
      <c r="G49" s="355"/>
      <c r="H49" s="355"/>
      <c r="I49" s="214"/>
      <c r="J49" s="214"/>
      <c r="K49" s="214"/>
      <c r="L49" s="214"/>
      <c r="M49" s="214"/>
      <c r="N49" s="214"/>
      <c r="O49" s="71"/>
      <c r="P49" s="214"/>
      <c r="Q49" s="214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187"/>
      <c r="AE49" s="1187"/>
      <c r="AF49" s="1187"/>
      <c r="AG49" s="1187"/>
      <c r="AH49" s="1187"/>
      <c r="AI49" s="1187"/>
      <c r="AJ49" s="1187"/>
      <c r="AK49" s="1187"/>
      <c r="AL49" s="1187"/>
      <c r="AM49" s="1187"/>
      <c r="AN49" s="1187"/>
      <c r="AO49" s="1187"/>
      <c r="AP49" s="1187"/>
      <c r="AQ49" s="1187"/>
      <c r="AR49" s="1187"/>
      <c r="CG49" s="1465"/>
      <c r="CH49" s="1465"/>
      <c r="CI49" s="1465"/>
      <c r="CJ49" s="1465"/>
      <c r="CK49" s="1465"/>
      <c r="CL49" s="1465"/>
      <c r="CM49" s="1465"/>
      <c r="CN49" s="1465"/>
      <c r="CO49" s="1465"/>
    </row>
    <row r="50" spans="1:93" ht="63.75" customHeight="1" x14ac:dyDescent="0.25">
      <c r="A50" s="8563" t="s">
        <v>473</v>
      </c>
      <c r="B50" s="8564"/>
      <c r="C50" s="8565"/>
      <c r="D50" s="2210" t="s">
        <v>24</v>
      </c>
      <c r="E50" s="356" t="s">
        <v>133</v>
      </c>
      <c r="F50" s="2214" t="s">
        <v>513</v>
      </c>
      <c r="G50" s="2214" t="s">
        <v>514</v>
      </c>
      <c r="H50" s="308" t="s">
        <v>515</v>
      </c>
      <c r="I50" s="1470" t="s">
        <v>516</v>
      </c>
      <c r="J50" s="214"/>
      <c r="K50" s="214"/>
      <c r="L50" s="214"/>
      <c r="M50" s="214"/>
      <c r="N50" s="214"/>
      <c r="O50" s="214"/>
      <c r="P50" s="214"/>
      <c r="Q50" s="214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187"/>
      <c r="AE50" s="1187"/>
      <c r="AF50" s="1187"/>
      <c r="AG50" s="1187"/>
      <c r="AH50" s="1187"/>
      <c r="AI50" s="1187"/>
      <c r="AJ50" s="1187"/>
      <c r="AK50" s="1187"/>
      <c r="AL50" s="1187"/>
      <c r="AM50" s="1187"/>
      <c r="AN50" s="1187"/>
      <c r="AO50" s="1187"/>
      <c r="AP50" s="1187"/>
      <c r="AQ50" s="1187"/>
      <c r="AR50" s="1187"/>
      <c r="CG50" s="1465"/>
      <c r="CH50" s="1465"/>
      <c r="CI50" s="1465"/>
      <c r="CJ50" s="1465"/>
      <c r="CK50" s="1465"/>
      <c r="CL50" s="1465"/>
      <c r="CM50" s="1465"/>
      <c r="CN50" s="1465"/>
      <c r="CO50" s="1465"/>
    </row>
    <row r="51" spans="1:93" x14ac:dyDescent="0.25">
      <c r="A51" s="10302" t="s">
        <v>479</v>
      </c>
      <c r="B51" s="10307" t="s">
        <v>480</v>
      </c>
      <c r="C51" s="10308"/>
      <c r="D51" s="329">
        <f>SUM(E51:H51)</f>
        <v>0</v>
      </c>
      <c r="E51" s="330"/>
      <c r="F51" s="331"/>
      <c r="G51" s="331"/>
      <c r="H51" s="357"/>
      <c r="I51" s="358"/>
      <c r="J51" s="1193" t="str">
        <f>CA51</f>
        <v/>
      </c>
      <c r="K51" s="1456"/>
      <c r="L51" s="1456"/>
      <c r="M51" s="1456"/>
      <c r="N51" s="1456"/>
      <c r="O51" s="1456"/>
      <c r="P51" s="1456"/>
      <c r="Q51" s="1456"/>
      <c r="R51" s="1456"/>
      <c r="S51" s="1456"/>
      <c r="T51" s="1456"/>
      <c r="U51" s="1456"/>
      <c r="V51" s="288"/>
      <c r="W51" s="140"/>
      <c r="X51" s="140"/>
      <c r="Y51" s="140"/>
      <c r="Z51" s="140"/>
      <c r="AA51" s="140"/>
      <c r="AB51" s="140"/>
      <c r="AC51" s="140"/>
      <c r="CA51" s="1467" t="str">
        <f>IF(CG51=1,"* En esta área en Sección A se consignan personas pero falta registrar la Sesión. ","")</f>
        <v/>
      </c>
      <c r="CB51" s="1467"/>
      <c r="CC51" s="1467"/>
      <c r="CD51" s="1467"/>
      <c r="CE51" s="1467"/>
      <c r="CF51" s="1467"/>
      <c r="CG51" s="1468">
        <f t="shared" ref="CG51:CG59" si="4">IF(AND(D51=0,D11&lt;&gt;0),1,0)</f>
        <v>0</v>
      </c>
      <c r="CH51" s="1465"/>
      <c r="CI51" s="1465"/>
      <c r="CJ51" s="1465"/>
      <c r="CK51" s="1465"/>
      <c r="CL51" s="1465"/>
      <c r="CM51" s="1465"/>
      <c r="CN51" s="1465"/>
      <c r="CO51" s="1465"/>
    </row>
    <row r="52" spans="1:93" ht="25.5" customHeight="1" x14ac:dyDescent="0.25">
      <c r="A52" s="10303"/>
      <c r="B52" s="8551" t="s">
        <v>481</v>
      </c>
      <c r="C52" s="315" t="s">
        <v>482</v>
      </c>
      <c r="D52" s="329">
        <f t="shared" ref="D52:D82" si="5">SUM(E52:H52)</f>
        <v>0</v>
      </c>
      <c r="E52" s="106"/>
      <c r="F52" s="89"/>
      <c r="G52" s="89"/>
      <c r="H52" s="174"/>
      <c r="I52" s="205"/>
      <c r="J52" s="1193" t="str">
        <f t="shared" ref="J52:J84" si="6">CA52</f>
        <v/>
      </c>
      <c r="K52" s="1456"/>
      <c r="L52" s="1456"/>
      <c r="M52" s="1456"/>
      <c r="N52" s="1456"/>
      <c r="O52" s="1456"/>
      <c r="P52" s="1456"/>
      <c r="Q52" s="1456"/>
      <c r="R52" s="1456"/>
      <c r="S52" s="1456"/>
      <c r="T52" s="1456"/>
      <c r="U52" s="1456"/>
      <c r="V52" s="288"/>
      <c r="W52" s="140"/>
      <c r="X52" s="140"/>
      <c r="Y52" s="140"/>
      <c r="Z52" s="140"/>
      <c r="AA52" s="140"/>
      <c r="AB52" s="140"/>
      <c r="AC52" s="140"/>
      <c r="CA52" s="1467" t="str">
        <f t="shared" ref="CA52:CA84" si="7">IF(CG52=1,"* En esta área en Sección A se consignan personas pero falta registrar la Sesión. ","")</f>
        <v/>
      </c>
      <c r="CB52" s="1467"/>
      <c r="CC52" s="1467"/>
      <c r="CD52" s="1467"/>
      <c r="CE52" s="1467"/>
      <c r="CF52" s="1467"/>
      <c r="CG52" s="1468">
        <f t="shared" si="4"/>
        <v>0</v>
      </c>
      <c r="CH52" s="1465"/>
      <c r="CI52" s="1465"/>
      <c r="CJ52" s="1465"/>
      <c r="CK52" s="1465"/>
      <c r="CL52" s="1465"/>
      <c r="CM52" s="1465"/>
      <c r="CN52" s="1465"/>
      <c r="CO52" s="1465"/>
    </row>
    <row r="53" spans="1:93" x14ac:dyDescent="0.25">
      <c r="A53" s="10303"/>
      <c r="B53" s="8189"/>
      <c r="C53" s="2175" t="s">
        <v>483</v>
      </c>
      <c r="D53" s="92">
        <f t="shared" si="5"/>
        <v>0</v>
      </c>
      <c r="E53" s="110"/>
      <c r="F53" s="111"/>
      <c r="G53" s="111"/>
      <c r="H53" s="168"/>
      <c r="I53" s="206"/>
      <c r="J53" s="1193" t="str">
        <f t="shared" si="6"/>
        <v/>
      </c>
      <c r="K53" s="1456"/>
      <c r="L53" s="1456"/>
      <c r="M53" s="1456"/>
      <c r="N53" s="1456"/>
      <c r="O53" s="1456"/>
      <c r="P53" s="1456"/>
      <c r="Q53" s="1456"/>
      <c r="R53" s="1456"/>
      <c r="S53" s="1456"/>
      <c r="T53" s="1456"/>
      <c r="U53" s="1456"/>
      <c r="V53" s="288"/>
      <c r="W53" s="140"/>
      <c r="X53" s="140"/>
      <c r="Y53" s="140"/>
      <c r="Z53" s="140"/>
      <c r="AA53" s="140"/>
      <c r="AB53" s="140"/>
      <c r="AC53" s="140"/>
      <c r="CA53" s="1467" t="str">
        <f t="shared" si="7"/>
        <v/>
      </c>
      <c r="CB53" s="1467"/>
      <c r="CC53" s="1467"/>
      <c r="CD53" s="1467"/>
      <c r="CE53" s="1467"/>
      <c r="CF53" s="1467"/>
      <c r="CG53" s="1468">
        <f t="shared" si="4"/>
        <v>0</v>
      </c>
      <c r="CH53" s="1465"/>
      <c r="CI53" s="1465"/>
      <c r="CJ53" s="1465"/>
      <c r="CK53" s="1465"/>
      <c r="CL53" s="1465"/>
      <c r="CM53" s="1465"/>
      <c r="CN53" s="1465"/>
      <c r="CO53" s="1465"/>
    </row>
    <row r="54" spans="1:93" x14ac:dyDescent="0.25">
      <c r="A54" s="10303"/>
      <c r="B54" s="8189"/>
      <c r="C54" s="2175" t="s">
        <v>484</v>
      </c>
      <c r="D54" s="109">
        <f t="shared" si="5"/>
        <v>0</v>
      </c>
      <c r="E54" s="110"/>
      <c r="F54" s="111"/>
      <c r="G54" s="111"/>
      <c r="H54" s="168"/>
      <c r="I54" s="206"/>
      <c r="J54" s="1193" t="str">
        <f t="shared" si="6"/>
        <v/>
      </c>
      <c r="K54" s="1456"/>
      <c r="L54" s="1456"/>
      <c r="M54" s="1456"/>
      <c r="N54" s="1456"/>
      <c r="O54" s="1456"/>
      <c r="P54" s="1456"/>
      <c r="Q54" s="1456"/>
      <c r="R54" s="1456"/>
      <c r="S54" s="1456"/>
      <c r="T54" s="1456"/>
      <c r="U54" s="1456"/>
      <c r="V54" s="288"/>
      <c r="W54" s="140"/>
      <c r="X54" s="140"/>
      <c r="Y54" s="140"/>
      <c r="Z54" s="140"/>
      <c r="AA54" s="140"/>
      <c r="AB54" s="140"/>
      <c r="AC54" s="140"/>
      <c r="CA54" s="1467" t="str">
        <f t="shared" si="7"/>
        <v/>
      </c>
      <c r="CB54" s="1467"/>
      <c r="CC54" s="1467"/>
      <c r="CD54" s="1467"/>
      <c r="CE54" s="1467"/>
      <c r="CF54" s="1467"/>
      <c r="CG54" s="1468">
        <f t="shared" si="4"/>
        <v>0</v>
      </c>
      <c r="CH54" s="1465"/>
      <c r="CI54" s="1465"/>
      <c r="CJ54" s="1465"/>
      <c r="CK54" s="1465"/>
      <c r="CL54" s="1465"/>
      <c r="CM54" s="1465"/>
      <c r="CN54" s="1465"/>
      <c r="CO54" s="1465"/>
    </row>
    <row r="55" spans="1:93" x14ac:dyDescent="0.25">
      <c r="A55" s="10303"/>
      <c r="B55" s="8552"/>
      <c r="C55" s="2179" t="s">
        <v>485</v>
      </c>
      <c r="D55" s="336">
        <f t="shared" si="5"/>
        <v>0</v>
      </c>
      <c r="E55" s="148"/>
      <c r="F55" s="95"/>
      <c r="G55" s="95"/>
      <c r="H55" s="181"/>
      <c r="I55" s="210"/>
      <c r="J55" s="1193" t="str">
        <f t="shared" si="6"/>
        <v/>
      </c>
      <c r="K55" s="1456"/>
      <c r="L55" s="1456"/>
      <c r="M55" s="1456"/>
      <c r="N55" s="1456"/>
      <c r="O55" s="1456"/>
      <c r="P55" s="1456"/>
      <c r="Q55" s="1456"/>
      <c r="R55" s="1456"/>
      <c r="S55" s="1456"/>
      <c r="T55" s="1456"/>
      <c r="U55" s="1456"/>
      <c r="V55" s="288"/>
      <c r="W55" s="140"/>
      <c r="X55" s="140"/>
      <c r="Y55" s="140"/>
      <c r="Z55" s="140"/>
      <c r="AA55" s="140"/>
      <c r="AB55" s="140"/>
      <c r="AC55" s="140"/>
      <c r="CA55" s="1467" t="str">
        <f t="shared" si="7"/>
        <v/>
      </c>
      <c r="CB55" s="1467"/>
      <c r="CC55" s="1467"/>
      <c r="CD55" s="1467"/>
      <c r="CE55" s="1467"/>
      <c r="CF55" s="1467"/>
      <c r="CG55" s="1468">
        <f t="shared" si="4"/>
        <v>0</v>
      </c>
      <c r="CH55" s="1465"/>
      <c r="CI55" s="1465"/>
      <c r="CJ55" s="1465"/>
      <c r="CK55" s="1465"/>
      <c r="CL55" s="1465"/>
      <c r="CM55" s="1465"/>
      <c r="CN55" s="1465"/>
      <c r="CO55" s="1465"/>
    </row>
    <row r="56" spans="1:93" x14ac:dyDescent="0.25">
      <c r="A56" s="10303"/>
      <c r="B56" s="9100" t="s">
        <v>486</v>
      </c>
      <c r="C56" s="9101"/>
      <c r="D56" s="176">
        <f t="shared" si="5"/>
        <v>0</v>
      </c>
      <c r="E56" s="129"/>
      <c r="F56" s="78"/>
      <c r="G56" s="78"/>
      <c r="H56" s="166"/>
      <c r="I56" s="208"/>
      <c r="J56" s="1193" t="str">
        <f t="shared" si="6"/>
        <v/>
      </c>
      <c r="K56" s="1456"/>
      <c r="L56" s="1456"/>
      <c r="M56" s="1456"/>
      <c r="N56" s="1456"/>
      <c r="O56" s="1456"/>
      <c r="P56" s="1456"/>
      <c r="Q56" s="1456"/>
      <c r="R56" s="1456"/>
      <c r="S56" s="1456"/>
      <c r="T56" s="1456"/>
      <c r="U56" s="1456"/>
      <c r="V56" s="288"/>
      <c r="W56" s="140"/>
      <c r="X56" s="140"/>
      <c r="Y56" s="140"/>
      <c r="Z56" s="140"/>
      <c r="AA56" s="140"/>
      <c r="AB56" s="140"/>
      <c r="AC56" s="140"/>
      <c r="CA56" s="1467" t="str">
        <f t="shared" si="7"/>
        <v/>
      </c>
      <c r="CB56" s="1467"/>
      <c r="CC56" s="1467"/>
      <c r="CD56" s="1467"/>
      <c r="CE56" s="1467"/>
      <c r="CF56" s="1467"/>
      <c r="CG56" s="1468">
        <f t="shared" si="4"/>
        <v>0</v>
      </c>
      <c r="CH56" s="1465"/>
      <c r="CI56" s="1465"/>
      <c r="CJ56" s="1465"/>
      <c r="CK56" s="1465"/>
      <c r="CL56" s="1465"/>
      <c r="CM56" s="1465"/>
      <c r="CN56" s="1465"/>
      <c r="CO56" s="1465"/>
    </row>
    <row r="57" spans="1:93" x14ac:dyDescent="0.25">
      <c r="A57" s="10303"/>
      <c r="B57" s="8407" t="s">
        <v>487</v>
      </c>
      <c r="C57" s="9095"/>
      <c r="D57" s="92">
        <f t="shared" si="5"/>
        <v>0</v>
      </c>
      <c r="E57" s="110"/>
      <c r="F57" s="111"/>
      <c r="G57" s="111"/>
      <c r="H57" s="168"/>
      <c r="I57" s="206"/>
      <c r="J57" s="1193" t="str">
        <f t="shared" si="6"/>
        <v/>
      </c>
      <c r="K57" s="1456"/>
      <c r="L57" s="1456"/>
      <c r="M57" s="1456"/>
      <c r="N57" s="1456"/>
      <c r="O57" s="1456"/>
      <c r="P57" s="1456"/>
      <c r="Q57" s="1456"/>
      <c r="R57" s="1456"/>
      <c r="S57" s="1456"/>
      <c r="T57" s="1456"/>
      <c r="U57" s="1456"/>
      <c r="V57" s="288"/>
      <c r="W57" s="140"/>
      <c r="X57" s="140"/>
      <c r="Y57" s="140"/>
      <c r="Z57" s="140"/>
      <c r="AA57" s="140"/>
      <c r="AB57" s="140"/>
      <c r="AC57" s="140"/>
      <c r="CA57" s="1467" t="str">
        <f t="shared" si="7"/>
        <v/>
      </c>
      <c r="CB57" s="1467"/>
      <c r="CC57" s="1467"/>
      <c r="CD57" s="1467"/>
      <c r="CE57" s="1467"/>
      <c r="CF57" s="1467"/>
      <c r="CG57" s="1468">
        <f t="shared" si="4"/>
        <v>0</v>
      </c>
      <c r="CH57" s="1465"/>
      <c r="CI57" s="1465"/>
      <c r="CJ57" s="1465"/>
      <c r="CK57" s="1465"/>
      <c r="CL57" s="1465"/>
      <c r="CM57" s="1465"/>
      <c r="CN57" s="1465"/>
      <c r="CO57" s="1465"/>
    </row>
    <row r="58" spans="1:93" x14ac:dyDescent="0.25">
      <c r="A58" s="10303"/>
      <c r="B58" s="8407" t="s">
        <v>488</v>
      </c>
      <c r="C58" s="9095"/>
      <c r="D58" s="92">
        <f t="shared" si="5"/>
        <v>0</v>
      </c>
      <c r="E58" s="110"/>
      <c r="F58" s="111"/>
      <c r="G58" s="111"/>
      <c r="H58" s="168"/>
      <c r="I58" s="206"/>
      <c r="J58" s="1193" t="str">
        <f t="shared" si="6"/>
        <v/>
      </c>
      <c r="K58" s="1456"/>
      <c r="L58" s="1456"/>
      <c r="M58" s="1456"/>
      <c r="N58" s="1456"/>
      <c r="O58" s="1456"/>
      <c r="P58" s="1456"/>
      <c r="Q58" s="1456"/>
      <c r="R58" s="1456"/>
      <c r="S58" s="1456"/>
      <c r="T58" s="1456"/>
      <c r="U58" s="1456"/>
      <c r="V58" s="288"/>
      <c r="W58" s="140"/>
      <c r="X58" s="140"/>
      <c r="Y58" s="140"/>
      <c r="Z58" s="140"/>
      <c r="AA58" s="140"/>
      <c r="AB58" s="140"/>
      <c r="AC58" s="140"/>
      <c r="CA58" s="1467" t="str">
        <f t="shared" si="7"/>
        <v/>
      </c>
      <c r="CB58" s="1467"/>
      <c r="CC58" s="1467"/>
      <c r="CD58" s="1467"/>
      <c r="CE58" s="1467"/>
      <c r="CF58" s="1467"/>
      <c r="CG58" s="1468">
        <f t="shared" si="4"/>
        <v>0</v>
      </c>
      <c r="CH58" s="1465"/>
      <c r="CI58" s="1465"/>
      <c r="CJ58" s="1465"/>
      <c r="CK58" s="1465"/>
      <c r="CL58" s="1465"/>
      <c r="CM58" s="1465"/>
      <c r="CN58" s="1465"/>
      <c r="CO58" s="1465"/>
    </row>
    <row r="59" spans="1:93" x14ac:dyDescent="0.25">
      <c r="A59" s="10303"/>
      <c r="B59" s="8407" t="s">
        <v>489</v>
      </c>
      <c r="C59" s="9095"/>
      <c r="D59" s="92">
        <f t="shared" si="5"/>
        <v>0</v>
      </c>
      <c r="E59" s="110"/>
      <c r="F59" s="111"/>
      <c r="G59" s="111"/>
      <c r="H59" s="168"/>
      <c r="I59" s="206"/>
      <c r="J59" s="1193" t="str">
        <f t="shared" si="6"/>
        <v/>
      </c>
      <c r="K59" s="1456"/>
      <c r="L59" s="1456"/>
      <c r="M59" s="1456"/>
      <c r="N59" s="1456"/>
      <c r="O59" s="1456"/>
      <c r="P59" s="1456"/>
      <c r="Q59" s="1456"/>
      <c r="R59" s="1456"/>
      <c r="S59" s="1456"/>
      <c r="T59" s="1456"/>
      <c r="U59" s="1456"/>
      <c r="V59" s="288"/>
      <c r="W59" s="140"/>
      <c r="X59" s="140"/>
      <c r="Y59" s="140"/>
      <c r="Z59" s="140"/>
      <c r="AA59" s="140"/>
      <c r="AB59" s="140"/>
      <c r="AC59" s="140"/>
      <c r="CA59" s="1467" t="str">
        <f t="shared" si="7"/>
        <v/>
      </c>
      <c r="CB59" s="1467"/>
      <c r="CC59" s="1467"/>
      <c r="CD59" s="1467"/>
      <c r="CE59" s="1467"/>
      <c r="CF59" s="1467"/>
      <c r="CG59" s="1468">
        <f t="shared" si="4"/>
        <v>0</v>
      </c>
      <c r="CH59" s="1465"/>
      <c r="CI59" s="1465"/>
      <c r="CJ59" s="1465"/>
      <c r="CK59" s="1465"/>
      <c r="CL59" s="1465"/>
      <c r="CM59" s="1465"/>
      <c r="CN59" s="1465"/>
      <c r="CO59" s="1465"/>
    </row>
    <row r="60" spans="1:93" x14ac:dyDescent="0.25">
      <c r="A60" s="10303"/>
      <c r="B60" s="8407" t="s">
        <v>490</v>
      </c>
      <c r="C60" s="9095"/>
      <c r="D60" s="92">
        <f t="shared" si="5"/>
        <v>0</v>
      </c>
      <c r="E60" s="110"/>
      <c r="F60" s="111"/>
      <c r="G60" s="111"/>
      <c r="H60" s="168"/>
      <c r="I60" s="206"/>
      <c r="J60" s="1193" t="str">
        <f t="shared" si="6"/>
        <v/>
      </c>
      <c r="K60" s="1456"/>
      <c r="L60" s="1456"/>
      <c r="M60" s="1456"/>
      <c r="N60" s="1456"/>
      <c r="O60" s="1456"/>
      <c r="P60" s="1456"/>
      <c r="Q60" s="1456"/>
      <c r="R60" s="1456"/>
      <c r="S60" s="1456"/>
      <c r="T60" s="1456"/>
      <c r="U60" s="1456"/>
      <c r="V60" s="288"/>
      <c r="W60" s="140"/>
      <c r="X60" s="140"/>
      <c r="Y60" s="140"/>
      <c r="Z60" s="140"/>
      <c r="AA60" s="140"/>
      <c r="AB60" s="140"/>
      <c r="AC60" s="140"/>
      <c r="CA60" s="1467" t="str">
        <f t="shared" si="7"/>
        <v/>
      </c>
      <c r="CB60" s="1467"/>
      <c r="CC60" s="1467"/>
      <c r="CD60" s="1467"/>
      <c r="CE60" s="1467"/>
      <c r="CF60" s="1467"/>
      <c r="CG60" s="1468">
        <f>IF(AND(D60=0,SUM(D20:D23)&lt;&gt;0),1,0)</f>
        <v>0</v>
      </c>
      <c r="CH60" s="1465"/>
      <c r="CI60" s="1465"/>
      <c r="CJ60" s="1465"/>
      <c r="CK60" s="1465"/>
      <c r="CL60" s="1465"/>
      <c r="CM60" s="1465"/>
      <c r="CN60" s="1465"/>
      <c r="CO60" s="1465"/>
    </row>
    <row r="61" spans="1:93" x14ac:dyDescent="0.25">
      <c r="A61" s="10304"/>
      <c r="B61" s="8407" t="s">
        <v>598</v>
      </c>
      <c r="C61" s="9095"/>
      <c r="D61" s="92">
        <f t="shared" si="5"/>
        <v>0</v>
      </c>
      <c r="E61" s="137"/>
      <c r="F61" s="115"/>
      <c r="G61" s="115"/>
      <c r="H61" s="116"/>
      <c r="I61" s="207"/>
      <c r="J61" s="1193" t="str">
        <f t="shared" si="6"/>
        <v/>
      </c>
      <c r="K61" s="1456"/>
      <c r="L61" s="1456"/>
      <c r="M61" s="1456"/>
      <c r="N61" s="1456"/>
      <c r="O61" s="1456"/>
      <c r="P61" s="1456"/>
      <c r="Q61" s="1456"/>
      <c r="R61" s="1456"/>
      <c r="S61" s="1456"/>
      <c r="T61" s="1456"/>
      <c r="U61" s="1456"/>
      <c r="V61" s="288"/>
      <c r="W61" s="140"/>
      <c r="X61" s="140"/>
      <c r="Y61" s="140"/>
      <c r="Z61" s="140"/>
      <c r="AA61" s="140"/>
      <c r="AB61" s="140"/>
      <c r="AC61" s="140"/>
      <c r="CA61" s="1467" t="str">
        <f t="shared" si="7"/>
        <v/>
      </c>
      <c r="CB61" s="1467"/>
      <c r="CC61" s="1467"/>
      <c r="CD61" s="1467"/>
      <c r="CE61" s="1467"/>
      <c r="CF61" s="1467"/>
      <c r="CG61" s="1468">
        <f>IF(AND(D61=0,D24&lt;&gt;0),1,0)</f>
        <v>0</v>
      </c>
      <c r="CH61" s="1465"/>
      <c r="CI61" s="1465"/>
      <c r="CJ61" s="1465"/>
      <c r="CK61" s="1465"/>
      <c r="CL61" s="1465"/>
      <c r="CM61" s="1465"/>
      <c r="CN61" s="1465"/>
      <c r="CO61" s="1465"/>
    </row>
    <row r="62" spans="1:93" ht="22.5" customHeight="1" x14ac:dyDescent="0.25">
      <c r="A62" s="10303"/>
      <c r="B62" s="9169" t="s">
        <v>491</v>
      </c>
      <c r="C62" s="9170"/>
      <c r="D62" s="92">
        <f t="shared" si="5"/>
        <v>0</v>
      </c>
      <c r="E62" s="137"/>
      <c r="F62" s="115"/>
      <c r="G62" s="115"/>
      <c r="H62" s="116"/>
      <c r="I62" s="207"/>
      <c r="J62" s="1193" t="str">
        <f t="shared" si="6"/>
        <v/>
      </c>
      <c r="K62" s="1456"/>
      <c r="L62" s="1456"/>
      <c r="M62" s="1456"/>
      <c r="N62" s="1456"/>
      <c r="O62" s="1456"/>
      <c r="P62" s="1456"/>
      <c r="Q62" s="1456"/>
      <c r="R62" s="1456"/>
      <c r="S62" s="1456"/>
      <c r="T62" s="1456"/>
      <c r="U62" s="1456"/>
      <c r="V62" s="288"/>
      <c r="W62" s="140"/>
      <c r="X62" s="140"/>
      <c r="Y62" s="140"/>
      <c r="Z62" s="140"/>
      <c r="AA62" s="140"/>
      <c r="AB62" s="140"/>
      <c r="AC62" s="140"/>
      <c r="CA62" s="1467" t="str">
        <f t="shared" si="7"/>
        <v/>
      </c>
      <c r="CB62" s="1467"/>
      <c r="CC62" s="1467"/>
      <c r="CD62" s="1467"/>
      <c r="CE62" s="1467"/>
      <c r="CF62" s="1467"/>
      <c r="CG62" s="1468">
        <f t="shared" ref="CG62:CG84" si="8">IF(AND(D62=0,D25&lt;&gt;0),1,0)</f>
        <v>0</v>
      </c>
      <c r="CH62" s="1465"/>
      <c r="CI62" s="1465"/>
      <c r="CJ62" s="1465"/>
      <c r="CK62" s="1465"/>
      <c r="CL62" s="1465"/>
      <c r="CM62" s="1465"/>
      <c r="CN62" s="1465"/>
      <c r="CO62" s="1465"/>
    </row>
    <row r="63" spans="1:93" ht="15" customHeight="1" x14ac:dyDescent="0.25">
      <c r="A63" s="10303"/>
      <c r="B63" s="10282" t="s">
        <v>2215</v>
      </c>
      <c r="C63" s="10283"/>
      <c r="D63" s="92">
        <f>SUM(E63:H63)</f>
        <v>0</v>
      </c>
      <c r="E63" s="1660"/>
      <c r="F63" s="1316"/>
      <c r="G63" s="1316"/>
      <c r="H63" s="1750"/>
      <c r="I63" s="1751"/>
      <c r="J63" s="1193" t="str">
        <f t="shared" si="6"/>
        <v/>
      </c>
      <c r="K63" s="1456"/>
      <c r="L63" s="1456"/>
      <c r="M63" s="1456"/>
      <c r="N63" s="1456"/>
      <c r="O63" s="1456"/>
      <c r="P63" s="1456"/>
      <c r="Q63" s="1456"/>
      <c r="R63" s="1456"/>
      <c r="S63" s="1456"/>
      <c r="T63" s="1456"/>
      <c r="U63" s="1456"/>
      <c r="V63" s="288"/>
      <c r="W63" s="140"/>
      <c r="X63" s="140"/>
      <c r="Y63" s="140"/>
      <c r="Z63" s="140"/>
      <c r="AA63" s="140"/>
      <c r="AB63" s="140"/>
      <c r="AC63" s="140"/>
      <c r="CA63" s="1467" t="str">
        <f t="shared" si="7"/>
        <v/>
      </c>
      <c r="CB63" s="1467"/>
      <c r="CC63" s="1467"/>
      <c r="CD63" s="1467"/>
      <c r="CE63" s="1467"/>
      <c r="CF63" s="1467"/>
      <c r="CG63" s="1468">
        <f t="shared" si="8"/>
        <v>0</v>
      </c>
      <c r="CH63" s="1465"/>
      <c r="CI63" s="1465"/>
      <c r="CJ63" s="1465"/>
      <c r="CK63" s="1465"/>
      <c r="CL63" s="1465"/>
      <c r="CM63" s="1465"/>
      <c r="CN63" s="1465"/>
      <c r="CO63" s="1465"/>
    </row>
    <row r="64" spans="1:93" x14ac:dyDescent="0.25">
      <c r="A64" s="10303"/>
      <c r="B64" s="9961" t="s">
        <v>492</v>
      </c>
      <c r="C64" s="9962"/>
      <c r="D64" s="92">
        <f t="shared" si="5"/>
        <v>0</v>
      </c>
      <c r="E64" s="137"/>
      <c r="F64" s="115"/>
      <c r="G64" s="115"/>
      <c r="H64" s="116"/>
      <c r="I64" s="207"/>
      <c r="J64" s="1193" t="str">
        <f t="shared" si="6"/>
        <v/>
      </c>
      <c r="K64" s="1456"/>
      <c r="L64" s="1456"/>
      <c r="M64" s="1456"/>
      <c r="N64" s="1456"/>
      <c r="O64" s="1456"/>
      <c r="P64" s="1456"/>
      <c r="Q64" s="1456"/>
      <c r="R64" s="1456"/>
      <c r="S64" s="1456"/>
      <c r="T64" s="1456"/>
      <c r="U64" s="1456"/>
      <c r="V64" s="288"/>
      <c r="W64" s="140"/>
      <c r="X64" s="140"/>
      <c r="Y64" s="140"/>
      <c r="Z64" s="140"/>
      <c r="AA64" s="140"/>
      <c r="AB64" s="140"/>
      <c r="AC64" s="140"/>
      <c r="CA64" s="1467" t="str">
        <f t="shared" si="7"/>
        <v/>
      </c>
      <c r="CB64" s="1467"/>
      <c r="CC64" s="1467"/>
      <c r="CD64" s="1467"/>
      <c r="CE64" s="1467"/>
      <c r="CF64" s="1467"/>
      <c r="CG64" s="1468">
        <f t="shared" si="8"/>
        <v>0</v>
      </c>
      <c r="CH64" s="1465"/>
      <c r="CI64" s="1465"/>
      <c r="CJ64" s="1465"/>
      <c r="CK64" s="1465"/>
      <c r="CL64" s="1465"/>
      <c r="CM64" s="1465"/>
      <c r="CN64" s="1465"/>
      <c r="CO64" s="1465"/>
    </row>
    <row r="65" spans="1:93" x14ac:dyDescent="0.25">
      <c r="A65" s="10303"/>
      <c r="B65" s="8561" t="s">
        <v>493</v>
      </c>
      <c r="C65" s="339" t="s">
        <v>494</v>
      </c>
      <c r="D65" s="76">
        <f t="shared" si="5"/>
        <v>0</v>
      </c>
      <c r="E65" s="134"/>
      <c r="F65" s="89"/>
      <c r="G65" s="89"/>
      <c r="H65" s="174"/>
      <c r="I65" s="205"/>
      <c r="J65" s="1193" t="str">
        <f t="shared" si="6"/>
        <v/>
      </c>
      <c r="K65" s="1456"/>
      <c r="L65" s="1456"/>
      <c r="M65" s="1456"/>
      <c r="N65" s="1456"/>
      <c r="O65" s="1456"/>
      <c r="P65" s="1456"/>
      <c r="Q65" s="1456"/>
      <c r="R65" s="1456"/>
      <c r="S65" s="1456"/>
      <c r="T65" s="1456"/>
      <c r="U65" s="1456"/>
      <c r="V65" s="288"/>
      <c r="W65" s="140"/>
      <c r="X65" s="140"/>
      <c r="Y65" s="140"/>
      <c r="Z65" s="140"/>
      <c r="AA65" s="140"/>
      <c r="AB65" s="140"/>
      <c r="AC65" s="140"/>
      <c r="CA65" s="1467" t="str">
        <f t="shared" si="7"/>
        <v/>
      </c>
      <c r="CB65" s="1467"/>
      <c r="CC65" s="1467"/>
      <c r="CD65" s="1467"/>
      <c r="CE65" s="1467"/>
      <c r="CF65" s="1467"/>
      <c r="CG65" s="1468">
        <f t="shared" si="8"/>
        <v>0</v>
      </c>
      <c r="CH65" s="1465"/>
      <c r="CI65" s="1465"/>
      <c r="CJ65" s="1465"/>
      <c r="CK65" s="1465"/>
      <c r="CL65" s="1465"/>
      <c r="CM65" s="1465"/>
      <c r="CN65" s="1465"/>
      <c r="CO65" s="1465"/>
    </row>
    <row r="66" spans="1:93" x14ac:dyDescent="0.25">
      <c r="A66" s="10303"/>
      <c r="B66" s="8125"/>
      <c r="C66" s="2206" t="s">
        <v>495</v>
      </c>
      <c r="D66" s="109">
        <f t="shared" si="5"/>
        <v>0</v>
      </c>
      <c r="E66" s="136"/>
      <c r="F66" s="111"/>
      <c r="G66" s="111"/>
      <c r="H66" s="168"/>
      <c r="I66" s="206"/>
      <c r="J66" s="1193" t="str">
        <f t="shared" si="6"/>
        <v/>
      </c>
      <c r="K66" s="1456"/>
      <c r="L66" s="1456"/>
      <c r="M66" s="1456"/>
      <c r="N66" s="1456"/>
      <c r="O66" s="1456"/>
      <c r="P66" s="1456"/>
      <c r="Q66" s="1456"/>
      <c r="R66" s="1456"/>
      <c r="S66" s="1456"/>
      <c r="T66" s="1456"/>
      <c r="U66" s="1456"/>
      <c r="V66" s="288"/>
      <c r="W66" s="140"/>
      <c r="X66" s="140"/>
      <c r="Y66" s="140"/>
      <c r="Z66" s="140"/>
      <c r="AA66" s="140"/>
      <c r="AB66" s="140"/>
      <c r="AC66" s="140"/>
      <c r="CA66" s="1467" t="str">
        <f t="shared" si="7"/>
        <v/>
      </c>
      <c r="CB66" s="1467"/>
      <c r="CC66" s="1467"/>
      <c r="CD66" s="1467"/>
      <c r="CE66" s="1467"/>
      <c r="CF66" s="1467"/>
      <c r="CG66" s="1468">
        <f t="shared" si="8"/>
        <v>0</v>
      </c>
      <c r="CH66" s="1465"/>
      <c r="CI66" s="1465"/>
      <c r="CJ66" s="1465"/>
      <c r="CK66" s="1465"/>
      <c r="CL66" s="1465"/>
      <c r="CM66" s="1465"/>
      <c r="CN66" s="1465"/>
      <c r="CO66" s="1465"/>
    </row>
    <row r="67" spans="1:93" x14ac:dyDescent="0.25">
      <c r="A67" s="10303"/>
      <c r="B67" s="8562"/>
      <c r="C67" s="2145" t="s">
        <v>70</v>
      </c>
      <c r="D67" s="81">
        <f t="shared" si="5"/>
        <v>0</v>
      </c>
      <c r="E67" s="102"/>
      <c r="F67" s="83"/>
      <c r="G67" s="83"/>
      <c r="H67" s="175"/>
      <c r="I67" s="211"/>
      <c r="J67" s="1193" t="str">
        <f t="shared" si="6"/>
        <v/>
      </c>
      <c r="K67" s="1456"/>
      <c r="L67" s="1456"/>
      <c r="M67" s="1456"/>
      <c r="N67" s="1456"/>
      <c r="O67" s="1456"/>
      <c r="P67" s="1456"/>
      <c r="Q67" s="1456"/>
      <c r="R67" s="1456"/>
      <c r="S67" s="1456"/>
      <c r="T67" s="1456"/>
      <c r="U67" s="1456"/>
      <c r="V67" s="288"/>
      <c r="W67" s="140"/>
      <c r="X67" s="140"/>
      <c r="Y67" s="140"/>
      <c r="Z67" s="140"/>
      <c r="AA67" s="140"/>
      <c r="AB67" s="140"/>
      <c r="AC67" s="140"/>
      <c r="CA67" s="1467" t="str">
        <f t="shared" si="7"/>
        <v/>
      </c>
      <c r="CB67" s="1467"/>
      <c r="CC67" s="1467"/>
      <c r="CD67" s="1467"/>
      <c r="CE67" s="1467"/>
      <c r="CF67" s="1467"/>
      <c r="CG67" s="1468">
        <f t="shared" si="8"/>
        <v>0</v>
      </c>
      <c r="CH67" s="1465"/>
      <c r="CI67" s="1465"/>
      <c r="CJ67" s="1465"/>
      <c r="CK67" s="1465"/>
      <c r="CL67" s="1465"/>
      <c r="CM67" s="1465"/>
      <c r="CN67" s="1465"/>
      <c r="CO67" s="1465"/>
    </row>
    <row r="68" spans="1:93" x14ac:dyDescent="0.25">
      <c r="A68" s="10303"/>
      <c r="B68" s="8561" t="s">
        <v>496</v>
      </c>
      <c r="C68" s="315" t="s">
        <v>497</v>
      </c>
      <c r="D68" s="329">
        <f t="shared" si="5"/>
        <v>0</v>
      </c>
      <c r="E68" s="106"/>
      <c r="F68" s="89"/>
      <c r="G68" s="89"/>
      <c r="H68" s="174"/>
      <c r="I68" s="205"/>
      <c r="J68" s="1193" t="str">
        <f t="shared" si="6"/>
        <v/>
      </c>
      <c r="K68" s="1456"/>
      <c r="L68" s="1456"/>
      <c r="M68" s="1456"/>
      <c r="N68" s="1456"/>
      <c r="O68" s="1456"/>
      <c r="P68" s="1456"/>
      <c r="Q68" s="1456"/>
      <c r="R68" s="1456"/>
      <c r="S68" s="1456"/>
      <c r="T68" s="1456"/>
      <c r="U68" s="1456"/>
      <c r="V68" s="288"/>
      <c r="W68" s="140"/>
      <c r="X68" s="140"/>
      <c r="Y68" s="140"/>
      <c r="Z68" s="140"/>
      <c r="AA68" s="140"/>
      <c r="AB68" s="140"/>
      <c r="AC68" s="140"/>
      <c r="CA68" s="1467" t="str">
        <f t="shared" si="7"/>
        <v/>
      </c>
      <c r="CB68" s="1467"/>
      <c r="CC68" s="1467"/>
      <c r="CD68" s="1467"/>
      <c r="CE68" s="1467"/>
      <c r="CF68" s="1467"/>
      <c r="CG68" s="1468">
        <f t="shared" si="8"/>
        <v>0</v>
      </c>
      <c r="CH68" s="1465"/>
      <c r="CI68" s="1465"/>
      <c r="CJ68" s="1465"/>
      <c r="CK68" s="1465"/>
      <c r="CL68" s="1465"/>
      <c r="CM68" s="1465"/>
      <c r="CN68" s="1465"/>
      <c r="CO68" s="1465"/>
    </row>
    <row r="69" spans="1:93" x14ac:dyDescent="0.25">
      <c r="A69" s="10303"/>
      <c r="B69" s="8125"/>
      <c r="C69" s="2854" t="s">
        <v>498</v>
      </c>
      <c r="D69" s="92">
        <f t="shared" si="5"/>
        <v>0</v>
      </c>
      <c r="E69" s="110"/>
      <c r="F69" s="111"/>
      <c r="G69" s="111"/>
      <c r="H69" s="168"/>
      <c r="I69" s="206"/>
      <c r="J69" s="1193" t="str">
        <f t="shared" si="6"/>
        <v/>
      </c>
      <c r="K69" s="1456"/>
      <c r="L69" s="1456"/>
      <c r="M69" s="1456"/>
      <c r="N69" s="1456"/>
      <c r="O69" s="1456"/>
      <c r="P69" s="1456"/>
      <c r="Q69" s="1456"/>
      <c r="R69" s="1456"/>
      <c r="S69" s="1456"/>
      <c r="T69" s="1456"/>
      <c r="U69" s="1456"/>
      <c r="V69" s="288"/>
      <c r="W69" s="140"/>
      <c r="X69" s="140"/>
      <c r="Y69" s="140"/>
      <c r="Z69" s="140"/>
      <c r="AA69" s="140"/>
      <c r="AB69" s="140"/>
      <c r="AC69" s="140"/>
      <c r="CA69" s="1467" t="str">
        <f t="shared" si="7"/>
        <v/>
      </c>
      <c r="CB69" s="1467"/>
      <c r="CC69" s="1467"/>
      <c r="CD69" s="1467"/>
      <c r="CE69" s="1467"/>
      <c r="CF69" s="1467"/>
      <c r="CG69" s="1468">
        <f t="shared" si="8"/>
        <v>0</v>
      </c>
      <c r="CH69" s="1465"/>
      <c r="CI69" s="1465"/>
      <c r="CJ69" s="1465"/>
      <c r="CK69" s="1465"/>
      <c r="CL69" s="1465"/>
      <c r="CM69" s="1465"/>
      <c r="CN69" s="1465"/>
      <c r="CO69" s="1465"/>
    </row>
    <row r="70" spans="1:93" x14ac:dyDescent="0.25">
      <c r="A70" s="10303"/>
      <c r="B70" s="8562"/>
      <c r="C70" s="2145" t="s">
        <v>70</v>
      </c>
      <c r="D70" s="81">
        <f t="shared" si="5"/>
        <v>0</v>
      </c>
      <c r="E70" s="125"/>
      <c r="F70" s="83"/>
      <c r="G70" s="83"/>
      <c r="H70" s="175"/>
      <c r="I70" s="211"/>
      <c r="J70" s="1193" t="str">
        <f t="shared" si="6"/>
        <v/>
      </c>
      <c r="K70" s="1456"/>
      <c r="L70" s="1456"/>
      <c r="M70" s="1456"/>
      <c r="N70" s="1456"/>
      <c r="O70" s="1456"/>
      <c r="P70" s="1456"/>
      <c r="Q70" s="1456"/>
      <c r="R70" s="1456"/>
      <c r="S70" s="1456"/>
      <c r="T70" s="1456"/>
      <c r="U70" s="1456"/>
      <c r="V70" s="288"/>
      <c r="W70" s="140"/>
      <c r="X70" s="140"/>
      <c r="Y70" s="140"/>
      <c r="Z70" s="140"/>
      <c r="AA70" s="140"/>
      <c r="AB70" s="140"/>
      <c r="AC70" s="140"/>
      <c r="CA70" s="1467" t="str">
        <f t="shared" si="7"/>
        <v/>
      </c>
      <c r="CB70" s="1467"/>
      <c r="CC70" s="1467"/>
      <c r="CD70" s="1467"/>
      <c r="CE70" s="1467"/>
      <c r="CF70" s="1467"/>
      <c r="CG70" s="1468">
        <f t="shared" si="8"/>
        <v>0</v>
      </c>
      <c r="CH70" s="1465"/>
      <c r="CI70" s="1465"/>
      <c r="CJ70" s="1465"/>
      <c r="CK70" s="1465"/>
      <c r="CL70" s="1465"/>
      <c r="CM70" s="1465"/>
      <c r="CN70" s="1465"/>
      <c r="CO70" s="1465"/>
    </row>
    <row r="71" spans="1:93" x14ac:dyDescent="0.25">
      <c r="A71" s="10303"/>
      <c r="B71" s="8407" t="s">
        <v>499</v>
      </c>
      <c r="C71" s="9095"/>
      <c r="D71" s="1953">
        <f t="shared" si="5"/>
        <v>0</v>
      </c>
      <c r="E71" s="1954"/>
      <c r="F71" s="1955"/>
      <c r="G71" s="1955"/>
      <c r="H71" s="1958"/>
      <c r="I71" s="1895"/>
      <c r="J71" s="1193" t="str">
        <f t="shared" si="6"/>
        <v/>
      </c>
      <c r="K71" s="1456"/>
      <c r="L71" s="1456"/>
      <c r="M71" s="1456"/>
      <c r="N71" s="1456"/>
      <c r="O71" s="1456"/>
      <c r="P71" s="1456"/>
      <c r="Q71" s="1456"/>
      <c r="R71" s="1456"/>
      <c r="S71" s="1456"/>
      <c r="T71" s="1456"/>
      <c r="U71" s="1456"/>
      <c r="V71" s="288"/>
      <c r="W71" s="140"/>
      <c r="X71" s="140"/>
      <c r="Y71" s="140"/>
      <c r="Z71" s="140"/>
      <c r="AA71" s="140"/>
      <c r="AB71" s="140"/>
      <c r="AC71" s="140"/>
      <c r="CA71" s="1467" t="str">
        <f t="shared" si="7"/>
        <v/>
      </c>
      <c r="CB71" s="1467"/>
      <c r="CC71" s="1467"/>
      <c r="CD71" s="1467"/>
      <c r="CE71" s="1467"/>
      <c r="CF71" s="1467"/>
      <c r="CG71" s="1468">
        <f t="shared" si="8"/>
        <v>0</v>
      </c>
      <c r="CH71" s="1465"/>
      <c r="CI71" s="1465"/>
      <c r="CJ71" s="1465"/>
      <c r="CK71" s="1465"/>
      <c r="CL71" s="1465"/>
      <c r="CM71" s="1465"/>
      <c r="CN71" s="1465"/>
      <c r="CO71" s="1465"/>
    </row>
    <row r="72" spans="1:93" x14ac:dyDescent="0.25">
      <c r="A72" s="10303"/>
      <c r="B72" s="10294" t="s">
        <v>500</v>
      </c>
      <c r="C72" s="359" t="s">
        <v>501</v>
      </c>
      <c r="D72" s="1960">
        <f t="shared" si="5"/>
        <v>0</v>
      </c>
      <c r="E72" s="1332"/>
      <c r="F72" s="1703"/>
      <c r="G72" s="1703"/>
      <c r="H72" s="166"/>
      <c r="I72" s="1335"/>
      <c r="J72" s="1193" t="str">
        <f t="shared" si="6"/>
        <v/>
      </c>
      <c r="K72" s="1456"/>
      <c r="L72" s="1456"/>
      <c r="M72" s="1456"/>
      <c r="N72" s="1456"/>
      <c r="O72" s="1456"/>
      <c r="P72" s="1456"/>
      <c r="Q72" s="1456"/>
      <c r="R72" s="1456"/>
      <c r="S72" s="1456"/>
      <c r="T72" s="1456"/>
      <c r="U72" s="1456"/>
      <c r="V72" s="288"/>
      <c r="W72" s="140"/>
      <c r="X72" s="140"/>
      <c r="Y72" s="140"/>
      <c r="Z72" s="140"/>
      <c r="AA72" s="140"/>
      <c r="AB72" s="140"/>
      <c r="AC72" s="140"/>
      <c r="CA72" s="1467" t="str">
        <f t="shared" si="7"/>
        <v/>
      </c>
      <c r="CB72" s="1467"/>
      <c r="CC72" s="1467"/>
      <c r="CD72" s="1467"/>
      <c r="CE72" s="1467"/>
      <c r="CF72" s="1467"/>
      <c r="CG72" s="1468">
        <f t="shared" si="8"/>
        <v>0</v>
      </c>
      <c r="CH72" s="1465"/>
      <c r="CI72" s="1465"/>
      <c r="CJ72" s="1465"/>
      <c r="CK72" s="1465"/>
      <c r="CL72" s="1465"/>
      <c r="CM72" s="1465"/>
      <c r="CN72" s="1465"/>
      <c r="CO72" s="1465"/>
    </row>
    <row r="73" spans="1:93" x14ac:dyDescent="0.25">
      <c r="A73" s="10303"/>
      <c r="B73" s="10294"/>
      <c r="C73" s="359" t="s">
        <v>502</v>
      </c>
      <c r="D73" s="92">
        <f t="shared" si="5"/>
        <v>0</v>
      </c>
      <c r="E73" s="110"/>
      <c r="F73" s="111"/>
      <c r="G73" s="111"/>
      <c r="H73" s="168"/>
      <c r="I73" s="206"/>
      <c r="J73" s="1193" t="str">
        <f t="shared" si="6"/>
        <v/>
      </c>
      <c r="K73" s="1456"/>
      <c r="L73" s="1456"/>
      <c r="M73" s="1456"/>
      <c r="N73" s="1456"/>
      <c r="O73" s="1456"/>
      <c r="P73" s="1456"/>
      <c r="Q73" s="1456"/>
      <c r="R73" s="1456"/>
      <c r="S73" s="1456"/>
      <c r="T73" s="1456"/>
      <c r="U73" s="1456"/>
      <c r="V73" s="288"/>
      <c r="W73" s="140"/>
      <c r="X73" s="140"/>
      <c r="Y73" s="140"/>
      <c r="Z73" s="140"/>
      <c r="AA73" s="140"/>
      <c r="AB73" s="140"/>
      <c r="AC73" s="140"/>
      <c r="CA73" s="1467" t="str">
        <f t="shared" si="7"/>
        <v/>
      </c>
      <c r="CB73" s="1467"/>
      <c r="CC73" s="1467"/>
      <c r="CD73" s="1467"/>
      <c r="CE73" s="1467"/>
      <c r="CF73" s="1467"/>
      <c r="CG73" s="1468">
        <f t="shared" si="8"/>
        <v>0</v>
      </c>
      <c r="CH73" s="1465"/>
      <c r="CI73" s="1465"/>
      <c r="CJ73" s="1465"/>
      <c r="CK73" s="1465"/>
      <c r="CL73" s="1465"/>
      <c r="CM73" s="1465"/>
      <c r="CN73" s="1465"/>
      <c r="CO73" s="1465"/>
    </row>
    <row r="74" spans="1:93" x14ac:dyDescent="0.25">
      <c r="A74" s="10303"/>
      <c r="B74" s="10299" t="s">
        <v>622</v>
      </c>
      <c r="C74" s="10299"/>
      <c r="D74" s="92">
        <f t="shared" si="5"/>
        <v>0</v>
      </c>
      <c r="E74" s="110"/>
      <c r="F74" s="111"/>
      <c r="G74" s="111"/>
      <c r="H74" s="168"/>
      <c r="I74" s="206"/>
      <c r="J74" s="1193" t="str">
        <f t="shared" si="6"/>
        <v/>
      </c>
      <c r="K74" s="1456"/>
      <c r="L74" s="1456"/>
      <c r="M74" s="1456"/>
      <c r="N74" s="1456"/>
      <c r="O74" s="1456"/>
      <c r="P74" s="1456"/>
      <c r="Q74" s="1456"/>
      <c r="R74" s="1456"/>
      <c r="S74" s="1456"/>
      <c r="T74" s="1456"/>
      <c r="U74" s="1456"/>
      <c r="V74" s="288"/>
      <c r="W74" s="140"/>
      <c r="X74" s="140"/>
      <c r="Y74" s="140"/>
      <c r="Z74" s="140"/>
      <c r="AA74" s="140"/>
      <c r="AB74" s="140"/>
      <c r="AC74" s="140"/>
      <c r="CA74" s="1467" t="str">
        <f t="shared" si="7"/>
        <v/>
      </c>
      <c r="CB74" s="1467"/>
      <c r="CC74" s="1467"/>
      <c r="CD74" s="1467"/>
      <c r="CE74" s="1467"/>
      <c r="CF74" s="1467"/>
      <c r="CG74" s="1468">
        <f t="shared" si="8"/>
        <v>0</v>
      </c>
      <c r="CH74" s="1465"/>
      <c r="CI74" s="1465"/>
      <c r="CJ74" s="1465"/>
      <c r="CK74" s="1465"/>
      <c r="CL74" s="1465"/>
      <c r="CM74" s="1465"/>
      <c r="CN74" s="1465"/>
      <c r="CO74" s="1465"/>
    </row>
    <row r="75" spans="1:93" x14ac:dyDescent="0.25">
      <c r="A75" s="10303"/>
      <c r="B75" s="10300" t="s">
        <v>503</v>
      </c>
      <c r="C75" s="10301"/>
      <c r="D75" s="92">
        <f t="shared" si="5"/>
        <v>0</v>
      </c>
      <c r="E75" s="110"/>
      <c r="F75" s="111"/>
      <c r="G75" s="111"/>
      <c r="H75" s="168"/>
      <c r="I75" s="206"/>
      <c r="J75" s="1193" t="str">
        <f t="shared" si="6"/>
        <v/>
      </c>
      <c r="K75" s="1456"/>
      <c r="L75" s="1456"/>
      <c r="M75" s="1456"/>
      <c r="N75" s="1456"/>
      <c r="O75" s="1456"/>
      <c r="P75" s="1456"/>
      <c r="Q75" s="1456"/>
      <c r="R75" s="1456"/>
      <c r="S75" s="1456"/>
      <c r="T75" s="1456"/>
      <c r="U75" s="1456"/>
      <c r="V75" s="288"/>
      <c r="W75" s="140"/>
      <c r="X75" s="140"/>
      <c r="Y75" s="140"/>
      <c r="Z75" s="140"/>
      <c r="AA75" s="140"/>
      <c r="AB75" s="140"/>
      <c r="AC75" s="140"/>
      <c r="CA75" s="1467" t="str">
        <f t="shared" si="7"/>
        <v/>
      </c>
      <c r="CB75" s="1467"/>
      <c r="CC75" s="1467"/>
      <c r="CD75" s="1467"/>
      <c r="CE75" s="1467"/>
      <c r="CF75" s="1467"/>
      <c r="CG75" s="1468">
        <f t="shared" si="8"/>
        <v>0</v>
      </c>
      <c r="CH75" s="1465"/>
      <c r="CI75" s="1465"/>
      <c r="CJ75" s="1465"/>
      <c r="CK75" s="1465"/>
      <c r="CL75" s="1465"/>
      <c r="CM75" s="1465"/>
      <c r="CN75" s="1465"/>
      <c r="CO75" s="1465"/>
    </row>
    <row r="76" spans="1:93" x14ac:dyDescent="0.25">
      <c r="A76" s="10303"/>
      <c r="B76" s="9169" t="s">
        <v>504</v>
      </c>
      <c r="C76" s="9170"/>
      <c r="D76" s="92">
        <f t="shared" si="5"/>
        <v>0</v>
      </c>
      <c r="E76" s="137"/>
      <c r="F76" s="115"/>
      <c r="G76" s="115"/>
      <c r="H76" s="116"/>
      <c r="I76" s="207"/>
      <c r="J76" s="1193" t="str">
        <f t="shared" si="6"/>
        <v/>
      </c>
      <c r="K76" s="1456"/>
      <c r="L76" s="1456"/>
      <c r="M76" s="1456"/>
      <c r="N76" s="1456"/>
      <c r="O76" s="1456"/>
      <c r="P76" s="1456"/>
      <c r="Q76" s="1456"/>
      <c r="R76" s="1456"/>
      <c r="S76" s="1456"/>
      <c r="T76" s="1456"/>
      <c r="U76" s="1456"/>
      <c r="V76" s="288"/>
      <c r="W76" s="140"/>
      <c r="X76" s="140"/>
      <c r="Y76" s="140"/>
      <c r="Z76" s="140"/>
      <c r="AA76" s="140"/>
      <c r="AB76" s="140"/>
      <c r="AC76" s="140"/>
      <c r="CA76" s="1467" t="str">
        <f t="shared" si="7"/>
        <v/>
      </c>
      <c r="CB76" s="1467"/>
      <c r="CC76" s="1467"/>
      <c r="CD76" s="1467"/>
      <c r="CE76" s="1467"/>
      <c r="CF76" s="1467"/>
      <c r="CG76" s="1468">
        <f t="shared" si="8"/>
        <v>0</v>
      </c>
      <c r="CH76" s="1465"/>
      <c r="CI76" s="1465"/>
      <c r="CJ76" s="1465"/>
      <c r="CK76" s="1465"/>
      <c r="CL76" s="1465"/>
      <c r="CM76" s="1465"/>
      <c r="CN76" s="1465"/>
      <c r="CO76" s="1465"/>
    </row>
    <row r="77" spans="1:93" x14ac:dyDescent="0.25">
      <c r="A77" s="10303"/>
      <c r="B77" s="9961" t="s">
        <v>505</v>
      </c>
      <c r="C77" s="9962"/>
      <c r="D77" s="92">
        <f t="shared" si="5"/>
        <v>0</v>
      </c>
      <c r="E77" s="137"/>
      <c r="F77" s="115"/>
      <c r="G77" s="115"/>
      <c r="H77" s="116"/>
      <c r="I77" s="207"/>
      <c r="J77" s="1193" t="str">
        <f t="shared" si="6"/>
        <v/>
      </c>
      <c r="K77" s="1456"/>
      <c r="L77" s="1456"/>
      <c r="M77" s="1456"/>
      <c r="N77" s="1456"/>
      <c r="O77" s="1456"/>
      <c r="P77" s="1456"/>
      <c r="Q77" s="1456"/>
      <c r="R77" s="1456"/>
      <c r="S77" s="1456"/>
      <c r="T77" s="1456"/>
      <c r="U77" s="1456"/>
      <c r="V77" s="288"/>
      <c r="W77" s="140"/>
      <c r="X77" s="140"/>
      <c r="Y77" s="140"/>
      <c r="Z77" s="140"/>
      <c r="AA77" s="140"/>
      <c r="AB77" s="140"/>
      <c r="AC77" s="140"/>
      <c r="CA77" s="1467" t="str">
        <f t="shared" si="7"/>
        <v/>
      </c>
      <c r="CB77" s="1467"/>
      <c r="CC77" s="1467"/>
      <c r="CD77" s="1467"/>
      <c r="CE77" s="1467"/>
      <c r="CF77" s="1467"/>
      <c r="CG77" s="1468">
        <f t="shared" si="8"/>
        <v>0</v>
      </c>
      <c r="CH77" s="1465"/>
      <c r="CI77" s="1465"/>
      <c r="CJ77" s="1465"/>
      <c r="CK77" s="1465"/>
      <c r="CL77" s="1465"/>
      <c r="CM77" s="1465"/>
      <c r="CN77" s="1465"/>
      <c r="CO77" s="1465"/>
    </row>
    <row r="78" spans="1:93" x14ac:dyDescent="0.25">
      <c r="A78" s="10303"/>
      <c r="B78" s="8561" t="s">
        <v>506</v>
      </c>
      <c r="C78" s="346" t="s">
        <v>507</v>
      </c>
      <c r="D78" s="329">
        <f t="shared" si="5"/>
        <v>0</v>
      </c>
      <c r="E78" s="106"/>
      <c r="F78" s="89"/>
      <c r="G78" s="89"/>
      <c r="H78" s="174"/>
      <c r="I78" s="205"/>
      <c r="J78" s="1193" t="str">
        <f t="shared" si="6"/>
        <v/>
      </c>
      <c r="K78" s="1456"/>
      <c r="L78" s="1456"/>
      <c r="M78" s="1456"/>
      <c r="N78" s="1456"/>
      <c r="O78" s="1456"/>
      <c r="P78" s="1456"/>
      <c r="Q78" s="1456"/>
      <c r="R78" s="1456"/>
      <c r="S78" s="1456"/>
      <c r="T78" s="1456"/>
      <c r="U78" s="1456"/>
      <c r="V78" s="288"/>
      <c r="W78" s="140"/>
      <c r="X78" s="140"/>
      <c r="Y78" s="140"/>
      <c r="Z78" s="140"/>
      <c r="AA78" s="140"/>
      <c r="AB78" s="140"/>
      <c r="AC78" s="140"/>
      <c r="CA78" s="1467" t="str">
        <f t="shared" si="7"/>
        <v/>
      </c>
      <c r="CB78" s="1467"/>
      <c r="CC78" s="1467"/>
      <c r="CD78" s="1467"/>
      <c r="CE78" s="1467"/>
      <c r="CF78" s="1467"/>
      <c r="CG78" s="1468">
        <f t="shared" si="8"/>
        <v>0</v>
      </c>
      <c r="CH78" s="1465"/>
      <c r="CI78" s="1465"/>
      <c r="CJ78" s="1465"/>
      <c r="CK78" s="1465"/>
      <c r="CL78" s="1465"/>
      <c r="CM78" s="1465"/>
      <c r="CN78" s="1465"/>
      <c r="CO78" s="1465"/>
    </row>
    <row r="79" spans="1:93" x14ac:dyDescent="0.25">
      <c r="A79" s="10303"/>
      <c r="B79" s="8125"/>
      <c r="C79" s="360" t="s">
        <v>508</v>
      </c>
      <c r="D79" s="92">
        <f>SUM(E79:H79)</f>
        <v>0</v>
      </c>
      <c r="E79" s="110"/>
      <c r="F79" s="111"/>
      <c r="G79" s="111"/>
      <c r="H79" s="168"/>
      <c r="I79" s="206"/>
      <c r="J79" s="1193" t="str">
        <f t="shared" si="6"/>
        <v/>
      </c>
      <c r="K79" s="1456"/>
      <c r="L79" s="1456"/>
      <c r="M79" s="1456"/>
      <c r="N79" s="1456"/>
      <c r="O79" s="1456"/>
      <c r="P79" s="1456"/>
      <c r="Q79" s="1456"/>
      <c r="R79" s="1456"/>
      <c r="S79" s="1456"/>
      <c r="T79" s="1456"/>
      <c r="U79" s="1456"/>
      <c r="V79" s="288"/>
      <c r="W79" s="140"/>
      <c r="X79" s="140"/>
      <c r="Y79" s="140"/>
      <c r="Z79" s="140"/>
      <c r="AA79" s="140"/>
      <c r="AB79" s="140"/>
      <c r="AC79" s="140"/>
      <c r="CA79" s="1467" t="str">
        <f t="shared" si="7"/>
        <v/>
      </c>
      <c r="CB79" s="1467"/>
      <c r="CC79" s="1467"/>
      <c r="CD79" s="1467"/>
      <c r="CE79" s="1467"/>
      <c r="CF79" s="1467"/>
      <c r="CG79" s="1468">
        <f t="shared" si="8"/>
        <v>0</v>
      </c>
      <c r="CH79" s="1465"/>
      <c r="CI79" s="1465"/>
      <c r="CJ79" s="1465"/>
      <c r="CK79" s="1465"/>
      <c r="CL79" s="1465"/>
      <c r="CM79" s="1465"/>
      <c r="CN79" s="1465"/>
      <c r="CO79" s="1465"/>
    </row>
    <row r="80" spans="1:93" ht="22.5" x14ac:dyDescent="0.25">
      <c r="A80" s="10305"/>
      <c r="B80" s="8190"/>
      <c r="C80" s="2876" t="s">
        <v>509</v>
      </c>
      <c r="D80" s="2563">
        <f t="shared" si="5"/>
        <v>0</v>
      </c>
      <c r="E80" s="2574"/>
      <c r="F80" s="2627"/>
      <c r="G80" s="2627"/>
      <c r="H80" s="2875"/>
      <c r="I80" s="2585"/>
      <c r="J80" s="1193" t="str">
        <f t="shared" si="6"/>
        <v/>
      </c>
      <c r="K80" s="1456"/>
      <c r="L80" s="1456"/>
      <c r="M80" s="1456"/>
      <c r="N80" s="1456"/>
      <c r="O80" s="1456"/>
      <c r="P80" s="1456"/>
      <c r="Q80" s="1456"/>
      <c r="R80" s="1456"/>
      <c r="S80" s="1456"/>
      <c r="T80" s="1456"/>
      <c r="U80" s="1456"/>
      <c r="V80" s="288"/>
      <c r="W80" s="140"/>
      <c r="X80" s="140"/>
      <c r="Y80" s="140"/>
      <c r="Z80" s="140"/>
      <c r="AA80" s="140"/>
      <c r="AB80" s="140"/>
      <c r="AC80" s="140"/>
      <c r="CA80" s="1467" t="str">
        <f t="shared" si="7"/>
        <v/>
      </c>
      <c r="CB80" s="1467"/>
      <c r="CC80" s="1467"/>
      <c r="CD80" s="1467"/>
      <c r="CE80" s="1467"/>
      <c r="CF80" s="1467"/>
      <c r="CG80" s="1468">
        <f t="shared" si="8"/>
        <v>0</v>
      </c>
      <c r="CH80" s="1465"/>
      <c r="CI80" s="1465"/>
      <c r="CJ80" s="1465"/>
      <c r="CK80" s="1465"/>
      <c r="CL80" s="1465"/>
      <c r="CM80" s="1465"/>
      <c r="CN80" s="1465"/>
      <c r="CO80" s="1465"/>
    </row>
    <row r="81" spans="1:93" x14ac:dyDescent="0.25">
      <c r="A81" s="10305"/>
      <c r="B81" s="8190"/>
      <c r="C81" s="3685" t="s">
        <v>2696</v>
      </c>
      <c r="D81" s="2563">
        <f>SUM(E81:H81)</f>
        <v>0</v>
      </c>
      <c r="E81" s="2574"/>
      <c r="F81" s="2627"/>
      <c r="G81" s="2627"/>
      <c r="H81" s="2875"/>
      <c r="I81" s="2585"/>
      <c r="J81" s="1193" t="str">
        <f t="shared" si="6"/>
        <v/>
      </c>
      <c r="K81" s="1456"/>
      <c r="L81" s="1456"/>
      <c r="M81" s="1456"/>
      <c r="N81" s="1456"/>
      <c r="O81" s="1456"/>
      <c r="P81" s="1456"/>
      <c r="Q81" s="1456"/>
      <c r="R81" s="1456"/>
      <c r="S81" s="1456"/>
      <c r="T81" s="1456"/>
      <c r="U81" s="1456"/>
      <c r="V81" s="288"/>
      <c r="W81" s="140"/>
      <c r="X81" s="140"/>
      <c r="Y81" s="140"/>
      <c r="Z81" s="140"/>
      <c r="AA81" s="140"/>
      <c r="AB81" s="140"/>
      <c r="AC81" s="140"/>
      <c r="CA81" s="1467" t="str">
        <f t="shared" si="7"/>
        <v/>
      </c>
      <c r="CB81" s="1467"/>
      <c r="CC81" s="1467"/>
      <c r="CD81" s="1467"/>
      <c r="CE81" s="1467"/>
      <c r="CF81" s="1467"/>
      <c r="CG81" s="1468">
        <f t="shared" si="8"/>
        <v>0</v>
      </c>
      <c r="CH81" s="1465"/>
      <c r="CI81" s="1465"/>
      <c r="CJ81" s="1465"/>
      <c r="CK81" s="1465"/>
      <c r="CL81" s="1465"/>
      <c r="CM81" s="1465"/>
      <c r="CN81" s="1465"/>
      <c r="CO81" s="1465"/>
    </row>
    <row r="82" spans="1:93" x14ac:dyDescent="0.25">
      <c r="A82" s="10303"/>
      <c r="B82" s="8562"/>
      <c r="C82" s="3685" t="s">
        <v>2697</v>
      </c>
      <c r="D82" s="92">
        <f t="shared" si="5"/>
        <v>0</v>
      </c>
      <c r="E82" s="137"/>
      <c r="F82" s="115"/>
      <c r="G82" s="115"/>
      <c r="H82" s="116"/>
      <c r="I82" s="207"/>
      <c r="J82" s="1193" t="str">
        <f t="shared" si="6"/>
        <v/>
      </c>
      <c r="K82" s="1456"/>
      <c r="L82" s="1456"/>
      <c r="M82" s="1456"/>
      <c r="N82" s="1456"/>
      <c r="O82" s="1456"/>
      <c r="P82" s="1456"/>
      <c r="Q82" s="1456"/>
      <c r="R82" s="1456"/>
      <c r="S82" s="1456"/>
      <c r="T82" s="1456"/>
      <c r="U82" s="1456"/>
      <c r="V82" s="288"/>
      <c r="W82" s="140"/>
      <c r="X82" s="140"/>
      <c r="Y82" s="140"/>
      <c r="Z82" s="140"/>
      <c r="AA82" s="140"/>
      <c r="AB82" s="140"/>
      <c r="AC82" s="140"/>
      <c r="CA82" s="1467" t="str">
        <f t="shared" si="7"/>
        <v/>
      </c>
      <c r="CB82" s="1467"/>
      <c r="CC82" s="1467"/>
      <c r="CD82" s="1467"/>
      <c r="CE82" s="1467"/>
      <c r="CF82" s="1467"/>
      <c r="CG82" s="1468">
        <f t="shared" si="8"/>
        <v>0</v>
      </c>
      <c r="CH82" s="1465"/>
      <c r="CI82" s="1465"/>
      <c r="CJ82" s="1465"/>
      <c r="CK82" s="1465"/>
      <c r="CL82" s="1465"/>
      <c r="CM82" s="1465"/>
      <c r="CN82" s="1465"/>
      <c r="CO82" s="1465"/>
    </row>
    <row r="83" spans="1:93" x14ac:dyDescent="0.25">
      <c r="A83" s="10303"/>
      <c r="B83" s="10309" t="s">
        <v>510</v>
      </c>
      <c r="C83" s="10310"/>
      <c r="D83" s="76">
        <f>SUM(E83:H83)</f>
        <v>0</v>
      </c>
      <c r="E83" s="106"/>
      <c r="F83" s="89"/>
      <c r="G83" s="89"/>
      <c r="H83" s="361"/>
      <c r="I83" s="205"/>
      <c r="J83" s="1193" t="str">
        <f t="shared" si="6"/>
        <v/>
      </c>
      <c r="K83" s="1456"/>
      <c r="L83" s="1456"/>
      <c r="M83" s="1456"/>
      <c r="N83" s="1456"/>
      <c r="O83" s="1456"/>
      <c r="P83" s="1456"/>
      <c r="Q83" s="1456"/>
      <c r="R83" s="1456"/>
      <c r="S83" s="1456"/>
      <c r="T83" s="1456"/>
      <c r="U83" s="1456"/>
      <c r="V83" s="288"/>
      <c r="W83" s="140"/>
      <c r="X83" s="140"/>
      <c r="Y83" s="140"/>
      <c r="Z83" s="140"/>
      <c r="AA83" s="140"/>
      <c r="AB83" s="140"/>
      <c r="AC83" s="140"/>
      <c r="CA83" s="1467" t="str">
        <f t="shared" si="7"/>
        <v/>
      </c>
      <c r="CB83" s="1467"/>
      <c r="CC83" s="1467"/>
      <c r="CD83" s="1467"/>
      <c r="CE83" s="1467"/>
      <c r="CF83" s="1467"/>
      <c r="CG83" s="1468">
        <f t="shared" si="8"/>
        <v>0</v>
      </c>
      <c r="CH83" s="1465"/>
      <c r="CI83" s="1465"/>
      <c r="CJ83" s="1465"/>
      <c r="CK83" s="1465"/>
      <c r="CL83" s="1465"/>
      <c r="CM83" s="1465"/>
      <c r="CN83" s="1465"/>
      <c r="CO83" s="1465"/>
    </row>
    <row r="84" spans="1:93" x14ac:dyDescent="0.25">
      <c r="A84" s="10303"/>
      <c r="B84" s="10286" t="s">
        <v>511</v>
      </c>
      <c r="C84" s="10287"/>
      <c r="D84" s="336">
        <f>SUM(E84:H84)</f>
        <v>0</v>
      </c>
      <c r="E84" s="148"/>
      <c r="F84" s="95"/>
      <c r="G84" s="95"/>
      <c r="H84" s="362"/>
      <c r="I84" s="210"/>
      <c r="J84" s="1193" t="str">
        <f t="shared" si="6"/>
        <v/>
      </c>
      <c r="K84" s="1456"/>
      <c r="L84" s="1456"/>
      <c r="M84" s="1456"/>
      <c r="N84" s="1456"/>
      <c r="O84" s="1456"/>
      <c r="P84" s="1456"/>
      <c r="Q84" s="1456"/>
      <c r="R84" s="1456"/>
      <c r="S84" s="1456"/>
      <c r="T84" s="1456"/>
      <c r="U84" s="1456"/>
      <c r="V84" s="288"/>
      <c r="W84" s="140"/>
      <c r="X84" s="140"/>
      <c r="Y84" s="140"/>
      <c r="Z84" s="140"/>
      <c r="AA84" s="140"/>
      <c r="AB84" s="140"/>
      <c r="AC84" s="140"/>
      <c r="CA84" s="1467" t="str">
        <f t="shared" si="7"/>
        <v/>
      </c>
      <c r="CB84" s="1467"/>
      <c r="CC84" s="1467"/>
      <c r="CD84" s="1467"/>
      <c r="CE84" s="1467"/>
      <c r="CF84" s="1467"/>
      <c r="CG84" s="1468">
        <f t="shared" si="8"/>
        <v>0</v>
      </c>
      <c r="CH84" s="1465"/>
      <c r="CI84" s="1465"/>
      <c r="CJ84" s="1465"/>
      <c r="CK84" s="1465"/>
      <c r="CL84" s="1465"/>
      <c r="CM84" s="1465"/>
      <c r="CN84" s="1465"/>
      <c r="CO84" s="1465"/>
    </row>
    <row r="85" spans="1:93" x14ac:dyDescent="0.25">
      <c r="A85" s="10306"/>
      <c r="B85" s="10311" t="s">
        <v>24</v>
      </c>
      <c r="C85" s="10312"/>
      <c r="D85" s="348">
        <f>SUM(E85:H85)</f>
        <v>0</v>
      </c>
      <c r="E85" s="310">
        <f>SUM(E51:E84)</f>
        <v>0</v>
      </c>
      <c r="F85" s="351">
        <f>SUM(F51:F84)</f>
        <v>0</v>
      </c>
      <c r="G85" s="351">
        <f>SUM(G51:G84)</f>
        <v>0</v>
      </c>
      <c r="H85" s="363">
        <f>SUM(H51:H84)</f>
        <v>0</v>
      </c>
      <c r="I85" s="364">
        <f>SUM(I51:I84)</f>
        <v>0</v>
      </c>
      <c r="J85" s="288"/>
      <c r="K85" s="301"/>
      <c r="L85" s="301"/>
      <c r="M85" s="301"/>
      <c r="N85" s="301"/>
      <c r="O85" s="301"/>
      <c r="P85" s="301"/>
      <c r="Q85" s="301"/>
      <c r="R85" s="288"/>
      <c r="S85" s="288"/>
      <c r="T85" s="288"/>
      <c r="U85" s="288"/>
      <c r="V85" s="288"/>
      <c r="W85" s="140"/>
      <c r="X85" s="140"/>
      <c r="Y85" s="140"/>
      <c r="Z85" s="140"/>
      <c r="AA85" s="140"/>
      <c r="AB85" s="140"/>
      <c r="CA85" s="1467"/>
      <c r="CG85" s="1468"/>
      <c r="CH85" s="1465"/>
      <c r="CI85" s="1465"/>
      <c r="CJ85" s="1465"/>
      <c r="CK85" s="1465"/>
      <c r="CL85" s="1465"/>
      <c r="CM85" s="1465"/>
      <c r="CN85" s="1465"/>
      <c r="CO85" s="1465"/>
    </row>
    <row r="86" spans="1:93" ht="32.1" customHeight="1" x14ac:dyDescent="0.25">
      <c r="A86" s="365" t="s">
        <v>3640</v>
      </c>
      <c r="B86" s="354"/>
      <c r="C86" s="354"/>
      <c r="D86" s="354"/>
      <c r="E86" s="366"/>
      <c r="F86" s="366"/>
      <c r="G86" s="366"/>
      <c r="H86" s="366"/>
      <c r="I86" s="366"/>
      <c r="J86" s="366"/>
      <c r="K86" s="239"/>
      <c r="L86" s="239"/>
      <c r="M86" s="239"/>
      <c r="N86" s="214"/>
      <c r="O86" s="214"/>
      <c r="P86" s="214"/>
      <c r="Q86" s="214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CG86" s="1465"/>
      <c r="CH86" s="1465"/>
      <c r="CI86" s="1465"/>
      <c r="CJ86" s="1465"/>
      <c r="CK86" s="1465"/>
      <c r="CL86" s="1465"/>
      <c r="CM86" s="1465"/>
      <c r="CN86" s="1465"/>
      <c r="CO86" s="1465"/>
    </row>
    <row r="87" spans="1:93" ht="26.45" customHeight="1" x14ac:dyDescent="0.25">
      <c r="A87" s="10324" t="s">
        <v>132</v>
      </c>
      <c r="B87" s="10325"/>
      <c r="C87" s="10326"/>
      <c r="D87" s="2210" t="s">
        <v>517</v>
      </c>
      <c r="E87" s="10316"/>
      <c r="F87" s="10316"/>
      <c r="G87" s="214"/>
      <c r="H87" s="214"/>
      <c r="I87" s="214"/>
      <c r="J87" s="214"/>
      <c r="K87" s="214"/>
      <c r="L87" s="214"/>
      <c r="M87" s="214"/>
      <c r="N87" s="214"/>
      <c r="O87" s="214"/>
      <c r="P87" s="214"/>
      <c r="Q87" s="214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CG87" s="1465"/>
      <c r="CH87" s="1465"/>
      <c r="CI87" s="1465"/>
      <c r="CJ87" s="1465"/>
      <c r="CK87" s="1465"/>
      <c r="CL87" s="1465"/>
      <c r="CM87" s="1465"/>
      <c r="CN87" s="1465"/>
      <c r="CO87" s="1465"/>
    </row>
    <row r="88" spans="1:93" x14ac:dyDescent="0.25">
      <c r="A88" s="10313" t="s">
        <v>138</v>
      </c>
      <c r="B88" s="10314"/>
      <c r="C88" s="10315"/>
      <c r="D88" s="238"/>
      <c r="E88" s="10316"/>
      <c r="F88" s="10316"/>
      <c r="G88" s="214"/>
      <c r="H88" s="214"/>
      <c r="I88" s="214"/>
      <c r="J88" s="214"/>
      <c r="K88" s="214"/>
      <c r="L88" s="214"/>
      <c r="M88" s="214"/>
      <c r="N88" s="214"/>
      <c r="O88" s="214"/>
      <c r="P88" s="214"/>
      <c r="Q88" s="214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CG88" s="1465"/>
      <c r="CH88" s="1465"/>
      <c r="CI88" s="1465"/>
      <c r="CJ88" s="1465"/>
      <c r="CK88" s="1465"/>
      <c r="CL88" s="1465"/>
      <c r="CM88" s="1465"/>
      <c r="CN88" s="1465"/>
      <c r="CO88" s="1465"/>
    </row>
    <row r="89" spans="1:93" x14ac:dyDescent="0.25">
      <c r="A89" s="10317" t="s">
        <v>518</v>
      </c>
      <c r="B89" s="10318"/>
      <c r="C89" s="10319"/>
      <c r="D89" s="238"/>
      <c r="E89" s="10316"/>
      <c r="F89" s="10316"/>
      <c r="G89" s="214"/>
      <c r="H89" s="214"/>
      <c r="I89" s="214"/>
      <c r="J89" s="214"/>
      <c r="K89" s="214"/>
      <c r="L89" s="214"/>
      <c r="M89" s="214"/>
      <c r="N89" s="214"/>
      <c r="O89" s="214"/>
      <c r="P89" s="214"/>
      <c r="Q89" s="214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CG89" s="1465"/>
      <c r="CH89" s="1465"/>
      <c r="CI89" s="1465"/>
      <c r="CJ89" s="1465"/>
      <c r="CK89" s="1465"/>
      <c r="CL89" s="1465"/>
      <c r="CM89" s="1465"/>
      <c r="CN89" s="1465"/>
      <c r="CO89" s="1465"/>
    </row>
    <row r="90" spans="1:93" x14ac:dyDescent="0.25">
      <c r="A90" s="10320" t="s">
        <v>519</v>
      </c>
      <c r="B90" s="10321"/>
      <c r="C90" s="10322"/>
      <c r="D90" s="256"/>
      <c r="E90" s="214"/>
      <c r="F90" s="214"/>
      <c r="G90" s="214"/>
      <c r="H90" s="214"/>
      <c r="I90" s="214"/>
      <c r="J90" s="214"/>
      <c r="K90" s="214"/>
      <c r="L90" s="214"/>
      <c r="M90" s="214"/>
      <c r="N90" s="214"/>
      <c r="O90" s="214"/>
      <c r="P90" s="214"/>
      <c r="Q90" s="214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CG90" s="1465"/>
      <c r="CH90" s="1465"/>
      <c r="CI90" s="1465"/>
      <c r="CJ90" s="1465"/>
      <c r="CK90" s="1465"/>
      <c r="CL90" s="1465"/>
      <c r="CM90" s="1465"/>
      <c r="CN90" s="1465"/>
      <c r="CO90" s="1465"/>
    </row>
    <row r="91" spans="1:93" ht="32.1" customHeight="1" x14ac:dyDescent="0.25">
      <c r="A91" s="367" t="s">
        <v>3641</v>
      </c>
      <c r="B91" s="367"/>
      <c r="C91" s="368"/>
      <c r="E91" s="370"/>
      <c r="CG91" s="1465"/>
      <c r="CH91" s="1465"/>
      <c r="CI91" s="1465"/>
      <c r="CJ91" s="1465"/>
      <c r="CK91" s="1465"/>
      <c r="CL91" s="1465"/>
      <c r="CM91" s="1465"/>
      <c r="CN91" s="1465"/>
      <c r="CO91" s="1465"/>
    </row>
    <row r="92" spans="1:93" x14ac:dyDescent="0.25">
      <c r="A92" s="10323" t="s">
        <v>520</v>
      </c>
      <c r="B92" s="10323"/>
      <c r="C92" s="10323"/>
      <c r="D92" s="10324" t="s">
        <v>521</v>
      </c>
      <c r="E92" s="8565" t="s">
        <v>625</v>
      </c>
      <c r="CG92" s="1465"/>
      <c r="CH92" s="1465"/>
      <c r="CI92" s="1465"/>
      <c r="CJ92" s="1465"/>
      <c r="CK92" s="1465"/>
      <c r="CL92" s="1465"/>
      <c r="CM92" s="1465"/>
      <c r="CN92" s="1465"/>
      <c r="CO92" s="1465"/>
    </row>
    <row r="93" spans="1:93" ht="18.75" customHeight="1" x14ac:dyDescent="0.25">
      <c r="A93" s="10323"/>
      <c r="B93" s="10323"/>
      <c r="C93" s="10323"/>
      <c r="D93" s="10324"/>
      <c r="E93" s="8565"/>
      <c r="CG93" s="1465"/>
      <c r="CH93" s="1465"/>
      <c r="CI93" s="1465"/>
      <c r="CJ93" s="1465"/>
      <c r="CK93" s="1465"/>
      <c r="CL93" s="1465"/>
      <c r="CM93" s="1465"/>
      <c r="CN93" s="1465"/>
      <c r="CO93" s="1465"/>
    </row>
    <row r="94" spans="1:93" x14ac:dyDescent="0.25">
      <c r="A94" s="10357" t="s">
        <v>522</v>
      </c>
      <c r="B94" s="10358"/>
      <c r="C94" s="10359"/>
      <c r="D94" s="371"/>
      <c r="E94" s="372"/>
      <c r="CG94" s="1465"/>
      <c r="CH94" s="1465"/>
      <c r="CI94" s="1465"/>
      <c r="CJ94" s="1465"/>
      <c r="CK94" s="1465"/>
      <c r="CL94" s="1465"/>
      <c r="CM94" s="1465"/>
      <c r="CN94" s="1465"/>
      <c r="CO94" s="1465"/>
    </row>
    <row r="95" spans="1:93" x14ac:dyDescent="0.25">
      <c r="A95" s="10341" t="s">
        <v>523</v>
      </c>
      <c r="B95" s="10342"/>
      <c r="C95" s="10343"/>
      <c r="D95" s="373"/>
      <c r="E95" s="374"/>
      <c r="CG95" s="1465"/>
      <c r="CH95" s="1465"/>
      <c r="CI95" s="1465"/>
      <c r="CJ95" s="1465"/>
      <c r="CK95" s="1465"/>
      <c r="CL95" s="1465"/>
      <c r="CM95" s="1465"/>
      <c r="CN95" s="1465"/>
      <c r="CO95" s="1465"/>
    </row>
    <row r="96" spans="1:93" x14ac:dyDescent="0.25">
      <c r="A96" s="9212" t="s">
        <v>524</v>
      </c>
      <c r="B96" s="10360"/>
      <c r="C96" s="9213"/>
      <c r="D96" s="375"/>
      <c r="E96" s="376"/>
      <c r="CG96" s="1465"/>
      <c r="CH96" s="1465"/>
      <c r="CI96" s="1465"/>
      <c r="CJ96" s="1465"/>
      <c r="CK96" s="1465"/>
      <c r="CL96" s="1465"/>
      <c r="CM96" s="1465"/>
      <c r="CN96" s="1465"/>
      <c r="CO96" s="1465"/>
    </row>
    <row r="97" spans="1:93" ht="32.1" customHeight="1" x14ac:dyDescent="0.25">
      <c r="A97" s="367" t="s">
        <v>3642</v>
      </c>
      <c r="B97" s="367"/>
      <c r="C97" s="368"/>
      <c r="E97" s="370"/>
      <c r="CG97" s="1465"/>
      <c r="CH97" s="1465"/>
      <c r="CI97" s="1465"/>
      <c r="CJ97" s="1465"/>
      <c r="CK97" s="1465"/>
      <c r="CL97" s="1465"/>
      <c r="CM97" s="1465"/>
      <c r="CN97" s="1465"/>
      <c r="CO97" s="1465"/>
    </row>
    <row r="98" spans="1:93" ht="29.25" customHeight="1" x14ac:dyDescent="0.25">
      <c r="A98" s="10323" t="s">
        <v>520</v>
      </c>
      <c r="B98" s="10323"/>
      <c r="C98" s="10323"/>
      <c r="D98" s="10294" t="s">
        <v>521</v>
      </c>
      <c r="E98" s="8565" t="s">
        <v>2466</v>
      </c>
      <c r="F98" s="10337" t="s">
        <v>474</v>
      </c>
      <c r="G98" s="10338"/>
      <c r="H98" s="10351" t="s">
        <v>2</v>
      </c>
      <c r="I98" s="10351"/>
      <c r="J98" s="10351"/>
      <c r="K98" s="10351"/>
      <c r="L98" s="10351"/>
      <c r="M98" s="10351"/>
      <c r="N98" s="10351"/>
      <c r="O98" s="10351"/>
      <c r="P98" s="10351"/>
      <c r="Q98" s="10351"/>
      <c r="R98" s="10351"/>
      <c r="S98" s="10351"/>
      <c r="T98" s="10351"/>
      <c r="U98" s="10352"/>
      <c r="V98" s="10353" t="s">
        <v>78</v>
      </c>
      <c r="W98" s="8551" t="s">
        <v>525</v>
      </c>
      <c r="BT98" s="1118"/>
      <c r="BU98" s="1118"/>
      <c r="BV98" s="1118"/>
      <c r="BW98" s="1118"/>
      <c r="CG98" s="1465"/>
      <c r="CH98" s="1465"/>
      <c r="CI98" s="1465"/>
      <c r="CJ98" s="1465"/>
      <c r="CK98" s="1465"/>
      <c r="CL98" s="1465"/>
      <c r="CM98" s="1465"/>
      <c r="CN98" s="1465"/>
      <c r="CO98" s="1465"/>
    </row>
    <row r="99" spans="1:93" ht="26.25" customHeight="1" x14ac:dyDescent="0.25">
      <c r="A99" s="10323"/>
      <c r="B99" s="10323"/>
      <c r="C99" s="10323"/>
      <c r="D99" s="10294"/>
      <c r="E99" s="8565"/>
      <c r="F99" s="463" t="s">
        <v>137</v>
      </c>
      <c r="G99" s="425" t="s">
        <v>476</v>
      </c>
      <c r="H99" s="2125" t="s">
        <v>526</v>
      </c>
      <c r="I99" s="2214" t="s">
        <v>2513</v>
      </c>
      <c r="J99" s="306" t="s">
        <v>1413</v>
      </c>
      <c r="K99" s="306" t="s">
        <v>32</v>
      </c>
      <c r="L99" s="306" t="s">
        <v>33</v>
      </c>
      <c r="M99" s="306" t="s">
        <v>40</v>
      </c>
      <c r="N99" s="306" t="s">
        <v>82</v>
      </c>
      <c r="O99" s="306" t="s">
        <v>83</v>
      </c>
      <c r="P99" s="306" t="s">
        <v>398</v>
      </c>
      <c r="Q99" s="306" t="s">
        <v>124</v>
      </c>
      <c r="R99" s="306" t="s">
        <v>125</v>
      </c>
      <c r="S99" s="306" t="s">
        <v>126</v>
      </c>
      <c r="T99" s="306" t="s">
        <v>127</v>
      </c>
      <c r="U99" s="1471" t="s">
        <v>128</v>
      </c>
      <c r="V99" s="9195"/>
      <c r="W99" s="8552"/>
      <c r="BJ99" s="1118"/>
      <c r="BK99" s="1118"/>
      <c r="BV99" s="1118"/>
      <c r="BW99" s="1118"/>
      <c r="CG99" s="1465"/>
      <c r="CH99" s="1465"/>
      <c r="CI99" s="1465"/>
      <c r="CJ99" s="1465"/>
      <c r="CK99" s="1465"/>
      <c r="CL99" s="1465"/>
      <c r="CM99" s="1465"/>
      <c r="CN99" s="1465"/>
      <c r="CO99" s="1465"/>
    </row>
    <row r="100" spans="1:93" x14ac:dyDescent="0.25">
      <c r="A100" s="10354" t="s">
        <v>623</v>
      </c>
      <c r="B100" s="10355"/>
      <c r="C100" s="10356"/>
      <c r="D100" s="377"/>
      <c r="E100" s="1313">
        <f>+F100+G100+H100+I100+J100+K100+L100+M100+N100+O100+P100+Q100+R100+S100+T100+U100</f>
        <v>0</v>
      </c>
      <c r="F100" s="371"/>
      <c r="G100" s="497"/>
      <c r="H100" s="494"/>
      <c r="I100" s="378"/>
      <c r="J100" s="378"/>
      <c r="K100" s="378"/>
      <c r="L100" s="378"/>
      <c r="M100" s="378"/>
      <c r="N100" s="378"/>
      <c r="O100" s="378"/>
      <c r="P100" s="378"/>
      <c r="Q100" s="378"/>
      <c r="R100" s="378"/>
      <c r="S100" s="378"/>
      <c r="T100" s="378"/>
      <c r="U100" s="379"/>
      <c r="V100" s="380"/>
      <c r="W100" s="372"/>
      <c r="X100" s="1455" t="str">
        <f>CA100&amp;CB100</f>
        <v/>
      </c>
      <c r="BH100" s="1118"/>
      <c r="BI100" s="1118"/>
      <c r="BV100" s="1118"/>
      <c r="BW100" s="1118"/>
      <c r="CA100" s="1467" t="str">
        <f>IF(CG100=1," * No olvide agregar la columna Gestantes y/o Post Parto (Digite Cero si no tiene). ","")</f>
        <v/>
      </c>
      <c r="CB100" s="1467" t="str">
        <f>IF(CH100=1," * La suma de Gestantes y Post Parto debe ser menor o igual al total de participantes.","")</f>
        <v/>
      </c>
      <c r="CG100" s="1468">
        <f>IF(AND(E100&lt;&gt;0,OR(V100="",W100="")),1,0)</f>
        <v>0</v>
      </c>
      <c r="CH100" s="1468">
        <f>IF((V100+W100)&gt;E100,1,0)</f>
        <v>0</v>
      </c>
      <c r="CI100" s="1465"/>
      <c r="CJ100" s="1465"/>
      <c r="CK100" s="1465"/>
      <c r="CL100" s="1465"/>
      <c r="CM100" s="1465"/>
      <c r="CN100" s="1465"/>
      <c r="CO100" s="1465"/>
    </row>
    <row r="101" spans="1:93" x14ac:dyDescent="0.25">
      <c r="A101" s="10341" t="s">
        <v>527</v>
      </c>
      <c r="B101" s="10342"/>
      <c r="C101" s="10343"/>
      <c r="D101" s="381"/>
      <c r="E101" s="1314">
        <f>+F101+G101+H101+I101+J101+K101+L101+M101+N101+O101+P101+Q101+R101+S101+T101+U101</f>
        <v>0</v>
      </c>
      <c r="F101" s="373"/>
      <c r="G101" s="385"/>
      <c r="H101" s="382"/>
      <c r="I101" s="383"/>
      <c r="J101" s="383"/>
      <c r="K101" s="383"/>
      <c r="L101" s="383"/>
      <c r="M101" s="383"/>
      <c r="N101" s="383"/>
      <c r="O101" s="383"/>
      <c r="P101" s="383"/>
      <c r="Q101" s="383"/>
      <c r="R101" s="383"/>
      <c r="S101" s="383"/>
      <c r="T101" s="383"/>
      <c r="U101" s="384"/>
      <c r="V101" s="385"/>
      <c r="W101" s="374"/>
      <c r="X101" s="1455" t="str">
        <f>CA101&amp;CB101</f>
        <v/>
      </c>
      <c r="BH101" s="1118"/>
      <c r="BI101" s="1118"/>
      <c r="BV101" s="1118"/>
      <c r="BW101" s="1118"/>
      <c r="CA101" s="1467" t="str">
        <f>IF(CG101=1," * No olvide agregar la columna Gestantes y/o Post Parto (Digite Cero si no tiene). ","")</f>
        <v/>
      </c>
      <c r="CB101" s="1467" t="str">
        <f>IF(CH101=1," * La suma de Gestantes y Post Parto debe ser menor o igual al total de participantes.","")</f>
        <v/>
      </c>
      <c r="CG101" s="1468">
        <f>IF(AND(E101&lt;&gt;0,OR(V101="",W101="")),1,0)</f>
        <v>0</v>
      </c>
      <c r="CH101" s="1468">
        <f>IF((V101+W101)&gt;E101,1,0)</f>
        <v>0</v>
      </c>
      <c r="CI101" s="1465"/>
      <c r="CJ101" s="1465"/>
      <c r="CK101" s="1465"/>
      <c r="CL101" s="1465"/>
      <c r="CM101" s="1465"/>
      <c r="CN101" s="1465"/>
      <c r="CO101" s="1465"/>
    </row>
    <row r="102" spans="1:93" x14ac:dyDescent="0.25">
      <c r="A102" s="10341" t="s">
        <v>528</v>
      </c>
      <c r="B102" s="10342"/>
      <c r="C102" s="10343"/>
      <c r="D102" s="386"/>
      <c r="E102" s="1315">
        <f>+F102+G102+H102+I102+J102+K102+L102+M102+N102+O102+P102+Q102+R102+S102+T102+U102</f>
        <v>0</v>
      </c>
      <c r="F102" s="375"/>
      <c r="G102" s="390"/>
      <c r="H102" s="387"/>
      <c r="I102" s="388"/>
      <c r="J102" s="388"/>
      <c r="K102" s="388"/>
      <c r="L102" s="388"/>
      <c r="M102" s="388"/>
      <c r="N102" s="388"/>
      <c r="O102" s="388"/>
      <c r="P102" s="388"/>
      <c r="Q102" s="388"/>
      <c r="R102" s="388"/>
      <c r="S102" s="388"/>
      <c r="T102" s="388"/>
      <c r="U102" s="389"/>
      <c r="V102" s="390"/>
      <c r="W102" s="376"/>
      <c r="X102" s="1455" t="str">
        <f>CA102&amp;CB102</f>
        <v/>
      </c>
      <c r="BH102" s="1118"/>
      <c r="BI102" s="1118"/>
      <c r="BV102" s="1118"/>
      <c r="BW102" s="1118"/>
      <c r="CA102" s="1467" t="str">
        <f>IF(CG102=1," * No olvide agregar la columna Gestantes y/o Post Parto (Digite Cero si no tiene). ","")</f>
        <v/>
      </c>
      <c r="CB102" s="1467" t="str">
        <f>IF(CH102=1," * La suma de Gestantes y Post Parto debe ser menor o igual al total de participantes.","")</f>
        <v/>
      </c>
      <c r="CG102" s="1468">
        <f>IF(AND(E102&lt;&gt;0,OR(V102="",W102="")),1,0)</f>
        <v>0</v>
      </c>
      <c r="CH102" s="1468">
        <f>IF((V102+W102)&gt;E102,1,0)</f>
        <v>0</v>
      </c>
      <c r="CI102" s="1465"/>
      <c r="CJ102" s="1465"/>
      <c r="CK102" s="1465"/>
      <c r="CL102" s="1465"/>
      <c r="CM102" s="1465"/>
      <c r="CN102" s="1465"/>
      <c r="CO102" s="1465"/>
    </row>
    <row r="103" spans="1:93" ht="32.1" customHeight="1" x14ac:dyDescent="0.25">
      <c r="A103" s="367" t="s">
        <v>3643</v>
      </c>
      <c r="B103" s="368"/>
      <c r="C103" s="368"/>
      <c r="D103" s="369"/>
      <c r="H103" s="235"/>
      <c r="CG103" s="1465"/>
      <c r="CH103" s="1465"/>
      <c r="CI103" s="1465"/>
      <c r="CJ103" s="1465"/>
      <c r="CK103" s="1465"/>
      <c r="CL103" s="1465"/>
      <c r="CM103" s="1465"/>
      <c r="CN103" s="1465"/>
      <c r="CO103" s="1465"/>
    </row>
    <row r="104" spans="1:93" ht="20.45" customHeight="1" x14ac:dyDescent="0.25">
      <c r="A104" s="10344" t="s">
        <v>529</v>
      </c>
      <c r="B104" s="10344"/>
      <c r="C104" s="10345"/>
      <c r="D104" s="10294" t="s">
        <v>624</v>
      </c>
      <c r="E104" s="10348" t="s">
        <v>2</v>
      </c>
      <c r="F104" s="8445"/>
      <c r="G104" s="8445"/>
      <c r="H104" s="8445"/>
      <c r="I104" s="8445"/>
      <c r="J104" s="10349"/>
      <c r="K104" s="9160" t="s">
        <v>22</v>
      </c>
      <c r="L104" s="10350"/>
      <c r="M104" s="1187"/>
      <c r="N104" s="1187"/>
      <c r="O104" s="1187"/>
      <c r="P104" s="1187"/>
      <c r="Q104" s="1187"/>
      <c r="R104" s="1187"/>
      <c r="S104" s="1187"/>
      <c r="T104" s="1187"/>
      <c r="U104" s="1187"/>
      <c r="V104" s="1187"/>
      <c r="W104" s="1187"/>
      <c r="X104" s="1187"/>
      <c r="Y104" s="1187"/>
      <c r="Z104" s="1187"/>
      <c r="CG104" s="1465"/>
      <c r="CH104" s="1465"/>
      <c r="CI104" s="1465"/>
      <c r="CJ104" s="1465"/>
      <c r="CK104" s="1465"/>
      <c r="CL104" s="1465"/>
      <c r="CM104" s="1465"/>
      <c r="CN104" s="1465"/>
      <c r="CO104" s="1465"/>
    </row>
    <row r="105" spans="1:93" ht="20.45" customHeight="1" x14ac:dyDescent="0.25">
      <c r="A105" s="10346"/>
      <c r="B105" s="10346"/>
      <c r="C105" s="10347"/>
      <c r="D105" s="10294"/>
      <c r="E105" s="3221" t="s">
        <v>48</v>
      </c>
      <c r="F105" s="3219" t="s">
        <v>49</v>
      </c>
      <c r="G105" s="3206" t="s">
        <v>50</v>
      </c>
      <c r="H105" s="3206" t="s">
        <v>51</v>
      </c>
      <c r="I105" s="3216" t="s">
        <v>52</v>
      </c>
      <c r="J105" s="3222" t="s">
        <v>53</v>
      </c>
      <c r="K105" s="3219" t="s">
        <v>17</v>
      </c>
      <c r="L105" s="2152" t="s">
        <v>18</v>
      </c>
      <c r="M105" s="1187"/>
      <c r="N105" s="1187"/>
      <c r="O105" s="1187"/>
      <c r="P105" s="1187"/>
      <c r="Q105" s="1187"/>
      <c r="R105" s="1187"/>
      <c r="S105" s="1187"/>
      <c r="T105" s="1187"/>
      <c r="U105" s="1187"/>
      <c r="V105" s="1187"/>
      <c r="W105" s="1187"/>
      <c r="X105" s="1187"/>
      <c r="Y105" s="1187"/>
      <c r="Z105" s="1187"/>
      <c r="CG105" s="1465"/>
      <c r="CH105" s="1465"/>
      <c r="CI105" s="1465"/>
      <c r="CJ105" s="1465"/>
      <c r="CK105" s="1465"/>
      <c r="CL105" s="1465"/>
      <c r="CM105" s="1465"/>
      <c r="CN105" s="1465"/>
      <c r="CO105" s="1465"/>
    </row>
    <row r="106" spans="1:93" x14ac:dyDescent="0.25">
      <c r="A106" s="8553" t="s">
        <v>530</v>
      </c>
      <c r="B106" s="9983"/>
      <c r="C106" s="225" t="s">
        <v>531</v>
      </c>
      <c r="D106" s="135">
        <f>SUM(E106:J106)</f>
        <v>0</v>
      </c>
      <c r="E106" s="3223"/>
      <c r="F106" s="3220"/>
      <c r="G106" s="3208"/>
      <c r="H106" s="3208"/>
      <c r="I106" s="3208"/>
      <c r="J106" s="3224"/>
      <c r="K106" s="3220"/>
      <c r="L106" s="304"/>
      <c r="M106" s="1455" t="str">
        <f>CA106</f>
        <v/>
      </c>
      <c r="N106" s="1456"/>
      <c r="O106" s="1456"/>
      <c r="P106" s="1456"/>
      <c r="Q106" s="1456"/>
      <c r="R106" s="1456"/>
      <c r="S106" s="1456"/>
      <c r="T106" s="1456"/>
      <c r="U106" s="1456"/>
      <c r="V106" s="1456"/>
      <c r="W106" s="1456"/>
      <c r="X106" s="1456"/>
      <c r="Y106" s="1187"/>
      <c r="Z106" s="1187"/>
      <c r="CA106" s="1467" t="str">
        <f>IF(CG106=1,"* La Suma por edad NO DEBE ser distinto al total por Sexo. ","")</f>
        <v/>
      </c>
      <c r="CB106" s="1467"/>
      <c r="CC106" s="1467"/>
      <c r="CD106" s="1467"/>
      <c r="CE106" s="1467"/>
      <c r="CF106" s="1467"/>
      <c r="CG106" s="1468">
        <f>IF((K106+L106)&lt;&gt;(E106+F106+G106+H106+I106+J106),1,0)</f>
        <v>0</v>
      </c>
      <c r="CH106" s="1465"/>
      <c r="CI106" s="1465"/>
      <c r="CJ106" s="1465"/>
      <c r="CK106" s="1465"/>
      <c r="CL106" s="1465"/>
      <c r="CM106" s="1465"/>
      <c r="CN106" s="1465"/>
      <c r="CO106" s="1465"/>
    </row>
    <row r="107" spans="1:93" x14ac:dyDescent="0.25">
      <c r="A107" s="8458"/>
      <c r="B107" s="8437"/>
      <c r="C107" s="227" t="s">
        <v>532</v>
      </c>
      <c r="D107" s="135">
        <f t="shared" ref="D107:D114" si="9">SUM(E107:J107)</f>
        <v>0</v>
      </c>
      <c r="E107" s="3028"/>
      <c r="F107" s="3136"/>
      <c r="G107" s="3068"/>
      <c r="H107" s="3068"/>
      <c r="I107" s="3068"/>
      <c r="J107" s="3141"/>
      <c r="K107" s="3136"/>
      <c r="L107" s="144"/>
      <c r="M107" s="1455" t="str">
        <f t="shared" ref="M107:M114" si="10">CA107</f>
        <v/>
      </c>
      <c r="N107" s="1456"/>
      <c r="O107" s="1456"/>
      <c r="P107" s="1456"/>
      <c r="Q107" s="1456"/>
      <c r="R107" s="1456"/>
      <c r="S107" s="1456"/>
      <c r="T107" s="1456"/>
      <c r="U107" s="1456"/>
      <c r="V107" s="1456"/>
      <c r="W107" s="1456"/>
      <c r="X107" s="1456"/>
      <c r="Y107" s="1187"/>
      <c r="Z107" s="1187"/>
      <c r="CA107" s="1467" t="str">
        <f t="shared" ref="CA107:CA114" si="11">IF(CG107=1,"* La Suma por edad NO DEBE ser distinto al total por Sexo. ","")</f>
        <v/>
      </c>
      <c r="CB107" s="1467"/>
      <c r="CC107" s="1467"/>
      <c r="CD107" s="1467"/>
      <c r="CE107" s="1467"/>
      <c r="CF107" s="1467"/>
      <c r="CG107" s="1468">
        <f t="shared" ref="CG107:CG113" si="12">IF((K107+L107)&lt;&gt;(E107+F107+G107+H107+I107+J107),1,0)</f>
        <v>0</v>
      </c>
      <c r="CH107" s="1465"/>
      <c r="CI107" s="1465"/>
      <c r="CJ107" s="1465"/>
      <c r="CK107" s="1465"/>
      <c r="CL107" s="1465"/>
      <c r="CM107" s="1465"/>
      <c r="CN107" s="1465"/>
      <c r="CO107" s="1465"/>
    </row>
    <row r="108" spans="1:93" x14ac:dyDescent="0.25">
      <c r="A108" s="8458"/>
      <c r="B108" s="8437"/>
      <c r="C108" s="227" t="s">
        <v>533</v>
      </c>
      <c r="D108" s="81">
        <f t="shared" si="9"/>
        <v>0</v>
      </c>
      <c r="E108" s="3063"/>
      <c r="F108" s="3126"/>
      <c r="G108" s="3064"/>
      <c r="H108" s="3064"/>
      <c r="I108" s="3064"/>
      <c r="J108" s="3134"/>
      <c r="K108" s="3126"/>
      <c r="L108" s="127"/>
      <c r="M108" s="1455" t="str">
        <f t="shared" si="10"/>
        <v/>
      </c>
      <c r="N108" s="1456"/>
      <c r="O108" s="1456"/>
      <c r="P108" s="1456"/>
      <c r="Q108" s="1456"/>
      <c r="R108" s="1456"/>
      <c r="S108" s="1456"/>
      <c r="T108" s="1456"/>
      <c r="U108" s="1456"/>
      <c r="V108" s="1456"/>
      <c r="W108" s="1456"/>
      <c r="X108" s="1456"/>
      <c r="Y108" s="1187"/>
      <c r="Z108" s="1187"/>
      <c r="CA108" s="1467" t="str">
        <f t="shared" si="11"/>
        <v/>
      </c>
      <c r="CB108" s="1467"/>
      <c r="CC108" s="1467"/>
      <c r="CD108" s="1467"/>
      <c r="CE108" s="1467"/>
      <c r="CF108" s="1467"/>
      <c r="CG108" s="1468">
        <f t="shared" si="12"/>
        <v>0</v>
      </c>
      <c r="CH108" s="1465"/>
      <c r="CI108" s="1465"/>
      <c r="CJ108" s="1465"/>
      <c r="CK108" s="1465"/>
      <c r="CL108" s="1465"/>
      <c r="CM108" s="1465"/>
      <c r="CN108" s="1465"/>
      <c r="CO108" s="1465"/>
    </row>
    <row r="109" spans="1:93" x14ac:dyDescent="0.25">
      <c r="A109" s="8553" t="s">
        <v>3650</v>
      </c>
      <c r="B109" s="9983"/>
      <c r="C109" s="225" t="s">
        <v>531</v>
      </c>
      <c r="D109" s="98">
        <f t="shared" si="9"/>
        <v>0</v>
      </c>
      <c r="E109" s="3225"/>
      <c r="F109" s="3112"/>
      <c r="G109" s="2508"/>
      <c r="H109" s="2508"/>
      <c r="I109" s="2508"/>
      <c r="J109" s="2466"/>
      <c r="K109" s="3112"/>
      <c r="L109" s="143"/>
      <c r="M109" s="1455" t="str">
        <f t="shared" si="10"/>
        <v/>
      </c>
      <c r="N109" s="1456"/>
      <c r="O109" s="1456"/>
      <c r="P109" s="1456"/>
      <c r="Q109" s="1456"/>
      <c r="R109" s="1456"/>
      <c r="S109" s="1456"/>
      <c r="T109" s="1456"/>
      <c r="U109" s="1456"/>
      <c r="V109" s="1456"/>
      <c r="W109" s="1456"/>
      <c r="X109" s="1456"/>
      <c r="Y109" s="1187"/>
      <c r="Z109" s="1187"/>
      <c r="CA109" s="1467" t="str">
        <f t="shared" si="11"/>
        <v/>
      </c>
      <c r="CB109" s="1467"/>
      <c r="CC109" s="1467"/>
      <c r="CD109" s="1467"/>
      <c r="CE109" s="1467"/>
      <c r="CF109" s="1467"/>
      <c r="CG109" s="1468">
        <f t="shared" si="12"/>
        <v>0</v>
      </c>
      <c r="CH109" s="1465"/>
      <c r="CI109" s="1465"/>
      <c r="CJ109" s="1465"/>
      <c r="CK109" s="1465"/>
      <c r="CL109" s="1465"/>
      <c r="CM109" s="1465"/>
      <c r="CN109" s="1465"/>
      <c r="CO109" s="1465"/>
    </row>
    <row r="110" spans="1:93" x14ac:dyDescent="0.25">
      <c r="A110" s="8458"/>
      <c r="B110" s="8437"/>
      <c r="C110" s="227" t="s">
        <v>532</v>
      </c>
      <c r="D110" s="135">
        <f t="shared" si="9"/>
        <v>0</v>
      </c>
      <c r="E110" s="2574"/>
      <c r="F110" s="2852"/>
      <c r="G110" s="3226"/>
      <c r="H110" s="3226"/>
      <c r="I110" s="3226"/>
      <c r="J110" s="2611"/>
      <c r="K110" s="2852"/>
      <c r="L110" s="164"/>
      <c r="M110" s="1455" t="str">
        <f t="shared" si="10"/>
        <v/>
      </c>
      <c r="N110" s="1456"/>
      <c r="O110" s="1456"/>
      <c r="P110" s="1456"/>
      <c r="Q110" s="1456"/>
      <c r="R110" s="1456"/>
      <c r="S110" s="1456"/>
      <c r="T110" s="1456"/>
      <c r="U110" s="1456"/>
      <c r="V110" s="1456"/>
      <c r="W110" s="1456"/>
      <c r="X110" s="1456"/>
      <c r="Y110" s="1187"/>
      <c r="Z110" s="1187"/>
      <c r="CA110" s="1467" t="str">
        <f t="shared" si="11"/>
        <v/>
      </c>
      <c r="CB110" s="1467"/>
      <c r="CC110" s="1467"/>
      <c r="CD110" s="1467"/>
      <c r="CE110" s="1467"/>
      <c r="CF110" s="1467"/>
      <c r="CG110" s="1468">
        <f t="shared" si="12"/>
        <v>0</v>
      </c>
      <c r="CH110" s="1465"/>
      <c r="CI110" s="1465"/>
      <c r="CJ110" s="1465"/>
      <c r="CK110" s="1465"/>
      <c r="CL110" s="1465"/>
      <c r="CM110" s="1465"/>
      <c r="CN110" s="1465"/>
      <c r="CO110" s="1465"/>
    </row>
    <row r="111" spans="1:93" x14ac:dyDescent="0.25">
      <c r="A111" s="8458"/>
      <c r="B111" s="8437"/>
      <c r="C111" s="227" t="s">
        <v>533</v>
      </c>
      <c r="D111" s="81">
        <f t="shared" si="9"/>
        <v>0</v>
      </c>
      <c r="E111" s="2574"/>
      <c r="F111" s="2852"/>
      <c r="G111" s="3226"/>
      <c r="H111" s="3226"/>
      <c r="I111" s="3226"/>
      <c r="J111" s="2611"/>
      <c r="K111" s="2852"/>
      <c r="L111" s="164"/>
      <c r="M111" s="1455" t="str">
        <f t="shared" si="10"/>
        <v/>
      </c>
      <c r="N111" s="1456"/>
      <c r="O111" s="1456"/>
      <c r="P111" s="1456"/>
      <c r="Q111" s="1456"/>
      <c r="R111" s="1456"/>
      <c r="S111" s="1456"/>
      <c r="T111" s="1456"/>
      <c r="U111" s="1456"/>
      <c r="V111" s="1456"/>
      <c r="W111" s="1456"/>
      <c r="X111" s="1456"/>
      <c r="Y111" s="1187"/>
      <c r="Z111" s="1187"/>
      <c r="CA111" s="1467" t="str">
        <f t="shared" si="11"/>
        <v/>
      </c>
      <c r="CB111" s="1467"/>
      <c r="CC111" s="1467"/>
      <c r="CD111" s="1467"/>
      <c r="CE111" s="1467"/>
      <c r="CF111" s="1467"/>
      <c r="CG111" s="1468">
        <f t="shared" si="12"/>
        <v>0</v>
      </c>
      <c r="CH111" s="1465"/>
      <c r="CI111" s="1465"/>
      <c r="CJ111" s="1465"/>
      <c r="CK111" s="1465"/>
      <c r="CL111" s="1465"/>
      <c r="CM111" s="1465"/>
      <c r="CN111" s="1465"/>
      <c r="CO111" s="1465"/>
    </row>
    <row r="112" spans="1:93" x14ac:dyDescent="0.25">
      <c r="A112" s="8553" t="s">
        <v>534</v>
      </c>
      <c r="B112" s="8512"/>
      <c r="C112" s="225" t="s">
        <v>531</v>
      </c>
      <c r="D112" s="98">
        <f t="shared" si="9"/>
        <v>0</v>
      </c>
      <c r="E112" s="3223"/>
      <c r="F112" s="3220"/>
      <c r="G112" s="3208"/>
      <c r="H112" s="3208"/>
      <c r="I112" s="3208"/>
      <c r="J112" s="3224"/>
      <c r="K112" s="3220"/>
      <c r="L112" s="304"/>
      <c r="M112" s="1455" t="str">
        <f t="shared" si="10"/>
        <v/>
      </c>
      <c r="N112" s="1456"/>
      <c r="O112" s="1456"/>
      <c r="P112" s="1456"/>
      <c r="Q112" s="1456"/>
      <c r="R112" s="1456"/>
      <c r="S112" s="1456"/>
      <c r="T112" s="1456"/>
      <c r="U112" s="1456"/>
      <c r="V112" s="1456"/>
      <c r="W112" s="1456"/>
      <c r="X112" s="1456"/>
      <c r="Y112" s="1187"/>
      <c r="Z112" s="1187"/>
      <c r="CA112" s="1467" t="str">
        <f t="shared" si="11"/>
        <v/>
      </c>
      <c r="CB112" s="1467"/>
      <c r="CC112" s="1467"/>
      <c r="CD112" s="1467"/>
      <c r="CE112" s="1467"/>
      <c r="CF112" s="1467"/>
      <c r="CG112" s="1468">
        <f t="shared" si="12"/>
        <v>0</v>
      </c>
      <c r="CH112" s="1465"/>
      <c r="CI112" s="1465"/>
      <c r="CJ112" s="1465"/>
      <c r="CK112" s="1465"/>
      <c r="CL112" s="1465"/>
      <c r="CM112" s="1465"/>
      <c r="CN112" s="1465"/>
      <c r="CO112" s="1465"/>
    </row>
    <row r="113" spans="1:93" x14ac:dyDescent="0.25">
      <c r="A113" s="8191"/>
      <c r="B113" s="8192"/>
      <c r="C113" s="227" t="s">
        <v>532</v>
      </c>
      <c r="D113" s="135">
        <f>SUM(E113:J113)</f>
        <v>0</v>
      </c>
      <c r="E113" s="3028"/>
      <c r="F113" s="3136"/>
      <c r="G113" s="3068"/>
      <c r="H113" s="3068"/>
      <c r="I113" s="3068"/>
      <c r="J113" s="3141"/>
      <c r="K113" s="3136"/>
      <c r="L113" s="144"/>
      <c r="M113" s="1455" t="str">
        <f t="shared" si="10"/>
        <v/>
      </c>
      <c r="N113" s="1456"/>
      <c r="O113" s="1456"/>
      <c r="P113" s="1456"/>
      <c r="Q113" s="1456"/>
      <c r="R113" s="1456"/>
      <c r="S113" s="1456"/>
      <c r="T113" s="1456"/>
      <c r="U113" s="1456"/>
      <c r="V113" s="1456"/>
      <c r="W113" s="1456"/>
      <c r="X113" s="1456"/>
      <c r="Y113" s="1187"/>
      <c r="Z113" s="1187"/>
      <c r="CA113" s="1467" t="str">
        <f t="shared" si="11"/>
        <v/>
      </c>
      <c r="CB113" s="1467"/>
      <c r="CC113" s="1467"/>
      <c r="CD113" s="1467"/>
      <c r="CE113" s="1467"/>
      <c r="CF113" s="1467"/>
      <c r="CG113" s="1468">
        <f t="shared" si="12"/>
        <v>0</v>
      </c>
      <c r="CH113" s="1465"/>
      <c r="CI113" s="1465"/>
      <c r="CJ113" s="1465"/>
      <c r="CK113" s="1465"/>
      <c r="CL113" s="1465"/>
      <c r="CM113" s="1465"/>
      <c r="CN113" s="1465"/>
      <c r="CO113" s="1465"/>
    </row>
    <row r="114" spans="1:93" x14ac:dyDescent="0.25">
      <c r="A114" s="8555"/>
      <c r="B114" s="8185"/>
      <c r="C114" s="226" t="s">
        <v>533</v>
      </c>
      <c r="D114" s="81">
        <f t="shared" si="9"/>
        <v>0</v>
      </c>
      <c r="E114" s="3063"/>
      <c r="F114" s="3126"/>
      <c r="G114" s="3064"/>
      <c r="H114" s="3064"/>
      <c r="I114" s="3064"/>
      <c r="J114" s="3134"/>
      <c r="K114" s="3126"/>
      <c r="L114" s="127"/>
      <c r="M114" s="1455" t="str">
        <f t="shared" si="10"/>
        <v/>
      </c>
      <c r="N114" s="1456"/>
      <c r="O114" s="1456"/>
      <c r="P114" s="1456"/>
      <c r="Q114" s="1456"/>
      <c r="R114" s="1456"/>
      <c r="S114" s="1456"/>
      <c r="T114" s="1456"/>
      <c r="U114" s="1456"/>
      <c r="V114" s="1456"/>
      <c r="W114" s="1456"/>
      <c r="X114" s="1456"/>
      <c r="Y114" s="1187"/>
      <c r="Z114" s="1187"/>
      <c r="CA114" s="1467" t="str">
        <f t="shared" si="11"/>
        <v/>
      </c>
      <c r="CB114" s="1467"/>
      <c r="CC114" s="1467"/>
      <c r="CD114" s="1467"/>
      <c r="CE114" s="1467"/>
      <c r="CF114" s="1467"/>
      <c r="CG114" s="1468">
        <f>IF((K114+L114)&lt;&gt;(E114+F114+G114+H114+I114+J114),1,0)</f>
        <v>0</v>
      </c>
      <c r="CH114" s="1465"/>
      <c r="CI114" s="1465"/>
      <c r="CJ114" s="1465"/>
      <c r="CK114" s="1465"/>
      <c r="CL114" s="1465"/>
      <c r="CM114" s="1465"/>
      <c r="CN114" s="1465"/>
      <c r="CO114" s="1465"/>
    </row>
    <row r="115" spans="1:93" ht="27.75" customHeight="1" x14ac:dyDescent="0.25">
      <c r="A115" s="367" t="s">
        <v>3644</v>
      </c>
      <c r="B115" s="367"/>
      <c r="C115" s="367"/>
      <c r="D115" s="367"/>
      <c r="E115" s="1472"/>
      <c r="F115" s="1472"/>
      <c r="M115" s="1187"/>
      <c r="N115" s="1187"/>
      <c r="O115" s="1187"/>
      <c r="P115" s="1187"/>
      <c r="Q115" s="1187"/>
      <c r="R115" s="1187"/>
      <c r="S115" s="1187"/>
      <c r="T115" s="1187"/>
      <c r="U115" s="1187"/>
      <c r="V115" s="1187"/>
      <c r="W115" s="1187"/>
      <c r="X115" s="1187"/>
      <c r="Y115" s="1187"/>
      <c r="Z115" s="1187"/>
      <c r="CG115" s="1465"/>
      <c r="CH115" s="1465"/>
      <c r="CI115" s="1465"/>
      <c r="CJ115" s="1465"/>
      <c r="CK115" s="1465"/>
      <c r="CL115" s="1465"/>
      <c r="CM115" s="1465"/>
      <c r="CN115" s="1465"/>
      <c r="CO115" s="1465"/>
    </row>
    <row r="116" spans="1:93" ht="29.25" customHeight="1" x14ac:dyDescent="0.25">
      <c r="A116" s="2150" t="s">
        <v>31</v>
      </c>
      <c r="B116" s="1473" t="s">
        <v>2495</v>
      </c>
      <c r="C116" s="2121" t="s">
        <v>2493</v>
      </c>
      <c r="D116" s="2151" t="s">
        <v>2494</v>
      </c>
      <c r="M116" s="1187"/>
      <c r="N116" s="1187"/>
      <c r="O116" s="1187"/>
      <c r="P116" s="1187"/>
      <c r="Q116" s="1187"/>
      <c r="R116" s="1187"/>
      <c r="S116" s="1187"/>
      <c r="T116" s="1187"/>
      <c r="U116" s="1187"/>
      <c r="V116" s="1187"/>
      <c r="W116" s="1187"/>
      <c r="X116" s="1187"/>
      <c r="Y116" s="1187"/>
      <c r="Z116" s="1187"/>
      <c r="CG116" s="1465"/>
      <c r="CH116" s="1465"/>
      <c r="CI116" s="1465"/>
      <c r="CJ116" s="1465"/>
      <c r="CK116" s="1465"/>
      <c r="CL116" s="1465"/>
      <c r="CM116" s="1465"/>
      <c r="CN116" s="1465"/>
      <c r="CO116" s="1465"/>
    </row>
    <row r="117" spans="1:93" ht="23.25" customHeight="1" x14ac:dyDescent="0.25">
      <c r="A117" s="1474" t="s">
        <v>2496</v>
      </c>
      <c r="B117" s="1475"/>
      <c r="C117" s="1476"/>
      <c r="D117" s="1477"/>
      <c r="E117" s="1478"/>
      <c r="M117" s="1187"/>
      <c r="N117" s="1187"/>
      <c r="O117" s="1187"/>
      <c r="P117" s="1187"/>
      <c r="Q117" s="1187"/>
      <c r="R117" s="1187"/>
      <c r="S117" s="1187"/>
      <c r="T117" s="1187"/>
      <c r="U117" s="1187"/>
      <c r="V117" s="1187"/>
      <c r="W117" s="1187"/>
      <c r="X117" s="1187"/>
      <c r="Y117" s="1187"/>
      <c r="Z117" s="1187"/>
      <c r="CG117" s="1465"/>
      <c r="CH117" s="1465"/>
      <c r="CI117" s="1465"/>
      <c r="CJ117" s="1465"/>
      <c r="CK117" s="1465"/>
      <c r="CL117" s="1465"/>
      <c r="CM117" s="1465"/>
      <c r="CN117" s="1465"/>
      <c r="CO117" s="1465"/>
    </row>
    <row r="118" spans="1:93" ht="27.75" customHeight="1" x14ac:dyDescent="0.25">
      <c r="A118" s="367" t="s">
        <v>3645</v>
      </c>
      <c r="B118" s="367"/>
      <c r="C118" s="367"/>
      <c r="D118" s="367"/>
      <c r="E118" s="365"/>
      <c r="F118" s="365"/>
      <c r="G118" s="365"/>
      <c r="H118" s="365"/>
      <c r="I118" s="365"/>
      <c r="M118" s="1187"/>
      <c r="N118" s="1187"/>
      <c r="O118" s="1187"/>
      <c r="P118" s="1187"/>
      <c r="Q118" s="1187"/>
      <c r="R118" s="1187"/>
      <c r="S118" s="1187"/>
      <c r="T118" s="1187"/>
      <c r="U118" s="1187"/>
      <c r="V118" s="1187"/>
      <c r="W118" s="1187"/>
      <c r="X118" s="1187"/>
      <c r="Y118" s="1187"/>
      <c r="Z118" s="1187"/>
      <c r="CG118" s="1465"/>
      <c r="CH118" s="1465"/>
      <c r="CI118" s="1465"/>
      <c r="CJ118" s="1465"/>
      <c r="CK118" s="1465"/>
      <c r="CL118" s="1465"/>
      <c r="CM118" s="1465"/>
      <c r="CN118" s="1465"/>
      <c r="CO118" s="1465"/>
    </row>
    <row r="119" spans="1:93" ht="27" customHeight="1" x14ac:dyDescent="0.25">
      <c r="A119" s="10363" t="s">
        <v>31</v>
      </c>
      <c r="B119" s="10365" t="s">
        <v>535</v>
      </c>
      <c r="C119" s="10366"/>
      <c r="D119" s="10366"/>
      <c r="E119" s="10366"/>
      <c r="F119" s="10366"/>
      <c r="G119" s="10366"/>
      <c r="H119" s="10366"/>
      <c r="I119" s="10367"/>
      <c r="CG119" s="1465"/>
      <c r="CH119" s="1465"/>
      <c r="CI119" s="1465"/>
      <c r="CJ119" s="1465"/>
      <c r="CK119" s="1465"/>
      <c r="CL119" s="1465"/>
      <c r="CM119" s="1465"/>
      <c r="CN119" s="1465"/>
      <c r="CO119" s="1465"/>
    </row>
    <row r="120" spans="1:93" ht="42" x14ac:dyDescent="0.25">
      <c r="A120" s="10364"/>
      <c r="B120" s="2169" t="s">
        <v>2504</v>
      </c>
      <c r="C120" s="1479" t="s">
        <v>2497</v>
      </c>
      <c r="D120" s="1479" t="s">
        <v>2498</v>
      </c>
      <c r="E120" s="1479" t="s">
        <v>2499</v>
      </c>
      <c r="F120" s="1479" t="s">
        <v>2500</v>
      </c>
      <c r="G120" s="1479" t="s">
        <v>2501</v>
      </c>
      <c r="H120" s="1479" t="s">
        <v>2502</v>
      </c>
      <c r="I120" s="1479" t="s">
        <v>2503</v>
      </c>
      <c r="CG120" s="1465"/>
      <c r="CH120" s="1465"/>
      <c r="CI120" s="1465"/>
      <c r="CJ120" s="1465"/>
      <c r="CK120" s="1465"/>
      <c r="CL120" s="1465"/>
      <c r="CM120" s="1465"/>
      <c r="CN120" s="1465"/>
      <c r="CO120" s="1465"/>
    </row>
    <row r="121" spans="1:93" ht="44.25" customHeight="1" x14ac:dyDescent="0.25">
      <c r="A121" s="316" t="s">
        <v>2509</v>
      </c>
      <c r="B121" s="1480">
        <f>SUM(C121:I121)</f>
        <v>0</v>
      </c>
      <c r="C121" s="697"/>
      <c r="D121" s="697"/>
      <c r="E121" s="697"/>
      <c r="F121" s="697"/>
      <c r="G121" s="697"/>
      <c r="H121" s="697"/>
      <c r="I121" s="690"/>
      <c r="CG121" s="1465"/>
      <c r="CH121" s="1465"/>
      <c r="CI121" s="1465"/>
      <c r="CJ121" s="1465"/>
      <c r="CK121" s="1465"/>
      <c r="CL121" s="1465"/>
      <c r="CM121" s="1465"/>
      <c r="CN121" s="1465"/>
      <c r="CO121" s="1465"/>
    </row>
    <row r="122" spans="1:93" ht="45" customHeight="1" x14ac:dyDescent="0.25">
      <c r="A122" s="1481" t="s">
        <v>2508</v>
      </c>
      <c r="B122" s="1482">
        <f>SUM(C122:I122)</f>
        <v>0</v>
      </c>
      <c r="C122" s="1483"/>
      <c r="D122" s="1483"/>
      <c r="E122" s="1483"/>
      <c r="F122" s="1483"/>
      <c r="G122" s="1483"/>
      <c r="H122" s="1483"/>
      <c r="I122" s="1484"/>
      <c r="CG122" s="1465"/>
      <c r="CH122" s="1465"/>
      <c r="CI122" s="1465"/>
      <c r="CJ122" s="1465"/>
      <c r="CK122" s="1465"/>
      <c r="CL122" s="1465"/>
      <c r="CM122" s="1465"/>
      <c r="CN122" s="1465"/>
      <c r="CO122" s="1465"/>
    </row>
    <row r="123" spans="1:93" ht="27.75" customHeight="1" x14ac:dyDescent="0.25">
      <c r="A123" s="367" t="s">
        <v>3646</v>
      </c>
      <c r="CG123" s="1465"/>
      <c r="CH123" s="1465"/>
      <c r="CI123" s="1465"/>
      <c r="CJ123" s="1465"/>
      <c r="CK123" s="1465"/>
      <c r="CL123" s="1465"/>
      <c r="CM123" s="1465"/>
      <c r="CN123" s="1465"/>
      <c r="CO123" s="1465"/>
    </row>
    <row r="124" spans="1:93" ht="20.25" customHeight="1" x14ac:dyDescent="0.25">
      <c r="A124" s="10327" t="s">
        <v>31</v>
      </c>
      <c r="B124" s="10333" t="s">
        <v>2507</v>
      </c>
      <c r="C124" s="10334" t="s">
        <v>536</v>
      </c>
      <c r="D124" s="10335"/>
      <c r="E124" s="10335"/>
      <c r="F124" s="10335"/>
      <c r="G124" s="10335"/>
      <c r="H124" s="10335"/>
      <c r="I124" s="10335"/>
      <c r="J124" s="10335"/>
      <c r="K124" s="10335"/>
      <c r="L124" s="10335"/>
      <c r="M124" s="10336"/>
      <c r="CG124" s="1465"/>
      <c r="CH124" s="1465"/>
      <c r="CI124" s="1465"/>
      <c r="CJ124" s="1465"/>
      <c r="CK124" s="1465"/>
      <c r="CL124" s="1465"/>
      <c r="CM124" s="1465"/>
      <c r="CN124" s="1465"/>
      <c r="CO124" s="1465"/>
    </row>
    <row r="125" spans="1:93" ht="42" customHeight="1" x14ac:dyDescent="0.25">
      <c r="A125" s="10328"/>
      <c r="B125" s="8518"/>
      <c r="C125" s="2213" t="s">
        <v>2482</v>
      </c>
      <c r="D125" s="2214" t="s">
        <v>2483</v>
      </c>
      <c r="E125" s="2214" t="s">
        <v>2484</v>
      </c>
      <c r="F125" s="2214" t="s">
        <v>2485</v>
      </c>
      <c r="G125" s="2214" t="s">
        <v>2486</v>
      </c>
      <c r="H125" s="2214" t="s">
        <v>2487</v>
      </c>
      <c r="I125" s="2214" t="s">
        <v>2488</v>
      </c>
      <c r="J125" s="2214" t="s">
        <v>2489</v>
      </c>
      <c r="K125" s="2214" t="s">
        <v>2490</v>
      </c>
      <c r="L125" s="2214" t="s">
        <v>2491</v>
      </c>
      <c r="M125" s="2152" t="s">
        <v>2492</v>
      </c>
      <c r="CG125" s="1465"/>
      <c r="CH125" s="1465"/>
      <c r="CI125" s="1465"/>
      <c r="CJ125" s="1465"/>
      <c r="CK125" s="1465"/>
      <c r="CL125" s="1465"/>
      <c r="CM125" s="1465"/>
      <c r="CN125" s="1465"/>
      <c r="CO125" s="1465"/>
    </row>
    <row r="126" spans="1:93" ht="31.5" customHeight="1" x14ac:dyDescent="0.25">
      <c r="A126" s="316" t="s">
        <v>2505</v>
      </c>
      <c r="B126" s="1480">
        <f>SUM(C126:M126)</f>
        <v>0</v>
      </c>
      <c r="C126" s="106"/>
      <c r="D126" s="89"/>
      <c r="E126" s="89"/>
      <c r="F126" s="89"/>
      <c r="G126" s="89"/>
      <c r="H126" s="89"/>
      <c r="I126" s="89"/>
      <c r="J126" s="89"/>
      <c r="K126" s="89"/>
      <c r="L126" s="89"/>
      <c r="M126" s="304"/>
      <c r="CG126" s="1465"/>
      <c r="CH126" s="1465"/>
      <c r="CI126" s="1465"/>
      <c r="CJ126" s="1465"/>
      <c r="CK126" s="1465"/>
      <c r="CL126" s="1465"/>
      <c r="CM126" s="1465"/>
      <c r="CN126" s="1465"/>
      <c r="CO126" s="1465"/>
    </row>
    <row r="127" spans="1:93" ht="57" customHeight="1" x14ac:dyDescent="0.25">
      <c r="A127" s="1481" t="s">
        <v>2506</v>
      </c>
      <c r="B127" s="1482">
        <f>SUM(C127:M127)</f>
        <v>0</v>
      </c>
      <c r="C127" s="148"/>
      <c r="D127" s="95"/>
      <c r="E127" s="95"/>
      <c r="F127" s="95"/>
      <c r="G127" s="95"/>
      <c r="H127" s="95"/>
      <c r="I127" s="95"/>
      <c r="J127" s="95"/>
      <c r="K127" s="95"/>
      <c r="L127" s="95"/>
      <c r="M127" s="337"/>
      <c r="CG127" s="1465"/>
      <c r="CH127" s="1465"/>
      <c r="CI127" s="1465"/>
      <c r="CJ127" s="1465"/>
      <c r="CK127" s="1465"/>
      <c r="CL127" s="1465"/>
      <c r="CM127" s="1465"/>
      <c r="CN127" s="1465"/>
      <c r="CO127" s="1465"/>
    </row>
    <row r="128" spans="1:93" ht="24.75" customHeight="1" x14ac:dyDescent="0.25">
      <c r="A128" s="367" t="s">
        <v>3647</v>
      </c>
      <c r="B128" s="72"/>
      <c r="CG128" s="1465"/>
      <c r="CH128" s="1465"/>
      <c r="CI128" s="1465"/>
      <c r="CJ128" s="1465"/>
      <c r="CK128" s="1465"/>
      <c r="CL128" s="1465"/>
      <c r="CM128" s="1465"/>
      <c r="CN128" s="1465"/>
      <c r="CO128" s="1465"/>
    </row>
    <row r="129" spans="1:93" ht="21" customHeight="1" x14ac:dyDescent="0.25">
      <c r="A129" s="9983" t="s">
        <v>31</v>
      </c>
      <c r="B129" s="10361" t="s">
        <v>537</v>
      </c>
      <c r="C129" s="10329" t="s">
        <v>331</v>
      </c>
      <c r="D129" s="9662"/>
      <c r="E129" s="9662"/>
      <c r="F129" s="9663"/>
      <c r="G129" s="10330" t="s">
        <v>360</v>
      </c>
      <c r="H129" s="10332" t="s">
        <v>359</v>
      </c>
      <c r="CG129" s="1465"/>
      <c r="CH129" s="1465"/>
      <c r="CI129" s="1465"/>
      <c r="CJ129" s="1465"/>
      <c r="CK129" s="1465"/>
      <c r="CL129" s="1465"/>
      <c r="CM129" s="1465"/>
      <c r="CN129" s="1465"/>
      <c r="CO129" s="1465"/>
    </row>
    <row r="130" spans="1:93" ht="39.75" customHeight="1" x14ac:dyDescent="0.25">
      <c r="A130" s="8437"/>
      <c r="B130" s="10362"/>
      <c r="C130" s="1843" t="s">
        <v>329</v>
      </c>
      <c r="D130" s="1831" t="s">
        <v>328</v>
      </c>
      <c r="E130" s="1831" t="s">
        <v>327</v>
      </c>
      <c r="F130" s="1829" t="s">
        <v>330</v>
      </c>
      <c r="G130" s="10331"/>
      <c r="H130" s="8466"/>
      <c r="BV130" s="1118"/>
      <c r="BW130" s="1118"/>
      <c r="BY130" s="823"/>
      <c r="BZ130" s="823"/>
      <c r="CG130" s="1465"/>
      <c r="CH130" s="1465"/>
      <c r="CI130" s="1465"/>
      <c r="CJ130" s="1465"/>
      <c r="CK130" s="1465"/>
      <c r="CL130" s="1465"/>
      <c r="CM130" s="1465"/>
      <c r="CN130" s="1465"/>
      <c r="CO130" s="1465"/>
    </row>
    <row r="131" spans="1:93" ht="35.25" customHeight="1" x14ac:dyDescent="0.25">
      <c r="A131" s="2062" t="s">
        <v>2479</v>
      </c>
      <c r="B131" s="2063"/>
      <c r="C131" s="1994"/>
      <c r="D131" s="1835"/>
      <c r="E131" s="1835"/>
      <c r="F131" s="1870"/>
      <c r="G131" s="1984"/>
      <c r="H131" s="1885"/>
      <c r="I131" s="1455" t="str">
        <f>CA131&amp;CB131&amp;CC131&amp;CD131</f>
        <v/>
      </c>
      <c r="CA131" s="1467" t="str">
        <f>IF(CG131=1,"* No olvide ingresar la columna Pueblos Originarios (Digite cero si no tiene). ","")</f>
        <v/>
      </c>
      <c r="CB131" s="1467" t="str">
        <f>IF(CH131=1,"* No olvide ingresar la columna Migrantes (Digite cero si no tiene). ","")</f>
        <v/>
      </c>
      <c r="CC131" s="1467" t="str">
        <f>IF(CI131=1,"* El total de Pueblos Originarios NO DEBE superar la suma por grupo de edad. ","")</f>
        <v/>
      </c>
      <c r="CD131" s="1467" t="str">
        <f>IF(CJ131=1,"* El total de Migrantes NO DEBE superar la suma por grupo de edad","")</f>
        <v/>
      </c>
      <c r="CE131" s="1467"/>
      <c r="CF131" s="1467"/>
      <c r="CG131" s="1468">
        <f>IF(AND(G131="",SUM(C131:F131)&lt;&gt;0),1,0)</f>
        <v>0</v>
      </c>
      <c r="CH131" s="1468">
        <f>IF(AND(H131="",SUM(C131:F131)&lt;&gt;0),1,0)</f>
        <v>0</v>
      </c>
      <c r="CI131" s="1468">
        <f>IF(SUM(C131:F131)&lt;G131,1,0)</f>
        <v>0</v>
      </c>
      <c r="CJ131" s="1468">
        <f>IF(SUM(C131:F131)&lt;H131,1,0)</f>
        <v>0</v>
      </c>
      <c r="CK131" s="1465"/>
      <c r="CL131" s="1465"/>
      <c r="CM131" s="1465"/>
      <c r="CN131" s="1465"/>
      <c r="CO131" s="1465"/>
    </row>
    <row r="132" spans="1:93" ht="37.5" customHeight="1" x14ac:dyDescent="0.25">
      <c r="A132" s="2399" t="s">
        <v>2478</v>
      </c>
      <c r="B132" s="2398"/>
      <c r="C132" s="2064"/>
      <c r="D132" s="1962"/>
      <c r="E132" s="1962"/>
      <c r="F132" s="2031"/>
      <c r="G132" s="2061"/>
      <c r="H132" s="2030"/>
      <c r="I132" s="1455" t="str">
        <f>CA132&amp;CB132&amp;CC132&amp;CD132</f>
        <v/>
      </c>
      <c r="CA132" s="1467" t="str">
        <f>IF(CG132=1,"* No olvide ingresar la columna Pueblos Originarios (Digite cero si no tiene). ","")</f>
        <v/>
      </c>
      <c r="CB132" s="1467" t="str">
        <f>IF(CH132=1,"* No olvide ingresar la columna Migrantes (Digite cero si no tiene). ","")</f>
        <v/>
      </c>
      <c r="CC132" s="1467" t="str">
        <f>IF(CI132=1,"* El total de Pueblos Originarios NO DEBE superar la suma por grupo de edad. ","")</f>
        <v/>
      </c>
      <c r="CD132" s="1467" t="str">
        <f>IF(CJ132=1,"* El total de Migrantes NO DEBE superar la suma por grupo de edad","")</f>
        <v/>
      </c>
      <c r="CG132" s="1468">
        <f>IF(AND(G132="",SUM(C132:F132)&lt;&gt;0),1,0)</f>
        <v>0</v>
      </c>
      <c r="CH132" s="1468">
        <f>IF(AND(H132="",SUM(C132:F132)&lt;&gt;0),1,0)</f>
        <v>0</v>
      </c>
      <c r="CI132" s="1468">
        <f>IF(SUM(C132:F132)&lt;G132,1,0)</f>
        <v>0</v>
      </c>
      <c r="CJ132" s="1468">
        <f>IF(SUM(C132:F132)&lt;H132,1,0)</f>
        <v>0</v>
      </c>
    </row>
    <row r="133" spans="1:93" ht="28.9" customHeight="1" x14ac:dyDescent="0.25">
      <c r="A133" s="3686" t="s">
        <v>3648</v>
      </c>
      <c r="B133" s="3687"/>
      <c r="C133" s="3687"/>
      <c r="D133" s="3688"/>
      <c r="E133" s="3689"/>
      <c r="F133" s="3689"/>
      <c r="G133" s="3689"/>
      <c r="H133" s="3689"/>
      <c r="I133" s="3689"/>
      <c r="J133" s="3690"/>
      <c r="K133" s="3689"/>
      <c r="L133" s="3689"/>
      <c r="M133" s="3689"/>
      <c r="N133" s="3689"/>
      <c r="O133" s="3689"/>
      <c r="P133" s="3689"/>
      <c r="CA133" s="1467"/>
      <c r="CB133" s="1467"/>
      <c r="CC133" s="1467"/>
      <c r="CD133" s="1467"/>
      <c r="CG133" s="1468"/>
      <c r="CH133" s="1468"/>
      <c r="CI133" s="1468"/>
      <c r="CJ133" s="1468"/>
    </row>
    <row r="134" spans="1:93" ht="37.5" customHeight="1" x14ac:dyDescent="0.25">
      <c r="A134" s="10267" t="s">
        <v>529</v>
      </c>
      <c r="B134" s="8239"/>
      <c r="C134" s="8240"/>
      <c r="D134" s="8248" t="s">
        <v>624</v>
      </c>
      <c r="E134" s="8229" t="s">
        <v>2</v>
      </c>
      <c r="F134" s="8239"/>
      <c r="G134" s="8239"/>
      <c r="H134" s="8239"/>
      <c r="I134" s="8239"/>
      <c r="J134" s="8239"/>
      <c r="K134" s="8239"/>
      <c r="L134" s="8239"/>
      <c r="M134" s="8239"/>
      <c r="N134" s="10269"/>
      <c r="O134" s="10270" t="s">
        <v>22</v>
      </c>
      <c r="P134" s="8246"/>
      <c r="CA134" s="1467"/>
      <c r="CB134" s="1467"/>
      <c r="CC134" s="1467"/>
      <c r="CD134" s="1467"/>
      <c r="CG134" s="1468"/>
      <c r="CH134" s="1468"/>
      <c r="CI134" s="1468"/>
      <c r="CJ134" s="1468"/>
    </row>
    <row r="135" spans="1:93" ht="37.5" customHeight="1" x14ac:dyDescent="0.25">
      <c r="A135" s="8242"/>
      <c r="B135" s="8242"/>
      <c r="C135" s="8243"/>
      <c r="D135" s="10268"/>
      <c r="E135" s="3691" t="s">
        <v>3341</v>
      </c>
      <c r="F135" s="3692" t="s">
        <v>2266</v>
      </c>
      <c r="G135" s="3692" t="s">
        <v>48</v>
      </c>
      <c r="H135" s="3692" t="s">
        <v>49</v>
      </c>
      <c r="I135" s="3692" t="s">
        <v>50</v>
      </c>
      <c r="J135" s="3692" t="s">
        <v>51</v>
      </c>
      <c r="K135" s="3692" t="s">
        <v>52</v>
      </c>
      <c r="L135" s="3692" t="s">
        <v>2193</v>
      </c>
      <c r="M135" s="3692" t="s">
        <v>2194</v>
      </c>
      <c r="N135" s="3693" t="s">
        <v>1403</v>
      </c>
      <c r="O135" s="3694" t="s">
        <v>17</v>
      </c>
      <c r="P135" s="3695" t="s">
        <v>18</v>
      </c>
      <c r="CA135" s="1467"/>
      <c r="CB135" s="1467"/>
      <c r="CC135" s="1467"/>
      <c r="CD135" s="1467"/>
      <c r="CG135" s="1468"/>
      <c r="CH135" s="1468"/>
      <c r="CI135" s="1468"/>
      <c r="CJ135" s="1468"/>
    </row>
    <row r="136" spans="1:93" ht="17.45" customHeight="1" x14ac:dyDescent="0.25">
      <c r="A136" s="8238" t="s">
        <v>3342</v>
      </c>
      <c r="B136" s="8240"/>
      <c r="C136" s="3696" t="s">
        <v>3343</v>
      </c>
      <c r="D136" s="3697">
        <f>+E136</f>
        <v>0</v>
      </c>
      <c r="E136" s="7379"/>
      <c r="F136" s="3698"/>
      <c r="G136" s="3698"/>
      <c r="H136" s="3698"/>
      <c r="I136" s="3698"/>
      <c r="J136" s="3698"/>
      <c r="K136" s="3698"/>
      <c r="L136" s="3698"/>
      <c r="M136" s="3698"/>
      <c r="N136" s="3699"/>
      <c r="O136" s="7386"/>
      <c r="P136" s="7387"/>
      <c r="Q136" s="823" t="str">
        <f>CA136</f>
        <v/>
      </c>
      <c r="CA136" s="1467" t="str">
        <f>IF(CG136=1," * El Total por sexo Debe ser igual al total de las intervenciones. ","")</f>
        <v/>
      </c>
      <c r="CB136" s="1467"/>
      <c r="CC136" s="1467"/>
      <c r="CD136" s="1467"/>
      <c r="CG136" s="1468">
        <f>IF((O136+P136)&lt;&gt;D136,1,0)</f>
        <v>0</v>
      </c>
      <c r="CH136" s="1468"/>
      <c r="CI136" s="1468"/>
      <c r="CJ136" s="1468"/>
    </row>
    <row r="137" spans="1:93" ht="18" customHeight="1" x14ac:dyDescent="0.25">
      <c r="A137" s="10271"/>
      <c r="B137" s="10272"/>
      <c r="C137" s="3700" t="s">
        <v>3383</v>
      </c>
      <c r="D137" s="3697">
        <f>+F137</f>
        <v>0</v>
      </c>
      <c r="E137" s="3701"/>
      <c r="F137" s="7380"/>
      <c r="G137" s="3702"/>
      <c r="H137" s="3702"/>
      <c r="I137" s="3702"/>
      <c r="J137" s="3702"/>
      <c r="K137" s="3702"/>
      <c r="L137" s="3702"/>
      <c r="M137" s="3702"/>
      <c r="N137" s="3703"/>
      <c r="O137" s="7388"/>
      <c r="P137" s="7389"/>
      <c r="Q137" s="823" t="str">
        <f t="shared" ref="Q137:Q151" si="13">CA137</f>
        <v/>
      </c>
      <c r="CA137" s="1467" t="str">
        <f t="shared" ref="CA137:CA151" si="14">IF(CG137=1," * El Total por sexo Debe ser igual al total de las intervenciones. ","")</f>
        <v/>
      </c>
      <c r="CB137" s="1467"/>
      <c r="CC137" s="1467"/>
      <c r="CD137" s="1467"/>
      <c r="CG137" s="1468">
        <f t="shared" ref="CG137:CG151" si="15">IF((O137+P137)&lt;&gt;D137,1,0)</f>
        <v>0</v>
      </c>
      <c r="CH137" s="1468"/>
      <c r="CI137" s="1468"/>
      <c r="CJ137" s="1468"/>
    </row>
    <row r="138" spans="1:93" ht="21" customHeight="1" x14ac:dyDescent="0.25">
      <c r="A138" s="10271"/>
      <c r="B138" s="10272"/>
      <c r="C138" s="3700" t="s">
        <v>3384</v>
      </c>
      <c r="D138" s="3697">
        <f>+G138</f>
        <v>0</v>
      </c>
      <c r="E138" s="3701"/>
      <c r="F138" s="3702"/>
      <c r="G138" s="7380"/>
      <c r="H138" s="3702"/>
      <c r="I138" s="3702"/>
      <c r="J138" s="3702"/>
      <c r="K138" s="3702"/>
      <c r="L138" s="3702"/>
      <c r="M138" s="3702"/>
      <c r="N138" s="3703"/>
      <c r="O138" s="7388"/>
      <c r="P138" s="7389"/>
      <c r="Q138" s="823" t="str">
        <f t="shared" si="13"/>
        <v/>
      </c>
      <c r="CA138" s="1467" t="str">
        <f t="shared" si="14"/>
        <v/>
      </c>
      <c r="CB138" s="1467"/>
      <c r="CC138" s="1467"/>
      <c r="CD138" s="1467"/>
      <c r="CG138" s="1468">
        <f t="shared" si="15"/>
        <v>0</v>
      </c>
      <c r="CH138" s="1468"/>
      <c r="CI138" s="1468"/>
      <c r="CJ138" s="1468"/>
    </row>
    <row r="139" spans="1:93" ht="27.75" customHeight="1" x14ac:dyDescent="0.25">
      <c r="A139" s="10271"/>
      <c r="B139" s="10272"/>
      <c r="C139" s="3704" t="s">
        <v>3385</v>
      </c>
      <c r="D139" s="3697">
        <f>+H139</f>
        <v>0</v>
      </c>
      <c r="E139" s="3701"/>
      <c r="F139" s="3702"/>
      <c r="G139" s="3702"/>
      <c r="H139" s="7380"/>
      <c r="I139" s="3702"/>
      <c r="J139" s="3702"/>
      <c r="K139" s="3702"/>
      <c r="L139" s="3702"/>
      <c r="M139" s="3702"/>
      <c r="N139" s="3703"/>
      <c r="O139" s="7388"/>
      <c r="P139" s="7389"/>
      <c r="Q139" s="823" t="str">
        <f t="shared" si="13"/>
        <v/>
      </c>
      <c r="CA139" s="1467" t="str">
        <f t="shared" si="14"/>
        <v/>
      </c>
      <c r="CB139" s="1467"/>
      <c r="CC139" s="1467"/>
      <c r="CD139" s="1467"/>
      <c r="CG139" s="1468">
        <f t="shared" si="15"/>
        <v>0</v>
      </c>
      <c r="CH139" s="1468"/>
      <c r="CI139" s="1468"/>
      <c r="CJ139" s="1468"/>
    </row>
    <row r="140" spans="1:93" ht="21.75" customHeight="1" x14ac:dyDescent="0.25">
      <c r="A140" s="10271"/>
      <c r="B140" s="10272"/>
      <c r="C140" s="3704" t="s">
        <v>3386</v>
      </c>
      <c r="D140" s="3697">
        <f>+I140+J140+K140</f>
        <v>0</v>
      </c>
      <c r="E140" s="3701"/>
      <c r="F140" s="3702"/>
      <c r="G140" s="3702"/>
      <c r="H140" s="3702"/>
      <c r="I140" s="7380"/>
      <c r="J140" s="7380"/>
      <c r="K140" s="7380"/>
      <c r="L140" s="3702"/>
      <c r="M140" s="3702"/>
      <c r="N140" s="3703"/>
      <c r="O140" s="7388"/>
      <c r="P140" s="7389"/>
      <c r="Q140" s="823" t="str">
        <f t="shared" si="13"/>
        <v/>
      </c>
      <c r="CA140" s="1467" t="str">
        <f t="shared" si="14"/>
        <v/>
      </c>
      <c r="CB140" s="1467"/>
      <c r="CC140" s="1467"/>
      <c r="CD140" s="1467"/>
      <c r="CG140" s="1468">
        <f t="shared" si="15"/>
        <v>0</v>
      </c>
      <c r="CH140" s="1468"/>
      <c r="CI140" s="1468"/>
      <c r="CJ140" s="1468"/>
    </row>
    <row r="141" spans="1:93" ht="15.6" customHeight="1" x14ac:dyDescent="0.25">
      <c r="A141" s="10271"/>
      <c r="B141" s="10272"/>
      <c r="C141" s="3705" t="s">
        <v>3387</v>
      </c>
      <c r="D141" s="3697">
        <f>+G141+H141+I141</f>
        <v>0</v>
      </c>
      <c r="E141" s="3701"/>
      <c r="F141" s="3702"/>
      <c r="G141" s="7380"/>
      <c r="H141" s="7380"/>
      <c r="I141" s="7380"/>
      <c r="J141" s="3702"/>
      <c r="K141" s="3702"/>
      <c r="L141" s="3702"/>
      <c r="M141" s="3702"/>
      <c r="N141" s="3703"/>
      <c r="O141" s="7388"/>
      <c r="P141" s="7389"/>
      <c r="Q141" s="823" t="str">
        <f t="shared" si="13"/>
        <v/>
      </c>
      <c r="CA141" s="1467" t="str">
        <f t="shared" si="14"/>
        <v/>
      </c>
      <c r="CB141" s="1467"/>
      <c r="CC141" s="1467"/>
      <c r="CD141" s="1467"/>
      <c r="CG141" s="1468">
        <f t="shared" si="15"/>
        <v>0</v>
      </c>
      <c r="CH141" s="1468"/>
      <c r="CI141" s="1468"/>
      <c r="CJ141" s="1468"/>
    </row>
    <row r="142" spans="1:93" ht="16.899999999999999" customHeight="1" x14ac:dyDescent="0.25">
      <c r="A142" s="10271"/>
      <c r="B142" s="10272"/>
      <c r="C142" s="3705" t="s">
        <v>3388</v>
      </c>
      <c r="D142" s="3697">
        <f>+G142+H142+I142</f>
        <v>0</v>
      </c>
      <c r="E142" s="3701"/>
      <c r="F142" s="3702"/>
      <c r="G142" s="7380"/>
      <c r="H142" s="7380"/>
      <c r="I142" s="7380"/>
      <c r="J142" s="3702"/>
      <c r="K142" s="3702"/>
      <c r="L142" s="3702"/>
      <c r="M142" s="3702"/>
      <c r="N142" s="3703"/>
      <c r="O142" s="7390"/>
      <c r="P142" s="7391"/>
      <c r="Q142" s="823" t="str">
        <f t="shared" si="13"/>
        <v/>
      </c>
      <c r="CA142" s="1467" t="str">
        <f t="shared" si="14"/>
        <v/>
      </c>
      <c r="CB142" s="1467"/>
      <c r="CC142" s="1467"/>
      <c r="CD142" s="1467"/>
      <c r="CG142" s="1468">
        <f t="shared" si="15"/>
        <v>0</v>
      </c>
      <c r="CH142" s="1468"/>
      <c r="CI142" s="1468"/>
      <c r="CJ142" s="1468"/>
    </row>
    <row r="143" spans="1:93" ht="27" customHeight="1" x14ac:dyDescent="0.25">
      <c r="A143" s="10271"/>
      <c r="B143" s="10272"/>
      <c r="C143" s="3704" t="s">
        <v>3389</v>
      </c>
      <c r="D143" s="3706">
        <f>+L143+M143+N143</f>
        <v>0</v>
      </c>
      <c r="E143" s="3707"/>
      <c r="F143" s="3708"/>
      <c r="G143" s="3708"/>
      <c r="H143" s="3708"/>
      <c r="I143" s="3708"/>
      <c r="J143" s="3708"/>
      <c r="K143" s="3708"/>
      <c r="L143" s="7382"/>
      <c r="M143" s="7382"/>
      <c r="N143" s="7383"/>
      <c r="O143" s="7392"/>
      <c r="P143" s="7393"/>
      <c r="Q143" s="823" t="str">
        <f t="shared" si="13"/>
        <v/>
      </c>
      <c r="CA143" s="1467" t="str">
        <f t="shared" si="14"/>
        <v/>
      </c>
      <c r="CB143" s="1467"/>
      <c r="CC143" s="1467"/>
      <c r="CD143" s="1467"/>
      <c r="CG143" s="1468">
        <f t="shared" si="15"/>
        <v>0</v>
      </c>
      <c r="CH143" s="1468"/>
      <c r="CI143" s="1468"/>
      <c r="CJ143" s="1468"/>
    </row>
    <row r="144" spans="1:93" ht="22.9" customHeight="1" x14ac:dyDescent="0.25">
      <c r="A144" s="8238" t="s">
        <v>3350</v>
      </c>
      <c r="B144" s="8240"/>
      <c r="C144" s="3696" t="s">
        <v>3343</v>
      </c>
      <c r="D144" s="3709">
        <f>+E144</f>
        <v>0</v>
      </c>
      <c r="E144" s="7381"/>
      <c r="F144" s="3710"/>
      <c r="G144" s="3710"/>
      <c r="H144" s="3710"/>
      <c r="I144" s="3710"/>
      <c r="J144" s="3710"/>
      <c r="K144" s="3710"/>
      <c r="L144" s="3710"/>
      <c r="M144" s="3710"/>
      <c r="N144" s="3711"/>
      <c r="O144" s="7394"/>
      <c r="P144" s="7395"/>
      <c r="Q144" s="823" t="str">
        <f t="shared" si="13"/>
        <v/>
      </c>
      <c r="CA144" s="1467" t="str">
        <f t="shared" si="14"/>
        <v/>
      </c>
      <c r="CB144" s="1467"/>
      <c r="CC144" s="1467"/>
      <c r="CD144" s="1467"/>
      <c r="CG144" s="1468">
        <f t="shared" si="15"/>
        <v>0</v>
      </c>
      <c r="CH144" s="1468"/>
      <c r="CI144" s="1468"/>
      <c r="CJ144" s="1468"/>
    </row>
    <row r="145" spans="1:88" ht="16.899999999999999" customHeight="1" x14ac:dyDescent="0.25">
      <c r="A145" s="10271"/>
      <c r="B145" s="10272"/>
      <c r="C145" s="3700" t="s">
        <v>3383</v>
      </c>
      <c r="D145" s="3697">
        <f>+F145</f>
        <v>0</v>
      </c>
      <c r="E145" s="3701"/>
      <c r="F145" s="7380"/>
      <c r="G145" s="3702"/>
      <c r="H145" s="3702"/>
      <c r="I145" s="3702"/>
      <c r="J145" s="3702"/>
      <c r="K145" s="3702"/>
      <c r="L145" s="3702"/>
      <c r="M145" s="3702"/>
      <c r="N145" s="3703"/>
      <c r="O145" s="7388"/>
      <c r="P145" s="7389"/>
      <c r="Q145" s="823" t="str">
        <f t="shared" si="13"/>
        <v/>
      </c>
      <c r="CA145" s="1467" t="str">
        <f t="shared" si="14"/>
        <v/>
      </c>
      <c r="CB145" s="1467"/>
      <c r="CC145" s="1467"/>
      <c r="CD145" s="1467"/>
      <c r="CG145" s="1468">
        <f t="shared" si="15"/>
        <v>0</v>
      </c>
      <c r="CH145" s="1468"/>
      <c r="CI145" s="1468"/>
      <c r="CJ145" s="1468"/>
    </row>
    <row r="146" spans="1:88" ht="18" customHeight="1" x14ac:dyDescent="0.25">
      <c r="A146" s="10271"/>
      <c r="B146" s="10272"/>
      <c r="C146" s="3700" t="s">
        <v>3384</v>
      </c>
      <c r="D146" s="3697">
        <f>+G146</f>
        <v>0</v>
      </c>
      <c r="E146" s="3701"/>
      <c r="F146" s="3702"/>
      <c r="G146" s="7380"/>
      <c r="H146" s="3702"/>
      <c r="I146" s="3702"/>
      <c r="J146" s="3702"/>
      <c r="K146" s="3702"/>
      <c r="L146" s="3702"/>
      <c r="M146" s="3702"/>
      <c r="N146" s="3703"/>
      <c r="O146" s="7388"/>
      <c r="P146" s="7389"/>
      <c r="Q146" s="823" t="str">
        <f t="shared" si="13"/>
        <v/>
      </c>
      <c r="CA146" s="1467" t="str">
        <f t="shared" si="14"/>
        <v/>
      </c>
      <c r="CB146" s="1467"/>
      <c r="CC146" s="1467"/>
      <c r="CD146" s="1467"/>
      <c r="CG146" s="1468">
        <f t="shared" si="15"/>
        <v>0</v>
      </c>
      <c r="CH146" s="1468"/>
      <c r="CI146" s="1468"/>
      <c r="CJ146" s="1468"/>
    </row>
    <row r="147" spans="1:88" ht="36" customHeight="1" x14ac:dyDescent="0.25">
      <c r="A147" s="10271"/>
      <c r="B147" s="10272"/>
      <c r="C147" s="3704" t="s">
        <v>3385</v>
      </c>
      <c r="D147" s="3697">
        <f>+H147</f>
        <v>0</v>
      </c>
      <c r="E147" s="3701"/>
      <c r="F147" s="3702"/>
      <c r="G147" s="3702"/>
      <c r="H147" s="7380"/>
      <c r="I147" s="3702"/>
      <c r="J147" s="3702"/>
      <c r="K147" s="3702"/>
      <c r="L147" s="3702"/>
      <c r="M147" s="3702"/>
      <c r="N147" s="3703"/>
      <c r="O147" s="7388"/>
      <c r="P147" s="7389"/>
      <c r="Q147" s="823" t="str">
        <f t="shared" si="13"/>
        <v/>
      </c>
      <c r="CA147" s="1467" t="str">
        <f t="shared" si="14"/>
        <v/>
      </c>
      <c r="CB147" s="1467"/>
      <c r="CC147" s="1467"/>
      <c r="CD147" s="1467"/>
      <c r="CG147" s="1468">
        <f t="shared" si="15"/>
        <v>0</v>
      </c>
      <c r="CH147" s="1468"/>
      <c r="CI147" s="1468"/>
      <c r="CJ147" s="1468"/>
    </row>
    <row r="148" spans="1:88" ht="25.5" customHeight="1" x14ac:dyDescent="0.25">
      <c r="A148" s="10271"/>
      <c r="B148" s="10272"/>
      <c r="C148" s="3704" t="s">
        <v>3386</v>
      </c>
      <c r="D148" s="3697">
        <f>+I148+J148+K148</f>
        <v>0</v>
      </c>
      <c r="E148" s="3701"/>
      <c r="F148" s="3702"/>
      <c r="G148" s="3702"/>
      <c r="H148" s="3702"/>
      <c r="I148" s="7380"/>
      <c r="J148" s="7380"/>
      <c r="K148" s="7380"/>
      <c r="L148" s="3702"/>
      <c r="M148" s="3702"/>
      <c r="N148" s="3703"/>
      <c r="O148" s="7388"/>
      <c r="P148" s="7389"/>
      <c r="Q148" s="823" t="str">
        <f t="shared" si="13"/>
        <v/>
      </c>
      <c r="CA148" s="1467" t="str">
        <f t="shared" si="14"/>
        <v/>
      </c>
      <c r="CB148" s="1467"/>
      <c r="CC148" s="1467"/>
      <c r="CD148" s="1467"/>
      <c r="CG148" s="1468">
        <f t="shared" si="15"/>
        <v>0</v>
      </c>
      <c r="CH148" s="1468"/>
      <c r="CI148" s="1468"/>
      <c r="CJ148" s="1468"/>
    </row>
    <row r="149" spans="1:88" ht="18.600000000000001" customHeight="1" x14ac:dyDescent="0.25">
      <c r="A149" s="10271"/>
      <c r="B149" s="10272"/>
      <c r="C149" s="3705" t="s">
        <v>3387</v>
      </c>
      <c r="D149" s="3697">
        <f>+G149+H149+I149</f>
        <v>0</v>
      </c>
      <c r="E149" s="3701"/>
      <c r="F149" s="3702"/>
      <c r="G149" s="7380"/>
      <c r="H149" s="7380"/>
      <c r="I149" s="7380"/>
      <c r="J149" s="3702"/>
      <c r="K149" s="3702"/>
      <c r="L149" s="3702"/>
      <c r="M149" s="3702"/>
      <c r="N149" s="3703"/>
      <c r="O149" s="7388"/>
      <c r="P149" s="7389"/>
      <c r="Q149" s="823" t="str">
        <f t="shared" si="13"/>
        <v/>
      </c>
      <c r="CA149" s="1467" t="str">
        <f t="shared" si="14"/>
        <v/>
      </c>
      <c r="CB149" s="1467"/>
      <c r="CC149" s="1467"/>
      <c r="CD149" s="1467"/>
      <c r="CG149" s="1468">
        <f t="shared" si="15"/>
        <v>0</v>
      </c>
      <c r="CH149" s="1468"/>
      <c r="CI149" s="1468"/>
      <c r="CJ149" s="1468"/>
    </row>
    <row r="150" spans="1:88" ht="18.600000000000001" customHeight="1" x14ac:dyDescent="0.25">
      <c r="A150" s="10271"/>
      <c r="B150" s="10272"/>
      <c r="C150" s="3705" t="s">
        <v>3388</v>
      </c>
      <c r="D150" s="3697">
        <f>+G150+H150+I150</f>
        <v>0</v>
      </c>
      <c r="E150" s="3701"/>
      <c r="F150" s="3702"/>
      <c r="G150" s="7380"/>
      <c r="H150" s="7380"/>
      <c r="I150" s="7380"/>
      <c r="J150" s="3702"/>
      <c r="K150" s="3702"/>
      <c r="L150" s="3702"/>
      <c r="M150" s="3702"/>
      <c r="N150" s="3703"/>
      <c r="O150" s="7390"/>
      <c r="P150" s="7391"/>
      <c r="Q150" s="823" t="str">
        <f t="shared" si="13"/>
        <v/>
      </c>
      <c r="CA150" s="1467" t="str">
        <f t="shared" si="14"/>
        <v/>
      </c>
      <c r="CB150" s="1467"/>
      <c r="CC150" s="1467"/>
      <c r="CD150" s="1467"/>
      <c r="CG150" s="1468">
        <f t="shared" si="15"/>
        <v>0</v>
      </c>
      <c r="CH150" s="1468"/>
      <c r="CI150" s="1468"/>
      <c r="CJ150" s="1468"/>
    </row>
    <row r="151" spans="1:88" ht="29.25" customHeight="1" x14ac:dyDescent="0.25">
      <c r="A151" s="8241"/>
      <c r="B151" s="8243"/>
      <c r="C151" s="3704" t="s">
        <v>3389</v>
      </c>
      <c r="D151" s="3706">
        <f>+L151+M151+N151</f>
        <v>0</v>
      </c>
      <c r="E151" s="3707"/>
      <c r="F151" s="3708"/>
      <c r="G151" s="3708"/>
      <c r="H151" s="3708"/>
      <c r="I151" s="3708"/>
      <c r="J151" s="3708"/>
      <c r="K151" s="3708"/>
      <c r="L151" s="7384"/>
      <c r="M151" s="7384"/>
      <c r="N151" s="7385"/>
      <c r="O151" s="7392"/>
      <c r="P151" s="7393"/>
      <c r="Q151" s="823" t="str">
        <f t="shared" si="13"/>
        <v/>
      </c>
      <c r="CA151" s="1467" t="str">
        <f t="shared" si="14"/>
        <v/>
      </c>
      <c r="CB151" s="1467"/>
      <c r="CC151" s="1467"/>
      <c r="CD151" s="1467"/>
      <c r="CG151" s="1468">
        <f t="shared" si="15"/>
        <v>0</v>
      </c>
      <c r="CH151" s="1468"/>
      <c r="CI151" s="1468"/>
      <c r="CJ151" s="1468"/>
    </row>
    <row r="152" spans="1:88" ht="25.15" customHeight="1" x14ac:dyDescent="0.25">
      <c r="A152" s="133" t="s">
        <v>4011</v>
      </c>
      <c r="B152" s="1188"/>
      <c r="C152" s="140"/>
      <c r="D152" s="140"/>
      <c r="E152" s="140"/>
      <c r="F152" s="165"/>
      <c r="G152" s="165"/>
      <c r="H152" s="165"/>
      <c r="I152" s="165"/>
    </row>
    <row r="153" spans="1:88" ht="51" customHeight="1" x14ac:dyDescent="0.25">
      <c r="A153" s="10117" t="s">
        <v>473</v>
      </c>
      <c r="B153" s="8272"/>
      <c r="C153" s="8491"/>
      <c r="D153" s="3712" t="s">
        <v>24</v>
      </c>
      <c r="E153" s="3433" t="s">
        <v>3507</v>
      </c>
      <c r="F153" s="3713" t="s">
        <v>3651</v>
      </c>
      <c r="G153" s="3713" t="s">
        <v>3508</v>
      </c>
      <c r="H153" s="3714" t="s">
        <v>2606</v>
      </c>
      <c r="I153" s="3715" t="s">
        <v>3509</v>
      </c>
    </row>
    <row r="154" spans="1:88" x14ac:dyDescent="0.25">
      <c r="A154" s="10370" t="s">
        <v>479</v>
      </c>
      <c r="B154" s="10373" t="s">
        <v>480</v>
      </c>
      <c r="C154" s="10374"/>
      <c r="D154" s="3716">
        <f>SUM(E154:H154)</f>
        <v>0</v>
      </c>
      <c r="E154" s="3137"/>
      <c r="F154" s="3580"/>
      <c r="G154" s="3580"/>
      <c r="H154" s="3717"/>
      <c r="I154" s="3718"/>
    </row>
    <row r="155" spans="1:88" x14ac:dyDescent="0.25">
      <c r="A155" s="10371"/>
      <c r="B155" s="8268" t="s">
        <v>481</v>
      </c>
      <c r="C155" s="3719" t="s">
        <v>482</v>
      </c>
      <c r="D155" s="3716">
        <f t="shared" ref="D155:D183" si="16">SUM(E155:H155)</f>
        <v>0</v>
      </c>
      <c r="E155" s="3720"/>
      <c r="F155" s="3208"/>
      <c r="G155" s="3208"/>
      <c r="H155" s="3321"/>
      <c r="I155" s="3721"/>
    </row>
    <row r="156" spans="1:88" x14ac:dyDescent="0.25">
      <c r="A156" s="10371"/>
      <c r="B156" s="9922"/>
      <c r="C156" s="3386" t="s">
        <v>483</v>
      </c>
      <c r="D156" s="3722">
        <f t="shared" si="16"/>
        <v>0</v>
      </c>
      <c r="E156" s="3028"/>
      <c r="F156" s="3068"/>
      <c r="G156" s="3068"/>
      <c r="H156" s="2584"/>
      <c r="I156" s="3723"/>
    </row>
    <row r="157" spans="1:88" x14ac:dyDescent="0.25">
      <c r="A157" s="10371"/>
      <c r="B157" s="9922"/>
      <c r="C157" s="3386" t="s">
        <v>484</v>
      </c>
      <c r="D157" s="3314">
        <f t="shared" si="16"/>
        <v>0</v>
      </c>
      <c r="E157" s="3028"/>
      <c r="F157" s="3068"/>
      <c r="G157" s="3068"/>
      <c r="H157" s="2584"/>
      <c r="I157" s="3723"/>
    </row>
    <row r="158" spans="1:88" x14ac:dyDescent="0.25">
      <c r="A158" s="10371"/>
      <c r="B158" s="8269"/>
      <c r="C158" s="3595" t="s">
        <v>485</v>
      </c>
      <c r="D158" s="3724">
        <f t="shared" si="16"/>
        <v>0</v>
      </c>
      <c r="E158" s="3328"/>
      <c r="F158" s="3062"/>
      <c r="G158" s="3062"/>
      <c r="H158" s="3725"/>
      <c r="I158" s="3726"/>
    </row>
    <row r="159" spans="1:88" x14ac:dyDescent="0.25">
      <c r="A159" s="10371"/>
      <c r="B159" s="8410" t="s">
        <v>486</v>
      </c>
      <c r="C159" s="8411"/>
      <c r="D159" s="3727">
        <f t="shared" si="16"/>
        <v>0</v>
      </c>
      <c r="E159" s="3058"/>
      <c r="F159" s="3060"/>
      <c r="G159" s="3060"/>
      <c r="H159" s="1779"/>
      <c r="I159" s="2505"/>
    </row>
    <row r="160" spans="1:88" x14ac:dyDescent="0.25">
      <c r="A160" s="10371"/>
      <c r="B160" s="9423" t="s">
        <v>487</v>
      </c>
      <c r="C160" s="9945"/>
      <c r="D160" s="3722">
        <f t="shared" si="16"/>
        <v>0</v>
      </c>
      <c r="E160" s="3028"/>
      <c r="F160" s="3068"/>
      <c r="G160" s="3068"/>
      <c r="H160" s="2584"/>
      <c r="I160" s="3723"/>
    </row>
    <row r="161" spans="1:9" x14ac:dyDescent="0.25">
      <c r="A161" s="10371"/>
      <c r="B161" s="9423" t="s">
        <v>488</v>
      </c>
      <c r="C161" s="9945"/>
      <c r="D161" s="3722">
        <f t="shared" si="16"/>
        <v>0</v>
      </c>
      <c r="E161" s="3028"/>
      <c r="F161" s="3068"/>
      <c r="G161" s="3068"/>
      <c r="H161" s="2584"/>
      <c r="I161" s="3723"/>
    </row>
    <row r="162" spans="1:9" x14ac:dyDescent="0.25">
      <c r="A162" s="10371"/>
      <c r="B162" s="9423" t="s">
        <v>489</v>
      </c>
      <c r="C162" s="9945"/>
      <c r="D162" s="3722">
        <f t="shared" si="16"/>
        <v>0</v>
      </c>
      <c r="E162" s="3028"/>
      <c r="F162" s="3068"/>
      <c r="G162" s="3068"/>
      <c r="H162" s="2584"/>
      <c r="I162" s="3723"/>
    </row>
    <row r="163" spans="1:9" x14ac:dyDescent="0.25">
      <c r="A163" s="10371"/>
      <c r="B163" s="9423" t="s">
        <v>490</v>
      </c>
      <c r="C163" s="9945"/>
      <c r="D163" s="3722">
        <f t="shared" si="16"/>
        <v>0</v>
      </c>
      <c r="E163" s="3028"/>
      <c r="F163" s="3068"/>
      <c r="G163" s="3068"/>
      <c r="H163" s="2584"/>
      <c r="I163" s="3723"/>
    </row>
    <row r="164" spans="1:9" x14ac:dyDescent="0.25">
      <c r="A164" s="10371"/>
      <c r="B164" s="9423" t="s">
        <v>598</v>
      </c>
      <c r="C164" s="9945"/>
      <c r="D164" s="3722">
        <f t="shared" si="16"/>
        <v>0</v>
      </c>
      <c r="E164" s="2574"/>
      <c r="F164" s="3226"/>
      <c r="G164" s="3226"/>
      <c r="H164" s="2875"/>
      <c r="I164" s="3728"/>
    </row>
    <row r="165" spans="1:9" ht="23.25" customHeight="1" x14ac:dyDescent="0.25">
      <c r="A165" s="10371"/>
      <c r="B165" s="9331" t="s">
        <v>491</v>
      </c>
      <c r="C165" s="9406"/>
      <c r="D165" s="3722">
        <f t="shared" si="16"/>
        <v>0</v>
      </c>
      <c r="E165" s="2574"/>
      <c r="F165" s="3226"/>
      <c r="G165" s="3226"/>
      <c r="H165" s="2875"/>
      <c r="I165" s="3728"/>
    </row>
    <row r="166" spans="1:9" ht="17.25" customHeight="1" x14ac:dyDescent="0.25">
      <c r="A166" s="10371"/>
      <c r="B166" s="9331" t="s">
        <v>2215</v>
      </c>
      <c r="C166" s="9406"/>
      <c r="D166" s="3722">
        <f>SUM(E166:H166)</f>
        <v>0</v>
      </c>
      <c r="E166" s="2574"/>
      <c r="F166" s="3226"/>
      <c r="G166" s="3226"/>
      <c r="H166" s="2875"/>
      <c r="I166" s="3728"/>
    </row>
    <row r="167" spans="1:9" x14ac:dyDescent="0.25">
      <c r="A167" s="10371"/>
      <c r="B167" s="10375" t="s">
        <v>492</v>
      </c>
      <c r="C167" s="10376"/>
      <c r="D167" s="3722">
        <f t="shared" si="16"/>
        <v>0</v>
      </c>
      <c r="E167" s="2574"/>
      <c r="F167" s="3226"/>
      <c r="G167" s="3226"/>
      <c r="H167" s="2875"/>
      <c r="I167" s="3728"/>
    </row>
    <row r="168" spans="1:9" x14ac:dyDescent="0.25">
      <c r="A168" s="10371"/>
      <c r="B168" s="8273" t="s">
        <v>493</v>
      </c>
      <c r="C168" s="3729" t="s">
        <v>494</v>
      </c>
      <c r="D168" s="3730">
        <f t="shared" si="16"/>
        <v>0</v>
      </c>
      <c r="E168" s="3111"/>
      <c r="F168" s="3208"/>
      <c r="G168" s="3208"/>
      <c r="H168" s="3321"/>
      <c r="I168" s="3721"/>
    </row>
    <row r="169" spans="1:9" x14ac:dyDescent="0.25">
      <c r="A169" s="10371"/>
      <c r="B169" s="8196"/>
      <c r="C169" s="3731" t="s">
        <v>495</v>
      </c>
      <c r="D169" s="3314">
        <f t="shared" si="16"/>
        <v>0</v>
      </c>
      <c r="E169" s="3136"/>
      <c r="F169" s="3068"/>
      <c r="G169" s="3068"/>
      <c r="H169" s="2584"/>
      <c r="I169" s="3723"/>
    </row>
    <row r="170" spans="1:9" x14ac:dyDescent="0.25">
      <c r="A170" s="10371"/>
      <c r="B170" s="8275"/>
      <c r="C170" s="3732" t="s">
        <v>70</v>
      </c>
      <c r="D170" s="3733">
        <f t="shared" si="16"/>
        <v>0</v>
      </c>
      <c r="E170" s="3126"/>
      <c r="F170" s="3064"/>
      <c r="G170" s="3064"/>
      <c r="H170" s="2711"/>
      <c r="I170" s="2546"/>
    </row>
    <row r="171" spans="1:9" x14ac:dyDescent="0.25">
      <c r="A171" s="10371"/>
      <c r="B171" s="8273" t="s">
        <v>496</v>
      </c>
      <c r="C171" s="3734" t="s">
        <v>497</v>
      </c>
      <c r="D171" s="3716">
        <f t="shared" si="16"/>
        <v>0</v>
      </c>
      <c r="E171" s="3720"/>
      <c r="F171" s="3208"/>
      <c r="G171" s="3208"/>
      <c r="H171" s="3321"/>
      <c r="I171" s="3721"/>
    </row>
    <row r="172" spans="1:9" x14ac:dyDescent="0.25">
      <c r="A172" s="10371"/>
      <c r="B172" s="8196"/>
      <c r="C172" s="3735" t="s">
        <v>498</v>
      </c>
      <c r="D172" s="3722">
        <f t="shared" si="16"/>
        <v>0</v>
      </c>
      <c r="E172" s="3028"/>
      <c r="F172" s="3068"/>
      <c r="G172" s="3068"/>
      <c r="H172" s="2584"/>
      <c r="I172" s="3723"/>
    </row>
    <row r="173" spans="1:9" x14ac:dyDescent="0.25">
      <c r="A173" s="10371"/>
      <c r="B173" s="8275"/>
      <c r="C173" s="3732" t="s">
        <v>70</v>
      </c>
      <c r="D173" s="3733">
        <f t="shared" si="16"/>
        <v>0</v>
      </c>
      <c r="E173" s="3063"/>
      <c r="F173" s="3064"/>
      <c r="G173" s="3064"/>
      <c r="H173" s="2711"/>
      <c r="I173" s="2546"/>
    </row>
    <row r="174" spans="1:9" x14ac:dyDescent="0.25">
      <c r="A174" s="10371"/>
      <c r="B174" s="9423" t="s">
        <v>499</v>
      </c>
      <c r="C174" s="9945"/>
      <c r="D174" s="3674">
        <f t="shared" si="16"/>
        <v>0</v>
      </c>
      <c r="E174" s="3736"/>
      <c r="F174" s="3737"/>
      <c r="G174" s="3737"/>
      <c r="H174" s="3738"/>
      <c r="I174" s="3739"/>
    </row>
    <row r="175" spans="1:9" x14ac:dyDescent="0.25">
      <c r="A175" s="10371"/>
      <c r="B175" s="10377" t="s">
        <v>500</v>
      </c>
      <c r="C175" s="3740" t="s">
        <v>501</v>
      </c>
      <c r="D175" s="3727">
        <f t="shared" si="16"/>
        <v>0</v>
      </c>
      <c r="E175" s="3058"/>
      <c r="F175" s="3060"/>
      <c r="G175" s="3060"/>
      <c r="H175" s="1779"/>
      <c r="I175" s="2505"/>
    </row>
    <row r="176" spans="1:9" x14ac:dyDescent="0.25">
      <c r="A176" s="10371"/>
      <c r="B176" s="10377"/>
      <c r="C176" s="3740" t="s">
        <v>502</v>
      </c>
      <c r="D176" s="3722">
        <f t="shared" si="16"/>
        <v>0</v>
      </c>
      <c r="E176" s="3028"/>
      <c r="F176" s="3068"/>
      <c r="G176" s="3068"/>
      <c r="H176" s="2584"/>
      <c r="I176" s="3723"/>
    </row>
    <row r="177" spans="1:104" x14ac:dyDescent="0.25">
      <c r="A177" s="10371"/>
      <c r="B177" s="10378" t="s">
        <v>622</v>
      </c>
      <c r="C177" s="10378"/>
      <c r="D177" s="3722">
        <f t="shared" si="16"/>
        <v>0</v>
      </c>
      <c r="E177" s="3028"/>
      <c r="F177" s="3068"/>
      <c r="G177" s="3068"/>
      <c r="H177" s="2584"/>
      <c r="I177" s="3723"/>
    </row>
    <row r="178" spans="1:104" x14ac:dyDescent="0.25">
      <c r="A178" s="10371"/>
      <c r="B178" s="10379" t="s">
        <v>503</v>
      </c>
      <c r="C178" s="10380"/>
      <c r="D178" s="3722">
        <f t="shared" si="16"/>
        <v>0</v>
      </c>
      <c r="E178" s="3028"/>
      <c r="F178" s="3068"/>
      <c r="G178" s="3068"/>
      <c r="H178" s="2584"/>
      <c r="I178" s="3723"/>
    </row>
    <row r="179" spans="1:104" x14ac:dyDescent="0.25">
      <c r="A179" s="10371"/>
      <c r="B179" s="9331" t="s">
        <v>504</v>
      </c>
      <c r="C179" s="9406"/>
      <c r="D179" s="3722">
        <f t="shared" si="16"/>
        <v>0</v>
      </c>
      <c r="E179" s="2574"/>
      <c r="F179" s="3226"/>
      <c r="G179" s="3226"/>
      <c r="H179" s="2875"/>
      <c r="I179" s="3728"/>
    </row>
    <row r="180" spans="1:104" x14ac:dyDescent="0.25">
      <c r="A180" s="10371"/>
      <c r="B180" s="10375" t="s">
        <v>505</v>
      </c>
      <c r="C180" s="10376"/>
      <c r="D180" s="3722">
        <f t="shared" si="16"/>
        <v>0</v>
      </c>
      <c r="E180" s="2574"/>
      <c r="F180" s="3226"/>
      <c r="G180" s="3226"/>
      <c r="H180" s="2875"/>
      <c r="I180" s="3728"/>
    </row>
    <row r="181" spans="1:104" x14ac:dyDescent="0.25">
      <c r="A181" s="10371"/>
      <c r="B181" s="8273" t="s">
        <v>506</v>
      </c>
      <c r="C181" s="3741" t="s">
        <v>507</v>
      </c>
      <c r="D181" s="3716">
        <f t="shared" si="16"/>
        <v>0</v>
      </c>
      <c r="E181" s="3720"/>
      <c r="F181" s="3208"/>
      <c r="G181" s="3208"/>
      <c r="H181" s="3321"/>
      <c r="I181" s="3721"/>
    </row>
    <row r="182" spans="1:104" x14ac:dyDescent="0.25">
      <c r="A182" s="10371"/>
      <c r="B182" s="8196"/>
      <c r="C182" s="3742" t="s">
        <v>508</v>
      </c>
      <c r="D182" s="3722">
        <f t="shared" si="16"/>
        <v>0</v>
      </c>
      <c r="E182" s="3028"/>
      <c r="F182" s="3068"/>
      <c r="G182" s="3068"/>
      <c r="H182" s="2584"/>
      <c r="I182" s="3723"/>
    </row>
    <row r="183" spans="1:104" ht="22.5" x14ac:dyDescent="0.25">
      <c r="A183" s="10371"/>
      <c r="B183" s="8275"/>
      <c r="C183" s="3743" t="s">
        <v>509</v>
      </c>
      <c r="D183" s="3722">
        <f t="shared" si="16"/>
        <v>0</v>
      </c>
      <c r="E183" s="2574"/>
      <c r="F183" s="3226"/>
      <c r="G183" s="3226"/>
      <c r="H183" s="2875"/>
      <c r="I183" s="3728"/>
    </row>
    <row r="184" spans="1:104" x14ac:dyDescent="0.25">
      <c r="A184" s="10371"/>
      <c r="B184" s="10381" t="s">
        <v>510</v>
      </c>
      <c r="C184" s="10382"/>
      <c r="D184" s="3730">
        <f>SUM(E184:H184)</f>
        <v>0</v>
      </c>
      <c r="E184" s="3720"/>
      <c r="F184" s="3208"/>
      <c r="G184" s="3208"/>
      <c r="H184" s="3744"/>
      <c r="I184" s="3721"/>
    </row>
    <row r="185" spans="1:104" x14ac:dyDescent="0.25">
      <c r="A185" s="10371"/>
      <c r="B185" s="10339" t="s">
        <v>511</v>
      </c>
      <c r="C185" s="10340"/>
      <c r="D185" s="3724">
        <f>SUM(E185:H185)</f>
        <v>0</v>
      </c>
      <c r="E185" s="3328"/>
      <c r="F185" s="3062"/>
      <c r="G185" s="3062"/>
      <c r="H185" s="2516"/>
      <c r="I185" s="3726"/>
    </row>
    <row r="186" spans="1:104" x14ac:dyDescent="0.25">
      <c r="A186" s="10372"/>
      <c r="B186" s="10368" t="s">
        <v>24</v>
      </c>
      <c r="C186" s="10369"/>
      <c r="D186" s="3674">
        <f>SUM(E186:H186)</f>
        <v>0</v>
      </c>
      <c r="E186" s="3745">
        <f>SUM(E154:E185)</f>
        <v>0</v>
      </c>
      <c r="F186" s="3746">
        <f>SUM(F154:F185)</f>
        <v>0</v>
      </c>
      <c r="G186" s="3746">
        <f>SUM(G154:G185)</f>
        <v>0</v>
      </c>
      <c r="H186" s="3747">
        <f>SUM(H154:H185)</f>
        <v>0</v>
      </c>
      <c r="I186" s="3748">
        <f>SUM(I154:I185)</f>
        <v>0</v>
      </c>
      <c r="J186" s="3227"/>
    </row>
    <row r="187" spans="1:104" ht="24" customHeight="1" x14ac:dyDescent="0.25">
      <c r="A187" s="133" t="s">
        <v>3649</v>
      </c>
      <c r="B187" s="72"/>
      <c r="C187" s="72"/>
      <c r="D187" s="72"/>
      <c r="E187" s="72"/>
      <c r="F187" s="3426"/>
      <c r="G187" s="3426" t="s">
        <v>45</v>
      </c>
      <c r="H187" s="3749"/>
      <c r="I187" s="3749"/>
      <c r="J187" s="3750"/>
      <c r="K187" s="3750"/>
      <c r="L187" s="3750"/>
      <c r="M187" s="3750"/>
      <c r="N187" s="3750"/>
      <c r="O187" s="3750"/>
      <c r="P187" s="3750"/>
      <c r="Q187" s="3750"/>
      <c r="R187" s="3750"/>
      <c r="S187" s="3750"/>
      <c r="T187" s="3750"/>
      <c r="U187" s="3750"/>
      <c r="V187" s="3750"/>
      <c r="W187" s="3750"/>
      <c r="X187" s="3750"/>
      <c r="Y187" s="3636"/>
      <c r="Z187" s="3636"/>
      <c r="AA187" s="3636"/>
      <c r="AB187" s="3636"/>
      <c r="AC187" s="3636"/>
      <c r="AD187" s="3636"/>
      <c r="AE187" s="3636"/>
      <c r="AF187" s="3636"/>
      <c r="AG187" s="3636"/>
      <c r="AH187" s="3636"/>
      <c r="AI187" s="140"/>
      <c r="AJ187" s="140"/>
      <c r="AK187" s="140"/>
      <c r="AL187" s="140"/>
      <c r="AM187" s="140"/>
      <c r="AN187" s="140"/>
    </row>
    <row r="188" spans="1:104" x14ac:dyDescent="0.25">
      <c r="A188" s="10391" t="s">
        <v>3403</v>
      </c>
      <c r="B188" s="10392" t="s">
        <v>3404</v>
      </c>
      <c r="C188" s="9098" t="s">
        <v>24</v>
      </c>
      <c r="D188" s="9098"/>
      <c r="E188" s="9099"/>
      <c r="F188" s="8140" t="s">
        <v>25</v>
      </c>
      <c r="G188" s="10062"/>
      <c r="H188" s="10062"/>
      <c r="I188" s="10062"/>
      <c r="J188" s="10062"/>
      <c r="K188" s="10062"/>
      <c r="L188" s="10062"/>
      <c r="M188" s="10062"/>
      <c r="N188" s="10062"/>
      <c r="O188" s="10062"/>
      <c r="P188" s="10062"/>
      <c r="Q188" s="10062"/>
      <c r="R188" s="10062"/>
      <c r="S188" s="10062"/>
      <c r="T188" s="10062"/>
      <c r="U188" s="10062"/>
      <c r="V188" s="10062"/>
      <c r="W188" s="10062"/>
      <c r="X188" s="10062"/>
      <c r="Y188" s="10062"/>
      <c r="Z188" s="10062"/>
      <c r="AA188" s="10062"/>
      <c r="AB188" s="10062"/>
      <c r="AC188" s="10062"/>
      <c r="AD188" s="10062"/>
      <c r="AE188" s="10062"/>
      <c r="AF188" s="10062"/>
      <c r="AG188" s="10393"/>
      <c r="AH188" s="9099" t="s">
        <v>358</v>
      </c>
      <c r="BS188" s="1118"/>
      <c r="BT188" s="1118"/>
      <c r="BU188" s="1580"/>
      <c r="BV188" s="1580"/>
      <c r="BW188" s="1580"/>
      <c r="BX188" s="1580"/>
      <c r="BY188" s="1580"/>
      <c r="BZ188" s="1580"/>
      <c r="CU188" s="823"/>
      <c r="CV188" s="823"/>
      <c r="CW188" s="823"/>
      <c r="CX188" s="823"/>
      <c r="CY188" s="823"/>
      <c r="CZ188" s="823"/>
    </row>
    <row r="189" spans="1:104" x14ac:dyDescent="0.25">
      <c r="A189" s="10391"/>
      <c r="B189" s="9922"/>
      <c r="C189" s="8130"/>
      <c r="D189" s="8130"/>
      <c r="E189" s="8151"/>
      <c r="F189" s="10389" t="s">
        <v>33</v>
      </c>
      <c r="G189" s="10390"/>
      <c r="H189" s="10386" t="s">
        <v>81</v>
      </c>
      <c r="I189" s="10387"/>
      <c r="J189" s="10386" t="s">
        <v>82</v>
      </c>
      <c r="K189" s="10387"/>
      <c r="L189" s="10386" t="s">
        <v>83</v>
      </c>
      <c r="M189" s="10387"/>
      <c r="N189" s="10386" t="s">
        <v>398</v>
      </c>
      <c r="O189" s="10387"/>
      <c r="P189" s="10386" t="s">
        <v>124</v>
      </c>
      <c r="Q189" s="10387"/>
      <c r="R189" s="10386" t="s">
        <v>125</v>
      </c>
      <c r="S189" s="10387"/>
      <c r="T189" s="10386" t="s">
        <v>126</v>
      </c>
      <c r="U189" s="10387"/>
      <c r="V189" s="10386" t="s">
        <v>127</v>
      </c>
      <c r="W189" s="10387"/>
      <c r="X189" s="10386" t="s">
        <v>128</v>
      </c>
      <c r="Y189" s="10387"/>
      <c r="Z189" s="10386" t="s">
        <v>129</v>
      </c>
      <c r="AA189" s="10387"/>
      <c r="AB189" s="10386" t="s">
        <v>130</v>
      </c>
      <c r="AC189" s="10387"/>
      <c r="AD189" s="10386" t="s">
        <v>131</v>
      </c>
      <c r="AE189" s="10387"/>
      <c r="AF189" s="10386" t="s">
        <v>1916</v>
      </c>
      <c r="AG189" s="10388"/>
      <c r="AH189" s="8151"/>
      <c r="BS189" s="1118"/>
      <c r="BT189" s="1118"/>
      <c r="BU189" s="1580"/>
      <c r="BV189" s="1580"/>
      <c r="BW189" s="1580"/>
      <c r="BX189" s="1580"/>
      <c r="BY189" s="1580"/>
      <c r="BZ189" s="1580"/>
      <c r="CU189" s="823"/>
      <c r="CV189" s="823"/>
      <c r="CW189" s="823"/>
      <c r="CX189" s="823"/>
      <c r="CY189" s="823"/>
      <c r="CZ189" s="823"/>
    </row>
    <row r="190" spans="1:104" x14ac:dyDescent="0.25">
      <c r="A190" s="10391"/>
      <c r="B190" s="8269"/>
      <c r="C190" s="3751" t="s">
        <v>42</v>
      </c>
      <c r="D190" s="3244" t="s">
        <v>17</v>
      </c>
      <c r="E190" s="3752" t="s">
        <v>18</v>
      </c>
      <c r="F190" s="3753" t="s">
        <v>17</v>
      </c>
      <c r="G190" s="3752" t="s">
        <v>18</v>
      </c>
      <c r="H190" s="3753" t="s">
        <v>17</v>
      </c>
      <c r="I190" s="3752" t="s">
        <v>18</v>
      </c>
      <c r="J190" s="3753" t="s">
        <v>17</v>
      </c>
      <c r="K190" s="3752" t="s">
        <v>18</v>
      </c>
      <c r="L190" s="3753" t="s">
        <v>17</v>
      </c>
      <c r="M190" s="3752" t="s">
        <v>18</v>
      </c>
      <c r="N190" s="3753" t="s">
        <v>17</v>
      </c>
      <c r="O190" s="3752" t="s">
        <v>18</v>
      </c>
      <c r="P190" s="3753" t="s">
        <v>17</v>
      </c>
      <c r="Q190" s="3752" t="s">
        <v>18</v>
      </c>
      <c r="R190" s="3753" t="s">
        <v>17</v>
      </c>
      <c r="S190" s="3752" t="s">
        <v>18</v>
      </c>
      <c r="T190" s="3753" t="s">
        <v>17</v>
      </c>
      <c r="U190" s="3752" t="s">
        <v>18</v>
      </c>
      <c r="V190" s="3753" t="s">
        <v>17</v>
      </c>
      <c r="W190" s="3752" t="s">
        <v>18</v>
      </c>
      <c r="X190" s="3753" t="s">
        <v>17</v>
      </c>
      <c r="Y190" s="3752" t="s">
        <v>18</v>
      </c>
      <c r="Z190" s="3753" t="s">
        <v>17</v>
      </c>
      <c r="AA190" s="3752" t="s">
        <v>18</v>
      </c>
      <c r="AB190" s="3753" t="s">
        <v>17</v>
      </c>
      <c r="AC190" s="3752" t="s">
        <v>18</v>
      </c>
      <c r="AD190" s="3753" t="s">
        <v>17</v>
      </c>
      <c r="AE190" s="3752" t="s">
        <v>18</v>
      </c>
      <c r="AF190" s="3753" t="s">
        <v>17</v>
      </c>
      <c r="AG190" s="3754" t="s">
        <v>18</v>
      </c>
      <c r="AH190" s="8527"/>
      <c r="BS190" s="1118"/>
      <c r="BT190" s="1118"/>
      <c r="BU190" s="1580"/>
      <c r="BV190" s="1580"/>
      <c r="BW190" s="1580"/>
      <c r="BX190" s="1580"/>
      <c r="BY190" s="1580"/>
      <c r="BZ190" s="1580"/>
      <c r="CU190" s="823"/>
      <c r="CV190" s="823"/>
      <c r="CW190" s="823"/>
      <c r="CX190" s="823"/>
      <c r="CY190" s="823"/>
      <c r="CZ190" s="823"/>
    </row>
    <row r="191" spans="1:104" x14ac:dyDescent="0.25">
      <c r="A191" s="10383" t="s">
        <v>3405</v>
      </c>
      <c r="B191" s="3755" t="s">
        <v>2583</v>
      </c>
      <c r="C191" s="3756">
        <f t="shared" ref="C191:C197" si="17">SUM(D191:E191)</f>
        <v>0</v>
      </c>
      <c r="D191" s="3757">
        <f>+F191+H191+J191+L191+N191+P191+R191+T191+V191+X191+Z191+AB191+AD191+AF191</f>
        <v>0</v>
      </c>
      <c r="E191" s="3758">
        <f>+G191+I191+K191+M191+O191+Q191+S191+U191+W191+Y191+AA191+AC191+AE191+AG191</f>
        <v>0</v>
      </c>
      <c r="F191" s="1694"/>
      <c r="G191" s="1696"/>
      <c r="H191" s="1694"/>
      <c r="I191" s="1696"/>
      <c r="J191" s="1694"/>
      <c r="K191" s="1696"/>
      <c r="L191" s="1694"/>
      <c r="M191" s="1696"/>
      <c r="N191" s="1694"/>
      <c r="O191" s="1696"/>
      <c r="P191" s="1694"/>
      <c r="Q191" s="1696"/>
      <c r="R191" s="1694"/>
      <c r="S191" s="1696"/>
      <c r="T191" s="1694"/>
      <c r="U191" s="1696"/>
      <c r="V191" s="1694"/>
      <c r="W191" s="1696"/>
      <c r="X191" s="1694"/>
      <c r="Y191" s="1696"/>
      <c r="Z191" s="1694"/>
      <c r="AA191" s="1696"/>
      <c r="AB191" s="1694"/>
      <c r="AC191" s="1696"/>
      <c r="AD191" s="1694"/>
      <c r="AE191" s="1696"/>
      <c r="AF191" s="1694"/>
      <c r="AG191" s="1671"/>
      <c r="AH191" s="3121"/>
      <c r="AI191" s="823" t="str">
        <f t="shared" ref="AI191:AI197" si="18">CA191&amp;CB191</f>
        <v/>
      </c>
      <c r="BS191" s="1118"/>
      <c r="BT191" s="1118"/>
      <c r="BU191" s="1580"/>
      <c r="BV191" s="1580"/>
      <c r="BW191" s="1580"/>
      <c r="BX191" s="1580"/>
      <c r="BY191" s="1580"/>
      <c r="BZ191" s="1580"/>
      <c r="CA191" s="1467" t="str">
        <f t="shared" ref="CA191:CA197" si="19">IF(CG191=1,"* No olvide ingresar la columna Beneficiarios (Digite cero si no tiene). ","")</f>
        <v/>
      </c>
      <c r="CB191" s="1467" t="str">
        <f t="shared" ref="CB191:CB197" si="20">IF(CH191=1,"* El total de Beneficiarios NO DEBE superar el total por sexo. ","")</f>
        <v/>
      </c>
      <c r="CG191" s="1468">
        <f t="shared" ref="CG191:CG197" si="21">IF(AND(AH191="",C191&lt;&gt;0),1,0)</f>
        <v>0</v>
      </c>
      <c r="CH191" s="1468">
        <f t="shared" ref="CH191:CH197" si="22">IF(C191&lt;AH191,1,0)</f>
        <v>0</v>
      </c>
      <c r="CU191" s="823"/>
      <c r="CV191" s="823"/>
      <c r="CW191" s="823"/>
      <c r="CX191" s="823"/>
      <c r="CY191" s="823"/>
      <c r="CZ191" s="823"/>
    </row>
    <row r="192" spans="1:104" x14ac:dyDescent="0.25">
      <c r="A192" s="10384"/>
      <c r="B192" s="3333" t="s">
        <v>2585</v>
      </c>
      <c r="C192" s="3759">
        <f t="shared" si="17"/>
        <v>0</v>
      </c>
      <c r="D192" s="3760">
        <f t="shared" ref="D192:E197" si="23">+F192+H192+J192+L192+N192+P192+R192+T192+V192+X192+Z192+AB192+AD192+AF192</f>
        <v>0</v>
      </c>
      <c r="E192" s="3761">
        <f t="shared" si="23"/>
        <v>0</v>
      </c>
      <c r="F192" s="3278"/>
      <c r="G192" s="2596"/>
      <c r="H192" s="3278"/>
      <c r="I192" s="2596"/>
      <c r="J192" s="3278"/>
      <c r="K192" s="2596"/>
      <c r="L192" s="3278"/>
      <c r="M192" s="2596"/>
      <c r="N192" s="3278"/>
      <c r="O192" s="2596"/>
      <c r="P192" s="3278"/>
      <c r="Q192" s="2596"/>
      <c r="R192" s="3278"/>
      <c r="S192" s="2596"/>
      <c r="T192" s="3278"/>
      <c r="U192" s="2596"/>
      <c r="V192" s="3278"/>
      <c r="W192" s="2596"/>
      <c r="X192" s="3278"/>
      <c r="Y192" s="2596"/>
      <c r="Z192" s="3278"/>
      <c r="AA192" s="2596"/>
      <c r="AB192" s="3278"/>
      <c r="AC192" s="2596"/>
      <c r="AD192" s="3278"/>
      <c r="AE192" s="2596"/>
      <c r="AF192" s="3278"/>
      <c r="AG192" s="2894"/>
      <c r="AH192" s="3279"/>
      <c r="AI192" s="823" t="str">
        <f t="shared" si="18"/>
        <v/>
      </c>
      <c r="BS192" s="1118"/>
      <c r="BT192" s="1118"/>
      <c r="BU192" s="1580"/>
      <c r="BV192" s="1580"/>
      <c r="BW192" s="1580"/>
      <c r="BX192" s="1580"/>
      <c r="BY192" s="1580"/>
      <c r="BZ192" s="1580"/>
      <c r="CA192" s="1467" t="str">
        <f t="shared" si="19"/>
        <v/>
      </c>
      <c r="CB192" s="1467" t="str">
        <f t="shared" si="20"/>
        <v/>
      </c>
      <c r="CG192" s="1468">
        <f t="shared" si="21"/>
        <v>0</v>
      </c>
      <c r="CH192" s="1468">
        <f t="shared" si="22"/>
        <v>0</v>
      </c>
      <c r="CU192" s="823"/>
      <c r="CV192" s="823"/>
      <c r="CW192" s="823"/>
      <c r="CX192" s="823"/>
      <c r="CY192" s="823"/>
      <c r="CZ192" s="823"/>
    </row>
    <row r="193" spans="1:104" x14ac:dyDescent="0.25">
      <c r="A193" s="10384"/>
      <c r="B193" s="3314" t="s">
        <v>26</v>
      </c>
      <c r="C193" s="3759">
        <f t="shared" si="17"/>
        <v>0</v>
      </c>
      <c r="D193" s="3760">
        <f t="shared" si="23"/>
        <v>0</v>
      </c>
      <c r="E193" s="3761">
        <f t="shared" si="23"/>
        <v>0</v>
      </c>
      <c r="F193" s="3278"/>
      <c r="G193" s="2596"/>
      <c r="H193" s="3278"/>
      <c r="I193" s="2596"/>
      <c r="J193" s="3278"/>
      <c r="K193" s="2596"/>
      <c r="L193" s="3278"/>
      <c r="M193" s="2596"/>
      <c r="N193" s="3278"/>
      <c r="O193" s="2596"/>
      <c r="P193" s="3278"/>
      <c r="Q193" s="2596"/>
      <c r="R193" s="3278"/>
      <c r="S193" s="2596"/>
      <c r="T193" s="3278"/>
      <c r="U193" s="2596"/>
      <c r="V193" s="3278"/>
      <c r="W193" s="2596"/>
      <c r="X193" s="3278"/>
      <c r="Y193" s="2596"/>
      <c r="Z193" s="3278"/>
      <c r="AA193" s="2596"/>
      <c r="AB193" s="3278"/>
      <c r="AC193" s="2596"/>
      <c r="AD193" s="3278"/>
      <c r="AE193" s="2596"/>
      <c r="AF193" s="3278"/>
      <c r="AG193" s="2894"/>
      <c r="AH193" s="3279"/>
      <c r="AI193" s="823" t="str">
        <f t="shared" si="18"/>
        <v/>
      </c>
      <c r="BS193" s="1118"/>
      <c r="BT193" s="1118"/>
      <c r="BU193" s="1580"/>
      <c r="BV193" s="1580"/>
      <c r="BW193" s="1580"/>
      <c r="BX193" s="1580"/>
      <c r="BY193" s="1580"/>
      <c r="BZ193" s="1580"/>
      <c r="CA193" s="1467" t="str">
        <f t="shared" si="19"/>
        <v/>
      </c>
      <c r="CB193" s="1467" t="str">
        <f t="shared" si="20"/>
        <v/>
      </c>
      <c r="CG193" s="1468">
        <f t="shared" si="21"/>
        <v>0</v>
      </c>
      <c r="CH193" s="1468">
        <f t="shared" si="22"/>
        <v>0</v>
      </c>
      <c r="CU193" s="823"/>
      <c r="CV193" s="823"/>
      <c r="CW193" s="823"/>
      <c r="CX193" s="823"/>
      <c r="CY193" s="823"/>
      <c r="CZ193" s="823"/>
    </row>
    <row r="194" spans="1:104" x14ac:dyDescent="0.25">
      <c r="A194" s="10384"/>
      <c r="B194" s="4950" t="s">
        <v>3407</v>
      </c>
      <c r="C194" s="4951">
        <f t="shared" si="17"/>
        <v>0</v>
      </c>
      <c r="D194" s="3760">
        <f t="shared" si="23"/>
        <v>0</v>
      </c>
      <c r="E194" s="3761">
        <f t="shared" si="23"/>
        <v>0</v>
      </c>
      <c r="F194" s="3278"/>
      <c r="G194" s="2596"/>
      <c r="H194" s="3278"/>
      <c r="I194" s="2596"/>
      <c r="J194" s="3278"/>
      <c r="K194" s="2596"/>
      <c r="L194" s="3278"/>
      <c r="M194" s="2596"/>
      <c r="N194" s="3278"/>
      <c r="O194" s="2596"/>
      <c r="P194" s="3278"/>
      <c r="Q194" s="2596"/>
      <c r="R194" s="3278"/>
      <c r="S194" s="2596"/>
      <c r="T194" s="3278"/>
      <c r="U194" s="2596"/>
      <c r="V194" s="3278"/>
      <c r="W194" s="2596"/>
      <c r="X194" s="3278"/>
      <c r="Y194" s="2596"/>
      <c r="Z194" s="3278"/>
      <c r="AA194" s="2596"/>
      <c r="AB194" s="3278"/>
      <c r="AC194" s="2596"/>
      <c r="AD194" s="3278"/>
      <c r="AE194" s="2596"/>
      <c r="AF194" s="3278"/>
      <c r="AG194" s="2894"/>
      <c r="AH194" s="3279"/>
      <c r="AI194" s="823" t="str">
        <f t="shared" si="18"/>
        <v/>
      </c>
      <c r="BS194" s="1118"/>
      <c r="BT194" s="1118"/>
      <c r="BU194" s="1580"/>
      <c r="BV194" s="1580"/>
      <c r="BW194" s="1580"/>
      <c r="BX194" s="1580"/>
      <c r="BY194" s="1580"/>
      <c r="BZ194" s="1580"/>
      <c r="CA194" s="1467" t="str">
        <f t="shared" si="19"/>
        <v/>
      </c>
      <c r="CB194" s="1467" t="str">
        <f t="shared" si="20"/>
        <v/>
      </c>
      <c r="CG194" s="1468">
        <f t="shared" si="21"/>
        <v>0</v>
      </c>
      <c r="CH194" s="1468">
        <f t="shared" si="22"/>
        <v>0</v>
      </c>
      <c r="CU194" s="823"/>
      <c r="CV194" s="823"/>
      <c r="CW194" s="823"/>
      <c r="CX194" s="823"/>
      <c r="CY194" s="823"/>
      <c r="CZ194" s="823"/>
    </row>
    <row r="195" spans="1:104" s="1485" customFormat="1" x14ac:dyDescent="0.25">
      <c r="A195" s="10384"/>
      <c r="B195" s="4952" t="s">
        <v>3408</v>
      </c>
      <c r="C195" s="4953">
        <f t="shared" si="17"/>
        <v>0</v>
      </c>
      <c r="D195" s="4954">
        <f t="shared" si="23"/>
        <v>0</v>
      </c>
      <c r="E195" s="4955">
        <f t="shared" si="23"/>
        <v>0</v>
      </c>
      <c r="F195" s="2885"/>
      <c r="G195" s="4956"/>
      <c r="H195" s="2885"/>
      <c r="I195" s="4956"/>
      <c r="J195" s="2885"/>
      <c r="K195" s="4956"/>
      <c r="L195" s="2885"/>
      <c r="M195" s="4956"/>
      <c r="N195" s="2885"/>
      <c r="O195" s="4956"/>
      <c r="P195" s="2885"/>
      <c r="Q195" s="4956"/>
      <c r="R195" s="2885"/>
      <c r="S195" s="4956"/>
      <c r="T195" s="2885"/>
      <c r="U195" s="4956"/>
      <c r="V195" s="2885"/>
      <c r="W195" s="4956"/>
      <c r="X195" s="2885"/>
      <c r="Y195" s="4956"/>
      <c r="Z195" s="2885"/>
      <c r="AA195" s="4956"/>
      <c r="AB195" s="2885"/>
      <c r="AC195" s="4956"/>
      <c r="AD195" s="2885"/>
      <c r="AE195" s="4956"/>
      <c r="AF195" s="2885"/>
      <c r="AG195" s="4957"/>
      <c r="AH195" s="4958"/>
      <c r="AI195" s="823" t="str">
        <f t="shared" si="18"/>
        <v/>
      </c>
      <c r="AJ195" s="1187"/>
      <c r="AK195" s="1187"/>
      <c r="AL195" s="1187"/>
      <c r="AM195" s="1187"/>
      <c r="AN195" s="1187"/>
      <c r="AO195" s="1187"/>
      <c r="AP195" s="1187"/>
      <c r="AQ195" s="1187"/>
      <c r="AR195" s="1187"/>
      <c r="AS195" s="1187"/>
      <c r="AT195" s="1187"/>
      <c r="AU195" s="1187"/>
      <c r="AV195" s="1187"/>
      <c r="AW195" s="1187"/>
      <c r="AX195" s="1187"/>
      <c r="AY195" s="1187"/>
      <c r="AZ195" s="1187"/>
      <c r="BA195" s="1187"/>
      <c r="BB195" s="1187"/>
      <c r="BC195" s="1187"/>
      <c r="BD195" s="1187"/>
      <c r="BE195" s="1187"/>
      <c r="BF195" s="1187"/>
      <c r="BG195" s="1187"/>
      <c r="BH195" s="1187"/>
      <c r="BI195" s="1187"/>
      <c r="BJ195" s="1187"/>
      <c r="BK195" s="1187"/>
      <c r="BL195" s="1187"/>
      <c r="BM195" s="1187"/>
      <c r="BN195" s="1187"/>
      <c r="BO195" s="1187"/>
      <c r="BP195" s="1187"/>
      <c r="BQ195" s="1187"/>
      <c r="BR195" s="1187"/>
      <c r="BS195" s="1580"/>
      <c r="BT195" s="1580"/>
      <c r="BU195" s="1580"/>
      <c r="BV195" s="1580"/>
      <c r="BW195" s="1580"/>
      <c r="BX195" s="1580"/>
      <c r="BY195" s="1580"/>
      <c r="BZ195" s="1580"/>
      <c r="CA195" s="1467" t="str">
        <f t="shared" si="19"/>
        <v/>
      </c>
      <c r="CB195" s="1467" t="str">
        <f t="shared" si="20"/>
        <v/>
      </c>
      <c r="CC195" s="1486"/>
      <c r="CD195" s="1486"/>
      <c r="CE195" s="1486"/>
      <c r="CF195" s="1486"/>
      <c r="CG195" s="1468">
        <f t="shared" si="21"/>
        <v>0</v>
      </c>
      <c r="CH195" s="1468">
        <f t="shared" si="22"/>
        <v>0</v>
      </c>
      <c r="CI195" s="1464"/>
      <c r="CJ195" s="1464"/>
      <c r="CK195" s="1486"/>
      <c r="CL195" s="1486"/>
      <c r="CM195" s="1486"/>
      <c r="CN195" s="1486"/>
      <c r="CO195" s="1486"/>
      <c r="CP195" s="1486"/>
      <c r="CQ195" s="1486"/>
      <c r="CR195" s="1486"/>
      <c r="CS195" s="1486"/>
      <c r="CT195" s="1486"/>
    </row>
    <row r="196" spans="1:104" s="1485" customFormat="1" x14ac:dyDescent="0.25">
      <c r="A196" s="10385"/>
      <c r="B196" s="3345" t="s">
        <v>63</v>
      </c>
      <c r="C196" s="4953">
        <f t="shared" si="17"/>
        <v>0</v>
      </c>
      <c r="D196" s="4954">
        <f>+F196+H196+J196+L196+N196+P196+R196+T196+V196+X196+Z196+AB196+AD196+AF196</f>
        <v>0</v>
      </c>
      <c r="E196" s="4955">
        <f>+G196+I196+K196+M196+O196+Q196+S196+U196+W196+Y196+AA196+AC196+AE196+AG196</f>
        <v>0</v>
      </c>
      <c r="F196" s="3248"/>
      <c r="G196" s="2884"/>
      <c r="H196" s="3248"/>
      <c r="I196" s="2884"/>
      <c r="J196" s="3248"/>
      <c r="K196" s="2884"/>
      <c r="L196" s="3248"/>
      <c r="M196" s="2884"/>
      <c r="N196" s="3248"/>
      <c r="O196" s="2884"/>
      <c r="P196" s="3248"/>
      <c r="Q196" s="2884"/>
      <c r="R196" s="3248"/>
      <c r="S196" s="2884"/>
      <c r="T196" s="3248"/>
      <c r="U196" s="2884"/>
      <c r="V196" s="3248"/>
      <c r="W196" s="2884"/>
      <c r="X196" s="3248"/>
      <c r="Y196" s="2884"/>
      <c r="Z196" s="3248"/>
      <c r="AA196" s="2884"/>
      <c r="AB196" s="3248"/>
      <c r="AC196" s="2884"/>
      <c r="AD196" s="3248"/>
      <c r="AE196" s="2884"/>
      <c r="AF196" s="3248"/>
      <c r="AG196" s="2893"/>
      <c r="AH196" s="2546"/>
      <c r="AI196" s="823"/>
      <c r="AJ196" s="1187"/>
      <c r="AK196" s="1187"/>
      <c r="AL196" s="1187"/>
      <c r="AM196" s="1187"/>
      <c r="AN196" s="1187"/>
      <c r="AO196" s="1187"/>
      <c r="AP196" s="1187"/>
      <c r="AQ196" s="1187"/>
      <c r="AR196" s="1187"/>
      <c r="AS196" s="1187"/>
      <c r="AT196" s="1187"/>
      <c r="AU196" s="1187"/>
      <c r="AV196" s="1187"/>
      <c r="AW196" s="1187"/>
      <c r="AX196" s="1187"/>
      <c r="AY196" s="1187"/>
      <c r="AZ196" s="1187"/>
      <c r="BA196" s="1187"/>
      <c r="BB196" s="1187"/>
      <c r="BC196" s="1187"/>
      <c r="BD196" s="1187"/>
      <c r="BE196" s="1187"/>
      <c r="BF196" s="1187"/>
      <c r="BG196" s="1187"/>
      <c r="BH196" s="1187"/>
      <c r="BI196" s="1187"/>
      <c r="BJ196" s="1187"/>
      <c r="BK196" s="1187"/>
      <c r="BL196" s="1187"/>
      <c r="BM196" s="1187"/>
      <c r="BN196" s="1187"/>
      <c r="BO196" s="1187"/>
      <c r="BP196" s="1187"/>
      <c r="BQ196" s="1187"/>
      <c r="BR196" s="1187"/>
      <c r="BS196" s="1580"/>
      <c r="BT196" s="1580"/>
      <c r="BU196" s="1580"/>
      <c r="BV196" s="1580"/>
      <c r="BW196" s="1580"/>
      <c r="BX196" s="1580"/>
      <c r="BY196" s="1580"/>
      <c r="BZ196" s="1580"/>
      <c r="CA196" s="1467"/>
      <c r="CB196" s="1467"/>
      <c r="CC196" s="1486"/>
      <c r="CD196" s="1486"/>
      <c r="CE196" s="1486"/>
      <c r="CF196" s="1486"/>
      <c r="CG196" s="1468"/>
      <c r="CH196" s="1468"/>
      <c r="CI196" s="1464"/>
      <c r="CJ196" s="1464"/>
      <c r="CK196" s="1486"/>
      <c r="CL196" s="1486"/>
      <c r="CM196" s="1486"/>
      <c r="CN196" s="1486"/>
      <c r="CO196" s="1486"/>
      <c r="CP196" s="1486"/>
      <c r="CQ196" s="1486"/>
      <c r="CR196" s="1486"/>
      <c r="CS196" s="1486"/>
      <c r="CT196" s="1486"/>
    </row>
    <row r="197" spans="1:104" ht="18" customHeight="1" x14ac:dyDescent="0.25">
      <c r="A197" s="3763" t="s">
        <v>3406</v>
      </c>
      <c r="B197" s="3762" t="s">
        <v>3409</v>
      </c>
      <c r="C197" s="3764">
        <f t="shared" si="17"/>
        <v>0</v>
      </c>
      <c r="D197" s="3765">
        <f t="shared" si="23"/>
        <v>0</v>
      </c>
      <c r="E197" s="3766">
        <f t="shared" si="23"/>
        <v>0</v>
      </c>
      <c r="F197" s="3767"/>
      <c r="G197" s="3282"/>
      <c r="H197" s="3767"/>
      <c r="I197" s="3282"/>
      <c r="J197" s="3767"/>
      <c r="K197" s="3282"/>
      <c r="L197" s="3767"/>
      <c r="M197" s="3282"/>
      <c r="N197" s="3767"/>
      <c r="O197" s="3282"/>
      <c r="P197" s="3767"/>
      <c r="Q197" s="3282"/>
      <c r="R197" s="3767"/>
      <c r="S197" s="3282"/>
      <c r="T197" s="3767"/>
      <c r="U197" s="3282"/>
      <c r="V197" s="3767"/>
      <c r="W197" s="3282"/>
      <c r="X197" s="3767"/>
      <c r="Y197" s="3282"/>
      <c r="Z197" s="3767"/>
      <c r="AA197" s="3282"/>
      <c r="AB197" s="3767"/>
      <c r="AC197" s="3282"/>
      <c r="AD197" s="3767"/>
      <c r="AE197" s="3282"/>
      <c r="AF197" s="3767"/>
      <c r="AG197" s="3320"/>
      <c r="AH197" s="3768"/>
      <c r="AI197" s="823" t="str">
        <f t="shared" si="18"/>
        <v/>
      </c>
      <c r="BS197" s="1118"/>
      <c r="BT197" s="1118"/>
      <c r="BU197" s="1580"/>
      <c r="BV197" s="1580"/>
      <c r="BW197" s="1580"/>
      <c r="BX197" s="1580"/>
      <c r="BY197" s="1580"/>
      <c r="BZ197" s="1580"/>
      <c r="CA197" s="1467" t="str">
        <f t="shared" si="19"/>
        <v/>
      </c>
      <c r="CB197" s="1467" t="str">
        <f t="shared" si="20"/>
        <v/>
      </c>
      <c r="CG197" s="1468">
        <f t="shared" si="21"/>
        <v>0</v>
      </c>
      <c r="CH197" s="1468">
        <f t="shared" si="22"/>
        <v>0</v>
      </c>
      <c r="CU197" s="823"/>
      <c r="CV197" s="823"/>
      <c r="CW197" s="823"/>
      <c r="CX197" s="823"/>
      <c r="CY197" s="823"/>
      <c r="CZ197" s="823"/>
    </row>
    <row r="198" spans="1:104" x14ac:dyDescent="0.25">
      <c r="BU198" s="1187"/>
      <c r="BV198" s="1187"/>
      <c r="BW198" s="1187"/>
      <c r="BX198" s="1187"/>
      <c r="BY198" s="1580"/>
      <c r="BZ198" s="1580"/>
    </row>
    <row r="216" spans="1:104" s="3307" customFormat="1" hidden="1" x14ac:dyDescent="0.25">
      <c r="A216" s="3307">
        <f>SUM(D11:D47,D51:D84,D88:D90,D94:E96,D100:E102,D106:D114,B117:D117,B121:B122,B126:B127,B131:F132,D136:D151,D154:D185,C191:C197)</f>
        <v>0</v>
      </c>
      <c r="B216" s="3307">
        <f>SUM(CG11:CJ197)</f>
        <v>0</v>
      </c>
      <c r="BY216" s="3306"/>
      <c r="BZ216" s="3306"/>
      <c r="CA216" s="3306"/>
      <c r="CB216" s="3306"/>
      <c r="CC216" s="3306"/>
      <c r="CD216" s="3306"/>
      <c r="CE216" s="3306"/>
      <c r="CF216" s="3306"/>
      <c r="CG216" s="3306"/>
      <c r="CH216" s="3306"/>
      <c r="CI216" s="3306"/>
      <c r="CJ216" s="3306"/>
      <c r="CK216" s="3306"/>
      <c r="CL216" s="3306"/>
      <c r="CM216" s="3306"/>
      <c r="CN216" s="3306"/>
      <c r="CO216" s="3306"/>
      <c r="CP216" s="3306"/>
      <c r="CQ216" s="3306"/>
      <c r="CR216" s="3306"/>
      <c r="CS216" s="3306"/>
      <c r="CT216" s="3306"/>
      <c r="CU216" s="3306"/>
      <c r="CV216" s="3306"/>
      <c r="CW216" s="3306"/>
      <c r="CX216" s="3306"/>
      <c r="CY216" s="3306"/>
      <c r="CZ216" s="3306"/>
    </row>
  </sheetData>
  <sheetProtection algorithmName="SHA-512" hashValue="D9+GMdIDSMWQf4jAA9WTFdwsYxyiw00gjvjzQB1AlMTKcO0dH7t5rkSlysp7CdXlAYOWzUEb6BB0lYJg9RWlPw==" saltValue="G6hCReRbJQOuYtL4SL6oWA==" spinCount="100000" sheet="1" objects="1" scenarios="1"/>
  <mergeCells count="150">
    <mergeCell ref="A191:A196"/>
    <mergeCell ref="AH188:AH190"/>
    <mergeCell ref="AB189:AC189"/>
    <mergeCell ref="AD189:AE189"/>
    <mergeCell ref="AF189:AG189"/>
    <mergeCell ref="V189:W189"/>
    <mergeCell ref="X189:Y189"/>
    <mergeCell ref="Z189:AA189"/>
    <mergeCell ref="T189:U189"/>
    <mergeCell ref="F189:G189"/>
    <mergeCell ref="H189:I189"/>
    <mergeCell ref="J189:K189"/>
    <mergeCell ref="L189:M189"/>
    <mergeCell ref="N189:O189"/>
    <mergeCell ref="A188:A190"/>
    <mergeCell ref="P189:Q189"/>
    <mergeCell ref="R189:S189"/>
    <mergeCell ref="B188:B190"/>
    <mergeCell ref="C188:E189"/>
    <mergeCell ref="F188:AG188"/>
    <mergeCell ref="B186:C186"/>
    <mergeCell ref="A153:C153"/>
    <mergeCell ref="A154:A186"/>
    <mergeCell ref="B154:C154"/>
    <mergeCell ref="B155:B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B170"/>
    <mergeCell ref="B171:B173"/>
    <mergeCell ref="B174:C174"/>
    <mergeCell ref="B175:B176"/>
    <mergeCell ref="B177:C177"/>
    <mergeCell ref="B178:C178"/>
    <mergeCell ref="B179:C179"/>
    <mergeCell ref="B180:C180"/>
    <mergeCell ref="B181:B183"/>
    <mergeCell ref="B184:C184"/>
    <mergeCell ref="B185:C185"/>
    <mergeCell ref="AE9:AE10"/>
    <mergeCell ref="AC9:AC10"/>
    <mergeCell ref="AD9:AD10"/>
    <mergeCell ref="A102:C102"/>
    <mergeCell ref="A104:C105"/>
    <mergeCell ref="D104:D105"/>
    <mergeCell ref="E104:J104"/>
    <mergeCell ref="K104:L104"/>
    <mergeCell ref="A106:B108"/>
    <mergeCell ref="H98:U98"/>
    <mergeCell ref="V98:V99"/>
    <mergeCell ref="W98:W99"/>
    <mergeCell ref="A100:C100"/>
    <mergeCell ref="A101:C101"/>
    <mergeCell ref="A94:C94"/>
    <mergeCell ref="A95:C95"/>
    <mergeCell ref="A96:C96"/>
    <mergeCell ref="A129:A130"/>
    <mergeCell ref="B129:B130"/>
    <mergeCell ref="A109:B111"/>
    <mergeCell ref="A112:B114"/>
    <mergeCell ref="A119:A120"/>
    <mergeCell ref="B119:I119"/>
    <mergeCell ref="A124:A125"/>
    <mergeCell ref="C129:F129"/>
    <mergeCell ref="G129:G130"/>
    <mergeCell ref="H129:H130"/>
    <mergeCell ref="B124:B125"/>
    <mergeCell ref="C124:M124"/>
    <mergeCell ref="A98:C99"/>
    <mergeCell ref="D98:D99"/>
    <mergeCell ref="E98:E99"/>
    <mergeCell ref="F98:G98"/>
    <mergeCell ref="A88:C88"/>
    <mergeCell ref="E88:F88"/>
    <mergeCell ref="A89:C89"/>
    <mergeCell ref="E89:F89"/>
    <mergeCell ref="A90:C90"/>
    <mergeCell ref="A92:C93"/>
    <mergeCell ref="D92:D93"/>
    <mergeCell ref="E92:E93"/>
    <mergeCell ref="A87:C87"/>
    <mergeCell ref="E87:F87"/>
    <mergeCell ref="A11:A48"/>
    <mergeCell ref="B11:C11"/>
    <mergeCell ref="B12:B15"/>
    <mergeCell ref="B16:C16"/>
    <mergeCell ref="B61:C61"/>
    <mergeCell ref="B59:C59"/>
    <mergeCell ref="B63:C63"/>
    <mergeCell ref="B71:C71"/>
    <mergeCell ref="B72:B73"/>
    <mergeCell ref="B74:C74"/>
    <mergeCell ref="B75:C75"/>
    <mergeCell ref="B76:C76"/>
    <mergeCell ref="B77:C77"/>
    <mergeCell ref="A50:C50"/>
    <mergeCell ref="A51:A85"/>
    <mergeCell ref="B51:C51"/>
    <mergeCell ref="B52:B55"/>
    <mergeCell ref="B56:C56"/>
    <mergeCell ref="B57:C57"/>
    <mergeCell ref="B58:C58"/>
    <mergeCell ref="B78:B82"/>
    <mergeCell ref="B83:C83"/>
    <mergeCell ref="B84:C84"/>
    <mergeCell ref="B85:C85"/>
    <mergeCell ref="Y9:AA9"/>
    <mergeCell ref="AB9:AB10"/>
    <mergeCell ref="B17:C17"/>
    <mergeCell ref="B18:C18"/>
    <mergeCell ref="B19:C19"/>
    <mergeCell ref="B35:B36"/>
    <mergeCell ref="B37:C37"/>
    <mergeCell ref="B38:C38"/>
    <mergeCell ref="B25:C25"/>
    <mergeCell ref="B27:C27"/>
    <mergeCell ref="B28:B30"/>
    <mergeCell ref="B31:B33"/>
    <mergeCell ref="B34:C34"/>
    <mergeCell ref="B24:C24"/>
    <mergeCell ref="A134:C135"/>
    <mergeCell ref="D134:D135"/>
    <mergeCell ref="E134:N134"/>
    <mergeCell ref="O134:P134"/>
    <mergeCell ref="A136:B143"/>
    <mergeCell ref="A144:B151"/>
    <mergeCell ref="B62:C62"/>
    <mergeCell ref="B60:C60"/>
    <mergeCell ref="A6:O6"/>
    <mergeCell ref="A9:C10"/>
    <mergeCell ref="D9:D10"/>
    <mergeCell ref="E9:I9"/>
    <mergeCell ref="J9:X9"/>
    <mergeCell ref="B20:B23"/>
    <mergeCell ref="B26:C26"/>
    <mergeCell ref="B39:C39"/>
    <mergeCell ref="B40:C40"/>
    <mergeCell ref="B41:B45"/>
    <mergeCell ref="B64:C64"/>
    <mergeCell ref="B65:B67"/>
    <mergeCell ref="B68:B70"/>
    <mergeCell ref="B46:C46"/>
    <mergeCell ref="B47:C47"/>
    <mergeCell ref="B48:C48"/>
  </mergeCells>
  <dataValidations count="4">
    <dataValidation allowBlank="1" showInputMessage="1" showErrorMessage="1" error="Valor no Permitido" sqref="A128:XFD128 B1:B20 C1:C25 Z1:AA8 AF9:BW48 C27:C62 G129:H129 D130:F130 AD9:AE10 B126:C127 D125:M127 AC1:XFD8 B193:E197 AC11:AE48 AC9 B24:B41 C153:C165 J152:P187 I129:P132 D131:H132 A129:C132 A197 C167:C192 D153:I187 D188:E192 AH192:XFD197 A198:XFD1048576 A1:A127 F188:F197 G189:AG197 AH188:XFD190 AH191:CH191 CJ191:XFD191 Q129:XFD187 D1:M123 AC49:XFD127 B46:B124 C64:C125 AB1:AB127 N1:Y127 Z10:AA127 A153:A191 B153:B192 CA9:XFD48" xr:uid="{00000000-0002-0000-1300-000000000000}"/>
    <dataValidation type="decimal" prompt="Error - Favor ingresar Números." sqref="N136:N140" xr:uid="{CB8108DD-C7D2-4FDC-9933-9FEBAD8DB4B3}">
      <formula1>0</formula1>
      <formula2>1E+29</formula2>
    </dataValidation>
    <dataValidation type="decimal" allowBlank="1" prompt="Error - Favor ingresar Números." sqref="K136:K139 L136:M140 F144 G144:N145 H146:N146 I147:N147 L148:N150 J149:K151 E151:I151 E145 E146:F150 G147:G148 H148" xr:uid="{9B404401-F403-446F-A7CE-5B773263D109}">
      <formula1>0</formula1>
      <formula2>1E+29</formula2>
    </dataValidation>
    <dataValidation allowBlank="1" sqref="F136:J136 G137:J137 H138:J138 I139:J139 E137 E138:F138 E139:G139 E140:H140 E141:F143 G143:K143 J141:N142" xr:uid="{1EE5C4DD-AD81-4F75-A4ED-9E10BAF2F156}"/>
  </dataValidations>
  <pageMargins left="0.7" right="0.7" top="0.75" bottom="0.75" header="0.3" footer="0.3"/>
  <pageSetup orientation="portrait" r:id="rId1"/>
  <ignoredErrors>
    <ignoredError sqref="D39" 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5"/>
  <dimension ref="A1:ES400"/>
  <sheetViews>
    <sheetView showGridLines="0" zoomScaleNormal="100" zoomScalePageLayoutView="90" workbookViewId="0">
      <selection activeCell="A6" sqref="A6:N6"/>
    </sheetView>
  </sheetViews>
  <sheetFormatPr baseColWidth="10" defaultColWidth="11.42578125" defaultRowHeight="14.25" x14ac:dyDescent="0.2"/>
  <cols>
    <col min="1" max="1" width="49.85546875" style="165" customWidth="1"/>
    <col min="2" max="2" width="43.7109375" style="165" customWidth="1"/>
    <col min="3" max="3" width="16.28515625" style="165" customWidth="1"/>
    <col min="4" max="38" width="19.28515625" style="165" customWidth="1"/>
    <col min="39" max="40" width="12.7109375" style="165" customWidth="1"/>
    <col min="41" max="41" width="14.42578125" style="165" customWidth="1"/>
    <col min="42" max="42" width="12.7109375" style="165" customWidth="1"/>
    <col min="43" max="43" width="14.42578125" style="165" customWidth="1"/>
    <col min="44" max="44" width="12.42578125" style="165" customWidth="1"/>
    <col min="45" max="45" width="11.42578125" style="165"/>
    <col min="46" max="46" width="13.28515625" style="165" customWidth="1"/>
    <col min="47" max="47" width="11.42578125" style="165"/>
    <col min="48" max="48" width="12.28515625" style="165" customWidth="1"/>
    <col min="49" max="72" width="11.42578125" style="165" customWidth="1"/>
    <col min="73" max="73" width="11.42578125" style="290" customWidth="1"/>
    <col min="74" max="76" width="11" style="290" customWidth="1"/>
    <col min="77" max="77" width="11" style="1460" customWidth="1"/>
    <col min="78" max="78" width="13.28515625" style="1460" customWidth="1"/>
    <col min="79" max="98" width="13.28515625" style="1451" hidden="1" customWidth="1"/>
    <col min="99" max="104" width="13.28515625" style="1460" hidden="1" customWidth="1"/>
    <col min="105" max="105" width="0" style="290" hidden="1" customWidth="1"/>
    <col min="106" max="130" width="11.42578125" style="290"/>
    <col min="131" max="16384" width="11.42578125" style="165"/>
  </cols>
  <sheetData>
    <row r="1" spans="1:104" ht="16.350000000000001" customHeight="1" x14ac:dyDescent="0.25">
      <c r="A1" s="150" t="s">
        <v>206</v>
      </c>
      <c r="B1" s="1188"/>
      <c r="C1" s="1188"/>
      <c r="D1" s="1188"/>
      <c r="E1" s="1188"/>
      <c r="F1" s="1188"/>
      <c r="G1" s="1188"/>
      <c r="H1" s="1188"/>
      <c r="I1" s="1188"/>
      <c r="J1" s="1188"/>
      <c r="K1" s="1188"/>
      <c r="L1" s="1188"/>
      <c r="M1" s="1188"/>
      <c r="N1" s="1188"/>
      <c r="O1" s="1188"/>
      <c r="P1" s="1188"/>
      <c r="Q1" s="1188"/>
      <c r="R1" s="1188"/>
      <c r="S1" s="1188"/>
      <c r="T1" s="1188"/>
      <c r="U1" s="1188"/>
      <c r="V1" s="1188"/>
      <c r="W1" s="1188"/>
      <c r="X1" s="1188"/>
      <c r="Y1" s="1188"/>
      <c r="Z1" s="1188"/>
      <c r="AA1" s="1188"/>
      <c r="AB1" s="1188"/>
      <c r="AC1" s="1188"/>
      <c r="AD1" s="1188"/>
      <c r="AE1" s="1188"/>
      <c r="AF1" s="1188"/>
      <c r="AG1" s="1188"/>
      <c r="AH1" s="1188"/>
      <c r="AI1" s="1188"/>
      <c r="AJ1" s="1188"/>
      <c r="AK1" s="1188"/>
      <c r="AL1" s="1188"/>
      <c r="AM1" s="1188"/>
      <c r="AN1" s="1188"/>
      <c r="AO1" s="1188"/>
      <c r="AP1" s="1188"/>
      <c r="AQ1" s="1188"/>
      <c r="AR1" s="1188"/>
      <c r="AS1" s="1188"/>
      <c r="AT1" s="1188"/>
      <c r="AU1" s="1188"/>
      <c r="AV1" s="1188"/>
      <c r="AW1" s="1188"/>
      <c r="AX1" s="1188"/>
      <c r="AY1" s="1188"/>
      <c r="AZ1" s="1188"/>
      <c r="BA1" s="1188"/>
      <c r="BB1" s="1188"/>
      <c r="BC1" s="1188"/>
      <c r="BD1" s="1188"/>
      <c r="BE1" s="1188"/>
      <c r="BF1" s="1188"/>
      <c r="BG1" s="1188"/>
      <c r="BH1" s="1188"/>
      <c r="BI1" s="1188"/>
      <c r="BJ1" s="1188"/>
      <c r="BK1" s="1188"/>
      <c r="BL1" s="1188"/>
      <c r="BM1" s="1188"/>
      <c r="BN1" s="1188"/>
      <c r="BO1" s="1188"/>
      <c r="BP1" s="1188"/>
      <c r="BQ1" s="1188"/>
      <c r="BR1" s="1188"/>
      <c r="BS1" s="1188"/>
      <c r="BT1" s="1188"/>
      <c r="BU1" s="1152"/>
      <c r="BV1" s="1152"/>
      <c r="BW1" s="1152"/>
      <c r="BX1" s="1152"/>
      <c r="BY1" s="1152"/>
      <c r="BZ1" s="1152"/>
      <c r="CU1" s="290"/>
      <c r="CV1" s="290"/>
      <c r="CW1" s="290"/>
      <c r="CX1" s="290"/>
      <c r="CY1" s="290"/>
      <c r="CZ1" s="290"/>
    </row>
    <row r="2" spans="1:104" ht="16.350000000000001" customHeight="1" x14ac:dyDescent="0.25">
      <c r="A2" s="150" t="str">
        <f>CONCATENATE("COMUNA: ",NOMBRE!B2," - ","( ",NOMBRE!C2,NOMBRE!D2,NOMBRE!E2,NOMBRE!F2,NOMBRE!G2," )")</f>
        <v>COMUNA:  - (  )</v>
      </c>
      <c r="B2" s="1188"/>
      <c r="C2" s="1188"/>
      <c r="D2" s="1188"/>
      <c r="E2" s="1188"/>
      <c r="F2" s="1188"/>
      <c r="G2" s="1188"/>
      <c r="H2" s="1188"/>
      <c r="I2" s="1188"/>
      <c r="J2" s="1188"/>
      <c r="K2" s="1188"/>
      <c r="L2" s="1188"/>
      <c r="M2" s="1188"/>
      <c r="N2" s="1188"/>
      <c r="O2" s="1188"/>
      <c r="P2" s="1188"/>
      <c r="Q2" s="1188"/>
      <c r="R2" s="1188"/>
      <c r="S2" s="1188"/>
      <c r="T2" s="1188"/>
      <c r="U2" s="1188"/>
      <c r="V2" s="1188"/>
      <c r="W2" s="1188"/>
      <c r="X2" s="1188"/>
      <c r="Y2" s="1188"/>
      <c r="Z2" s="1188"/>
      <c r="AA2" s="1188"/>
      <c r="AB2" s="1188"/>
      <c r="AC2" s="1188"/>
      <c r="AD2" s="1188"/>
      <c r="AE2" s="1188"/>
      <c r="AF2" s="1188"/>
      <c r="AG2" s="1188"/>
      <c r="AH2" s="1188"/>
      <c r="AI2" s="1188"/>
      <c r="AJ2" s="1188"/>
      <c r="AK2" s="1188"/>
      <c r="AL2" s="1188"/>
      <c r="AM2" s="1188"/>
      <c r="AN2" s="1188"/>
      <c r="AO2" s="1188"/>
      <c r="AP2" s="1188"/>
      <c r="AQ2" s="1188"/>
      <c r="AR2" s="1188"/>
      <c r="AS2" s="1188"/>
      <c r="AT2" s="1188"/>
      <c r="AU2" s="1188"/>
      <c r="AV2" s="1188"/>
      <c r="AW2" s="1188"/>
      <c r="AX2" s="1188"/>
      <c r="AY2" s="1188"/>
      <c r="AZ2" s="1188"/>
      <c r="BA2" s="1188"/>
      <c r="BB2" s="1188"/>
      <c r="BC2" s="1188"/>
      <c r="BD2" s="1188"/>
      <c r="BE2" s="1188"/>
      <c r="BF2" s="1188"/>
      <c r="BG2" s="1188"/>
      <c r="BH2" s="1188"/>
      <c r="BI2" s="1188"/>
      <c r="BJ2" s="1188"/>
      <c r="BK2" s="1188"/>
      <c r="BL2" s="1188"/>
      <c r="BM2" s="1188"/>
      <c r="BN2" s="1188"/>
      <c r="BO2" s="1188"/>
      <c r="BP2" s="1188"/>
      <c r="BQ2" s="1188"/>
      <c r="BR2" s="1188"/>
      <c r="BS2" s="1188"/>
      <c r="BT2" s="1188"/>
      <c r="BU2" s="1152"/>
      <c r="BV2" s="1152"/>
      <c r="BW2" s="1152"/>
      <c r="BX2" s="1152"/>
      <c r="BY2" s="1152"/>
      <c r="BZ2" s="1152"/>
      <c r="CU2" s="290"/>
      <c r="CV2" s="290"/>
      <c r="CW2" s="290"/>
      <c r="CX2" s="290"/>
      <c r="CY2" s="290"/>
      <c r="CZ2" s="290"/>
    </row>
    <row r="3" spans="1:104" ht="16.350000000000001" customHeight="1" x14ac:dyDescent="0.25">
      <c r="A3" s="150" t="str">
        <f>CONCATENATE("ESTABLECIMIENTO/ESTRATEGIA: ",NOMBRE!B3," - ","( ",NOMBRE!C3,NOMBRE!D3,NOMBRE!E3,NOMBRE!F3,NOMBRE!G3,NOMBRE!H3," )")</f>
        <v>ESTABLECIMIENTO/ESTRATEGIA:  - (  )</v>
      </c>
      <c r="B3" s="1188"/>
      <c r="C3" s="1188"/>
      <c r="D3" s="1188"/>
      <c r="E3" s="1188"/>
      <c r="F3" s="1188"/>
      <c r="G3" s="1188"/>
      <c r="H3" s="1188"/>
      <c r="I3" s="1188"/>
      <c r="J3" s="1188"/>
      <c r="K3" s="1188"/>
      <c r="L3" s="1188"/>
      <c r="M3" s="1188"/>
      <c r="N3" s="1188"/>
      <c r="O3" s="1188"/>
      <c r="P3" s="1188"/>
      <c r="Q3" s="1188"/>
      <c r="R3" s="1188"/>
      <c r="S3" s="1188"/>
      <c r="T3" s="1188"/>
      <c r="U3" s="1188"/>
      <c r="V3" s="1188"/>
      <c r="W3" s="1188"/>
      <c r="X3" s="1188"/>
      <c r="Y3" s="1188"/>
      <c r="Z3" s="1188"/>
      <c r="AA3" s="1188"/>
      <c r="AB3" s="1188"/>
      <c r="AC3" s="1188"/>
      <c r="AD3" s="1188"/>
      <c r="AE3" s="1188"/>
      <c r="AF3" s="1188"/>
      <c r="AG3" s="1188"/>
      <c r="AH3" s="1188"/>
      <c r="AI3" s="1188"/>
      <c r="AJ3" s="1188"/>
      <c r="AK3" s="1188"/>
      <c r="AL3" s="1188"/>
      <c r="AM3" s="1188"/>
      <c r="AN3" s="1188"/>
      <c r="AO3" s="1188"/>
      <c r="AP3" s="1188"/>
      <c r="AQ3" s="1188"/>
      <c r="AR3" s="1188"/>
      <c r="AS3" s="1188"/>
      <c r="AT3" s="1188"/>
      <c r="AU3" s="1188"/>
      <c r="AV3" s="1188"/>
      <c r="AW3" s="1188"/>
      <c r="AX3" s="1188"/>
      <c r="AY3" s="1188"/>
      <c r="AZ3" s="1188"/>
      <c r="BA3" s="1188"/>
      <c r="BB3" s="1188"/>
      <c r="BC3" s="1188"/>
      <c r="BD3" s="1188"/>
      <c r="BE3" s="1188"/>
      <c r="BF3" s="1188"/>
      <c r="BG3" s="1188"/>
      <c r="BH3" s="1188"/>
      <c r="BI3" s="1188"/>
      <c r="BJ3" s="1188"/>
      <c r="BK3" s="1188"/>
      <c r="BL3" s="1188"/>
      <c r="BM3" s="1188"/>
      <c r="BN3" s="1188"/>
      <c r="BO3" s="1188"/>
      <c r="BP3" s="1188"/>
      <c r="BQ3" s="1188"/>
      <c r="BR3" s="1188"/>
      <c r="BS3" s="1188"/>
      <c r="BT3" s="1188"/>
      <c r="BU3" s="1152"/>
      <c r="BV3" s="1152"/>
      <c r="BW3" s="1152"/>
      <c r="BX3" s="1152"/>
      <c r="BY3" s="1152"/>
      <c r="BZ3" s="1152"/>
      <c r="CU3" s="290"/>
      <c r="CV3" s="290"/>
      <c r="CW3" s="290"/>
      <c r="CX3" s="290"/>
      <c r="CY3" s="290"/>
      <c r="CZ3" s="290"/>
    </row>
    <row r="4" spans="1:104" ht="16.350000000000001" customHeight="1" x14ac:dyDescent="0.25">
      <c r="A4" s="150" t="str">
        <f>CONCATENATE("MES: ",NOMBRE!B6," - ","( ",NOMBRE!C6,NOMBRE!D6," )")</f>
        <v>MES:  - (  )</v>
      </c>
      <c r="B4" s="1188"/>
      <c r="C4" s="1188"/>
      <c r="D4" s="1188"/>
      <c r="E4" s="1188"/>
      <c r="F4" s="1188"/>
      <c r="G4" s="1188"/>
      <c r="H4" s="1188"/>
      <c r="I4" s="1188"/>
      <c r="J4" s="1188"/>
      <c r="K4" s="1188"/>
      <c r="L4" s="1188"/>
      <c r="M4" s="1188"/>
      <c r="N4" s="1188"/>
      <c r="O4" s="1188"/>
      <c r="P4" s="1188"/>
      <c r="Q4" s="1188"/>
      <c r="R4" s="1188"/>
      <c r="S4" s="1188"/>
      <c r="T4" s="1188"/>
      <c r="U4" s="1188"/>
      <c r="V4" s="1188"/>
      <c r="W4" s="1188"/>
      <c r="X4" s="1188"/>
      <c r="Y4" s="1188"/>
      <c r="Z4" s="1188"/>
      <c r="AA4" s="1188"/>
      <c r="AB4" s="1188"/>
      <c r="AC4" s="1188"/>
      <c r="AD4" s="1188"/>
      <c r="AE4" s="1188"/>
      <c r="AF4" s="1188"/>
      <c r="AG4" s="1188"/>
      <c r="AH4" s="1188"/>
      <c r="AI4" s="1188"/>
      <c r="AJ4" s="1188"/>
      <c r="AK4" s="1188"/>
      <c r="AL4" s="1188"/>
      <c r="AM4" s="1188"/>
      <c r="AN4" s="1188"/>
      <c r="AO4" s="1188"/>
      <c r="AP4" s="1188"/>
      <c r="AQ4" s="1188"/>
      <c r="AR4" s="1188"/>
      <c r="AS4" s="1188"/>
      <c r="AT4" s="1188"/>
      <c r="AU4" s="1188"/>
      <c r="AV4" s="1188"/>
      <c r="AW4" s="1188"/>
      <c r="AX4" s="1188"/>
      <c r="AY4" s="1188"/>
      <c r="AZ4" s="1188"/>
      <c r="BA4" s="1188"/>
      <c r="BB4" s="1188"/>
      <c r="BC4" s="1188"/>
      <c r="BD4" s="1188"/>
      <c r="BE4" s="1188"/>
      <c r="BF4" s="1188"/>
      <c r="BG4" s="1188"/>
      <c r="BH4" s="1188"/>
      <c r="BI4" s="1188"/>
      <c r="BJ4" s="1188"/>
      <c r="BK4" s="1188"/>
      <c r="BL4" s="1188"/>
      <c r="BM4" s="1188"/>
      <c r="BN4" s="1188"/>
      <c r="BO4" s="1188"/>
      <c r="BP4" s="1188"/>
      <c r="BQ4" s="1188"/>
      <c r="BR4" s="1188"/>
      <c r="BS4" s="1188"/>
      <c r="BT4" s="1188"/>
      <c r="BU4" s="1152"/>
      <c r="BV4" s="1152"/>
      <c r="BW4" s="1152"/>
      <c r="BX4" s="1152"/>
      <c r="BY4" s="1152"/>
      <c r="BZ4" s="1152"/>
      <c r="CU4" s="290"/>
      <c r="CV4" s="290"/>
      <c r="CW4" s="290"/>
      <c r="CX4" s="290"/>
      <c r="CY4" s="290"/>
      <c r="CZ4" s="290"/>
    </row>
    <row r="5" spans="1:104" ht="16.350000000000001" customHeight="1" x14ac:dyDescent="0.25">
      <c r="A5" s="150" t="str">
        <f>CONCATENATE("AÑO: ",NOMBRE!B7)</f>
        <v>AÑO: 2023</v>
      </c>
      <c r="B5" s="1188"/>
      <c r="C5" s="1188"/>
      <c r="D5" s="1188"/>
      <c r="E5" s="1188"/>
      <c r="F5" s="1188"/>
      <c r="G5" s="1188"/>
      <c r="H5" s="1188"/>
      <c r="I5" s="1188"/>
      <c r="J5" s="1188"/>
      <c r="K5" s="1188"/>
      <c r="L5" s="1188"/>
      <c r="M5" s="1188"/>
      <c r="N5" s="1188"/>
      <c r="O5" s="1188"/>
      <c r="P5" s="1188"/>
      <c r="Q5" s="1188"/>
      <c r="R5" s="1188"/>
      <c r="S5" s="1188"/>
      <c r="T5" s="1188"/>
      <c r="U5" s="1188"/>
      <c r="V5" s="1188"/>
      <c r="W5" s="1188"/>
      <c r="X5" s="1188"/>
      <c r="Y5" s="1188"/>
      <c r="Z5" s="1188"/>
      <c r="AA5" s="1188"/>
      <c r="AB5" s="1188"/>
      <c r="AC5" s="1188"/>
      <c r="AD5" s="1188"/>
      <c r="AE5" s="1188"/>
      <c r="AF5" s="1188"/>
      <c r="AG5" s="1188"/>
      <c r="AH5" s="1188"/>
      <c r="AI5" s="1188"/>
      <c r="AJ5" s="1188"/>
      <c r="AK5" s="1188"/>
      <c r="AL5" s="1188"/>
      <c r="AM5" s="1188"/>
      <c r="AN5" s="1188"/>
      <c r="AO5" s="1188"/>
      <c r="AP5" s="1188"/>
      <c r="AQ5" s="1188"/>
      <c r="AR5" s="1188"/>
      <c r="AS5" s="1188"/>
      <c r="AT5" s="1188"/>
      <c r="AU5" s="1188"/>
      <c r="AV5" s="1188"/>
      <c r="AW5" s="1188"/>
      <c r="AX5" s="1188"/>
      <c r="AY5" s="1188"/>
      <c r="AZ5" s="1188"/>
      <c r="BA5" s="1188"/>
      <c r="BB5" s="1188"/>
      <c r="BC5" s="1188"/>
      <c r="BD5" s="1188"/>
      <c r="BE5" s="1188"/>
      <c r="BF5" s="1188"/>
      <c r="BG5" s="1188"/>
      <c r="BH5" s="1188"/>
      <c r="BI5" s="1188"/>
      <c r="BJ5" s="1188"/>
      <c r="BK5" s="1188"/>
      <c r="BL5" s="1188"/>
      <c r="BM5" s="1188"/>
      <c r="BN5" s="1188"/>
      <c r="BO5" s="1188"/>
      <c r="BP5" s="1188"/>
      <c r="BQ5" s="1188"/>
      <c r="BR5" s="1188"/>
      <c r="BS5" s="1188"/>
      <c r="BT5" s="1188"/>
      <c r="BU5" s="1152"/>
      <c r="BV5" s="1152"/>
      <c r="BW5" s="1152"/>
      <c r="BX5" s="1152"/>
      <c r="BY5" s="1152"/>
      <c r="BZ5" s="1152"/>
      <c r="CU5" s="290"/>
      <c r="CV5" s="290"/>
      <c r="CW5" s="290"/>
      <c r="CX5" s="290"/>
      <c r="CY5" s="290"/>
      <c r="CZ5" s="290"/>
    </row>
    <row r="6" spans="1:104" ht="16.149999999999999" customHeight="1" x14ac:dyDescent="0.25">
      <c r="A6" s="9293" t="s">
        <v>3537</v>
      </c>
      <c r="B6" s="9293"/>
      <c r="C6" s="9293"/>
      <c r="D6" s="9293"/>
      <c r="E6" s="9293"/>
      <c r="F6" s="9293"/>
      <c r="G6" s="9293"/>
      <c r="H6" s="9293"/>
      <c r="I6" s="9293"/>
      <c r="J6" s="9293"/>
      <c r="K6" s="9293"/>
      <c r="L6" s="9293"/>
      <c r="M6" s="9293"/>
      <c r="N6" s="9293"/>
      <c r="O6" s="769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188"/>
      <c r="AQ6" s="1188"/>
      <c r="AR6" s="1188"/>
      <c r="AS6" s="1188"/>
      <c r="AT6" s="1188"/>
      <c r="AU6" s="1188"/>
      <c r="AV6" s="1188"/>
      <c r="AW6" s="1188"/>
      <c r="AX6" s="1188"/>
      <c r="AY6" s="1188"/>
      <c r="AZ6" s="1188"/>
      <c r="BA6" s="1188"/>
      <c r="BB6" s="1188"/>
      <c r="BC6" s="1188"/>
      <c r="BD6" s="1188"/>
      <c r="BE6" s="1188"/>
      <c r="BF6" s="1188"/>
      <c r="BG6" s="1188"/>
      <c r="BH6" s="1188"/>
      <c r="BI6" s="1188"/>
      <c r="BJ6" s="1188"/>
      <c r="BK6" s="1188"/>
      <c r="BL6" s="1188"/>
      <c r="BM6" s="1188"/>
      <c r="BN6" s="1188"/>
      <c r="BO6" s="1188"/>
      <c r="BP6" s="1188"/>
      <c r="BQ6" s="1188"/>
      <c r="BR6" s="1188"/>
      <c r="BS6" s="1188"/>
      <c r="BT6" s="1188"/>
      <c r="BU6" s="1152"/>
      <c r="BV6" s="1152"/>
      <c r="BW6" s="1152"/>
      <c r="BX6" s="1152"/>
      <c r="BY6" s="1152"/>
      <c r="BZ6" s="1152"/>
      <c r="CG6" s="1454"/>
      <c r="CH6" s="1454"/>
      <c r="CI6" s="1454"/>
      <c r="CJ6" s="1454"/>
      <c r="CK6" s="1454"/>
      <c r="CL6" s="1454"/>
      <c r="CM6" s="1454"/>
      <c r="CN6" s="1454"/>
      <c r="CO6" s="1454"/>
      <c r="CP6" s="1454"/>
      <c r="CQ6" s="1454"/>
      <c r="CR6" s="1454"/>
      <c r="CS6" s="1454"/>
      <c r="CT6" s="1454"/>
      <c r="CU6" s="290"/>
      <c r="CV6" s="290"/>
      <c r="CW6" s="290"/>
      <c r="CX6" s="290"/>
      <c r="CY6" s="290"/>
      <c r="CZ6" s="290"/>
    </row>
    <row r="7" spans="1:104" ht="15" x14ac:dyDescent="0.2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188"/>
      <c r="AQ7" s="1188"/>
      <c r="AR7" s="1188"/>
      <c r="AS7" s="1188"/>
      <c r="AT7" s="1188"/>
      <c r="AU7" s="1188"/>
      <c r="AV7" s="1188"/>
      <c r="AW7" s="1188"/>
      <c r="AX7" s="1188"/>
      <c r="AY7" s="1188"/>
      <c r="AZ7" s="1188"/>
      <c r="BA7" s="1188"/>
      <c r="BB7" s="1188"/>
      <c r="BC7" s="1188"/>
      <c r="BD7" s="1188"/>
      <c r="BE7" s="1188"/>
      <c r="BF7" s="1188"/>
      <c r="BG7" s="1188"/>
      <c r="BH7" s="1188"/>
      <c r="BI7" s="1188"/>
      <c r="BJ7" s="1188"/>
      <c r="BK7" s="1188"/>
      <c r="BL7" s="1188"/>
      <c r="BM7" s="1188"/>
      <c r="BN7" s="1188"/>
      <c r="BO7" s="1188"/>
      <c r="BP7" s="1188"/>
      <c r="BQ7" s="1188"/>
      <c r="BR7" s="1188"/>
      <c r="BS7" s="1188"/>
      <c r="BT7" s="1188"/>
      <c r="BU7" s="1152"/>
      <c r="BV7" s="1152"/>
      <c r="BW7" s="1152"/>
      <c r="BX7" s="1152"/>
      <c r="BY7" s="1152"/>
      <c r="BZ7" s="1152"/>
      <c r="CG7" s="1454"/>
      <c r="CH7" s="1454"/>
      <c r="CI7" s="1454"/>
      <c r="CJ7" s="1454"/>
      <c r="CK7" s="1454"/>
      <c r="CL7" s="1454"/>
      <c r="CM7" s="1454"/>
      <c r="CN7" s="1454"/>
      <c r="CO7" s="1454"/>
      <c r="CP7" s="1454"/>
      <c r="CQ7" s="1454"/>
      <c r="CR7" s="1454"/>
      <c r="CS7" s="1454"/>
      <c r="CT7" s="1454"/>
      <c r="CU7" s="290"/>
      <c r="CV7" s="290"/>
      <c r="CW7" s="290"/>
      <c r="CX7" s="290"/>
      <c r="CY7" s="290"/>
      <c r="CZ7" s="290"/>
    </row>
    <row r="8" spans="1:104" ht="32.1" customHeight="1" x14ac:dyDescent="0.25">
      <c r="A8" s="72" t="s">
        <v>3496</v>
      </c>
      <c r="B8" s="71"/>
      <c r="C8" s="71"/>
      <c r="D8" s="71"/>
      <c r="E8" s="71"/>
      <c r="F8" s="1188"/>
      <c r="G8" s="1188"/>
      <c r="H8" s="1188"/>
      <c r="I8" s="1188"/>
      <c r="J8" s="1188"/>
      <c r="K8" s="1188"/>
      <c r="L8" s="1188"/>
      <c r="M8" s="1188"/>
      <c r="N8" s="1188"/>
      <c r="O8" s="1188"/>
      <c r="P8" s="1188"/>
      <c r="Q8" s="1188"/>
      <c r="R8" s="1188"/>
      <c r="S8" s="1188"/>
      <c r="T8" s="1188"/>
      <c r="U8" s="1188"/>
      <c r="V8" s="1188"/>
      <c r="W8" s="1188"/>
      <c r="X8" s="1188"/>
      <c r="Y8" s="1188"/>
      <c r="Z8" s="1188"/>
      <c r="AA8" s="1188"/>
      <c r="AB8" s="1188"/>
      <c r="AC8" s="1188"/>
      <c r="AD8" s="1188"/>
      <c r="AE8" s="1188"/>
      <c r="AF8" s="1188"/>
      <c r="AG8" s="1188"/>
      <c r="AH8" s="1188"/>
      <c r="AI8" s="1188"/>
      <c r="AJ8" s="1188"/>
      <c r="AK8" s="1188"/>
      <c r="AL8" s="1188"/>
      <c r="AM8" s="1188"/>
      <c r="AN8" s="1188"/>
      <c r="AO8" s="1188"/>
      <c r="AP8" s="1188"/>
      <c r="AQ8" s="1188"/>
      <c r="AR8" s="1188"/>
      <c r="AS8" s="1188"/>
      <c r="AT8" s="1188"/>
      <c r="AU8" s="1188"/>
      <c r="AV8" s="1188"/>
      <c r="AW8" s="1188"/>
      <c r="AX8" s="1188"/>
      <c r="AY8" s="1188"/>
      <c r="AZ8" s="1188"/>
      <c r="BA8" s="1188"/>
      <c r="BB8" s="1188"/>
      <c r="BC8" s="1188"/>
      <c r="BD8" s="1188"/>
      <c r="BE8" s="1188"/>
      <c r="BF8" s="1188"/>
      <c r="BG8" s="1188"/>
      <c r="BH8" s="1188"/>
      <c r="BI8" s="1188"/>
      <c r="BJ8" s="1188"/>
      <c r="BK8" s="1188"/>
      <c r="BL8" s="1188"/>
      <c r="BM8" s="1188"/>
      <c r="BN8" s="1188"/>
      <c r="BO8" s="1188"/>
      <c r="BP8" s="1188"/>
      <c r="BQ8" s="1188"/>
      <c r="BR8" s="1188"/>
      <c r="BS8" s="1188"/>
      <c r="BT8" s="1188"/>
      <c r="BU8" s="1152"/>
      <c r="BV8" s="1152"/>
      <c r="BW8" s="1152"/>
      <c r="BX8" s="1152"/>
      <c r="BY8" s="1152"/>
      <c r="BZ8" s="1152"/>
      <c r="CG8" s="1454"/>
      <c r="CH8" s="1454"/>
      <c r="CI8" s="1454"/>
      <c r="CJ8" s="1454"/>
      <c r="CK8" s="1454"/>
      <c r="CL8" s="1454"/>
      <c r="CM8" s="1454"/>
      <c r="CN8" s="1454"/>
      <c r="CO8" s="1454"/>
      <c r="CP8" s="1454"/>
      <c r="CQ8" s="1454"/>
      <c r="CR8" s="1454"/>
      <c r="CS8" s="1454"/>
      <c r="CT8" s="1454"/>
      <c r="CU8" s="290"/>
      <c r="CV8" s="290"/>
      <c r="CW8" s="290"/>
      <c r="CX8" s="290"/>
      <c r="CY8" s="290"/>
      <c r="CZ8" s="290"/>
    </row>
    <row r="9" spans="1:104" ht="32.1" customHeight="1" x14ac:dyDescent="0.25">
      <c r="A9" s="7691" t="s">
        <v>2849</v>
      </c>
      <c r="B9" s="7692"/>
      <c r="C9" s="153"/>
      <c r="D9" s="1188"/>
      <c r="E9" s="1188"/>
      <c r="F9" s="1188"/>
      <c r="G9" s="1188"/>
      <c r="H9" s="1188"/>
      <c r="I9" s="1188"/>
      <c r="J9" s="1188"/>
      <c r="K9" s="1188"/>
      <c r="L9" s="1188"/>
      <c r="M9" s="1188"/>
      <c r="N9" s="1188"/>
      <c r="O9" s="1188"/>
      <c r="P9" s="1188"/>
      <c r="Q9" s="1188"/>
      <c r="R9" s="1188"/>
      <c r="S9" s="1188"/>
      <c r="T9" s="1188"/>
      <c r="U9" s="1188"/>
      <c r="V9" s="1188"/>
      <c r="W9" s="1188"/>
      <c r="X9" s="1188"/>
      <c r="Y9" s="1188"/>
      <c r="Z9" s="1188"/>
      <c r="AA9" s="1188"/>
      <c r="AB9" s="1188"/>
      <c r="AC9" s="1188"/>
      <c r="AD9" s="1188"/>
      <c r="AE9" s="1188"/>
      <c r="AF9" s="1188"/>
      <c r="AG9" s="1188"/>
      <c r="AH9" s="1188"/>
      <c r="AI9" s="1188"/>
      <c r="AJ9" s="1188"/>
      <c r="AK9" s="1188"/>
      <c r="AL9" s="1188"/>
      <c r="AM9" s="1188"/>
      <c r="AN9" s="1188"/>
      <c r="AO9" s="1188"/>
      <c r="AP9" s="1188"/>
      <c r="AQ9" s="1188"/>
      <c r="AR9" s="1188"/>
      <c r="AS9" s="1188"/>
      <c r="AT9" s="1188"/>
      <c r="AU9" s="1188"/>
      <c r="AV9" s="1188"/>
      <c r="AW9" s="1188"/>
      <c r="AX9" s="1188"/>
      <c r="AY9" s="1188"/>
      <c r="AZ9" s="1188"/>
      <c r="BA9" s="1188"/>
      <c r="BB9" s="1188"/>
      <c r="BC9" s="1188"/>
      <c r="BD9" s="1188"/>
      <c r="BE9" s="1188"/>
      <c r="BF9" s="1188"/>
      <c r="BG9" s="1188"/>
      <c r="BH9" s="1188"/>
      <c r="BI9" s="1188"/>
      <c r="BJ9" s="1188"/>
      <c r="BK9" s="1188"/>
      <c r="BL9" s="1188"/>
      <c r="BM9" s="1188"/>
      <c r="BN9" s="1188"/>
      <c r="BO9" s="1188"/>
      <c r="BP9" s="1188"/>
      <c r="BQ9" s="1188"/>
      <c r="BR9" s="1188"/>
      <c r="BS9" s="1188"/>
      <c r="BT9" s="1188"/>
      <c r="BU9" s="1152"/>
      <c r="BV9" s="1152"/>
      <c r="BW9" s="1152"/>
      <c r="BX9" s="1152"/>
      <c r="BY9" s="1152"/>
      <c r="BZ9" s="1152"/>
      <c r="CG9" s="1454"/>
      <c r="CH9" s="1454"/>
      <c r="CI9" s="1454"/>
      <c r="CJ9" s="1454"/>
      <c r="CK9" s="1454"/>
      <c r="CL9" s="1454"/>
      <c r="CM9" s="1454"/>
      <c r="CN9" s="1454"/>
      <c r="CO9" s="1454"/>
      <c r="CP9" s="1454"/>
      <c r="CQ9" s="1454"/>
      <c r="CR9" s="1454"/>
      <c r="CS9" s="1454"/>
      <c r="CT9" s="1454"/>
      <c r="CU9" s="290"/>
      <c r="CV9" s="290"/>
      <c r="CW9" s="290"/>
      <c r="CX9" s="290"/>
      <c r="CY9" s="290"/>
      <c r="CZ9" s="290"/>
    </row>
    <row r="10" spans="1:104" ht="21.75" customHeight="1" x14ac:dyDescent="0.25">
      <c r="A10" s="8549" t="s">
        <v>139</v>
      </c>
      <c r="B10" s="9115" t="s">
        <v>24</v>
      </c>
      <c r="C10" s="8129"/>
      <c r="D10" s="8526"/>
      <c r="E10" s="8571" t="s">
        <v>98</v>
      </c>
      <c r="F10" s="10394"/>
      <c r="G10" s="10394"/>
      <c r="H10" s="10394"/>
      <c r="I10" s="10394"/>
      <c r="J10" s="10394"/>
      <c r="K10" s="10394"/>
      <c r="L10" s="10394"/>
      <c r="M10" s="10394"/>
      <c r="N10" s="10394"/>
      <c r="O10" s="10394"/>
      <c r="P10" s="10394"/>
      <c r="Q10" s="10394"/>
      <c r="R10" s="10394"/>
      <c r="S10" s="10394"/>
      <c r="T10" s="10394"/>
      <c r="U10" s="10394"/>
      <c r="V10" s="10394"/>
      <c r="W10" s="10394"/>
      <c r="X10" s="10394"/>
      <c r="Y10" s="10394"/>
      <c r="Z10" s="10394"/>
      <c r="AA10" s="10394"/>
      <c r="AB10" s="10394"/>
      <c r="AC10" s="10394"/>
      <c r="AD10" s="10394"/>
      <c r="AE10" s="10394"/>
      <c r="AF10" s="10394"/>
      <c r="AG10" s="10394"/>
      <c r="AH10" s="10394"/>
      <c r="AI10" s="10394"/>
      <c r="AJ10" s="10394"/>
      <c r="AK10" s="10394"/>
      <c r="AL10" s="10395"/>
      <c r="AM10" s="10408" t="s">
        <v>141</v>
      </c>
      <c r="AN10" s="10394"/>
      <c r="AO10" s="10394"/>
      <c r="AP10" s="8572"/>
      <c r="AQ10" s="8549" t="s">
        <v>2805</v>
      </c>
      <c r="AR10" s="8549" t="s">
        <v>360</v>
      </c>
      <c r="AS10" s="8549" t="s">
        <v>359</v>
      </c>
      <c r="AT10" s="290"/>
      <c r="AU10" s="290"/>
      <c r="AV10" s="290"/>
      <c r="AW10" s="290"/>
      <c r="AX10" s="290"/>
      <c r="AY10" s="290"/>
      <c r="AZ10" s="290"/>
      <c r="BA10" s="290"/>
      <c r="BB10" s="290"/>
      <c r="BC10" s="290"/>
      <c r="BD10" s="290"/>
      <c r="BE10" s="290"/>
      <c r="BF10" s="290"/>
      <c r="BG10" s="1188"/>
      <c r="BH10" s="1188"/>
      <c r="BI10" s="1188"/>
      <c r="BJ10" s="1188"/>
      <c r="BK10" s="1188"/>
      <c r="BL10" s="1188"/>
      <c r="BM10" s="1188"/>
      <c r="BN10" s="1188"/>
      <c r="BO10" s="1188"/>
      <c r="BP10" s="1188"/>
      <c r="BQ10" s="1188"/>
      <c r="BR10" s="1188"/>
      <c r="BS10" s="1188"/>
      <c r="BT10" s="1188"/>
      <c r="BU10" s="1152"/>
      <c r="BV10" s="1152"/>
      <c r="BW10" s="1460"/>
      <c r="BX10" s="1460"/>
      <c r="CG10" s="1454"/>
      <c r="CH10" s="1454"/>
      <c r="CI10" s="1454"/>
      <c r="CJ10" s="1454"/>
      <c r="CK10" s="1454"/>
      <c r="CL10" s="1454"/>
      <c r="CM10" s="1454"/>
      <c r="CN10" s="1454"/>
      <c r="CO10" s="1454"/>
      <c r="CP10" s="1454"/>
      <c r="CQ10" s="1454"/>
      <c r="CR10" s="1454"/>
      <c r="CS10" s="1454"/>
      <c r="CT10" s="1454"/>
      <c r="CU10" s="290"/>
      <c r="CV10" s="290"/>
      <c r="CW10" s="290"/>
      <c r="CX10" s="290"/>
      <c r="CY10" s="290"/>
      <c r="CZ10" s="290"/>
    </row>
    <row r="11" spans="1:104" ht="15" customHeight="1" x14ac:dyDescent="0.25">
      <c r="A11" s="8460"/>
      <c r="B11" s="10442"/>
      <c r="C11" s="8130"/>
      <c r="D11" s="8151"/>
      <c r="E11" s="8193" t="s">
        <v>1414</v>
      </c>
      <c r="F11" s="8195"/>
      <c r="G11" s="8193" t="s">
        <v>1413</v>
      </c>
      <c r="H11" s="8195"/>
      <c r="I11" s="8193" t="s">
        <v>77</v>
      </c>
      <c r="J11" s="8195"/>
      <c r="K11" s="8193" t="s">
        <v>68</v>
      </c>
      <c r="L11" s="8195"/>
      <c r="M11" s="8193" t="s">
        <v>142</v>
      </c>
      <c r="N11" s="8195"/>
      <c r="O11" s="8193" t="s">
        <v>143</v>
      </c>
      <c r="P11" s="8195"/>
      <c r="Q11" s="8193" t="s">
        <v>144</v>
      </c>
      <c r="R11" s="8195"/>
      <c r="S11" s="8193" t="s">
        <v>7</v>
      </c>
      <c r="T11" s="8195"/>
      <c r="U11" s="8193" t="s">
        <v>8</v>
      </c>
      <c r="V11" s="8195"/>
      <c r="W11" s="8193" t="s">
        <v>145</v>
      </c>
      <c r="X11" s="8195"/>
      <c r="Y11" s="8193" t="s">
        <v>10</v>
      </c>
      <c r="Z11" s="8195"/>
      <c r="AA11" s="8193" t="s">
        <v>11</v>
      </c>
      <c r="AB11" s="8195"/>
      <c r="AC11" s="8193" t="s">
        <v>12</v>
      </c>
      <c r="AD11" s="8195"/>
      <c r="AE11" s="8193" t="s">
        <v>13</v>
      </c>
      <c r="AF11" s="8195"/>
      <c r="AG11" s="8193" t="s">
        <v>14</v>
      </c>
      <c r="AH11" s="8195"/>
      <c r="AI11" s="8193" t="s">
        <v>15</v>
      </c>
      <c r="AJ11" s="8195"/>
      <c r="AK11" s="8571" t="s">
        <v>16</v>
      </c>
      <c r="AL11" s="10395"/>
      <c r="AM11" s="8460" t="s">
        <v>3977</v>
      </c>
      <c r="AN11" s="8402" t="s">
        <v>146</v>
      </c>
      <c r="AO11" s="10397" t="s">
        <v>147</v>
      </c>
      <c r="AP11" s="8130" t="s">
        <v>148</v>
      </c>
      <c r="AQ11" s="8460"/>
      <c r="AR11" s="8460"/>
      <c r="AS11" s="8460"/>
      <c r="AT11" s="290"/>
      <c r="AU11" s="290"/>
      <c r="AV11" s="290"/>
      <c r="AW11" s="290"/>
      <c r="AX11" s="290"/>
      <c r="AY11" s="290"/>
      <c r="AZ11" s="290"/>
      <c r="BA11" s="290"/>
      <c r="BB11" s="290"/>
      <c r="BC11" s="290"/>
      <c r="BD11" s="290"/>
      <c r="BE11" s="290"/>
      <c r="BF11" s="290"/>
      <c r="BG11" s="1188"/>
      <c r="BH11" s="1188"/>
      <c r="BI11" s="1188"/>
      <c r="BJ11" s="1188"/>
      <c r="BK11" s="1188"/>
      <c r="BL11" s="1188"/>
      <c r="BM11" s="1188"/>
      <c r="BN11" s="1188"/>
      <c r="BO11" s="1188"/>
      <c r="BP11" s="1188"/>
      <c r="BQ11" s="1188"/>
      <c r="BR11" s="1188"/>
      <c r="BS11" s="1188"/>
      <c r="BT11" s="1188"/>
      <c r="BU11" s="1152"/>
      <c r="BV11" s="1152"/>
      <c r="BW11" s="1460"/>
      <c r="BX11" s="1460"/>
      <c r="CG11" s="1454"/>
      <c r="CH11" s="1454"/>
      <c r="CI11" s="1454"/>
      <c r="CJ11" s="1454"/>
      <c r="CK11" s="1454"/>
      <c r="CL11" s="1454"/>
      <c r="CM11" s="1454"/>
      <c r="CN11" s="1454"/>
      <c r="CO11" s="1454"/>
      <c r="CP11" s="1454"/>
      <c r="CQ11" s="1454"/>
      <c r="CR11" s="1454"/>
      <c r="CS11" s="1454"/>
      <c r="CT11" s="1454"/>
      <c r="CU11" s="290"/>
      <c r="CV11" s="290"/>
      <c r="CW11" s="290"/>
      <c r="CX11" s="290"/>
      <c r="CY11" s="290"/>
      <c r="CZ11" s="290"/>
    </row>
    <row r="12" spans="1:104" ht="32.25" customHeight="1" x14ac:dyDescent="0.25">
      <c r="A12" s="8550"/>
      <c r="B12" s="3269" t="s">
        <v>42</v>
      </c>
      <c r="C12" s="3206" t="s">
        <v>17</v>
      </c>
      <c r="D12" s="7670" t="s">
        <v>18</v>
      </c>
      <c r="E12" s="3269" t="s">
        <v>17</v>
      </c>
      <c r="F12" s="7670" t="s">
        <v>18</v>
      </c>
      <c r="G12" s="3269" t="s">
        <v>17</v>
      </c>
      <c r="H12" s="7670" t="s">
        <v>18</v>
      </c>
      <c r="I12" s="3269" t="s">
        <v>17</v>
      </c>
      <c r="J12" s="7670" t="s">
        <v>18</v>
      </c>
      <c r="K12" s="3269" t="s">
        <v>17</v>
      </c>
      <c r="L12" s="7670" t="s">
        <v>18</v>
      </c>
      <c r="M12" s="3269" t="s">
        <v>17</v>
      </c>
      <c r="N12" s="7670" t="s">
        <v>18</v>
      </c>
      <c r="O12" s="3269" t="s">
        <v>17</v>
      </c>
      <c r="P12" s="7670" t="s">
        <v>18</v>
      </c>
      <c r="Q12" s="3269" t="s">
        <v>17</v>
      </c>
      <c r="R12" s="7670" t="s">
        <v>18</v>
      </c>
      <c r="S12" s="3269" t="s">
        <v>17</v>
      </c>
      <c r="T12" s="7670" t="s">
        <v>18</v>
      </c>
      <c r="U12" s="3269" t="s">
        <v>17</v>
      </c>
      <c r="V12" s="7670" t="s">
        <v>18</v>
      </c>
      <c r="W12" s="3269" t="s">
        <v>17</v>
      </c>
      <c r="X12" s="7670" t="s">
        <v>18</v>
      </c>
      <c r="Y12" s="3269" t="s">
        <v>17</v>
      </c>
      <c r="Z12" s="7670" t="s">
        <v>18</v>
      </c>
      <c r="AA12" s="3269" t="s">
        <v>17</v>
      </c>
      <c r="AB12" s="7670" t="s">
        <v>18</v>
      </c>
      <c r="AC12" s="3269" t="s">
        <v>17</v>
      </c>
      <c r="AD12" s="7670" t="s">
        <v>18</v>
      </c>
      <c r="AE12" s="3269" t="s">
        <v>17</v>
      </c>
      <c r="AF12" s="7670" t="s">
        <v>18</v>
      </c>
      <c r="AG12" s="3269" t="s">
        <v>17</v>
      </c>
      <c r="AH12" s="7670" t="s">
        <v>18</v>
      </c>
      <c r="AI12" s="3269" t="s">
        <v>17</v>
      </c>
      <c r="AJ12" s="7670" t="s">
        <v>18</v>
      </c>
      <c r="AK12" s="3269" t="s">
        <v>17</v>
      </c>
      <c r="AL12" s="7693" t="s">
        <v>18</v>
      </c>
      <c r="AM12" s="8550"/>
      <c r="AN12" s="10398"/>
      <c r="AO12" s="10162"/>
      <c r="AP12" s="10396"/>
      <c r="AQ12" s="8550"/>
      <c r="AR12" s="8550"/>
      <c r="AS12" s="8550"/>
      <c r="AT12" s="290"/>
      <c r="AU12" s="290"/>
      <c r="AV12" s="290"/>
      <c r="AW12" s="290"/>
      <c r="AX12" s="290"/>
      <c r="AY12" s="290"/>
      <c r="AZ12" s="290"/>
      <c r="BA12" s="290"/>
      <c r="BB12" s="290"/>
      <c r="BC12" s="290"/>
      <c r="BD12" s="290"/>
      <c r="BE12" s="290"/>
      <c r="BF12" s="290"/>
      <c r="BG12" s="1188"/>
      <c r="BH12" s="1188"/>
      <c r="BI12" s="1188"/>
      <c r="BJ12" s="1188"/>
      <c r="BK12" s="1188"/>
      <c r="BL12" s="1188"/>
      <c r="BM12" s="1188"/>
      <c r="BN12" s="1188"/>
      <c r="BO12" s="1188"/>
      <c r="BP12" s="1188"/>
      <c r="BQ12" s="1188"/>
      <c r="BR12" s="1188"/>
      <c r="BS12" s="1188"/>
      <c r="BT12" s="1188"/>
      <c r="BU12" s="1152"/>
      <c r="BV12" s="1152"/>
      <c r="BW12" s="1460"/>
      <c r="BX12" s="1460"/>
      <c r="CG12" s="1454"/>
      <c r="CH12" s="1454"/>
      <c r="CI12" s="1454"/>
      <c r="CJ12" s="1454"/>
      <c r="CK12" s="1454"/>
      <c r="CL12" s="1454"/>
      <c r="CM12" s="1454"/>
      <c r="CN12" s="1454"/>
      <c r="CO12" s="1454"/>
      <c r="CP12" s="1454"/>
      <c r="CQ12" s="1454"/>
      <c r="CR12" s="1454"/>
      <c r="CS12" s="1454"/>
      <c r="CT12" s="1454"/>
      <c r="CU12" s="290"/>
      <c r="CV12" s="290"/>
      <c r="CW12" s="290"/>
      <c r="CX12" s="290"/>
      <c r="CY12" s="290"/>
      <c r="CZ12" s="290"/>
    </row>
    <row r="13" spans="1:104" ht="14.1" customHeight="1" x14ac:dyDescent="0.25">
      <c r="A13" s="7694" t="s">
        <v>29</v>
      </c>
      <c r="B13" s="7695">
        <f>SUM(C13:D13)</f>
        <v>0</v>
      </c>
      <c r="C13" s="7688">
        <f>SUM(E13,G13,I13,K13,M13,O13,Q13,S13,U13,W13,Y13,AA13,AC13,AE13,AG13,AI13,AK13)</f>
        <v>0</v>
      </c>
      <c r="D13" s="3294">
        <f>SUM(F13,H13,J13,L13,N13,P13,R13,T13,V13,X13,Z13,AB13,AD13,AF13,AH13,AJ13,AL13)</f>
        <v>0</v>
      </c>
      <c r="E13" s="3281"/>
      <c r="F13" s="3283"/>
      <c r="G13" s="3281"/>
      <c r="H13" s="3282"/>
      <c r="I13" s="3281"/>
      <c r="J13" s="3282"/>
      <c r="K13" s="3281"/>
      <c r="L13" s="3282"/>
      <c r="M13" s="3281"/>
      <c r="N13" s="3282"/>
      <c r="O13" s="3281"/>
      <c r="P13" s="3282"/>
      <c r="Q13" s="3281"/>
      <c r="R13" s="3282"/>
      <c r="S13" s="3281"/>
      <c r="T13" s="3282"/>
      <c r="U13" s="3281"/>
      <c r="V13" s="3282"/>
      <c r="W13" s="3281"/>
      <c r="X13" s="3282"/>
      <c r="Y13" s="3281"/>
      <c r="Z13" s="3282"/>
      <c r="AA13" s="3281"/>
      <c r="AB13" s="3282"/>
      <c r="AC13" s="3281"/>
      <c r="AD13" s="3282"/>
      <c r="AE13" s="3281"/>
      <c r="AF13" s="3282"/>
      <c r="AG13" s="3281"/>
      <c r="AH13" s="3282"/>
      <c r="AI13" s="3281"/>
      <c r="AJ13" s="3282"/>
      <c r="AK13" s="3281"/>
      <c r="AL13" s="3320"/>
      <c r="AM13" s="3282"/>
      <c r="AN13" s="7696"/>
      <c r="AO13" s="7697"/>
      <c r="AP13" s="3283"/>
      <c r="AQ13" s="3282"/>
      <c r="AR13" s="3282"/>
      <c r="AS13" s="3282"/>
      <c r="AT13" s="2975" t="str">
        <f>CA13&amp;CB13&amp;CC13&amp;CD13</f>
        <v/>
      </c>
      <c r="AU13" s="1456"/>
      <c r="AV13" s="1456"/>
      <c r="AW13" s="1456"/>
      <c r="AX13" s="1456"/>
      <c r="AY13" s="1456"/>
      <c r="AZ13" s="1456"/>
      <c r="BA13" s="1456"/>
      <c r="BB13" s="1456"/>
      <c r="BC13" s="1456"/>
      <c r="BD13" s="1456"/>
      <c r="BE13" s="290"/>
      <c r="BF13" s="290"/>
      <c r="BG13" s="1188"/>
      <c r="BH13" s="1188"/>
      <c r="BI13" s="1188"/>
      <c r="BJ13" s="1188"/>
      <c r="BK13" s="1188"/>
      <c r="BL13" s="1188"/>
      <c r="BM13" s="1188"/>
      <c r="BN13" s="1188"/>
      <c r="BO13" s="1188"/>
      <c r="BP13" s="1188"/>
      <c r="BQ13" s="1188"/>
      <c r="BR13" s="1188"/>
      <c r="BS13" s="1188"/>
      <c r="BT13" s="1188"/>
      <c r="BU13" s="1152"/>
      <c r="BV13" s="1152"/>
      <c r="BW13" s="1460"/>
      <c r="BX13" s="1460"/>
      <c r="BY13" s="290"/>
      <c r="BZ13" s="290"/>
      <c r="CA13" s="1457" t="str">
        <f t="shared" ref="CA13:CA18" si="0">IF(CG13=1,"* Total Ingresos debe ser igual a la suma de los Tipos de Estrategia. ","")</f>
        <v/>
      </c>
      <c r="CB13" s="1457" t="str">
        <f t="shared" ref="CB13:CB18" si="1">IF(CH13=1," * El Número de personas con discapacidad NO DEBE superar el total de ingresos. ","")</f>
        <v/>
      </c>
      <c r="CC13" s="1457" t="str">
        <f t="shared" ref="CC13:CC18" si="2">IF(CI13=1," * El Número de personas de pueblos originarios NO DEBE superar el total de ingresos. ","")</f>
        <v/>
      </c>
      <c r="CD13" s="1457" t="str">
        <f t="shared" ref="CD13:CD18" si="3">IF(CJ13=1," * El Número de personas migrantes NO DEBE superar el total de ingresos. ","")</f>
        <v/>
      </c>
      <c r="CE13" s="1457"/>
      <c r="CF13" s="1457"/>
      <c r="CG13" s="1458">
        <f>IF(B13&lt;&gt;SUM(AM13:AP13),1,0)</f>
        <v>0</v>
      </c>
      <c r="CH13" s="1458">
        <f>IF(B13&lt;AQ13,1,0)</f>
        <v>0</v>
      </c>
      <c r="CI13" s="1458">
        <f>IF(C13&lt;AR13,1,0)</f>
        <v>0</v>
      </c>
      <c r="CJ13" s="1458">
        <f>IF(D13&lt;AS13,1,0)</f>
        <v>0</v>
      </c>
      <c r="CK13" s="1454"/>
      <c r="CL13" s="1454"/>
      <c r="CM13" s="1454"/>
      <c r="CN13" s="1454"/>
      <c r="CO13" s="1454"/>
      <c r="CP13" s="1454"/>
      <c r="CQ13" s="1454"/>
      <c r="CR13" s="1454"/>
      <c r="CS13" s="1454"/>
      <c r="CT13" s="1454"/>
      <c r="CU13" s="290"/>
      <c r="CV13" s="290"/>
      <c r="CW13" s="290"/>
      <c r="CX13" s="290"/>
      <c r="CY13" s="290"/>
      <c r="CZ13" s="290"/>
    </row>
    <row r="14" spans="1:104" ht="18" customHeight="1" x14ac:dyDescent="0.25">
      <c r="A14" s="7698" t="s">
        <v>149</v>
      </c>
      <c r="B14" s="7699">
        <f t="shared" ref="B14:B24" si="4">SUM(C14:D14)</f>
        <v>0</v>
      </c>
      <c r="C14" s="7700">
        <f t="shared" ref="C14:C24" si="5">SUM(E14,G14,I14,K14,M14,O14,Q14,S14,U14,W14,Y14,AA14,AC14,AE14,AG14,AI14,AK14)</f>
        <v>0</v>
      </c>
      <c r="D14" s="3026">
        <f t="shared" ref="D14:D24" si="6">SUM(F14,H14,J14,L14,N14,P14,R14,T14,V14,X14,Z14,AB14,AD14,AF14,AH14,AJ14,AL14)</f>
        <v>0</v>
      </c>
      <c r="E14" s="3225"/>
      <c r="F14" s="2877"/>
      <c r="G14" s="3225"/>
      <c r="H14" s="3059"/>
      <c r="I14" s="3225"/>
      <c r="J14" s="3059"/>
      <c r="K14" s="3225"/>
      <c r="L14" s="3059"/>
      <c r="M14" s="3225"/>
      <c r="N14" s="3059"/>
      <c r="O14" s="3225"/>
      <c r="P14" s="3059"/>
      <c r="Q14" s="3225"/>
      <c r="R14" s="3059"/>
      <c r="S14" s="3225"/>
      <c r="T14" s="3059"/>
      <c r="U14" s="3225"/>
      <c r="V14" s="3059"/>
      <c r="W14" s="3225"/>
      <c r="X14" s="3059"/>
      <c r="Y14" s="3225"/>
      <c r="Z14" s="3059"/>
      <c r="AA14" s="3225"/>
      <c r="AB14" s="3059"/>
      <c r="AC14" s="3225"/>
      <c r="AD14" s="3059"/>
      <c r="AE14" s="3225"/>
      <c r="AF14" s="3059"/>
      <c r="AG14" s="3225"/>
      <c r="AH14" s="3059"/>
      <c r="AI14" s="3225"/>
      <c r="AJ14" s="3059"/>
      <c r="AK14" s="3225"/>
      <c r="AL14" s="2507"/>
      <c r="AM14" s="3059"/>
      <c r="AN14" s="3112"/>
      <c r="AO14" s="3060"/>
      <c r="AP14" s="2877"/>
      <c r="AQ14" s="3059"/>
      <c r="AR14" s="3059"/>
      <c r="AS14" s="3059"/>
      <c r="AT14" s="2975" t="str">
        <f t="shared" ref="AT14:AT24" si="7">CA14&amp;CB14&amp;CC14&amp;CD14</f>
        <v/>
      </c>
      <c r="AU14" s="1456"/>
      <c r="AV14" s="1456"/>
      <c r="AW14" s="1456"/>
      <c r="AX14" s="1456"/>
      <c r="AY14" s="1456"/>
      <c r="AZ14" s="1456"/>
      <c r="BA14" s="1456"/>
      <c r="BB14" s="1456"/>
      <c r="BC14" s="1456"/>
      <c r="BD14" s="1456"/>
      <c r="BE14" s="290"/>
      <c r="BF14" s="290"/>
      <c r="BG14" s="1188"/>
      <c r="BH14" s="1188"/>
      <c r="BI14" s="1188"/>
      <c r="BJ14" s="1188"/>
      <c r="BK14" s="1188"/>
      <c r="BL14" s="1188"/>
      <c r="BM14" s="1188"/>
      <c r="BN14" s="1188"/>
      <c r="BO14" s="1188"/>
      <c r="BP14" s="1188"/>
      <c r="BQ14" s="1188"/>
      <c r="BR14" s="1188"/>
      <c r="BS14" s="1188"/>
      <c r="BT14" s="1188"/>
      <c r="BU14" s="1152"/>
      <c r="BV14" s="1152"/>
      <c r="BW14" s="1460"/>
      <c r="BX14" s="1460"/>
      <c r="BY14" s="290"/>
      <c r="BZ14" s="290"/>
      <c r="CA14" s="1457" t="str">
        <f t="shared" si="0"/>
        <v/>
      </c>
      <c r="CB14" s="1457" t="str">
        <f t="shared" si="1"/>
        <v/>
      </c>
      <c r="CC14" s="1457" t="str">
        <f t="shared" si="2"/>
        <v/>
      </c>
      <c r="CD14" s="1457" t="str">
        <f t="shared" si="3"/>
        <v/>
      </c>
      <c r="CE14" s="1457"/>
      <c r="CF14" s="1457"/>
      <c r="CG14" s="1458">
        <f t="shared" ref="CG14:CG24" si="8">IF(B14&lt;&gt;SUM(AM14:AP14),1,0)</f>
        <v>0</v>
      </c>
      <c r="CH14" s="1458">
        <f t="shared" ref="CH14:CH24" si="9">IF(B14&lt;AQ14,1,0)</f>
        <v>0</v>
      </c>
      <c r="CI14" s="1458">
        <f t="shared" ref="CI14:CI24" si="10">IF(C14&lt;AR14,1,0)</f>
        <v>0</v>
      </c>
      <c r="CJ14" s="1458">
        <f t="shared" ref="CJ14:CJ24" si="11">IF(D14&lt;AS14,1,0)</f>
        <v>0</v>
      </c>
      <c r="CK14" s="1454"/>
      <c r="CL14" s="1454"/>
      <c r="CM14" s="1454"/>
      <c r="CN14" s="1454"/>
      <c r="CO14" s="1454"/>
      <c r="CP14" s="1454"/>
      <c r="CQ14" s="1454"/>
      <c r="CR14" s="1454"/>
      <c r="CS14" s="1454"/>
      <c r="CT14" s="1454"/>
      <c r="CU14" s="290"/>
      <c r="CV14" s="290"/>
      <c r="CW14" s="290"/>
      <c r="CX14" s="290"/>
      <c r="CY14" s="290"/>
      <c r="CZ14" s="290"/>
    </row>
    <row r="15" spans="1:104" ht="21.75" customHeight="1" x14ac:dyDescent="0.25">
      <c r="A15" s="7701" t="s">
        <v>150</v>
      </c>
      <c r="B15" s="7702">
        <f t="shared" si="4"/>
        <v>0</v>
      </c>
      <c r="C15" s="7703">
        <f t="shared" si="5"/>
        <v>0</v>
      </c>
      <c r="D15" s="7704">
        <f t="shared" si="6"/>
        <v>0</v>
      </c>
      <c r="E15" s="7705"/>
      <c r="F15" s="7706"/>
      <c r="G15" s="7705"/>
      <c r="H15" s="7707"/>
      <c r="I15" s="7705"/>
      <c r="J15" s="7707"/>
      <c r="K15" s="7705"/>
      <c r="L15" s="7707"/>
      <c r="M15" s="3225"/>
      <c r="N15" s="3059"/>
      <c r="O15" s="3225"/>
      <c r="P15" s="3059"/>
      <c r="Q15" s="3028"/>
      <c r="R15" s="2074"/>
      <c r="S15" s="3028"/>
      <c r="T15" s="2074"/>
      <c r="U15" s="3028"/>
      <c r="V15" s="2074"/>
      <c r="W15" s="3028"/>
      <c r="X15" s="2074"/>
      <c r="Y15" s="3028"/>
      <c r="Z15" s="2074"/>
      <c r="AA15" s="3028"/>
      <c r="AB15" s="2074"/>
      <c r="AC15" s="3028"/>
      <c r="AD15" s="2074"/>
      <c r="AE15" s="3028"/>
      <c r="AF15" s="2074"/>
      <c r="AG15" s="3028"/>
      <c r="AH15" s="2074"/>
      <c r="AI15" s="3028"/>
      <c r="AJ15" s="2074"/>
      <c r="AK15" s="3028"/>
      <c r="AL15" s="3029"/>
      <c r="AM15" s="2074"/>
      <c r="AN15" s="3136"/>
      <c r="AO15" s="1871"/>
      <c r="AP15" s="3121"/>
      <c r="AQ15" s="2074"/>
      <c r="AR15" s="2074"/>
      <c r="AS15" s="2074"/>
      <c r="AT15" s="2975" t="str">
        <f t="shared" si="7"/>
        <v/>
      </c>
      <c r="AU15" s="1456"/>
      <c r="AV15" s="1456"/>
      <c r="AW15" s="1456"/>
      <c r="AX15" s="1456"/>
      <c r="AY15" s="1456"/>
      <c r="AZ15" s="1456"/>
      <c r="BA15" s="1456"/>
      <c r="BB15" s="1456"/>
      <c r="BC15" s="1456"/>
      <c r="BD15" s="1456"/>
      <c r="BE15" s="290"/>
      <c r="BF15" s="290"/>
      <c r="BG15" s="1188"/>
      <c r="BH15" s="1188"/>
      <c r="BI15" s="1188"/>
      <c r="BJ15" s="1188"/>
      <c r="BK15" s="1188"/>
      <c r="BL15" s="1188"/>
      <c r="BM15" s="1188"/>
      <c r="BN15" s="1188"/>
      <c r="BO15" s="1188"/>
      <c r="BP15" s="1188"/>
      <c r="BQ15" s="1188"/>
      <c r="BR15" s="1188"/>
      <c r="BS15" s="1188"/>
      <c r="BT15" s="1188"/>
      <c r="BU15" s="1152"/>
      <c r="BV15" s="1152"/>
      <c r="BW15" s="1460"/>
      <c r="BX15" s="1460"/>
      <c r="BY15" s="290"/>
      <c r="BZ15" s="290"/>
      <c r="CA15" s="1457" t="str">
        <f t="shared" si="0"/>
        <v/>
      </c>
      <c r="CB15" s="1457" t="str">
        <f t="shared" si="1"/>
        <v/>
      </c>
      <c r="CC15" s="1457" t="str">
        <f t="shared" si="2"/>
        <v/>
      </c>
      <c r="CD15" s="1457" t="str">
        <f t="shared" si="3"/>
        <v/>
      </c>
      <c r="CE15" s="1457"/>
      <c r="CF15" s="1457"/>
      <c r="CG15" s="1458">
        <f t="shared" si="8"/>
        <v>0</v>
      </c>
      <c r="CH15" s="1458">
        <f t="shared" si="9"/>
        <v>0</v>
      </c>
      <c r="CI15" s="1458">
        <f t="shared" si="10"/>
        <v>0</v>
      </c>
      <c r="CJ15" s="1458">
        <f t="shared" si="11"/>
        <v>0</v>
      </c>
      <c r="CK15" s="1454"/>
      <c r="CL15" s="1454"/>
      <c r="CM15" s="1454"/>
      <c r="CN15" s="1454"/>
      <c r="CO15" s="1454"/>
      <c r="CP15" s="1454"/>
      <c r="CQ15" s="1454"/>
      <c r="CR15" s="1454"/>
      <c r="CS15" s="1454"/>
      <c r="CT15" s="1454"/>
      <c r="CU15" s="290"/>
      <c r="CV15" s="290"/>
      <c r="CW15" s="290"/>
      <c r="CX15" s="290"/>
      <c r="CY15" s="290"/>
      <c r="CZ15" s="290"/>
    </row>
    <row r="16" spans="1:104" ht="17.100000000000001" customHeight="1" x14ac:dyDescent="0.25">
      <c r="A16" s="7708" t="s">
        <v>151</v>
      </c>
      <c r="B16" s="7709">
        <f t="shared" si="4"/>
        <v>0</v>
      </c>
      <c r="C16" s="7710">
        <f t="shared" si="5"/>
        <v>0</v>
      </c>
      <c r="D16" s="1879">
        <f t="shared" si="6"/>
        <v>0</v>
      </c>
      <c r="E16" s="3028"/>
      <c r="F16" s="3121"/>
      <c r="G16" s="3028"/>
      <c r="H16" s="2074"/>
      <c r="I16" s="3028"/>
      <c r="J16" s="2074"/>
      <c r="K16" s="3028"/>
      <c r="L16" s="2074"/>
      <c r="M16" s="3028"/>
      <c r="N16" s="2074"/>
      <c r="O16" s="3028"/>
      <c r="P16" s="2074"/>
      <c r="Q16" s="3028"/>
      <c r="R16" s="2074"/>
      <c r="S16" s="3028"/>
      <c r="T16" s="2074"/>
      <c r="U16" s="3028"/>
      <c r="V16" s="2074"/>
      <c r="W16" s="3028"/>
      <c r="X16" s="2074"/>
      <c r="Y16" s="3028"/>
      <c r="Z16" s="2074"/>
      <c r="AA16" s="3028"/>
      <c r="AB16" s="2074"/>
      <c r="AC16" s="3028"/>
      <c r="AD16" s="2074"/>
      <c r="AE16" s="3028"/>
      <c r="AF16" s="2074"/>
      <c r="AG16" s="3028"/>
      <c r="AH16" s="2074"/>
      <c r="AI16" s="3028"/>
      <c r="AJ16" s="2074"/>
      <c r="AK16" s="3028"/>
      <c r="AL16" s="3029"/>
      <c r="AM16" s="2074"/>
      <c r="AN16" s="3136"/>
      <c r="AO16" s="1871"/>
      <c r="AP16" s="3121"/>
      <c r="AQ16" s="2074"/>
      <c r="AR16" s="2074"/>
      <c r="AS16" s="2074"/>
      <c r="AT16" s="2975" t="str">
        <f t="shared" si="7"/>
        <v/>
      </c>
      <c r="AU16" s="1456"/>
      <c r="AV16" s="1456"/>
      <c r="AW16" s="1456"/>
      <c r="AX16" s="1456"/>
      <c r="AY16" s="1456"/>
      <c r="AZ16" s="1456"/>
      <c r="BA16" s="1456"/>
      <c r="BB16" s="1456"/>
      <c r="BC16" s="1456"/>
      <c r="BD16" s="1456"/>
      <c r="BE16" s="290"/>
      <c r="BF16" s="290"/>
      <c r="BG16" s="1188"/>
      <c r="BH16" s="1188"/>
      <c r="BI16" s="1188"/>
      <c r="BJ16" s="1188"/>
      <c r="BK16" s="1188"/>
      <c r="BL16" s="1188"/>
      <c r="BM16" s="1188"/>
      <c r="BN16" s="1188"/>
      <c r="BO16" s="1188"/>
      <c r="BP16" s="1188"/>
      <c r="BQ16" s="1188"/>
      <c r="BR16" s="1188"/>
      <c r="BS16" s="1188"/>
      <c r="BT16" s="1188"/>
      <c r="BU16" s="1152"/>
      <c r="BV16" s="1152"/>
      <c r="BW16" s="1460"/>
      <c r="BX16" s="1460"/>
      <c r="BY16" s="290"/>
      <c r="BZ16" s="290"/>
      <c r="CA16" s="1457" t="str">
        <f t="shared" si="0"/>
        <v/>
      </c>
      <c r="CB16" s="1457" t="str">
        <f t="shared" si="1"/>
        <v/>
      </c>
      <c r="CC16" s="1457" t="str">
        <f t="shared" si="2"/>
        <v/>
      </c>
      <c r="CD16" s="1457" t="str">
        <f t="shared" si="3"/>
        <v/>
      </c>
      <c r="CE16" s="1457"/>
      <c r="CF16" s="1457"/>
      <c r="CG16" s="1458">
        <f t="shared" si="8"/>
        <v>0</v>
      </c>
      <c r="CH16" s="1458">
        <f t="shared" si="9"/>
        <v>0</v>
      </c>
      <c r="CI16" s="1458">
        <f t="shared" si="10"/>
        <v>0</v>
      </c>
      <c r="CJ16" s="1458">
        <f t="shared" si="11"/>
        <v>0</v>
      </c>
      <c r="CK16" s="1454"/>
      <c r="CL16" s="1454"/>
      <c r="CM16" s="1454"/>
      <c r="CN16" s="1454"/>
      <c r="CO16" s="1454"/>
      <c r="CP16" s="1454"/>
      <c r="CQ16" s="1454"/>
      <c r="CR16" s="1454"/>
      <c r="CS16" s="1454"/>
      <c r="CT16" s="1454"/>
      <c r="CU16" s="290"/>
      <c r="CV16" s="290"/>
      <c r="CW16" s="290"/>
      <c r="CX16" s="290"/>
      <c r="CY16" s="290"/>
      <c r="CZ16" s="290"/>
    </row>
    <row r="17" spans="1:104" ht="17.100000000000001" customHeight="1" x14ac:dyDescent="0.25">
      <c r="A17" s="7701" t="s">
        <v>3483</v>
      </c>
      <c r="B17" s="7711">
        <f t="shared" si="4"/>
        <v>0</v>
      </c>
      <c r="C17" s="7712">
        <f t="shared" si="5"/>
        <v>0</v>
      </c>
      <c r="D17" s="1879">
        <f t="shared" si="6"/>
        <v>0</v>
      </c>
      <c r="E17" s="824"/>
      <c r="F17" s="2074"/>
      <c r="G17" s="3028"/>
      <c r="H17" s="2074"/>
      <c r="I17" s="3028"/>
      <c r="J17" s="2074"/>
      <c r="K17" s="3028"/>
      <c r="L17" s="2074"/>
      <c r="M17" s="3028"/>
      <c r="N17" s="2074"/>
      <c r="O17" s="3028"/>
      <c r="P17" s="2074"/>
      <c r="Q17" s="3028"/>
      <c r="R17" s="2074"/>
      <c r="S17" s="3028"/>
      <c r="T17" s="2074"/>
      <c r="U17" s="3028"/>
      <c r="V17" s="2074"/>
      <c r="W17" s="3028"/>
      <c r="X17" s="2074"/>
      <c r="Y17" s="3028"/>
      <c r="Z17" s="2074"/>
      <c r="AA17" s="3028"/>
      <c r="AB17" s="2074"/>
      <c r="AC17" s="3028"/>
      <c r="AD17" s="2074"/>
      <c r="AE17" s="3028"/>
      <c r="AF17" s="2074"/>
      <c r="AG17" s="3028"/>
      <c r="AH17" s="2074"/>
      <c r="AI17" s="3028"/>
      <c r="AJ17" s="2074"/>
      <c r="AK17" s="3028"/>
      <c r="AL17" s="3029"/>
      <c r="AM17" s="3213"/>
      <c r="AN17" s="3136"/>
      <c r="AO17" s="1871"/>
      <c r="AP17" s="3121"/>
      <c r="AQ17" s="3213"/>
      <c r="AR17" s="3213"/>
      <c r="AS17" s="3213"/>
      <c r="AT17" s="2975" t="str">
        <f t="shared" si="7"/>
        <v/>
      </c>
      <c r="AU17" s="1456"/>
      <c r="AV17" s="1456"/>
      <c r="AW17" s="1456"/>
      <c r="AX17" s="1456"/>
      <c r="AY17" s="1456"/>
      <c r="AZ17" s="1456"/>
      <c r="BA17" s="1456"/>
      <c r="BB17" s="1456"/>
      <c r="BC17" s="1456"/>
      <c r="BD17" s="1456"/>
      <c r="BE17" s="290"/>
      <c r="BF17" s="290"/>
      <c r="BG17" s="1188"/>
      <c r="BH17" s="1188"/>
      <c r="BI17" s="1188"/>
      <c r="BJ17" s="1188"/>
      <c r="BK17" s="1188"/>
      <c r="BL17" s="1188"/>
      <c r="BM17" s="1188"/>
      <c r="BN17" s="1188"/>
      <c r="BO17" s="1188"/>
      <c r="BP17" s="1188"/>
      <c r="BQ17" s="1188"/>
      <c r="BR17" s="1188"/>
      <c r="BS17" s="1188"/>
      <c r="BT17" s="1188"/>
      <c r="BU17" s="1152"/>
      <c r="BV17" s="1152"/>
      <c r="BW17" s="1460"/>
      <c r="BX17" s="1460"/>
      <c r="BY17" s="290"/>
      <c r="BZ17" s="290"/>
      <c r="CA17" s="1457" t="str">
        <f t="shared" si="0"/>
        <v/>
      </c>
      <c r="CB17" s="1457" t="str">
        <f t="shared" si="1"/>
        <v/>
      </c>
      <c r="CC17" s="1457" t="str">
        <f t="shared" si="2"/>
        <v/>
      </c>
      <c r="CD17" s="1457" t="str">
        <f t="shared" si="3"/>
        <v/>
      </c>
      <c r="CE17" s="1457"/>
      <c r="CF17" s="1457"/>
      <c r="CG17" s="1458">
        <f t="shared" si="8"/>
        <v>0</v>
      </c>
      <c r="CH17" s="1458">
        <f t="shared" si="9"/>
        <v>0</v>
      </c>
      <c r="CI17" s="1458">
        <f t="shared" si="10"/>
        <v>0</v>
      </c>
      <c r="CJ17" s="1458">
        <f t="shared" si="11"/>
        <v>0</v>
      </c>
      <c r="CK17" s="1454"/>
      <c r="CL17" s="1454"/>
      <c r="CM17" s="1454"/>
      <c r="CN17" s="1454"/>
      <c r="CO17" s="1454"/>
      <c r="CP17" s="1454"/>
      <c r="CQ17" s="1454"/>
      <c r="CR17" s="1454"/>
      <c r="CS17" s="1454"/>
      <c r="CT17" s="1454"/>
      <c r="CU17" s="290"/>
      <c r="CV17" s="290"/>
      <c r="CW17" s="290"/>
      <c r="CX17" s="290"/>
      <c r="CY17" s="290"/>
      <c r="CZ17" s="290"/>
    </row>
    <row r="18" spans="1:104" ht="17.100000000000001" customHeight="1" x14ac:dyDescent="0.25">
      <c r="A18" s="7701" t="s">
        <v>140</v>
      </c>
      <c r="B18" s="7713">
        <f t="shared" si="4"/>
        <v>0</v>
      </c>
      <c r="C18" s="7714">
        <f t="shared" si="5"/>
        <v>0</v>
      </c>
      <c r="D18" s="7333">
        <f t="shared" si="6"/>
        <v>0</v>
      </c>
      <c r="E18" s="3327"/>
      <c r="F18" s="7715"/>
      <c r="G18" s="7716"/>
      <c r="H18" s="7717"/>
      <c r="I18" s="7716"/>
      <c r="J18" s="7717"/>
      <c r="K18" s="3028"/>
      <c r="L18" s="2074"/>
      <c r="M18" s="3028"/>
      <c r="N18" s="2074"/>
      <c r="O18" s="3328"/>
      <c r="P18" s="7718"/>
      <c r="Q18" s="3328"/>
      <c r="R18" s="7718"/>
      <c r="S18" s="3328"/>
      <c r="T18" s="7718"/>
      <c r="U18" s="3328"/>
      <c r="V18" s="7718"/>
      <c r="W18" s="3328"/>
      <c r="X18" s="7718"/>
      <c r="Y18" s="3328"/>
      <c r="Z18" s="7718"/>
      <c r="AA18" s="3328"/>
      <c r="AB18" s="7718"/>
      <c r="AC18" s="3328"/>
      <c r="AD18" s="7718"/>
      <c r="AE18" s="3328"/>
      <c r="AF18" s="7718"/>
      <c r="AG18" s="3328"/>
      <c r="AH18" s="7718"/>
      <c r="AI18" s="3328"/>
      <c r="AJ18" s="7718"/>
      <c r="AK18" s="3328"/>
      <c r="AL18" s="7719"/>
      <c r="AM18" s="3329"/>
      <c r="AN18" s="2061"/>
      <c r="AO18" s="3062"/>
      <c r="AP18" s="3249"/>
      <c r="AQ18" s="3329"/>
      <c r="AR18" s="3329"/>
      <c r="AS18" s="3329"/>
      <c r="AT18" s="2975" t="str">
        <f t="shared" si="7"/>
        <v/>
      </c>
      <c r="AU18" s="1456"/>
      <c r="AV18" s="1456"/>
      <c r="AW18" s="1456"/>
      <c r="AX18" s="1456"/>
      <c r="AY18" s="1456"/>
      <c r="AZ18" s="1456"/>
      <c r="BA18" s="1456"/>
      <c r="BB18" s="1456"/>
      <c r="BC18" s="1456"/>
      <c r="BD18" s="1456"/>
      <c r="BE18" s="290"/>
      <c r="BF18" s="290"/>
      <c r="BG18" s="1188"/>
      <c r="BH18" s="1188"/>
      <c r="BI18" s="1188"/>
      <c r="BJ18" s="1188"/>
      <c r="BK18" s="1188"/>
      <c r="BL18" s="1188"/>
      <c r="BM18" s="1188"/>
      <c r="BN18" s="1188"/>
      <c r="BO18" s="1188"/>
      <c r="BP18" s="1188"/>
      <c r="BQ18" s="1188"/>
      <c r="BR18" s="1188"/>
      <c r="BS18" s="1188"/>
      <c r="BT18" s="1188"/>
      <c r="BU18" s="1152"/>
      <c r="BV18" s="1152"/>
      <c r="BW18" s="1460"/>
      <c r="BX18" s="1460"/>
      <c r="BY18" s="290"/>
      <c r="BZ18" s="290"/>
      <c r="CA18" s="1457" t="str">
        <f t="shared" si="0"/>
        <v/>
      </c>
      <c r="CB18" s="1457" t="str">
        <f t="shared" si="1"/>
        <v/>
      </c>
      <c r="CC18" s="1457" t="str">
        <f t="shared" si="2"/>
        <v/>
      </c>
      <c r="CD18" s="1457" t="str">
        <f t="shared" si="3"/>
        <v/>
      </c>
      <c r="CE18" s="1457"/>
      <c r="CF18" s="1457"/>
      <c r="CG18" s="1458">
        <f t="shared" si="8"/>
        <v>0</v>
      </c>
      <c r="CH18" s="1458">
        <f t="shared" si="9"/>
        <v>0</v>
      </c>
      <c r="CI18" s="1458">
        <f t="shared" si="10"/>
        <v>0</v>
      </c>
      <c r="CJ18" s="1458">
        <f t="shared" si="11"/>
        <v>0</v>
      </c>
      <c r="CK18" s="1454"/>
      <c r="CL18" s="1454"/>
      <c r="CM18" s="1454"/>
      <c r="CN18" s="1454"/>
      <c r="CO18" s="1454"/>
      <c r="CP18" s="1454"/>
      <c r="CQ18" s="1454"/>
      <c r="CR18" s="1454"/>
      <c r="CS18" s="1454"/>
      <c r="CT18" s="1454"/>
      <c r="CU18" s="290"/>
      <c r="CV18" s="290"/>
      <c r="CW18" s="290"/>
      <c r="CX18" s="290"/>
      <c r="CY18" s="290"/>
      <c r="CZ18" s="290"/>
    </row>
    <row r="19" spans="1:104" ht="17.100000000000001" customHeight="1" x14ac:dyDescent="0.25">
      <c r="A19" s="7694" t="s">
        <v>73</v>
      </c>
      <c r="B19" s="7713">
        <f t="shared" si="4"/>
        <v>0</v>
      </c>
      <c r="C19" s="7720">
        <f t="shared" si="5"/>
        <v>0</v>
      </c>
      <c r="D19" s="3294">
        <f t="shared" si="6"/>
        <v>0</v>
      </c>
      <c r="E19" s="7695">
        <f>SUM(E20:E24)</f>
        <v>0</v>
      </c>
      <c r="F19" s="3294">
        <f t="shared" ref="F19:AS19" si="12">SUM(F20:F24)</f>
        <v>0</v>
      </c>
      <c r="G19" s="7695">
        <f t="shared" si="12"/>
        <v>0</v>
      </c>
      <c r="H19" s="7721">
        <f t="shared" si="12"/>
        <v>0</v>
      </c>
      <c r="I19" s="7695">
        <f t="shared" si="12"/>
        <v>0</v>
      </c>
      <c r="J19" s="7721">
        <f t="shared" si="12"/>
        <v>0</v>
      </c>
      <c r="K19" s="7695">
        <f t="shared" si="12"/>
        <v>0</v>
      </c>
      <c r="L19" s="7721">
        <f t="shared" si="12"/>
        <v>0</v>
      </c>
      <c r="M19" s="7695">
        <f t="shared" si="12"/>
        <v>0</v>
      </c>
      <c r="N19" s="7721">
        <f t="shared" si="12"/>
        <v>0</v>
      </c>
      <c r="O19" s="7695">
        <f t="shared" si="12"/>
        <v>0</v>
      </c>
      <c r="P19" s="7721">
        <f t="shared" si="12"/>
        <v>0</v>
      </c>
      <c r="Q19" s="7695">
        <f t="shared" si="12"/>
        <v>0</v>
      </c>
      <c r="R19" s="7721">
        <f t="shared" si="12"/>
        <v>0</v>
      </c>
      <c r="S19" s="7695">
        <f t="shared" si="12"/>
        <v>0</v>
      </c>
      <c r="T19" s="7721">
        <f t="shared" si="12"/>
        <v>0</v>
      </c>
      <c r="U19" s="7695">
        <f t="shared" si="12"/>
        <v>0</v>
      </c>
      <c r="V19" s="7721">
        <f t="shared" si="12"/>
        <v>0</v>
      </c>
      <c r="W19" s="7695">
        <f t="shared" si="12"/>
        <v>0</v>
      </c>
      <c r="X19" s="7721">
        <f t="shared" si="12"/>
        <v>0</v>
      </c>
      <c r="Y19" s="7695">
        <f t="shared" si="12"/>
        <v>0</v>
      </c>
      <c r="Z19" s="7721">
        <f t="shared" si="12"/>
        <v>0</v>
      </c>
      <c r="AA19" s="7695">
        <f t="shared" si="12"/>
        <v>0</v>
      </c>
      <c r="AB19" s="7721">
        <f t="shared" si="12"/>
        <v>0</v>
      </c>
      <c r="AC19" s="7695">
        <f t="shared" si="12"/>
        <v>0</v>
      </c>
      <c r="AD19" s="7721">
        <f t="shared" si="12"/>
        <v>0</v>
      </c>
      <c r="AE19" s="7695">
        <f t="shared" si="12"/>
        <v>0</v>
      </c>
      <c r="AF19" s="7721">
        <f t="shared" si="12"/>
        <v>0</v>
      </c>
      <c r="AG19" s="7695">
        <f t="shared" si="12"/>
        <v>0</v>
      </c>
      <c r="AH19" s="7721">
        <f t="shared" si="12"/>
        <v>0</v>
      </c>
      <c r="AI19" s="7695">
        <f t="shared" si="12"/>
        <v>0</v>
      </c>
      <c r="AJ19" s="7721">
        <f t="shared" si="12"/>
        <v>0</v>
      </c>
      <c r="AK19" s="7695">
        <f t="shared" si="12"/>
        <v>0</v>
      </c>
      <c r="AL19" s="7722">
        <f t="shared" si="12"/>
        <v>0</v>
      </c>
      <c r="AM19" s="7721">
        <f t="shared" si="12"/>
        <v>0</v>
      </c>
      <c r="AN19" s="7723">
        <f t="shared" si="12"/>
        <v>0</v>
      </c>
      <c r="AO19" s="7688">
        <f t="shared" si="12"/>
        <v>0</v>
      </c>
      <c r="AP19" s="3294">
        <f t="shared" si="12"/>
        <v>0</v>
      </c>
      <c r="AQ19" s="7721">
        <f t="shared" si="12"/>
        <v>0</v>
      </c>
      <c r="AR19" s="7721">
        <f t="shared" si="12"/>
        <v>0</v>
      </c>
      <c r="AS19" s="7721">
        <f t="shared" si="12"/>
        <v>0</v>
      </c>
      <c r="AT19" s="2975"/>
      <c r="AU19" s="290"/>
      <c r="AV19" s="290"/>
      <c r="AW19" s="290"/>
      <c r="AX19" s="290"/>
      <c r="AY19" s="290"/>
      <c r="AZ19" s="290"/>
      <c r="BA19" s="290"/>
      <c r="BB19" s="290"/>
      <c r="BC19" s="290"/>
      <c r="BD19" s="290"/>
      <c r="BE19" s="290"/>
      <c r="BF19" s="290"/>
      <c r="BG19" s="1188"/>
      <c r="BH19" s="1188"/>
      <c r="BI19" s="1188"/>
      <c r="BJ19" s="1188"/>
      <c r="BK19" s="1188"/>
      <c r="BL19" s="1188"/>
      <c r="BM19" s="1188"/>
      <c r="BN19" s="1188"/>
      <c r="BO19" s="1188"/>
      <c r="BP19" s="1188"/>
      <c r="BQ19" s="1188"/>
      <c r="BR19" s="1188"/>
      <c r="BS19" s="1188"/>
      <c r="BT19" s="1188"/>
      <c r="BU19" s="1152"/>
      <c r="BV19" s="1152"/>
      <c r="BW19" s="1460"/>
      <c r="BX19" s="1460"/>
      <c r="BY19" s="290"/>
      <c r="BZ19" s="290"/>
      <c r="CA19" s="1457"/>
      <c r="CB19" s="1457"/>
      <c r="CC19" s="1457"/>
      <c r="CD19" s="1457"/>
      <c r="CE19" s="1457"/>
      <c r="CF19" s="1457"/>
      <c r="CG19" s="1458"/>
      <c r="CH19" s="1458"/>
      <c r="CI19" s="1458"/>
      <c r="CJ19" s="1458"/>
      <c r="CK19" s="1454"/>
      <c r="CL19" s="1454"/>
      <c r="CM19" s="1454"/>
      <c r="CN19" s="1454"/>
      <c r="CO19" s="1454"/>
      <c r="CP19" s="1454"/>
      <c r="CQ19" s="1454"/>
      <c r="CR19" s="1454"/>
      <c r="CS19" s="1454"/>
      <c r="CT19" s="1454"/>
      <c r="CU19" s="290"/>
      <c r="CV19" s="290"/>
      <c r="CW19" s="290"/>
      <c r="CX19" s="290"/>
      <c r="CY19" s="290"/>
      <c r="CZ19" s="290"/>
    </row>
    <row r="20" spans="1:104" ht="17.100000000000001" customHeight="1" x14ac:dyDescent="0.25">
      <c r="A20" s="7724" t="s">
        <v>152</v>
      </c>
      <c r="B20" s="7711">
        <f t="shared" si="4"/>
        <v>0</v>
      </c>
      <c r="C20" s="7710">
        <f t="shared" si="5"/>
        <v>0</v>
      </c>
      <c r="D20" s="7725">
        <f t="shared" si="6"/>
        <v>0</v>
      </c>
      <c r="E20" s="3278"/>
      <c r="F20" s="3279"/>
      <c r="G20" s="3278"/>
      <c r="H20" s="3280"/>
      <c r="I20" s="3278"/>
      <c r="J20" s="3280"/>
      <c r="K20" s="3278"/>
      <c r="L20" s="3280"/>
      <c r="M20" s="3278"/>
      <c r="N20" s="3280"/>
      <c r="O20" s="3278"/>
      <c r="P20" s="3280"/>
      <c r="Q20" s="3278"/>
      <c r="R20" s="3280"/>
      <c r="S20" s="3278"/>
      <c r="T20" s="3280"/>
      <c r="U20" s="3278"/>
      <c r="V20" s="3280"/>
      <c r="W20" s="3278"/>
      <c r="X20" s="3280"/>
      <c r="Y20" s="3278"/>
      <c r="Z20" s="3280"/>
      <c r="AA20" s="3278"/>
      <c r="AB20" s="3280"/>
      <c r="AC20" s="3278"/>
      <c r="AD20" s="3280"/>
      <c r="AE20" s="3278"/>
      <c r="AF20" s="3280"/>
      <c r="AG20" s="3278"/>
      <c r="AH20" s="3280"/>
      <c r="AI20" s="3278"/>
      <c r="AJ20" s="3280"/>
      <c r="AK20" s="3278"/>
      <c r="AL20" s="7545"/>
      <c r="AM20" s="7726"/>
      <c r="AN20" s="2852"/>
      <c r="AO20" s="3330"/>
      <c r="AP20" s="3279"/>
      <c r="AQ20" s="7726"/>
      <c r="AR20" s="7726"/>
      <c r="AS20" s="7726"/>
      <c r="AT20" s="2975" t="str">
        <f t="shared" si="7"/>
        <v/>
      </c>
      <c r="AU20" s="1456"/>
      <c r="AV20" s="1456"/>
      <c r="AW20" s="1456"/>
      <c r="AX20" s="1456"/>
      <c r="AY20" s="1456"/>
      <c r="AZ20" s="1456"/>
      <c r="BA20" s="1456"/>
      <c r="BB20" s="1456"/>
      <c r="BC20" s="1456"/>
      <c r="BD20" s="1456"/>
      <c r="BE20" s="290"/>
      <c r="BF20" s="290"/>
      <c r="BG20" s="1188"/>
      <c r="BH20" s="1188"/>
      <c r="BI20" s="1188"/>
      <c r="BJ20" s="1188"/>
      <c r="BK20" s="1188"/>
      <c r="BL20" s="1188"/>
      <c r="BM20" s="1188"/>
      <c r="BN20" s="1188"/>
      <c r="BO20" s="1188"/>
      <c r="BP20" s="1188"/>
      <c r="BQ20" s="1188"/>
      <c r="BR20" s="1188"/>
      <c r="BS20" s="1188"/>
      <c r="BT20" s="1188"/>
      <c r="BU20" s="1152"/>
      <c r="BV20" s="1152"/>
      <c r="BW20" s="1460"/>
      <c r="BX20" s="1460"/>
      <c r="BY20" s="290"/>
      <c r="BZ20" s="290"/>
      <c r="CA20" s="1457" t="str">
        <f>IF(CG20=1,"* Total Egresos debe ser igual a la suma de los Tipos de Estrategia. ","")</f>
        <v/>
      </c>
      <c r="CB20" s="1457" t="str">
        <f>IF(CH20=1," * El Número de personas con discapacidad NO DEBE superar el total de egresos. ","")</f>
        <v/>
      </c>
      <c r="CC20" s="1457" t="str">
        <f>IF(CI20=1," * El Número de personas de pueblos originarios NO DEBE superar el total de egresos. ","")</f>
        <v/>
      </c>
      <c r="CD20" s="1457" t="str">
        <f>IF(CJ20=1," * El Número de personas migrantes NO DEBE superar el total de egresos. ","")</f>
        <v/>
      </c>
      <c r="CE20" s="1457"/>
      <c r="CF20" s="1457"/>
      <c r="CG20" s="1458">
        <f t="shared" si="8"/>
        <v>0</v>
      </c>
      <c r="CH20" s="1458">
        <f t="shared" si="9"/>
        <v>0</v>
      </c>
      <c r="CI20" s="1458">
        <f t="shared" si="10"/>
        <v>0</v>
      </c>
      <c r="CJ20" s="1458">
        <f t="shared" si="11"/>
        <v>0</v>
      </c>
      <c r="CK20" s="1454"/>
      <c r="CL20" s="1454"/>
      <c r="CM20" s="1454"/>
      <c r="CN20" s="1454"/>
      <c r="CO20" s="1454"/>
      <c r="CP20" s="1454"/>
      <c r="CQ20" s="1454"/>
      <c r="CR20" s="1454"/>
      <c r="CS20" s="1454"/>
      <c r="CT20" s="1454"/>
      <c r="CU20" s="290"/>
      <c r="CV20" s="290"/>
      <c r="CW20" s="290"/>
      <c r="CX20" s="290"/>
      <c r="CY20" s="290"/>
      <c r="CZ20" s="290"/>
    </row>
    <row r="21" spans="1:104" ht="17.100000000000001" customHeight="1" x14ac:dyDescent="0.25">
      <c r="A21" s="7701" t="s">
        <v>153</v>
      </c>
      <c r="B21" s="7709">
        <f t="shared" si="4"/>
        <v>0</v>
      </c>
      <c r="C21" s="7712">
        <f t="shared" si="5"/>
        <v>0</v>
      </c>
      <c r="D21" s="7704">
        <f t="shared" si="6"/>
        <v>0</v>
      </c>
      <c r="E21" s="3028"/>
      <c r="F21" s="3121"/>
      <c r="G21" s="3028"/>
      <c r="H21" s="2074"/>
      <c r="I21" s="3028"/>
      <c r="J21" s="2074"/>
      <c r="K21" s="3028"/>
      <c r="L21" s="2074"/>
      <c r="M21" s="3028"/>
      <c r="N21" s="2074"/>
      <c r="O21" s="3028"/>
      <c r="P21" s="2074"/>
      <c r="Q21" s="3028"/>
      <c r="R21" s="2074"/>
      <c r="S21" s="3028"/>
      <c r="T21" s="2074"/>
      <c r="U21" s="3028"/>
      <c r="V21" s="2074"/>
      <c r="W21" s="3028"/>
      <c r="X21" s="2074"/>
      <c r="Y21" s="3028"/>
      <c r="Z21" s="2074"/>
      <c r="AA21" s="3028"/>
      <c r="AB21" s="2074"/>
      <c r="AC21" s="3028"/>
      <c r="AD21" s="2074"/>
      <c r="AE21" s="3028"/>
      <c r="AF21" s="2074"/>
      <c r="AG21" s="3028"/>
      <c r="AH21" s="2074"/>
      <c r="AI21" s="3028"/>
      <c r="AJ21" s="2074"/>
      <c r="AK21" s="3028"/>
      <c r="AL21" s="3029"/>
      <c r="AM21" s="3067"/>
      <c r="AN21" s="3136"/>
      <c r="AO21" s="1871"/>
      <c r="AP21" s="3121"/>
      <c r="AQ21" s="3067"/>
      <c r="AR21" s="3067"/>
      <c r="AS21" s="3067"/>
      <c r="AT21" s="2975" t="str">
        <f t="shared" si="7"/>
        <v/>
      </c>
      <c r="AU21" s="1456"/>
      <c r="AV21" s="1456"/>
      <c r="AW21" s="1456"/>
      <c r="AX21" s="1456"/>
      <c r="AY21" s="1456"/>
      <c r="AZ21" s="1456"/>
      <c r="BA21" s="1456"/>
      <c r="BB21" s="1456"/>
      <c r="BC21" s="1456"/>
      <c r="BD21" s="1456"/>
      <c r="BE21" s="290"/>
      <c r="BF21" s="290"/>
      <c r="BG21" s="1188"/>
      <c r="BH21" s="1188"/>
      <c r="BI21" s="1188"/>
      <c r="BJ21" s="1188"/>
      <c r="BK21" s="1188"/>
      <c r="BL21" s="1188"/>
      <c r="BM21" s="1188"/>
      <c r="BN21" s="1188"/>
      <c r="BO21" s="1188"/>
      <c r="BP21" s="1188"/>
      <c r="BQ21" s="1188"/>
      <c r="BR21" s="1188"/>
      <c r="BS21" s="1188"/>
      <c r="BT21" s="1188"/>
      <c r="BU21" s="1152"/>
      <c r="BV21" s="1152"/>
      <c r="BW21" s="1460"/>
      <c r="BX21" s="1460"/>
      <c r="BY21" s="290"/>
      <c r="BZ21" s="290"/>
      <c r="CA21" s="1457" t="str">
        <f>IF(CG21=1,"* Total Egresos debe ser igual a la suma de los Tipos de Estrategia. ","")</f>
        <v/>
      </c>
      <c r="CB21" s="1457" t="str">
        <f>IF(CH21=1," * El Número de personas con discapacidad NO DEBE superar el total de egresos. ","")</f>
        <v/>
      </c>
      <c r="CC21" s="1457" t="str">
        <f>IF(CI21=1," * El Número de personas de pueblos originarios NO DEBE superar el total de egresos. ","")</f>
        <v/>
      </c>
      <c r="CD21" s="1457" t="str">
        <f>IF(CJ21=1," * El Número de personas migrantes NO DEBE superar el total de egresos. ","")</f>
        <v/>
      </c>
      <c r="CE21" s="1457"/>
      <c r="CF21" s="1457"/>
      <c r="CG21" s="1458">
        <f t="shared" si="8"/>
        <v>0</v>
      </c>
      <c r="CH21" s="1458">
        <f t="shared" si="9"/>
        <v>0</v>
      </c>
      <c r="CI21" s="1458">
        <f t="shared" si="10"/>
        <v>0</v>
      </c>
      <c r="CJ21" s="1458">
        <f t="shared" si="11"/>
        <v>0</v>
      </c>
      <c r="CK21" s="1454"/>
      <c r="CL21" s="1454"/>
      <c r="CM21" s="1454"/>
      <c r="CN21" s="1454"/>
      <c r="CO21" s="1454"/>
      <c r="CP21" s="1454"/>
      <c r="CQ21" s="1454"/>
      <c r="CR21" s="1454"/>
      <c r="CS21" s="1454"/>
      <c r="CT21" s="1454"/>
      <c r="CU21" s="290"/>
      <c r="CV21" s="290"/>
      <c r="CW21" s="290"/>
      <c r="CX21" s="290"/>
      <c r="CY21" s="290"/>
      <c r="CZ21" s="290"/>
    </row>
    <row r="22" spans="1:104" ht="17.100000000000001" customHeight="1" x14ac:dyDescent="0.25">
      <c r="A22" s="7727" t="s">
        <v>154</v>
      </c>
      <c r="B22" s="7728">
        <f t="shared" si="4"/>
        <v>0</v>
      </c>
      <c r="C22" s="7729">
        <f t="shared" si="5"/>
        <v>0</v>
      </c>
      <c r="D22" s="1133">
        <f t="shared" si="6"/>
        <v>0</v>
      </c>
      <c r="E22" s="824"/>
      <c r="F22" s="1145"/>
      <c r="G22" s="824"/>
      <c r="H22" s="3331"/>
      <c r="I22" s="824"/>
      <c r="J22" s="3331"/>
      <c r="K22" s="824"/>
      <c r="L22" s="3331"/>
      <c r="M22" s="824"/>
      <c r="N22" s="3331"/>
      <c r="O22" s="824"/>
      <c r="P22" s="3331"/>
      <c r="Q22" s="824"/>
      <c r="R22" s="3331"/>
      <c r="S22" s="824"/>
      <c r="T22" s="3331"/>
      <c r="U22" s="824"/>
      <c r="V22" s="3331"/>
      <c r="W22" s="824"/>
      <c r="X22" s="3331"/>
      <c r="Y22" s="824"/>
      <c r="Z22" s="3331"/>
      <c r="AA22" s="824"/>
      <c r="AB22" s="3331"/>
      <c r="AC22" s="824"/>
      <c r="AD22" s="3331"/>
      <c r="AE22" s="824"/>
      <c r="AF22" s="3331"/>
      <c r="AG22" s="824"/>
      <c r="AH22" s="3331"/>
      <c r="AI22" s="824"/>
      <c r="AJ22" s="3331"/>
      <c r="AK22" s="824"/>
      <c r="AL22" s="7730"/>
      <c r="AM22" s="7731"/>
      <c r="AN22" s="1828"/>
      <c r="AO22" s="747"/>
      <c r="AP22" s="1145"/>
      <c r="AQ22" s="7731"/>
      <c r="AR22" s="7731"/>
      <c r="AS22" s="7731"/>
      <c r="AT22" s="2975" t="str">
        <f t="shared" si="7"/>
        <v/>
      </c>
      <c r="AU22" s="1456"/>
      <c r="AV22" s="1456"/>
      <c r="AW22" s="1456"/>
      <c r="AX22" s="1456"/>
      <c r="AY22" s="1456"/>
      <c r="AZ22" s="1456"/>
      <c r="BA22" s="1456"/>
      <c r="BB22" s="1456"/>
      <c r="BC22" s="1456"/>
      <c r="BD22" s="1456"/>
      <c r="BE22" s="290"/>
      <c r="BF22" s="290"/>
      <c r="BG22" s="1188"/>
      <c r="BH22" s="1188"/>
      <c r="BI22" s="1188"/>
      <c r="BJ22" s="1188"/>
      <c r="BK22" s="1188"/>
      <c r="BL22" s="1188"/>
      <c r="BM22" s="1188"/>
      <c r="BN22" s="1188"/>
      <c r="BO22" s="1188"/>
      <c r="BP22" s="1188"/>
      <c r="BQ22" s="1188"/>
      <c r="BR22" s="1188"/>
      <c r="BS22" s="1188"/>
      <c r="BT22" s="1188"/>
      <c r="BU22" s="1152"/>
      <c r="BV22" s="1152"/>
      <c r="BW22" s="1460"/>
      <c r="BX22" s="1460"/>
      <c r="BY22" s="290"/>
      <c r="BZ22" s="290"/>
      <c r="CA22" s="1457" t="str">
        <f>IF(CG22=1,"* Total Egresos debe ser igual a la suma de los Tipos de Estrategia. ","")</f>
        <v/>
      </c>
      <c r="CB22" s="1457" t="str">
        <f>IF(CH22=1," * El Número de personas con discapacidad NO DEBE superar el total de egresos. ","")</f>
        <v/>
      </c>
      <c r="CC22" s="1457" t="str">
        <f>IF(CI22=1," * El Número de personas de pueblos originarios NO DEBE superar el total de egresos. ","")</f>
        <v/>
      </c>
      <c r="CD22" s="1457" t="str">
        <f>IF(CJ22=1," * El Número de personas migrantes NO DEBE superar el total de egresos. ","")</f>
        <v/>
      </c>
      <c r="CE22" s="1457"/>
      <c r="CF22" s="1457"/>
      <c r="CG22" s="1458">
        <f t="shared" si="8"/>
        <v>0</v>
      </c>
      <c r="CH22" s="1458">
        <f t="shared" si="9"/>
        <v>0</v>
      </c>
      <c r="CI22" s="1458">
        <f t="shared" si="10"/>
        <v>0</v>
      </c>
      <c r="CJ22" s="1458">
        <f t="shared" si="11"/>
        <v>0</v>
      </c>
      <c r="CK22" s="1454"/>
      <c r="CL22" s="1454"/>
      <c r="CM22" s="1454"/>
      <c r="CN22" s="1454"/>
      <c r="CO22" s="1454"/>
      <c r="CP22" s="1454"/>
      <c r="CQ22" s="1454"/>
      <c r="CR22" s="1454"/>
      <c r="CS22" s="1454"/>
      <c r="CT22" s="1454"/>
      <c r="CU22" s="290"/>
      <c r="CV22" s="290"/>
      <c r="CW22" s="290"/>
      <c r="CX22" s="290"/>
      <c r="CY22" s="290"/>
      <c r="CZ22" s="290"/>
    </row>
    <row r="23" spans="1:104" ht="17.100000000000001" customHeight="1" x14ac:dyDescent="0.25">
      <c r="A23" s="7732" t="s">
        <v>355</v>
      </c>
      <c r="B23" s="7709">
        <f t="shared" si="4"/>
        <v>0</v>
      </c>
      <c r="C23" s="7712">
        <f t="shared" si="5"/>
        <v>0</v>
      </c>
      <c r="D23" s="7704">
        <f t="shared" si="6"/>
        <v>0</v>
      </c>
      <c r="E23" s="3028"/>
      <c r="F23" s="3121"/>
      <c r="G23" s="3028"/>
      <c r="H23" s="2074"/>
      <c r="I23" s="3028"/>
      <c r="J23" s="2074"/>
      <c r="K23" s="3028"/>
      <c r="L23" s="2074"/>
      <c r="M23" s="3028"/>
      <c r="N23" s="2074"/>
      <c r="O23" s="3028"/>
      <c r="P23" s="2074"/>
      <c r="Q23" s="3028"/>
      <c r="R23" s="2074"/>
      <c r="S23" s="3028"/>
      <c r="T23" s="2074"/>
      <c r="U23" s="3028"/>
      <c r="V23" s="2074"/>
      <c r="W23" s="3028"/>
      <c r="X23" s="2074"/>
      <c r="Y23" s="3028"/>
      <c r="Z23" s="2074"/>
      <c r="AA23" s="3028"/>
      <c r="AB23" s="2074"/>
      <c r="AC23" s="3028"/>
      <c r="AD23" s="2074"/>
      <c r="AE23" s="3028"/>
      <c r="AF23" s="2074"/>
      <c r="AG23" s="3028"/>
      <c r="AH23" s="2074"/>
      <c r="AI23" s="3028"/>
      <c r="AJ23" s="2074"/>
      <c r="AK23" s="3028"/>
      <c r="AL23" s="3029"/>
      <c r="AM23" s="3067"/>
      <c r="AN23" s="3136"/>
      <c r="AO23" s="1871"/>
      <c r="AP23" s="3121"/>
      <c r="AQ23" s="3067"/>
      <c r="AR23" s="3067"/>
      <c r="AS23" s="3067"/>
      <c r="AT23" s="2975" t="str">
        <f t="shared" si="7"/>
        <v/>
      </c>
      <c r="AU23" s="1456"/>
      <c r="AV23" s="1456"/>
      <c r="AW23" s="1456"/>
      <c r="AX23" s="1456"/>
      <c r="AY23" s="1456"/>
      <c r="AZ23" s="1456"/>
      <c r="BA23" s="1456"/>
      <c r="BB23" s="1456"/>
      <c r="BC23" s="1456"/>
      <c r="BD23" s="1456"/>
      <c r="BE23" s="290"/>
      <c r="BF23" s="290"/>
      <c r="BG23" s="1188"/>
      <c r="BH23" s="1188"/>
      <c r="BI23" s="1188"/>
      <c r="BJ23" s="1188"/>
      <c r="BK23" s="1188"/>
      <c r="BL23" s="1188"/>
      <c r="BM23" s="1188"/>
      <c r="BN23" s="1188"/>
      <c r="BO23" s="1188"/>
      <c r="BP23" s="1188"/>
      <c r="BQ23" s="1188"/>
      <c r="BR23" s="1188"/>
      <c r="BS23" s="1188"/>
      <c r="BT23" s="1188"/>
      <c r="BU23" s="1152"/>
      <c r="BV23" s="1152"/>
      <c r="BW23" s="1460"/>
      <c r="BX23" s="1460"/>
      <c r="BY23" s="290"/>
      <c r="BZ23" s="290"/>
      <c r="CA23" s="1457" t="str">
        <f>IF(CG23=1,"* Total Egresos debe ser igual a la suma de los Tipos de Estrategia. ","")</f>
        <v/>
      </c>
      <c r="CB23" s="1457" t="str">
        <f>IF(CH23=1," * El Número de personas con discapacidad NO DEBE superar el total de egresos. ","")</f>
        <v/>
      </c>
      <c r="CC23" s="1457" t="str">
        <f>IF(CI23=1," * El Número de personas de pueblos originarios NO DEBE superar el total de egresos. ","")</f>
        <v/>
      </c>
      <c r="CD23" s="1457" t="str">
        <f>IF(CJ23=1," * El Número de personas migrantes NO DEBE superar el total de egresos. ","")</f>
        <v/>
      </c>
      <c r="CE23" s="1457"/>
      <c r="CF23" s="1457"/>
      <c r="CG23" s="1458">
        <f t="shared" si="8"/>
        <v>0</v>
      </c>
      <c r="CH23" s="1458">
        <f t="shared" si="9"/>
        <v>0</v>
      </c>
      <c r="CI23" s="1458">
        <f t="shared" si="10"/>
        <v>0</v>
      </c>
      <c r="CJ23" s="1458">
        <f t="shared" si="11"/>
        <v>0</v>
      </c>
      <c r="CK23" s="1454"/>
      <c r="CL23" s="1454"/>
      <c r="CM23" s="1454"/>
      <c r="CN23" s="1454"/>
      <c r="CO23" s="1454"/>
      <c r="CP23" s="1454"/>
      <c r="CQ23" s="1454"/>
      <c r="CR23" s="1454"/>
      <c r="CS23" s="1454"/>
      <c r="CT23" s="1454"/>
      <c r="CU23" s="290"/>
      <c r="CV23" s="290"/>
      <c r="CW23" s="290"/>
      <c r="CX23" s="290"/>
      <c r="CY23" s="290"/>
      <c r="CZ23" s="290"/>
    </row>
    <row r="24" spans="1:104" ht="17.100000000000001" customHeight="1" x14ac:dyDescent="0.25">
      <c r="A24" s="3318" t="s">
        <v>197</v>
      </c>
      <c r="B24" s="7713">
        <f t="shared" si="4"/>
        <v>0</v>
      </c>
      <c r="C24" s="7720">
        <f t="shared" si="5"/>
        <v>0</v>
      </c>
      <c r="D24" s="1936">
        <f t="shared" si="6"/>
        <v>0</v>
      </c>
      <c r="E24" s="3328"/>
      <c r="F24" s="1731"/>
      <c r="G24" s="3328"/>
      <c r="H24" s="7718"/>
      <c r="I24" s="3328"/>
      <c r="J24" s="7718"/>
      <c r="K24" s="3328"/>
      <c r="L24" s="7718"/>
      <c r="M24" s="3328"/>
      <c r="N24" s="7718"/>
      <c r="O24" s="3328"/>
      <c r="P24" s="7718"/>
      <c r="Q24" s="3328"/>
      <c r="R24" s="7718"/>
      <c r="S24" s="3328"/>
      <c r="T24" s="7718"/>
      <c r="U24" s="3328"/>
      <c r="V24" s="7718"/>
      <c r="W24" s="3328"/>
      <c r="X24" s="7718"/>
      <c r="Y24" s="3328"/>
      <c r="Z24" s="7718"/>
      <c r="AA24" s="3328"/>
      <c r="AB24" s="7718"/>
      <c r="AC24" s="3328"/>
      <c r="AD24" s="7718"/>
      <c r="AE24" s="3328"/>
      <c r="AF24" s="7718"/>
      <c r="AG24" s="3328"/>
      <c r="AH24" s="7718"/>
      <c r="AI24" s="3328"/>
      <c r="AJ24" s="7718"/>
      <c r="AK24" s="3328"/>
      <c r="AL24" s="7719"/>
      <c r="AM24" s="7718"/>
      <c r="AN24" s="2061"/>
      <c r="AO24" s="3062"/>
      <c r="AP24" s="1731"/>
      <c r="AQ24" s="7718"/>
      <c r="AR24" s="7718"/>
      <c r="AS24" s="7718"/>
      <c r="AT24" s="2975" t="str">
        <f t="shared" si="7"/>
        <v/>
      </c>
      <c r="AU24" s="1456"/>
      <c r="AV24" s="1456"/>
      <c r="AW24" s="1456"/>
      <c r="AX24" s="1456"/>
      <c r="AY24" s="1456"/>
      <c r="AZ24" s="1456"/>
      <c r="BA24" s="1456"/>
      <c r="BB24" s="1456"/>
      <c r="BC24" s="1456"/>
      <c r="BD24" s="1456"/>
      <c r="BE24" s="290"/>
      <c r="BF24" s="290"/>
      <c r="BG24" s="1188"/>
      <c r="BH24" s="1188"/>
      <c r="BI24" s="1188"/>
      <c r="BJ24" s="1188"/>
      <c r="BK24" s="1188"/>
      <c r="BL24" s="1188"/>
      <c r="BM24" s="1188"/>
      <c r="BN24" s="1188"/>
      <c r="BO24" s="1188"/>
      <c r="BP24" s="1188"/>
      <c r="BQ24" s="1188"/>
      <c r="BR24" s="1188"/>
      <c r="BS24" s="1188"/>
      <c r="BT24" s="1188"/>
      <c r="BU24" s="1152"/>
      <c r="BV24" s="1152"/>
      <c r="BW24" s="1460"/>
      <c r="BX24" s="1460"/>
      <c r="BY24" s="290"/>
      <c r="BZ24" s="290"/>
      <c r="CA24" s="1457" t="str">
        <f>IF(CG24=1,"* Total Egresos debe ser igual a la suma de los Tipos de Estrategia. ","")</f>
        <v/>
      </c>
      <c r="CB24" s="1457" t="str">
        <f>IF(CH24=1," * El Número de personas con discapacidad NO DEBE superar el total de egresos. ","")</f>
        <v/>
      </c>
      <c r="CC24" s="1457" t="str">
        <f>IF(CI24=1," * El Número de personas de pueblos originarios NO DEBE superar el total de egresos. ","")</f>
        <v/>
      </c>
      <c r="CD24" s="1457" t="str">
        <f>IF(CJ24=1," * El Número de personas migrantes NO DEBE superar el total de egresos. ","")</f>
        <v/>
      </c>
      <c r="CE24" s="1457"/>
      <c r="CF24" s="1457"/>
      <c r="CG24" s="1458">
        <f t="shared" si="8"/>
        <v>0</v>
      </c>
      <c r="CH24" s="1458">
        <f t="shared" si="9"/>
        <v>0</v>
      </c>
      <c r="CI24" s="1458">
        <f t="shared" si="10"/>
        <v>0</v>
      </c>
      <c r="CJ24" s="1458">
        <f t="shared" si="11"/>
        <v>0</v>
      </c>
      <c r="CK24" s="1454"/>
      <c r="CL24" s="1454"/>
      <c r="CM24" s="1454"/>
      <c r="CN24" s="1454"/>
      <c r="CO24" s="1454"/>
      <c r="CP24" s="1454"/>
      <c r="CQ24" s="1454"/>
      <c r="CR24" s="1454"/>
      <c r="CS24" s="1454"/>
      <c r="CT24" s="1454"/>
      <c r="CU24" s="290"/>
      <c r="CV24" s="290"/>
      <c r="CW24" s="290"/>
      <c r="CX24" s="290"/>
      <c r="CY24" s="290"/>
      <c r="CZ24" s="290"/>
    </row>
    <row r="25" spans="1:104" ht="28.15" customHeight="1" x14ac:dyDescent="0.25">
      <c r="A25" s="133" t="s">
        <v>642</v>
      </c>
      <c r="B25" s="292"/>
      <c r="C25" s="290"/>
      <c r="D25" s="292"/>
      <c r="E25" s="292"/>
      <c r="F25" s="290"/>
      <c r="G25" s="290"/>
      <c r="H25" s="290"/>
      <c r="I25" s="290"/>
      <c r="J25" s="1188"/>
      <c r="K25" s="1188"/>
      <c r="L25" s="1188"/>
      <c r="M25" s="1188"/>
      <c r="N25" s="1188"/>
      <c r="O25" s="1188"/>
      <c r="P25" s="1188"/>
      <c r="Q25" s="1188"/>
      <c r="R25" s="1188"/>
      <c r="S25" s="1188"/>
      <c r="T25" s="1188"/>
      <c r="U25" s="1188"/>
      <c r="V25" s="1188"/>
      <c r="W25" s="1188"/>
      <c r="X25" s="1188"/>
      <c r="Y25" s="1188"/>
      <c r="Z25" s="1188"/>
      <c r="AA25" s="1188"/>
      <c r="AB25" s="1188"/>
      <c r="AC25" s="1188"/>
      <c r="AD25" s="1188"/>
      <c r="AE25" s="1188"/>
      <c r="AF25" s="1188"/>
      <c r="AG25" s="1188"/>
      <c r="AH25" s="1188"/>
      <c r="AI25" s="1188"/>
      <c r="AJ25" s="1188"/>
      <c r="AK25" s="1188"/>
      <c r="AL25" s="1188"/>
      <c r="AM25" s="1188"/>
      <c r="AN25" s="1188"/>
      <c r="AO25" s="1188"/>
      <c r="AP25" s="1188"/>
      <c r="AQ25" s="1188"/>
      <c r="AR25" s="1188"/>
      <c r="AS25" s="1188"/>
      <c r="AT25" s="1188"/>
      <c r="AU25" s="1188"/>
      <c r="AV25" s="1188"/>
      <c r="AW25" s="1188"/>
      <c r="AX25" s="1188"/>
      <c r="AY25" s="1188"/>
      <c r="AZ25" s="1188"/>
      <c r="BA25" s="1188"/>
      <c r="BB25" s="1188"/>
      <c r="BC25" s="1188"/>
      <c r="BD25" s="1188"/>
      <c r="BE25" s="1188"/>
      <c r="BF25" s="1188"/>
      <c r="BG25" s="1188"/>
      <c r="BH25" s="1188"/>
      <c r="BI25" s="1188"/>
      <c r="BJ25" s="1188"/>
      <c r="BK25" s="1188"/>
      <c r="BL25" s="1188"/>
      <c r="BM25" s="1188"/>
      <c r="BN25" s="1188"/>
      <c r="BO25" s="1188"/>
      <c r="BP25" s="1188"/>
      <c r="BQ25" s="1188"/>
      <c r="BR25" s="1188"/>
      <c r="BS25" s="1188"/>
      <c r="BT25" s="1188"/>
      <c r="BU25" s="1152"/>
      <c r="BV25" s="1152"/>
      <c r="BW25" s="1152"/>
      <c r="BX25" s="1152"/>
      <c r="BY25" s="1152"/>
      <c r="BZ25" s="1152"/>
      <c r="CA25" s="1457"/>
      <c r="CB25" s="1457"/>
      <c r="CC25" s="1457"/>
      <c r="CD25" s="1457"/>
      <c r="CE25" s="1457"/>
      <c r="CF25" s="1457"/>
      <c r="CG25" s="1458"/>
      <c r="CH25" s="1454"/>
      <c r="CI25" s="1454"/>
      <c r="CJ25" s="1454"/>
      <c r="CK25" s="1454"/>
      <c r="CL25" s="1454"/>
      <c r="CM25" s="1454"/>
      <c r="CN25" s="1454"/>
      <c r="CO25" s="1454"/>
      <c r="CP25" s="1454"/>
      <c r="CQ25" s="1454"/>
      <c r="CR25" s="1454"/>
      <c r="CS25" s="1454"/>
      <c r="CT25" s="1454"/>
      <c r="CU25" s="1152"/>
      <c r="CV25" s="290"/>
      <c r="CW25" s="290"/>
      <c r="CX25" s="290"/>
      <c r="CY25" s="290"/>
      <c r="CZ25" s="290"/>
    </row>
    <row r="26" spans="1:104" ht="18" customHeight="1" x14ac:dyDescent="0.25">
      <c r="A26" s="10443" t="s">
        <v>155</v>
      </c>
      <c r="B26" s="8549" t="s">
        <v>31</v>
      </c>
      <c r="C26" s="9115" t="s">
        <v>24</v>
      </c>
      <c r="D26" s="8129"/>
      <c r="E26" s="8526"/>
      <c r="F26" s="8571" t="s">
        <v>98</v>
      </c>
      <c r="G26" s="10394"/>
      <c r="H26" s="10394"/>
      <c r="I26" s="10394"/>
      <c r="J26" s="10394"/>
      <c r="K26" s="10394"/>
      <c r="L26" s="10394"/>
      <c r="M26" s="10394"/>
      <c r="N26" s="10394"/>
      <c r="O26" s="10394"/>
      <c r="P26" s="10394"/>
      <c r="Q26" s="10394"/>
      <c r="R26" s="10394"/>
      <c r="S26" s="10394"/>
      <c r="T26" s="10394"/>
      <c r="U26" s="10394"/>
      <c r="V26" s="10394"/>
      <c r="W26" s="10394"/>
      <c r="X26" s="10394"/>
      <c r="Y26" s="10394"/>
      <c r="Z26" s="10394"/>
      <c r="AA26" s="10394"/>
      <c r="AB26" s="10394"/>
      <c r="AC26" s="10394"/>
      <c r="AD26" s="10394"/>
      <c r="AE26" s="10394"/>
      <c r="AF26" s="10394"/>
      <c r="AG26" s="10394"/>
      <c r="AH26" s="10394"/>
      <c r="AI26" s="10394"/>
      <c r="AJ26" s="10394"/>
      <c r="AK26" s="10394"/>
      <c r="AL26" s="10394"/>
      <c r="AM26" s="10395"/>
      <c r="AN26" s="10408" t="s">
        <v>141</v>
      </c>
      <c r="AO26" s="10394"/>
      <c r="AP26" s="10394"/>
      <c r="AQ26" s="8572"/>
      <c r="AR26" s="290"/>
      <c r="AS26" s="290"/>
      <c r="AT26" s="290"/>
      <c r="AU26" s="290"/>
      <c r="AV26" s="290"/>
      <c r="AW26" s="290"/>
      <c r="AX26" s="290"/>
      <c r="AY26" s="290"/>
      <c r="AZ26" s="290"/>
      <c r="BA26" s="290"/>
      <c r="BB26" s="290"/>
      <c r="BC26" s="1188"/>
      <c r="BD26" s="1188"/>
      <c r="BE26" s="1188"/>
      <c r="BF26" s="1188"/>
      <c r="BG26" s="1188"/>
      <c r="BH26" s="1188"/>
      <c r="BI26" s="1188"/>
      <c r="BJ26" s="1188"/>
      <c r="BK26" s="1188"/>
      <c r="BL26" s="1188"/>
      <c r="BM26" s="1188"/>
      <c r="BN26" s="1188"/>
      <c r="BO26" s="1188"/>
      <c r="BP26" s="1188"/>
      <c r="BQ26" s="1188"/>
      <c r="BR26" s="1452"/>
      <c r="BS26" s="1452"/>
      <c r="BT26" s="1452"/>
      <c r="BU26" s="1460"/>
      <c r="BV26" s="1460"/>
      <c r="BW26" s="1460"/>
      <c r="BX26" s="1460"/>
      <c r="CA26" s="1457"/>
      <c r="CB26" s="1457"/>
      <c r="CC26" s="1457"/>
      <c r="CD26" s="1457"/>
      <c r="CE26" s="1457"/>
      <c r="CF26" s="1457"/>
      <c r="CG26" s="1458"/>
      <c r="CH26" s="1454"/>
      <c r="CI26" s="1454"/>
      <c r="CJ26" s="1454"/>
      <c r="CK26" s="1454"/>
      <c r="CL26" s="1454"/>
      <c r="CM26" s="1454"/>
      <c r="CN26" s="1454"/>
      <c r="CO26" s="1454"/>
      <c r="CP26" s="1454"/>
      <c r="CQ26" s="1454"/>
      <c r="CR26" s="1454"/>
      <c r="CS26" s="1454"/>
      <c r="CT26" s="1454"/>
      <c r="CU26" s="290"/>
      <c r="CV26" s="290"/>
      <c r="CW26" s="290"/>
      <c r="CX26" s="290"/>
      <c r="CY26" s="290"/>
      <c r="CZ26" s="290"/>
    </row>
    <row r="27" spans="1:104" ht="32.1" customHeight="1" x14ac:dyDescent="0.25">
      <c r="A27" s="9296"/>
      <c r="B27" s="8460"/>
      <c r="C27" s="10457"/>
      <c r="D27" s="10396"/>
      <c r="E27" s="8466"/>
      <c r="F27" s="8193" t="s">
        <v>1414</v>
      </c>
      <c r="G27" s="8195"/>
      <c r="H27" s="8193" t="s">
        <v>1413</v>
      </c>
      <c r="I27" s="8195"/>
      <c r="J27" s="8193" t="s">
        <v>77</v>
      </c>
      <c r="K27" s="8195"/>
      <c r="L27" s="8193" t="s">
        <v>68</v>
      </c>
      <c r="M27" s="8195"/>
      <c r="N27" s="8193" t="s">
        <v>142</v>
      </c>
      <c r="O27" s="8195"/>
      <c r="P27" s="8193" t="s">
        <v>143</v>
      </c>
      <c r="Q27" s="8195"/>
      <c r="R27" s="8193" t="s">
        <v>144</v>
      </c>
      <c r="S27" s="8195"/>
      <c r="T27" s="8193" t="s">
        <v>7</v>
      </c>
      <c r="U27" s="8195"/>
      <c r="V27" s="8193" t="s">
        <v>8</v>
      </c>
      <c r="W27" s="8195"/>
      <c r="X27" s="8193" t="s">
        <v>145</v>
      </c>
      <c r="Y27" s="8195"/>
      <c r="Z27" s="8193" t="s">
        <v>10</v>
      </c>
      <c r="AA27" s="8195"/>
      <c r="AB27" s="8193" t="s">
        <v>11</v>
      </c>
      <c r="AC27" s="8195"/>
      <c r="AD27" s="8193" t="s">
        <v>12</v>
      </c>
      <c r="AE27" s="8195"/>
      <c r="AF27" s="8193" t="s">
        <v>13</v>
      </c>
      <c r="AG27" s="8195"/>
      <c r="AH27" s="8193" t="s">
        <v>14</v>
      </c>
      <c r="AI27" s="8195"/>
      <c r="AJ27" s="8193" t="s">
        <v>15</v>
      </c>
      <c r="AK27" s="8195"/>
      <c r="AL27" s="8571" t="s">
        <v>16</v>
      </c>
      <c r="AM27" s="10394"/>
      <c r="AN27" s="8470" t="s">
        <v>3978</v>
      </c>
      <c r="AO27" s="10421" t="s">
        <v>146</v>
      </c>
      <c r="AP27" s="10436" t="s">
        <v>147</v>
      </c>
      <c r="AQ27" s="10438" t="s">
        <v>148</v>
      </c>
      <c r="AR27" s="290"/>
      <c r="AS27" s="290"/>
      <c r="AT27" s="290"/>
      <c r="AU27" s="290"/>
      <c r="AV27" s="290"/>
      <c r="AW27" s="290"/>
      <c r="AX27" s="290"/>
      <c r="AY27" s="290"/>
      <c r="AZ27" s="290"/>
      <c r="BA27" s="290"/>
      <c r="BB27" s="290"/>
      <c r="BC27" s="1188"/>
      <c r="BD27" s="1188"/>
      <c r="BE27" s="1188"/>
      <c r="BF27" s="1188"/>
      <c r="BG27" s="1188"/>
      <c r="BH27" s="1188"/>
      <c r="BI27" s="1188"/>
      <c r="BJ27" s="1188"/>
      <c r="BK27" s="1188"/>
      <c r="BL27" s="1188"/>
      <c r="BM27" s="1188"/>
      <c r="BN27" s="1188"/>
      <c r="BO27" s="1188"/>
      <c r="BP27" s="1188"/>
      <c r="BQ27" s="1188"/>
      <c r="BR27" s="1452"/>
      <c r="BS27" s="1452"/>
      <c r="BT27" s="1452"/>
      <c r="BU27" s="1460"/>
      <c r="BV27" s="1460"/>
      <c r="BW27" s="1460"/>
      <c r="BX27" s="1460"/>
      <c r="CG27" s="1454"/>
      <c r="CH27" s="1454"/>
      <c r="CI27" s="1454"/>
      <c r="CJ27" s="1454"/>
      <c r="CK27" s="1454"/>
      <c r="CL27" s="1454"/>
      <c r="CM27" s="1454"/>
      <c r="CN27" s="1454"/>
      <c r="CO27" s="1454"/>
      <c r="CP27" s="1454"/>
      <c r="CQ27" s="1454"/>
      <c r="CR27" s="1454"/>
      <c r="CS27" s="1454"/>
      <c r="CT27" s="1454"/>
      <c r="CU27" s="290"/>
      <c r="CV27" s="290"/>
      <c r="CW27" s="290"/>
      <c r="CX27" s="290"/>
      <c r="CY27" s="290"/>
      <c r="CZ27" s="290"/>
    </row>
    <row r="28" spans="1:104" ht="15" x14ac:dyDescent="0.25">
      <c r="A28" s="10404"/>
      <c r="B28" s="8550"/>
      <c r="C28" s="3332" t="s">
        <v>42</v>
      </c>
      <c r="D28" s="3332" t="s">
        <v>17</v>
      </c>
      <c r="E28" s="3332" t="s">
        <v>18</v>
      </c>
      <c r="F28" s="3269" t="s">
        <v>17</v>
      </c>
      <c r="G28" s="7670" t="s">
        <v>18</v>
      </c>
      <c r="H28" s="3269" t="s">
        <v>17</v>
      </c>
      <c r="I28" s="7670" t="s">
        <v>18</v>
      </c>
      <c r="J28" s="3269" t="s">
        <v>17</v>
      </c>
      <c r="K28" s="7670" t="s">
        <v>18</v>
      </c>
      <c r="L28" s="3269" t="s">
        <v>17</v>
      </c>
      <c r="M28" s="7670" t="s">
        <v>18</v>
      </c>
      <c r="N28" s="7733" t="s">
        <v>17</v>
      </c>
      <c r="O28" s="7670" t="s">
        <v>18</v>
      </c>
      <c r="P28" s="3269" t="s">
        <v>17</v>
      </c>
      <c r="Q28" s="7670" t="s">
        <v>18</v>
      </c>
      <c r="R28" s="3269" t="s">
        <v>17</v>
      </c>
      <c r="S28" s="7670" t="s">
        <v>18</v>
      </c>
      <c r="T28" s="3269" t="s">
        <v>17</v>
      </c>
      <c r="U28" s="7670" t="s">
        <v>18</v>
      </c>
      <c r="V28" s="3269" t="s">
        <v>17</v>
      </c>
      <c r="W28" s="7670" t="s">
        <v>18</v>
      </c>
      <c r="X28" s="3269" t="s">
        <v>17</v>
      </c>
      <c r="Y28" s="7670" t="s">
        <v>18</v>
      </c>
      <c r="Z28" s="3269" t="s">
        <v>17</v>
      </c>
      <c r="AA28" s="7670" t="s">
        <v>18</v>
      </c>
      <c r="AB28" s="3269" t="s">
        <v>17</v>
      </c>
      <c r="AC28" s="7670" t="s">
        <v>18</v>
      </c>
      <c r="AD28" s="3269" t="s">
        <v>17</v>
      </c>
      <c r="AE28" s="7670" t="s">
        <v>18</v>
      </c>
      <c r="AF28" s="3269" t="s">
        <v>17</v>
      </c>
      <c r="AG28" s="7670" t="s">
        <v>18</v>
      </c>
      <c r="AH28" s="3269" t="s">
        <v>17</v>
      </c>
      <c r="AI28" s="7670" t="s">
        <v>18</v>
      </c>
      <c r="AJ28" s="3269" t="s">
        <v>17</v>
      </c>
      <c r="AK28" s="7670" t="s">
        <v>18</v>
      </c>
      <c r="AL28" s="3269" t="s">
        <v>17</v>
      </c>
      <c r="AM28" s="7669" t="s">
        <v>18</v>
      </c>
      <c r="AN28" s="10435"/>
      <c r="AO28" s="10422"/>
      <c r="AP28" s="10437"/>
      <c r="AQ28" s="10439"/>
      <c r="AR28" s="290"/>
      <c r="AS28" s="290"/>
      <c r="AT28" s="290"/>
      <c r="AU28" s="290"/>
      <c r="AV28" s="290"/>
      <c r="AW28" s="290"/>
      <c r="AX28" s="290"/>
      <c r="AY28" s="290"/>
      <c r="AZ28" s="290"/>
      <c r="BA28" s="290"/>
      <c r="BB28" s="290"/>
      <c r="BC28" s="1188"/>
      <c r="BD28" s="1188"/>
      <c r="BE28" s="1188"/>
      <c r="BF28" s="1188"/>
      <c r="BG28" s="1188"/>
      <c r="BH28" s="1188"/>
      <c r="BI28" s="1188"/>
      <c r="BJ28" s="1188"/>
      <c r="BK28" s="1188"/>
      <c r="BL28" s="1188"/>
      <c r="BM28" s="1188"/>
      <c r="BN28" s="1188"/>
      <c r="BO28" s="1188"/>
      <c r="BP28" s="1188"/>
      <c r="BQ28" s="1188"/>
      <c r="BR28" s="1452"/>
      <c r="BS28" s="1452"/>
      <c r="BT28" s="1452"/>
      <c r="BU28" s="1460"/>
      <c r="BV28" s="1460"/>
      <c r="BW28" s="1460"/>
      <c r="BX28" s="1460"/>
      <c r="CG28" s="1454"/>
      <c r="CH28" s="1454"/>
      <c r="CI28" s="1454"/>
      <c r="CJ28" s="1454"/>
      <c r="CK28" s="1454"/>
      <c r="CL28" s="1454"/>
      <c r="CM28" s="1454"/>
      <c r="CN28" s="1454"/>
      <c r="CO28" s="1454"/>
      <c r="CP28" s="1454"/>
      <c r="CQ28" s="1454"/>
      <c r="CR28" s="1454"/>
      <c r="CS28" s="1454"/>
      <c r="CT28" s="1454"/>
      <c r="CU28" s="290"/>
      <c r="CV28" s="290"/>
      <c r="CW28" s="290"/>
      <c r="CX28" s="290"/>
      <c r="CY28" s="290"/>
      <c r="CZ28" s="290"/>
    </row>
    <row r="29" spans="1:104" ht="14.1" customHeight="1" x14ac:dyDescent="0.25">
      <c r="A29" s="8571" t="s">
        <v>157</v>
      </c>
      <c r="B29" s="8572"/>
      <c r="C29" s="7734">
        <f>SUM(D29:E29)</f>
        <v>0</v>
      </c>
      <c r="D29" s="7735">
        <f>+F29+H29+J29+L29+N29+P29+R29+T29+V29+X29+Z29+AB29+AD29+AF29+AH29+AJ29+AL29</f>
        <v>0</v>
      </c>
      <c r="E29" s="7735">
        <f>+G29+I29+K29+M29+O29+Q29+S29+U29+W29+Y29+AA29+AC29+AE29+AG29+AI29+AK29+AM29</f>
        <v>0</v>
      </c>
      <c r="F29" s="7736"/>
      <c r="G29" s="7737"/>
      <c r="H29" s="7736"/>
      <c r="I29" s="7738"/>
      <c r="J29" s="7736"/>
      <c r="K29" s="7738"/>
      <c r="L29" s="7736"/>
      <c r="M29" s="7737"/>
      <c r="N29" s="7739"/>
      <c r="O29" s="7738"/>
      <c r="P29" s="7739"/>
      <c r="Q29" s="7738"/>
      <c r="R29" s="7739"/>
      <c r="S29" s="7738"/>
      <c r="T29" s="7739"/>
      <c r="U29" s="7738"/>
      <c r="V29" s="7739"/>
      <c r="W29" s="7738"/>
      <c r="X29" s="7739"/>
      <c r="Y29" s="7738"/>
      <c r="Z29" s="7739"/>
      <c r="AA29" s="7738"/>
      <c r="AB29" s="7739"/>
      <c r="AC29" s="7738"/>
      <c r="AD29" s="7739"/>
      <c r="AE29" s="7738"/>
      <c r="AF29" s="7739"/>
      <c r="AG29" s="7738"/>
      <c r="AH29" s="7739"/>
      <c r="AI29" s="7738"/>
      <c r="AJ29" s="7739"/>
      <c r="AK29" s="7738"/>
      <c r="AL29" s="7739"/>
      <c r="AM29" s="7740"/>
      <c r="AN29" s="7741"/>
      <c r="AO29" s="7739"/>
      <c r="AP29" s="7739"/>
      <c r="AQ29" s="7738"/>
      <c r="AR29" s="7742" t="str">
        <f>CA29&amp;CB29&amp;CC29&amp;CD29</f>
        <v/>
      </c>
      <c r="AS29" s="1456"/>
      <c r="AT29" s="1456"/>
      <c r="AU29" s="1456"/>
      <c r="AV29" s="1456"/>
      <c r="AW29" s="1456"/>
      <c r="AX29" s="1456"/>
      <c r="AY29" s="1456"/>
      <c r="AZ29" s="1456"/>
      <c r="BA29" s="290"/>
      <c r="BB29" s="290"/>
      <c r="BC29" s="1188"/>
      <c r="BD29" s="1188"/>
      <c r="BE29" s="1188"/>
      <c r="BF29" s="1188"/>
      <c r="BG29" s="1188"/>
      <c r="BH29" s="1188"/>
      <c r="BI29" s="1188"/>
      <c r="BJ29" s="1188"/>
      <c r="BK29" s="1188"/>
      <c r="BL29" s="1188"/>
      <c r="BM29" s="1188"/>
      <c r="BN29" s="1188"/>
      <c r="BO29" s="1188"/>
      <c r="BP29" s="1188"/>
      <c r="BQ29" s="1188"/>
      <c r="BR29" s="1452"/>
      <c r="BS29" s="1452"/>
      <c r="BT29" s="1452"/>
      <c r="BY29" s="290"/>
      <c r="BZ29" s="290"/>
      <c r="CA29" s="1457" t="str">
        <f>IF(CG29=1,"* Existen patologías que son mayores al Total de Ingresos-Persona. ","")</f>
        <v/>
      </c>
      <c r="CB29" s="1457" t="str">
        <f>IF(CH29=1,"* EN Rehabilitación Infantil Existen Patologías que son Mayores a los Ingresos-Personas. ","")</f>
        <v/>
      </c>
      <c r="CC29" s="1457" t="str">
        <f>IF(CI29=1,"* En RBC existen Patologías que son mayores a los Ingresos-Personas. ","")</f>
        <v/>
      </c>
      <c r="CD29" s="1457" t="str">
        <f>IF(CJ29=1,"* En RI Existen Patologías que son mayores a los Ingresos-Personas. ","")</f>
        <v/>
      </c>
      <c r="CE29" s="1457" t="str">
        <f>IF(CK29=1,"* En RR existen patologías que son mayores a los Ingresos-Persona. ","")</f>
        <v/>
      </c>
      <c r="CF29" s="1457"/>
      <c r="CG29" s="1458">
        <f>IF(C29&lt;MAX(C30:C48),1,0)</f>
        <v>0</v>
      </c>
      <c r="CH29" s="1458">
        <f>IF(AN29&lt;MAX(AN30:AN48),1,0)</f>
        <v>0</v>
      </c>
      <c r="CI29" s="1458">
        <f>IF(AO29&lt;MAX(AO30:AO48),1,0)</f>
        <v>0</v>
      </c>
      <c r="CJ29" s="1458">
        <f>IF(AP29&lt;MAX(AP30:AP48),1,0)</f>
        <v>0</v>
      </c>
      <c r="CK29" s="1458">
        <f>IF(AQ29&lt;MAX(AQ30:AQ48),1,0)</f>
        <v>0</v>
      </c>
      <c r="CL29" s="1458"/>
      <c r="CM29" s="1454"/>
      <c r="CN29" s="1454"/>
      <c r="CO29" s="1454"/>
      <c r="CP29" s="1454"/>
      <c r="CQ29" s="1454"/>
      <c r="CR29" s="1454"/>
      <c r="CS29" s="1454"/>
      <c r="CT29" s="1454"/>
      <c r="CU29" s="290"/>
      <c r="CV29" s="290"/>
      <c r="CW29" s="290"/>
      <c r="CX29" s="290"/>
      <c r="CY29" s="290"/>
      <c r="CZ29" s="290"/>
    </row>
    <row r="30" spans="1:104" ht="14.1" customHeight="1" x14ac:dyDescent="0.25">
      <c r="A30" s="8524" t="s">
        <v>300</v>
      </c>
      <c r="B30" s="7743" t="s">
        <v>2806</v>
      </c>
      <c r="C30" s="7744">
        <f>SUM(D30:E30)</f>
        <v>0</v>
      </c>
      <c r="D30" s="7745">
        <f t="shared" ref="D30:E50" si="13">+F30+H30+J30+L30+N30+P30+R30+T30+V30+X30+Z30+AB30+AD30+AF30+AH30+AJ30+AL30</f>
        <v>0</v>
      </c>
      <c r="E30" s="7745">
        <f t="shared" si="13"/>
        <v>0</v>
      </c>
      <c r="F30" s="7746"/>
      <c r="G30" s="7747"/>
      <c r="H30" s="7746"/>
      <c r="I30" s="7748"/>
      <c r="J30" s="7746"/>
      <c r="K30" s="7748"/>
      <c r="L30" s="7746"/>
      <c r="M30" s="7747"/>
      <c r="N30" s="7749"/>
      <c r="O30" s="7748"/>
      <c r="P30" s="7749"/>
      <c r="Q30" s="7748"/>
      <c r="R30" s="7749"/>
      <c r="S30" s="7748"/>
      <c r="T30" s="7749"/>
      <c r="U30" s="7748"/>
      <c r="V30" s="7749"/>
      <c r="W30" s="7748"/>
      <c r="X30" s="7749"/>
      <c r="Y30" s="7748"/>
      <c r="Z30" s="7749"/>
      <c r="AA30" s="7748"/>
      <c r="AB30" s="7749"/>
      <c r="AC30" s="7748"/>
      <c r="AD30" s="7749"/>
      <c r="AE30" s="7748"/>
      <c r="AF30" s="7749"/>
      <c r="AG30" s="7748"/>
      <c r="AH30" s="7749"/>
      <c r="AI30" s="7748"/>
      <c r="AJ30" s="7749"/>
      <c r="AK30" s="7748"/>
      <c r="AL30" s="7749"/>
      <c r="AM30" s="7750"/>
      <c r="AN30" s="7751"/>
      <c r="AO30" s="7749"/>
      <c r="AP30" s="7749"/>
      <c r="AQ30" s="7748"/>
      <c r="AR30" s="7742" t="str">
        <f t="shared" ref="AR30:AR50" si="14">CA30&amp;CB30&amp;CC30&amp;CD30</f>
        <v/>
      </c>
      <c r="AS30" s="1456"/>
      <c r="AT30" s="1456"/>
      <c r="AU30" s="1456"/>
      <c r="AV30" s="1456"/>
      <c r="AW30" s="1456"/>
      <c r="AX30" s="1456"/>
      <c r="AY30" s="1456"/>
      <c r="AZ30" s="1456"/>
      <c r="BA30" s="290"/>
      <c r="BB30" s="290"/>
      <c r="BC30" s="1188"/>
      <c r="BD30" s="1188"/>
      <c r="BE30" s="1188"/>
      <c r="BF30" s="1188"/>
      <c r="BG30" s="1188"/>
      <c r="BH30" s="1188"/>
      <c r="BI30" s="1188"/>
      <c r="BJ30" s="1188"/>
      <c r="BK30" s="1188"/>
      <c r="BL30" s="1188"/>
      <c r="BM30" s="1188"/>
      <c r="BN30" s="1188"/>
      <c r="BO30" s="1188"/>
      <c r="BP30" s="1188"/>
      <c r="BQ30" s="1188"/>
      <c r="BR30" s="1452"/>
      <c r="BS30" s="1452"/>
      <c r="BT30" s="1452"/>
      <c r="BV30" s="1460"/>
      <c r="BW30" s="1460"/>
      <c r="BX30" s="1460"/>
      <c r="CA30" s="1457" t="str">
        <f>IF(CG30=1," * El total de Ingresos debe ser igual a la suma de los Tipos de Estrategia. ","")</f>
        <v/>
      </c>
      <c r="CG30" s="1458">
        <f>IF(SUM(AN30:AQ30)=C30,0,1)</f>
        <v>0</v>
      </c>
      <c r="CH30" s="1454"/>
      <c r="CI30" s="1454"/>
      <c r="CJ30" s="1454"/>
      <c r="CK30" s="1454"/>
      <c r="CL30" s="1454"/>
      <c r="CM30" s="1454"/>
      <c r="CN30" s="1454"/>
      <c r="CO30" s="1454"/>
      <c r="CP30" s="1454"/>
      <c r="CQ30" s="1454"/>
      <c r="CR30" s="1454"/>
      <c r="CS30" s="1454"/>
      <c r="CT30" s="1454"/>
      <c r="CU30" s="290"/>
      <c r="CV30" s="290"/>
      <c r="CW30" s="290"/>
      <c r="CX30" s="290"/>
      <c r="CY30" s="290"/>
      <c r="CZ30" s="290"/>
    </row>
    <row r="31" spans="1:104" ht="14.1" customHeight="1" x14ac:dyDescent="0.25">
      <c r="A31" s="8462"/>
      <c r="B31" s="7743" t="s">
        <v>2807</v>
      </c>
      <c r="C31" s="7752">
        <f t="shared" ref="C31:C48" si="15">SUM(D31:E31)</f>
        <v>0</v>
      </c>
      <c r="D31" s="7753">
        <f t="shared" si="13"/>
        <v>0</v>
      </c>
      <c r="E31" s="7753">
        <f t="shared" si="13"/>
        <v>0</v>
      </c>
      <c r="F31" s="7754"/>
      <c r="G31" s="7755"/>
      <c r="H31" s="7754"/>
      <c r="I31" s="7756"/>
      <c r="J31" s="7754"/>
      <c r="K31" s="7756"/>
      <c r="L31" s="7754"/>
      <c r="M31" s="7755"/>
      <c r="N31" s="7757"/>
      <c r="O31" s="7756"/>
      <c r="P31" s="7757"/>
      <c r="Q31" s="7756"/>
      <c r="R31" s="7757"/>
      <c r="S31" s="7756"/>
      <c r="T31" s="7757"/>
      <c r="U31" s="7756"/>
      <c r="V31" s="7757"/>
      <c r="W31" s="7756"/>
      <c r="X31" s="7757"/>
      <c r="Y31" s="7756"/>
      <c r="Z31" s="7757"/>
      <c r="AA31" s="7756"/>
      <c r="AB31" s="7757"/>
      <c r="AC31" s="7756"/>
      <c r="AD31" s="7757"/>
      <c r="AE31" s="7756"/>
      <c r="AF31" s="7757"/>
      <c r="AG31" s="7756"/>
      <c r="AH31" s="7757"/>
      <c r="AI31" s="7756"/>
      <c r="AJ31" s="7757"/>
      <c r="AK31" s="7756"/>
      <c r="AL31" s="7757"/>
      <c r="AM31" s="7758"/>
      <c r="AN31" s="7759"/>
      <c r="AO31" s="7757"/>
      <c r="AP31" s="7757"/>
      <c r="AQ31" s="7756"/>
      <c r="AR31" s="7742" t="str">
        <f t="shared" si="14"/>
        <v/>
      </c>
      <c r="AS31" s="1456"/>
      <c r="AT31" s="1456"/>
      <c r="AU31" s="1456"/>
      <c r="AV31" s="1456"/>
      <c r="AW31" s="1456"/>
      <c r="AX31" s="1456"/>
      <c r="AY31" s="1456"/>
      <c r="AZ31" s="1456"/>
      <c r="BA31" s="290"/>
      <c r="BB31" s="290"/>
      <c r="BC31" s="1188"/>
      <c r="BD31" s="1188"/>
      <c r="BE31" s="1188"/>
      <c r="BF31" s="1188"/>
      <c r="BG31" s="1188"/>
      <c r="BH31" s="1188"/>
      <c r="BI31" s="1188"/>
      <c r="BJ31" s="1188"/>
      <c r="BK31" s="1188"/>
      <c r="BL31" s="1188"/>
      <c r="BM31" s="1188"/>
      <c r="BN31" s="1188"/>
      <c r="BO31" s="1188"/>
      <c r="BP31" s="1188"/>
      <c r="BQ31" s="1188"/>
      <c r="BR31" s="1452"/>
      <c r="BS31" s="1452"/>
      <c r="BT31" s="1452"/>
      <c r="BV31" s="1460"/>
      <c r="BW31" s="1460"/>
      <c r="BX31" s="1460"/>
      <c r="CA31" s="1457" t="str">
        <f t="shared" ref="CA31:CA52" si="16">IF(CG31=1," * El total de Ingresos debe ser igual a la suma de los Tipos de Estrategia. ","")</f>
        <v/>
      </c>
      <c r="CG31" s="1458">
        <f t="shared" ref="CG31:CG50" si="17">IF(SUM(AN31:AQ31)=C31,0,1)</f>
        <v>0</v>
      </c>
      <c r="CH31" s="1454"/>
      <c r="CI31" s="1454"/>
      <c r="CJ31" s="1454"/>
      <c r="CK31" s="1454"/>
      <c r="CL31" s="1458"/>
      <c r="CM31" s="1458"/>
      <c r="CN31" s="1458"/>
      <c r="CO31" s="1458"/>
      <c r="CP31" s="1458"/>
      <c r="CQ31" s="1458"/>
      <c r="CR31" s="1458"/>
      <c r="CS31" s="1458"/>
      <c r="CT31" s="1458"/>
      <c r="CU31" s="290"/>
      <c r="CV31" s="290"/>
      <c r="CW31" s="290"/>
      <c r="CX31" s="290"/>
      <c r="CY31" s="290"/>
      <c r="CZ31" s="290"/>
    </row>
    <row r="32" spans="1:104" ht="14.1" customHeight="1" x14ac:dyDescent="0.25">
      <c r="A32" s="8462"/>
      <c r="B32" s="7672" t="s">
        <v>2808</v>
      </c>
      <c r="C32" s="7760">
        <f t="shared" si="15"/>
        <v>0</v>
      </c>
      <c r="D32" s="7753">
        <f t="shared" si="13"/>
        <v>0</v>
      </c>
      <c r="E32" s="7753">
        <f t="shared" si="13"/>
        <v>0</v>
      </c>
      <c r="F32" s="7754"/>
      <c r="G32" s="7755"/>
      <c r="H32" s="7754"/>
      <c r="I32" s="7756"/>
      <c r="J32" s="7754"/>
      <c r="K32" s="7756"/>
      <c r="L32" s="7754"/>
      <c r="M32" s="7755"/>
      <c r="N32" s="7757"/>
      <c r="O32" s="7756"/>
      <c r="P32" s="7757"/>
      <c r="Q32" s="7756"/>
      <c r="R32" s="7757"/>
      <c r="S32" s="7756"/>
      <c r="T32" s="7757"/>
      <c r="U32" s="7756"/>
      <c r="V32" s="7757"/>
      <c r="W32" s="7756"/>
      <c r="X32" s="7757"/>
      <c r="Y32" s="7756"/>
      <c r="Z32" s="7757"/>
      <c r="AA32" s="7756"/>
      <c r="AB32" s="7757"/>
      <c r="AC32" s="7756"/>
      <c r="AD32" s="7757"/>
      <c r="AE32" s="7756"/>
      <c r="AF32" s="7757"/>
      <c r="AG32" s="7756"/>
      <c r="AH32" s="7757"/>
      <c r="AI32" s="7756"/>
      <c r="AJ32" s="7757"/>
      <c r="AK32" s="7756"/>
      <c r="AL32" s="7757"/>
      <c r="AM32" s="7758"/>
      <c r="AN32" s="7759"/>
      <c r="AO32" s="7757"/>
      <c r="AP32" s="7757"/>
      <c r="AQ32" s="7756"/>
      <c r="AR32" s="7742" t="str">
        <f t="shared" si="14"/>
        <v/>
      </c>
      <c r="AS32" s="1456"/>
      <c r="AT32" s="1456"/>
      <c r="AU32" s="1456"/>
      <c r="AV32" s="1456"/>
      <c r="AW32" s="1456"/>
      <c r="AX32" s="1456"/>
      <c r="AY32" s="1456"/>
      <c r="AZ32" s="1456"/>
      <c r="BA32" s="290"/>
      <c r="BB32" s="290"/>
      <c r="BC32" s="1188"/>
      <c r="BD32" s="1188"/>
      <c r="BE32" s="1188"/>
      <c r="BF32" s="1188"/>
      <c r="BG32" s="1188"/>
      <c r="BH32" s="1188"/>
      <c r="BI32" s="1188"/>
      <c r="BJ32" s="1188"/>
      <c r="BK32" s="1188"/>
      <c r="BL32" s="1188"/>
      <c r="BM32" s="1188"/>
      <c r="BN32" s="1188"/>
      <c r="BO32" s="1188"/>
      <c r="BP32" s="1188"/>
      <c r="BQ32" s="1188"/>
      <c r="BR32" s="1452"/>
      <c r="BS32" s="1452"/>
      <c r="BT32" s="1452"/>
      <c r="BV32" s="1460"/>
      <c r="BW32" s="1460"/>
      <c r="BX32" s="1460"/>
      <c r="CA32" s="1457" t="str">
        <f t="shared" si="16"/>
        <v/>
      </c>
      <c r="CG32" s="1458">
        <f t="shared" si="17"/>
        <v>0</v>
      </c>
      <c r="CH32" s="1454"/>
      <c r="CI32" s="1454"/>
      <c r="CJ32" s="1454"/>
      <c r="CK32" s="1454"/>
      <c r="CL32" s="1454"/>
      <c r="CM32" s="1454"/>
      <c r="CN32" s="1454"/>
      <c r="CO32" s="1454"/>
      <c r="CP32" s="1454"/>
      <c r="CQ32" s="1454"/>
      <c r="CR32" s="1454"/>
      <c r="CS32" s="1454"/>
      <c r="CT32" s="1454"/>
      <c r="CU32" s="290"/>
      <c r="CV32" s="290"/>
      <c r="CW32" s="290"/>
      <c r="CX32" s="290"/>
      <c r="CY32" s="290"/>
      <c r="CZ32" s="290"/>
    </row>
    <row r="33" spans="1:104" ht="14.1" customHeight="1" x14ac:dyDescent="0.2">
      <c r="A33" s="8462"/>
      <c r="B33" s="7672" t="s">
        <v>2809</v>
      </c>
      <c r="C33" s="7760">
        <f t="shared" si="15"/>
        <v>0</v>
      </c>
      <c r="D33" s="7753">
        <f t="shared" si="13"/>
        <v>0</v>
      </c>
      <c r="E33" s="7753">
        <f t="shared" si="13"/>
        <v>0</v>
      </c>
      <c r="F33" s="7754"/>
      <c r="G33" s="7755"/>
      <c r="H33" s="7754"/>
      <c r="I33" s="7756"/>
      <c r="J33" s="7754"/>
      <c r="K33" s="7756"/>
      <c r="L33" s="7754"/>
      <c r="M33" s="7755"/>
      <c r="N33" s="7757"/>
      <c r="O33" s="7756"/>
      <c r="P33" s="7757"/>
      <c r="Q33" s="7756"/>
      <c r="R33" s="7757"/>
      <c r="S33" s="7756"/>
      <c r="T33" s="7757"/>
      <c r="U33" s="7756"/>
      <c r="V33" s="7757"/>
      <c r="W33" s="7756"/>
      <c r="X33" s="7757"/>
      <c r="Y33" s="7756"/>
      <c r="Z33" s="7757"/>
      <c r="AA33" s="7756"/>
      <c r="AB33" s="7757"/>
      <c r="AC33" s="7756"/>
      <c r="AD33" s="7757"/>
      <c r="AE33" s="7756"/>
      <c r="AF33" s="7757"/>
      <c r="AG33" s="7756"/>
      <c r="AH33" s="7757"/>
      <c r="AI33" s="7756"/>
      <c r="AJ33" s="7757"/>
      <c r="AK33" s="7756"/>
      <c r="AL33" s="7757"/>
      <c r="AM33" s="7758"/>
      <c r="AN33" s="7759"/>
      <c r="AO33" s="7757"/>
      <c r="AP33" s="7757"/>
      <c r="AQ33" s="7756"/>
      <c r="AR33" s="7742" t="str">
        <f t="shared" si="14"/>
        <v/>
      </c>
      <c r="AS33" s="290"/>
      <c r="AT33" s="290"/>
      <c r="AU33" s="290"/>
      <c r="AV33" s="290"/>
      <c r="AW33" s="290"/>
      <c r="AX33" s="290"/>
      <c r="AY33" s="290"/>
      <c r="AZ33" s="290"/>
      <c r="BA33" s="290"/>
      <c r="BB33" s="290"/>
      <c r="BR33" s="1452"/>
      <c r="BS33" s="1452"/>
      <c r="BT33" s="1452"/>
      <c r="BV33" s="1460"/>
      <c r="BW33" s="1460"/>
      <c r="BX33" s="1460"/>
      <c r="CA33" s="1457" t="str">
        <f t="shared" si="16"/>
        <v/>
      </c>
      <c r="CG33" s="1458">
        <f t="shared" si="17"/>
        <v>0</v>
      </c>
      <c r="CH33" s="1454"/>
      <c r="CI33" s="1454"/>
      <c r="CJ33" s="1454"/>
      <c r="CK33" s="1454"/>
      <c r="CL33" s="1454"/>
      <c r="CM33" s="1454"/>
      <c r="CN33" s="1454"/>
      <c r="CO33" s="1454"/>
      <c r="CP33" s="1454"/>
      <c r="CQ33" s="1454"/>
      <c r="CR33" s="1454"/>
      <c r="CS33" s="1454"/>
      <c r="CT33" s="1454"/>
      <c r="CU33" s="290"/>
      <c r="CV33" s="290"/>
      <c r="CW33" s="290"/>
      <c r="CX33" s="290"/>
      <c r="CY33" s="290"/>
      <c r="CZ33" s="290"/>
    </row>
    <row r="34" spans="1:104" ht="14.1" customHeight="1" x14ac:dyDescent="0.2">
      <c r="A34" s="8462"/>
      <c r="B34" s="7672" t="s">
        <v>2810</v>
      </c>
      <c r="C34" s="7760">
        <f t="shared" si="15"/>
        <v>0</v>
      </c>
      <c r="D34" s="7753">
        <f t="shared" si="13"/>
        <v>0</v>
      </c>
      <c r="E34" s="7753">
        <f t="shared" si="13"/>
        <v>0</v>
      </c>
      <c r="F34" s="7754"/>
      <c r="G34" s="7755"/>
      <c r="H34" s="7754"/>
      <c r="I34" s="7756"/>
      <c r="J34" s="7754"/>
      <c r="K34" s="7756"/>
      <c r="L34" s="7754"/>
      <c r="M34" s="7755"/>
      <c r="N34" s="7757"/>
      <c r="O34" s="7756"/>
      <c r="P34" s="7757"/>
      <c r="Q34" s="7756"/>
      <c r="R34" s="7757"/>
      <c r="S34" s="7756"/>
      <c r="T34" s="7757"/>
      <c r="U34" s="7756"/>
      <c r="V34" s="7757"/>
      <c r="W34" s="7756"/>
      <c r="X34" s="7757"/>
      <c r="Y34" s="7756"/>
      <c r="Z34" s="7757"/>
      <c r="AA34" s="7756"/>
      <c r="AB34" s="7757"/>
      <c r="AC34" s="7756"/>
      <c r="AD34" s="7757"/>
      <c r="AE34" s="7756"/>
      <c r="AF34" s="7757"/>
      <c r="AG34" s="7756"/>
      <c r="AH34" s="7757"/>
      <c r="AI34" s="7756"/>
      <c r="AJ34" s="7757"/>
      <c r="AK34" s="7756"/>
      <c r="AL34" s="7757"/>
      <c r="AM34" s="7758"/>
      <c r="AN34" s="7759"/>
      <c r="AO34" s="7757"/>
      <c r="AP34" s="7757"/>
      <c r="AQ34" s="7756"/>
      <c r="AR34" s="7742" t="str">
        <f t="shared" si="14"/>
        <v/>
      </c>
      <c r="AS34" s="290"/>
      <c r="AT34" s="290"/>
      <c r="AU34" s="290"/>
      <c r="AV34" s="290"/>
      <c r="AW34" s="290"/>
      <c r="AX34" s="290"/>
      <c r="AY34" s="290"/>
      <c r="AZ34" s="290"/>
      <c r="BA34" s="290"/>
      <c r="BB34" s="290"/>
      <c r="BC34" s="290"/>
      <c r="BS34" s="1452"/>
      <c r="BT34" s="1452"/>
      <c r="BV34" s="1460"/>
      <c r="BW34" s="1460"/>
      <c r="BX34" s="1460"/>
      <c r="CA34" s="1457" t="str">
        <f t="shared" si="16"/>
        <v/>
      </c>
      <c r="CG34" s="1458">
        <f t="shared" si="17"/>
        <v>0</v>
      </c>
      <c r="CH34" s="1454"/>
      <c r="CI34" s="1454"/>
      <c r="CJ34" s="1454"/>
      <c r="CK34" s="1454"/>
      <c r="CL34" s="1454"/>
      <c r="CM34" s="1454"/>
      <c r="CN34" s="1454"/>
      <c r="CO34" s="1454"/>
      <c r="CP34" s="1454"/>
      <c r="CQ34" s="1454"/>
      <c r="CR34" s="1454"/>
      <c r="CS34" s="1454"/>
      <c r="CT34" s="1454"/>
      <c r="CU34" s="290"/>
      <c r="CV34" s="290"/>
      <c r="CW34" s="290"/>
      <c r="CX34" s="290"/>
      <c r="CY34" s="290"/>
      <c r="CZ34" s="290"/>
    </row>
    <row r="35" spans="1:104" ht="14.1" customHeight="1" x14ac:dyDescent="0.2">
      <c r="A35" s="8462"/>
      <c r="B35" s="7672" t="s">
        <v>2811</v>
      </c>
      <c r="C35" s="7760">
        <f t="shared" si="15"/>
        <v>0</v>
      </c>
      <c r="D35" s="7753">
        <f t="shared" si="13"/>
        <v>0</v>
      </c>
      <c r="E35" s="7753">
        <f t="shared" si="13"/>
        <v>0</v>
      </c>
      <c r="F35" s="7754"/>
      <c r="G35" s="7755"/>
      <c r="H35" s="7754"/>
      <c r="I35" s="7756"/>
      <c r="J35" s="7754"/>
      <c r="K35" s="7756"/>
      <c r="L35" s="7754"/>
      <c r="M35" s="7755"/>
      <c r="N35" s="7757"/>
      <c r="O35" s="7756"/>
      <c r="P35" s="7757"/>
      <c r="Q35" s="7756"/>
      <c r="R35" s="7757"/>
      <c r="S35" s="7756"/>
      <c r="T35" s="7757"/>
      <c r="U35" s="7756"/>
      <c r="V35" s="7757"/>
      <c r="W35" s="7756"/>
      <c r="X35" s="7757"/>
      <c r="Y35" s="7756"/>
      <c r="Z35" s="7757"/>
      <c r="AA35" s="7756"/>
      <c r="AB35" s="7757"/>
      <c r="AC35" s="7756"/>
      <c r="AD35" s="7757"/>
      <c r="AE35" s="7756"/>
      <c r="AF35" s="7757"/>
      <c r="AG35" s="7756"/>
      <c r="AH35" s="7757"/>
      <c r="AI35" s="7756"/>
      <c r="AJ35" s="7757"/>
      <c r="AK35" s="7756"/>
      <c r="AL35" s="7757"/>
      <c r="AM35" s="7758"/>
      <c r="AN35" s="7759"/>
      <c r="AO35" s="7757"/>
      <c r="AP35" s="7757"/>
      <c r="AQ35" s="7756"/>
      <c r="AR35" s="7742" t="str">
        <f t="shared" si="14"/>
        <v/>
      </c>
      <c r="AS35" s="290"/>
      <c r="AT35" s="290"/>
      <c r="AU35" s="290"/>
      <c r="AV35" s="290"/>
      <c r="AW35" s="290"/>
      <c r="AX35" s="290"/>
      <c r="AY35" s="290"/>
      <c r="AZ35" s="290"/>
      <c r="BA35" s="290"/>
      <c r="BB35" s="290"/>
      <c r="BC35" s="290"/>
      <c r="BS35" s="1452"/>
      <c r="BT35" s="1452"/>
      <c r="BV35" s="1460"/>
      <c r="BW35" s="1460"/>
      <c r="BX35" s="1460"/>
      <c r="CA35" s="1457" t="str">
        <f t="shared" si="16"/>
        <v/>
      </c>
      <c r="CG35" s="1458">
        <f t="shared" si="17"/>
        <v>0</v>
      </c>
      <c r="CH35" s="1454"/>
      <c r="CI35" s="1454"/>
      <c r="CJ35" s="1454"/>
      <c r="CK35" s="1454"/>
      <c r="CL35" s="1454"/>
      <c r="CM35" s="1454"/>
      <c r="CN35" s="1454"/>
      <c r="CO35" s="1454"/>
      <c r="CP35" s="1454"/>
      <c r="CQ35" s="1454"/>
      <c r="CR35" s="1454"/>
      <c r="CS35" s="1454"/>
      <c r="CT35" s="1454"/>
      <c r="CU35" s="290"/>
      <c r="CV35" s="290"/>
      <c r="CW35" s="290"/>
      <c r="CX35" s="290"/>
      <c r="CY35" s="290"/>
      <c r="CZ35" s="290"/>
    </row>
    <row r="36" spans="1:104" ht="14.1" customHeight="1" x14ac:dyDescent="0.2">
      <c r="A36" s="8462"/>
      <c r="B36" s="7761" t="s">
        <v>2812</v>
      </c>
      <c r="C36" s="7762">
        <f t="shared" si="15"/>
        <v>0</v>
      </c>
      <c r="D36" s="7753">
        <f t="shared" si="13"/>
        <v>0</v>
      </c>
      <c r="E36" s="7753">
        <f t="shared" si="13"/>
        <v>0</v>
      </c>
      <c r="F36" s="7754"/>
      <c r="G36" s="7755"/>
      <c r="H36" s="7754"/>
      <c r="I36" s="7756"/>
      <c r="J36" s="7754"/>
      <c r="K36" s="7756"/>
      <c r="L36" s="7754"/>
      <c r="M36" s="7755"/>
      <c r="N36" s="7757"/>
      <c r="O36" s="7756"/>
      <c r="P36" s="7757"/>
      <c r="Q36" s="7756"/>
      <c r="R36" s="7757"/>
      <c r="S36" s="7756"/>
      <c r="T36" s="7757"/>
      <c r="U36" s="7756"/>
      <c r="V36" s="7757"/>
      <c r="W36" s="7756"/>
      <c r="X36" s="7757"/>
      <c r="Y36" s="7756"/>
      <c r="Z36" s="7757"/>
      <c r="AA36" s="7756"/>
      <c r="AB36" s="7757"/>
      <c r="AC36" s="7756"/>
      <c r="AD36" s="7757"/>
      <c r="AE36" s="7756"/>
      <c r="AF36" s="7757"/>
      <c r="AG36" s="7756"/>
      <c r="AH36" s="7757"/>
      <c r="AI36" s="7756"/>
      <c r="AJ36" s="7757"/>
      <c r="AK36" s="7756"/>
      <c r="AL36" s="7757"/>
      <c r="AM36" s="7758"/>
      <c r="AN36" s="7759"/>
      <c r="AO36" s="7757"/>
      <c r="AP36" s="7757"/>
      <c r="AQ36" s="7756"/>
      <c r="AR36" s="7742" t="str">
        <f t="shared" si="14"/>
        <v/>
      </c>
      <c r="AS36" s="290"/>
      <c r="AT36" s="290"/>
      <c r="AU36" s="290"/>
      <c r="AV36" s="290"/>
      <c r="AW36" s="290"/>
      <c r="AX36" s="290"/>
      <c r="AY36" s="290"/>
      <c r="AZ36" s="290"/>
      <c r="BA36" s="290"/>
      <c r="BB36" s="290"/>
      <c r="BC36" s="290"/>
      <c r="BS36" s="1452"/>
      <c r="BT36" s="1452"/>
      <c r="BV36" s="1460"/>
      <c r="BW36" s="1460"/>
      <c r="BX36" s="1460"/>
      <c r="CA36" s="1457" t="str">
        <f t="shared" si="16"/>
        <v/>
      </c>
      <c r="CG36" s="1458">
        <f t="shared" si="17"/>
        <v>0</v>
      </c>
      <c r="CH36" s="1454"/>
      <c r="CI36" s="1454"/>
      <c r="CJ36" s="1454"/>
      <c r="CK36" s="1454"/>
      <c r="CL36" s="1454"/>
      <c r="CM36" s="1454"/>
      <c r="CN36" s="1454"/>
      <c r="CO36" s="1454"/>
      <c r="CP36" s="1454"/>
      <c r="CQ36" s="1454"/>
      <c r="CR36" s="1454"/>
      <c r="CS36" s="1454"/>
      <c r="CT36" s="1454"/>
      <c r="CU36" s="290"/>
      <c r="CV36" s="290"/>
      <c r="CW36" s="290"/>
      <c r="CX36" s="290"/>
      <c r="CY36" s="290"/>
      <c r="CZ36" s="290"/>
    </row>
    <row r="37" spans="1:104" ht="14.1" customHeight="1" x14ac:dyDescent="0.2">
      <c r="A37" s="8462"/>
      <c r="B37" s="3386" t="s">
        <v>3538</v>
      </c>
      <c r="C37" s="7763">
        <f t="shared" si="15"/>
        <v>0</v>
      </c>
      <c r="D37" s="7753">
        <f t="shared" si="13"/>
        <v>0</v>
      </c>
      <c r="E37" s="7753">
        <f t="shared" si="13"/>
        <v>0</v>
      </c>
      <c r="F37" s="7754"/>
      <c r="G37" s="7755"/>
      <c r="H37" s="7754"/>
      <c r="I37" s="7756"/>
      <c r="J37" s="7754"/>
      <c r="K37" s="7756"/>
      <c r="L37" s="7754"/>
      <c r="M37" s="7755"/>
      <c r="N37" s="7757"/>
      <c r="O37" s="7756"/>
      <c r="P37" s="7757"/>
      <c r="Q37" s="7756"/>
      <c r="R37" s="7757"/>
      <c r="S37" s="7756"/>
      <c r="T37" s="7757"/>
      <c r="U37" s="7756"/>
      <c r="V37" s="7757"/>
      <c r="W37" s="7756"/>
      <c r="X37" s="7757"/>
      <c r="Y37" s="7756"/>
      <c r="Z37" s="7757"/>
      <c r="AA37" s="7756"/>
      <c r="AB37" s="7757"/>
      <c r="AC37" s="7756"/>
      <c r="AD37" s="7757"/>
      <c r="AE37" s="7756"/>
      <c r="AF37" s="7757"/>
      <c r="AG37" s="7756"/>
      <c r="AH37" s="7757"/>
      <c r="AI37" s="7756"/>
      <c r="AJ37" s="7757"/>
      <c r="AK37" s="7756"/>
      <c r="AL37" s="7757"/>
      <c r="AM37" s="7758"/>
      <c r="AN37" s="7759"/>
      <c r="AO37" s="7757"/>
      <c r="AP37" s="7757"/>
      <c r="AQ37" s="7756"/>
      <c r="AR37" s="7742" t="str">
        <f t="shared" si="14"/>
        <v/>
      </c>
      <c r="AS37" s="290"/>
      <c r="AT37" s="290"/>
      <c r="AU37" s="290"/>
      <c r="AV37" s="290"/>
      <c r="AW37" s="290"/>
      <c r="AX37" s="290"/>
      <c r="AY37" s="290"/>
      <c r="AZ37" s="290"/>
      <c r="BA37" s="290"/>
      <c r="BB37" s="290"/>
      <c r="BC37" s="290"/>
      <c r="BS37" s="1452"/>
      <c r="BT37" s="1452"/>
      <c r="BV37" s="1460"/>
      <c r="BW37" s="1460"/>
      <c r="BX37" s="1460"/>
      <c r="CA37" s="1457" t="str">
        <f t="shared" si="16"/>
        <v/>
      </c>
      <c r="CG37" s="1458">
        <f t="shared" si="17"/>
        <v>0</v>
      </c>
      <c r="CH37" s="1454"/>
      <c r="CI37" s="1454"/>
      <c r="CJ37" s="1454"/>
      <c r="CK37" s="1454"/>
      <c r="CL37" s="1454"/>
      <c r="CM37" s="1454"/>
      <c r="CN37" s="1454"/>
      <c r="CO37" s="1454"/>
      <c r="CP37" s="1454"/>
      <c r="CQ37" s="1454"/>
      <c r="CR37" s="1454"/>
      <c r="CS37" s="1454"/>
      <c r="CT37" s="1454"/>
      <c r="CU37" s="290"/>
      <c r="CV37" s="290"/>
      <c r="CW37" s="290"/>
      <c r="CX37" s="290"/>
      <c r="CY37" s="290"/>
      <c r="CZ37" s="290"/>
    </row>
    <row r="38" spans="1:104" ht="14.1" customHeight="1" x14ac:dyDescent="0.2">
      <c r="A38" s="8462"/>
      <c r="B38" s="7673" t="s">
        <v>2813</v>
      </c>
      <c r="C38" s="7764">
        <f t="shared" si="15"/>
        <v>0</v>
      </c>
      <c r="D38" s="7753">
        <f t="shared" si="13"/>
        <v>0</v>
      </c>
      <c r="E38" s="7753">
        <f t="shared" si="13"/>
        <v>0</v>
      </c>
      <c r="F38" s="7754"/>
      <c r="G38" s="7755"/>
      <c r="H38" s="7754"/>
      <c r="I38" s="7756"/>
      <c r="J38" s="7754"/>
      <c r="K38" s="7756"/>
      <c r="L38" s="7754"/>
      <c r="M38" s="7755"/>
      <c r="N38" s="7757"/>
      <c r="O38" s="7756"/>
      <c r="P38" s="7757"/>
      <c r="Q38" s="7756"/>
      <c r="R38" s="7757"/>
      <c r="S38" s="7756"/>
      <c r="T38" s="7757"/>
      <c r="U38" s="7756"/>
      <c r="V38" s="7757"/>
      <c r="W38" s="7756"/>
      <c r="X38" s="7757"/>
      <c r="Y38" s="7756"/>
      <c r="Z38" s="7757"/>
      <c r="AA38" s="7756"/>
      <c r="AB38" s="7757"/>
      <c r="AC38" s="7756"/>
      <c r="AD38" s="7757"/>
      <c r="AE38" s="7756"/>
      <c r="AF38" s="7757"/>
      <c r="AG38" s="7756"/>
      <c r="AH38" s="7757"/>
      <c r="AI38" s="7756"/>
      <c r="AJ38" s="7757"/>
      <c r="AK38" s="7756"/>
      <c r="AL38" s="7757"/>
      <c r="AM38" s="7758"/>
      <c r="AN38" s="7759"/>
      <c r="AO38" s="7757"/>
      <c r="AP38" s="7757"/>
      <c r="AQ38" s="7756"/>
      <c r="AR38" s="7742" t="str">
        <f t="shared" si="14"/>
        <v/>
      </c>
      <c r="AS38" s="290"/>
      <c r="AT38" s="290"/>
      <c r="AU38" s="290"/>
      <c r="AV38" s="290"/>
      <c r="AW38" s="290"/>
      <c r="AX38" s="290"/>
      <c r="AY38" s="290"/>
      <c r="AZ38" s="290"/>
      <c r="BA38" s="290"/>
      <c r="BB38" s="290"/>
      <c r="BC38" s="290"/>
      <c r="BS38" s="1452"/>
      <c r="BT38" s="1452"/>
      <c r="BV38" s="1460"/>
      <c r="BW38" s="1460"/>
      <c r="BX38" s="1460"/>
      <c r="CA38" s="1457" t="str">
        <f t="shared" si="16"/>
        <v/>
      </c>
      <c r="CG38" s="1458">
        <f t="shared" si="17"/>
        <v>0</v>
      </c>
      <c r="CH38" s="1454"/>
      <c r="CI38" s="1454"/>
      <c r="CJ38" s="1454"/>
      <c r="CK38" s="1454"/>
      <c r="CL38" s="1454"/>
      <c r="CM38" s="1454"/>
      <c r="CN38" s="1454"/>
      <c r="CO38" s="1454"/>
      <c r="CP38" s="1454"/>
      <c r="CQ38" s="1454"/>
      <c r="CR38" s="1454"/>
      <c r="CS38" s="1454"/>
      <c r="CT38" s="1454"/>
      <c r="CU38" s="290"/>
      <c r="CV38" s="290"/>
      <c r="CW38" s="290"/>
      <c r="CX38" s="290"/>
      <c r="CY38" s="290"/>
      <c r="CZ38" s="290"/>
    </row>
    <row r="39" spans="1:104" ht="14.1" customHeight="1" x14ac:dyDescent="0.2">
      <c r="A39" s="8462"/>
      <c r="B39" s="3386" t="s">
        <v>2814</v>
      </c>
      <c r="C39" s="7763">
        <f t="shared" si="15"/>
        <v>0</v>
      </c>
      <c r="D39" s="7753">
        <f t="shared" si="13"/>
        <v>0</v>
      </c>
      <c r="E39" s="7753">
        <f t="shared" si="13"/>
        <v>0</v>
      </c>
      <c r="F39" s="7754"/>
      <c r="G39" s="7755"/>
      <c r="H39" s="7754"/>
      <c r="I39" s="7756"/>
      <c r="J39" s="7754"/>
      <c r="K39" s="7756"/>
      <c r="L39" s="7754"/>
      <c r="M39" s="7755"/>
      <c r="N39" s="7757"/>
      <c r="O39" s="7756"/>
      <c r="P39" s="7757"/>
      <c r="Q39" s="7756"/>
      <c r="R39" s="7757"/>
      <c r="S39" s="7756"/>
      <c r="T39" s="7757"/>
      <c r="U39" s="7756"/>
      <c r="V39" s="7757"/>
      <c r="W39" s="7756"/>
      <c r="X39" s="7757"/>
      <c r="Y39" s="7756"/>
      <c r="Z39" s="7757"/>
      <c r="AA39" s="7756"/>
      <c r="AB39" s="7757"/>
      <c r="AC39" s="7756"/>
      <c r="AD39" s="7757"/>
      <c r="AE39" s="7756"/>
      <c r="AF39" s="7757"/>
      <c r="AG39" s="7756"/>
      <c r="AH39" s="7757"/>
      <c r="AI39" s="7756"/>
      <c r="AJ39" s="7757"/>
      <c r="AK39" s="7756"/>
      <c r="AL39" s="7757"/>
      <c r="AM39" s="7758"/>
      <c r="AN39" s="7759"/>
      <c r="AO39" s="7757"/>
      <c r="AP39" s="7757"/>
      <c r="AQ39" s="7756"/>
      <c r="AR39" s="7742" t="str">
        <f t="shared" si="14"/>
        <v/>
      </c>
      <c r="AS39" s="290"/>
      <c r="AT39" s="290"/>
      <c r="AU39" s="290"/>
      <c r="AV39" s="290"/>
      <c r="AW39" s="290"/>
      <c r="AX39" s="290"/>
      <c r="AY39" s="290"/>
      <c r="AZ39" s="290"/>
      <c r="BA39" s="290"/>
      <c r="BB39" s="290"/>
      <c r="BC39" s="290"/>
      <c r="BS39" s="1452"/>
      <c r="BT39" s="1452"/>
      <c r="BV39" s="1460"/>
      <c r="BW39" s="1460"/>
      <c r="BX39" s="1460"/>
      <c r="CA39" s="1457" t="str">
        <f t="shared" si="16"/>
        <v/>
      </c>
      <c r="CG39" s="1458">
        <f t="shared" si="17"/>
        <v>0</v>
      </c>
      <c r="CH39" s="1454"/>
      <c r="CI39" s="1454"/>
      <c r="CJ39" s="1454"/>
      <c r="CK39" s="1454"/>
      <c r="CL39" s="1454"/>
      <c r="CM39" s="1454"/>
      <c r="CN39" s="1454"/>
      <c r="CO39" s="1454"/>
      <c r="CP39" s="1454"/>
      <c r="CQ39" s="1454"/>
      <c r="CR39" s="1454"/>
      <c r="CS39" s="1454"/>
      <c r="CT39" s="1454"/>
      <c r="CU39" s="290"/>
      <c r="CV39" s="290"/>
      <c r="CW39" s="290"/>
      <c r="CX39" s="290"/>
      <c r="CY39" s="290"/>
      <c r="CZ39" s="290"/>
    </row>
    <row r="40" spans="1:104" ht="14.1" customHeight="1" x14ac:dyDescent="0.2">
      <c r="A40" s="8462"/>
      <c r="B40" s="3386" t="s">
        <v>158</v>
      </c>
      <c r="C40" s="7763">
        <f t="shared" si="15"/>
        <v>0</v>
      </c>
      <c r="D40" s="7753">
        <f t="shared" si="13"/>
        <v>0</v>
      </c>
      <c r="E40" s="7753">
        <f t="shared" si="13"/>
        <v>0</v>
      </c>
      <c r="F40" s="7754"/>
      <c r="G40" s="7755"/>
      <c r="H40" s="7754"/>
      <c r="I40" s="7756"/>
      <c r="J40" s="7754"/>
      <c r="K40" s="7756"/>
      <c r="L40" s="7754"/>
      <c r="M40" s="7755"/>
      <c r="N40" s="7757"/>
      <c r="O40" s="7756"/>
      <c r="P40" s="7757"/>
      <c r="Q40" s="7756"/>
      <c r="R40" s="7757"/>
      <c r="S40" s="7756"/>
      <c r="T40" s="7757"/>
      <c r="U40" s="7756"/>
      <c r="V40" s="7757"/>
      <c r="W40" s="7756"/>
      <c r="X40" s="7757"/>
      <c r="Y40" s="7756"/>
      <c r="Z40" s="7757"/>
      <c r="AA40" s="7756"/>
      <c r="AB40" s="7757"/>
      <c r="AC40" s="7756"/>
      <c r="AD40" s="7757"/>
      <c r="AE40" s="7756"/>
      <c r="AF40" s="7757"/>
      <c r="AG40" s="7756"/>
      <c r="AH40" s="7757"/>
      <c r="AI40" s="7756"/>
      <c r="AJ40" s="7757"/>
      <c r="AK40" s="7756"/>
      <c r="AL40" s="7757"/>
      <c r="AM40" s="7758"/>
      <c r="AN40" s="7759"/>
      <c r="AO40" s="7757"/>
      <c r="AP40" s="7757"/>
      <c r="AQ40" s="7756"/>
      <c r="AR40" s="7742" t="str">
        <f t="shared" si="14"/>
        <v/>
      </c>
      <c r="BS40" s="1452"/>
      <c r="BT40" s="1452"/>
      <c r="BV40" s="1460"/>
      <c r="BW40" s="1460"/>
      <c r="BX40" s="1460"/>
      <c r="CA40" s="1457" t="str">
        <f t="shared" si="16"/>
        <v/>
      </c>
      <c r="CG40" s="1458">
        <f t="shared" si="17"/>
        <v>0</v>
      </c>
      <c r="CH40" s="1454"/>
      <c r="CI40" s="1454"/>
      <c r="CJ40" s="1454"/>
      <c r="CK40" s="1454"/>
      <c r="CL40" s="1454"/>
      <c r="CM40" s="1454"/>
      <c r="CN40" s="1454"/>
      <c r="CO40" s="1454"/>
      <c r="CP40" s="1454"/>
      <c r="CQ40" s="1454"/>
      <c r="CR40" s="1454"/>
      <c r="CS40" s="1454"/>
      <c r="CT40" s="1454"/>
      <c r="CU40" s="290"/>
      <c r="CV40" s="290"/>
      <c r="CW40" s="290"/>
      <c r="CX40" s="290"/>
      <c r="CY40" s="290"/>
      <c r="CZ40" s="290"/>
    </row>
    <row r="41" spans="1:104" ht="14.1" customHeight="1" x14ac:dyDescent="0.2">
      <c r="A41" s="8462"/>
      <c r="B41" s="4033" t="s">
        <v>2815</v>
      </c>
      <c r="C41" s="7765">
        <f t="shared" si="15"/>
        <v>0</v>
      </c>
      <c r="D41" s="7753">
        <f t="shared" si="13"/>
        <v>0</v>
      </c>
      <c r="E41" s="7753">
        <f t="shared" si="13"/>
        <v>0</v>
      </c>
      <c r="F41" s="7754"/>
      <c r="G41" s="7755"/>
      <c r="H41" s="7754"/>
      <c r="I41" s="7756"/>
      <c r="J41" s="7754"/>
      <c r="K41" s="7756"/>
      <c r="L41" s="7754"/>
      <c r="M41" s="7755"/>
      <c r="N41" s="7757"/>
      <c r="O41" s="7756"/>
      <c r="P41" s="7757"/>
      <c r="Q41" s="7756"/>
      <c r="R41" s="7757"/>
      <c r="S41" s="7756"/>
      <c r="T41" s="7757"/>
      <c r="U41" s="7756"/>
      <c r="V41" s="7757"/>
      <c r="W41" s="7756"/>
      <c r="X41" s="7757"/>
      <c r="Y41" s="7756"/>
      <c r="Z41" s="7757"/>
      <c r="AA41" s="7756"/>
      <c r="AB41" s="7757"/>
      <c r="AC41" s="7756"/>
      <c r="AD41" s="7757"/>
      <c r="AE41" s="7756"/>
      <c r="AF41" s="7757"/>
      <c r="AG41" s="7756"/>
      <c r="AH41" s="7757"/>
      <c r="AI41" s="7756"/>
      <c r="AJ41" s="7757"/>
      <c r="AK41" s="7756"/>
      <c r="AL41" s="7757"/>
      <c r="AM41" s="7758"/>
      <c r="AN41" s="7759"/>
      <c r="AO41" s="7757"/>
      <c r="AP41" s="7757"/>
      <c r="AQ41" s="7756"/>
      <c r="AR41" s="7742" t="str">
        <f t="shared" si="14"/>
        <v/>
      </c>
      <c r="BS41" s="1452"/>
      <c r="BT41" s="1452"/>
      <c r="BV41" s="1460"/>
      <c r="BW41" s="1460"/>
      <c r="BX41" s="1460"/>
      <c r="CA41" s="1457" t="str">
        <f t="shared" si="16"/>
        <v/>
      </c>
      <c r="CG41" s="1458">
        <f t="shared" si="17"/>
        <v>0</v>
      </c>
      <c r="CH41" s="1454"/>
      <c r="CI41" s="1454"/>
      <c r="CJ41" s="1454"/>
      <c r="CK41" s="1454"/>
      <c r="CL41" s="1454"/>
      <c r="CM41" s="1454"/>
      <c r="CN41" s="1454"/>
      <c r="CO41" s="1454"/>
      <c r="CP41" s="1454"/>
      <c r="CQ41" s="1454"/>
      <c r="CR41" s="1454"/>
      <c r="CS41" s="1454"/>
      <c r="CT41" s="1454"/>
      <c r="CU41" s="290"/>
      <c r="CV41" s="290"/>
      <c r="CW41" s="290"/>
      <c r="CX41" s="290"/>
      <c r="CY41" s="290"/>
      <c r="CZ41" s="290"/>
    </row>
    <row r="42" spans="1:104" ht="14.1" customHeight="1" x14ac:dyDescent="0.2">
      <c r="A42" s="8462"/>
      <c r="B42" s="7761" t="s">
        <v>2816</v>
      </c>
      <c r="C42" s="7766">
        <f t="shared" si="15"/>
        <v>0</v>
      </c>
      <c r="D42" s="7767">
        <f t="shared" si="13"/>
        <v>0</v>
      </c>
      <c r="E42" s="7767">
        <f t="shared" si="13"/>
        <v>0</v>
      </c>
      <c r="F42" s="7754"/>
      <c r="G42" s="7755"/>
      <c r="H42" s="7754"/>
      <c r="I42" s="7755"/>
      <c r="J42" s="7754"/>
      <c r="K42" s="7756"/>
      <c r="L42" s="7754"/>
      <c r="M42" s="7755"/>
      <c r="N42" s="7757"/>
      <c r="O42" s="7755"/>
      <c r="P42" s="7768"/>
      <c r="Q42" s="7755"/>
      <c r="R42" s="7768"/>
      <c r="S42" s="7755"/>
      <c r="T42" s="7768"/>
      <c r="U42" s="7755"/>
      <c r="V42" s="7768"/>
      <c r="W42" s="7755"/>
      <c r="X42" s="7768"/>
      <c r="Y42" s="7755"/>
      <c r="Z42" s="7768"/>
      <c r="AA42" s="7755"/>
      <c r="AB42" s="7768"/>
      <c r="AC42" s="7755"/>
      <c r="AD42" s="7768"/>
      <c r="AE42" s="7755"/>
      <c r="AF42" s="7768"/>
      <c r="AG42" s="7755"/>
      <c r="AH42" s="7768"/>
      <c r="AI42" s="7755"/>
      <c r="AJ42" s="7768"/>
      <c r="AK42" s="7755"/>
      <c r="AL42" s="7768"/>
      <c r="AM42" s="7769"/>
      <c r="AN42" s="7759"/>
      <c r="AO42" s="7757"/>
      <c r="AP42" s="7768"/>
      <c r="AQ42" s="7755"/>
      <c r="AR42" s="7742" t="str">
        <f t="shared" si="14"/>
        <v/>
      </c>
      <c r="BS42" s="1452"/>
      <c r="BT42" s="1452"/>
      <c r="BV42" s="1460"/>
      <c r="BW42" s="1460"/>
      <c r="BX42" s="1460"/>
      <c r="CA42" s="1457" t="str">
        <f t="shared" si="16"/>
        <v/>
      </c>
      <c r="CG42" s="1458">
        <f t="shared" si="17"/>
        <v>0</v>
      </c>
      <c r="CH42" s="1454"/>
      <c r="CI42" s="1454"/>
      <c r="CJ42" s="1454"/>
      <c r="CK42" s="1454"/>
      <c r="CL42" s="1454"/>
      <c r="CM42" s="1454"/>
      <c r="CN42" s="1454"/>
      <c r="CO42" s="1454"/>
      <c r="CP42" s="1454"/>
      <c r="CQ42" s="1454"/>
      <c r="CR42" s="1454"/>
      <c r="CS42" s="1454"/>
      <c r="CT42" s="1454"/>
      <c r="CU42" s="290"/>
      <c r="CV42" s="290"/>
      <c r="CW42" s="290"/>
      <c r="CX42" s="290"/>
      <c r="CY42" s="290"/>
      <c r="CZ42" s="290"/>
    </row>
    <row r="43" spans="1:104" ht="14.1" customHeight="1" x14ac:dyDescent="0.2">
      <c r="A43" s="8462"/>
      <c r="B43" s="7770" t="s">
        <v>2817</v>
      </c>
      <c r="C43" s="3457">
        <f t="shared" si="15"/>
        <v>0</v>
      </c>
      <c r="D43" s="7771">
        <f t="shared" si="13"/>
        <v>0</v>
      </c>
      <c r="E43" s="7771">
        <f t="shared" si="13"/>
        <v>0</v>
      </c>
      <c r="F43" s="7754"/>
      <c r="G43" s="7755"/>
      <c r="H43" s="7754"/>
      <c r="I43" s="7755"/>
      <c r="J43" s="7754"/>
      <c r="K43" s="7756"/>
      <c r="L43" s="7754"/>
      <c r="M43" s="7755"/>
      <c r="N43" s="7757"/>
      <c r="O43" s="7755"/>
      <c r="P43" s="7768"/>
      <c r="Q43" s="7755"/>
      <c r="R43" s="7768"/>
      <c r="S43" s="7755"/>
      <c r="T43" s="7768"/>
      <c r="U43" s="7755"/>
      <c r="V43" s="7768"/>
      <c r="W43" s="7755"/>
      <c r="X43" s="7768"/>
      <c r="Y43" s="7755"/>
      <c r="Z43" s="7768"/>
      <c r="AA43" s="7755"/>
      <c r="AB43" s="7768"/>
      <c r="AC43" s="7755"/>
      <c r="AD43" s="7768"/>
      <c r="AE43" s="7755"/>
      <c r="AF43" s="7768"/>
      <c r="AG43" s="7755"/>
      <c r="AH43" s="7768"/>
      <c r="AI43" s="7755"/>
      <c r="AJ43" s="7768"/>
      <c r="AK43" s="7755"/>
      <c r="AL43" s="7768"/>
      <c r="AM43" s="7769"/>
      <c r="AN43" s="7759"/>
      <c r="AO43" s="7757"/>
      <c r="AP43" s="7768"/>
      <c r="AQ43" s="7755"/>
      <c r="AR43" s="7742" t="str">
        <f t="shared" si="14"/>
        <v/>
      </c>
      <c r="BS43" s="1452"/>
      <c r="BT43" s="1452"/>
      <c r="BV43" s="1460"/>
      <c r="BW43" s="1460"/>
      <c r="BX43" s="1460"/>
      <c r="CA43" s="1457" t="str">
        <f t="shared" si="16"/>
        <v/>
      </c>
      <c r="CG43" s="1458">
        <f t="shared" si="17"/>
        <v>0</v>
      </c>
      <c r="CH43" s="1454"/>
      <c r="CI43" s="1454"/>
      <c r="CJ43" s="1454"/>
      <c r="CK43" s="1454"/>
      <c r="CL43" s="1454"/>
      <c r="CM43" s="1454"/>
      <c r="CN43" s="1454"/>
      <c r="CO43" s="1454"/>
      <c r="CP43" s="1454"/>
      <c r="CQ43" s="1454"/>
      <c r="CR43" s="1454"/>
      <c r="CS43" s="1454"/>
      <c r="CT43" s="1454"/>
      <c r="CU43" s="290"/>
      <c r="CV43" s="290"/>
      <c r="CW43" s="290"/>
      <c r="CX43" s="290"/>
      <c r="CY43" s="290"/>
      <c r="CZ43" s="290"/>
    </row>
    <row r="44" spans="1:104" ht="14.1" customHeight="1" x14ac:dyDescent="0.2">
      <c r="A44" s="8462"/>
      <c r="B44" s="3333" t="s">
        <v>3975</v>
      </c>
      <c r="C44" s="3457">
        <f t="shared" si="15"/>
        <v>0</v>
      </c>
      <c r="D44" s="7771">
        <f t="shared" si="13"/>
        <v>0</v>
      </c>
      <c r="E44" s="7771">
        <f t="shared" si="13"/>
        <v>0</v>
      </c>
      <c r="F44" s="7754"/>
      <c r="G44" s="7755"/>
      <c r="H44" s="7754"/>
      <c r="I44" s="7755"/>
      <c r="J44" s="7754"/>
      <c r="K44" s="7756"/>
      <c r="L44" s="7754"/>
      <c r="M44" s="7755"/>
      <c r="N44" s="7757"/>
      <c r="O44" s="7755"/>
      <c r="P44" s="7768"/>
      <c r="Q44" s="7755"/>
      <c r="R44" s="7768"/>
      <c r="S44" s="7755"/>
      <c r="T44" s="7768"/>
      <c r="U44" s="7755"/>
      <c r="V44" s="7768"/>
      <c r="W44" s="7755"/>
      <c r="X44" s="7768"/>
      <c r="Y44" s="7755"/>
      <c r="Z44" s="7768"/>
      <c r="AA44" s="7755"/>
      <c r="AB44" s="7768"/>
      <c r="AC44" s="7755"/>
      <c r="AD44" s="7768"/>
      <c r="AE44" s="7755"/>
      <c r="AF44" s="7768"/>
      <c r="AG44" s="7755"/>
      <c r="AH44" s="7768"/>
      <c r="AI44" s="7755"/>
      <c r="AJ44" s="7768"/>
      <c r="AK44" s="7755"/>
      <c r="AL44" s="7768"/>
      <c r="AM44" s="7769"/>
      <c r="AN44" s="7759"/>
      <c r="AO44" s="7757"/>
      <c r="AP44" s="7768"/>
      <c r="AQ44" s="7755"/>
      <c r="AR44" s="7742" t="str">
        <f t="shared" si="14"/>
        <v/>
      </c>
      <c r="BS44" s="1452"/>
      <c r="BT44" s="1452"/>
      <c r="BV44" s="1460"/>
      <c r="BW44" s="1460"/>
      <c r="BX44" s="1460"/>
      <c r="CA44" s="1457" t="str">
        <f t="shared" si="16"/>
        <v/>
      </c>
      <c r="CG44" s="1458">
        <f t="shared" si="17"/>
        <v>0</v>
      </c>
      <c r="CH44" s="1454"/>
      <c r="CI44" s="1454"/>
      <c r="CJ44" s="1454"/>
      <c r="CK44" s="1454"/>
      <c r="CL44" s="1454"/>
      <c r="CM44" s="1454"/>
      <c r="CN44" s="1454"/>
      <c r="CO44" s="1454"/>
      <c r="CP44" s="1454"/>
      <c r="CQ44" s="1454"/>
      <c r="CR44" s="1454"/>
      <c r="CS44" s="1454"/>
      <c r="CT44" s="1454"/>
      <c r="CU44" s="290"/>
      <c r="CV44" s="290"/>
      <c r="CW44" s="290"/>
      <c r="CX44" s="290"/>
      <c r="CY44" s="290"/>
      <c r="CZ44" s="290"/>
    </row>
    <row r="45" spans="1:104" ht="14.1" customHeight="1" x14ac:dyDescent="0.2">
      <c r="A45" s="8462"/>
      <c r="B45" s="7770" t="s">
        <v>2819</v>
      </c>
      <c r="C45" s="3457">
        <f t="shared" si="15"/>
        <v>0</v>
      </c>
      <c r="D45" s="7771">
        <f t="shared" si="13"/>
        <v>0</v>
      </c>
      <c r="E45" s="7771">
        <f t="shared" si="13"/>
        <v>0</v>
      </c>
      <c r="F45" s="7754"/>
      <c r="G45" s="7755"/>
      <c r="H45" s="7754"/>
      <c r="I45" s="7755"/>
      <c r="J45" s="7754"/>
      <c r="K45" s="7756"/>
      <c r="L45" s="7754"/>
      <c r="M45" s="7755"/>
      <c r="N45" s="7757"/>
      <c r="O45" s="7755"/>
      <c r="P45" s="7768"/>
      <c r="Q45" s="7755"/>
      <c r="R45" s="7768"/>
      <c r="S45" s="7755"/>
      <c r="T45" s="7768"/>
      <c r="U45" s="7755"/>
      <c r="V45" s="7768"/>
      <c r="W45" s="7755"/>
      <c r="X45" s="7768"/>
      <c r="Y45" s="7755"/>
      <c r="Z45" s="7768"/>
      <c r="AA45" s="7755"/>
      <c r="AB45" s="7768"/>
      <c r="AC45" s="7755"/>
      <c r="AD45" s="7768"/>
      <c r="AE45" s="7755"/>
      <c r="AF45" s="7768"/>
      <c r="AG45" s="7755"/>
      <c r="AH45" s="7768"/>
      <c r="AI45" s="7755"/>
      <c r="AJ45" s="7768"/>
      <c r="AK45" s="7755"/>
      <c r="AL45" s="7768"/>
      <c r="AM45" s="7769"/>
      <c r="AN45" s="7759"/>
      <c r="AO45" s="7757"/>
      <c r="AP45" s="7768"/>
      <c r="AQ45" s="7755"/>
      <c r="AR45" s="7742" t="str">
        <f t="shared" si="14"/>
        <v/>
      </c>
      <c r="BS45" s="1452"/>
      <c r="BT45" s="1452"/>
      <c r="BV45" s="1460"/>
      <c r="BW45" s="1460"/>
      <c r="BX45" s="1460"/>
      <c r="CA45" s="1457" t="str">
        <f t="shared" si="16"/>
        <v/>
      </c>
      <c r="CG45" s="1458">
        <f t="shared" si="17"/>
        <v>0</v>
      </c>
      <c r="CH45" s="1454"/>
      <c r="CI45" s="1454"/>
      <c r="CJ45" s="1454"/>
      <c r="CK45" s="1454"/>
      <c r="CL45" s="1454"/>
      <c r="CM45" s="1454"/>
      <c r="CN45" s="1454"/>
      <c r="CO45" s="1454"/>
      <c r="CP45" s="1454"/>
      <c r="CQ45" s="1454"/>
      <c r="CR45" s="1454"/>
      <c r="CS45" s="1454"/>
      <c r="CT45" s="1454"/>
      <c r="CU45" s="290"/>
      <c r="CV45" s="290"/>
      <c r="CW45" s="290"/>
      <c r="CX45" s="290"/>
      <c r="CY45" s="290"/>
      <c r="CZ45" s="290"/>
    </row>
    <row r="46" spans="1:104" ht="14.1" customHeight="1" x14ac:dyDescent="0.2">
      <c r="A46" s="8462"/>
      <c r="B46" s="7770" t="s">
        <v>1759</v>
      </c>
      <c r="C46" s="3457">
        <f t="shared" si="15"/>
        <v>0</v>
      </c>
      <c r="D46" s="7771">
        <f t="shared" si="13"/>
        <v>0</v>
      </c>
      <c r="E46" s="7771">
        <f t="shared" si="13"/>
        <v>0</v>
      </c>
      <c r="F46" s="7754"/>
      <c r="G46" s="7755"/>
      <c r="H46" s="7754"/>
      <c r="I46" s="7755"/>
      <c r="J46" s="7754"/>
      <c r="K46" s="7756"/>
      <c r="L46" s="7754"/>
      <c r="M46" s="7755"/>
      <c r="N46" s="7757"/>
      <c r="O46" s="7755"/>
      <c r="P46" s="7768"/>
      <c r="Q46" s="7755"/>
      <c r="R46" s="7768"/>
      <c r="S46" s="7755"/>
      <c r="T46" s="7768"/>
      <c r="U46" s="7755"/>
      <c r="V46" s="7768"/>
      <c r="W46" s="7755"/>
      <c r="X46" s="7768"/>
      <c r="Y46" s="7755"/>
      <c r="Z46" s="7768"/>
      <c r="AA46" s="7755"/>
      <c r="AB46" s="7768"/>
      <c r="AC46" s="7755"/>
      <c r="AD46" s="7768"/>
      <c r="AE46" s="7755"/>
      <c r="AF46" s="7768"/>
      <c r="AG46" s="7755"/>
      <c r="AH46" s="7768"/>
      <c r="AI46" s="7755"/>
      <c r="AJ46" s="7768"/>
      <c r="AK46" s="7755"/>
      <c r="AL46" s="7768"/>
      <c r="AM46" s="7769"/>
      <c r="AN46" s="7759"/>
      <c r="AO46" s="7757"/>
      <c r="AP46" s="7768"/>
      <c r="AQ46" s="7755"/>
      <c r="AR46" s="7742" t="str">
        <f t="shared" si="14"/>
        <v/>
      </c>
      <c r="BS46" s="1452"/>
      <c r="BT46" s="1452"/>
      <c r="BV46" s="1460"/>
      <c r="BW46" s="1460"/>
      <c r="BX46" s="1460"/>
      <c r="CA46" s="1457" t="str">
        <f t="shared" si="16"/>
        <v/>
      </c>
      <c r="CG46" s="1458">
        <f t="shared" si="17"/>
        <v>0</v>
      </c>
      <c r="CH46" s="1454"/>
      <c r="CI46" s="1454"/>
      <c r="CJ46" s="1454"/>
      <c r="CK46" s="1454"/>
      <c r="CL46" s="1454"/>
      <c r="CM46" s="1454"/>
      <c r="CN46" s="1454"/>
      <c r="CO46" s="1454"/>
      <c r="CP46" s="1454"/>
      <c r="CQ46" s="1454"/>
      <c r="CR46" s="1454"/>
      <c r="CS46" s="1454"/>
      <c r="CT46" s="1454"/>
      <c r="CU46" s="290"/>
      <c r="CV46" s="290"/>
      <c r="CW46" s="290"/>
      <c r="CX46" s="290"/>
      <c r="CY46" s="290"/>
      <c r="CZ46" s="290"/>
    </row>
    <row r="47" spans="1:104" ht="14.1" customHeight="1" x14ac:dyDescent="0.2">
      <c r="A47" s="8462"/>
      <c r="B47" s="7770" t="s">
        <v>2820</v>
      </c>
      <c r="C47" s="7772">
        <f t="shared" si="15"/>
        <v>0</v>
      </c>
      <c r="D47" s="7773">
        <f t="shared" si="13"/>
        <v>0</v>
      </c>
      <c r="E47" s="7773">
        <f t="shared" si="13"/>
        <v>0</v>
      </c>
      <c r="F47" s="7774"/>
      <c r="G47" s="7775"/>
      <c r="H47" s="7774"/>
      <c r="I47" s="7775"/>
      <c r="J47" s="7774"/>
      <c r="K47" s="7776"/>
      <c r="L47" s="7774"/>
      <c r="M47" s="7775"/>
      <c r="N47" s="7777"/>
      <c r="O47" s="7775"/>
      <c r="P47" s="7778"/>
      <c r="Q47" s="7775"/>
      <c r="R47" s="7778"/>
      <c r="S47" s="7775"/>
      <c r="T47" s="7778"/>
      <c r="U47" s="7775"/>
      <c r="V47" s="7778"/>
      <c r="W47" s="7775"/>
      <c r="X47" s="7778"/>
      <c r="Y47" s="7775"/>
      <c r="Z47" s="7778"/>
      <c r="AA47" s="7775"/>
      <c r="AB47" s="7778"/>
      <c r="AC47" s="7775"/>
      <c r="AD47" s="7778"/>
      <c r="AE47" s="7775"/>
      <c r="AF47" s="7778"/>
      <c r="AG47" s="7775"/>
      <c r="AH47" s="7778"/>
      <c r="AI47" s="7775"/>
      <c r="AJ47" s="7778"/>
      <c r="AK47" s="7775"/>
      <c r="AL47" s="7778"/>
      <c r="AM47" s="7779"/>
      <c r="AN47" s="7780"/>
      <c r="AO47" s="7777"/>
      <c r="AP47" s="7778"/>
      <c r="AQ47" s="7775"/>
      <c r="AR47" s="7742" t="str">
        <f t="shared" si="14"/>
        <v/>
      </c>
      <c r="BS47" s="1452"/>
      <c r="BT47" s="1452"/>
      <c r="BV47" s="1460"/>
      <c r="BW47" s="1460"/>
      <c r="BX47" s="1460"/>
      <c r="CA47" s="1457" t="str">
        <f t="shared" si="16"/>
        <v/>
      </c>
      <c r="CG47" s="1458">
        <f t="shared" si="17"/>
        <v>0</v>
      </c>
      <c r="CH47" s="1454"/>
      <c r="CI47" s="1454"/>
      <c r="CJ47" s="1454"/>
      <c r="CK47" s="1454"/>
      <c r="CL47" s="1454"/>
      <c r="CM47" s="1454"/>
      <c r="CN47" s="1454"/>
      <c r="CO47" s="1454"/>
      <c r="CP47" s="1454"/>
      <c r="CQ47" s="1454"/>
      <c r="CR47" s="1454"/>
      <c r="CS47" s="1454"/>
      <c r="CT47" s="1454"/>
      <c r="CU47" s="290"/>
      <c r="CV47" s="290"/>
      <c r="CW47" s="290"/>
      <c r="CX47" s="290"/>
      <c r="CY47" s="290"/>
      <c r="CZ47" s="290"/>
    </row>
    <row r="48" spans="1:104" ht="14.1" customHeight="1" x14ac:dyDescent="0.2">
      <c r="A48" s="8525"/>
      <c r="B48" s="7781" t="s">
        <v>70</v>
      </c>
      <c r="C48" s="7782">
        <f t="shared" si="15"/>
        <v>0</v>
      </c>
      <c r="D48" s="7783">
        <f t="shared" si="13"/>
        <v>0</v>
      </c>
      <c r="E48" s="7783">
        <f t="shared" si="13"/>
        <v>0</v>
      </c>
      <c r="F48" s="7784"/>
      <c r="G48" s="7785"/>
      <c r="H48" s="7784"/>
      <c r="I48" s="7785"/>
      <c r="J48" s="7784"/>
      <c r="K48" s="7786"/>
      <c r="L48" s="7784"/>
      <c r="M48" s="7785"/>
      <c r="N48" s="7787"/>
      <c r="O48" s="7785"/>
      <c r="P48" s="7788"/>
      <c r="Q48" s="7785"/>
      <c r="R48" s="7788"/>
      <c r="S48" s="7785"/>
      <c r="T48" s="7788"/>
      <c r="U48" s="7785"/>
      <c r="V48" s="7788"/>
      <c r="W48" s="7785"/>
      <c r="X48" s="7788"/>
      <c r="Y48" s="7785"/>
      <c r="Z48" s="7788"/>
      <c r="AA48" s="7785"/>
      <c r="AB48" s="7788"/>
      <c r="AC48" s="7785"/>
      <c r="AD48" s="7788"/>
      <c r="AE48" s="7785"/>
      <c r="AF48" s="7788"/>
      <c r="AG48" s="7785"/>
      <c r="AH48" s="7788"/>
      <c r="AI48" s="7785"/>
      <c r="AJ48" s="7788"/>
      <c r="AK48" s="7785"/>
      <c r="AL48" s="7788"/>
      <c r="AM48" s="7789"/>
      <c r="AN48" s="7790"/>
      <c r="AO48" s="7787"/>
      <c r="AP48" s="7788"/>
      <c r="AQ48" s="7785"/>
      <c r="AR48" s="7742" t="str">
        <f t="shared" si="14"/>
        <v/>
      </c>
      <c r="BS48" s="1452"/>
      <c r="BT48" s="1452"/>
      <c r="BV48" s="1460"/>
      <c r="BW48" s="1460"/>
      <c r="BX48" s="1460"/>
      <c r="CA48" s="1457" t="str">
        <f t="shared" si="16"/>
        <v/>
      </c>
      <c r="CG48" s="1458">
        <f t="shared" si="17"/>
        <v>0</v>
      </c>
      <c r="CH48" s="1454"/>
      <c r="CI48" s="1454"/>
      <c r="CJ48" s="1454"/>
      <c r="CK48" s="1454"/>
      <c r="CL48" s="1454"/>
      <c r="CM48" s="1454"/>
      <c r="CN48" s="1454"/>
      <c r="CO48" s="1454"/>
      <c r="CP48" s="1454"/>
      <c r="CQ48" s="1454"/>
      <c r="CR48" s="1454"/>
      <c r="CS48" s="1454"/>
      <c r="CT48" s="1454"/>
      <c r="CU48" s="290"/>
      <c r="CV48" s="290"/>
      <c r="CW48" s="290"/>
      <c r="CX48" s="290"/>
      <c r="CY48" s="290"/>
      <c r="CZ48" s="290"/>
    </row>
    <row r="49" spans="1:130" ht="14.1" customHeight="1" x14ac:dyDescent="0.2">
      <c r="A49" s="7791" t="s">
        <v>159</v>
      </c>
      <c r="B49" s="7792"/>
      <c r="C49" s="7793">
        <f>SUM(D49:E49)</f>
        <v>0</v>
      </c>
      <c r="D49" s="7767">
        <f t="shared" si="13"/>
        <v>0</v>
      </c>
      <c r="E49" s="7767">
        <f t="shared" si="13"/>
        <v>0</v>
      </c>
      <c r="F49" s="7746"/>
      <c r="G49" s="7747"/>
      <c r="H49" s="7746"/>
      <c r="I49" s="7748"/>
      <c r="J49" s="7746"/>
      <c r="K49" s="7748"/>
      <c r="L49" s="7746"/>
      <c r="M49" s="7747"/>
      <c r="N49" s="7749"/>
      <c r="O49" s="7748"/>
      <c r="P49" s="7749"/>
      <c r="Q49" s="7748"/>
      <c r="R49" s="7749"/>
      <c r="S49" s="7748"/>
      <c r="T49" s="7749"/>
      <c r="U49" s="7748"/>
      <c r="V49" s="7749"/>
      <c r="W49" s="7748"/>
      <c r="X49" s="7749"/>
      <c r="Y49" s="7748"/>
      <c r="Z49" s="7749"/>
      <c r="AA49" s="7748"/>
      <c r="AB49" s="7749"/>
      <c r="AC49" s="7748"/>
      <c r="AD49" s="7749"/>
      <c r="AE49" s="7748"/>
      <c r="AF49" s="7749"/>
      <c r="AG49" s="7748"/>
      <c r="AH49" s="7749"/>
      <c r="AI49" s="7748"/>
      <c r="AJ49" s="7749"/>
      <c r="AK49" s="7748"/>
      <c r="AL49" s="7749"/>
      <c r="AM49" s="7750"/>
      <c r="AN49" s="7751"/>
      <c r="AO49" s="7749"/>
      <c r="AP49" s="7749"/>
      <c r="AQ49" s="7748"/>
      <c r="AR49" s="7742" t="str">
        <f t="shared" si="14"/>
        <v/>
      </c>
      <c r="BS49" s="1452"/>
      <c r="BT49" s="1452"/>
      <c r="BV49" s="1460"/>
      <c r="BW49" s="1460"/>
      <c r="BX49" s="1460"/>
      <c r="CA49" s="1457" t="str">
        <f t="shared" si="16"/>
        <v/>
      </c>
      <c r="CG49" s="1458">
        <f t="shared" si="17"/>
        <v>0</v>
      </c>
      <c r="CH49" s="1454"/>
      <c r="CI49" s="1454"/>
      <c r="CJ49" s="1454"/>
      <c r="CK49" s="1454"/>
      <c r="CL49" s="1454"/>
      <c r="CM49" s="1454"/>
      <c r="CN49" s="1454"/>
      <c r="CO49" s="1454"/>
      <c r="CP49" s="1454"/>
      <c r="CQ49" s="1454"/>
      <c r="CR49" s="1454"/>
      <c r="CS49" s="1454"/>
      <c r="CT49" s="1454"/>
      <c r="CU49" s="290"/>
      <c r="CV49" s="290"/>
      <c r="CW49" s="290"/>
      <c r="CX49" s="290"/>
      <c r="CY49" s="290"/>
      <c r="CZ49" s="290"/>
    </row>
    <row r="50" spans="1:130" ht="14.1" customHeight="1" x14ac:dyDescent="0.2">
      <c r="A50" s="7794" t="s">
        <v>160</v>
      </c>
      <c r="B50" s="7795"/>
      <c r="C50" s="7796">
        <f>SUM(D50:E50)</f>
        <v>0</v>
      </c>
      <c r="D50" s="7797">
        <f t="shared" si="13"/>
        <v>0</v>
      </c>
      <c r="E50" s="7797">
        <f t="shared" si="13"/>
        <v>0</v>
      </c>
      <c r="F50" s="7784"/>
      <c r="G50" s="7785"/>
      <c r="H50" s="7784"/>
      <c r="I50" s="7786"/>
      <c r="J50" s="7784"/>
      <c r="K50" s="7786"/>
      <c r="L50" s="7784"/>
      <c r="M50" s="7785"/>
      <c r="N50" s="7787"/>
      <c r="O50" s="7786"/>
      <c r="P50" s="7787"/>
      <c r="Q50" s="7786"/>
      <c r="R50" s="7787"/>
      <c r="S50" s="7786"/>
      <c r="T50" s="7787"/>
      <c r="U50" s="7786"/>
      <c r="V50" s="7787"/>
      <c r="W50" s="7786"/>
      <c r="X50" s="7787"/>
      <c r="Y50" s="7786"/>
      <c r="Z50" s="7787"/>
      <c r="AA50" s="7786"/>
      <c r="AB50" s="7787"/>
      <c r="AC50" s="7786"/>
      <c r="AD50" s="7787"/>
      <c r="AE50" s="7786"/>
      <c r="AF50" s="7787"/>
      <c r="AG50" s="7786"/>
      <c r="AH50" s="7787"/>
      <c r="AI50" s="7786"/>
      <c r="AJ50" s="7787"/>
      <c r="AK50" s="7786"/>
      <c r="AL50" s="7787"/>
      <c r="AM50" s="7798"/>
      <c r="AN50" s="7790"/>
      <c r="AO50" s="7787"/>
      <c r="AP50" s="7787"/>
      <c r="AQ50" s="7786"/>
      <c r="AR50" s="7742" t="str">
        <f t="shared" si="14"/>
        <v/>
      </c>
      <c r="BS50" s="1452"/>
      <c r="BT50" s="1452"/>
      <c r="BV50" s="1460"/>
      <c r="BW50" s="1460"/>
      <c r="BX50" s="1460"/>
      <c r="CA50" s="1457" t="str">
        <f t="shared" si="16"/>
        <v/>
      </c>
      <c r="CG50" s="1458">
        <f t="shared" si="17"/>
        <v>0</v>
      </c>
      <c r="CH50" s="1454"/>
      <c r="CI50" s="1454"/>
      <c r="CJ50" s="1454"/>
      <c r="CK50" s="1454"/>
      <c r="CL50" s="1454"/>
      <c r="CM50" s="1454"/>
      <c r="CN50" s="1454"/>
      <c r="CO50" s="1454"/>
      <c r="CP50" s="1454"/>
      <c r="CQ50" s="1454"/>
      <c r="CR50" s="1454"/>
      <c r="CS50" s="1454"/>
      <c r="CT50" s="1454"/>
      <c r="CU50" s="290"/>
      <c r="CV50" s="290"/>
      <c r="CW50" s="290"/>
      <c r="CX50" s="290"/>
      <c r="CY50" s="290"/>
      <c r="CZ50" s="290"/>
    </row>
    <row r="51" spans="1:130" ht="23.45" customHeight="1" x14ac:dyDescent="0.2">
      <c r="A51" s="133" t="s">
        <v>198</v>
      </c>
      <c r="B51" s="72"/>
      <c r="C51" s="7799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CA51" s="1457" t="str">
        <f t="shared" si="16"/>
        <v/>
      </c>
      <c r="CG51" s="1458"/>
      <c r="CH51" s="1454"/>
      <c r="CI51" s="1454"/>
      <c r="CJ51" s="1454"/>
      <c r="CK51" s="1454"/>
      <c r="CL51" s="1454"/>
      <c r="CM51" s="1454"/>
      <c r="CN51" s="1454"/>
      <c r="CO51" s="1454"/>
      <c r="CP51" s="1454"/>
      <c r="CQ51" s="1454"/>
      <c r="CR51" s="1454"/>
      <c r="CS51" s="1454"/>
      <c r="CT51" s="1454"/>
      <c r="CU51" s="290"/>
      <c r="CV51" s="290"/>
      <c r="CW51" s="290"/>
      <c r="CX51" s="290"/>
      <c r="CY51" s="290"/>
      <c r="CZ51" s="290"/>
    </row>
    <row r="52" spans="1:130" ht="18.75" customHeight="1" x14ac:dyDescent="0.2">
      <c r="A52" s="8524" t="s">
        <v>0</v>
      </c>
      <c r="B52" s="8549" t="s">
        <v>1</v>
      </c>
      <c r="C52" s="10394" t="s">
        <v>141</v>
      </c>
      <c r="D52" s="10394"/>
      <c r="E52" s="10394"/>
      <c r="F52" s="10395"/>
      <c r="G52" s="10440" t="s">
        <v>2870</v>
      </c>
      <c r="H52" s="10441"/>
      <c r="I52" s="7800"/>
      <c r="AI52" s="1452"/>
      <c r="AJ52" s="1452"/>
      <c r="BY52" s="290"/>
      <c r="CA52" s="1457" t="str">
        <f t="shared" si="16"/>
        <v/>
      </c>
      <c r="CG52" s="1458"/>
      <c r="CH52" s="1454"/>
      <c r="CI52" s="1454"/>
      <c r="CJ52" s="1454"/>
      <c r="CK52" s="1454"/>
      <c r="CL52" s="1454"/>
      <c r="CM52" s="1454"/>
      <c r="CN52" s="1454"/>
      <c r="CO52" s="1454"/>
      <c r="CP52" s="1454"/>
      <c r="CQ52" s="1454"/>
      <c r="CR52" s="1454"/>
      <c r="CS52" s="1454"/>
      <c r="CT52" s="1454"/>
      <c r="CU52" s="290"/>
      <c r="CV52" s="290"/>
      <c r="CW52" s="290"/>
      <c r="CX52" s="290"/>
      <c r="CY52" s="290"/>
      <c r="CZ52" s="290"/>
    </row>
    <row r="53" spans="1:130" ht="18.75" customHeight="1" x14ac:dyDescent="0.2">
      <c r="A53" s="8462"/>
      <c r="B53" s="8460"/>
      <c r="C53" s="8151" t="s">
        <v>3978</v>
      </c>
      <c r="D53" s="10434" t="s">
        <v>146</v>
      </c>
      <c r="E53" s="10397" t="s">
        <v>147</v>
      </c>
      <c r="F53" s="10429" t="s">
        <v>148</v>
      </c>
      <c r="G53" s="10450" t="s">
        <v>2869</v>
      </c>
      <c r="H53" s="9138" t="s">
        <v>2824</v>
      </c>
      <c r="AH53" s="1452"/>
      <c r="AI53" s="1452"/>
      <c r="BT53" s="290"/>
      <c r="BZ53" s="1457"/>
      <c r="CF53" s="1458"/>
      <c r="CG53" s="1454"/>
      <c r="CH53" s="1454"/>
      <c r="CI53" s="1454"/>
      <c r="CJ53" s="1454"/>
      <c r="CK53" s="1454"/>
      <c r="CL53" s="1454"/>
      <c r="CM53" s="1454"/>
      <c r="CN53" s="1454"/>
      <c r="CO53" s="1454"/>
      <c r="CP53" s="1454"/>
      <c r="CQ53" s="1454"/>
      <c r="CR53" s="1454"/>
      <c r="CS53" s="1454"/>
      <c r="CT53" s="290"/>
      <c r="CU53" s="290"/>
      <c r="CV53" s="290"/>
      <c r="CW53" s="290"/>
      <c r="CX53" s="290"/>
      <c r="CY53" s="290"/>
      <c r="CZ53" s="290"/>
      <c r="DZ53" s="165"/>
    </row>
    <row r="54" spans="1:130" ht="15.6" customHeight="1" x14ac:dyDescent="0.2">
      <c r="A54" s="8525"/>
      <c r="B54" s="8550"/>
      <c r="C54" s="8466"/>
      <c r="D54" s="10147"/>
      <c r="E54" s="10162"/>
      <c r="F54" s="10430"/>
      <c r="G54" s="10450"/>
      <c r="H54" s="9138"/>
      <c r="AH54" s="1452"/>
      <c r="AI54" s="1452"/>
      <c r="BT54" s="290"/>
      <c r="BZ54" s="1457"/>
      <c r="CF54" s="1458"/>
      <c r="CG54" s="1454"/>
      <c r="CH54" s="1454"/>
      <c r="CI54" s="1454"/>
      <c r="CJ54" s="1454"/>
      <c r="CK54" s="1454"/>
      <c r="CL54" s="1454"/>
      <c r="CM54" s="1454"/>
      <c r="CN54" s="1454"/>
      <c r="CO54" s="1454"/>
      <c r="CP54" s="1454"/>
      <c r="CQ54" s="1454"/>
      <c r="CR54" s="1454"/>
      <c r="CS54" s="1454"/>
      <c r="CT54" s="290"/>
      <c r="CU54" s="290"/>
      <c r="CV54" s="290"/>
      <c r="CW54" s="290"/>
      <c r="CX54" s="290"/>
      <c r="CY54" s="290"/>
      <c r="CZ54" s="290"/>
      <c r="DZ54" s="165"/>
    </row>
    <row r="55" spans="1:130" ht="14.1" customHeight="1" x14ac:dyDescent="0.2">
      <c r="A55" s="7801" t="s">
        <v>2583</v>
      </c>
      <c r="B55" s="7802">
        <f>SUM(C55:F55)</f>
        <v>0</v>
      </c>
      <c r="C55" s="2987"/>
      <c r="D55" s="3031"/>
      <c r="E55" s="7803"/>
      <c r="F55" s="7804"/>
      <c r="G55" s="2987"/>
      <c r="H55" s="2987"/>
      <c r="AH55" s="1452"/>
      <c r="AI55" s="1452"/>
      <c r="BT55" s="290"/>
      <c r="BY55" s="290"/>
      <c r="BZ55" s="1457" t="str">
        <f>IF(CF55=1," * El total de Ingresos debe ser igual a la suma de los Tipos de Estrategia. ","")</f>
        <v/>
      </c>
      <c r="CF55" s="1458"/>
      <c r="CG55" s="1454"/>
      <c r="CH55" s="1454"/>
      <c r="CI55" s="1454"/>
      <c r="CJ55" s="1454"/>
      <c r="CK55" s="1454"/>
      <c r="CL55" s="1454"/>
      <c r="CM55" s="1454"/>
      <c r="CN55" s="1454"/>
      <c r="CO55" s="1454"/>
      <c r="CP55" s="1454"/>
      <c r="CQ55" s="1454"/>
      <c r="CR55" s="1454"/>
      <c r="CS55" s="1454"/>
      <c r="CT55" s="290"/>
      <c r="CU55" s="290"/>
      <c r="CV55" s="290"/>
      <c r="CW55" s="290"/>
      <c r="CX55" s="290"/>
      <c r="CY55" s="290"/>
      <c r="CZ55" s="290"/>
      <c r="DZ55" s="165"/>
    </row>
    <row r="56" spans="1:130" ht="14.1" customHeight="1" x14ac:dyDescent="0.2">
      <c r="A56" s="3333" t="s">
        <v>1014</v>
      </c>
      <c r="B56" s="7802">
        <f>SUM(C56:F56)</f>
        <v>0</v>
      </c>
      <c r="C56" s="3334"/>
      <c r="D56" s="3031"/>
      <c r="E56" s="7803"/>
      <c r="F56" s="7805"/>
      <c r="G56" s="3334"/>
      <c r="H56" s="3334"/>
      <c r="AH56" s="1452"/>
      <c r="AI56" s="1452"/>
      <c r="BT56" s="290"/>
      <c r="BY56" s="290"/>
      <c r="BZ56" s="1457" t="str">
        <f>IF(CF56=1," * El total de Ingresos debe ser igual a la suma de los Tipos de Estrategia. ","")</f>
        <v/>
      </c>
      <c r="CF56" s="1458"/>
      <c r="CG56" s="1454"/>
      <c r="CH56" s="1454"/>
      <c r="CI56" s="1454"/>
      <c r="CJ56" s="1454"/>
      <c r="CK56" s="1454"/>
      <c r="CL56" s="1454"/>
      <c r="CM56" s="1454"/>
      <c r="CN56" s="1454"/>
      <c r="CO56" s="1454"/>
      <c r="CP56" s="1454"/>
      <c r="CQ56" s="1454"/>
      <c r="CR56" s="1454"/>
      <c r="CS56" s="1454"/>
      <c r="CT56" s="290"/>
      <c r="CU56" s="290"/>
      <c r="CV56" s="290"/>
      <c r="CW56" s="290"/>
      <c r="CX56" s="290"/>
      <c r="CY56" s="290"/>
      <c r="CZ56" s="290"/>
      <c r="DZ56" s="165"/>
    </row>
    <row r="57" spans="1:130" ht="14.1" customHeight="1" x14ac:dyDescent="0.2">
      <c r="A57" s="3333" t="s">
        <v>62</v>
      </c>
      <c r="B57" s="7802">
        <f>SUM(C57:F57)</f>
        <v>0</v>
      </c>
      <c r="C57" s="3334"/>
      <c r="D57" s="3031"/>
      <c r="E57" s="7803"/>
      <c r="F57" s="7805"/>
      <c r="G57" s="3334"/>
      <c r="H57" s="3334"/>
      <c r="AH57" s="1452"/>
      <c r="AI57" s="1452"/>
      <c r="BT57" s="290"/>
      <c r="BY57" s="290"/>
      <c r="BZ57" s="1451"/>
      <c r="CI57" s="1454"/>
      <c r="CJ57" s="1454"/>
      <c r="CK57" s="1454"/>
      <c r="CL57" s="1454"/>
      <c r="CM57" s="1454"/>
      <c r="CN57" s="1454"/>
      <c r="CO57" s="1454"/>
      <c r="CP57" s="1454"/>
      <c r="CQ57" s="1454"/>
      <c r="CR57" s="1454"/>
      <c r="CS57" s="1454"/>
      <c r="CT57" s="290"/>
      <c r="CU57" s="290"/>
      <c r="CV57" s="290"/>
      <c r="CW57" s="290"/>
      <c r="CX57" s="290"/>
      <c r="CY57" s="290"/>
      <c r="CZ57" s="290"/>
      <c r="DZ57" s="165"/>
    </row>
    <row r="58" spans="1:130" ht="14.1" customHeight="1" x14ac:dyDescent="0.2">
      <c r="A58" s="3333" t="s">
        <v>2586</v>
      </c>
      <c r="B58" s="7802">
        <f>SUM(C58:F58)</f>
        <v>0</v>
      </c>
      <c r="C58" s="3334"/>
      <c r="D58" s="3031"/>
      <c r="E58" s="7803"/>
      <c r="F58" s="7805"/>
      <c r="G58" s="3334"/>
      <c r="H58" s="3334"/>
      <c r="AH58" s="1452"/>
      <c r="AI58" s="1452"/>
      <c r="BT58" s="290"/>
      <c r="BY58" s="290"/>
      <c r="BZ58" s="1451"/>
      <c r="CI58" s="1454"/>
      <c r="CJ58" s="1454"/>
      <c r="CK58" s="1454"/>
      <c r="CL58" s="1454"/>
      <c r="CM58" s="1454"/>
      <c r="CN58" s="1454"/>
      <c r="CO58" s="1454"/>
      <c r="CP58" s="1454"/>
      <c r="CQ58" s="1454"/>
      <c r="CR58" s="1454"/>
      <c r="CS58" s="1454"/>
      <c r="CT58" s="290"/>
      <c r="CU58" s="290"/>
      <c r="CV58" s="290"/>
      <c r="CW58" s="290"/>
      <c r="CX58" s="290"/>
      <c r="CY58" s="290"/>
      <c r="CZ58" s="290"/>
      <c r="DZ58" s="165"/>
    </row>
    <row r="59" spans="1:130" ht="14.1" customHeight="1" x14ac:dyDescent="0.2">
      <c r="A59" s="3333" t="s">
        <v>60</v>
      </c>
      <c r="B59" s="7802">
        <f>SUM(C59:F59)</f>
        <v>0</v>
      </c>
      <c r="C59" s="3204"/>
      <c r="D59" s="3335"/>
      <c r="E59" s="7806"/>
      <c r="F59" s="7807"/>
      <c r="G59" s="3204"/>
      <c r="H59" s="3204"/>
      <c r="AH59" s="1452"/>
      <c r="AI59" s="1452"/>
      <c r="BT59" s="290"/>
      <c r="BY59" s="290"/>
      <c r="BZ59" s="1451"/>
      <c r="CF59" s="1454"/>
      <c r="CG59" s="1454"/>
      <c r="CH59" s="1454"/>
      <c r="CI59" s="1454"/>
      <c r="CJ59" s="1454"/>
      <c r="CK59" s="1454"/>
      <c r="CL59" s="1454"/>
      <c r="CM59" s="1454"/>
      <c r="CN59" s="1454"/>
      <c r="CO59" s="1454"/>
      <c r="CP59" s="1454"/>
      <c r="CQ59" s="1454"/>
      <c r="CR59" s="1454"/>
      <c r="CS59" s="1454"/>
      <c r="CT59" s="290"/>
      <c r="CU59" s="290"/>
      <c r="CV59" s="290"/>
      <c r="CW59" s="290"/>
      <c r="CX59" s="290"/>
      <c r="CY59" s="290"/>
      <c r="CZ59" s="290"/>
      <c r="DZ59" s="165"/>
    </row>
    <row r="60" spans="1:130" ht="14.1" customHeight="1" x14ac:dyDescent="0.2">
      <c r="A60" s="7808" t="s">
        <v>24</v>
      </c>
      <c r="B60" s="7809">
        <f t="shared" ref="B60:G60" si="18">SUM(B55:B59)</f>
        <v>0</v>
      </c>
      <c r="C60" s="7810">
        <f t="shared" si="18"/>
        <v>0</v>
      </c>
      <c r="D60" s="7811">
        <f t="shared" si="18"/>
        <v>0</v>
      </c>
      <c r="E60" s="7812">
        <f t="shared" si="18"/>
        <v>0</v>
      </c>
      <c r="F60" s="7813">
        <f t="shared" si="18"/>
        <v>0</v>
      </c>
      <c r="G60" s="7810">
        <f t="shared" si="18"/>
        <v>0</v>
      </c>
      <c r="H60" s="7810">
        <f>SUM(H55:H59)</f>
        <v>0</v>
      </c>
      <c r="AH60" s="1452"/>
      <c r="AI60" s="1452"/>
      <c r="BT60" s="290"/>
      <c r="BZ60" s="1451"/>
      <c r="CF60" s="1454"/>
      <c r="CG60" s="1454"/>
      <c r="CH60" s="1454"/>
      <c r="CI60" s="1454"/>
      <c r="CJ60" s="1454"/>
      <c r="CK60" s="1454"/>
      <c r="CL60" s="1454"/>
      <c r="CM60" s="1454"/>
      <c r="CN60" s="1454"/>
      <c r="CO60" s="1454"/>
      <c r="CP60" s="1454"/>
      <c r="CQ60" s="1454"/>
      <c r="CR60" s="1454"/>
      <c r="CS60" s="1454"/>
      <c r="CT60" s="290"/>
      <c r="CU60" s="290"/>
      <c r="CV60" s="290"/>
      <c r="CW60" s="290"/>
      <c r="CX60" s="290"/>
      <c r="CY60" s="290"/>
      <c r="CZ60" s="290"/>
      <c r="DZ60" s="165"/>
    </row>
    <row r="61" spans="1:130" ht="27" customHeight="1" x14ac:dyDescent="0.2">
      <c r="A61" s="133" t="s">
        <v>301</v>
      </c>
      <c r="D61" s="72"/>
      <c r="E61" s="72"/>
      <c r="F61" s="72"/>
      <c r="G61" s="72"/>
      <c r="H61" s="72"/>
      <c r="I61" s="72"/>
      <c r="J61" s="72"/>
      <c r="K61" s="72"/>
      <c r="CA61" s="1457"/>
      <c r="CB61" s="1457"/>
      <c r="CC61" s="1457"/>
      <c r="CD61" s="1457"/>
      <c r="CE61" s="1457"/>
      <c r="CF61" s="1457"/>
      <c r="CG61" s="1458"/>
      <c r="CH61" s="1458"/>
      <c r="CI61" s="1458"/>
      <c r="CJ61" s="1454"/>
      <c r="CK61" s="1454"/>
      <c r="CL61" s="1454"/>
      <c r="CM61" s="1454"/>
      <c r="CN61" s="1454"/>
      <c r="CO61" s="1454"/>
      <c r="CP61" s="1454"/>
      <c r="CQ61" s="1454"/>
      <c r="CR61" s="1454"/>
      <c r="CS61" s="1454"/>
      <c r="CT61" s="1454"/>
      <c r="CU61" s="290"/>
      <c r="CV61" s="290"/>
      <c r="CW61" s="290"/>
      <c r="CX61" s="290"/>
      <c r="CY61" s="290"/>
      <c r="CZ61" s="290"/>
    </row>
    <row r="62" spans="1:130" ht="16.5" customHeight="1" x14ac:dyDescent="0.2">
      <c r="A62" s="10443" t="s">
        <v>0</v>
      </c>
      <c r="B62" s="8526" t="s">
        <v>1</v>
      </c>
      <c r="C62" s="10005" t="s">
        <v>98</v>
      </c>
      <c r="D62" s="10005"/>
      <c r="E62" s="10005"/>
      <c r="F62" s="10005"/>
      <c r="G62" s="10005"/>
      <c r="H62" s="10005"/>
      <c r="I62" s="10005"/>
      <c r="J62" s="10005"/>
      <c r="K62" s="10005"/>
      <c r="L62" s="10005"/>
      <c r="M62" s="10005"/>
      <c r="N62" s="10005"/>
      <c r="O62" s="10005"/>
      <c r="P62" s="10005"/>
      <c r="Q62" s="10005"/>
      <c r="R62" s="10005"/>
      <c r="S62" s="10412"/>
      <c r="T62" s="10394" t="s">
        <v>141</v>
      </c>
      <c r="U62" s="10394"/>
      <c r="V62" s="10394"/>
      <c r="W62" s="8572"/>
      <c r="X62" s="10409" t="s">
        <v>2871</v>
      </c>
      <c r="Y62" s="10410"/>
      <c r="Z62" s="10411"/>
      <c r="AA62" s="72"/>
      <c r="AB62" s="72"/>
      <c r="BY62" s="290"/>
      <c r="BZ62" s="290"/>
      <c r="CA62" s="1457"/>
      <c r="CB62" s="1457"/>
      <c r="CC62" s="1457"/>
      <c r="CD62" s="1457"/>
      <c r="CE62" s="1457"/>
      <c r="CF62" s="1457"/>
      <c r="CG62" s="1458"/>
      <c r="CH62" s="1458"/>
      <c r="CI62" s="1458"/>
      <c r="CJ62" s="1454"/>
      <c r="CK62" s="1454"/>
      <c r="CL62" s="1454"/>
      <c r="CM62" s="1454"/>
      <c r="CN62" s="1454"/>
      <c r="CO62" s="1454"/>
      <c r="CP62" s="1454"/>
      <c r="CQ62" s="1454"/>
      <c r="CR62" s="1454"/>
      <c r="CS62" s="1454"/>
      <c r="CT62" s="1454"/>
      <c r="DA62" s="1460"/>
      <c r="DB62" s="1460"/>
      <c r="DC62" s="1460"/>
      <c r="DD62" s="1460"/>
      <c r="DE62" s="1460"/>
      <c r="DF62" s="1460"/>
      <c r="DG62" s="1460"/>
      <c r="DH62" s="1460"/>
      <c r="DI62" s="1460"/>
      <c r="DJ62" s="1460"/>
      <c r="DK62" s="1460"/>
    </row>
    <row r="63" spans="1:130" ht="36" customHeight="1" x14ac:dyDescent="0.2">
      <c r="A63" s="10404"/>
      <c r="B63" s="8466"/>
      <c r="C63" s="7675" t="s">
        <v>1414</v>
      </c>
      <c r="D63" s="7675" t="s">
        <v>1413</v>
      </c>
      <c r="E63" s="7675" t="s">
        <v>77</v>
      </c>
      <c r="F63" s="7675" t="s">
        <v>68</v>
      </c>
      <c r="G63" s="7675" t="s">
        <v>142</v>
      </c>
      <c r="H63" s="7675" t="s">
        <v>143</v>
      </c>
      <c r="I63" s="7675" t="s">
        <v>144</v>
      </c>
      <c r="J63" s="7675" t="s">
        <v>7</v>
      </c>
      <c r="K63" s="7675" t="s">
        <v>8</v>
      </c>
      <c r="L63" s="7675" t="s">
        <v>145</v>
      </c>
      <c r="M63" s="7675" t="s">
        <v>10</v>
      </c>
      <c r="N63" s="7675" t="s">
        <v>11</v>
      </c>
      <c r="O63" s="7675" t="s">
        <v>12</v>
      </c>
      <c r="P63" s="7675" t="s">
        <v>13</v>
      </c>
      <c r="Q63" s="7675" t="s">
        <v>14</v>
      </c>
      <c r="R63" s="7675" t="s">
        <v>15</v>
      </c>
      <c r="S63" s="7814" t="s">
        <v>16</v>
      </c>
      <c r="T63" s="3269" t="s">
        <v>3978</v>
      </c>
      <c r="U63" s="7733" t="s">
        <v>146</v>
      </c>
      <c r="V63" s="3206" t="s">
        <v>156</v>
      </c>
      <c r="W63" s="3206" t="s">
        <v>148</v>
      </c>
      <c r="X63" s="3506" t="s">
        <v>2822</v>
      </c>
      <c r="Y63" s="7670" t="s">
        <v>2823</v>
      </c>
      <c r="Z63" s="7670" t="s">
        <v>2824</v>
      </c>
      <c r="AA63" s="140"/>
      <c r="BK63" s="140"/>
      <c r="BY63" s="290"/>
      <c r="BZ63" s="290"/>
      <c r="CA63" s="1457"/>
      <c r="CB63" s="1457"/>
      <c r="CC63" s="1457"/>
      <c r="CD63" s="1457"/>
      <c r="CE63" s="1457"/>
      <c r="CF63" s="1457"/>
      <c r="CG63" s="1458"/>
      <c r="CH63" s="1458"/>
      <c r="CI63" s="1458"/>
      <c r="CJ63" s="1454"/>
      <c r="CK63" s="1454"/>
      <c r="CL63" s="1454"/>
      <c r="CM63" s="1454"/>
      <c r="CN63" s="1454"/>
      <c r="CO63" s="1454"/>
      <c r="CP63" s="1454"/>
      <c r="CQ63" s="1454"/>
      <c r="CR63" s="1454"/>
      <c r="CS63" s="1454"/>
      <c r="CT63" s="1454"/>
      <c r="DA63" s="1460"/>
      <c r="DB63" s="1460"/>
      <c r="DC63" s="1460"/>
      <c r="DD63" s="1460"/>
      <c r="DE63" s="1460"/>
      <c r="DF63" s="1460"/>
      <c r="DG63" s="1460"/>
      <c r="DH63" s="1460"/>
      <c r="DI63" s="1460"/>
      <c r="DJ63" s="1460"/>
    </row>
    <row r="64" spans="1:130" ht="14.1" customHeight="1" x14ac:dyDescent="0.2">
      <c r="A64" s="7801" t="s">
        <v>1014</v>
      </c>
      <c r="B64" s="7815">
        <f>SUM(C64:S64)</f>
        <v>0</v>
      </c>
      <c r="C64" s="3336"/>
      <c r="D64" s="3334"/>
      <c r="E64" s="3334"/>
      <c r="F64" s="3334"/>
      <c r="G64" s="3334"/>
      <c r="H64" s="3334"/>
      <c r="I64" s="3334"/>
      <c r="J64" s="3334"/>
      <c r="K64" s="3334"/>
      <c r="L64" s="3334"/>
      <c r="M64" s="3334"/>
      <c r="N64" s="3334"/>
      <c r="O64" s="3334"/>
      <c r="P64" s="3334"/>
      <c r="Q64" s="3334"/>
      <c r="R64" s="3334"/>
      <c r="S64" s="7816"/>
      <c r="T64" s="3112"/>
      <c r="U64" s="3060"/>
      <c r="V64" s="3060"/>
      <c r="W64" s="2877"/>
      <c r="X64" s="3113"/>
      <c r="Y64" s="3113"/>
      <c r="Z64" s="3113"/>
      <c r="AA64" s="140"/>
      <c r="BK64" s="140"/>
      <c r="BY64" s="290"/>
      <c r="BZ64" s="290"/>
      <c r="CA64" s="1457"/>
      <c r="CB64" s="1457"/>
      <c r="CC64" s="1457"/>
      <c r="CD64" s="1457"/>
      <c r="CE64" s="1457"/>
      <c r="CF64" s="1457"/>
      <c r="CG64" s="1458"/>
      <c r="CH64" s="1458"/>
      <c r="CI64" s="1458"/>
      <c r="CJ64" s="1454"/>
      <c r="CK64" s="1454"/>
      <c r="CL64" s="1454"/>
      <c r="CM64" s="1454"/>
      <c r="CN64" s="1454"/>
      <c r="CO64" s="1454"/>
      <c r="CP64" s="1454"/>
      <c r="CQ64" s="1454"/>
      <c r="CR64" s="1454"/>
      <c r="CS64" s="1454"/>
      <c r="CT64" s="1454"/>
      <c r="DA64" s="1460"/>
      <c r="DB64" s="1460"/>
      <c r="DC64" s="1460"/>
      <c r="DD64" s="1460"/>
      <c r="DE64" s="1460"/>
      <c r="DF64" s="1460"/>
      <c r="DG64" s="1460"/>
      <c r="DH64" s="1460"/>
      <c r="DI64" s="1460"/>
      <c r="DJ64" s="1460"/>
    </row>
    <row r="65" spans="1:115" ht="14.1" customHeight="1" x14ac:dyDescent="0.2">
      <c r="A65" s="3333" t="s">
        <v>62</v>
      </c>
      <c r="B65" s="7817">
        <f>SUM(C65:S65)</f>
        <v>0</v>
      </c>
      <c r="C65" s="3336"/>
      <c r="D65" s="3334"/>
      <c r="E65" s="3334"/>
      <c r="F65" s="3334"/>
      <c r="G65" s="3334"/>
      <c r="H65" s="3334"/>
      <c r="I65" s="3334"/>
      <c r="J65" s="3334"/>
      <c r="K65" s="3334"/>
      <c r="L65" s="3334"/>
      <c r="M65" s="3334"/>
      <c r="N65" s="3334"/>
      <c r="O65" s="3334"/>
      <c r="P65" s="3334"/>
      <c r="Q65" s="3334"/>
      <c r="R65" s="3334"/>
      <c r="S65" s="7816"/>
      <c r="T65" s="3136"/>
      <c r="U65" s="1871"/>
      <c r="V65" s="1871"/>
      <c r="W65" s="3121"/>
      <c r="X65" s="3067"/>
      <c r="Y65" s="3067"/>
      <c r="Z65" s="3067"/>
      <c r="AA65" s="140"/>
      <c r="BK65" s="140"/>
      <c r="BY65" s="290"/>
      <c r="BZ65" s="290"/>
      <c r="CA65" s="1457"/>
      <c r="CB65" s="1457"/>
      <c r="CC65" s="1457"/>
      <c r="CD65" s="1457"/>
      <c r="CE65" s="1457"/>
      <c r="CF65" s="1457"/>
      <c r="CG65" s="1458"/>
      <c r="CH65" s="1458"/>
      <c r="CI65" s="1458"/>
      <c r="CJ65" s="1454"/>
      <c r="CK65" s="1454"/>
      <c r="CL65" s="1454"/>
      <c r="CM65" s="1454"/>
      <c r="CN65" s="1454"/>
      <c r="CO65" s="1454"/>
      <c r="CP65" s="1454"/>
      <c r="CQ65" s="1454"/>
      <c r="CR65" s="1454"/>
      <c r="CS65" s="1454"/>
      <c r="CT65" s="1454"/>
      <c r="DA65" s="1460"/>
      <c r="DB65" s="1460"/>
      <c r="DC65" s="1460"/>
      <c r="DD65" s="1460"/>
      <c r="DE65" s="1460"/>
      <c r="DF65" s="1460"/>
      <c r="DG65" s="1460"/>
      <c r="DH65" s="1460"/>
      <c r="DI65" s="1460"/>
      <c r="DJ65" s="1460"/>
    </row>
    <row r="66" spans="1:115" ht="14.1" customHeight="1" x14ac:dyDescent="0.2">
      <c r="A66" s="3333" t="s">
        <v>2586</v>
      </c>
      <c r="B66" s="7817">
        <f>SUM(C66:S66)</f>
        <v>0</v>
      </c>
      <c r="C66" s="3336"/>
      <c r="D66" s="3334"/>
      <c r="E66" s="3334"/>
      <c r="F66" s="3334"/>
      <c r="G66" s="3334"/>
      <c r="H66" s="3334"/>
      <c r="I66" s="3334"/>
      <c r="J66" s="3334"/>
      <c r="K66" s="3334"/>
      <c r="L66" s="3334"/>
      <c r="M66" s="3334"/>
      <c r="N66" s="3334"/>
      <c r="O66" s="3334"/>
      <c r="P66" s="3334"/>
      <c r="Q66" s="3334"/>
      <c r="R66" s="3334"/>
      <c r="S66" s="7816"/>
      <c r="T66" s="3136"/>
      <c r="U66" s="1871"/>
      <c r="V66" s="1871"/>
      <c r="W66" s="3121"/>
      <c r="X66" s="3067"/>
      <c r="Y66" s="3067"/>
      <c r="Z66" s="3067"/>
      <c r="AA66" s="140"/>
      <c r="BK66" s="140"/>
      <c r="BY66" s="290"/>
      <c r="BZ66" s="290"/>
      <c r="CG66" s="1454"/>
      <c r="CH66" s="1454"/>
      <c r="CI66" s="1454"/>
      <c r="CJ66" s="1454"/>
      <c r="CK66" s="1454"/>
      <c r="CL66" s="1454"/>
      <c r="CM66" s="1454"/>
      <c r="CN66" s="1454"/>
      <c r="CO66" s="1454"/>
      <c r="CP66" s="1454"/>
      <c r="CQ66" s="1454"/>
      <c r="CR66" s="1454"/>
      <c r="CS66" s="1454"/>
      <c r="CT66" s="1454"/>
      <c r="DA66" s="1460"/>
      <c r="DB66" s="1460"/>
      <c r="DC66" s="1460"/>
      <c r="DD66" s="1460"/>
      <c r="DE66" s="1460"/>
      <c r="DF66" s="1460"/>
      <c r="DG66" s="1460"/>
      <c r="DH66" s="1460"/>
      <c r="DI66" s="1460"/>
      <c r="DJ66" s="1460"/>
    </row>
    <row r="67" spans="1:115" ht="14.1" customHeight="1" x14ac:dyDescent="0.2">
      <c r="A67" s="3333" t="s">
        <v>60</v>
      </c>
      <c r="B67" s="7818">
        <f>SUM(C67:S67)</f>
        <v>0</v>
      </c>
      <c r="C67" s="3336"/>
      <c r="D67" s="3334"/>
      <c r="E67" s="3334"/>
      <c r="F67" s="3334"/>
      <c r="G67" s="3334"/>
      <c r="H67" s="3334"/>
      <c r="I67" s="3334"/>
      <c r="J67" s="3334"/>
      <c r="K67" s="3334"/>
      <c r="L67" s="3334"/>
      <c r="M67" s="3334"/>
      <c r="N67" s="3334"/>
      <c r="O67" s="3334"/>
      <c r="P67" s="3334"/>
      <c r="Q67" s="3334"/>
      <c r="R67" s="3334"/>
      <c r="S67" s="7816"/>
      <c r="T67" s="3126"/>
      <c r="U67" s="3064"/>
      <c r="V67" s="3064"/>
      <c r="W67" s="3249"/>
      <c r="X67" s="3329"/>
      <c r="Y67" s="3329"/>
      <c r="Z67" s="3329"/>
      <c r="AA67" s="140"/>
      <c r="BK67" s="140"/>
      <c r="BY67" s="290"/>
      <c r="BZ67" s="290"/>
      <c r="CG67" s="1454"/>
      <c r="CH67" s="1454"/>
      <c r="CI67" s="1454"/>
      <c r="CJ67" s="1454"/>
      <c r="CK67" s="1454"/>
      <c r="CL67" s="1454"/>
      <c r="CM67" s="1454"/>
      <c r="CN67" s="1454"/>
      <c r="CO67" s="1454"/>
      <c r="CP67" s="1454"/>
      <c r="CQ67" s="1454"/>
      <c r="CR67" s="1454"/>
      <c r="CS67" s="1454"/>
      <c r="CT67" s="1454"/>
      <c r="DA67" s="1460"/>
      <c r="DB67" s="1460"/>
      <c r="DC67" s="1460"/>
      <c r="DD67" s="1460"/>
      <c r="DE67" s="1460"/>
      <c r="DF67" s="1460"/>
      <c r="DG67" s="1460"/>
      <c r="DH67" s="1460"/>
      <c r="DI67" s="1460"/>
      <c r="DJ67" s="1460"/>
    </row>
    <row r="68" spans="1:115" ht="14.1" customHeight="1" x14ac:dyDescent="0.2">
      <c r="A68" s="7819" t="s">
        <v>24</v>
      </c>
      <c r="B68" s="7820">
        <f>SUM(B64:B67)</f>
        <v>0</v>
      </c>
      <c r="C68" s="7821">
        <f>SUM(C64:C67)</f>
        <v>0</v>
      </c>
      <c r="D68" s="7821">
        <f t="shared" ref="D68:S68" si="19">SUM(D64:D67)</f>
        <v>0</v>
      </c>
      <c r="E68" s="7821">
        <f t="shared" si="19"/>
        <v>0</v>
      </c>
      <c r="F68" s="7821">
        <f t="shared" si="19"/>
        <v>0</v>
      </c>
      <c r="G68" s="7821">
        <f t="shared" si="19"/>
        <v>0</v>
      </c>
      <c r="H68" s="7821">
        <f t="shared" si="19"/>
        <v>0</v>
      </c>
      <c r="I68" s="7821">
        <f t="shared" si="19"/>
        <v>0</v>
      </c>
      <c r="J68" s="7821">
        <f t="shared" si="19"/>
        <v>0</v>
      </c>
      <c r="K68" s="7821">
        <f t="shared" si="19"/>
        <v>0</v>
      </c>
      <c r="L68" s="7821">
        <f t="shared" si="19"/>
        <v>0</v>
      </c>
      <c r="M68" s="7821">
        <f t="shared" si="19"/>
        <v>0</v>
      </c>
      <c r="N68" s="7821">
        <f t="shared" si="19"/>
        <v>0</v>
      </c>
      <c r="O68" s="7821">
        <f t="shared" si="19"/>
        <v>0</v>
      </c>
      <c r="P68" s="7821">
        <f t="shared" si="19"/>
        <v>0</v>
      </c>
      <c r="Q68" s="7821">
        <f t="shared" si="19"/>
        <v>0</v>
      </c>
      <c r="R68" s="7821">
        <f t="shared" si="19"/>
        <v>0</v>
      </c>
      <c r="S68" s="7822">
        <f t="shared" si="19"/>
        <v>0</v>
      </c>
      <c r="T68" s="7823">
        <f t="shared" ref="T68:Z68" si="20">SUM(T64:T67)</f>
        <v>0</v>
      </c>
      <c r="U68" s="7417">
        <f t="shared" si="20"/>
        <v>0</v>
      </c>
      <c r="V68" s="7417">
        <f t="shared" si="20"/>
        <v>0</v>
      </c>
      <c r="W68" s="7417">
        <f t="shared" si="20"/>
        <v>0</v>
      </c>
      <c r="X68" s="7417">
        <f t="shared" si="20"/>
        <v>0</v>
      </c>
      <c r="Y68" s="7417">
        <f t="shared" si="20"/>
        <v>0</v>
      </c>
      <c r="Z68" s="7824">
        <f t="shared" si="20"/>
        <v>0</v>
      </c>
      <c r="AA68" s="140"/>
      <c r="BK68" s="140"/>
      <c r="BY68" s="290"/>
      <c r="BZ68" s="290"/>
      <c r="CG68" s="1454"/>
      <c r="CH68" s="1454"/>
      <c r="CI68" s="1454"/>
      <c r="CJ68" s="1454"/>
      <c r="CK68" s="1454"/>
      <c r="CL68" s="1454"/>
      <c r="CM68" s="1454"/>
      <c r="CN68" s="1454"/>
      <c r="CO68" s="1454"/>
      <c r="CP68" s="1454"/>
      <c r="CQ68" s="1454"/>
      <c r="CR68" s="1454"/>
      <c r="CS68" s="1454"/>
      <c r="CT68" s="1454"/>
      <c r="DA68" s="1460"/>
      <c r="DB68" s="1460"/>
      <c r="DC68" s="1460"/>
      <c r="DD68" s="1460"/>
      <c r="DE68" s="1460"/>
      <c r="DF68" s="1460"/>
      <c r="DG68" s="1460"/>
      <c r="DH68" s="1460"/>
      <c r="DI68" s="1460"/>
      <c r="DJ68" s="1460"/>
    </row>
    <row r="69" spans="1:115" ht="29.45" customHeight="1" x14ac:dyDescent="0.2">
      <c r="A69" s="133" t="s">
        <v>199</v>
      </c>
      <c r="D69" s="140"/>
      <c r="E69" s="140"/>
      <c r="F69" s="140"/>
      <c r="G69" s="140"/>
      <c r="H69" s="140"/>
      <c r="I69" s="140"/>
      <c r="J69" s="140"/>
      <c r="K69" s="140"/>
      <c r="AU69" s="140"/>
      <c r="CG69" s="1454"/>
      <c r="CH69" s="1454"/>
      <c r="CI69" s="1454"/>
      <c r="CJ69" s="1454"/>
      <c r="CK69" s="1454"/>
      <c r="CL69" s="1454"/>
      <c r="CM69" s="1454"/>
      <c r="CN69" s="1454"/>
      <c r="CO69" s="1454"/>
      <c r="CP69" s="1454"/>
      <c r="CQ69" s="1454"/>
      <c r="CR69" s="1454"/>
      <c r="CS69" s="1454"/>
      <c r="CT69" s="1454"/>
      <c r="CU69" s="290"/>
      <c r="CV69" s="290"/>
      <c r="CW69" s="290"/>
      <c r="CX69" s="290"/>
      <c r="CY69" s="290"/>
      <c r="CZ69" s="290"/>
    </row>
    <row r="70" spans="1:115" ht="20.25" customHeight="1" x14ac:dyDescent="0.2">
      <c r="A70" s="10443" t="s">
        <v>0</v>
      </c>
      <c r="B70" s="8549" t="s">
        <v>1</v>
      </c>
      <c r="C70" s="10005" t="s">
        <v>98</v>
      </c>
      <c r="D70" s="10005"/>
      <c r="E70" s="10005"/>
      <c r="F70" s="10005"/>
      <c r="G70" s="10005"/>
      <c r="H70" s="10005"/>
      <c r="I70" s="10005"/>
      <c r="J70" s="10005"/>
      <c r="K70" s="10005"/>
      <c r="L70" s="10005"/>
      <c r="M70" s="10005"/>
      <c r="N70" s="10005"/>
      <c r="O70" s="10005"/>
      <c r="P70" s="10005"/>
      <c r="Q70" s="10005"/>
      <c r="R70" s="10005"/>
      <c r="S70" s="10412"/>
      <c r="T70" s="8571" t="s">
        <v>141</v>
      </c>
      <c r="U70" s="10394"/>
      <c r="V70" s="10394"/>
      <c r="W70" s="8572"/>
      <c r="X70" s="10409" t="s">
        <v>2871</v>
      </c>
      <c r="Y70" s="10410"/>
      <c r="Z70" s="10411"/>
      <c r="AA70" s="140"/>
      <c r="AB70" s="140"/>
      <c r="BL70" s="140"/>
      <c r="BY70" s="290"/>
      <c r="BZ70" s="290"/>
      <c r="CG70" s="1454"/>
      <c r="CH70" s="1454"/>
      <c r="CI70" s="1454"/>
      <c r="CJ70" s="1454"/>
      <c r="CK70" s="1454"/>
      <c r="CL70" s="1454"/>
      <c r="CM70" s="1454"/>
      <c r="CN70" s="1454"/>
      <c r="CO70" s="1454"/>
      <c r="CP70" s="1454"/>
      <c r="CQ70" s="1454"/>
      <c r="CR70" s="1454"/>
      <c r="CS70" s="1454"/>
      <c r="CT70" s="1454"/>
      <c r="DA70" s="1460"/>
      <c r="DB70" s="1460"/>
      <c r="DC70" s="1460"/>
      <c r="DD70" s="1460"/>
      <c r="DE70" s="1460"/>
      <c r="DF70" s="1460"/>
      <c r="DG70" s="1460"/>
      <c r="DH70" s="1460"/>
      <c r="DI70" s="1460"/>
      <c r="DJ70" s="1460"/>
      <c r="DK70" s="1460"/>
    </row>
    <row r="71" spans="1:115" ht="42.75" customHeight="1" x14ac:dyDescent="0.2">
      <c r="A71" s="10404"/>
      <c r="B71" s="8550"/>
      <c r="C71" s="7675" t="s">
        <v>1414</v>
      </c>
      <c r="D71" s="7675" t="s">
        <v>1413</v>
      </c>
      <c r="E71" s="7675" t="s">
        <v>77</v>
      </c>
      <c r="F71" s="7675" t="s">
        <v>68</v>
      </c>
      <c r="G71" s="7675" t="s">
        <v>142</v>
      </c>
      <c r="H71" s="7675" t="s">
        <v>143</v>
      </c>
      <c r="I71" s="7675" t="s">
        <v>144</v>
      </c>
      <c r="J71" s="7675" t="s">
        <v>7</v>
      </c>
      <c r="K71" s="7675" t="s">
        <v>8</v>
      </c>
      <c r="L71" s="7675" t="s">
        <v>145</v>
      </c>
      <c r="M71" s="7675" t="s">
        <v>10</v>
      </c>
      <c r="N71" s="7675" t="s">
        <v>11</v>
      </c>
      <c r="O71" s="7675" t="s">
        <v>12</v>
      </c>
      <c r="P71" s="7675" t="s">
        <v>13</v>
      </c>
      <c r="Q71" s="7675" t="s">
        <v>14</v>
      </c>
      <c r="R71" s="7675" t="s">
        <v>15</v>
      </c>
      <c r="S71" s="7814" t="s">
        <v>16</v>
      </c>
      <c r="T71" s="3269" t="s">
        <v>3978</v>
      </c>
      <c r="U71" s="7733" t="s">
        <v>146</v>
      </c>
      <c r="V71" s="3206" t="s">
        <v>156</v>
      </c>
      <c r="W71" s="3206" t="s">
        <v>148</v>
      </c>
      <c r="X71" s="3506" t="s">
        <v>2822</v>
      </c>
      <c r="Y71" s="7670" t="s">
        <v>2823</v>
      </c>
      <c r="Z71" s="7670" t="s">
        <v>2824</v>
      </c>
      <c r="AA71" s="140"/>
      <c r="BK71" s="140"/>
      <c r="BY71" s="290"/>
      <c r="BZ71" s="290"/>
      <c r="CG71" s="1454"/>
      <c r="CH71" s="1454"/>
      <c r="CI71" s="1454"/>
      <c r="CJ71" s="1454"/>
      <c r="CK71" s="1454"/>
      <c r="CL71" s="1454"/>
      <c r="CM71" s="1454"/>
      <c r="CN71" s="1454"/>
      <c r="CO71" s="1454"/>
      <c r="CP71" s="1454"/>
      <c r="CQ71" s="1454"/>
      <c r="CR71" s="1454"/>
      <c r="CS71" s="1454"/>
      <c r="CT71" s="1454"/>
      <c r="DA71" s="1460"/>
      <c r="DB71" s="1460"/>
      <c r="DC71" s="1460"/>
      <c r="DD71" s="1460"/>
      <c r="DE71" s="1460"/>
      <c r="DF71" s="1460"/>
      <c r="DG71" s="1460"/>
      <c r="DH71" s="1460"/>
      <c r="DI71" s="1460"/>
      <c r="DJ71" s="1460"/>
    </row>
    <row r="72" spans="1:115" ht="14.1" customHeight="1" x14ac:dyDescent="0.2">
      <c r="A72" s="7801" t="s">
        <v>1014</v>
      </c>
      <c r="B72" s="7815">
        <f>SUM(C72:S72)</f>
        <v>0</v>
      </c>
      <c r="C72" s="3336"/>
      <c r="D72" s="3334"/>
      <c r="E72" s="3334"/>
      <c r="F72" s="3334"/>
      <c r="G72" s="3334"/>
      <c r="H72" s="3334"/>
      <c r="I72" s="3334"/>
      <c r="J72" s="3334"/>
      <c r="K72" s="3334"/>
      <c r="L72" s="3334"/>
      <c r="M72" s="3334"/>
      <c r="N72" s="3334"/>
      <c r="O72" s="3334"/>
      <c r="P72" s="3334"/>
      <c r="Q72" s="3334"/>
      <c r="R72" s="3334"/>
      <c r="S72" s="7816"/>
      <c r="T72" s="3225"/>
      <c r="U72" s="3112"/>
      <c r="V72" s="3060"/>
      <c r="W72" s="3060"/>
      <c r="X72" s="3113"/>
      <c r="Y72" s="3113"/>
      <c r="Z72" s="3113"/>
      <c r="AA72" s="140"/>
      <c r="BK72" s="140"/>
      <c r="BY72" s="290"/>
      <c r="BZ72" s="290"/>
      <c r="CG72" s="1454"/>
      <c r="CH72" s="1454"/>
      <c r="CI72" s="1454"/>
      <c r="CJ72" s="1454"/>
      <c r="CK72" s="1454"/>
      <c r="CL72" s="1454"/>
      <c r="CM72" s="1454"/>
      <c r="CN72" s="1454"/>
      <c r="CO72" s="1454"/>
      <c r="CP72" s="1454"/>
      <c r="CQ72" s="1454"/>
      <c r="CR72" s="1454"/>
      <c r="CS72" s="1454"/>
      <c r="CT72" s="1454"/>
      <c r="DA72" s="1460"/>
      <c r="DB72" s="1460"/>
      <c r="DC72" s="1460"/>
      <c r="DD72" s="1460"/>
      <c r="DE72" s="1460"/>
      <c r="DF72" s="1460"/>
      <c r="DG72" s="1460"/>
      <c r="DH72" s="1460"/>
      <c r="DI72" s="1460"/>
      <c r="DJ72" s="1460"/>
    </row>
    <row r="73" spans="1:115" ht="14.1" customHeight="1" x14ac:dyDescent="0.2">
      <c r="A73" s="3333" t="s">
        <v>62</v>
      </c>
      <c r="B73" s="7817">
        <f>SUM(C73:S73)</f>
        <v>0</v>
      </c>
      <c r="C73" s="3336"/>
      <c r="D73" s="3334"/>
      <c r="E73" s="3334"/>
      <c r="F73" s="3334"/>
      <c r="G73" s="3334"/>
      <c r="H73" s="3334"/>
      <c r="I73" s="3334"/>
      <c r="J73" s="3334"/>
      <c r="K73" s="3334"/>
      <c r="L73" s="3334"/>
      <c r="M73" s="3334"/>
      <c r="N73" s="3334"/>
      <c r="O73" s="3334"/>
      <c r="P73" s="3334"/>
      <c r="Q73" s="3334"/>
      <c r="R73" s="3334"/>
      <c r="S73" s="7816"/>
      <c r="T73" s="3028"/>
      <c r="U73" s="3136"/>
      <c r="V73" s="1871"/>
      <c r="W73" s="1871"/>
      <c r="X73" s="3067"/>
      <c r="Y73" s="3067"/>
      <c r="Z73" s="3067"/>
      <c r="AA73" s="140"/>
      <c r="BK73" s="140"/>
      <c r="BY73" s="290"/>
      <c r="BZ73" s="290"/>
      <c r="CG73" s="1454"/>
      <c r="CH73" s="1454"/>
      <c r="CI73" s="1454"/>
      <c r="CJ73" s="1454"/>
      <c r="CK73" s="1454"/>
      <c r="CL73" s="1454"/>
      <c r="CM73" s="1454"/>
      <c r="CN73" s="1454"/>
      <c r="CO73" s="1454"/>
      <c r="CP73" s="1454"/>
      <c r="CQ73" s="1454"/>
      <c r="CR73" s="1454"/>
      <c r="CS73" s="1454"/>
      <c r="CT73" s="1454"/>
      <c r="DA73" s="1460"/>
      <c r="DB73" s="1460"/>
      <c r="DC73" s="1460"/>
      <c r="DD73" s="1460"/>
      <c r="DE73" s="1460"/>
      <c r="DF73" s="1460"/>
      <c r="DG73" s="1460"/>
      <c r="DH73" s="1460"/>
      <c r="DI73" s="1460"/>
      <c r="DJ73" s="1460"/>
    </row>
    <row r="74" spans="1:115" ht="14.1" customHeight="1" x14ac:dyDescent="0.2">
      <c r="A74" s="3333" t="s">
        <v>2586</v>
      </c>
      <c r="B74" s="7817">
        <f>SUM(C74:S74)</f>
        <v>0</v>
      </c>
      <c r="C74" s="3336"/>
      <c r="D74" s="3334"/>
      <c r="E74" s="3334"/>
      <c r="F74" s="3334"/>
      <c r="G74" s="3334"/>
      <c r="H74" s="3334"/>
      <c r="I74" s="3334"/>
      <c r="J74" s="3334"/>
      <c r="K74" s="3334"/>
      <c r="L74" s="3334"/>
      <c r="M74" s="3334"/>
      <c r="N74" s="3334"/>
      <c r="O74" s="3334"/>
      <c r="P74" s="3334"/>
      <c r="Q74" s="3334"/>
      <c r="R74" s="3334"/>
      <c r="S74" s="7816"/>
      <c r="T74" s="3028"/>
      <c r="U74" s="3136"/>
      <c r="V74" s="1871"/>
      <c r="W74" s="1871"/>
      <c r="X74" s="3067"/>
      <c r="Y74" s="3067"/>
      <c r="Z74" s="3067"/>
      <c r="AA74" s="140"/>
      <c r="BK74" s="140"/>
      <c r="BY74" s="290"/>
      <c r="BZ74" s="290"/>
      <c r="CG74" s="1454"/>
      <c r="CH74" s="1454"/>
      <c r="CI74" s="1454"/>
      <c r="CJ74" s="1454"/>
      <c r="CK74" s="1454"/>
      <c r="CL74" s="1454"/>
      <c r="CM74" s="1454"/>
      <c r="CN74" s="1454"/>
      <c r="CO74" s="1454"/>
      <c r="CP74" s="1454"/>
      <c r="CQ74" s="1454"/>
      <c r="CR74" s="1454"/>
      <c r="CS74" s="1454"/>
      <c r="CT74" s="1454"/>
      <c r="DA74" s="1460"/>
      <c r="DB74" s="1460"/>
      <c r="DC74" s="1460"/>
      <c r="DD74" s="1460"/>
      <c r="DE74" s="1460"/>
      <c r="DF74" s="1460"/>
      <c r="DG74" s="1460"/>
      <c r="DH74" s="1460"/>
      <c r="DI74" s="1460"/>
      <c r="DJ74" s="1460"/>
    </row>
    <row r="75" spans="1:115" ht="14.1" customHeight="1" x14ac:dyDescent="0.2">
      <c r="A75" s="3333" t="s">
        <v>60</v>
      </c>
      <c r="B75" s="7818">
        <f>SUM(C75:S75)</f>
        <v>0</v>
      </c>
      <c r="C75" s="3336"/>
      <c r="D75" s="3334"/>
      <c r="E75" s="3334"/>
      <c r="F75" s="3334"/>
      <c r="G75" s="3334"/>
      <c r="H75" s="3334"/>
      <c r="I75" s="3334"/>
      <c r="J75" s="3334"/>
      <c r="K75" s="3334"/>
      <c r="L75" s="3334"/>
      <c r="M75" s="3334"/>
      <c r="N75" s="3334"/>
      <c r="O75" s="3334"/>
      <c r="P75" s="3334"/>
      <c r="Q75" s="3334"/>
      <c r="R75" s="3334"/>
      <c r="S75" s="7816"/>
      <c r="T75" s="3248"/>
      <c r="U75" s="3126"/>
      <c r="V75" s="3064"/>
      <c r="W75" s="3064"/>
      <c r="X75" s="3329"/>
      <c r="Y75" s="3329"/>
      <c r="Z75" s="3329"/>
      <c r="AA75" s="140"/>
      <c r="BK75" s="140"/>
      <c r="BY75" s="290"/>
      <c r="BZ75" s="290"/>
      <c r="CG75" s="1454"/>
      <c r="CH75" s="1454"/>
      <c r="CI75" s="1454"/>
      <c r="CJ75" s="1454"/>
      <c r="CK75" s="1454"/>
      <c r="CL75" s="1454"/>
      <c r="CM75" s="1454"/>
      <c r="CN75" s="1454"/>
      <c r="CO75" s="1454"/>
      <c r="CP75" s="1454"/>
      <c r="CQ75" s="1454"/>
      <c r="CR75" s="1454"/>
      <c r="CS75" s="1454"/>
      <c r="CT75" s="1454"/>
      <c r="DA75" s="1460"/>
      <c r="DB75" s="1460"/>
      <c r="DC75" s="1460"/>
      <c r="DD75" s="1460"/>
      <c r="DE75" s="1460"/>
      <c r="DF75" s="1460"/>
      <c r="DG75" s="1460"/>
      <c r="DH75" s="1460"/>
      <c r="DI75" s="1460"/>
      <c r="DJ75" s="1460"/>
    </row>
    <row r="76" spans="1:115" ht="14.1" customHeight="1" x14ac:dyDescent="0.2">
      <c r="A76" s="7819" t="s">
        <v>24</v>
      </c>
      <c r="B76" s="7820">
        <f>SUM(B72:B75)</f>
        <v>0</v>
      </c>
      <c r="C76" s="7821">
        <f>SUM(C72:C75)</f>
        <v>0</v>
      </c>
      <c r="D76" s="7821">
        <f t="shared" ref="D76:R76" si="21">SUM(D72:D75)</f>
        <v>0</v>
      </c>
      <c r="E76" s="7821">
        <f t="shared" si="21"/>
        <v>0</v>
      </c>
      <c r="F76" s="7821">
        <f t="shared" si="21"/>
        <v>0</v>
      </c>
      <c r="G76" s="7821">
        <f t="shared" si="21"/>
        <v>0</v>
      </c>
      <c r="H76" s="7821">
        <f t="shared" si="21"/>
        <v>0</v>
      </c>
      <c r="I76" s="7821">
        <f t="shared" si="21"/>
        <v>0</v>
      </c>
      <c r="J76" s="7821">
        <f t="shared" si="21"/>
        <v>0</v>
      </c>
      <c r="K76" s="7821">
        <f t="shared" si="21"/>
        <v>0</v>
      </c>
      <c r="L76" s="7821">
        <f t="shared" si="21"/>
        <v>0</v>
      </c>
      <c r="M76" s="7821">
        <f t="shared" si="21"/>
        <v>0</v>
      </c>
      <c r="N76" s="7821">
        <f t="shared" si="21"/>
        <v>0</v>
      </c>
      <c r="O76" s="7821">
        <f t="shared" si="21"/>
        <v>0</v>
      </c>
      <c r="P76" s="7821">
        <f t="shared" si="21"/>
        <v>0</v>
      </c>
      <c r="Q76" s="7821">
        <f t="shared" si="21"/>
        <v>0</v>
      </c>
      <c r="R76" s="7821">
        <f t="shared" si="21"/>
        <v>0</v>
      </c>
      <c r="S76" s="7822">
        <f>SUM(S72:S75)</f>
        <v>0</v>
      </c>
      <c r="T76" s="7825">
        <f>SUM(T72:T75)</f>
        <v>0</v>
      </c>
      <c r="U76" s="7825">
        <f t="shared" ref="U76:Z76" si="22">SUM(U72:U75)</f>
        <v>0</v>
      </c>
      <c r="V76" s="7825">
        <f t="shared" si="22"/>
        <v>0</v>
      </c>
      <c r="W76" s="7825">
        <f t="shared" si="22"/>
        <v>0</v>
      </c>
      <c r="X76" s="7825">
        <f t="shared" si="22"/>
        <v>0</v>
      </c>
      <c r="Y76" s="7825">
        <f t="shared" si="22"/>
        <v>0</v>
      </c>
      <c r="Z76" s="7825">
        <f t="shared" si="22"/>
        <v>0</v>
      </c>
      <c r="AA76" s="140"/>
      <c r="BK76" s="140"/>
      <c r="BY76" s="290"/>
      <c r="BZ76" s="290"/>
      <c r="CG76" s="1454"/>
      <c r="CH76" s="1454"/>
      <c r="CI76" s="1454"/>
      <c r="CJ76" s="1454"/>
      <c r="CK76" s="1454"/>
      <c r="CL76" s="1454"/>
      <c r="CM76" s="1454"/>
      <c r="CN76" s="1454"/>
      <c r="CO76" s="1454"/>
      <c r="CP76" s="1454"/>
      <c r="CQ76" s="1454"/>
      <c r="CR76" s="1454"/>
      <c r="CS76" s="1454"/>
      <c r="CT76" s="1454"/>
      <c r="DA76" s="1460"/>
      <c r="DB76" s="1460"/>
      <c r="DC76" s="1460"/>
      <c r="DD76" s="1460"/>
      <c r="DE76" s="1460"/>
      <c r="DF76" s="1460"/>
      <c r="DG76" s="1460"/>
      <c r="DH76" s="1460"/>
      <c r="DI76" s="1460"/>
      <c r="DJ76" s="1460"/>
    </row>
    <row r="77" spans="1:115" ht="27.6" customHeight="1" x14ac:dyDescent="0.2">
      <c r="A77" s="2153" t="s">
        <v>449</v>
      </c>
      <c r="B77" s="7826"/>
      <c r="C77" s="214"/>
      <c r="D77" s="199"/>
      <c r="F77" s="140"/>
      <c r="G77" s="140"/>
      <c r="I77" s="140"/>
      <c r="J77" s="140"/>
      <c r="K77" s="140"/>
      <c r="AU77" s="140"/>
      <c r="CG77" s="1454"/>
      <c r="CH77" s="1454"/>
      <c r="CI77" s="1454"/>
      <c r="CJ77" s="1454"/>
      <c r="CK77" s="1454"/>
      <c r="CL77" s="1454"/>
      <c r="CM77" s="1454"/>
      <c r="CN77" s="1454"/>
      <c r="CO77" s="1454"/>
      <c r="CP77" s="1454"/>
      <c r="CQ77" s="1454"/>
      <c r="CR77" s="1454"/>
      <c r="CS77" s="1454"/>
      <c r="CT77" s="1454"/>
      <c r="CU77" s="290"/>
      <c r="CV77" s="290"/>
      <c r="CW77" s="290"/>
      <c r="CX77" s="290"/>
      <c r="CY77" s="290"/>
      <c r="CZ77" s="290"/>
    </row>
    <row r="78" spans="1:115" ht="33.6" customHeight="1" x14ac:dyDescent="0.2">
      <c r="A78" s="7827" t="s">
        <v>47</v>
      </c>
      <c r="B78" s="3269" t="s">
        <v>3978</v>
      </c>
      <c r="C78" s="7828" t="s">
        <v>162</v>
      </c>
      <c r="D78" s="7829" t="s">
        <v>163</v>
      </c>
      <c r="E78" s="7830" t="s">
        <v>164</v>
      </c>
      <c r="F78" s="140"/>
      <c r="H78" s="140"/>
      <c r="I78" s="140"/>
      <c r="J78" s="140"/>
      <c r="AT78" s="140"/>
      <c r="BX78" s="1460"/>
      <c r="CG78" s="1454"/>
      <c r="CH78" s="1454"/>
      <c r="CI78" s="1454"/>
      <c r="CJ78" s="1454"/>
      <c r="CK78" s="1454"/>
      <c r="CL78" s="1454"/>
      <c r="CM78" s="1454"/>
      <c r="CN78" s="1454"/>
      <c r="CO78" s="1454"/>
      <c r="CP78" s="1454"/>
      <c r="CQ78" s="1454"/>
      <c r="CR78" s="1454"/>
      <c r="CS78" s="1454"/>
      <c r="CT78" s="1454"/>
      <c r="CU78" s="290"/>
      <c r="CV78" s="290"/>
      <c r="CW78" s="290"/>
      <c r="CX78" s="290"/>
      <c r="CY78" s="290"/>
      <c r="CZ78" s="290"/>
    </row>
    <row r="79" spans="1:115" ht="14.1" customHeight="1" x14ac:dyDescent="0.2">
      <c r="A79" s="7831" t="s">
        <v>302</v>
      </c>
      <c r="B79" s="3225"/>
      <c r="C79" s="3112"/>
      <c r="D79" s="3060"/>
      <c r="E79" s="3059"/>
      <c r="F79" s="140"/>
      <c r="H79" s="140"/>
      <c r="I79" s="140"/>
      <c r="J79" s="140"/>
      <c r="AT79" s="140"/>
      <c r="BX79" s="1460"/>
      <c r="CG79" s="1454"/>
      <c r="CH79" s="1454"/>
      <c r="CI79" s="1454"/>
      <c r="CJ79" s="1454"/>
      <c r="CK79" s="1454"/>
      <c r="CL79" s="1454"/>
      <c r="CM79" s="1454"/>
      <c r="CN79" s="1454"/>
      <c r="CO79" s="1454"/>
      <c r="CP79" s="1454"/>
      <c r="CQ79" s="1454"/>
      <c r="CR79" s="1454"/>
      <c r="CS79" s="1454"/>
      <c r="CT79" s="1454"/>
      <c r="CU79" s="290"/>
      <c r="CV79" s="290"/>
      <c r="CW79" s="290"/>
      <c r="CX79" s="290"/>
      <c r="CY79" s="290"/>
      <c r="CZ79" s="290"/>
    </row>
    <row r="80" spans="1:115" ht="14.1" customHeight="1" x14ac:dyDescent="0.2">
      <c r="A80" s="7831" t="s">
        <v>2825</v>
      </c>
      <c r="B80" s="3028"/>
      <c r="C80" s="3136"/>
      <c r="D80" s="1871"/>
      <c r="E80" s="2074"/>
      <c r="F80" s="140"/>
      <c r="H80" s="140"/>
      <c r="I80" s="140"/>
      <c r="J80" s="140"/>
      <c r="AT80" s="140"/>
      <c r="BX80" s="1460"/>
      <c r="CG80" s="1454"/>
      <c r="CH80" s="1454"/>
      <c r="CI80" s="1454"/>
      <c r="CJ80" s="1454"/>
      <c r="CK80" s="1454"/>
      <c r="CL80" s="1454"/>
      <c r="CM80" s="1454"/>
      <c r="CN80" s="1454"/>
      <c r="CO80" s="1454"/>
      <c r="CP80" s="1454"/>
      <c r="CQ80" s="1454"/>
      <c r="CR80" s="1454"/>
      <c r="CS80" s="1454"/>
      <c r="CT80" s="1454"/>
      <c r="CU80" s="290"/>
      <c r="CV80" s="290"/>
      <c r="CW80" s="290"/>
      <c r="CX80" s="290"/>
      <c r="CY80" s="290"/>
      <c r="CZ80" s="290"/>
    </row>
    <row r="81" spans="1:104" ht="14.1" customHeight="1" x14ac:dyDescent="0.2">
      <c r="A81" s="7831" t="s">
        <v>303</v>
      </c>
      <c r="B81" s="3028"/>
      <c r="C81" s="3136"/>
      <c r="D81" s="1871"/>
      <c r="E81" s="2074"/>
      <c r="F81" s="140"/>
      <c r="H81" s="140"/>
      <c r="I81" s="140"/>
      <c r="J81" s="140"/>
      <c r="AT81" s="140"/>
      <c r="BX81" s="1460"/>
      <c r="CG81" s="1454"/>
      <c r="CH81" s="1454"/>
      <c r="CI81" s="1454"/>
      <c r="CJ81" s="1454"/>
      <c r="CK81" s="1454"/>
      <c r="CL81" s="1454"/>
      <c r="CM81" s="1454"/>
      <c r="CN81" s="1454"/>
      <c r="CO81" s="1454"/>
      <c r="CP81" s="1454"/>
      <c r="CQ81" s="1454"/>
      <c r="CR81" s="1454"/>
      <c r="CS81" s="1454"/>
      <c r="CT81" s="1454"/>
      <c r="CU81" s="290"/>
      <c r="CV81" s="290"/>
      <c r="CW81" s="290"/>
      <c r="CX81" s="290"/>
      <c r="CY81" s="290"/>
      <c r="CZ81" s="290"/>
    </row>
    <row r="82" spans="1:104" ht="21.75" customHeight="1" x14ac:dyDescent="0.2">
      <c r="A82" s="7595" t="s">
        <v>2826</v>
      </c>
      <c r="B82" s="3028"/>
      <c r="C82" s="3136"/>
      <c r="D82" s="1871"/>
      <c r="E82" s="2074"/>
      <c r="F82" s="140"/>
      <c r="H82" s="140"/>
      <c r="I82" s="140"/>
      <c r="J82" s="140"/>
      <c r="AT82" s="140"/>
      <c r="BX82" s="1460"/>
      <c r="CG82" s="1454"/>
      <c r="CH82" s="1454"/>
      <c r="CI82" s="1454"/>
      <c r="CJ82" s="1454"/>
      <c r="CK82" s="1454"/>
      <c r="CL82" s="1454"/>
      <c r="CM82" s="1454"/>
      <c r="CN82" s="1454"/>
      <c r="CO82" s="1454"/>
      <c r="CP82" s="1454"/>
      <c r="CQ82" s="1454"/>
      <c r="CR82" s="1454"/>
      <c r="CS82" s="1454"/>
      <c r="CT82" s="1454"/>
      <c r="CU82" s="290"/>
      <c r="CV82" s="290"/>
      <c r="CW82" s="290"/>
      <c r="CX82" s="290"/>
      <c r="CY82" s="290"/>
      <c r="CZ82" s="290"/>
    </row>
    <row r="83" spans="1:104" ht="14.1" customHeight="1" x14ac:dyDescent="0.2">
      <c r="A83" s="7831" t="s">
        <v>322</v>
      </c>
      <c r="B83" s="3278"/>
      <c r="C83" s="1828"/>
      <c r="D83" s="3330"/>
      <c r="E83" s="3280"/>
      <c r="F83" s="140"/>
      <c r="H83" s="140"/>
      <c r="I83" s="140"/>
      <c r="J83" s="140"/>
      <c r="AT83" s="140"/>
      <c r="BX83" s="1460"/>
      <c r="CG83" s="1454"/>
      <c r="CH83" s="1454"/>
      <c r="CI83" s="1454"/>
      <c r="CJ83" s="1454"/>
      <c r="CK83" s="1454"/>
      <c r="CL83" s="1454"/>
      <c r="CM83" s="1454"/>
      <c r="CN83" s="1454"/>
      <c r="CO83" s="1454"/>
      <c r="CP83" s="1454"/>
      <c r="CQ83" s="1454"/>
      <c r="CR83" s="1454"/>
      <c r="CS83" s="1454"/>
      <c r="CT83" s="1454"/>
      <c r="CU83" s="290"/>
      <c r="CV83" s="290"/>
      <c r="CW83" s="290"/>
      <c r="CX83" s="290"/>
      <c r="CY83" s="290"/>
      <c r="CZ83" s="290"/>
    </row>
    <row r="84" spans="1:104" ht="14.1" customHeight="1" x14ac:dyDescent="0.2">
      <c r="A84" s="7831" t="s">
        <v>306</v>
      </c>
      <c r="B84" s="3278"/>
      <c r="C84" s="3136"/>
      <c r="D84" s="3330"/>
      <c r="E84" s="3280"/>
      <c r="F84" s="140"/>
      <c r="H84" s="140"/>
      <c r="I84" s="140"/>
      <c r="J84" s="140"/>
      <c r="AT84" s="140"/>
      <c r="BX84" s="1460"/>
      <c r="CG84" s="1454"/>
      <c r="CH84" s="1454"/>
      <c r="CI84" s="1454"/>
      <c r="CJ84" s="1454"/>
      <c r="CK84" s="1454"/>
      <c r="CL84" s="1454"/>
      <c r="CM84" s="1454"/>
      <c r="CN84" s="1454"/>
      <c r="CO84" s="1454"/>
      <c r="CP84" s="1454"/>
      <c r="CQ84" s="1454"/>
      <c r="CR84" s="1454"/>
      <c r="CS84" s="1454"/>
      <c r="CT84" s="1454"/>
      <c r="CU84" s="290"/>
      <c r="CV84" s="290"/>
      <c r="CW84" s="290"/>
      <c r="CX84" s="290"/>
      <c r="CY84" s="290"/>
      <c r="CZ84" s="290"/>
    </row>
    <row r="85" spans="1:104" ht="14.1" customHeight="1" x14ac:dyDescent="0.2">
      <c r="A85" s="7831" t="s">
        <v>323</v>
      </c>
      <c r="B85" s="3278"/>
      <c r="C85" s="3136"/>
      <c r="D85" s="3330"/>
      <c r="E85" s="3280"/>
      <c r="F85" s="140"/>
      <c r="H85" s="140"/>
      <c r="I85" s="140"/>
      <c r="J85" s="140"/>
      <c r="AT85" s="140"/>
      <c r="BX85" s="1460"/>
      <c r="CG85" s="1454"/>
      <c r="CH85" s="1454"/>
      <c r="CI85" s="1454"/>
      <c r="CJ85" s="1454"/>
      <c r="CK85" s="1454"/>
      <c r="CL85" s="1454"/>
      <c r="CM85" s="1454"/>
      <c r="CN85" s="1454"/>
      <c r="CO85" s="1454"/>
      <c r="CP85" s="1454"/>
      <c r="CQ85" s="1454"/>
      <c r="CR85" s="1454"/>
      <c r="CS85" s="1454"/>
      <c r="CT85" s="1454"/>
      <c r="CU85" s="290"/>
      <c r="CV85" s="290"/>
      <c r="CW85" s="290"/>
      <c r="CX85" s="290"/>
      <c r="CY85" s="290"/>
      <c r="CZ85" s="290"/>
    </row>
    <row r="86" spans="1:104" ht="14.1" customHeight="1" x14ac:dyDescent="0.2">
      <c r="A86" s="7831" t="s">
        <v>305</v>
      </c>
      <c r="B86" s="3278"/>
      <c r="C86" s="3136"/>
      <c r="D86" s="3330"/>
      <c r="E86" s="3280"/>
      <c r="F86" s="140"/>
      <c r="H86" s="140"/>
      <c r="I86" s="140"/>
      <c r="J86" s="140"/>
      <c r="AT86" s="140"/>
      <c r="BX86" s="1460"/>
      <c r="CG86" s="1454"/>
      <c r="CH86" s="1454"/>
      <c r="CI86" s="1454"/>
      <c r="CJ86" s="1454"/>
      <c r="CK86" s="1454"/>
      <c r="CL86" s="1454"/>
      <c r="CM86" s="1454"/>
      <c r="CN86" s="1454"/>
      <c r="CO86" s="1454"/>
      <c r="CP86" s="1454"/>
      <c r="CQ86" s="1454"/>
      <c r="CR86" s="1454"/>
      <c r="CS86" s="1454"/>
      <c r="CT86" s="1454"/>
      <c r="CU86" s="290"/>
      <c r="CV86" s="290"/>
      <c r="CW86" s="290"/>
      <c r="CX86" s="290"/>
      <c r="CY86" s="290"/>
      <c r="CZ86" s="290"/>
    </row>
    <row r="87" spans="1:104" ht="14.1" customHeight="1" x14ac:dyDescent="0.2">
      <c r="A87" s="7831" t="s">
        <v>304</v>
      </c>
      <c r="B87" s="3278"/>
      <c r="C87" s="3136"/>
      <c r="D87" s="3330"/>
      <c r="E87" s="3280"/>
      <c r="F87" s="140"/>
      <c r="H87" s="140"/>
      <c r="I87" s="140"/>
      <c r="J87" s="140"/>
      <c r="AT87" s="140"/>
      <c r="BX87" s="1460"/>
      <c r="CG87" s="1454"/>
      <c r="CH87" s="1454"/>
      <c r="CI87" s="1454"/>
      <c r="CJ87" s="1454"/>
      <c r="CK87" s="1454"/>
      <c r="CL87" s="1454"/>
      <c r="CM87" s="1454"/>
      <c r="CN87" s="1454"/>
      <c r="CO87" s="1454"/>
      <c r="CP87" s="1454"/>
      <c r="CQ87" s="1454"/>
      <c r="CR87" s="1454"/>
      <c r="CS87" s="1454"/>
      <c r="CT87" s="1454"/>
      <c r="CU87" s="290"/>
      <c r="CV87" s="290"/>
      <c r="CW87" s="290"/>
      <c r="CX87" s="290"/>
      <c r="CY87" s="290"/>
      <c r="CZ87" s="290"/>
    </row>
    <row r="88" spans="1:104" ht="14.1" customHeight="1" x14ac:dyDescent="0.2">
      <c r="A88" s="7832" t="s">
        <v>2827</v>
      </c>
      <c r="B88" s="3278"/>
      <c r="C88" s="3136"/>
      <c r="D88" s="3330"/>
      <c r="E88" s="3280"/>
      <c r="F88" s="140"/>
      <c r="H88" s="140"/>
      <c r="I88" s="140"/>
      <c r="J88" s="140"/>
      <c r="AT88" s="140"/>
      <c r="BX88" s="1460"/>
      <c r="CG88" s="1454"/>
      <c r="CH88" s="1454"/>
      <c r="CI88" s="1454"/>
      <c r="CJ88" s="1454"/>
      <c r="CK88" s="1454"/>
      <c r="CL88" s="1454"/>
      <c r="CM88" s="1454"/>
      <c r="CN88" s="1454"/>
      <c r="CO88" s="1454"/>
      <c r="CP88" s="1454"/>
      <c r="CQ88" s="1454"/>
      <c r="CR88" s="1454"/>
      <c r="CS88" s="1454"/>
      <c r="CT88" s="1454"/>
      <c r="CU88" s="290"/>
      <c r="CV88" s="290"/>
      <c r="CW88" s="290"/>
      <c r="CX88" s="290"/>
      <c r="CY88" s="290"/>
      <c r="CZ88" s="290"/>
    </row>
    <row r="89" spans="1:104" ht="14.1" customHeight="1" x14ac:dyDescent="0.2">
      <c r="A89" s="7831" t="s">
        <v>2828</v>
      </c>
      <c r="B89" s="3278"/>
      <c r="C89" s="3136"/>
      <c r="D89" s="3330"/>
      <c r="E89" s="3280"/>
      <c r="F89" s="140"/>
      <c r="H89" s="140"/>
      <c r="I89" s="140"/>
      <c r="J89" s="140"/>
      <c r="AT89" s="140"/>
      <c r="BX89" s="1460"/>
      <c r="CG89" s="1454"/>
      <c r="CH89" s="1454"/>
      <c r="CI89" s="1454"/>
      <c r="CJ89" s="1454"/>
      <c r="CK89" s="1454"/>
      <c r="CL89" s="1454"/>
      <c r="CM89" s="1454"/>
      <c r="CN89" s="1454"/>
      <c r="CO89" s="1454"/>
      <c r="CP89" s="1454"/>
      <c r="CQ89" s="1454"/>
      <c r="CR89" s="1454"/>
      <c r="CS89" s="1454"/>
      <c r="CT89" s="1454"/>
      <c r="CU89" s="290"/>
      <c r="CV89" s="290"/>
      <c r="CW89" s="290"/>
      <c r="CX89" s="290"/>
      <c r="CY89" s="290"/>
      <c r="CZ89" s="290"/>
    </row>
    <row r="90" spans="1:104" ht="14.1" customHeight="1" x14ac:dyDescent="0.2">
      <c r="A90" s="7831" t="s">
        <v>321</v>
      </c>
      <c r="B90" s="3278"/>
      <c r="C90" s="3136"/>
      <c r="D90" s="3330"/>
      <c r="E90" s="3280"/>
      <c r="F90" s="140"/>
      <c r="H90" s="140"/>
      <c r="I90" s="140"/>
      <c r="J90" s="140"/>
      <c r="AT90" s="140"/>
      <c r="BX90" s="1460"/>
      <c r="CG90" s="1454"/>
      <c r="CH90" s="1454"/>
      <c r="CI90" s="1454"/>
      <c r="CJ90" s="1454"/>
      <c r="CK90" s="1454"/>
      <c r="CL90" s="1454"/>
      <c r="CM90" s="1454"/>
      <c r="CN90" s="1454"/>
      <c r="CO90" s="1454"/>
      <c r="CP90" s="1454"/>
      <c r="CQ90" s="1454"/>
      <c r="CR90" s="1454"/>
      <c r="CS90" s="1454"/>
      <c r="CT90" s="1454"/>
      <c r="CU90" s="290"/>
      <c r="CV90" s="290"/>
      <c r="CW90" s="290"/>
      <c r="CX90" s="290"/>
      <c r="CY90" s="290"/>
      <c r="CZ90" s="290"/>
    </row>
    <row r="91" spans="1:104" ht="14.1" customHeight="1" x14ac:dyDescent="0.2">
      <c r="A91" s="7595" t="s">
        <v>2829</v>
      </c>
      <c r="B91" s="3278"/>
      <c r="C91" s="3136"/>
      <c r="D91" s="3330"/>
      <c r="E91" s="3280"/>
      <c r="F91" s="140"/>
      <c r="H91" s="140"/>
      <c r="I91" s="140"/>
      <c r="J91" s="140"/>
      <c r="AT91" s="140"/>
      <c r="BX91" s="1460"/>
      <c r="CG91" s="1454"/>
      <c r="CH91" s="1454"/>
      <c r="CI91" s="1454"/>
      <c r="CJ91" s="1454"/>
      <c r="CK91" s="1454"/>
      <c r="CL91" s="1454"/>
      <c r="CM91" s="1454"/>
      <c r="CN91" s="1454"/>
      <c r="CO91" s="1454"/>
      <c r="CP91" s="1454"/>
      <c r="CQ91" s="1454"/>
      <c r="CR91" s="1454"/>
      <c r="CS91" s="1454"/>
      <c r="CT91" s="1454"/>
      <c r="CU91" s="290"/>
      <c r="CV91" s="290"/>
      <c r="CW91" s="290"/>
      <c r="CX91" s="290"/>
      <c r="CY91" s="290"/>
      <c r="CZ91" s="290"/>
    </row>
    <row r="92" spans="1:104" ht="14.1" customHeight="1" x14ac:dyDescent="0.2">
      <c r="A92" s="7833" t="s">
        <v>2830</v>
      </c>
      <c r="B92" s="3278"/>
      <c r="C92" s="3136"/>
      <c r="D92" s="3330"/>
      <c r="E92" s="3280"/>
      <c r="F92" s="140"/>
      <c r="H92" s="140"/>
      <c r="I92" s="140"/>
      <c r="J92" s="140"/>
      <c r="AT92" s="140"/>
      <c r="BX92" s="1460"/>
      <c r="CG92" s="1454"/>
      <c r="CH92" s="1454"/>
      <c r="CI92" s="1454"/>
      <c r="CJ92" s="1454"/>
      <c r="CK92" s="1454"/>
      <c r="CL92" s="1454"/>
      <c r="CM92" s="1454"/>
      <c r="CN92" s="1454"/>
      <c r="CO92" s="1454"/>
      <c r="CP92" s="1454"/>
      <c r="CQ92" s="1454"/>
      <c r="CR92" s="1454"/>
      <c r="CS92" s="1454"/>
      <c r="CT92" s="1454"/>
      <c r="CU92" s="290"/>
      <c r="CV92" s="290"/>
      <c r="CW92" s="290"/>
      <c r="CX92" s="290"/>
      <c r="CY92" s="290"/>
      <c r="CZ92" s="290"/>
    </row>
    <row r="93" spans="1:104" ht="14.1" customHeight="1" x14ac:dyDescent="0.2">
      <c r="A93" s="7834" t="s">
        <v>2831</v>
      </c>
      <c r="B93" s="3278"/>
      <c r="C93" s="3136"/>
      <c r="D93" s="3330"/>
      <c r="E93" s="3280"/>
      <c r="F93" s="140"/>
      <c r="H93" s="140"/>
      <c r="I93" s="140"/>
      <c r="J93" s="140"/>
      <c r="AT93" s="140"/>
      <c r="BX93" s="1460"/>
      <c r="CG93" s="1454"/>
      <c r="CH93" s="1454"/>
      <c r="CI93" s="1454"/>
      <c r="CJ93" s="1454"/>
      <c r="CK93" s="1454"/>
      <c r="CL93" s="1454"/>
      <c r="CM93" s="1454"/>
      <c r="CN93" s="1454"/>
      <c r="CO93" s="1454"/>
      <c r="CP93" s="1454"/>
      <c r="CQ93" s="1454"/>
      <c r="CR93" s="1454"/>
      <c r="CS93" s="1454"/>
      <c r="CT93" s="1454"/>
      <c r="CU93" s="290"/>
      <c r="CV93" s="290"/>
      <c r="CW93" s="290"/>
      <c r="CX93" s="290"/>
      <c r="CY93" s="290"/>
      <c r="CZ93" s="290"/>
    </row>
    <row r="94" spans="1:104" ht="14.1" customHeight="1" x14ac:dyDescent="0.2">
      <c r="A94" s="7831" t="s">
        <v>2850</v>
      </c>
      <c r="B94" s="3278"/>
      <c r="C94" s="3136"/>
      <c r="D94" s="3330"/>
      <c r="E94" s="3280"/>
      <c r="F94" s="140"/>
      <c r="H94" s="140"/>
      <c r="I94" s="140"/>
      <c r="J94" s="140"/>
      <c r="AT94" s="140"/>
      <c r="BX94" s="1460"/>
      <c r="CG94" s="1454"/>
      <c r="CH94" s="1454"/>
      <c r="CI94" s="1454"/>
      <c r="CJ94" s="1454"/>
      <c r="CK94" s="1454"/>
      <c r="CL94" s="1454"/>
      <c r="CM94" s="1454"/>
      <c r="CN94" s="1454"/>
      <c r="CO94" s="1454"/>
      <c r="CP94" s="1454"/>
      <c r="CQ94" s="1454"/>
      <c r="CR94" s="1454"/>
      <c r="CS94" s="1454"/>
      <c r="CT94" s="1454"/>
      <c r="CU94" s="290"/>
      <c r="CV94" s="290"/>
      <c r="CW94" s="290"/>
      <c r="CX94" s="290"/>
      <c r="CY94" s="290"/>
      <c r="CZ94" s="290"/>
    </row>
    <row r="95" spans="1:104" ht="14.1" customHeight="1" x14ac:dyDescent="0.2">
      <c r="A95" s="7831" t="s">
        <v>2833</v>
      </c>
      <c r="B95" s="3278"/>
      <c r="C95" s="3136"/>
      <c r="D95" s="3330"/>
      <c r="E95" s="3280"/>
      <c r="F95" s="140"/>
      <c r="H95" s="140"/>
      <c r="I95" s="140"/>
      <c r="J95" s="140"/>
      <c r="AT95" s="140"/>
      <c r="BX95" s="1460"/>
      <c r="CG95" s="1454"/>
      <c r="CH95" s="1454"/>
      <c r="CI95" s="1454"/>
      <c r="CJ95" s="1454"/>
      <c r="CK95" s="1454"/>
      <c r="CL95" s="1454"/>
      <c r="CM95" s="1454"/>
      <c r="CN95" s="1454"/>
      <c r="CO95" s="1454"/>
      <c r="CP95" s="1454"/>
      <c r="CQ95" s="1454"/>
      <c r="CR95" s="1454"/>
      <c r="CS95" s="1454"/>
      <c r="CT95" s="1454"/>
      <c r="CU95" s="290"/>
      <c r="CV95" s="290"/>
      <c r="CW95" s="290"/>
      <c r="CX95" s="290"/>
      <c r="CY95" s="290"/>
      <c r="CZ95" s="290"/>
    </row>
    <row r="96" spans="1:104" ht="16.5" customHeight="1" x14ac:dyDescent="0.2">
      <c r="A96" s="7835" t="s">
        <v>24</v>
      </c>
      <c r="B96" s="7825">
        <f>SUM(B79:B95)</f>
        <v>0</v>
      </c>
      <c r="C96" s="7836">
        <f>SUM(C79:C95)</f>
        <v>0</v>
      </c>
      <c r="D96" s="3337">
        <f>SUM(D79:D95)</f>
        <v>0</v>
      </c>
      <c r="E96" s="7837">
        <f>SUM(E79:E95)</f>
        <v>0</v>
      </c>
      <c r="F96" s="140"/>
      <c r="H96" s="140"/>
      <c r="I96" s="140"/>
      <c r="J96" s="140"/>
      <c r="AT96" s="140"/>
      <c r="BX96" s="1460"/>
      <c r="CG96" s="1454"/>
      <c r="CH96" s="1454"/>
      <c r="CI96" s="1454"/>
      <c r="CJ96" s="1454"/>
      <c r="CK96" s="1454"/>
      <c r="CL96" s="1454"/>
      <c r="CM96" s="1454"/>
      <c r="CN96" s="1454"/>
      <c r="CO96" s="1454"/>
      <c r="CP96" s="1454"/>
      <c r="CQ96" s="1454"/>
      <c r="CR96" s="1454"/>
      <c r="CS96" s="1454"/>
      <c r="CT96" s="1454"/>
      <c r="CU96" s="290"/>
      <c r="CV96" s="290"/>
      <c r="CW96" s="290"/>
      <c r="CX96" s="290"/>
      <c r="CY96" s="290"/>
      <c r="CZ96" s="290"/>
    </row>
    <row r="97" spans="1:104" ht="31.9" customHeight="1" x14ac:dyDescent="0.2">
      <c r="A97" s="746" t="s">
        <v>200</v>
      </c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0"/>
      <c r="AP97" s="140"/>
      <c r="AQ97" s="140"/>
      <c r="AR97" s="140"/>
      <c r="AS97" s="140"/>
      <c r="AT97" s="140"/>
      <c r="BX97" s="1460"/>
      <c r="CG97" s="1454"/>
      <c r="CH97" s="1454"/>
      <c r="CI97" s="1454"/>
      <c r="CJ97" s="1454"/>
      <c r="CK97" s="1454"/>
      <c r="CL97" s="1454"/>
      <c r="CM97" s="1454"/>
      <c r="CN97" s="1454"/>
      <c r="CO97" s="1454"/>
      <c r="CP97" s="1454"/>
      <c r="CQ97" s="1454"/>
      <c r="CR97" s="1454"/>
      <c r="CS97" s="1454"/>
      <c r="CT97" s="1454"/>
      <c r="CU97" s="290"/>
      <c r="CV97" s="290"/>
      <c r="CW97" s="290"/>
      <c r="CX97" s="290"/>
      <c r="CY97" s="290"/>
      <c r="CZ97" s="290"/>
    </row>
    <row r="98" spans="1:104" ht="47.25" customHeight="1" x14ac:dyDescent="0.3">
      <c r="A98" s="7838" t="s">
        <v>0</v>
      </c>
      <c r="B98" s="3206" t="s">
        <v>3978</v>
      </c>
      <c r="C98" s="7828" t="s">
        <v>162</v>
      </c>
      <c r="D98" s="7829" t="s">
        <v>163</v>
      </c>
      <c r="E98" s="7830" t="s">
        <v>164</v>
      </c>
      <c r="F98" s="7839"/>
      <c r="G98" s="71"/>
      <c r="H98" s="71"/>
      <c r="I98" s="71"/>
      <c r="J98" s="71"/>
      <c r="K98" s="71"/>
      <c r="L98" s="71"/>
      <c r="M98" s="71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40"/>
      <c r="AD98" s="140"/>
      <c r="AE98" s="140"/>
      <c r="AF98" s="140"/>
      <c r="AG98" s="140"/>
      <c r="AH98" s="140"/>
      <c r="AI98" s="140"/>
      <c r="AJ98" s="140"/>
      <c r="AK98" s="140"/>
      <c r="AL98" s="140"/>
      <c r="AM98" s="140"/>
      <c r="AN98" s="140"/>
      <c r="AO98" s="140"/>
      <c r="AP98" s="140"/>
      <c r="AQ98" s="140"/>
      <c r="AR98" s="140"/>
      <c r="AS98" s="140"/>
      <c r="BX98" s="1460"/>
      <c r="CG98" s="1454"/>
      <c r="CH98" s="1454"/>
      <c r="CI98" s="1454"/>
      <c r="CJ98" s="1454"/>
      <c r="CK98" s="1454"/>
      <c r="CL98" s="1454"/>
      <c r="CM98" s="1454"/>
      <c r="CN98" s="1454"/>
      <c r="CO98" s="1454"/>
      <c r="CP98" s="1454"/>
      <c r="CQ98" s="1454"/>
      <c r="CR98" s="1454"/>
      <c r="CS98" s="1454"/>
      <c r="CT98" s="1454"/>
      <c r="CU98" s="290"/>
      <c r="CV98" s="290"/>
      <c r="CW98" s="290"/>
      <c r="CX98" s="290"/>
      <c r="CY98" s="290"/>
      <c r="CZ98" s="290"/>
    </row>
    <row r="99" spans="1:104" x14ac:dyDescent="0.2">
      <c r="A99" s="7840" t="s">
        <v>1014</v>
      </c>
      <c r="B99" s="1871"/>
      <c r="C99" s="3136"/>
      <c r="D99" s="1871"/>
      <c r="E99" s="2074"/>
      <c r="F99" s="71"/>
      <c r="G99" s="71"/>
      <c r="H99" s="71"/>
      <c r="I99" s="71"/>
      <c r="J99" s="71"/>
      <c r="K99" s="71"/>
      <c r="L99" s="71"/>
      <c r="M99" s="71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  <c r="AH99" s="140"/>
      <c r="AI99" s="140"/>
      <c r="AJ99" s="140"/>
      <c r="AK99" s="140"/>
      <c r="AL99" s="140"/>
      <c r="AM99" s="140"/>
      <c r="AN99" s="140"/>
      <c r="AO99" s="140"/>
      <c r="AP99" s="140"/>
      <c r="AQ99" s="140"/>
      <c r="AR99" s="140"/>
      <c r="AS99" s="140"/>
      <c r="AT99" s="140"/>
      <c r="BX99" s="1460"/>
      <c r="CG99" s="1454"/>
      <c r="CH99" s="1454"/>
      <c r="CI99" s="1454"/>
      <c r="CJ99" s="1454"/>
      <c r="CK99" s="1454"/>
      <c r="CL99" s="1454"/>
      <c r="CM99" s="1454"/>
      <c r="CN99" s="1454"/>
      <c r="CO99" s="1454"/>
      <c r="CP99" s="1454"/>
      <c r="CQ99" s="1454"/>
      <c r="CR99" s="1454"/>
      <c r="CS99" s="1454"/>
      <c r="CT99" s="1454"/>
      <c r="CU99" s="290"/>
      <c r="CV99" s="290"/>
      <c r="CW99" s="290"/>
      <c r="CX99" s="290"/>
      <c r="CY99" s="290"/>
      <c r="CZ99" s="290"/>
    </row>
    <row r="100" spans="1:104" x14ac:dyDescent="0.2">
      <c r="A100" s="7841" t="s">
        <v>62</v>
      </c>
      <c r="B100" s="1871"/>
      <c r="C100" s="3136"/>
      <c r="D100" s="1871"/>
      <c r="E100" s="2074"/>
      <c r="F100" s="71"/>
      <c r="G100" s="71"/>
      <c r="H100" s="71"/>
      <c r="I100" s="71"/>
      <c r="J100" s="71"/>
      <c r="K100" s="71"/>
      <c r="L100" s="71"/>
      <c r="M100" s="71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40"/>
      <c r="AE100" s="140"/>
      <c r="AF100" s="140"/>
      <c r="AG100" s="140"/>
      <c r="AH100" s="140"/>
      <c r="AI100" s="140"/>
      <c r="AJ100" s="140"/>
      <c r="AK100" s="140"/>
      <c r="AL100" s="140"/>
      <c r="AM100" s="140"/>
      <c r="AN100" s="140"/>
      <c r="AO100" s="140"/>
      <c r="AP100" s="140"/>
      <c r="AQ100" s="140"/>
      <c r="AR100" s="140"/>
      <c r="AS100" s="140"/>
      <c r="AT100" s="140"/>
      <c r="BX100" s="1460"/>
      <c r="CG100" s="1454"/>
      <c r="CH100" s="1454"/>
      <c r="CI100" s="1454"/>
      <c r="CJ100" s="1454"/>
      <c r="CK100" s="1454"/>
      <c r="CL100" s="1454"/>
      <c r="CM100" s="1454"/>
      <c r="CN100" s="1454"/>
      <c r="CO100" s="1454"/>
      <c r="CP100" s="1454"/>
      <c r="CQ100" s="1454"/>
      <c r="CR100" s="1454"/>
      <c r="CS100" s="1454"/>
      <c r="CT100" s="1454"/>
      <c r="CU100" s="290"/>
      <c r="CV100" s="290"/>
      <c r="CW100" s="290"/>
      <c r="CX100" s="290"/>
      <c r="CY100" s="290"/>
      <c r="CZ100" s="290"/>
    </row>
    <row r="101" spans="1:104" x14ac:dyDescent="0.2">
      <c r="A101" s="7841" t="s">
        <v>2586</v>
      </c>
      <c r="B101" s="1871"/>
      <c r="C101" s="3136"/>
      <c r="D101" s="1871"/>
      <c r="E101" s="2074"/>
      <c r="F101" s="71"/>
      <c r="G101" s="71"/>
      <c r="H101" s="71"/>
      <c r="I101" s="71"/>
      <c r="J101" s="71"/>
      <c r="K101" s="71"/>
      <c r="L101" s="71"/>
      <c r="M101" s="71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  <c r="AH101" s="140"/>
      <c r="AI101" s="140"/>
      <c r="AJ101" s="140"/>
      <c r="AK101" s="140"/>
      <c r="AL101" s="140"/>
      <c r="AM101" s="140"/>
      <c r="AN101" s="140"/>
      <c r="AO101" s="140"/>
      <c r="AP101" s="140"/>
      <c r="AQ101" s="140"/>
      <c r="AR101" s="140"/>
      <c r="AS101" s="140"/>
      <c r="AT101" s="140"/>
      <c r="BX101" s="1460"/>
      <c r="CG101" s="1454"/>
      <c r="CH101" s="1454"/>
      <c r="CI101" s="1454"/>
      <c r="CJ101" s="1454"/>
      <c r="CK101" s="1454"/>
      <c r="CL101" s="1454"/>
      <c r="CM101" s="1454"/>
      <c r="CN101" s="1454"/>
      <c r="CO101" s="1454"/>
      <c r="CP101" s="1454"/>
      <c r="CQ101" s="1454"/>
      <c r="CR101" s="1454"/>
      <c r="CS101" s="1454"/>
      <c r="CT101" s="1454"/>
      <c r="CU101" s="290"/>
      <c r="CV101" s="290"/>
      <c r="CW101" s="290"/>
      <c r="CX101" s="290"/>
      <c r="CY101" s="290"/>
      <c r="CZ101" s="290"/>
    </row>
    <row r="102" spans="1:104" x14ac:dyDescent="0.2">
      <c r="A102" s="7841" t="s">
        <v>60</v>
      </c>
      <c r="B102" s="1871"/>
      <c r="C102" s="3136"/>
      <c r="D102" s="1871"/>
      <c r="E102" s="2074"/>
      <c r="F102" s="71"/>
      <c r="G102" s="71"/>
      <c r="H102" s="71"/>
      <c r="I102" s="71"/>
      <c r="J102" s="71"/>
      <c r="K102" s="71"/>
      <c r="L102" s="71"/>
      <c r="M102" s="71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0"/>
      <c r="AH102" s="140"/>
      <c r="AI102" s="140"/>
      <c r="AJ102" s="140"/>
      <c r="AK102" s="140"/>
      <c r="AL102" s="140"/>
      <c r="AM102" s="140"/>
      <c r="AN102" s="140"/>
      <c r="AO102" s="140"/>
      <c r="AP102" s="140"/>
      <c r="AQ102" s="140"/>
      <c r="AR102" s="140"/>
      <c r="AS102" s="140"/>
      <c r="AT102" s="140"/>
      <c r="BX102" s="1460"/>
      <c r="CG102" s="1454"/>
      <c r="CH102" s="1454"/>
      <c r="CI102" s="1454"/>
      <c r="CJ102" s="1454"/>
      <c r="CK102" s="1454"/>
      <c r="CL102" s="1454"/>
      <c r="CM102" s="1454"/>
      <c r="CN102" s="1454"/>
      <c r="CO102" s="1454"/>
      <c r="CP102" s="1454"/>
      <c r="CQ102" s="1454"/>
      <c r="CR102" s="1454"/>
      <c r="CS102" s="1454"/>
      <c r="CT102" s="1454"/>
      <c r="CU102" s="290"/>
      <c r="CV102" s="290"/>
      <c r="CW102" s="290"/>
      <c r="CX102" s="290"/>
      <c r="CY102" s="290"/>
      <c r="CZ102" s="290"/>
    </row>
    <row r="103" spans="1:104" x14ac:dyDescent="0.2">
      <c r="A103" s="7842" t="s">
        <v>2889</v>
      </c>
      <c r="B103" s="3064"/>
      <c r="C103" s="3126"/>
      <c r="D103" s="3064"/>
      <c r="E103" s="3127"/>
      <c r="F103" s="71"/>
      <c r="G103" s="71"/>
      <c r="H103" s="71"/>
      <c r="I103" s="71"/>
      <c r="J103" s="71"/>
      <c r="K103" s="71"/>
      <c r="L103" s="71"/>
      <c r="M103" s="71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E103" s="140"/>
      <c r="AF103" s="140"/>
      <c r="AG103" s="140"/>
      <c r="AH103" s="140"/>
      <c r="AI103" s="140"/>
      <c r="AJ103" s="140"/>
      <c r="AK103" s="140"/>
      <c r="AL103" s="140"/>
      <c r="AM103" s="140"/>
      <c r="AN103" s="140"/>
      <c r="AO103" s="140"/>
      <c r="AP103" s="140"/>
      <c r="AQ103" s="140"/>
      <c r="AR103" s="140"/>
      <c r="AS103" s="140"/>
      <c r="AT103" s="140"/>
      <c r="BX103" s="1460"/>
      <c r="CG103" s="1454"/>
      <c r="CH103" s="1454"/>
      <c r="CI103" s="1454"/>
      <c r="CJ103" s="1454"/>
      <c r="CK103" s="1454"/>
      <c r="CL103" s="1454"/>
      <c r="CM103" s="1454"/>
      <c r="CN103" s="1454"/>
      <c r="CO103" s="1454"/>
      <c r="CP103" s="1454"/>
      <c r="CQ103" s="1454"/>
      <c r="CR103" s="1454"/>
      <c r="CS103" s="1454"/>
      <c r="CT103" s="1454"/>
      <c r="CU103" s="290"/>
      <c r="CV103" s="290"/>
      <c r="CW103" s="290"/>
      <c r="CX103" s="290"/>
      <c r="CY103" s="290"/>
      <c r="CZ103" s="290"/>
    </row>
    <row r="104" spans="1:104" ht="15" customHeight="1" x14ac:dyDescent="0.2">
      <c r="A104" s="7808" t="s">
        <v>24</v>
      </c>
      <c r="B104" s="3337">
        <f>SUM(B99:B103)</f>
        <v>0</v>
      </c>
      <c r="C104" s="7836">
        <f>SUM(C99:C103)</f>
        <v>0</v>
      </c>
      <c r="D104" s="3337">
        <f>SUM(D99:D103)</f>
        <v>0</v>
      </c>
      <c r="E104" s="7837">
        <f>SUM(E99:E103)</f>
        <v>0</v>
      </c>
      <c r="F104" s="71"/>
      <c r="G104" s="71"/>
      <c r="H104" s="71"/>
      <c r="I104" s="71"/>
      <c r="J104" s="71"/>
      <c r="K104" s="71"/>
      <c r="L104" s="71"/>
      <c r="M104" s="71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40"/>
      <c r="AE104" s="140"/>
      <c r="AF104" s="140"/>
      <c r="AG104" s="140"/>
      <c r="AH104" s="140"/>
      <c r="AI104" s="140"/>
      <c r="AJ104" s="140"/>
      <c r="AK104" s="140"/>
      <c r="AL104" s="140"/>
      <c r="AM104" s="140"/>
      <c r="AN104" s="140"/>
      <c r="AO104" s="140"/>
      <c r="AP104" s="140"/>
      <c r="AQ104" s="140"/>
      <c r="AR104" s="140"/>
      <c r="AS104" s="140"/>
      <c r="AT104" s="140"/>
      <c r="BX104" s="1460"/>
      <c r="CG104" s="1454"/>
      <c r="CH104" s="1454"/>
      <c r="CI104" s="1454"/>
      <c r="CJ104" s="1454"/>
      <c r="CK104" s="1454"/>
      <c r="CL104" s="1454"/>
      <c r="CM104" s="1454"/>
      <c r="CN104" s="1454"/>
      <c r="CO104" s="1454"/>
      <c r="CP104" s="1454"/>
      <c r="CQ104" s="1454"/>
      <c r="CR104" s="1454"/>
      <c r="CS104" s="1454"/>
      <c r="CT104" s="1454"/>
      <c r="CU104" s="290"/>
      <c r="CV104" s="290"/>
      <c r="CW104" s="290"/>
      <c r="CX104" s="290"/>
      <c r="CY104" s="290"/>
      <c r="CZ104" s="290"/>
    </row>
    <row r="105" spans="1:104" ht="28.15" customHeight="1" x14ac:dyDescent="0.2">
      <c r="A105" s="746" t="s">
        <v>201</v>
      </c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40"/>
      <c r="AE105" s="140"/>
      <c r="AF105" s="140"/>
      <c r="AG105" s="140"/>
      <c r="AH105" s="140"/>
      <c r="AI105" s="140"/>
      <c r="AJ105" s="140"/>
      <c r="AK105" s="140"/>
      <c r="AL105" s="140"/>
      <c r="AM105" s="140"/>
      <c r="AN105" s="140"/>
      <c r="AO105" s="140"/>
      <c r="AP105" s="140"/>
      <c r="AQ105" s="140"/>
      <c r="AR105" s="140"/>
      <c r="AS105" s="140"/>
      <c r="AT105" s="140"/>
      <c r="AU105" s="140"/>
      <c r="CG105" s="1454"/>
      <c r="CH105" s="1454"/>
      <c r="CI105" s="1454"/>
      <c r="CJ105" s="1454"/>
      <c r="CK105" s="1454"/>
      <c r="CL105" s="1454"/>
      <c r="CM105" s="1454"/>
      <c r="CN105" s="1454"/>
      <c r="CO105" s="1454"/>
      <c r="CP105" s="1454"/>
      <c r="CQ105" s="1454"/>
      <c r="CR105" s="1454"/>
      <c r="CS105" s="1454"/>
      <c r="CT105" s="1454"/>
      <c r="CU105" s="290"/>
      <c r="CV105" s="290"/>
      <c r="CW105" s="290"/>
      <c r="CX105" s="290"/>
      <c r="CY105" s="290"/>
      <c r="CZ105" s="290"/>
    </row>
    <row r="106" spans="1:104" ht="39" customHeight="1" x14ac:dyDescent="0.2">
      <c r="A106" s="7838" t="s">
        <v>0</v>
      </c>
      <c r="B106" s="3206" t="s">
        <v>3978</v>
      </c>
      <c r="C106" s="7828" t="s">
        <v>162</v>
      </c>
      <c r="D106" s="7829" t="s">
        <v>163</v>
      </c>
      <c r="E106" s="7830" t="s">
        <v>164</v>
      </c>
      <c r="F106" s="71"/>
      <c r="G106" s="71"/>
      <c r="H106" s="71"/>
      <c r="I106" s="71"/>
      <c r="J106" s="71"/>
      <c r="K106" s="71"/>
      <c r="L106" s="71"/>
      <c r="M106" s="71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0"/>
      <c r="AE106" s="140"/>
      <c r="AF106" s="140"/>
      <c r="AG106" s="140"/>
      <c r="AH106" s="140"/>
      <c r="AI106" s="140"/>
      <c r="AJ106" s="140"/>
      <c r="AK106" s="140"/>
      <c r="AL106" s="140"/>
      <c r="AM106" s="140"/>
      <c r="AN106" s="140"/>
      <c r="AO106" s="140"/>
      <c r="AP106" s="140"/>
      <c r="AQ106" s="140"/>
      <c r="AR106" s="140"/>
      <c r="AS106" s="140"/>
      <c r="AT106" s="140"/>
      <c r="BX106" s="1460"/>
      <c r="CG106" s="1454"/>
      <c r="CH106" s="1454"/>
      <c r="CI106" s="1454"/>
      <c r="CJ106" s="1454"/>
      <c r="CK106" s="1454"/>
      <c r="CL106" s="1454"/>
      <c r="CM106" s="1454"/>
      <c r="CN106" s="1454"/>
      <c r="CO106" s="1454"/>
      <c r="CP106" s="1454"/>
      <c r="CQ106" s="1454"/>
      <c r="CR106" s="1454"/>
      <c r="CS106" s="1454"/>
      <c r="CT106" s="1454"/>
      <c r="CU106" s="290"/>
      <c r="CV106" s="290"/>
      <c r="CW106" s="290"/>
      <c r="CX106" s="290"/>
      <c r="CY106" s="290"/>
      <c r="CZ106" s="290"/>
    </row>
    <row r="107" spans="1:104" ht="14.1" customHeight="1" x14ac:dyDescent="0.2">
      <c r="A107" s="7840" t="s">
        <v>103</v>
      </c>
      <c r="B107" s="1871"/>
      <c r="C107" s="3136"/>
      <c r="D107" s="1871"/>
      <c r="E107" s="2074"/>
      <c r="F107" s="71"/>
      <c r="G107" s="71"/>
      <c r="H107" s="71"/>
      <c r="I107" s="71"/>
      <c r="J107" s="71"/>
      <c r="K107" s="71"/>
      <c r="L107" s="71"/>
      <c r="M107" s="71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  <c r="AH107" s="140"/>
      <c r="AI107" s="140"/>
      <c r="AJ107" s="140"/>
      <c r="AK107" s="140"/>
      <c r="AL107" s="140"/>
      <c r="AM107" s="140"/>
      <c r="AN107" s="140"/>
      <c r="AO107" s="140"/>
      <c r="AP107" s="140"/>
      <c r="AQ107" s="140"/>
      <c r="AR107" s="140"/>
      <c r="AS107" s="140"/>
      <c r="AT107" s="140"/>
      <c r="BX107" s="1460"/>
      <c r="CG107" s="1454"/>
      <c r="CH107" s="1454"/>
      <c r="CI107" s="1454"/>
      <c r="CJ107" s="1454"/>
      <c r="CK107" s="1454"/>
      <c r="CL107" s="1454"/>
      <c r="CM107" s="1454"/>
      <c r="CN107" s="1454"/>
      <c r="CO107" s="1454"/>
      <c r="CP107" s="1454"/>
      <c r="CQ107" s="1454"/>
      <c r="CR107" s="1454"/>
      <c r="CS107" s="1454"/>
      <c r="CT107" s="1454"/>
      <c r="CU107" s="290"/>
      <c r="CV107" s="290"/>
      <c r="CW107" s="290"/>
      <c r="CX107" s="290"/>
      <c r="CY107" s="290"/>
      <c r="CZ107" s="290"/>
    </row>
    <row r="108" spans="1:104" ht="14.1" customHeight="1" x14ac:dyDescent="0.2">
      <c r="A108" s="7841" t="s">
        <v>62</v>
      </c>
      <c r="B108" s="1871"/>
      <c r="C108" s="3136"/>
      <c r="D108" s="1871"/>
      <c r="E108" s="2074"/>
      <c r="F108" s="71"/>
      <c r="G108" s="71"/>
      <c r="H108" s="71"/>
      <c r="I108" s="71"/>
      <c r="J108" s="71"/>
      <c r="K108" s="71"/>
      <c r="L108" s="71"/>
      <c r="M108" s="71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140"/>
      <c r="AO108" s="140"/>
      <c r="AP108" s="140"/>
      <c r="AQ108" s="140"/>
      <c r="AR108" s="140"/>
      <c r="AS108" s="140"/>
      <c r="AT108" s="140"/>
      <c r="BX108" s="1460"/>
      <c r="CG108" s="1454"/>
      <c r="CH108" s="1454"/>
      <c r="CI108" s="1454"/>
      <c r="CJ108" s="1454"/>
      <c r="CK108" s="1454"/>
      <c r="CL108" s="1454"/>
      <c r="CM108" s="1454"/>
      <c r="CN108" s="1454"/>
      <c r="CO108" s="1454"/>
      <c r="CP108" s="1454"/>
      <c r="CQ108" s="1454"/>
      <c r="CR108" s="1454"/>
      <c r="CS108" s="1454"/>
      <c r="CT108" s="1454"/>
      <c r="CU108" s="290"/>
      <c r="CV108" s="290"/>
      <c r="CW108" s="290"/>
      <c r="CX108" s="290"/>
      <c r="CY108" s="290"/>
      <c r="CZ108" s="290"/>
    </row>
    <row r="109" spans="1:104" ht="14.1" customHeight="1" x14ac:dyDescent="0.2">
      <c r="A109" s="7841" t="s">
        <v>61</v>
      </c>
      <c r="B109" s="1871"/>
      <c r="C109" s="3136"/>
      <c r="D109" s="1871"/>
      <c r="E109" s="2074"/>
      <c r="F109" s="71"/>
      <c r="G109" s="71"/>
      <c r="H109" s="71"/>
      <c r="I109" s="71"/>
      <c r="J109" s="71"/>
      <c r="K109" s="71"/>
      <c r="L109" s="71"/>
      <c r="M109" s="71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  <c r="AF109" s="140"/>
      <c r="AG109" s="140"/>
      <c r="AH109" s="140"/>
      <c r="AI109" s="140"/>
      <c r="AJ109" s="140"/>
      <c r="AK109" s="140"/>
      <c r="AL109" s="140"/>
      <c r="AM109" s="140"/>
      <c r="AN109" s="140"/>
      <c r="AO109" s="140"/>
      <c r="AP109" s="140"/>
      <c r="AQ109" s="140"/>
      <c r="AR109" s="140"/>
      <c r="AS109" s="140"/>
      <c r="AT109" s="140"/>
      <c r="BX109" s="1460"/>
      <c r="CG109" s="1454"/>
      <c r="CH109" s="1454"/>
      <c r="CI109" s="1454"/>
      <c r="CJ109" s="1454"/>
      <c r="CK109" s="1454"/>
      <c r="CL109" s="1454"/>
      <c r="CM109" s="1454"/>
      <c r="CN109" s="1454"/>
      <c r="CO109" s="1454"/>
      <c r="CP109" s="1454"/>
      <c r="CQ109" s="1454"/>
      <c r="CR109" s="1454"/>
      <c r="CS109" s="1454"/>
      <c r="CT109" s="1454"/>
      <c r="CU109" s="290"/>
      <c r="CV109" s="290"/>
      <c r="CW109" s="290"/>
      <c r="CX109" s="290"/>
      <c r="CY109" s="290"/>
      <c r="CZ109" s="290"/>
    </row>
    <row r="110" spans="1:104" ht="14.1" customHeight="1" x14ac:dyDescent="0.2">
      <c r="A110" s="7841" t="s">
        <v>60</v>
      </c>
      <c r="B110" s="1871"/>
      <c r="C110" s="3136"/>
      <c r="D110" s="1871"/>
      <c r="E110" s="2074"/>
      <c r="F110" s="71"/>
      <c r="G110" s="71"/>
      <c r="H110" s="71"/>
      <c r="I110" s="71"/>
      <c r="J110" s="71"/>
      <c r="K110" s="71"/>
      <c r="L110" s="71"/>
      <c r="M110" s="71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  <c r="Z110" s="140"/>
      <c r="AA110" s="140"/>
      <c r="AB110" s="140"/>
      <c r="AC110" s="140"/>
      <c r="AD110" s="140"/>
      <c r="AE110" s="140"/>
      <c r="AF110" s="140"/>
      <c r="AG110" s="140"/>
      <c r="AH110" s="140"/>
      <c r="AI110" s="140"/>
      <c r="AJ110" s="140"/>
      <c r="AK110" s="140"/>
      <c r="AL110" s="140"/>
      <c r="AM110" s="140"/>
      <c r="AN110" s="140"/>
      <c r="AO110" s="140"/>
      <c r="AP110" s="140"/>
      <c r="AQ110" s="140"/>
      <c r="AR110" s="140"/>
      <c r="AS110" s="140"/>
      <c r="AT110" s="140"/>
      <c r="BX110" s="1460"/>
      <c r="CG110" s="1454"/>
      <c r="CH110" s="1454"/>
      <c r="CI110" s="1454"/>
      <c r="CJ110" s="1454"/>
      <c r="CK110" s="1454"/>
      <c r="CL110" s="1454"/>
      <c r="CM110" s="1454"/>
      <c r="CN110" s="1454"/>
      <c r="CO110" s="1454"/>
      <c r="CP110" s="1454"/>
      <c r="CQ110" s="1454"/>
      <c r="CR110" s="1454"/>
      <c r="CS110" s="1454"/>
      <c r="CT110" s="1454"/>
      <c r="CU110" s="290"/>
      <c r="CV110" s="290"/>
      <c r="CW110" s="290"/>
      <c r="CX110" s="290"/>
      <c r="CY110" s="290"/>
      <c r="CZ110" s="290"/>
    </row>
    <row r="111" spans="1:104" ht="14.1" customHeight="1" x14ac:dyDescent="0.2">
      <c r="A111" s="7842" t="s">
        <v>2590</v>
      </c>
      <c r="B111" s="3064"/>
      <c r="C111" s="3126"/>
      <c r="D111" s="3064"/>
      <c r="E111" s="3127"/>
      <c r="F111" s="71"/>
      <c r="G111" s="71"/>
      <c r="H111" s="71"/>
      <c r="I111" s="71"/>
      <c r="J111" s="71"/>
      <c r="K111" s="71"/>
      <c r="L111" s="71"/>
      <c r="M111" s="71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0"/>
      <c r="AC111" s="140"/>
      <c r="AD111" s="140"/>
      <c r="AE111" s="140"/>
      <c r="AF111" s="140"/>
      <c r="AG111" s="140"/>
      <c r="AH111" s="140"/>
      <c r="AI111" s="140"/>
      <c r="AJ111" s="140"/>
      <c r="AK111" s="140"/>
      <c r="AL111" s="140"/>
      <c r="AM111" s="140"/>
      <c r="AN111" s="140"/>
      <c r="AO111" s="140"/>
      <c r="AP111" s="140"/>
      <c r="AQ111" s="140"/>
      <c r="AR111" s="140"/>
      <c r="AS111" s="140"/>
      <c r="AT111" s="140"/>
      <c r="BX111" s="1460"/>
      <c r="CG111" s="1454"/>
      <c r="CH111" s="1454"/>
      <c r="CI111" s="1454"/>
      <c r="CJ111" s="1454"/>
      <c r="CK111" s="1454"/>
      <c r="CL111" s="1454"/>
      <c r="CM111" s="1454"/>
      <c r="CN111" s="1454"/>
      <c r="CO111" s="1454"/>
      <c r="CP111" s="1454"/>
      <c r="CQ111" s="1454"/>
      <c r="CR111" s="1454"/>
      <c r="CS111" s="1454"/>
      <c r="CT111" s="1454"/>
      <c r="CU111" s="290"/>
      <c r="CV111" s="290"/>
      <c r="CW111" s="290"/>
      <c r="CX111" s="290"/>
      <c r="CY111" s="290"/>
      <c r="CZ111" s="290"/>
    </row>
    <row r="112" spans="1:104" ht="14.1" customHeight="1" x14ac:dyDescent="0.25">
      <c r="A112" s="7819" t="s">
        <v>24</v>
      </c>
      <c r="B112" s="3337">
        <f>SUM(B107:B111)</f>
        <v>0</v>
      </c>
      <c r="C112" s="7836">
        <f>SUM(C107:C111)</f>
        <v>0</v>
      </c>
      <c r="D112" s="3337">
        <f>SUM(D107:D111)</f>
        <v>0</v>
      </c>
      <c r="E112" s="7837">
        <f>SUM(E107:E111)</f>
        <v>0</v>
      </c>
      <c r="F112" s="71"/>
      <c r="G112" s="71"/>
      <c r="H112" s="71"/>
      <c r="I112" s="71"/>
      <c r="J112" s="71"/>
      <c r="K112" s="71"/>
      <c r="L112" s="71"/>
      <c r="M112" s="71"/>
      <c r="N112" s="140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  <c r="Y112" s="140"/>
      <c r="Z112" s="140"/>
      <c r="AA112" s="140"/>
      <c r="AB112" s="140"/>
      <c r="AC112" s="140"/>
      <c r="AD112" s="140"/>
      <c r="AE112" s="140"/>
      <c r="AF112" s="140"/>
      <c r="AG112" s="140"/>
      <c r="AH112" s="140"/>
      <c r="AI112" s="140"/>
      <c r="AJ112" s="140"/>
      <c r="AK112" s="140"/>
      <c r="AL112" s="140"/>
      <c r="AM112" s="140"/>
      <c r="AN112" s="140"/>
      <c r="AO112" s="140"/>
      <c r="AP112" s="140"/>
      <c r="AQ112" s="140"/>
      <c r="AR112" s="140"/>
      <c r="AS112" s="140"/>
      <c r="AT112" s="140"/>
      <c r="AU112" s="1188"/>
      <c r="AV112" s="1188"/>
      <c r="AW112" s="1188"/>
      <c r="AX112" s="1188"/>
      <c r="AY112" s="1188"/>
      <c r="AZ112" s="1188"/>
      <c r="BA112" s="1188"/>
      <c r="BB112" s="1188"/>
      <c r="BC112" s="1188"/>
      <c r="BD112" s="1188"/>
      <c r="BE112" s="1188"/>
      <c r="BF112" s="1188"/>
      <c r="BG112" s="1188"/>
      <c r="BH112" s="1188"/>
      <c r="BI112" s="1188"/>
      <c r="BJ112" s="1188"/>
      <c r="BK112" s="1188"/>
      <c r="BL112" s="1188"/>
      <c r="BM112" s="1188"/>
      <c r="BN112" s="1188"/>
      <c r="BO112" s="1188"/>
      <c r="BP112" s="1188"/>
      <c r="BQ112" s="1188"/>
      <c r="BR112" s="1188"/>
      <c r="BS112" s="1188"/>
      <c r="BT112" s="1188"/>
      <c r="BU112" s="1152"/>
      <c r="BV112" s="1152"/>
      <c r="BW112" s="1152"/>
      <c r="BX112" s="1460"/>
      <c r="BY112" s="1152"/>
      <c r="CG112" s="1454"/>
      <c r="CH112" s="1454"/>
      <c r="CI112" s="1454"/>
      <c r="CJ112" s="1454"/>
      <c r="CK112" s="1454"/>
      <c r="CL112" s="1454"/>
      <c r="CM112" s="1454"/>
      <c r="CN112" s="1454"/>
      <c r="CO112" s="1454"/>
      <c r="CP112" s="1454"/>
      <c r="CQ112" s="1454"/>
      <c r="CR112" s="1454"/>
      <c r="CS112" s="1454"/>
      <c r="CT112" s="1454"/>
      <c r="CU112" s="290"/>
      <c r="CV112" s="290"/>
      <c r="CW112" s="290"/>
      <c r="CX112" s="290"/>
      <c r="CY112" s="290"/>
      <c r="CZ112" s="290"/>
    </row>
    <row r="113" spans="1:130" ht="28.15" customHeight="1" x14ac:dyDescent="0.25">
      <c r="A113" s="2153" t="s">
        <v>2890</v>
      </c>
      <c r="B113" s="1188"/>
      <c r="C113" s="1188"/>
      <c r="D113" s="109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0"/>
      <c r="AC113" s="140"/>
      <c r="AD113" s="140"/>
      <c r="AE113" s="140"/>
      <c r="AF113" s="140"/>
      <c r="AG113" s="140"/>
      <c r="AH113" s="140"/>
      <c r="AI113" s="140"/>
      <c r="AJ113" s="140"/>
      <c r="AK113" s="140"/>
      <c r="AL113" s="140"/>
      <c r="AM113" s="140"/>
      <c r="AN113" s="140"/>
      <c r="AO113" s="140"/>
      <c r="AP113" s="140"/>
      <c r="AQ113" s="140"/>
      <c r="AR113" s="140"/>
      <c r="AS113" s="140"/>
      <c r="AT113" s="140"/>
      <c r="AU113" s="1188"/>
      <c r="AV113" s="1188"/>
      <c r="AW113" s="1188"/>
      <c r="AX113" s="1188"/>
      <c r="AY113" s="1188"/>
      <c r="AZ113" s="1188"/>
      <c r="BA113" s="1188"/>
      <c r="BB113" s="1188"/>
      <c r="BC113" s="1188"/>
      <c r="BD113" s="1188"/>
      <c r="BE113" s="1188"/>
      <c r="BF113" s="1188"/>
      <c r="BG113" s="1188"/>
      <c r="BH113" s="1188"/>
      <c r="BI113" s="1188"/>
      <c r="BJ113" s="1188"/>
      <c r="BK113" s="1188"/>
      <c r="BL113" s="1188"/>
      <c r="BM113" s="1188"/>
      <c r="BN113" s="1188"/>
      <c r="BO113" s="1188"/>
      <c r="BP113" s="1188"/>
      <c r="BQ113" s="1188"/>
      <c r="BR113" s="1188"/>
      <c r="BS113" s="1188"/>
      <c r="BT113" s="1188"/>
      <c r="BU113" s="1152"/>
      <c r="BV113" s="1152"/>
      <c r="BW113" s="1152"/>
      <c r="BX113" s="1152"/>
      <c r="BY113" s="290"/>
      <c r="BZ113" s="290"/>
      <c r="CG113" s="1454"/>
      <c r="CH113" s="1454"/>
      <c r="CI113" s="1454"/>
      <c r="CJ113" s="1454"/>
      <c r="CK113" s="1454"/>
      <c r="CL113" s="1454"/>
      <c r="CM113" s="1454"/>
      <c r="CN113" s="1454"/>
      <c r="CO113" s="1454"/>
      <c r="CP113" s="1454"/>
      <c r="CQ113" s="1454"/>
      <c r="CR113" s="1454"/>
      <c r="CS113" s="1454"/>
      <c r="CT113" s="1454"/>
      <c r="CU113" s="1152"/>
      <c r="CV113" s="1152"/>
      <c r="CW113" s="1152"/>
      <c r="CX113" s="1152"/>
      <c r="CY113" s="1152"/>
      <c r="CZ113" s="1152"/>
    </row>
    <row r="114" spans="1:130" ht="17.25" customHeight="1" x14ac:dyDescent="0.2">
      <c r="A114" s="10432" t="s">
        <v>165</v>
      </c>
      <c r="B114" s="10426" t="s">
        <v>24</v>
      </c>
      <c r="C114" s="8571" t="s">
        <v>141</v>
      </c>
      <c r="D114" s="10394"/>
      <c r="E114" s="10394"/>
      <c r="F114" s="10395"/>
      <c r="G114" s="10444" t="s">
        <v>2872</v>
      </c>
      <c r="H114" s="10445"/>
      <c r="I114" s="71"/>
      <c r="J114" s="71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0"/>
      <c r="AC114" s="140"/>
      <c r="AD114" s="140"/>
      <c r="AE114" s="140"/>
      <c r="AF114" s="140"/>
      <c r="AG114" s="140"/>
      <c r="AH114" s="140"/>
      <c r="AI114" s="140"/>
      <c r="AJ114" s="140"/>
      <c r="AK114" s="140"/>
      <c r="AL114" s="140"/>
      <c r="AM114" s="140"/>
      <c r="AN114" s="140"/>
      <c r="AO114" s="140"/>
      <c r="AP114" s="140"/>
      <c r="AQ114" s="290"/>
      <c r="AR114" s="290"/>
      <c r="AS114" s="290"/>
      <c r="AT114" s="290"/>
      <c r="AU114" s="290"/>
      <c r="AV114" s="290"/>
      <c r="AW114" s="290"/>
      <c r="AX114" s="290"/>
      <c r="AY114" s="290"/>
      <c r="AZ114" s="290"/>
      <c r="BA114" s="290"/>
      <c r="BB114" s="290"/>
      <c r="BC114" s="290"/>
      <c r="BT114" s="290"/>
      <c r="BW114" s="7843"/>
      <c r="BX114" s="7843"/>
      <c r="BZ114" s="1451"/>
      <c r="CF114" s="1454"/>
      <c r="CG114" s="1454"/>
      <c r="CH114" s="1454"/>
      <c r="CI114" s="1454"/>
      <c r="CJ114" s="1454"/>
      <c r="CK114" s="1454"/>
      <c r="CL114" s="1454"/>
      <c r="CM114" s="1454"/>
      <c r="CN114" s="1454"/>
      <c r="CO114" s="1454"/>
      <c r="CP114" s="1454"/>
      <c r="CQ114" s="1454"/>
      <c r="CR114" s="1454"/>
      <c r="CS114" s="1454"/>
      <c r="CT114" s="7844"/>
      <c r="CU114" s="7844"/>
      <c r="CV114" s="7844"/>
      <c r="CW114" s="7844"/>
      <c r="CX114" s="7844"/>
      <c r="CY114" s="7843"/>
      <c r="CZ114" s="290"/>
      <c r="DZ114" s="165"/>
    </row>
    <row r="115" spans="1:130" ht="28.15" customHeight="1" x14ac:dyDescent="0.25">
      <c r="A115" s="10433"/>
      <c r="B115" s="10428"/>
      <c r="C115" s="3269" t="s">
        <v>3978</v>
      </c>
      <c r="D115" s="7733" t="s">
        <v>146</v>
      </c>
      <c r="E115" s="3206" t="s">
        <v>147</v>
      </c>
      <c r="F115" s="7845" t="s">
        <v>148</v>
      </c>
      <c r="G115" s="7670" t="s">
        <v>2822</v>
      </c>
      <c r="H115" s="7670" t="s">
        <v>2823</v>
      </c>
      <c r="I115" s="71"/>
      <c r="J115" s="71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  <c r="AJ115" s="140"/>
      <c r="AK115" s="140"/>
      <c r="AL115" s="140"/>
      <c r="AM115" s="140"/>
      <c r="AN115" s="140"/>
      <c r="AO115" s="140"/>
      <c r="AP115" s="140"/>
      <c r="AQ115" s="290"/>
      <c r="AR115" s="290"/>
      <c r="AS115" s="290"/>
      <c r="AT115" s="290"/>
      <c r="AU115" s="290"/>
      <c r="AV115" s="290"/>
      <c r="AW115" s="290"/>
      <c r="AX115" s="290"/>
      <c r="AY115" s="290"/>
      <c r="AZ115" s="290"/>
      <c r="BA115" s="290"/>
      <c r="BB115" s="290"/>
      <c r="BC115" s="290"/>
      <c r="BD115" s="1188"/>
      <c r="BE115" s="1188"/>
      <c r="BF115" s="1188"/>
      <c r="BG115" s="1188"/>
      <c r="BH115" s="1188"/>
      <c r="BI115" s="1188"/>
      <c r="BJ115" s="1188"/>
      <c r="BK115" s="1188"/>
      <c r="BL115" s="1188"/>
      <c r="BM115" s="1188"/>
      <c r="BN115" s="1188"/>
      <c r="BO115" s="1188"/>
      <c r="BP115" s="1188"/>
      <c r="BQ115" s="1188"/>
      <c r="BR115" s="1188"/>
      <c r="BS115" s="1188"/>
      <c r="BT115" s="1152"/>
      <c r="BU115" s="1152"/>
      <c r="BV115" s="1152"/>
      <c r="BW115" s="1460"/>
      <c r="BX115" s="1152"/>
      <c r="BZ115" s="1451"/>
      <c r="CF115" s="1454"/>
      <c r="CG115" s="1454"/>
      <c r="CH115" s="1454"/>
      <c r="CI115" s="1454"/>
      <c r="CJ115" s="1454"/>
      <c r="CK115" s="1454"/>
      <c r="CL115" s="1454"/>
      <c r="CM115" s="1454"/>
      <c r="CN115" s="1454"/>
      <c r="CO115" s="1454"/>
      <c r="CP115" s="1454"/>
      <c r="CQ115" s="1454"/>
      <c r="CR115" s="1454"/>
      <c r="CS115" s="1454"/>
      <c r="CT115" s="1152"/>
      <c r="CU115" s="1152"/>
      <c r="CV115" s="1152"/>
      <c r="CW115" s="1152"/>
      <c r="CX115" s="1152"/>
      <c r="CY115" s="290"/>
      <c r="CZ115" s="290"/>
      <c r="DZ115" s="165"/>
    </row>
    <row r="116" spans="1:130" ht="14.1" customHeight="1" x14ac:dyDescent="0.25">
      <c r="A116" s="7846" t="s">
        <v>643</v>
      </c>
      <c r="B116" s="7847">
        <f>SUM(C116:F116)</f>
        <v>0</v>
      </c>
      <c r="C116" s="3223"/>
      <c r="D116" s="3220"/>
      <c r="E116" s="3208"/>
      <c r="F116" s="7848"/>
      <c r="G116" s="3287"/>
      <c r="H116" s="7457"/>
      <c r="I116" s="71"/>
      <c r="J116" s="71"/>
      <c r="K116" s="140"/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  <c r="AA116" s="140"/>
      <c r="AB116" s="140"/>
      <c r="AC116" s="140"/>
      <c r="AD116" s="140"/>
      <c r="AE116" s="140"/>
      <c r="AF116" s="140"/>
      <c r="AG116" s="140"/>
      <c r="AH116" s="140"/>
      <c r="AI116" s="140"/>
      <c r="AJ116" s="140"/>
      <c r="AK116" s="140"/>
      <c r="AL116" s="140"/>
      <c r="AM116" s="140"/>
      <c r="AN116" s="140"/>
      <c r="AO116" s="140"/>
      <c r="AP116" s="140"/>
      <c r="AQ116" s="7849"/>
      <c r="AR116" s="290"/>
      <c r="AS116" s="290"/>
      <c r="AT116" s="290"/>
      <c r="AU116" s="290"/>
      <c r="AV116" s="290"/>
      <c r="AW116" s="290"/>
      <c r="AX116" s="290"/>
      <c r="AY116" s="290"/>
      <c r="AZ116" s="290"/>
      <c r="BA116" s="290"/>
      <c r="BB116" s="290"/>
      <c r="BC116" s="290"/>
      <c r="BD116" s="1188"/>
      <c r="BE116" s="1188"/>
      <c r="BF116" s="1188"/>
      <c r="BG116" s="1188"/>
      <c r="BH116" s="1188"/>
      <c r="BI116" s="1188"/>
      <c r="BJ116" s="1188"/>
      <c r="BK116" s="1188"/>
      <c r="BL116" s="1188"/>
      <c r="BM116" s="1188"/>
      <c r="BN116" s="1188"/>
      <c r="BO116" s="1188"/>
      <c r="BP116" s="1188"/>
      <c r="BQ116" s="1188"/>
      <c r="BR116" s="1188"/>
      <c r="BS116" s="1188"/>
      <c r="BT116" s="1152"/>
      <c r="BU116" s="1460"/>
      <c r="BV116" s="1460"/>
      <c r="BW116" s="1460"/>
      <c r="BX116" s="1152"/>
      <c r="BZ116" s="1451"/>
      <c r="CF116" s="1454"/>
      <c r="CG116" s="1454"/>
      <c r="CH116" s="1454"/>
      <c r="CI116" s="1454"/>
      <c r="CJ116" s="1454"/>
      <c r="CK116" s="1454"/>
      <c r="CL116" s="1454"/>
      <c r="CM116" s="1454"/>
      <c r="CN116" s="1454"/>
      <c r="CO116" s="1454"/>
      <c r="CP116" s="1454"/>
      <c r="CQ116" s="1454"/>
      <c r="CR116" s="1454"/>
      <c r="CS116" s="1454"/>
      <c r="CT116" s="1152"/>
      <c r="CU116" s="1152"/>
      <c r="CV116" s="1152"/>
      <c r="CW116" s="1152"/>
      <c r="CX116" s="1152"/>
      <c r="CY116" s="290"/>
      <c r="CZ116" s="290"/>
      <c r="DZ116" s="165"/>
    </row>
    <row r="117" spans="1:130" ht="14.1" customHeight="1" x14ac:dyDescent="0.25">
      <c r="A117" s="7850" t="s">
        <v>166</v>
      </c>
      <c r="B117" s="3338">
        <f>SUM(C117:F117)</f>
        <v>0</v>
      </c>
      <c r="C117" s="3328"/>
      <c r="D117" s="2061"/>
      <c r="E117" s="3062"/>
      <c r="F117" s="7719"/>
      <c r="G117" s="1731"/>
      <c r="H117" s="7718"/>
      <c r="I117" s="103"/>
      <c r="J117" s="103"/>
      <c r="K117" s="288"/>
      <c r="L117" s="288"/>
      <c r="M117" s="288"/>
      <c r="N117" s="288"/>
      <c r="O117" s="288"/>
      <c r="P117" s="288"/>
      <c r="Q117" s="288"/>
      <c r="R117" s="288"/>
      <c r="S117" s="288"/>
      <c r="T117" s="288"/>
      <c r="U117" s="288"/>
      <c r="V117" s="288"/>
      <c r="W117" s="288"/>
      <c r="X117" s="288"/>
      <c r="Y117" s="140"/>
      <c r="Z117" s="140"/>
      <c r="AA117" s="140"/>
      <c r="AB117" s="140"/>
      <c r="AC117" s="140"/>
      <c r="AD117" s="140"/>
      <c r="AE117" s="140"/>
      <c r="AF117" s="140"/>
      <c r="AG117" s="140"/>
      <c r="AH117" s="140"/>
      <c r="AI117" s="140"/>
      <c r="AJ117" s="140"/>
      <c r="AK117" s="140"/>
      <c r="AL117" s="140"/>
      <c r="AM117" s="140"/>
      <c r="AN117" s="140"/>
      <c r="AO117" s="140"/>
      <c r="AP117" s="140"/>
      <c r="AQ117" s="290"/>
      <c r="AR117" s="290"/>
      <c r="AS117" s="290"/>
      <c r="AT117" s="290"/>
      <c r="AU117" s="290"/>
      <c r="AV117" s="290"/>
      <c r="AW117" s="290"/>
      <c r="AX117" s="290"/>
      <c r="AY117" s="290"/>
      <c r="AZ117" s="290"/>
      <c r="BA117" s="290"/>
      <c r="BB117" s="290"/>
      <c r="BC117" s="290"/>
      <c r="BD117" s="1188"/>
      <c r="BE117" s="1188"/>
      <c r="BF117" s="1188"/>
      <c r="BG117" s="1188"/>
      <c r="BH117" s="1188"/>
      <c r="BI117" s="1188"/>
      <c r="BJ117" s="1188"/>
      <c r="BK117" s="1188"/>
      <c r="BL117" s="1188"/>
      <c r="BM117" s="1188"/>
      <c r="BN117" s="1188"/>
      <c r="BO117" s="1188"/>
      <c r="BP117" s="1188"/>
      <c r="BQ117" s="1188"/>
      <c r="BR117" s="1188"/>
      <c r="BS117" s="1188"/>
      <c r="BT117" s="1152"/>
      <c r="BU117" s="1460"/>
      <c r="BV117" s="1460"/>
      <c r="BW117" s="1460"/>
      <c r="BX117" s="1152"/>
      <c r="BZ117" s="1451"/>
      <c r="CF117" s="1454"/>
      <c r="CG117" s="1454"/>
      <c r="CH117" s="1454"/>
      <c r="CI117" s="1454"/>
      <c r="CJ117" s="1454"/>
      <c r="CK117" s="1454"/>
      <c r="CL117" s="1454"/>
      <c r="CM117" s="1454"/>
      <c r="CN117" s="1454"/>
      <c r="CO117" s="1454"/>
      <c r="CP117" s="1454"/>
      <c r="CQ117" s="1454"/>
      <c r="CR117" s="1454"/>
      <c r="CS117" s="1454"/>
      <c r="CT117" s="1152"/>
      <c r="CU117" s="1152"/>
      <c r="CV117" s="1152"/>
      <c r="CW117" s="1152"/>
      <c r="CX117" s="1152"/>
      <c r="CY117" s="290"/>
      <c r="CZ117" s="290"/>
      <c r="DZ117" s="165"/>
    </row>
    <row r="118" spans="1:130" ht="31.15" customHeight="1" x14ac:dyDescent="0.25">
      <c r="A118" s="7692" t="s">
        <v>2891</v>
      </c>
      <c r="B118" s="1188"/>
      <c r="C118" s="1188"/>
      <c r="D118" s="7851"/>
      <c r="E118" s="7852"/>
      <c r="F118" s="7853"/>
      <c r="G118" s="7854"/>
      <c r="H118" s="7855"/>
      <c r="I118" s="7856"/>
      <c r="J118" s="7856"/>
      <c r="K118" s="7856"/>
      <c r="L118" s="7856"/>
      <c r="M118" s="290"/>
      <c r="N118" s="290"/>
      <c r="O118" s="290"/>
      <c r="P118" s="290"/>
      <c r="Q118" s="290"/>
      <c r="R118" s="290"/>
      <c r="S118" s="290"/>
      <c r="T118" s="290"/>
      <c r="U118" s="290"/>
      <c r="V118" s="290"/>
      <c r="W118" s="290"/>
      <c r="X118" s="290"/>
      <c r="Y118" s="290"/>
      <c r="Z118" s="290"/>
      <c r="AA118" s="290"/>
      <c r="AB118" s="290"/>
      <c r="AC118" s="1188"/>
      <c r="AD118" s="1188"/>
      <c r="AE118" s="1188"/>
      <c r="AF118" s="1188"/>
      <c r="AG118" s="1188"/>
      <c r="AH118" s="1188"/>
      <c r="AI118" s="1188"/>
      <c r="AJ118" s="1188"/>
      <c r="AK118" s="1188"/>
      <c r="AL118" s="1188"/>
      <c r="AM118" s="1188"/>
      <c r="AN118" s="1188"/>
      <c r="AO118" s="1188"/>
      <c r="AP118" s="1188"/>
      <c r="AQ118" s="1188"/>
      <c r="AR118" s="1188"/>
      <c r="AS118" s="1188"/>
      <c r="AT118" s="1188"/>
      <c r="AU118" s="1456"/>
      <c r="AV118" s="1456"/>
      <c r="AW118" s="1456"/>
      <c r="AX118" s="1456"/>
      <c r="AY118" s="1456"/>
      <c r="AZ118" s="1456"/>
      <c r="BA118" s="1456"/>
      <c r="BB118" s="1456"/>
      <c r="BC118" s="1456"/>
      <c r="BD118" s="1456"/>
      <c r="BE118" s="1456"/>
      <c r="BF118" s="290"/>
      <c r="BG118" s="290"/>
      <c r="BH118" s="1188"/>
      <c r="BI118" s="1188"/>
      <c r="BJ118" s="1188"/>
      <c r="BK118" s="1188"/>
      <c r="BL118" s="1188"/>
      <c r="BM118" s="1188"/>
      <c r="BN118" s="1188"/>
      <c r="BO118" s="1188"/>
      <c r="BP118" s="1188"/>
      <c r="BQ118" s="1188"/>
      <c r="BR118" s="1188"/>
      <c r="BS118" s="1188"/>
      <c r="BT118" s="1188"/>
      <c r="BU118" s="1152"/>
      <c r="BV118" s="1152"/>
      <c r="BW118" s="1152"/>
      <c r="BX118" s="1152"/>
      <c r="BY118" s="1152"/>
      <c r="BZ118" s="1152"/>
      <c r="CG118" s="1454"/>
      <c r="CH118" s="1454"/>
      <c r="CI118" s="1454"/>
      <c r="CJ118" s="1454"/>
      <c r="CK118" s="1454"/>
      <c r="CL118" s="1454"/>
      <c r="CM118" s="1454"/>
      <c r="CN118" s="1454"/>
      <c r="CO118" s="1454"/>
      <c r="CP118" s="1454"/>
      <c r="CQ118" s="1454"/>
      <c r="CR118" s="1454"/>
      <c r="CS118" s="1454"/>
      <c r="CT118" s="1454"/>
      <c r="CU118" s="1152"/>
      <c r="CV118" s="1152"/>
      <c r="CW118" s="1152"/>
      <c r="CX118" s="1152"/>
      <c r="CY118" s="1152"/>
      <c r="CZ118" s="1152"/>
    </row>
    <row r="119" spans="1:130" ht="17.25" customHeight="1" x14ac:dyDescent="0.25">
      <c r="A119" s="8524" t="s">
        <v>167</v>
      </c>
      <c r="B119" s="8549" t="s">
        <v>24</v>
      </c>
      <c r="C119" s="10431" t="s">
        <v>168</v>
      </c>
      <c r="D119" s="8194"/>
      <c r="E119" s="8195"/>
      <c r="F119" s="10447" t="s">
        <v>365</v>
      </c>
      <c r="G119" s="10449" t="s">
        <v>366</v>
      </c>
      <c r="H119" s="10423" t="s">
        <v>141</v>
      </c>
      <c r="I119" s="10394"/>
      <c r="J119" s="10394"/>
      <c r="K119" s="8572"/>
      <c r="L119" s="290"/>
      <c r="M119" s="290"/>
      <c r="N119" s="290"/>
      <c r="O119" s="290"/>
      <c r="P119" s="290"/>
      <c r="Q119" s="290"/>
      <c r="R119" s="290"/>
      <c r="S119" s="290"/>
      <c r="T119" s="290"/>
      <c r="U119" s="290"/>
      <c r="V119" s="290"/>
      <c r="W119" s="290"/>
      <c r="X119" s="290"/>
      <c r="Y119" s="290"/>
      <c r="Z119" s="290"/>
      <c r="AA119" s="1188"/>
      <c r="AB119" s="1188"/>
      <c r="AC119" s="1188"/>
      <c r="AD119" s="1188"/>
      <c r="AE119" s="1188"/>
      <c r="AF119" s="1188"/>
      <c r="AG119" s="1188"/>
      <c r="AH119" s="1188"/>
      <c r="AI119" s="1188"/>
      <c r="AJ119" s="1188"/>
      <c r="AK119" s="1188"/>
      <c r="AL119" s="1188"/>
      <c r="AM119" s="1188"/>
      <c r="AN119" s="1188"/>
      <c r="AO119" s="1188"/>
      <c r="AP119" s="1188"/>
      <c r="AQ119" s="1188"/>
      <c r="AR119" s="1188"/>
      <c r="AS119" s="1188"/>
      <c r="AT119" s="1456"/>
      <c r="AU119" s="1456"/>
      <c r="AV119" s="1456"/>
      <c r="AW119" s="1456"/>
      <c r="AX119" s="1456"/>
      <c r="AY119" s="1456"/>
      <c r="AZ119" s="1456"/>
      <c r="BA119" s="1456"/>
      <c r="BB119" s="1456"/>
      <c r="BC119" s="1456"/>
      <c r="BD119" s="1456"/>
      <c r="BE119" s="290"/>
      <c r="BF119" s="290"/>
      <c r="BG119" s="1188"/>
      <c r="BH119" s="1188"/>
      <c r="BI119" s="1188"/>
      <c r="BJ119" s="1188"/>
      <c r="BK119" s="1188"/>
      <c r="BL119" s="1188"/>
      <c r="BM119" s="1188"/>
      <c r="BN119" s="1188"/>
      <c r="BO119" s="1188"/>
      <c r="BP119" s="1188"/>
      <c r="BQ119" s="1188"/>
      <c r="BR119" s="1188"/>
      <c r="BS119" s="1188"/>
      <c r="BT119" s="1188"/>
      <c r="BU119" s="1152"/>
      <c r="BV119" s="1152"/>
      <c r="BW119" s="1152"/>
      <c r="BX119" s="1460"/>
      <c r="BY119" s="1152"/>
      <c r="CG119" s="1454"/>
      <c r="CH119" s="1454"/>
      <c r="CI119" s="1454"/>
      <c r="CJ119" s="1454"/>
      <c r="CK119" s="1454"/>
      <c r="CL119" s="1454"/>
      <c r="CM119" s="1454"/>
      <c r="CN119" s="1454"/>
      <c r="CO119" s="1454"/>
      <c r="CP119" s="1454"/>
      <c r="CQ119" s="1454"/>
      <c r="CR119" s="1454"/>
      <c r="CS119" s="1454"/>
      <c r="CT119" s="1454"/>
      <c r="CU119" s="1152"/>
      <c r="CV119" s="1152"/>
      <c r="CW119" s="1152"/>
      <c r="CX119" s="1152"/>
      <c r="CY119" s="1152"/>
      <c r="CZ119" s="290"/>
    </row>
    <row r="120" spans="1:130" ht="52.9" customHeight="1" x14ac:dyDescent="0.25">
      <c r="A120" s="8525"/>
      <c r="B120" s="8550"/>
      <c r="C120" s="7858" t="s">
        <v>308</v>
      </c>
      <c r="D120" s="7859" t="s">
        <v>309</v>
      </c>
      <c r="E120" s="7670" t="s">
        <v>310</v>
      </c>
      <c r="F120" s="10447"/>
      <c r="G120" s="10449"/>
      <c r="H120" s="7857" t="s">
        <v>3978</v>
      </c>
      <c r="I120" s="7670" t="s">
        <v>146</v>
      </c>
      <c r="J120" s="7857" t="s">
        <v>147</v>
      </c>
      <c r="K120" s="7857" t="s">
        <v>148</v>
      </c>
      <c r="L120" s="290"/>
      <c r="M120" s="290"/>
      <c r="N120" s="290"/>
      <c r="O120" s="290"/>
      <c r="P120" s="290"/>
      <c r="Q120" s="290"/>
      <c r="R120" s="290"/>
      <c r="S120" s="290"/>
      <c r="T120" s="290"/>
      <c r="U120" s="290"/>
      <c r="V120" s="290"/>
      <c r="W120" s="290"/>
      <c r="X120" s="290"/>
      <c r="Y120" s="290"/>
      <c r="Z120" s="290"/>
      <c r="AA120" s="1188"/>
      <c r="AB120" s="1188"/>
      <c r="AC120" s="1188"/>
      <c r="AD120" s="1188"/>
      <c r="AE120" s="1188"/>
      <c r="AF120" s="1188"/>
      <c r="AG120" s="1188"/>
      <c r="AH120" s="1188"/>
      <c r="AI120" s="1188"/>
      <c r="AJ120" s="1188"/>
      <c r="AK120" s="1188"/>
      <c r="AL120" s="1188"/>
      <c r="AM120" s="1188"/>
      <c r="AN120" s="1188"/>
      <c r="AO120" s="1188"/>
      <c r="AP120" s="1188"/>
      <c r="AQ120" s="1188"/>
      <c r="AR120" s="1188"/>
      <c r="AS120" s="1188"/>
      <c r="AT120" s="1456"/>
      <c r="AU120" s="1456"/>
      <c r="AV120" s="1456"/>
      <c r="AW120" s="1456"/>
      <c r="AX120" s="1456"/>
      <c r="AY120" s="1456"/>
      <c r="AZ120" s="1456"/>
      <c r="BA120" s="1456"/>
      <c r="BB120" s="1456"/>
      <c r="BC120" s="1456"/>
      <c r="BD120" s="1456"/>
      <c r="BE120" s="290"/>
      <c r="BF120" s="290"/>
      <c r="BG120" s="1188"/>
      <c r="BH120" s="1188"/>
      <c r="BI120" s="1188"/>
      <c r="BJ120" s="1188"/>
      <c r="BK120" s="1188"/>
      <c r="BL120" s="1188"/>
      <c r="BM120" s="1188"/>
      <c r="BN120" s="1188"/>
      <c r="BO120" s="1188"/>
      <c r="BP120" s="1188"/>
      <c r="BQ120" s="1188"/>
      <c r="BR120" s="1188"/>
      <c r="BS120" s="1188"/>
      <c r="BT120" s="1188"/>
      <c r="BU120" s="1152"/>
      <c r="BV120" s="1152"/>
      <c r="BW120" s="1152"/>
      <c r="BX120" s="1460"/>
      <c r="BY120" s="1152"/>
      <c r="CG120" s="1454"/>
      <c r="CH120" s="1454"/>
      <c r="CI120" s="1454"/>
      <c r="CJ120" s="1454"/>
      <c r="CK120" s="1454"/>
      <c r="CL120" s="1454"/>
      <c r="CM120" s="1454"/>
      <c r="CN120" s="1454"/>
      <c r="CO120" s="1454"/>
      <c r="CP120" s="1454"/>
      <c r="CQ120" s="1454"/>
      <c r="CR120" s="1454"/>
      <c r="CS120" s="1454"/>
      <c r="CT120" s="1454"/>
      <c r="CU120" s="1152"/>
      <c r="CV120" s="1152"/>
      <c r="CW120" s="1152"/>
      <c r="CX120" s="1152"/>
      <c r="CY120" s="1152"/>
      <c r="CZ120" s="290"/>
    </row>
    <row r="121" spans="1:130" ht="14.1" customHeight="1" x14ac:dyDescent="0.25">
      <c r="A121" s="7860" t="s">
        <v>300</v>
      </c>
      <c r="B121" s="7861">
        <f>SUM(C121:G121)</f>
        <v>0</v>
      </c>
      <c r="C121" s="3339"/>
      <c r="D121" s="7862"/>
      <c r="E121" s="7863"/>
      <c r="F121" s="7862"/>
      <c r="G121" s="7864"/>
      <c r="H121" s="7862"/>
      <c r="I121" s="7863"/>
      <c r="J121" s="7862"/>
      <c r="K121" s="7862"/>
      <c r="L121" s="1193" t="str">
        <f>CA121</f>
        <v/>
      </c>
      <c r="M121" s="1456"/>
      <c r="N121" s="1456"/>
      <c r="O121" s="1456"/>
      <c r="P121" s="1456"/>
      <c r="Q121" s="1456"/>
      <c r="R121" s="1456"/>
      <c r="S121" s="1456"/>
      <c r="T121" s="1456"/>
      <c r="U121" s="1456"/>
      <c r="V121" s="1456"/>
      <c r="W121" s="290"/>
      <c r="X121" s="290"/>
      <c r="Y121" s="290"/>
      <c r="Z121" s="290"/>
      <c r="AA121" s="1188"/>
      <c r="AB121" s="1188"/>
      <c r="AC121" s="1188"/>
      <c r="AD121" s="1188"/>
      <c r="AE121" s="1188"/>
      <c r="AF121" s="1188"/>
      <c r="AG121" s="1188"/>
      <c r="AH121" s="1188"/>
      <c r="AI121" s="1188"/>
      <c r="AJ121" s="1188"/>
      <c r="AK121" s="1188"/>
      <c r="AL121" s="1188"/>
      <c r="AM121" s="1188"/>
      <c r="AN121" s="1188"/>
      <c r="AO121" s="1188"/>
      <c r="AP121" s="1188"/>
      <c r="AQ121" s="1188"/>
      <c r="AR121" s="1188"/>
      <c r="AS121" s="1188"/>
      <c r="AT121" s="1456"/>
      <c r="AU121" s="1456"/>
      <c r="AV121" s="1456"/>
      <c r="AW121" s="1456"/>
      <c r="AX121" s="1456"/>
      <c r="AY121" s="1456"/>
      <c r="AZ121" s="1456"/>
      <c r="BA121" s="1456"/>
      <c r="BB121" s="1456"/>
      <c r="BC121" s="1456"/>
      <c r="BD121" s="1456"/>
      <c r="BE121" s="290"/>
      <c r="BF121" s="290"/>
      <c r="BG121" s="1188"/>
      <c r="BH121" s="1188"/>
      <c r="BI121" s="1188"/>
      <c r="BJ121" s="1188"/>
      <c r="BK121" s="1188"/>
      <c r="BL121" s="1188"/>
      <c r="BM121" s="1188"/>
      <c r="BN121" s="1188"/>
      <c r="BO121" s="1188"/>
      <c r="BP121" s="1188"/>
      <c r="BQ121" s="1188"/>
      <c r="BR121" s="1188"/>
      <c r="BS121" s="1188"/>
      <c r="BT121" s="1188"/>
      <c r="BU121" s="1152"/>
      <c r="BV121" s="1152"/>
      <c r="BW121" s="1152"/>
      <c r="BX121" s="1460"/>
      <c r="BY121" s="1152"/>
      <c r="BZ121" s="290"/>
      <c r="CA121" s="1457" t="str">
        <f>IF(CG121=1,"* Total Personas debe ser igual que según Tipo estrategia. ","")</f>
        <v/>
      </c>
      <c r="CB121" s="1457"/>
      <c r="CC121" s="1457"/>
      <c r="CD121" s="1457"/>
      <c r="CE121" s="1457"/>
      <c r="CF121" s="1457"/>
      <c r="CG121" s="1458">
        <f>IF(B121&lt;&gt;SUM(H121:K121),1,0)</f>
        <v>0</v>
      </c>
      <c r="CH121" s="1454"/>
      <c r="CI121" s="1454"/>
      <c r="CJ121" s="1454"/>
      <c r="CK121" s="1454"/>
      <c r="CL121" s="1454"/>
      <c r="CM121" s="1454"/>
      <c r="CN121" s="1454"/>
      <c r="CO121" s="1454"/>
      <c r="CP121" s="1454"/>
      <c r="CQ121" s="1454"/>
      <c r="CR121" s="1454"/>
      <c r="CS121" s="1454"/>
      <c r="CT121" s="1454"/>
      <c r="CU121" s="1152"/>
      <c r="CV121" s="1152"/>
      <c r="CW121" s="1152"/>
      <c r="CX121" s="1152"/>
      <c r="CY121" s="1152"/>
      <c r="CZ121" s="290"/>
    </row>
    <row r="122" spans="1:130" ht="14.1" customHeight="1" x14ac:dyDescent="0.25">
      <c r="A122" s="7595" t="s">
        <v>159</v>
      </c>
      <c r="B122" s="3314">
        <f>SUM(C122:G122)</f>
        <v>0</v>
      </c>
      <c r="C122" s="3028"/>
      <c r="D122" s="3067"/>
      <c r="E122" s="3121"/>
      <c r="F122" s="3067"/>
      <c r="G122" s="3069"/>
      <c r="H122" s="3067"/>
      <c r="I122" s="3121"/>
      <c r="J122" s="3067"/>
      <c r="K122" s="3067"/>
      <c r="L122" s="1193" t="str">
        <f>CA122</f>
        <v/>
      </c>
      <c r="M122" s="1456"/>
      <c r="N122" s="1456"/>
      <c r="O122" s="1456"/>
      <c r="P122" s="1456"/>
      <c r="Q122" s="1456"/>
      <c r="R122" s="1456"/>
      <c r="S122" s="1456"/>
      <c r="T122" s="1456"/>
      <c r="U122" s="1456"/>
      <c r="V122" s="1456"/>
      <c r="W122" s="290"/>
      <c r="X122" s="290"/>
      <c r="Y122" s="290"/>
      <c r="Z122" s="290"/>
      <c r="AA122" s="1188"/>
      <c r="AB122" s="1188"/>
      <c r="AC122" s="1188"/>
      <c r="AD122" s="1188"/>
      <c r="AE122" s="1188"/>
      <c r="AF122" s="1188"/>
      <c r="AG122" s="1188"/>
      <c r="AH122" s="1188"/>
      <c r="AI122" s="1188"/>
      <c r="AJ122" s="1188"/>
      <c r="AK122" s="1188"/>
      <c r="AL122" s="1188"/>
      <c r="AM122" s="1188"/>
      <c r="AN122" s="1188"/>
      <c r="AO122" s="1188"/>
      <c r="AP122" s="1188"/>
      <c r="AQ122" s="1188"/>
      <c r="AR122" s="1188"/>
      <c r="AS122" s="1188"/>
      <c r="AT122" s="1456"/>
      <c r="AU122" s="1456"/>
      <c r="AV122" s="1456"/>
      <c r="AW122" s="1456"/>
      <c r="AX122" s="1456"/>
      <c r="AY122" s="1456"/>
      <c r="AZ122" s="1456"/>
      <c r="BA122" s="1456"/>
      <c r="BB122" s="1456"/>
      <c r="BC122" s="1456"/>
      <c r="BD122" s="1456"/>
      <c r="BE122" s="290"/>
      <c r="BF122" s="290"/>
      <c r="BG122" s="1188"/>
      <c r="BH122" s="1188"/>
      <c r="BI122" s="1188"/>
      <c r="BJ122" s="1188"/>
      <c r="BK122" s="1188"/>
      <c r="BL122" s="1188"/>
      <c r="BM122" s="1188"/>
      <c r="BN122" s="1188"/>
      <c r="BO122" s="1188"/>
      <c r="BP122" s="1188"/>
      <c r="BQ122" s="1188"/>
      <c r="BR122" s="1188"/>
      <c r="BS122" s="1188"/>
      <c r="BT122" s="1188"/>
      <c r="BU122" s="1152"/>
      <c r="BV122" s="1152"/>
      <c r="BW122" s="1152"/>
      <c r="BX122" s="1460"/>
      <c r="BY122" s="1152"/>
      <c r="BZ122" s="290"/>
      <c r="CA122" s="1457" t="str">
        <f>IF(CG122=1,"* Total Personas debe ser igual que según Tipo estrategia. ","")</f>
        <v/>
      </c>
      <c r="CB122" s="1457"/>
      <c r="CC122" s="1457"/>
      <c r="CD122" s="1457"/>
      <c r="CE122" s="1457"/>
      <c r="CF122" s="1457"/>
      <c r="CG122" s="1458">
        <f>IF(B122&lt;&gt;SUM(H122:K122),1,0)</f>
        <v>0</v>
      </c>
      <c r="CH122" s="1454"/>
      <c r="CI122" s="1454"/>
      <c r="CJ122" s="1454"/>
      <c r="CK122" s="1454"/>
      <c r="CL122" s="1454"/>
      <c r="CM122" s="1454"/>
      <c r="CN122" s="1454"/>
      <c r="CO122" s="1454"/>
      <c r="CP122" s="1454"/>
      <c r="CQ122" s="1454"/>
      <c r="CR122" s="1454"/>
      <c r="CS122" s="1454"/>
      <c r="CT122" s="1454"/>
      <c r="CU122" s="1152"/>
      <c r="CV122" s="1152"/>
      <c r="CW122" s="1152"/>
      <c r="CX122" s="1152"/>
      <c r="CY122" s="1152"/>
      <c r="CZ122" s="290"/>
    </row>
    <row r="123" spans="1:130" ht="14.1" customHeight="1" x14ac:dyDescent="0.25">
      <c r="A123" s="3340" t="s">
        <v>160</v>
      </c>
      <c r="B123" s="3325">
        <f>SUM(C123:G123)</f>
        <v>0</v>
      </c>
      <c r="C123" s="3248"/>
      <c r="D123" s="3329"/>
      <c r="E123" s="3249"/>
      <c r="F123" s="3329"/>
      <c r="G123" s="7865"/>
      <c r="H123" s="3329"/>
      <c r="I123" s="3249"/>
      <c r="J123" s="3329"/>
      <c r="K123" s="3329"/>
      <c r="L123" s="1193" t="str">
        <f>CA123</f>
        <v/>
      </c>
      <c r="M123" s="1456"/>
      <c r="N123" s="1456"/>
      <c r="O123" s="1456"/>
      <c r="P123" s="1456"/>
      <c r="Q123" s="1456"/>
      <c r="R123" s="1456"/>
      <c r="S123" s="1456"/>
      <c r="T123" s="1456"/>
      <c r="U123" s="1456"/>
      <c r="V123" s="1456"/>
      <c r="W123" s="290"/>
      <c r="X123" s="290"/>
      <c r="Y123" s="290"/>
      <c r="Z123" s="290"/>
      <c r="AA123" s="1188"/>
      <c r="AB123" s="1188"/>
      <c r="AC123" s="1188"/>
      <c r="AD123" s="1188"/>
      <c r="AE123" s="1188"/>
      <c r="AF123" s="1188"/>
      <c r="AG123" s="1188"/>
      <c r="AH123" s="1188"/>
      <c r="AI123" s="1188"/>
      <c r="AJ123" s="1188"/>
      <c r="AK123" s="1188"/>
      <c r="AL123" s="1188"/>
      <c r="AM123" s="1188"/>
      <c r="AN123" s="1188"/>
      <c r="AO123" s="1188"/>
      <c r="AP123" s="1188"/>
      <c r="AQ123" s="1188"/>
      <c r="AR123" s="1188"/>
      <c r="AS123" s="1188"/>
      <c r="AT123" s="1456"/>
      <c r="AU123" s="1456"/>
      <c r="AV123" s="1456"/>
      <c r="AW123" s="1456"/>
      <c r="AX123" s="1456"/>
      <c r="AY123" s="1456"/>
      <c r="AZ123" s="1456"/>
      <c r="BA123" s="1456"/>
      <c r="BB123" s="1456"/>
      <c r="BC123" s="1456"/>
      <c r="BD123" s="1456"/>
      <c r="BE123" s="290"/>
      <c r="BF123" s="290"/>
      <c r="BG123" s="1188"/>
      <c r="BH123" s="1188"/>
      <c r="BI123" s="1188"/>
      <c r="BJ123" s="1188"/>
      <c r="BK123" s="1188"/>
      <c r="BL123" s="1188"/>
      <c r="BM123" s="1188"/>
      <c r="BN123" s="1188"/>
      <c r="BO123" s="1188"/>
      <c r="BP123" s="1188"/>
      <c r="BQ123" s="1188"/>
      <c r="BR123" s="1188"/>
      <c r="BS123" s="1188"/>
      <c r="BT123" s="1188"/>
      <c r="BU123" s="1152"/>
      <c r="BV123" s="1152"/>
      <c r="BW123" s="1152"/>
      <c r="BX123" s="1460"/>
      <c r="BY123" s="1152"/>
      <c r="BZ123" s="290"/>
      <c r="CA123" s="1457" t="str">
        <f>IF(CG123=1,"* Total Personas debe ser igual que según Tipo estrategia. ","")</f>
        <v/>
      </c>
      <c r="CB123" s="1457"/>
      <c r="CC123" s="1457"/>
      <c r="CD123" s="1457"/>
      <c r="CE123" s="1457"/>
      <c r="CF123" s="1457"/>
      <c r="CG123" s="1458">
        <f>IF(B123&lt;&gt;SUM(H123:K123),1,0)</f>
        <v>0</v>
      </c>
      <c r="CH123" s="1454"/>
      <c r="CI123" s="1454"/>
      <c r="CJ123" s="1454"/>
      <c r="CK123" s="1454"/>
      <c r="CL123" s="1454"/>
      <c r="CM123" s="1454"/>
      <c r="CN123" s="1454"/>
      <c r="CO123" s="1454"/>
      <c r="CP123" s="1454"/>
      <c r="CQ123" s="1454"/>
      <c r="CR123" s="1454"/>
      <c r="CS123" s="1454"/>
      <c r="CT123" s="1454"/>
      <c r="CU123" s="1152"/>
      <c r="CV123" s="1152"/>
      <c r="CW123" s="1152"/>
      <c r="CX123" s="1152"/>
      <c r="CY123" s="1152"/>
      <c r="CZ123" s="290"/>
    </row>
    <row r="124" spans="1:130" ht="32.450000000000003" customHeight="1" x14ac:dyDescent="0.25">
      <c r="A124" s="746" t="s">
        <v>2892</v>
      </c>
      <c r="B124" s="1188"/>
      <c r="C124" s="1188"/>
      <c r="D124" s="1091"/>
      <c r="E124" s="1091"/>
      <c r="F124" s="1091"/>
      <c r="G124" s="1091"/>
      <c r="H124" s="1091"/>
      <c r="I124" s="1091"/>
      <c r="J124" s="1091"/>
      <c r="K124" s="1091"/>
      <c r="L124" s="1091"/>
      <c r="M124" s="290"/>
      <c r="N124" s="290"/>
      <c r="O124" s="290"/>
      <c r="P124" s="290"/>
      <c r="Q124" s="290"/>
      <c r="R124" s="290"/>
      <c r="S124" s="290"/>
      <c r="T124" s="290"/>
      <c r="U124" s="290"/>
      <c r="V124" s="290"/>
      <c r="W124" s="290"/>
      <c r="X124" s="290"/>
      <c r="Y124" s="290"/>
      <c r="Z124" s="290"/>
      <c r="AA124" s="290"/>
      <c r="AB124" s="290"/>
      <c r="AC124" s="1188"/>
      <c r="AD124" s="1188"/>
      <c r="AE124" s="1188"/>
      <c r="AF124" s="1188"/>
      <c r="AG124" s="1188"/>
      <c r="AH124" s="1188"/>
      <c r="AI124" s="1188"/>
      <c r="AJ124" s="1188"/>
      <c r="AK124" s="1188"/>
      <c r="AL124" s="1188"/>
      <c r="AM124" s="1188"/>
      <c r="AN124" s="1188"/>
      <c r="AO124" s="1188"/>
      <c r="AP124" s="1188"/>
      <c r="AQ124" s="1188"/>
      <c r="AR124" s="1188"/>
      <c r="AS124" s="1188"/>
      <c r="AT124" s="1188"/>
      <c r="AU124" s="1456"/>
      <c r="AV124" s="1456"/>
      <c r="AW124" s="1456"/>
      <c r="AX124" s="1456"/>
      <c r="AY124" s="1456"/>
      <c r="AZ124" s="1456"/>
      <c r="BA124" s="1456"/>
      <c r="BB124" s="1456"/>
      <c r="BC124" s="1456"/>
      <c r="BD124" s="1456"/>
      <c r="BE124" s="1456"/>
      <c r="BF124" s="290"/>
      <c r="BG124" s="290"/>
      <c r="BH124" s="1188"/>
      <c r="BI124" s="1188"/>
      <c r="BJ124" s="1188"/>
      <c r="BK124" s="1188"/>
      <c r="BL124" s="1188"/>
      <c r="BM124" s="1188"/>
      <c r="BN124" s="1188"/>
      <c r="BO124" s="1188"/>
      <c r="BP124" s="1188"/>
      <c r="BQ124" s="1188"/>
      <c r="BR124" s="1188"/>
      <c r="BS124" s="1188"/>
      <c r="BT124" s="1188"/>
      <c r="BU124" s="1152"/>
      <c r="BV124" s="1152"/>
      <c r="BW124" s="1152"/>
      <c r="BX124" s="1152"/>
      <c r="BY124" s="1152"/>
      <c r="BZ124" s="1152"/>
      <c r="CG124" s="1454"/>
      <c r="CH124" s="1454"/>
      <c r="CI124" s="1454"/>
      <c r="CJ124" s="1454"/>
      <c r="CK124" s="1454"/>
      <c r="CL124" s="1454"/>
      <c r="CM124" s="1454"/>
      <c r="CN124" s="1454"/>
      <c r="CO124" s="1454"/>
      <c r="CP124" s="1454"/>
      <c r="CQ124" s="1454"/>
      <c r="CR124" s="1454"/>
      <c r="CS124" s="1454"/>
      <c r="CT124" s="1454"/>
      <c r="CU124" s="290"/>
      <c r="CV124" s="290"/>
      <c r="CW124" s="290"/>
      <c r="CX124" s="290"/>
      <c r="CY124" s="290"/>
      <c r="CZ124" s="290"/>
    </row>
    <row r="125" spans="1:130" ht="32.1" customHeight="1" x14ac:dyDescent="0.25">
      <c r="A125" s="8524" t="s">
        <v>169</v>
      </c>
      <c r="B125" s="8549" t="s">
        <v>170</v>
      </c>
      <c r="C125" s="10431" t="s">
        <v>2876</v>
      </c>
      <c r="D125" s="8195"/>
      <c r="E125" s="10431" t="s">
        <v>2873</v>
      </c>
      <c r="F125" s="8195"/>
      <c r="G125" s="8194" t="s">
        <v>2874</v>
      </c>
      <c r="H125" s="8195"/>
      <c r="I125" s="10431" t="s">
        <v>2875</v>
      </c>
      <c r="J125" s="10458"/>
      <c r="K125" s="10444" t="s">
        <v>2821</v>
      </c>
      <c r="L125" s="10445"/>
      <c r="M125" s="288"/>
      <c r="N125" s="288"/>
      <c r="O125" s="288"/>
      <c r="P125" s="288"/>
      <c r="Q125" s="288"/>
      <c r="R125" s="288"/>
      <c r="S125" s="288"/>
      <c r="T125" s="288"/>
      <c r="U125" s="288"/>
      <c r="V125" s="288"/>
      <c r="W125" s="288"/>
      <c r="X125" s="288"/>
      <c r="Y125" s="288"/>
      <c r="Z125" s="140"/>
      <c r="AA125" s="140"/>
      <c r="AB125" s="140"/>
      <c r="AC125" s="140"/>
      <c r="AD125" s="140"/>
      <c r="AE125" s="140"/>
      <c r="AF125" s="140"/>
      <c r="AG125" s="140"/>
      <c r="AH125" s="140"/>
      <c r="AI125" s="140"/>
      <c r="AJ125" s="140"/>
      <c r="AK125" s="140"/>
      <c r="AL125" s="140"/>
      <c r="AM125" s="140"/>
      <c r="AN125" s="140"/>
      <c r="AO125" s="140"/>
      <c r="AP125" s="140"/>
      <c r="AQ125" s="140"/>
      <c r="AR125" s="1456"/>
      <c r="AS125" s="1456"/>
      <c r="AT125" s="1456"/>
      <c r="AU125" s="1456"/>
      <c r="AV125" s="1456"/>
      <c r="AW125" s="1456"/>
      <c r="AX125" s="1456"/>
      <c r="AY125" s="1456"/>
      <c r="AZ125" s="1456"/>
      <c r="BA125" s="1456"/>
      <c r="BB125" s="1456"/>
      <c r="BC125" s="290"/>
      <c r="BD125" s="290"/>
      <c r="BE125" s="1188"/>
      <c r="BF125" s="1188"/>
      <c r="BG125" s="1188"/>
      <c r="BH125" s="1188"/>
      <c r="BI125" s="1188"/>
      <c r="BJ125" s="1188"/>
      <c r="BK125" s="1188"/>
      <c r="BL125" s="1188"/>
      <c r="BM125" s="1188"/>
      <c r="BN125" s="1188"/>
      <c r="BO125" s="1188"/>
      <c r="BP125" s="1188"/>
      <c r="BQ125" s="1188"/>
      <c r="BR125" s="1188"/>
      <c r="BS125" s="1188"/>
      <c r="BT125" s="1152"/>
      <c r="BU125" s="1152"/>
      <c r="BV125" s="1460"/>
      <c r="BW125" s="1460"/>
      <c r="BX125" s="1460"/>
      <c r="BZ125" s="1451"/>
      <c r="CF125" s="1454"/>
      <c r="CG125" s="1454"/>
      <c r="CH125" s="1454"/>
      <c r="CI125" s="1454"/>
      <c r="CJ125" s="1454"/>
      <c r="CK125" s="1454"/>
      <c r="CL125" s="1454"/>
      <c r="CM125" s="1454"/>
      <c r="CN125" s="1454"/>
      <c r="CO125" s="1454"/>
      <c r="CP125" s="1454"/>
      <c r="CQ125" s="1454"/>
      <c r="CR125" s="1454"/>
      <c r="CS125" s="1454"/>
      <c r="CT125" s="290"/>
      <c r="CU125" s="290"/>
      <c r="CV125" s="290"/>
      <c r="CW125" s="290"/>
      <c r="CX125" s="290"/>
      <c r="CY125" s="290"/>
      <c r="CZ125" s="290"/>
      <c r="DZ125" s="165"/>
    </row>
    <row r="126" spans="1:130" s="7869" customFormat="1" ht="32.1" customHeight="1" x14ac:dyDescent="0.25">
      <c r="A126" s="8525"/>
      <c r="B126" s="8550"/>
      <c r="C126" s="7867" t="s">
        <v>171</v>
      </c>
      <c r="D126" s="7670" t="s">
        <v>172</v>
      </c>
      <c r="E126" s="7867" t="s">
        <v>171</v>
      </c>
      <c r="F126" s="7670" t="s">
        <v>172</v>
      </c>
      <c r="G126" s="7867" t="s">
        <v>171</v>
      </c>
      <c r="H126" s="7671" t="s">
        <v>172</v>
      </c>
      <c r="I126" s="7867" t="s">
        <v>171</v>
      </c>
      <c r="J126" s="7866" t="s">
        <v>172</v>
      </c>
      <c r="K126" s="7670" t="s">
        <v>2822</v>
      </c>
      <c r="L126" s="7670" t="s">
        <v>2823</v>
      </c>
      <c r="M126" s="140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  <c r="Z126" s="140"/>
      <c r="AA126" s="140"/>
      <c r="AB126" s="140"/>
      <c r="AC126" s="140"/>
      <c r="AD126" s="140"/>
      <c r="AE126" s="140"/>
      <c r="AF126" s="140"/>
      <c r="AG126" s="140"/>
      <c r="AH126" s="140"/>
      <c r="AI126" s="140"/>
      <c r="AJ126" s="140"/>
      <c r="AK126" s="140"/>
      <c r="AL126" s="140"/>
      <c r="AM126" s="140"/>
      <c r="AN126" s="140"/>
      <c r="AO126" s="140"/>
      <c r="AP126" s="140"/>
      <c r="AQ126" s="140"/>
      <c r="AR126" s="1456"/>
      <c r="AS126" s="1456"/>
      <c r="AT126" s="1456"/>
      <c r="AU126" s="1456"/>
      <c r="AV126" s="1456"/>
      <c r="AW126" s="1456"/>
      <c r="AX126" s="1456"/>
      <c r="AY126" s="1456"/>
      <c r="AZ126" s="1456"/>
      <c r="BA126" s="1456"/>
      <c r="BB126" s="1456"/>
      <c r="BC126" s="290"/>
      <c r="BD126" s="290"/>
      <c r="BE126" s="1188"/>
      <c r="BF126" s="1188"/>
      <c r="BG126" s="1188"/>
      <c r="BH126" s="1188"/>
      <c r="BI126" s="1188"/>
      <c r="BJ126" s="1188"/>
      <c r="BK126" s="1188"/>
      <c r="BL126" s="1188"/>
      <c r="BM126" s="1188"/>
      <c r="BN126" s="1188"/>
      <c r="BO126" s="1188"/>
      <c r="BP126" s="1188"/>
      <c r="BQ126" s="1188"/>
      <c r="BR126" s="1188"/>
      <c r="BS126" s="1188"/>
      <c r="BT126" s="1152"/>
      <c r="BU126" s="1152"/>
      <c r="BV126" s="1460"/>
      <c r="BW126" s="1460"/>
      <c r="BX126" s="1460"/>
      <c r="BY126" s="1460"/>
      <c r="BZ126" s="1451"/>
      <c r="CA126" s="1451"/>
      <c r="CB126" s="1451"/>
      <c r="CC126" s="1451"/>
      <c r="CD126" s="1451"/>
      <c r="CE126" s="1451"/>
      <c r="CF126" s="1454"/>
      <c r="CG126" s="1454"/>
      <c r="CH126" s="1454"/>
      <c r="CI126" s="1454"/>
      <c r="CJ126" s="1454"/>
      <c r="CK126" s="1454"/>
      <c r="CL126" s="1454"/>
      <c r="CM126" s="1454"/>
      <c r="CN126" s="1454"/>
      <c r="CO126" s="1454"/>
      <c r="CP126" s="1454"/>
      <c r="CQ126" s="1454"/>
      <c r="CR126" s="1454"/>
      <c r="CS126" s="1454"/>
      <c r="CT126" s="290"/>
      <c r="CU126" s="290"/>
      <c r="CV126" s="290"/>
      <c r="CW126" s="290"/>
      <c r="CX126" s="290"/>
      <c r="CY126" s="290"/>
      <c r="CZ126" s="7868"/>
      <c r="DA126" s="7868"/>
      <c r="DB126" s="7868"/>
      <c r="DC126" s="7868"/>
      <c r="DD126" s="7868"/>
      <c r="DE126" s="7868"/>
      <c r="DF126" s="7868"/>
      <c r="DG126" s="7868"/>
      <c r="DH126" s="7868"/>
      <c r="DI126" s="7868"/>
      <c r="DJ126" s="7868"/>
      <c r="DK126" s="7868"/>
      <c r="DL126" s="7868"/>
      <c r="DM126" s="7868"/>
      <c r="DN126" s="7868"/>
      <c r="DO126" s="7868"/>
      <c r="DP126" s="7868"/>
      <c r="DQ126" s="7868"/>
      <c r="DR126" s="7868"/>
      <c r="DS126" s="7868"/>
      <c r="DT126" s="7868"/>
      <c r="DU126" s="7868"/>
      <c r="DV126" s="7868"/>
      <c r="DW126" s="7868"/>
      <c r="DX126" s="7868"/>
      <c r="DY126" s="7868"/>
    </row>
    <row r="127" spans="1:130" ht="14.1" customHeight="1" x14ac:dyDescent="0.25">
      <c r="A127" s="8549" t="s">
        <v>311</v>
      </c>
      <c r="B127" s="7860" t="s">
        <v>123</v>
      </c>
      <c r="C127" s="3339"/>
      <c r="D127" s="7863"/>
      <c r="E127" s="3339"/>
      <c r="F127" s="7863"/>
      <c r="G127" s="3339"/>
      <c r="H127" s="7863"/>
      <c r="I127" s="3339"/>
      <c r="J127" s="7870"/>
      <c r="K127" s="3121"/>
      <c r="L127" s="7863"/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40"/>
      <c r="Z127" s="140"/>
      <c r="AA127" s="140"/>
      <c r="AB127" s="140"/>
      <c r="AC127" s="140"/>
      <c r="AD127" s="140"/>
      <c r="AE127" s="140"/>
      <c r="AF127" s="140"/>
      <c r="AG127" s="140"/>
      <c r="AH127" s="140"/>
      <c r="AI127" s="140"/>
      <c r="AJ127" s="140"/>
      <c r="AK127" s="140"/>
      <c r="AL127" s="140"/>
      <c r="AM127" s="140"/>
      <c r="AN127" s="140"/>
      <c r="AO127" s="140"/>
      <c r="AP127" s="140"/>
      <c r="AQ127" s="140"/>
      <c r="AR127" s="1456"/>
      <c r="AS127" s="1456"/>
      <c r="AT127" s="1456"/>
      <c r="AU127" s="1456"/>
      <c r="AV127" s="1456"/>
      <c r="AW127" s="1456"/>
      <c r="AX127" s="1456"/>
      <c r="AY127" s="1456"/>
      <c r="AZ127" s="1456"/>
      <c r="BA127" s="1456"/>
      <c r="BB127" s="1456"/>
      <c r="BC127" s="290"/>
      <c r="BD127" s="290"/>
      <c r="BE127" s="1188"/>
      <c r="BF127" s="1188"/>
      <c r="BG127" s="1188"/>
      <c r="BH127" s="1188"/>
      <c r="BI127" s="1188"/>
      <c r="BJ127" s="1188"/>
      <c r="BK127" s="1188"/>
      <c r="BL127" s="1188"/>
      <c r="BM127" s="1188"/>
      <c r="BN127" s="1188"/>
      <c r="BO127" s="1188"/>
      <c r="BP127" s="1188"/>
      <c r="BQ127" s="1188"/>
      <c r="BR127" s="1188"/>
      <c r="BS127" s="1188"/>
      <c r="BT127" s="1152"/>
      <c r="BU127" s="1152"/>
      <c r="BV127" s="1460"/>
      <c r="BW127" s="1460"/>
      <c r="BX127" s="1460"/>
      <c r="BZ127" s="1451"/>
      <c r="CF127" s="1454"/>
      <c r="CG127" s="1454"/>
      <c r="CH127" s="1454"/>
      <c r="CI127" s="1454"/>
      <c r="CJ127" s="1454"/>
      <c r="CK127" s="1454"/>
      <c r="CL127" s="1454"/>
      <c r="CM127" s="1454"/>
      <c r="CN127" s="1454"/>
      <c r="CO127" s="1454"/>
      <c r="CP127" s="1454"/>
      <c r="CQ127" s="1454"/>
      <c r="CR127" s="1454"/>
      <c r="CS127" s="1454"/>
      <c r="CT127" s="290"/>
      <c r="CU127" s="290"/>
      <c r="CV127" s="290"/>
      <c r="CW127" s="290"/>
      <c r="CX127" s="290"/>
      <c r="CY127" s="290"/>
      <c r="CZ127" s="290"/>
      <c r="DZ127" s="165"/>
    </row>
    <row r="128" spans="1:130" ht="14.1" customHeight="1" x14ac:dyDescent="0.2">
      <c r="A128" s="8460"/>
      <c r="B128" s="7595" t="s">
        <v>173</v>
      </c>
      <c r="C128" s="3028"/>
      <c r="D128" s="3121"/>
      <c r="E128" s="3028"/>
      <c r="F128" s="3121"/>
      <c r="G128" s="3028"/>
      <c r="H128" s="3121"/>
      <c r="I128" s="3028"/>
      <c r="J128" s="3141"/>
      <c r="K128" s="3121"/>
      <c r="L128" s="3121"/>
      <c r="M128" s="140"/>
      <c r="N128" s="140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  <c r="Y128" s="140"/>
      <c r="Z128" s="140"/>
      <c r="AA128" s="140"/>
      <c r="AB128" s="140"/>
      <c r="AC128" s="140"/>
      <c r="AD128" s="140"/>
      <c r="AE128" s="140"/>
      <c r="AF128" s="140"/>
      <c r="AG128" s="140"/>
      <c r="AH128" s="140"/>
      <c r="AI128" s="140"/>
      <c r="AJ128" s="140"/>
      <c r="AK128" s="140"/>
      <c r="AL128" s="140"/>
      <c r="AM128" s="140"/>
      <c r="AN128" s="140"/>
      <c r="AO128" s="140"/>
      <c r="AP128" s="140"/>
      <c r="AQ128" s="140"/>
      <c r="AR128" s="1456"/>
      <c r="AS128" s="1456"/>
      <c r="AT128" s="1456"/>
      <c r="AU128" s="1456"/>
      <c r="AV128" s="1456"/>
      <c r="AW128" s="1456"/>
      <c r="AX128" s="1456"/>
      <c r="AY128" s="1456"/>
      <c r="AZ128" s="1456"/>
      <c r="BA128" s="1456"/>
      <c r="BB128" s="1456"/>
      <c r="BC128" s="290"/>
      <c r="BD128" s="290"/>
      <c r="BT128" s="290"/>
      <c r="BV128" s="1460"/>
      <c r="BW128" s="1460"/>
      <c r="BX128" s="1460"/>
      <c r="BZ128" s="1451"/>
      <c r="CF128" s="1454"/>
      <c r="CG128" s="1454"/>
      <c r="CH128" s="1454"/>
      <c r="CI128" s="1454"/>
      <c r="CJ128" s="1454"/>
      <c r="CK128" s="1454"/>
      <c r="CL128" s="1454"/>
      <c r="CM128" s="1454"/>
      <c r="CN128" s="1454"/>
      <c r="CO128" s="1454"/>
      <c r="CP128" s="1454"/>
      <c r="CQ128" s="1454"/>
      <c r="CR128" s="1454"/>
      <c r="CS128" s="1454"/>
      <c r="CT128" s="1460"/>
      <c r="CY128" s="290"/>
      <c r="CZ128" s="290"/>
      <c r="DZ128" s="165"/>
    </row>
    <row r="129" spans="1:130" ht="14.1" customHeight="1" x14ac:dyDescent="0.2">
      <c r="A129" s="8460"/>
      <c r="B129" s="7595" t="s">
        <v>174</v>
      </c>
      <c r="C129" s="3028"/>
      <c r="D129" s="3121"/>
      <c r="E129" s="3028"/>
      <c r="F129" s="3121"/>
      <c r="G129" s="3028"/>
      <c r="H129" s="3121"/>
      <c r="I129" s="3028"/>
      <c r="J129" s="3141"/>
      <c r="K129" s="3121"/>
      <c r="L129" s="3121"/>
      <c r="M129" s="140"/>
      <c r="N129" s="140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  <c r="Z129" s="140"/>
      <c r="AA129" s="140"/>
      <c r="AB129" s="140"/>
      <c r="AC129" s="140"/>
      <c r="AD129" s="140"/>
      <c r="AE129" s="140"/>
      <c r="AF129" s="140"/>
      <c r="AG129" s="140"/>
      <c r="AH129" s="140"/>
      <c r="AI129" s="140"/>
      <c r="AJ129" s="140"/>
      <c r="AK129" s="140"/>
      <c r="AL129" s="140"/>
      <c r="AM129" s="140"/>
      <c r="AN129" s="140"/>
      <c r="AO129" s="140"/>
      <c r="AP129" s="140"/>
      <c r="AQ129" s="140"/>
      <c r="AR129" s="1456"/>
      <c r="AS129" s="1456"/>
      <c r="AT129" s="1456"/>
      <c r="AU129" s="1456"/>
      <c r="AV129" s="1456"/>
      <c r="AW129" s="1456"/>
      <c r="AX129" s="1456"/>
      <c r="AY129" s="1456"/>
      <c r="AZ129" s="1456"/>
      <c r="BA129" s="1456"/>
      <c r="BB129" s="1456"/>
      <c r="BC129" s="290"/>
      <c r="BD129" s="290"/>
      <c r="BT129" s="290"/>
      <c r="BV129" s="1460"/>
      <c r="BW129" s="1460"/>
      <c r="BX129" s="1460"/>
      <c r="BZ129" s="1451"/>
      <c r="CF129" s="1454"/>
      <c r="CG129" s="1454"/>
      <c r="CH129" s="1454"/>
      <c r="CI129" s="1454"/>
      <c r="CJ129" s="1454"/>
      <c r="CK129" s="1454"/>
      <c r="CL129" s="1454"/>
      <c r="CM129" s="1454"/>
      <c r="CN129" s="1454"/>
      <c r="CO129" s="1454"/>
      <c r="CP129" s="1454"/>
      <c r="CQ129" s="1454"/>
      <c r="CR129" s="1454"/>
      <c r="CS129" s="1454"/>
      <c r="CT129" s="1460"/>
      <c r="CY129" s="290"/>
      <c r="CZ129" s="290"/>
      <c r="DZ129" s="165"/>
    </row>
    <row r="130" spans="1:130" ht="14.1" customHeight="1" x14ac:dyDescent="0.2">
      <c r="A130" s="8550"/>
      <c r="B130" s="7595" t="s">
        <v>175</v>
      </c>
      <c r="C130" s="3248"/>
      <c r="D130" s="3249"/>
      <c r="E130" s="3248"/>
      <c r="F130" s="3249"/>
      <c r="G130" s="3248"/>
      <c r="H130" s="3249"/>
      <c r="I130" s="3248"/>
      <c r="J130" s="3134"/>
      <c r="K130" s="3249"/>
      <c r="L130" s="3249"/>
      <c r="M130" s="140"/>
      <c r="N130" s="140"/>
      <c r="O130" s="140"/>
      <c r="P130" s="140"/>
      <c r="Q130" s="140"/>
      <c r="R130" s="140"/>
      <c r="S130" s="140"/>
      <c r="T130" s="140"/>
      <c r="U130" s="140"/>
      <c r="V130" s="140"/>
      <c r="W130" s="140"/>
      <c r="X130" s="140"/>
      <c r="Y130" s="140"/>
      <c r="Z130" s="140"/>
      <c r="AA130" s="140"/>
      <c r="AB130" s="140"/>
      <c r="AC130" s="140"/>
      <c r="AD130" s="140"/>
      <c r="AE130" s="140"/>
      <c r="AF130" s="140"/>
      <c r="AG130" s="140"/>
      <c r="AH130" s="140"/>
      <c r="AI130" s="140"/>
      <c r="AJ130" s="140"/>
      <c r="AK130" s="140"/>
      <c r="AL130" s="140"/>
      <c r="AM130" s="140"/>
      <c r="AN130" s="140"/>
      <c r="AO130" s="140"/>
      <c r="AP130" s="140"/>
      <c r="AQ130" s="140"/>
      <c r="AR130" s="1456"/>
      <c r="AS130" s="1456"/>
      <c r="AT130" s="1456"/>
      <c r="AU130" s="1456"/>
      <c r="AV130" s="1456"/>
      <c r="AW130" s="1456"/>
      <c r="AX130" s="1456"/>
      <c r="AY130" s="1456"/>
      <c r="AZ130" s="1456"/>
      <c r="BA130" s="1456"/>
      <c r="BB130" s="1456"/>
      <c r="BC130" s="290"/>
      <c r="BD130" s="290"/>
      <c r="BT130" s="290"/>
      <c r="BV130" s="1460"/>
      <c r="BW130" s="1460"/>
      <c r="BX130" s="1460"/>
      <c r="BZ130" s="1451"/>
      <c r="CF130" s="1454"/>
      <c r="CG130" s="1454"/>
      <c r="CH130" s="1454"/>
      <c r="CI130" s="1454"/>
      <c r="CJ130" s="1454"/>
      <c r="CK130" s="1454"/>
      <c r="CL130" s="1454"/>
      <c r="CM130" s="1454"/>
      <c r="CN130" s="1454"/>
      <c r="CO130" s="1454"/>
      <c r="CP130" s="1454"/>
      <c r="CQ130" s="1454"/>
      <c r="CR130" s="1454"/>
      <c r="CS130" s="1454"/>
      <c r="CT130" s="1460"/>
      <c r="CZ130" s="290"/>
      <c r="DZ130" s="165"/>
    </row>
    <row r="131" spans="1:130" ht="14.1" customHeight="1" x14ac:dyDescent="0.2">
      <c r="A131" s="10447" t="s">
        <v>176</v>
      </c>
      <c r="B131" s="7860" t="s">
        <v>122</v>
      </c>
      <c r="C131" s="3339"/>
      <c r="D131" s="7863"/>
      <c r="E131" s="3339"/>
      <c r="F131" s="7863"/>
      <c r="G131" s="3339"/>
      <c r="H131" s="7863"/>
      <c r="I131" s="3339"/>
      <c r="J131" s="7870"/>
      <c r="K131" s="7863"/>
      <c r="L131" s="7863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0"/>
      <c r="AC131" s="140"/>
      <c r="AD131" s="140"/>
      <c r="AE131" s="140"/>
      <c r="AF131" s="140"/>
      <c r="AG131" s="140"/>
      <c r="AH131" s="140"/>
      <c r="AI131" s="140"/>
      <c r="AJ131" s="140"/>
      <c r="AK131" s="140"/>
      <c r="AL131" s="140"/>
      <c r="AM131" s="140"/>
      <c r="AN131" s="140"/>
      <c r="AO131" s="140"/>
      <c r="AP131" s="140"/>
      <c r="AQ131" s="140"/>
      <c r="AR131" s="1456"/>
      <c r="AS131" s="1456"/>
      <c r="AT131" s="1456"/>
      <c r="AU131" s="1456"/>
      <c r="AV131" s="1456"/>
      <c r="AW131" s="1456"/>
      <c r="AX131" s="1456"/>
      <c r="AY131" s="1456"/>
      <c r="AZ131" s="1456"/>
      <c r="BA131" s="1456"/>
      <c r="BB131" s="1456"/>
      <c r="BC131" s="290"/>
      <c r="BD131" s="290"/>
      <c r="BT131" s="290"/>
      <c r="BV131" s="1460"/>
      <c r="BW131" s="1460"/>
      <c r="BX131" s="1460"/>
      <c r="BZ131" s="1451"/>
      <c r="CF131" s="1454"/>
      <c r="CG131" s="1454"/>
      <c r="CH131" s="1454"/>
      <c r="CI131" s="1454"/>
      <c r="CJ131" s="1454"/>
      <c r="CK131" s="1454"/>
      <c r="CL131" s="1454"/>
      <c r="CM131" s="1454"/>
      <c r="CN131" s="1454"/>
      <c r="CO131" s="1454"/>
      <c r="CP131" s="1454"/>
      <c r="CQ131" s="1454"/>
      <c r="CR131" s="1454"/>
      <c r="CS131" s="1454"/>
      <c r="CT131" s="1460"/>
      <c r="CY131" s="290"/>
      <c r="CZ131" s="290"/>
      <c r="DZ131" s="165"/>
    </row>
    <row r="132" spans="1:130" ht="14.1" customHeight="1" x14ac:dyDescent="0.2">
      <c r="A132" s="10448"/>
      <c r="B132" s="7595" t="s">
        <v>177</v>
      </c>
      <c r="C132" s="3028"/>
      <c r="D132" s="3121"/>
      <c r="E132" s="3028"/>
      <c r="F132" s="3121"/>
      <c r="G132" s="3028"/>
      <c r="H132" s="3121"/>
      <c r="I132" s="3028"/>
      <c r="J132" s="3141"/>
      <c r="K132" s="3121"/>
      <c r="L132" s="3121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40"/>
      <c r="AD132" s="140"/>
      <c r="AE132" s="140"/>
      <c r="AF132" s="140"/>
      <c r="AG132" s="140"/>
      <c r="AH132" s="140"/>
      <c r="AI132" s="140"/>
      <c r="AJ132" s="140"/>
      <c r="AK132" s="140"/>
      <c r="AL132" s="140"/>
      <c r="AM132" s="140"/>
      <c r="AN132" s="140"/>
      <c r="AO132" s="140"/>
      <c r="AP132" s="140"/>
      <c r="AQ132" s="140"/>
      <c r="AR132" s="1456"/>
      <c r="AS132" s="1456"/>
      <c r="AT132" s="1456"/>
      <c r="AU132" s="1456"/>
      <c r="AV132" s="1456"/>
      <c r="AW132" s="1456"/>
      <c r="AX132" s="1456"/>
      <c r="AY132" s="1456"/>
      <c r="AZ132" s="1456"/>
      <c r="BA132" s="1456"/>
      <c r="BB132" s="1456"/>
      <c r="BC132" s="290"/>
      <c r="BD132" s="290"/>
      <c r="BT132" s="290"/>
      <c r="BV132" s="1460"/>
      <c r="BW132" s="1460"/>
      <c r="BX132" s="1460"/>
      <c r="BZ132" s="1451"/>
      <c r="CF132" s="1454"/>
      <c r="CG132" s="7871"/>
      <c r="CH132" s="7871"/>
      <c r="CI132" s="7871"/>
      <c r="CJ132" s="7871"/>
      <c r="CK132" s="7871"/>
      <c r="CL132" s="7871"/>
      <c r="CM132" s="7871"/>
      <c r="CN132" s="7871"/>
      <c r="CO132" s="7871"/>
      <c r="CP132" s="7871"/>
      <c r="CQ132" s="7871"/>
      <c r="CR132" s="7871"/>
      <c r="CS132" s="7871"/>
      <c r="CT132" s="1460"/>
      <c r="CY132" s="290"/>
      <c r="CZ132" s="290"/>
      <c r="DZ132" s="165"/>
    </row>
    <row r="133" spans="1:130" ht="14.1" customHeight="1" x14ac:dyDescent="0.2">
      <c r="A133" s="10448"/>
      <c r="B133" s="7595" t="s">
        <v>175</v>
      </c>
      <c r="C133" s="3028"/>
      <c r="D133" s="3121"/>
      <c r="E133" s="3028"/>
      <c r="F133" s="3121"/>
      <c r="G133" s="3028"/>
      <c r="H133" s="3121"/>
      <c r="I133" s="3028"/>
      <c r="J133" s="3141"/>
      <c r="K133" s="3121"/>
      <c r="L133" s="3121"/>
      <c r="M133" s="140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  <c r="Z133" s="140"/>
      <c r="AA133" s="140"/>
      <c r="AB133" s="140"/>
      <c r="AC133" s="140"/>
      <c r="AD133" s="140"/>
      <c r="AE133" s="140"/>
      <c r="AF133" s="140"/>
      <c r="AG133" s="140"/>
      <c r="AH133" s="140"/>
      <c r="AI133" s="140"/>
      <c r="AJ133" s="140"/>
      <c r="AK133" s="140"/>
      <c r="AL133" s="140"/>
      <c r="AM133" s="140"/>
      <c r="AN133" s="140"/>
      <c r="AO133" s="140"/>
      <c r="AP133" s="140"/>
      <c r="AQ133" s="140"/>
      <c r="AR133" s="1456"/>
      <c r="AS133" s="1456"/>
      <c r="AT133" s="1456"/>
      <c r="AU133" s="1456"/>
      <c r="AV133" s="1456"/>
      <c r="AW133" s="1456"/>
      <c r="AX133" s="1456"/>
      <c r="AY133" s="1456"/>
      <c r="AZ133" s="1456"/>
      <c r="BA133" s="1456"/>
      <c r="BB133" s="1456"/>
      <c r="BC133" s="290"/>
      <c r="BD133" s="290"/>
      <c r="BT133" s="290"/>
      <c r="BV133" s="1460"/>
      <c r="BW133" s="1460"/>
      <c r="BX133" s="1460"/>
      <c r="BZ133" s="1451"/>
      <c r="CF133" s="1454"/>
      <c r="CG133" s="1454"/>
      <c r="CH133" s="1454"/>
      <c r="CI133" s="1454"/>
      <c r="CJ133" s="1454"/>
      <c r="CK133" s="1454"/>
      <c r="CL133" s="1454"/>
      <c r="CM133" s="1454"/>
      <c r="CN133" s="1454"/>
      <c r="CO133" s="1454"/>
      <c r="CP133" s="1454"/>
      <c r="CQ133" s="1454"/>
      <c r="CR133" s="1454"/>
      <c r="CS133" s="1454"/>
      <c r="CT133" s="1460"/>
      <c r="CY133" s="290"/>
      <c r="CZ133" s="290"/>
      <c r="DZ133" s="165"/>
    </row>
    <row r="134" spans="1:130" ht="14.1" customHeight="1" x14ac:dyDescent="0.2">
      <c r="A134" s="10448"/>
      <c r="B134" s="7872" t="s">
        <v>178</v>
      </c>
      <c r="C134" s="3278"/>
      <c r="D134" s="3279"/>
      <c r="E134" s="3278"/>
      <c r="F134" s="3279"/>
      <c r="G134" s="3278"/>
      <c r="H134" s="3279"/>
      <c r="I134" s="3278"/>
      <c r="J134" s="2611"/>
      <c r="K134" s="3279"/>
      <c r="L134" s="3279"/>
      <c r="M134" s="140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  <c r="Z134" s="140"/>
      <c r="AA134" s="140"/>
      <c r="AB134" s="140"/>
      <c r="AC134" s="140"/>
      <c r="AD134" s="140"/>
      <c r="AE134" s="140"/>
      <c r="AF134" s="140"/>
      <c r="AG134" s="140"/>
      <c r="AH134" s="140"/>
      <c r="AI134" s="140"/>
      <c r="AJ134" s="140"/>
      <c r="AK134" s="140"/>
      <c r="AL134" s="140"/>
      <c r="AM134" s="140"/>
      <c r="AN134" s="140"/>
      <c r="AO134" s="140"/>
      <c r="AP134" s="140"/>
      <c r="AQ134" s="140"/>
      <c r="AR134" s="1456"/>
      <c r="AS134" s="1456"/>
      <c r="AT134" s="1456"/>
      <c r="AU134" s="1456"/>
      <c r="AV134" s="1456"/>
      <c r="AW134" s="1456"/>
      <c r="AX134" s="1456"/>
      <c r="AY134" s="1456"/>
      <c r="AZ134" s="1456"/>
      <c r="BA134" s="1456"/>
      <c r="BB134" s="1456"/>
      <c r="BC134" s="290"/>
      <c r="BD134" s="290"/>
      <c r="BT134" s="290"/>
      <c r="BV134" s="1460"/>
      <c r="BW134" s="1460"/>
      <c r="BX134" s="1460"/>
      <c r="BZ134" s="1451"/>
      <c r="CF134" s="1454"/>
      <c r="CG134" s="1454"/>
      <c r="CH134" s="1454"/>
      <c r="CI134" s="1454"/>
      <c r="CJ134" s="1454"/>
      <c r="CK134" s="1454"/>
      <c r="CL134" s="1454"/>
      <c r="CM134" s="1454"/>
      <c r="CN134" s="1454"/>
      <c r="CO134" s="1454"/>
      <c r="CP134" s="1454"/>
      <c r="CQ134" s="1454"/>
      <c r="CR134" s="1454"/>
      <c r="CS134" s="1454"/>
      <c r="CT134" s="1460"/>
      <c r="CY134" s="290"/>
      <c r="CZ134" s="290"/>
      <c r="DZ134" s="165"/>
    </row>
    <row r="135" spans="1:130" ht="14.1" customHeight="1" x14ac:dyDescent="0.2">
      <c r="A135" s="10448"/>
      <c r="B135" s="3340" t="s">
        <v>161</v>
      </c>
      <c r="C135" s="3248"/>
      <c r="D135" s="3249"/>
      <c r="E135" s="3248"/>
      <c r="F135" s="3249"/>
      <c r="G135" s="3248"/>
      <c r="H135" s="3249"/>
      <c r="I135" s="3248"/>
      <c r="J135" s="3134"/>
      <c r="K135" s="3249"/>
      <c r="L135" s="3249"/>
      <c r="M135" s="140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  <c r="Y135" s="140"/>
      <c r="Z135" s="140"/>
      <c r="AA135" s="140"/>
      <c r="AB135" s="140"/>
      <c r="AC135" s="140"/>
      <c r="AD135" s="140"/>
      <c r="AE135" s="140"/>
      <c r="AF135" s="140"/>
      <c r="AG135" s="140"/>
      <c r="AH135" s="140"/>
      <c r="AI135" s="140"/>
      <c r="AJ135" s="140"/>
      <c r="AK135" s="140"/>
      <c r="AL135" s="140"/>
      <c r="AM135" s="140"/>
      <c r="AN135" s="140"/>
      <c r="AO135" s="140"/>
      <c r="AP135" s="140"/>
      <c r="AQ135" s="140"/>
      <c r="AR135" s="1456"/>
      <c r="AS135" s="1456"/>
      <c r="AT135" s="1456"/>
      <c r="AU135" s="1456"/>
      <c r="AV135" s="1456"/>
      <c r="AW135" s="1456"/>
      <c r="AX135" s="1456"/>
      <c r="AY135" s="1456"/>
      <c r="AZ135" s="1456"/>
      <c r="BA135" s="1456"/>
      <c r="BB135" s="1456"/>
      <c r="BC135" s="290"/>
      <c r="BD135" s="290"/>
      <c r="BT135" s="290"/>
      <c r="BV135" s="1460"/>
      <c r="BW135" s="1460"/>
      <c r="BX135" s="1460"/>
      <c r="BZ135" s="1451"/>
      <c r="CF135" s="1454"/>
      <c r="CG135" s="1454"/>
      <c r="CH135" s="1454"/>
      <c r="CI135" s="1454"/>
      <c r="CJ135" s="1454"/>
      <c r="CK135" s="1454"/>
      <c r="CL135" s="1454"/>
      <c r="CM135" s="1454"/>
      <c r="CN135" s="1454"/>
      <c r="CO135" s="1454"/>
      <c r="CP135" s="1454"/>
      <c r="CQ135" s="1454"/>
      <c r="CR135" s="1454"/>
      <c r="CS135" s="1454"/>
      <c r="CT135" s="1460"/>
      <c r="CY135" s="290"/>
      <c r="CZ135" s="290"/>
      <c r="DZ135" s="165"/>
    </row>
    <row r="136" spans="1:130" ht="14.1" customHeight="1" x14ac:dyDescent="0.2">
      <c r="A136" s="8549" t="s">
        <v>179</v>
      </c>
      <c r="B136" s="7860" t="s">
        <v>180</v>
      </c>
      <c r="C136" s="3339"/>
      <c r="D136" s="7863"/>
      <c r="E136" s="3339"/>
      <c r="F136" s="7863"/>
      <c r="G136" s="3339"/>
      <c r="H136" s="7863"/>
      <c r="I136" s="3339"/>
      <c r="J136" s="7870"/>
      <c r="K136" s="7863"/>
      <c r="L136" s="7863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  <c r="AB136" s="140"/>
      <c r="AC136" s="140"/>
      <c r="AD136" s="140"/>
      <c r="AE136" s="140"/>
      <c r="AF136" s="140"/>
      <c r="AG136" s="140"/>
      <c r="AH136" s="140"/>
      <c r="AI136" s="140"/>
      <c r="AJ136" s="140"/>
      <c r="AK136" s="140"/>
      <c r="AL136" s="140"/>
      <c r="AM136" s="140"/>
      <c r="AN136" s="140"/>
      <c r="AO136" s="140"/>
      <c r="AP136" s="140"/>
      <c r="AQ136" s="140"/>
      <c r="AR136" s="1456"/>
      <c r="AS136" s="1456"/>
      <c r="AT136" s="1456"/>
      <c r="AU136" s="1456"/>
      <c r="AV136" s="1456"/>
      <c r="AW136" s="1456"/>
      <c r="AX136" s="1456"/>
      <c r="AY136" s="1456"/>
      <c r="AZ136" s="1456"/>
      <c r="BA136" s="1456"/>
      <c r="BB136" s="1456"/>
      <c r="BC136" s="290"/>
      <c r="BD136" s="290"/>
      <c r="BT136" s="290"/>
      <c r="BV136" s="1460"/>
      <c r="BW136" s="1460"/>
      <c r="BX136" s="1460"/>
      <c r="BZ136" s="1451"/>
      <c r="CF136" s="1454"/>
      <c r="CG136" s="1454"/>
      <c r="CH136" s="1454"/>
      <c r="CI136" s="1454"/>
      <c r="CJ136" s="1454"/>
      <c r="CK136" s="1454"/>
      <c r="CL136" s="1454"/>
      <c r="CM136" s="1454"/>
      <c r="CN136" s="1454"/>
      <c r="CO136" s="1454"/>
      <c r="CP136" s="1454"/>
      <c r="CQ136" s="1454"/>
      <c r="CR136" s="1454"/>
      <c r="CS136" s="1454"/>
      <c r="CT136" s="290"/>
      <c r="CU136" s="290"/>
      <c r="CV136" s="290"/>
      <c r="CW136" s="290"/>
      <c r="CX136" s="290"/>
      <c r="CY136" s="290"/>
      <c r="CZ136" s="290"/>
      <c r="DZ136" s="165"/>
    </row>
    <row r="137" spans="1:130" ht="14.1" customHeight="1" x14ac:dyDescent="0.2">
      <c r="A137" s="8460"/>
      <c r="B137" s="7595" t="s">
        <v>177</v>
      </c>
      <c r="C137" s="3028"/>
      <c r="D137" s="3121"/>
      <c r="E137" s="3028"/>
      <c r="F137" s="3121"/>
      <c r="G137" s="3028"/>
      <c r="H137" s="3121"/>
      <c r="I137" s="3028"/>
      <c r="J137" s="3141"/>
      <c r="K137" s="3121"/>
      <c r="L137" s="3121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  <c r="Z137" s="140"/>
      <c r="AA137" s="140"/>
      <c r="AB137" s="140"/>
      <c r="AC137" s="140"/>
      <c r="AD137" s="140"/>
      <c r="AE137" s="140"/>
      <c r="AF137" s="140"/>
      <c r="AG137" s="140"/>
      <c r="AH137" s="140"/>
      <c r="AI137" s="140"/>
      <c r="AJ137" s="140"/>
      <c r="AK137" s="140"/>
      <c r="AL137" s="140"/>
      <c r="AM137" s="140"/>
      <c r="AN137" s="140"/>
      <c r="AO137" s="140"/>
      <c r="AP137" s="140"/>
      <c r="AQ137" s="140"/>
      <c r="AR137" s="1456"/>
      <c r="AS137" s="1456"/>
      <c r="AT137" s="1456"/>
      <c r="AU137" s="1456"/>
      <c r="AV137" s="1456"/>
      <c r="AW137" s="1456"/>
      <c r="AX137" s="1456"/>
      <c r="AY137" s="1456"/>
      <c r="AZ137" s="1456"/>
      <c r="BA137" s="1456"/>
      <c r="BB137" s="1456"/>
      <c r="BC137" s="290"/>
      <c r="BD137" s="290"/>
      <c r="BT137" s="290"/>
      <c r="BV137" s="1460"/>
      <c r="BW137" s="1460"/>
      <c r="BX137" s="1460"/>
      <c r="BZ137" s="1451"/>
      <c r="CF137" s="1454"/>
      <c r="CG137" s="1454"/>
      <c r="CH137" s="1454"/>
      <c r="CI137" s="1454"/>
      <c r="CJ137" s="1454"/>
      <c r="CK137" s="1454"/>
      <c r="CL137" s="1454"/>
      <c r="CM137" s="1454"/>
      <c r="CN137" s="1454"/>
      <c r="CO137" s="1454"/>
      <c r="CP137" s="1454"/>
      <c r="CQ137" s="1454"/>
      <c r="CR137" s="1454"/>
      <c r="CS137" s="1454"/>
      <c r="CT137" s="290"/>
      <c r="CU137" s="290"/>
      <c r="CV137" s="290"/>
      <c r="CW137" s="290"/>
      <c r="CX137" s="290"/>
      <c r="CY137" s="290"/>
      <c r="CZ137" s="290"/>
      <c r="DZ137" s="165"/>
    </row>
    <row r="138" spans="1:130" ht="14.1" customHeight="1" x14ac:dyDescent="0.2">
      <c r="A138" s="8460"/>
      <c r="B138" s="7595" t="s">
        <v>175</v>
      </c>
      <c r="C138" s="3028"/>
      <c r="D138" s="3121"/>
      <c r="E138" s="3028"/>
      <c r="F138" s="3121"/>
      <c r="G138" s="3028"/>
      <c r="H138" s="3121"/>
      <c r="I138" s="3028"/>
      <c r="J138" s="3141"/>
      <c r="K138" s="3121"/>
      <c r="L138" s="3121"/>
      <c r="M138" s="140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  <c r="Z138" s="140"/>
      <c r="AA138" s="140"/>
      <c r="AB138" s="140"/>
      <c r="AC138" s="140"/>
      <c r="AD138" s="140"/>
      <c r="AE138" s="140"/>
      <c r="AF138" s="140"/>
      <c r="AG138" s="140"/>
      <c r="AH138" s="140"/>
      <c r="AI138" s="140"/>
      <c r="AJ138" s="140"/>
      <c r="AK138" s="140"/>
      <c r="AL138" s="140"/>
      <c r="AM138" s="140"/>
      <c r="AN138" s="140"/>
      <c r="AO138" s="140"/>
      <c r="AP138" s="140"/>
      <c r="AQ138" s="140"/>
      <c r="AR138" s="1456"/>
      <c r="AS138" s="1456"/>
      <c r="AT138" s="1456"/>
      <c r="AU138" s="1456"/>
      <c r="AV138" s="1456"/>
      <c r="AW138" s="1456"/>
      <c r="AX138" s="1456"/>
      <c r="AY138" s="1456"/>
      <c r="AZ138" s="1456"/>
      <c r="BA138" s="1456"/>
      <c r="BB138" s="1456"/>
      <c r="BC138" s="290"/>
      <c r="BD138" s="290"/>
      <c r="BT138" s="290"/>
      <c r="BV138" s="1460"/>
      <c r="BW138" s="1460"/>
      <c r="BX138" s="1460"/>
      <c r="BZ138" s="1451"/>
      <c r="CF138" s="1454"/>
      <c r="CG138" s="1454"/>
      <c r="CH138" s="1454"/>
      <c r="CI138" s="1454"/>
      <c r="CJ138" s="1454"/>
      <c r="CK138" s="1454"/>
      <c r="CL138" s="1454"/>
      <c r="CM138" s="1454"/>
      <c r="CN138" s="1454"/>
      <c r="CO138" s="1454"/>
      <c r="CP138" s="1454"/>
      <c r="CQ138" s="1454"/>
      <c r="CR138" s="1454"/>
      <c r="CS138" s="1454"/>
      <c r="CT138" s="290"/>
      <c r="CU138" s="290"/>
      <c r="CV138" s="290"/>
      <c r="CW138" s="290"/>
      <c r="CX138" s="290"/>
      <c r="CY138" s="290"/>
      <c r="CZ138" s="290"/>
      <c r="DZ138" s="165"/>
    </row>
    <row r="139" spans="1:130" ht="14.1" customHeight="1" x14ac:dyDescent="0.2">
      <c r="A139" s="8460"/>
      <c r="B139" s="7595" t="s">
        <v>181</v>
      </c>
      <c r="C139" s="3028"/>
      <c r="D139" s="3121"/>
      <c r="E139" s="3028"/>
      <c r="F139" s="3121"/>
      <c r="G139" s="3028"/>
      <c r="H139" s="3121"/>
      <c r="I139" s="3028"/>
      <c r="J139" s="3141"/>
      <c r="K139" s="3121"/>
      <c r="L139" s="3121"/>
      <c r="M139" s="140"/>
      <c r="N139" s="140"/>
      <c r="O139" s="140"/>
      <c r="P139" s="140"/>
      <c r="Q139" s="140"/>
      <c r="R139" s="140"/>
      <c r="S139" s="140"/>
      <c r="T139" s="140"/>
      <c r="U139" s="140"/>
      <c r="V139" s="140"/>
      <c r="W139" s="140"/>
      <c r="X139" s="140"/>
      <c r="Y139" s="140"/>
      <c r="Z139" s="140"/>
      <c r="AA139" s="140"/>
      <c r="AB139" s="140"/>
      <c r="AC139" s="140"/>
      <c r="AD139" s="140"/>
      <c r="AE139" s="140"/>
      <c r="AF139" s="140"/>
      <c r="AG139" s="140"/>
      <c r="AH139" s="140"/>
      <c r="AI139" s="140"/>
      <c r="AJ139" s="140"/>
      <c r="AK139" s="140"/>
      <c r="AL139" s="140"/>
      <c r="AM139" s="140"/>
      <c r="AN139" s="140"/>
      <c r="AO139" s="140"/>
      <c r="AP139" s="140"/>
      <c r="AQ139" s="140"/>
      <c r="AR139" s="1456"/>
      <c r="AS139" s="1456"/>
      <c r="AT139" s="1456"/>
      <c r="AU139" s="1456"/>
      <c r="AV139" s="1456"/>
      <c r="AW139" s="1456"/>
      <c r="AX139" s="1456"/>
      <c r="AY139" s="1456"/>
      <c r="AZ139" s="1456"/>
      <c r="BA139" s="1456"/>
      <c r="BB139" s="1456"/>
      <c r="BC139" s="290"/>
      <c r="BD139" s="290"/>
      <c r="BT139" s="290"/>
      <c r="BV139" s="1460"/>
      <c r="BW139" s="1460"/>
      <c r="BX139" s="1460"/>
      <c r="BZ139" s="1457"/>
      <c r="CA139" s="1457"/>
      <c r="CB139" s="1457"/>
      <c r="CC139" s="1457"/>
      <c r="CD139" s="1457"/>
      <c r="CE139" s="1457"/>
      <c r="CF139" s="1458"/>
      <c r="CG139" s="1454"/>
      <c r="CH139" s="1454"/>
      <c r="CI139" s="1454"/>
      <c r="CJ139" s="1454"/>
      <c r="CK139" s="1454"/>
      <c r="CL139" s="1454"/>
      <c r="CM139" s="1454"/>
      <c r="CN139" s="1454"/>
      <c r="CO139" s="1454"/>
      <c r="CP139" s="1454"/>
      <c r="CQ139" s="1454"/>
      <c r="CR139" s="1454"/>
      <c r="CS139" s="1454"/>
      <c r="CT139" s="290"/>
      <c r="CU139" s="290"/>
      <c r="CV139" s="290"/>
      <c r="CW139" s="290"/>
      <c r="CX139" s="290"/>
      <c r="CY139" s="290"/>
      <c r="CZ139" s="290"/>
      <c r="DZ139" s="165"/>
    </row>
    <row r="140" spans="1:130" ht="14.1" customHeight="1" x14ac:dyDescent="0.2">
      <c r="A140" s="8460"/>
      <c r="B140" s="7595" t="s">
        <v>178</v>
      </c>
      <c r="C140" s="3028"/>
      <c r="D140" s="3121"/>
      <c r="E140" s="3028"/>
      <c r="F140" s="3121"/>
      <c r="G140" s="3028"/>
      <c r="H140" s="3121"/>
      <c r="I140" s="3028"/>
      <c r="J140" s="3141"/>
      <c r="K140" s="3121"/>
      <c r="L140" s="3121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  <c r="AB140" s="140"/>
      <c r="AC140" s="140"/>
      <c r="AD140" s="140"/>
      <c r="AE140" s="140"/>
      <c r="AF140" s="140"/>
      <c r="AG140" s="140"/>
      <c r="AH140" s="140"/>
      <c r="AI140" s="140"/>
      <c r="AJ140" s="140"/>
      <c r="AK140" s="140"/>
      <c r="AL140" s="140"/>
      <c r="AM140" s="140"/>
      <c r="AN140" s="140"/>
      <c r="AO140" s="140"/>
      <c r="AP140" s="140"/>
      <c r="AQ140" s="140"/>
      <c r="AR140" s="1456"/>
      <c r="AS140" s="1456"/>
      <c r="AT140" s="1456"/>
      <c r="AU140" s="1456"/>
      <c r="AV140" s="1456"/>
      <c r="AW140" s="1456"/>
      <c r="AX140" s="1456"/>
      <c r="AY140" s="1456"/>
      <c r="AZ140" s="1456"/>
      <c r="BA140" s="1456"/>
      <c r="BB140" s="1456"/>
      <c r="BC140" s="290"/>
      <c r="BD140" s="290"/>
      <c r="BT140" s="290"/>
      <c r="BV140" s="1460"/>
      <c r="BW140" s="1460"/>
      <c r="BX140" s="1460"/>
      <c r="BZ140" s="1457"/>
      <c r="CA140" s="1457"/>
      <c r="CB140" s="1457"/>
      <c r="CC140" s="1457"/>
      <c r="CD140" s="1457"/>
      <c r="CE140" s="1457"/>
      <c r="CF140" s="1458"/>
      <c r="CG140" s="1454"/>
      <c r="CH140" s="1454"/>
      <c r="CI140" s="1454"/>
      <c r="CJ140" s="1454"/>
      <c r="CK140" s="1454"/>
      <c r="CL140" s="1454"/>
      <c r="CM140" s="1454"/>
      <c r="CN140" s="1454"/>
      <c r="CO140" s="1454"/>
      <c r="CP140" s="1454"/>
      <c r="CQ140" s="1454"/>
      <c r="CR140" s="1454"/>
      <c r="CS140" s="1454"/>
      <c r="CT140" s="290"/>
      <c r="CU140" s="290"/>
      <c r="CV140" s="290"/>
      <c r="CW140" s="290"/>
      <c r="CX140" s="290"/>
      <c r="CY140" s="290"/>
      <c r="CZ140" s="290"/>
      <c r="DZ140" s="165"/>
    </row>
    <row r="141" spans="1:130" ht="14.1" customHeight="1" x14ac:dyDescent="0.2">
      <c r="A141" s="8550"/>
      <c r="B141" s="3340" t="s">
        <v>161</v>
      </c>
      <c r="C141" s="824"/>
      <c r="D141" s="1145"/>
      <c r="E141" s="824"/>
      <c r="F141" s="1145"/>
      <c r="G141" s="824"/>
      <c r="H141" s="1145"/>
      <c r="I141" s="824"/>
      <c r="J141" s="711"/>
      <c r="K141" s="1145"/>
      <c r="L141" s="1145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  <c r="Z141" s="140"/>
      <c r="AA141" s="140"/>
      <c r="AB141" s="140"/>
      <c r="AC141" s="140"/>
      <c r="AD141" s="140"/>
      <c r="AE141" s="140"/>
      <c r="AF141" s="140"/>
      <c r="AG141" s="140"/>
      <c r="AH141" s="140"/>
      <c r="AI141" s="140"/>
      <c r="AJ141" s="140"/>
      <c r="AK141" s="140"/>
      <c r="AL141" s="140"/>
      <c r="AM141" s="140"/>
      <c r="AN141" s="140"/>
      <c r="AO141" s="140"/>
      <c r="AP141" s="140"/>
      <c r="AQ141" s="140"/>
      <c r="AR141" s="1456"/>
      <c r="AS141" s="1456"/>
      <c r="AT141" s="1456"/>
      <c r="AU141" s="1456"/>
      <c r="AV141" s="1456"/>
      <c r="AW141" s="1456"/>
      <c r="AX141" s="1456"/>
      <c r="AY141" s="1456"/>
      <c r="AZ141" s="1456"/>
      <c r="BA141" s="1456"/>
      <c r="BB141" s="1456"/>
      <c r="BC141" s="290"/>
      <c r="BD141" s="290"/>
      <c r="BT141" s="290"/>
      <c r="BV141" s="1460"/>
      <c r="BW141" s="1460"/>
      <c r="BX141" s="1460"/>
      <c r="BZ141" s="1457"/>
      <c r="CA141" s="1457"/>
      <c r="CB141" s="1457"/>
      <c r="CC141" s="1457"/>
      <c r="CD141" s="1457"/>
      <c r="CE141" s="1457"/>
      <c r="CF141" s="1458"/>
      <c r="CG141" s="1454"/>
      <c r="CH141" s="1454"/>
      <c r="CI141" s="1454"/>
      <c r="CJ141" s="1454"/>
      <c r="CK141" s="1454"/>
      <c r="CL141" s="1454"/>
      <c r="CM141" s="1454"/>
      <c r="CN141" s="1454"/>
      <c r="CO141" s="1454"/>
      <c r="CP141" s="1454"/>
      <c r="CQ141" s="1454"/>
      <c r="CR141" s="1454"/>
      <c r="CS141" s="1454"/>
      <c r="CT141" s="290"/>
      <c r="CU141" s="290"/>
      <c r="CV141" s="290"/>
      <c r="CW141" s="290"/>
      <c r="CX141" s="290"/>
      <c r="CY141" s="290"/>
      <c r="CZ141" s="290"/>
      <c r="DZ141" s="165"/>
    </row>
    <row r="142" spans="1:130" ht="14.1" customHeight="1" x14ac:dyDescent="0.2">
      <c r="A142" s="7857" t="s">
        <v>182</v>
      </c>
      <c r="B142" s="7873" t="s">
        <v>174</v>
      </c>
      <c r="C142" s="7874"/>
      <c r="D142" s="3283"/>
      <c r="E142" s="7874"/>
      <c r="F142" s="3283"/>
      <c r="G142" s="7874"/>
      <c r="H142" s="3283"/>
      <c r="I142" s="7874"/>
      <c r="J142" s="7875"/>
      <c r="K142" s="3283"/>
      <c r="L142" s="3283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140"/>
      <c r="AD142" s="140"/>
      <c r="AE142" s="140"/>
      <c r="AF142" s="140"/>
      <c r="AG142" s="140"/>
      <c r="AH142" s="140"/>
      <c r="AI142" s="140"/>
      <c r="AJ142" s="140"/>
      <c r="AK142" s="140"/>
      <c r="AL142" s="140"/>
      <c r="AM142" s="140"/>
      <c r="AN142" s="140"/>
      <c r="AO142" s="140"/>
      <c r="AP142" s="140"/>
      <c r="AQ142" s="140"/>
      <c r="AR142" s="1456"/>
      <c r="AS142" s="1456"/>
      <c r="AT142" s="1456"/>
      <c r="AU142" s="1456"/>
      <c r="AV142" s="1456"/>
      <c r="AW142" s="1456"/>
      <c r="AX142" s="1456"/>
      <c r="AY142" s="1456"/>
      <c r="AZ142" s="1456"/>
      <c r="BA142" s="1456"/>
      <c r="BB142" s="1456"/>
      <c r="BC142" s="290"/>
      <c r="BD142" s="290"/>
      <c r="BT142" s="290"/>
      <c r="BV142" s="1460"/>
      <c r="BW142" s="1460"/>
      <c r="BX142" s="1460"/>
      <c r="BZ142" s="1451"/>
      <c r="CF142" s="1454"/>
      <c r="CG142" s="1454"/>
      <c r="CH142" s="1454"/>
      <c r="CI142" s="1454"/>
      <c r="CJ142" s="1454"/>
      <c r="CK142" s="1454"/>
      <c r="CL142" s="1454"/>
      <c r="CM142" s="1454"/>
      <c r="CN142" s="1454"/>
      <c r="CO142" s="1454"/>
      <c r="CP142" s="1454"/>
      <c r="CQ142" s="1454"/>
      <c r="CR142" s="1454"/>
      <c r="CS142" s="1454"/>
      <c r="CT142" s="290"/>
      <c r="CU142" s="290"/>
      <c r="CV142" s="290"/>
      <c r="CW142" s="290"/>
      <c r="CX142" s="290"/>
      <c r="CY142" s="290"/>
      <c r="CZ142" s="290"/>
      <c r="DZ142" s="165"/>
    </row>
    <row r="143" spans="1:130" ht="19.899999999999999" customHeight="1" x14ac:dyDescent="0.2">
      <c r="A143" s="72" t="s">
        <v>324</v>
      </c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140"/>
      <c r="P143" s="140"/>
      <c r="Q143" s="140"/>
      <c r="R143" s="140"/>
      <c r="S143" s="140"/>
      <c r="T143" s="140"/>
      <c r="U143" s="140"/>
      <c r="V143" s="140"/>
      <c r="W143" s="140"/>
      <c r="X143" s="140"/>
      <c r="Y143" s="140"/>
      <c r="Z143" s="140"/>
      <c r="AA143" s="140"/>
      <c r="AB143" s="140"/>
      <c r="AC143" s="140"/>
      <c r="AD143" s="140"/>
      <c r="AE143" s="140"/>
      <c r="AF143" s="140"/>
      <c r="AG143" s="140"/>
      <c r="AH143" s="140"/>
      <c r="AI143" s="140"/>
      <c r="AJ143" s="140"/>
      <c r="AK143" s="140"/>
      <c r="AL143" s="140"/>
      <c r="AM143" s="140"/>
      <c r="AN143" s="140"/>
      <c r="AO143" s="140"/>
      <c r="AP143" s="140"/>
      <c r="AQ143" s="140"/>
      <c r="AR143" s="140"/>
      <c r="AS143" s="140"/>
      <c r="AU143" s="290"/>
      <c r="AV143" s="290"/>
      <c r="AW143" s="290"/>
      <c r="AX143" s="290"/>
      <c r="AY143" s="290"/>
      <c r="AZ143" s="290"/>
      <c r="BA143" s="290"/>
      <c r="BB143" s="290"/>
      <c r="BC143" s="290"/>
      <c r="BD143" s="290"/>
      <c r="BE143" s="290"/>
      <c r="BF143" s="290"/>
      <c r="BG143" s="290"/>
      <c r="CG143" s="1454"/>
      <c r="CH143" s="1454"/>
      <c r="CI143" s="1454"/>
      <c r="CJ143" s="1454"/>
      <c r="CK143" s="1454"/>
      <c r="CL143" s="1454"/>
      <c r="CM143" s="1454"/>
      <c r="CN143" s="1454"/>
      <c r="CO143" s="1454"/>
      <c r="CP143" s="1454"/>
      <c r="CQ143" s="1454"/>
      <c r="CR143" s="1454"/>
      <c r="CS143" s="1454"/>
      <c r="CT143" s="1454"/>
      <c r="CU143" s="290"/>
      <c r="CV143" s="290"/>
      <c r="CW143" s="290"/>
      <c r="CX143" s="290"/>
      <c r="CY143" s="290"/>
      <c r="CZ143" s="290"/>
    </row>
    <row r="144" spans="1:130" ht="19.899999999999999" customHeight="1" x14ac:dyDescent="0.2">
      <c r="A144" s="133" t="s">
        <v>3539</v>
      </c>
      <c r="B144" s="233"/>
      <c r="C144" s="71"/>
      <c r="D144" s="204"/>
      <c r="E144" s="7876"/>
      <c r="F144" s="204"/>
      <c r="G144" s="7876"/>
      <c r="H144" s="7876"/>
      <c r="I144" s="204"/>
      <c r="J144" s="7877"/>
      <c r="K144" s="7877"/>
      <c r="L144" s="7877"/>
      <c r="M144" s="7877"/>
      <c r="N144" s="7877"/>
      <c r="O144" s="7878"/>
      <c r="P144" s="7878"/>
      <c r="Q144" s="7878"/>
      <c r="R144" s="7879"/>
      <c r="S144" s="153"/>
      <c r="T144" s="7878"/>
      <c r="U144" s="7878"/>
      <c r="V144" s="7879"/>
      <c r="W144" s="7880"/>
      <c r="X144" s="153"/>
      <c r="Y144" s="140"/>
      <c r="Z144" s="140"/>
      <c r="AA144" s="140"/>
      <c r="AB144" s="140"/>
      <c r="AC144" s="140"/>
      <c r="AD144" s="140"/>
      <c r="AE144" s="140"/>
      <c r="AF144" s="140"/>
      <c r="AG144" s="140"/>
      <c r="AH144" s="140"/>
      <c r="AI144" s="140"/>
      <c r="AJ144" s="140"/>
      <c r="AK144" s="140"/>
      <c r="AL144" s="140"/>
      <c r="AM144" s="140"/>
      <c r="AN144" s="140"/>
      <c r="AO144" s="140"/>
      <c r="AP144" s="140"/>
      <c r="AQ144" s="140"/>
      <c r="AR144" s="140"/>
      <c r="AS144" s="140"/>
      <c r="AT144" s="290"/>
      <c r="AU144" s="290"/>
      <c r="AV144" s="290"/>
      <c r="AW144" s="290"/>
      <c r="AX144" s="290"/>
      <c r="AY144" s="290"/>
      <c r="AZ144" s="290"/>
      <c r="BA144" s="290"/>
      <c r="BB144" s="290"/>
      <c r="BC144" s="290"/>
      <c r="BD144" s="290"/>
      <c r="BE144" s="290"/>
      <c r="BF144" s="290"/>
      <c r="BG144" s="290"/>
      <c r="CA144" s="1457"/>
      <c r="CB144" s="1457"/>
      <c r="CC144" s="1457"/>
      <c r="CD144" s="1457"/>
      <c r="CE144" s="1457"/>
      <c r="CF144" s="1457"/>
      <c r="CG144" s="1458"/>
      <c r="CH144" s="1454"/>
      <c r="CI144" s="1454"/>
      <c r="CJ144" s="1454"/>
      <c r="CK144" s="1454"/>
      <c r="CL144" s="1454"/>
      <c r="CM144" s="1454"/>
      <c r="CN144" s="1454"/>
      <c r="CO144" s="1454"/>
      <c r="CP144" s="1454"/>
      <c r="CQ144" s="1454"/>
      <c r="CR144" s="1454"/>
      <c r="CS144" s="1454"/>
      <c r="CT144" s="1454"/>
      <c r="CU144" s="290"/>
      <c r="CV144" s="290"/>
      <c r="CW144" s="290"/>
      <c r="CX144" s="290"/>
      <c r="CY144" s="290"/>
      <c r="CZ144" s="290"/>
    </row>
    <row r="145" spans="1:149" ht="15" customHeight="1" x14ac:dyDescent="0.2">
      <c r="A145" s="10426" t="s">
        <v>29</v>
      </c>
      <c r="B145" s="9052" t="s">
        <v>24</v>
      </c>
      <c r="C145" s="9053"/>
      <c r="D145" s="9049"/>
      <c r="E145" s="9226" t="s">
        <v>3991</v>
      </c>
      <c r="F145" s="10459"/>
      <c r="G145" s="10459"/>
      <c r="H145" s="10459"/>
      <c r="I145" s="10459"/>
      <c r="J145" s="10459"/>
      <c r="K145" s="10459"/>
      <c r="L145" s="10459"/>
      <c r="M145" s="10459"/>
      <c r="N145" s="10459"/>
      <c r="O145" s="10459"/>
      <c r="P145" s="10459"/>
      <c r="Q145" s="10459"/>
      <c r="R145" s="10459"/>
      <c r="S145" s="10459"/>
      <c r="T145" s="10459"/>
      <c r="U145" s="10459"/>
      <c r="V145" s="10459"/>
      <c r="W145" s="10459"/>
      <c r="X145" s="10459"/>
      <c r="Y145" s="10459"/>
      <c r="Z145" s="10459"/>
      <c r="AA145" s="10459"/>
      <c r="AB145" s="10459"/>
      <c r="AC145" s="10459"/>
      <c r="AD145" s="10459"/>
      <c r="AE145" s="10459"/>
      <c r="AF145" s="10459"/>
      <c r="AG145" s="10459"/>
      <c r="AH145" s="10459"/>
      <c r="AI145" s="10459"/>
      <c r="AJ145" s="10459"/>
      <c r="AK145" s="10459"/>
      <c r="AL145" s="10459"/>
      <c r="AM145" s="10452" t="s">
        <v>644</v>
      </c>
      <c r="AN145" s="10453"/>
      <c r="AO145" s="10454"/>
      <c r="AP145" s="290"/>
      <c r="AQ145" s="290"/>
      <c r="AR145" s="290"/>
      <c r="AS145" s="290"/>
      <c r="AT145" s="290"/>
      <c r="AU145" s="290"/>
      <c r="AV145" s="290"/>
      <c r="AW145" s="290"/>
      <c r="AX145" s="290"/>
      <c r="AY145" s="290"/>
      <c r="AZ145" s="290"/>
      <c r="BA145" s="290"/>
      <c r="BB145" s="290"/>
      <c r="BC145" s="290"/>
      <c r="BU145" s="1452"/>
      <c r="BV145" s="1452"/>
      <c r="BW145" s="1460"/>
      <c r="BX145" s="1460"/>
      <c r="CA145" s="1460"/>
      <c r="CB145" s="1460"/>
      <c r="CC145" s="1460"/>
      <c r="CD145" s="1460"/>
      <c r="CE145" s="1460"/>
      <c r="CF145" s="1460"/>
      <c r="CG145" s="1460"/>
      <c r="CH145" s="1460"/>
      <c r="CI145" s="1460"/>
      <c r="CJ145" s="1460"/>
      <c r="CK145" s="1460"/>
      <c r="CL145" s="1460"/>
      <c r="CM145" s="1460"/>
      <c r="CN145" s="1460"/>
      <c r="CO145" s="1460"/>
      <c r="CP145" s="1460"/>
      <c r="CQ145" s="290"/>
      <c r="CR145" s="290"/>
      <c r="CS145" s="290"/>
      <c r="CT145" s="1457"/>
      <c r="CU145" s="1457"/>
      <c r="CV145" s="1457"/>
      <c r="CW145" s="1457"/>
      <c r="CX145" s="1457"/>
      <c r="CY145" s="1457"/>
      <c r="CZ145" s="1458"/>
      <c r="DA145" s="1454"/>
      <c r="DB145" s="1454"/>
      <c r="DC145" s="1454"/>
      <c r="DD145" s="1454"/>
      <c r="DE145" s="1454"/>
      <c r="DF145" s="1454"/>
      <c r="DG145" s="1454"/>
      <c r="DH145" s="1454"/>
      <c r="DI145" s="1454"/>
      <c r="DJ145" s="1454"/>
      <c r="DK145" s="1454"/>
      <c r="DL145" s="1454"/>
      <c r="DM145" s="1454"/>
      <c r="EA145" s="290"/>
      <c r="EB145" s="290"/>
      <c r="EC145" s="290"/>
      <c r="ED145" s="290"/>
      <c r="EE145" s="290"/>
      <c r="EF145" s="290"/>
      <c r="EG145" s="290"/>
      <c r="EH145" s="290"/>
      <c r="EI145" s="290"/>
      <c r="EJ145" s="290"/>
      <c r="EK145" s="290"/>
      <c r="EL145" s="290"/>
      <c r="EM145" s="290"/>
      <c r="EN145" s="290"/>
      <c r="EO145" s="290"/>
      <c r="EP145" s="290"/>
      <c r="EQ145" s="290"/>
      <c r="ER145" s="290"/>
      <c r="ES145" s="290"/>
    </row>
    <row r="146" spans="1:149" ht="15" customHeight="1" x14ac:dyDescent="0.2">
      <c r="A146" s="10427"/>
      <c r="B146" s="9054"/>
      <c r="C146" s="9055"/>
      <c r="D146" s="8328"/>
      <c r="E146" s="10446" t="s">
        <v>75</v>
      </c>
      <c r="F146" s="10446"/>
      <c r="G146" s="10446" t="s">
        <v>76</v>
      </c>
      <c r="H146" s="10446"/>
      <c r="I146" s="10446" t="s">
        <v>77</v>
      </c>
      <c r="J146" s="10446"/>
      <c r="K146" s="10460" t="s">
        <v>2674</v>
      </c>
      <c r="L146" s="10460"/>
      <c r="M146" s="10446" t="s">
        <v>142</v>
      </c>
      <c r="N146" s="9056"/>
      <c r="O146" s="10446" t="s">
        <v>143</v>
      </c>
      <c r="P146" s="10446"/>
      <c r="Q146" s="10446" t="s">
        <v>144</v>
      </c>
      <c r="R146" s="10446"/>
      <c r="S146" s="10446" t="s">
        <v>7</v>
      </c>
      <c r="T146" s="10446"/>
      <c r="U146" s="10446" t="s">
        <v>8</v>
      </c>
      <c r="V146" s="10446"/>
      <c r="W146" s="10446" t="s">
        <v>145</v>
      </c>
      <c r="X146" s="10446"/>
      <c r="Y146" s="10446" t="s">
        <v>10</v>
      </c>
      <c r="Z146" s="10446"/>
      <c r="AA146" s="10446" t="s">
        <v>11</v>
      </c>
      <c r="AB146" s="10446"/>
      <c r="AC146" s="10446" t="s">
        <v>12</v>
      </c>
      <c r="AD146" s="9056"/>
      <c r="AE146" s="10446" t="s">
        <v>13</v>
      </c>
      <c r="AF146" s="10446"/>
      <c r="AG146" s="10446" t="s">
        <v>14</v>
      </c>
      <c r="AH146" s="10446"/>
      <c r="AI146" s="10446" t="s">
        <v>15</v>
      </c>
      <c r="AJ146" s="10446"/>
      <c r="AK146" s="9070" t="s">
        <v>16</v>
      </c>
      <c r="AL146" s="9069"/>
      <c r="AM146" s="10455" t="s">
        <v>364</v>
      </c>
      <c r="AN146" s="9069" t="s">
        <v>319</v>
      </c>
      <c r="AO146" s="9070"/>
      <c r="AP146" s="7881"/>
      <c r="AQ146" s="290"/>
      <c r="AR146" s="290"/>
      <c r="AS146" s="290"/>
      <c r="AT146" s="290"/>
      <c r="AU146" s="290"/>
      <c r="AV146" s="290"/>
      <c r="AW146" s="290"/>
      <c r="AX146" s="290"/>
      <c r="AY146" s="290"/>
      <c r="AZ146" s="290"/>
      <c r="BA146" s="290"/>
      <c r="BB146" s="290"/>
      <c r="BC146" s="290"/>
      <c r="BU146" s="1452"/>
      <c r="BV146" s="1452"/>
      <c r="BW146" s="1460"/>
      <c r="BX146" s="1460"/>
      <c r="CA146" s="1460"/>
      <c r="CB146" s="1460"/>
      <c r="CC146" s="1460"/>
      <c r="CD146" s="1460"/>
      <c r="CE146" s="1460"/>
      <c r="CF146" s="1460"/>
      <c r="CG146" s="1460"/>
      <c r="CH146" s="1460"/>
      <c r="CI146" s="1460"/>
      <c r="CJ146" s="1460"/>
      <c r="CK146" s="1460"/>
      <c r="CL146" s="1460"/>
      <c r="CM146" s="1460"/>
      <c r="CN146" s="1460"/>
      <c r="CO146" s="1460"/>
      <c r="CP146" s="1460"/>
      <c r="CQ146" s="290"/>
      <c r="CR146" s="290"/>
      <c r="CS146" s="290"/>
      <c r="CT146" s="1457"/>
      <c r="CU146" s="1457"/>
      <c r="CV146" s="1457"/>
      <c r="CW146" s="1457"/>
      <c r="CX146" s="1457"/>
      <c r="CY146" s="1457"/>
      <c r="CZ146" s="1458"/>
      <c r="DA146" s="1454"/>
      <c r="DB146" s="1454"/>
      <c r="DC146" s="1454"/>
      <c r="DD146" s="1454"/>
      <c r="DE146" s="1454"/>
      <c r="DF146" s="1454"/>
      <c r="DG146" s="1454"/>
      <c r="DH146" s="1454"/>
      <c r="DI146" s="1454"/>
      <c r="DJ146" s="1454"/>
      <c r="DK146" s="1454"/>
      <c r="DL146" s="1454"/>
      <c r="DM146" s="1454"/>
      <c r="EA146" s="290"/>
      <c r="EB146" s="290"/>
      <c r="EC146" s="290"/>
      <c r="ED146" s="290"/>
      <c r="EE146" s="290"/>
      <c r="EF146" s="290"/>
      <c r="EG146" s="290"/>
      <c r="EH146" s="290"/>
      <c r="EI146" s="290"/>
      <c r="EJ146" s="290"/>
      <c r="EK146" s="290"/>
      <c r="EL146" s="290"/>
      <c r="EM146" s="290"/>
      <c r="EN146" s="290"/>
      <c r="EO146" s="290"/>
      <c r="EP146" s="290"/>
      <c r="EQ146" s="290"/>
      <c r="ER146" s="290"/>
      <c r="ES146" s="290"/>
    </row>
    <row r="147" spans="1:149" ht="24" customHeight="1" x14ac:dyDescent="0.2">
      <c r="A147" s="10428"/>
      <c r="B147" s="7558" t="s">
        <v>42</v>
      </c>
      <c r="C147" s="7980" t="s">
        <v>17</v>
      </c>
      <c r="D147" s="7244" t="s">
        <v>18</v>
      </c>
      <c r="E147" s="8053" t="s">
        <v>17</v>
      </c>
      <c r="F147" s="7986" t="s">
        <v>18</v>
      </c>
      <c r="G147" s="8053" t="s">
        <v>17</v>
      </c>
      <c r="H147" s="7986" t="s">
        <v>18</v>
      </c>
      <c r="I147" s="8053" t="s">
        <v>17</v>
      </c>
      <c r="J147" s="7986" t="s">
        <v>18</v>
      </c>
      <c r="K147" s="8053" t="s">
        <v>17</v>
      </c>
      <c r="L147" s="7986" t="s">
        <v>18</v>
      </c>
      <c r="M147" s="8053" t="s">
        <v>17</v>
      </c>
      <c r="N147" s="8056" t="s">
        <v>18</v>
      </c>
      <c r="O147" s="8053" t="s">
        <v>17</v>
      </c>
      <c r="P147" s="7986" t="s">
        <v>18</v>
      </c>
      <c r="Q147" s="8053" t="s">
        <v>17</v>
      </c>
      <c r="R147" s="7986" t="s">
        <v>18</v>
      </c>
      <c r="S147" s="8053" t="s">
        <v>17</v>
      </c>
      <c r="T147" s="7986" t="s">
        <v>18</v>
      </c>
      <c r="U147" s="8053" t="s">
        <v>17</v>
      </c>
      <c r="V147" s="7986" t="s">
        <v>18</v>
      </c>
      <c r="W147" s="8053" t="s">
        <v>17</v>
      </c>
      <c r="X147" s="7986" t="s">
        <v>18</v>
      </c>
      <c r="Y147" s="8053" t="s">
        <v>17</v>
      </c>
      <c r="Z147" s="7986" t="s">
        <v>18</v>
      </c>
      <c r="AA147" s="8053" t="s">
        <v>17</v>
      </c>
      <c r="AB147" s="7986" t="s">
        <v>18</v>
      </c>
      <c r="AC147" s="8053" t="s">
        <v>17</v>
      </c>
      <c r="AD147" s="8056" t="s">
        <v>18</v>
      </c>
      <c r="AE147" s="8053" t="s">
        <v>17</v>
      </c>
      <c r="AF147" s="7986" t="s">
        <v>18</v>
      </c>
      <c r="AG147" s="8053" t="s">
        <v>17</v>
      </c>
      <c r="AH147" s="7986" t="s">
        <v>18</v>
      </c>
      <c r="AI147" s="8053" t="s">
        <v>17</v>
      </c>
      <c r="AJ147" s="7986" t="s">
        <v>18</v>
      </c>
      <c r="AK147" s="8057" t="s">
        <v>17</v>
      </c>
      <c r="AL147" s="8056" t="s">
        <v>18</v>
      </c>
      <c r="AM147" s="10456"/>
      <c r="AN147" s="7221" t="s">
        <v>183</v>
      </c>
      <c r="AO147" s="7195" t="s">
        <v>184</v>
      </c>
      <c r="AP147" s="290"/>
      <c r="AQ147" s="290"/>
      <c r="AR147" s="290"/>
      <c r="AS147" s="290"/>
      <c r="AT147" s="290"/>
      <c r="AU147" s="290"/>
      <c r="AV147" s="290"/>
      <c r="AW147" s="290"/>
      <c r="AX147" s="290"/>
      <c r="AY147" s="290"/>
      <c r="AZ147" s="290"/>
      <c r="BA147" s="290"/>
      <c r="BB147" s="290"/>
      <c r="BC147" s="290"/>
      <c r="BU147" s="1452"/>
      <c r="BV147" s="1452"/>
      <c r="BW147" s="1460"/>
      <c r="BX147" s="1460"/>
      <c r="CA147" s="1460"/>
      <c r="CB147" s="1460"/>
      <c r="CC147" s="1460"/>
      <c r="CD147" s="1460"/>
      <c r="CE147" s="1460"/>
      <c r="CF147" s="1460"/>
      <c r="CG147" s="1460"/>
      <c r="CH147" s="1460"/>
      <c r="CI147" s="1460"/>
      <c r="CJ147" s="1460"/>
      <c r="CK147" s="1460"/>
      <c r="CL147" s="1460"/>
      <c r="CM147" s="1460"/>
      <c r="CN147" s="1460"/>
      <c r="CO147" s="1460"/>
      <c r="CP147" s="1460"/>
      <c r="CQ147" s="290"/>
      <c r="CR147" s="290"/>
      <c r="CS147" s="290"/>
      <c r="CT147" s="1457"/>
      <c r="CU147" s="1457"/>
      <c r="CV147" s="1457"/>
      <c r="CW147" s="1457"/>
      <c r="CX147" s="1457"/>
      <c r="CY147" s="1457"/>
      <c r="CZ147" s="1458"/>
      <c r="DA147" s="1454"/>
      <c r="DB147" s="1454"/>
      <c r="DC147" s="1454"/>
      <c r="DD147" s="1454"/>
      <c r="DE147" s="1454"/>
      <c r="DF147" s="1454"/>
      <c r="DG147" s="1454"/>
      <c r="DH147" s="1454"/>
      <c r="DI147" s="1454"/>
      <c r="DJ147" s="1454"/>
      <c r="DK147" s="1454"/>
      <c r="DL147" s="1454"/>
      <c r="DM147" s="1454"/>
      <c r="EA147" s="290"/>
      <c r="EB147" s="290"/>
      <c r="EC147" s="290"/>
      <c r="ED147" s="290"/>
      <c r="EE147" s="290"/>
      <c r="EF147" s="290"/>
      <c r="EG147" s="290"/>
      <c r="EH147" s="290"/>
      <c r="EI147" s="290"/>
      <c r="EJ147" s="290"/>
      <c r="EK147" s="290"/>
      <c r="EL147" s="290"/>
      <c r="EM147" s="290"/>
      <c r="EN147" s="290"/>
      <c r="EO147" s="290"/>
      <c r="EP147" s="290"/>
      <c r="EQ147" s="290"/>
      <c r="ER147" s="290"/>
      <c r="ES147" s="290"/>
    </row>
    <row r="148" spans="1:149" ht="14.1" customHeight="1" x14ac:dyDescent="0.2">
      <c r="A148" s="7883" t="s">
        <v>157</v>
      </c>
      <c r="B148" s="5128">
        <f>SUM(C148:D148)</f>
        <v>0</v>
      </c>
      <c r="C148" s="7977">
        <f>E148+G148+I148+K148+M148+O148+Q148+S148+U148+W148+Y148+AA148+AC148+AE148+AG148+AI148+AK148</f>
        <v>0</v>
      </c>
      <c r="D148" s="8052">
        <f>F148+H148+J148+L148+N148+P148+R148+T148+V148+X148+Z148+AB148+AD148+AF148+AH148+AJ148+AL148</f>
        <v>0</v>
      </c>
      <c r="E148" s="7252"/>
      <c r="F148" s="7237"/>
      <c r="G148" s="7252"/>
      <c r="H148" s="7237"/>
      <c r="I148" s="7252"/>
      <c r="J148" s="7237"/>
      <c r="K148" s="7252"/>
      <c r="L148" s="8055"/>
      <c r="M148" s="8055"/>
      <c r="N148" s="7270"/>
      <c r="O148" s="7252"/>
      <c r="P148" s="7237"/>
      <c r="Q148" s="7252"/>
      <c r="R148" s="7237"/>
      <c r="S148" s="7252"/>
      <c r="T148" s="7237"/>
      <c r="U148" s="7252"/>
      <c r="V148" s="7237"/>
      <c r="W148" s="7252"/>
      <c r="X148" s="7237"/>
      <c r="Y148" s="7252"/>
      <c r="Z148" s="7237"/>
      <c r="AA148" s="7252"/>
      <c r="AB148" s="7237"/>
      <c r="AC148" s="7252"/>
      <c r="AD148" s="7270"/>
      <c r="AE148" s="7252"/>
      <c r="AF148" s="7237"/>
      <c r="AG148" s="7252"/>
      <c r="AH148" s="7237"/>
      <c r="AI148" s="7252"/>
      <c r="AJ148" s="7237"/>
      <c r="AK148" s="7269"/>
      <c r="AL148" s="7270"/>
      <c r="AM148" s="8058"/>
      <c r="AN148" s="7252"/>
      <c r="AO148" s="7237"/>
      <c r="AP148" s="1193" t="str">
        <f>CT148</f>
        <v/>
      </c>
      <c r="AQ148" s="288"/>
      <c r="AR148" s="290"/>
      <c r="AS148" s="290"/>
      <c r="AT148" s="290"/>
      <c r="AU148" s="290"/>
      <c r="AV148" s="290"/>
      <c r="AW148" s="290"/>
      <c r="AX148" s="290"/>
      <c r="AY148" s="290"/>
      <c r="AZ148" s="290"/>
      <c r="BA148" s="290"/>
      <c r="BB148" s="290"/>
      <c r="BC148" s="290"/>
      <c r="BU148" s="1452"/>
      <c r="BV148" s="1452"/>
      <c r="BY148" s="290"/>
      <c r="BZ148" s="290"/>
      <c r="CA148" s="290"/>
      <c r="CB148" s="290"/>
      <c r="CC148" s="290"/>
      <c r="CD148" s="1460"/>
      <c r="CE148" s="1460"/>
      <c r="CF148" s="1460"/>
      <c r="CG148" s="1460"/>
      <c r="CH148" s="1460"/>
      <c r="CI148" s="1460"/>
      <c r="CJ148" s="1460"/>
      <c r="CK148" s="1460"/>
      <c r="CL148" s="1460"/>
      <c r="CM148" s="1460"/>
      <c r="CN148" s="1460"/>
      <c r="CO148" s="1460"/>
      <c r="CP148" s="1460"/>
      <c r="CQ148" s="290"/>
      <c r="CR148" s="290"/>
      <c r="CS148" s="290"/>
      <c r="CT148" s="1457" t="str">
        <f t="shared" ref="CT148:CT176" si="23">IF(CZ148=1,"* El número de Consultas Según tipo de atención NO DEBE ser diferente al Total. ","")</f>
        <v/>
      </c>
      <c r="CU148" s="1457"/>
      <c r="CV148" s="1457"/>
      <c r="CW148" s="1457"/>
      <c r="CX148" s="1457"/>
      <c r="CY148" s="1457"/>
      <c r="CZ148" s="1458">
        <f t="shared" ref="CZ148:CZ176" si="24">IF(B148&lt;&gt;SUM(AM148:AO148),1,0)</f>
        <v>0</v>
      </c>
      <c r="DA148" s="1454"/>
      <c r="DB148" s="1454"/>
      <c r="DC148" s="1454"/>
      <c r="DD148" s="1454"/>
      <c r="DE148" s="1454"/>
      <c r="DF148" s="1454"/>
      <c r="DG148" s="1454"/>
      <c r="DH148" s="1454"/>
      <c r="DI148" s="1454"/>
      <c r="DJ148" s="1454"/>
      <c r="DK148" s="1454"/>
      <c r="DL148" s="1454"/>
      <c r="DM148" s="1454"/>
      <c r="EA148" s="290"/>
      <c r="EB148" s="290"/>
      <c r="EC148" s="290"/>
      <c r="ED148" s="290"/>
      <c r="EE148" s="290"/>
      <c r="EF148" s="290"/>
      <c r="EG148" s="290"/>
      <c r="EH148" s="290"/>
      <c r="EI148" s="290"/>
      <c r="EJ148" s="290"/>
      <c r="EK148" s="290"/>
      <c r="EL148" s="290"/>
      <c r="EM148" s="290"/>
      <c r="EN148" s="290"/>
      <c r="EO148" s="290"/>
      <c r="EP148" s="290"/>
      <c r="EQ148" s="290"/>
      <c r="ER148" s="290"/>
      <c r="ES148" s="290"/>
    </row>
    <row r="149" spans="1:149" ht="14.1" customHeight="1" x14ac:dyDescent="0.2">
      <c r="A149" s="7884" t="s">
        <v>149</v>
      </c>
      <c r="B149" s="5128">
        <f t="shared" ref="B149:B182" si="25">SUM(C149:D149)</f>
        <v>0</v>
      </c>
      <c r="C149" s="7977">
        <f t="shared" ref="C149:C182" si="26">E149+G149+I149+K149+M149+O149+Q149+S149+U149+W149+Y149+AA149+AC149+AE149+AG149+AI149+AK149</f>
        <v>0</v>
      </c>
      <c r="D149" s="7977">
        <f t="shared" ref="D149:D182" si="27">F149+H149+J149+L149+N149+P149+R149+T149+V149+X149+Z149+AB149+AD149+AF149+AH149+AJ149+AL149</f>
        <v>0</v>
      </c>
      <c r="E149" s="3028"/>
      <c r="F149" s="4956"/>
      <c r="G149" s="3028"/>
      <c r="H149" s="4956"/>
      <c r="I149" s="3028"/>
      <c r="J149" s="4956"/>
      <c r="K149" s="3028"/>
      <c r="L149" s="8054"/>
      <c r="M149" s="8054"/>
      <c r="N149" s="7235"/>
      <c r="O149" s="3028"/>
      <c r="P149" s="4956"/>
      <c r="Q149" s="3028"/>
      <c r="R149" s="4956"/>
      <c r="S149" s="3028"/>
      <c r="T149" s="4956"/>
      <c r="U149" s="3028"/>
      <c r="V149" s="4956"/>
      <c r="W149" s="3028"/>
      <c r="X149" s="4956"/>
      <c r="Y149" s="3028"/>
      <c r="Z149" s="4956"/>
      <c r="AA149" s="3028"/>
      <c r="AB149" s="4956"/>
      <c r="AC149" s="3028"/>
      <c r="AD149" s="7235"/>
      <c r="AE149" s="3028"/>
      <c r="AF149" s="4956"/>
      <c r="AG149" s="3028"/>
      <c r="AH149" s="4956"/>
      <c r="AI149" s="3028"/>
      <c r="AJ149" s="4956"/>
      <c r="AK149" s="3136"/>
      <c r="AL149" s="7235"/>
      <c r="AM149" s="8059"/>
      <c r="AN149" s="3028"/>
      <c r="AO149" s="4956"/>
      <c r="AP149" s="1193" t="str">
        <f t="shared" ref="AP149:AP182" si="28">CT149</f>
        <v/>
      </c>
      <c r="AQ149" s="288"/>
      <c r="AR149" s="290"/>
      <c r="AS149" s="290"/>
      <c r="AT149" s="290"/>
      <c r="AU149" s="290"/>
      <c r="AV149" s="290"/>
      <c r="AW149" s="290"/>
      <c r="AX149" s="290"/>
      <c r="AY149" s="290"/>
      <c r="AZ149" s="290"/>
      <c r="BA149" s="290"/>
      <c r="BB149" s="290"/>
      <c r="BC149" s="290"/>
      <c r="BU149" s="1452"/>
      <c r="BV149" s="1452"/>
      <c r="BY149" s="290"/>
      <c r="BZ149" s="290"/>
      <c r="CA149" s="290"/>
      <c r="CB149" s="290"/>
      <c r="CC149" s="290"/>
      <c r="CD149" s="1460"/>
      <c r="CE149" s="1460"/>
      <c r="CF149" s="1460"/>
      <c r="CG149" s="1460"/>
      <c r="CH149" s="1460"/>
      <c r="CI149" s="1460"/>
      <c r="CJ149" s="1460"/>
      <c r="CK149" s="1460"/>
      <c r="CL149" s="1460"/>
      <c r="CM149" s="1460"/>
      <c r="CN149" s="1460"/>
      <c r="CO149" s="1460"/>
      <c r="CP149" s="1460"/>
      <c r="CQ149" s="290"/>
      <c r="CR149" s="290"/>
      <c r="CS149" s="290"/>
      <c r="CT149" s="1457" t="str">
        <f t="shared" si="23"/>
        <v/>
      </c>
      <c r="CU149" s="1457"/>
      <c r="CV149" s="1457"/>
      <c r="CW149" s="1457"/>
      <c r="CX149" s="1457"/>
      <c r="CY149" s="1457"/>
      <c r="CZ149" s="1458">
        <f t="shared" si="24"/>
        <v>0</v>
      </c>
      <c r="DA149" s="1454"/>
      <c r="DB149" s="1454"/>
      <c r="DC149" s="1454"/>
      <c r="DD149" s="1454"/>
      <c r="DE149" s="1454"/>
      <c r="DF149" s="1454"/>
      <c r="DG149" s="1454"/>
      <c r="DH149" s="1454"/>
      <c r="DI149" s="1454"/>
      <c r="DJ149" s="1454"/>
      <c r="DK149" s="1454"/>
      <c r="DL149" s="1454"/>
      <c r="DM149" s="1454"/>
      <c r="EA149" s="290"/>
      <c r="EB149" s="290"/>
      <c r="EC149" s="290"/>
      <c r="ED149" s="290"/>
      <c r="EE149" s="290"/>
      <c r="EF149" s="290"/>
      <c r="EG149" s="290"/>
      <c r="EH149" s="290"/>
      <c r="EI149" s="290"/>
      <c r="EJ149" s="290"/>
      <c r="EK149" s="290"/>
      <c r="EL149" s="290"/>
      <c r="EM149" s="290"/>
      <c r="EN149" s="290"/>
      <c r="EO149" s="290"/>
      <c r="EP149" s="290"/>
      <c r="EQ149" s="290"/>
      <c r="ER149" s="290"/>
      <c r="ES149" s="290"/>
    </row>
    <row r="150" spans="1:149" ht="14.1" customHeight="1" x14ac:dyDescent="0.2">
      <c r="A150" s="7770" t="s">
        <v>3538</v>
      </c>
      <c r="B150" s="5128">
        <f t="shared" si="25"/>
        <v>0</v>
      </c>
      <c r="C150" s="7977">
        <f t="shared" si="26"/>
        <v>0</v>
      </c>
      <c r="D150" s="7977">
        <f t="shared" si="27"/>
        <v>0</v>
      </c>
      <c r="E150" s="3028"/>
      <c r="F150" s="4956"/>
      <c r="G150" s="3028"/>
      <c r="H150" s="4956"/>
      <c r="I150" s="3028"/>
      <c r="J150" s="4956"/>
      <c r="K150" s="3028"/>
      <c r="L150" s="8054"/>
      <c r="M150" s="8054"/>
      <c r="N150" s="7235"/>
      <c r="O150" s="3028"/>
      <c r="P150" s="4956"/>
      <c r="Q150" s="3028"/>
      <c r="R150" s="4956"/>
      <c r="S150" s="3028"/>
      <c r="T150" s="4956"/>
      <c r="U150" s="3028"/>
      <c r="V150" s="4956"/>
      <c r="W150" s="3028"/>
      <c r="X150" s="4956"/>
      <c r="Y150" s="3028"/>
      <c r="Z150" s="4956"/>
      <c r="AA150" s="3028"/>
      <c r="AB150" s="4956"/>
      <c r="AC150" s="3028"/>
      <c r="AD150" s="7235"/>
      <c r="AE150" s="3028"/>
      <c r="AF150" s="4956"/>
      <c r="AG150" s="3028"/>
      <c r="AH150" s="4956"/>
      <c r="AI150" s="3028"/>
      <c r="AJ150" s="4956"/>
      <c r="AK150" s="3136"/>
      <c r="AL150" s="7235"/>
      <c r="AM150" s="8059"/>
      <c r="AN150" s="3028"/>
      <c r="AO150" s="4956"/>
      <c r="AP150" s="1193" t="str">
        <f t="shared" si="28"/>
        <v/>
      </c>
      <c r="AQ150" s="288"/>
      <c r="AR150" s="290"/>
      <c r="AS150" s="290"/>
      <c r="AT150" s="290"/>
      <c r="AU150" s="290"/>
      <c r="AV150" s="290"/>
      <c r="AW150" s="290"/>
      <c r="AX150" s="290"/>
      <c r="AY150" s="290"/>
      <c r="AZ150" s="290"/>
      <c r="BA150" s="290"/>
      <c r="BU150" s="1452"/>
      <c r="BV150" s="1452"/>
      <c r="BY150" s="290"/>
      <c r="BZ150" s="290"/>
      <c r="CA150" s="290"/>
      <c r="CB150" s="290"/>
      <c r="CC150" s="290"/>
      <c r="CD150" s="1460"/>
      <c r="CE150" s="1460"/>
      <c r="CF150" s="1460"/>
      <c r="CG150" s="1460"/>
      <c r="CH150" s="1460"/>
      <c r="CI150" s="1460"/>
      <c r="CJ150" s="1460"/>
      <c r="CK150" s="1460"/>
      <c r="CL150" s="1460"/>
      <c r="CM150" s="1460"/>
      <c r="CN150" s="1460"/>
      <c r="CO150" s="1460"/>
      <c r="CP150" s="1460"/>
      <c r="CQ150" s="290"/>
      <c r="CR150" s="290"/>
      <c r="CS150" s="290"/>
      <c r="CT150" s="1457" t="str">
        <f t="shared" si="23"/>
        <v/>
      </c>
      <c r="CU150" s="1457"/>
      <c r="CV150" s="1457"/>
      <c r="CW150" s="1457"/>
      <c r="CX150" s="1457"/>
      <c r="CY150" s="1457"/>
      <c r="CZ150" s="1458">
        <f t="shared" si="24"/>
        <v>0</v>
      </c>
      <c r="DA150" s="1454"/>
      <c r="DB150" s="1454"/>
      <c r="DC150" s="1454"/>
      <c r="DD150" s="1454"/>
      <c r="DE150" s="1454"/>
      <c r="DF150" s="1454"/>
      <c r="DG150" s="1454"/>
      <c r="DH150" s="1454"/>
      <c r="DI150" s="1454"/>
      <c r="DJ150" s="1454"/>
      <c r="DK150" s="1454"/>
      <c r="DL150" s="1454"/>
      <c r="DM150" s="1454"/>
      <c r="EA150" s="290"/>
      <c r="EB150" s="290"/>
      <c r="EC150" s="290"/>
      <c r="ED150" s="290"/>
      <c r="EE150" s="290"/>
      <c r="EF150" s="290"/>
      <c r="EG150" s="290"/>
      <c r="EH150" s="290"/>
      <c r="EI150" s="290"/>
      <c r="EJ150" s="290"/>
      <c r="EK150" s="290"/>
      <c r="EL150" s="290"/>
      <c r="EM150" s="290"/>
      <c r="EN150" s="290"/>
      <c r="EO150" s="290"/>
      <c r="EP150" s="290"/>
      <c r="EQ150" s="290"/>
      <c r="ER150" s="290"/>
      <c r="ES150" s="290"/>
    </row>
    <row r="151" spans="1:149" ht="14.1" customHeight="1" x14ac:dyDescent="0.2">
      <c r="A151" s="7770" t="s">
        <v>2813</v>
      </c>
      <c r="B151" s="5128">
        <f t="shared" si="25"/>
        <v>0</v>
      </c>
      <c r="C151" s="7977">
        <f t="shared" si="26"/>
        <v>0</v>
      </c>
      <c r="D151" s="7977">
        <f t="shared" si="27"/>
        <v>0</v>
      </c>
      <c r="E151" s="3028"/>
      <c r="F151" s="4956"/>
      <c r="G151" s="3028"/>
      <c r="H151" s="4956"/>
      <c r="I151" s="3028"/>
      <c r="J151" s="4956"/>
      <c r="K151" s="3028"/>
      <c r="L151" s="8054"/>
      <c r="M151" s="8054"/>
      <c r="N151" s="7235"/>
      <c r="O151" s="3028"/>
      <c r="P151" s="4956"/>
      <c r="Q151" s="3028"/>
      <c r="R151" s="4956"/>
      <c r="S151" s="3028"/>
      <c r="T151" s="4956"/>
      <c r="U151" s="3028"/>
      <c r="V151" s="4956"/>
      <c r="W151" s="3028"/>
      <c r="X151" s="4956"/>
      <c r="Y151" s="3028"/>
      <c r="Z151" s="4956"/>
      <c r="AA151" s="3028"/>
      <c r="AB151" s="4956"/>
      <c r="AC151" s="3028"/>
      <c r="AD151" s="7235"/>
      <c r="AE151" s="3028"/>
      <c r="AF151" s="4956"/>
      <c r="AG151" s="3028"/>
      <c r="AH151" s="4956"/>
      <c r="AI151" s="3028"/>
      <c r="AJ151" s="4956"/>
      <c r="AK151" s="3136"/>
      <c r="AL151" s="7235"/>
      <c r="AM151" s="8059"/>
      <c r="AN151" s="3028"/>
      <c r="AO151" s="4956"/>
      <c r="AP151" s="1193" t="str">
        <f t="shared" si="28"/>
        <v/>
      </c>
      <c r="AQ151" s="290"/>
      <c r="AR151" s="290"/>
      <c r="AS151" s="290"/>
      <c r="AT151" s="290"/>
      <c r="AU151" s="290"/>
      <c r="AV151" s="290"/>
      <c r="AW151" s="290"/>
      <c r="AX151" s="290"/>
      <c r="AY151" s="290"/>
      <c r="AZ151" s="290"/>
      <c r="BA151" s="290"/>
      <c r="BU151" s="1452"/>
      <c r="BV151" s="1452"/>
      <c r="BY151" s="290"/>
      <c r="BZ151" s="290"/>
      <c r="CA151" s="290"/>
      <c r="CB151" s="290"/>
      <c r="CC151" s="290"/>
      <c r="CD151" s="1460"/>
      <c r="CE151" s="1460"/>
      <c r="CF151" s="1460"/>
      <c r="CG151" s="1460"/>
      <c r="CH151" s="1460"/>
      <c r="CI151" s="1460"/>
      <c r="CJ151" s="1460"/>
      <c r="CK151" s="1460"/>
      <c r="CL151" s="1460"/>
      <c r="CM151" s="1460"/>
      <c r="CN151" s="1460"/>
      <c r="CO151" s="1460"/>
      <c r="CP151" s="1460"/>
      <c r="CQ151" s="290"/>
      <c r="CR151" s="290"/>
      <c r="CS151" s="290"/>
      <c r="CT151" s="1457" t="str">
        <f t="shared" si="23"/>
        <v/>
      </c>
      <c r="CU151" s="1457"/>
      <c r="CV151" s="1457"/>
      <c r="CW151" s="1457"/>
      <c r="CX151" s="1457"/>
      <c r="CY151" s="1457"/>
      <c r="CZ151" s="1458">
        <f t="shared" si="24"/>
        <v>0</v>
      </c>
      <c r="DA151" s="1454"/>
      <c r="DB151" s="1454"/>
      <c r="DC151" s="1454"/>
      <c r="DD151" s="1454"/>
      <c r="DE151" s="1454"/>
      <c r="DF151" s="1454"/>
      <c r="DG151" s="1454"/>
      <c r="DH151" s="1454"/>
      <c r="DI151" s="1454"/>
      <c r="DJ151" s="1454"/>
      <c r="DK151" s="1454"/>
      <c r="DL151" s="1454"/>
      <c r="DM151" s="1454"/>
      <c r="EA151" s="290"/>
      <c r="EB151" s="290"/>
      <c r="EC151" s="290"/>
      <c r="ED151" s="290"/>
      <c r="EE151" s="290"/>
      <c r="EF151" s="290"/>
      <c r="EG151" s="290"/>
      <c r="EH151" s="290"/>
      <c r="EI151" s="290"/>
      <c r="EJ151" s="290"/>
      <c r="EK151" s="290"/>
      <c r="EL151" s="290"/>
      <c r="EM151" s="290"/>
      <c r="EN151" s="290"/>
      <c r="EO151" s="290"/>
      <c r="EP151" s="290"/>
      <c r="EQ151" s="290"/>
      <c r="ER151" s="290"/>
      <c r="ES151" s="290"/>
    </row>
    <row r="152" spans="1:149" ht="14.1" customHeight="1" x14ac:dyDescent="0.2">
      <c r="A152" s="7770" t="s">
        <v>2814</v>
      </c>
      <c r="B152" s="5128">
        <f t="shared" si="25"/>
        <v>0</v>
      </c>
      <c r="C152" s="7977">
        <f t="shared" si="26"/>
        <v>0</v>
      </c>
      <c r="D152" s="7977">
        <f t="shared" si="27"/>
        <v>0</v>
      </c>
      <c r="E152" s="3028"/>
      <c r="F152" s="4956"/>
      <c r="G152" s="3028"/>
      <c r="H152" s="4956"/>
      <c r="I152" s="3028"/>
      <c r="J152" s="4956"/>
      <c r="K152" s="3028"/>
      <c r="L152" s="8054"/>
      <c r="M152" s="8054"/>
      <c r="N152" s="7235"/>
      <c r="O152" s="3028"/>
      <c r="P152" s="4956"/>
      <c r="Q152" s="3028"/>
      <c r="R152" s="4956"/>
      <c r="S152" s="3028"/>
      <c r="T152" s="4956"/>
      <c r="U152" s="3028"/>
      <c r="V152" s="4956"/>
      <c r="W152" s="3028"/>
      <c r="X152" s="4956"/>
      <c r="Y152" s="3028"/>
      <c r="Z152" s="4956"/>
      <c r="AA152" s="3028"/>
      <c r="AB152" s="4956"/>
      <c r="AC152" s="3028"/>
      <c r="AD152" s="7235"/>
      <c r="AE152" s="3028"/>
      <c r="AF152" s="4956"/>
      <c r="AG152" s="3028"/>
      <c r="AH152" s="4956"/>
      <c r="AI152" s="3028"/>
      <c r="AJ152" s="4956"/>
      <c r="AK152" s="3136"/>
      <c r="AL152" s="7235"/>
      <c r="AM152" s="8059"/>
      <c r="AN152" s="3028"/>
      <c r="AO152" s="4956"/>
      <c r="AP152" s="1193" t="str">
        <f t="shared" si="28"/>
        <v/>
      </c>
      <c r="AQ152" s="1456"/>
      <c r="AR152" s="1456"/>
      <c r="AS152" s="1456"/>
      <c r="AT152" s="1456"/>
      <c r="AU152" s="1456"/>
      <c r="AV152" s="1456"/>
      <c r="AW152" s="1456"/>
      <c r="AX152" s="1456"/>
      <c r="AY152" s="1456"/>
      <c r="AZ152" s="1456"/>
      <c r="BA152" s="290"/>
      <c r="BU152" s="1452"/>
      <c r="BV152" s="1452"/>
      <c r="BY152" s="290"/>
      <c r="BZ152" s="290"/>
      <c r="CA152" s="290"/>
      <c r="CB152" s="290"/>
      <c r="CC152" s="290"/>
      <c r="CD152" s="1460"/>
      <c r="CE152" s="1460"/>
      <c r="CF152" s="1460"/>
      <c r="CG152" s="1460"/>
      <c r="CH152" s="1460"/>
      <c r="CI152" s="1460"/>
      <c r="CJ152" s="1460"/>
      <c r="CK152" s="1460"/>
      <c r="CL152" s="1460"/>
      <c r="CM152" s="1460"/>
      <c r="CN152" s="1460"/>
      <c r="CO152" s="1460"/>
      <c r="CP152" s="1460"/>
      <c r="CQ152" s="290"/>
      <c r="CR152" s="290"/>
      <c r="CS152" s="290"/>
      <c r="CT152" s="1457" t="str">
        <f t="shared" si="23"/>
        <v/>
      </c>
      <c r="CU152" s="1457"/>
      <c r="CV152" s="1457"/>
      <c r="CW152" s="1457"/>
      <c r="CX152" s="1457"/>
      <c r="CY152" s="1457"/>
      <c r="CZ152" s="1458">
        <f t="shared" si="24"/>
        <v>0</v>
      </c>
      <c r="DA152" s="1454"/>
      <c r="DB152" s="1454"/>
      <c r="DC152" s="1454"/>
      <c r="DD152" s="1454"/>
      <c r="DE152" s="1454"/>
      <c r="DF152" s="1454"/>
      <c r="DG152" s="1454"/>
      <c r="DH152" s="1454"/>
      <c r="DI152" s="1454"/>
      <c r="DJ152" s="1454"/>
      <c r="DK152" s="1454"/>
      <c r="DL152" s="1454"/>
      <c r="DM152" s="1454"/>
      <c r="EA152" s="290"/>
      <c r="EB152" s="290"/>
      <c r="EC152" s="290"/>
      <c r="ED152" s="290"/>
      <c r="EE152" s="290"/>
      <c r="EF152" s="290"/>
      <c r="EG152" s="290"/>
      <c r="EH152" s="290"/>
      <c r="EI152" s="290"/>
      <c r="EJ152" s="290"/>
      <c r="EK152" s="290"/>
      <c r="EL152" s="290"/>
      <c r="EM152" s="290"/>
      <c r="EN152" s="290"/>
      <c r="EO152" s="290"/>
      <c r="EP152" s="290"/>
      <c r="EQ152" s="290"/>
      <c r="ER152" s="290"/>
      <c r="ES152" s="290"/>
    </row>
    <row r="153" spans="1:149" ht="14.1" customHeight="1" x14ac:dyDescent="0.2">
      <c r="A153" s="7770" t="s">
        <v>317</v>
      </c>
      <c r="B153" s="5128">
        <f t="shared" si="25"/>
        <v>0</v>
      </c>
      <c r="C153" s="7977">
        <f t="shared" si="26"/>
        <v>0</v>
      </c>
      <c r="D153" s="7977">
        <f t="shared" si="27"/>
        <v>0</v>
      </c>
      <c r="E153" s="3028"/>
      <c r="F153" s="4956"/>
      <c r="G153" s="3028"/>
      <c r="H153" s="4956"/>
      <c r="I153" s="3028"/>
      <c r="J153" s="4956"/>
      <c r="K153" s="3028"/>
      <c r="L153" s="8054"/>
      <c r="M153" s="8054"/>
      <c r="N153" s="7235"/>
      <c r="O153" s="3028"/>
      <c r="P153" s="4956"/>
      <c r="Q153" s="3028"/>
      <c r="R153" s="4956"/>
      <c r="S153" s="3028"/>
      <c r="T153" s="4956"/>
      <c r="U153" s="3028"/>
      <c r="V153" s="4956"/>
      <c r="W153" s="3028"/>
      <c r="X153" s="4956"/>
      <c r="Y153" s="3028"/>
      <c r="Z153" s="4956"/>
      <c r="AA153" s="3028"/>
      <c r="AB153" s="4956"/>
      <c r="AC153" s="3028"/>
      <c r="AD153" s="7235"/>
      <c r="AE153" s="3028"/>
      <c r="AF153" s="4956"/>
      <c r="AG153" s="3028"/>
      <c r="AH153" s="4956"/>
      <c r="AI153" s="3028"/>
      <c r="AJ153" s="4956"/>
      <c r="AK153" s="3136"/>
      <c r="AL153" s="7235"/>
      <c r="AM153" s="8059"/>
      <c r="AN153" s="3028"/>
      <c r="AO153" s="4956"/>
      <c r="AP153" s="1193" t="str">
        <f t="shared" si="28"/>
        <v/>
      </c>
      <c r="AQ153" s="1456"/>
      <c r="AR153" s="1456"/>
      <c r="AS153" s="1456"/>
      <c r="AT153" s="1456"/>
      <c r="AU153" s="1456"/>
      <c r="AV153" s="1456"/>
      <c r="AW153" s="1456"/>
      <c r="AX153" s="1456"/>
      <c r="AY153" s="1456"/>
      <c r="AZ153" s="1456"/>
      <c r="BA153" s="290"/>
      <c r="BU153" s="1452"/>
      <c r="BV153" s="1452"/>
      <c r="BY153" s="290"/>
      <c r="BZ153" s="290"/>
      <c r="CA153" s="290"/>
      <c r="CB153" s="290"/>
      <c r="CC153" s="290"/>
      <c r="CD153" s="1460"/>
      <c r="CE153" s="1460"/>
      <c r="CF153" s="1460"/>
      <c r="CG153" s="1460"/>
      <c r="CH153" s="1460"/>
      <c r="CI153" s="1460"/>
      <c r="CJ153" s="1460"/>
      <c r="CK153" s="1460"/>
      <c r="CL153" s="1460"/>
      <c r="CM153" s="1460"/>
      <c r="CN153" s="1460"/>
      <c r="CO153" s="1460"/>
      <c r="CP153" s="1460"/>
      <c r="CQ153" s="290"/>
      <c r="CR153" s="290"/>
      <c r="CS153" s="290"/>
      <c r="CT153" s="1457" t="str">
        <f t="shared" si="23"/>
        <v/>
      </c>
      <c r="CU153" s="1457"/>
      <c r="CV153" s="1457"/>
      <c r="CW153" s="1457"/>
      <c r="CX153" s="1457"/>
      <c r="CY153" s="1457"/>
      <c r="CZ153" s="1458">
        <f t="shared" si="24"/>
        <v>0</v>
      </c>
      <c r="DA153" s="1454"/>
      <c r="DB153" s="1454"/>
      <c r="DC153" s="1454"/>
      <c r="DD153" s="1454"/>
      <c r="DE153" s="1454"/>
      <c r="DF153" s="1454"/>
      <c r="DG153" s="1454"/>
      <c r="DH153" s="1454"/>
      <c r="DI153" s="1454"/>
      <c r="DJ153" s="1454"/>
      <c r="DK153" s="1454"/>
      <c r="DL153" s="1454"/>
      <c r="DM153" s="1454"/>
      <c r="EA153" s="290"/>
      <c r="EB153" s="290"/>
      <c r="EC153" s="290"/>
      <c r="ED153" s="290"/>
      <c r="EE153" s="290"/>
      <c r="EF153" s="290"/>
      <c r="EG153" s="290"/>
      <c r="EH153" s="290"/>
      <c r="EI153" s="290"/>
      <c r="EJ153" s="290"/>
      <c r="EK153" s="290"/>
      <c r="EL153" s="290"/>
      <c r="EM153" s="290"/>
      <c r="EN153" s="290"/>
      <c r="EO153" s="290"/>
      <c r="EP153" s="290"/>
      <c r="EQ153" s="290"/>
      <c r="ER153" s="290"/>
      <c r="ES153" s="290"/>
    </row>
    <row r="154" spans="1:149" ht="14.1" customHeight="1" x14ac:dyDescent="0.2">
      <c r="A154" s="7770" t="s">
        <v>318</v>
      </c>
      <c r="B154" s="5128">
        <f t="shared" si="25"/>
        <v>0</v>
      </c>
      <c r="C154" s="7977">
        <f t="shared" si="26"/>
        <v>0</v>
      </c>
      <c r="D154" s="7977">
        <f t="shared" si="27"/>
        <v>0</v>
      </c>
      <c r="E154" s="3028"/>
      <c r="F154" s="4956"/>
      <c r="G154" s="3028"/>
      <c r="H154" s="4956"/>
      <c r="I154" s="3028"/>
      <c r="J154" s="4956"/>
      <c r="K154" s="3028"/>
      <c r="L154" s="8054"/>
      <c r="M154" s="8054"/>
      <c r="N154" s="7235"/>
      <c r="O154" s="3028"/>
      <c r="P154" s="4956"/>
      <c r="Q154" s="3028"/>
      <c r="R154" s="4956"/>
      <c r="S154" s="3028"/>
      <c r="T154" s="4956"/>
      <c r="U154" s="3028"/>
      <c r="V154" s="4956"/>
      <c r="W154" s="3028"/>
      <c r="X154" s="4956"/>
      <c r="Y154" s="3028"/>
      <c r="Z154" s="4956"/>
      <c r="AA154" s="3028"/>
      <c r="AB154" s="4956"/>
      <c r="AC154" s="3028"/>
      <c r="AD154" s="7235"/>
      <c r="AE154" s="3028"/>
      <c r="AF154" s="4956"/>
      <c r="AG154" s="3028"/>
      <c r="AH154" s="4956"/>
      <c r="AI154" s="3028"/>
      <c r="AJ154" s="4956"/>
      <c r="AK154" s="3136"/>
      <c r="AL154" s="7235"/>
      <c r="AM154" s="8059"/>
      <c r="AN154" s="3028"/>
      <c r="AO154" s="4956"/>
      <c r="AP154" s="1193" t="str">
        <f t="shared" si="28"/>
        <v/>
      </c>
      <c r="AQ154" s="1456"/>
      <c r="AR154" s="1456"/>
      <c r="AS154" s="1456"/>
      <c r="AT154" s="1456"/>
      <c r="AU154" s="1456"/>
      <c r="AV154" s="1456"/>
      <c r="AW154" s="1456"/>
      <c r="AX154" s="1456"/>
      <c r="AY154" s="1456"/>
      <c r="AZ154" s="1456"/>
      <c r="BA154" s="290"/>
      <c r="BU154" s="1452"/>
      <c r="BV154" s="1452"/>
      <c r="BY154" s="290"/>
      <c r="BZ154" s="290"/>
      <c r="CA154" s="290"/>
      <c r="CB154" s="290"/>
      <c r="CC154" s="290"/>
      <c r="CD154" s="1460"/>
      <c r="CE154" s="1460"/>
      <c r="CF154" s="1460"/>
      <c r="CG154" s="1460"/>
      <c r="CH154" s="1460"/>
      <c r="CI154" s="1460"/>
      <c r="CJ154" s="1460"/>
      <c r="CK154" s="1460"/>
      <c r="CL154" s="1460"/>
      <c r="CM154" s="1460"/>
      <c r="CN154" s="1460"/>
      <c r="CO154" s="1460"/>
      <c r="CP154" s="1460"/>
      <c r="CQ154" s="290"/>
      <c r="CR154" s="290"/>
      <c r="CS154" s="290"/>
      <c r="CT154" s="1457" t="str">
        <f t="shared" si="23"/>
        <v/>
      </c>
      <c r="CU154" s="1457"/>
      <c r="CV154" s="1457"/>
      <c r="CW154" s="1457"/>
      <c r="CX154" s="1457"/>
      <c r="CY154" s="1457"/>
      <c r="CZ154" s="1458">
        <f t="shared" si="24"/>
        <v>0</v>
      </c>
      <c r="DA154" s="1454"/>
      <c r="DB154" s="1454"/>
      <c r="DC154" s="1454"/>
      <c r="DD154" s="1454"/>
      <c r="DE154" s="1454"/>
      <c r="DF154" s="1454"/>
      <c r="DG154" s="1454"/>
      <c r="DH154" s="1454"/>
      <c r="DI154" s="1454"/>
      <c r="DJ154" s="1454"/>
      <c r="DK154" s="1454"/>
      <c r="DL154" s="1454"/>
      <c r="DM154" s="1454"/>
      <c r="EA154" s="290"/>
      <c r="EB154" s="290"/>
      <c r="EC154" s="290"/>
      <c r="ED154" s="290"/>
      <c r="EE154" s="290"/>
      <c r="EF154" s="290"/>
      <c r="EG154" s="290"/>
      <c r="EH154" s="290"/>
      <c r="EI154" s="290"/>
      <c r="EJ154" s="290"/>
      <c r="EK154" s="290"/>
      <c r="EL154" s="290"/>
      <c r="EM154" s="290"/>
      <c r="EN154" s="290"/>
      <c r="EO154" s="290"/>
      <c r="EP154" s="290"/>
      <c r="EQ154" s="290"/>
      <c r="ER154" s="290"/>
      <c r="ES154" s="290"/>
    </row>
    <row r="155" spans="1:149" ht="14.1" customHeight="1" x14ac:dyDescent="0.2">
      <c r="A155" s="7770" t="s">
        <v>2817</v>
      </c>
      <c r="B155" s="5128">
        <f t="shared" si="25"/>
        <v>0</v>
      </c>
      <c r="C155" s="7977">
        <f t="shared" si="26"/>
        <v>0</v>
      </c>
      <c r="D155" s="7977">
        <f t="shared" si="27"/>
        <v>0</v>
      </c>
      <c r="E155" s="3028"/>
      <c r="F155" s="4956"/>
      <c r="G155" s="3028"/>
      <c r="H155" s="4956"/>
      <c r="I155" s="3028"/>
      <c r="J155" s="4956"/>
      <c r="K155" s="3028"/>
      <c r="L155" s="8054"/>
      <c r="M155" s="8054"/>
      <c r="N155" s="7235"/>
      <c r="O155" s="3028"/>
      <c r="P155" s="4956"/>
      <c r="Q155" s="3028"/>
      <c r="R155" s="4956"/>
      <c r="S155" s="3028"/>
      <c r="T155" s="4956"/>
      <c r="U155" s="3028"/>
      <c r="V155" s="4956"/>
      <c r="W155" s="3028"/>
      <c r="X155" s="4956"/>
      <c r="Y155" s="3028"/>
      <c r="Z155" s="4956"/>
      <c r="AA155" s="3028"/>
      <c r="AB155" s="4956"/>
      <c r="AC155" s="3028"/>
      <c r="AD155" s="7235"/>
      <c r="AE155" s="3028"/>
      <c r="AF155" s="4956"/>
      <c r="AG155" s="3028"/>
      <c r="AH155" s="4956"/>
      <c r="AI155" s="3028"/>
      <c r="AJ155" s="4956"/>
      <c r="AK155" s="3136"/>
      <c r="AL155" s="7235"/>
      <c r="AM155" s="8059"/>
      <c r="AN155" s="3028"/>
      <c r="AO155" s="4956"/>
      <c r="AP155" s="1193" t="str">
        <f t="shared" si="28"/>
        <v/>
      </c>
      <c r="AQ155" s="1456"/>
      <c r="AR155" s="1456"/>
      <c r="AS155" s="1456"/>
      <c r="AT155" s="1456"/>
      <c r="AU155" s="1456"/>
      <c r="AV155" s="1456"/>
      <c r="AW155" s="1456"/>
      <c r="AX155" s="1456"/>
      <c r="AY155" s="1456"/>
      <c r="AZ155" s="1456"/>
      <c r="BA155" s="290"/>
      <c r="BU155" s="1452"/>
      <c r="BV155" s="1452"/>
      <c r="BY155" s="290"/>
      <c r="BZ155" s="290"/>
      <c r="CA155" s="290"/>
      <c r="CB155" s="290"/>
      <c r="CC155" s="290"/>
      <c r="CD155" s="1460"/>
      <c r="CE155" s="1460"/>
      <c r="CF155" s="1460"/>
      <c r="CG155" s="1460"/>
      <c r="CH155" s="1460"/>
      <c r="CI155" s="1460"/>
      <c r="CJ155" s="1460"/>
      <c r="CK155" s="1460"/>
      <c r="CL155" s="1460"/>
      <c r="CM155" s="1460"/>
      <c r="CN155" s="1460"/>
      <c r="CO155" s="1460"/>
      <c r="CP155" s="1460"/>
      <c r="CQ155" s="290"/>
      <c r="CR155" s="290"/>
      <c r="CS155" s="290"/>
      <c r="CT155" s="1457" t="str">
        <f t="shared" si="23"/>
        <v/>
      </c>
      <c r="CU155" s="1457"/>
      <c r="CV155" s="1457"/>
      <c r="CW155" s="1457"/>
      <c r="CX155" s="1457"/>
      <c r="CY155" s="1457"/>
      <c r="CZ155" s="1458">
        <f t="shared" si="24"/>
        <v>0</v>
      </c>
      <c r="DA155" s="1454"/>
      <c r="DB155" s="1454"/>
      <c r="DC155" s="1454"/>
      <c r="DD155" s="1454"/>
      <c r="DE155" s="1454"/>
      <c r="DF155" s="1454"/>
      <c r="DG155" s="1454"/>
      <c r="DH155" s="1454"/>
      <c r="DI155" s="1454"/>
      <c r="DJ155" s="1454"/>
      <c r="DK155" s="1454"/>
      <c r="DL155" s="1454"/>
      <c r="DM155" s="1454"/>
      <c r="EA155" s="290"/>
      <c r="EB155" s="290"/>
      <c r="EC155" s="290"/>
      <c r="ED155" s="290"/>
      <c r="EE155" s="290"/>
      <c r="EF155" s="290"/>
      <c r="EG155" s="290"/>
      <c r="EH155" s="290"/>
      <c r="EI155" s="290"/>
      <c r="EJ155" s="290"/>
      <c r="EK155" s="290"/>
      <c r="EL155" s="290"/>
      <c r="EM155" s="290"/>
      <c r="EN155" s="290"/>
      <c r="EO155" s="290"/>
      <c r="EP155" s="290"/>
      <c r="EQ155" s="290"/>
      <c r="ER155" s="290"/>
      <c r="ES155" s="290"/>
    </row>
    <row r="156" spans="1:149" ht="14.1" customHeight="1" x14ac:dyDescent="0.2">
      <c r="A156" s="7770" t="s">
        <v>2834</v>
      </c>
      <c r="B156" s="5128">
        <f t="shared" si="25"/>
        <v>0</v>
      </c>
      <c r="C156" s="7977">
        <f t="shared" si="26"/>
        <v>0</v>
      </c>
      <c r="D156" s="7977">
        <f t="shared" si="27"/>
        <v>0</v>
      </c>
      <c r="E156" s="3028"/>
      <c r="F156" s="4956"/>
      <c r="G156" s="3028"/>
      <c r="H156" s="4956"/>
      <c r="I156" s="3028"/>
      <c r="J156" s="4956"/>
      <c r="K156" s="3028"/>
      <c r="L156" s="8054"/>
      <c r="M156" s="8054"/>
      <c r="N156" s="7235"/>
      <c r="O156" s="3028"/>
      <c r="P156" s="4956"/>
      <c r="Q156" s="3028"/>
      <c r="R156" s="4956"/>
      <c r="S156" s="3028"/>
      <c r="T156" s="4956"/>
      <c r="U156" s="3028"/>
      <c r="V156" s="4956"/>
      <c r="W156" s="3028"/>
      <c r="X156" s="4956"/>
      <c r="Y156" s="3028"/>
      <c r="Z156" s="4956"/>
      <c r="AA156" s="3028"/>
      <c r="AB156" s="4956"/>
      <c r="AC156" s="3028"/>
      <c r="AD156" s="7235"/>
      <c r="AE156" s="3028"/>
      <c r="AF156" s="4956"/>
      <c r="AG156" s="3028"/>
      <c r="AH156" s="4956"/>
      <c r="AI156" s="3028"/>
      <c r="AJ156" s="4956"/>
      <c r="AK156" s="3136"/>
      <c r="AL156" s="7235"/>
      <c r="AM156" s="8059"/>
      <c r="AN156" s="3028"/>
      <c r="AO156" s="4956"/>
      <c r="AP156" s="1193" t="str">
        <f t="shared" si="28"/>
        <v/>
      </c>
      <c r="AQ156" s="1456"/>
      <c r="AR156" s="1456"/>
      <c r="AS156" s="1456"/>
      <c r="AT156" s="1456"/>
      <c r="AU156" s="1456"/>
      <c r="AV156" s="1456"/>
      <c r="AW156" s="1456"/>
      <c r="AX156" s="1456"/>
      <c r="AY156" s="1456"/>
      <c r="AZ156" s="1456"/>
      <c r="BA156" s="290"/>
      <c r="BU156" s="1452"/>
      <c r="BV156" s="1452"/>
      <c r="BY156" s="290"/>
      <c r="BZ156" s="290"/>
      <c r="CA156" s="290"/>
      <c r="CB156" s="290"/>
      <c r="CC156" s="290"/>
      <c r="CD156" s="1460"/>
      <c r="CE156" s="1460"/>
      <c r="CF156" s="1460"/>
      <c r="CG156" s="1460"/>
      <c r="CH156" s="1460"/>
      <c r="CI156" s="1460"/>
      <c r="CJ156" s="1460"/>
      <c r="CK156" s="1460"/>
      <c r="CL156" s="1460"/>
      <c r="CM156" s="1460"/>
      <c r="CN156" s="1460"/>
      <c r="CO156" s="1460"/>
      <c r="CP156" s="1460"/>
      <c r="CQ156" s="290"/>
      <c r="CR156" s="290"/>
      <c r="CS156" s="290"/>
      <c r="CT156" s="1457" t="str">
        <f t="shared" si="23"/>
        <v/>
      </c>
      <c r="CU156" s="1457"/>
      <c r="CV156" s="1457"/>
      <c r="CW156" s="1457"/>
      <c r="CX156" s="1457"/>
      <c r="CY156" s="1457"/>
      <c r="CZ156" s="1458">
        <f t="shared" si="24"/>
        <v>0</v>
      </c>
      <c r="DA156" s="1454"/>
      <c r="DB156" s="1454"/>
      <c r="DC156" s="1454"/>
      <c r="DD156" s="1454"/>
      <c r="DE156" s="1454"/>
      <c r="DF156" s="1454"/>
      <c r="DG156" s="1454"/>
      <c r="DH156" s="1454"/>
      <c r="DI156" s="1454"/>
      <c r="DJ156" s="1454"/>
      <c r="DK156" s="1454"/>
      <c r="DL156" s="1454"/>
      <c r="DM156" s="1454"/>
      <c r="EA156" s="290"/>
      <c r="EB156" s="290"/>
      <c r="EC156" s="290"/>
      <c r="ED156" s="290"/>
      <c r="EE156" s="290"/>
      <c r="EF156" s="290"/>
      <c r="EG156" s="290"/>
      <c r="EH156" s="290"/>
      <c r="EI156" s="290"/>
      <c r="EJ156" s="290"/>
      <c r="EK156" s="290"/>
      <c r="EL156" s="290"/>
      <c r="EM156" s="290"/>
      <c r="EN156" s="290"/>
      <c r="EO156" s="290"/>
      <c r="EP156" s="290"/>
      <c r="EQ156" s="290"/>
      <c r="ER156" s="290"/>
      <c r="ES156" s="290"/>
    </row>
    <row r="157" spans="1:149" ht="14.1" customHeight="1" x14ac:dyDescent="0.2">
      <c r="A157" s="7770" t="s">
        <v>3540</v>
      </c>
      <c r="B157" s="5128">
        <f t="shared" si="25"/>
        <v>0</v>
      </c>
      <c r="C157" s="7977">
        <f t="shared" si="26"/>
        <v>0</v>
      </c>
      <c r="D157" s="7977">
        <f t="shared" si="27"/>
        <v>0</v>
      </c>
      <c r="E157" s="3028"/>
      <c r="F157" s="4956"/>
      <c r="G157" s="3028"/>
      <c r="H157" s="4956"/>
      <c r="I157" s="3028"/>
      <c r="J157" s="4956"/>
      <c r="K157" s="3028"/>
      <c r="L157" s="8054"/>
      <c r="M157" s="8054"/>
      <c r="N157" s="7235"/>
      <c r="O157" s="3028"/>
      <c r="P157" s="4956"/>
      <c r="Q157" s="3028"/>
      <c r="R157" s="4956"/>
      <c r="S157" s="3028"/>
      <c r="T157" s="4956"/>
      <c r="U157" s="3028"/>
      <c r="V157" s="4956"/>
      <c r="W157" s="3028"/>
      <c r="X157" s="4956"/>
      <c r="Y157" s="3028"/>
      <c r="Z157" s="4956"/>
      <c r="AA157" s="3028"/>
      <c r="AB157" s="4956"/>
      <c r="AC157" s="3028"/>
      <c r="AD157" s="7235"/>
      <c r="AE157" s="3028"/>
      <c r="AF157" s="4956"/>
      <c r="AG157" s="3028"/>
      <c r="AH157" s="4956"/>
      <c r="AI157" s="3028"/>
      <c r="AJ157" s="4956"/>
      <c r="AK157" s="3136"/>
      <c r="AL157" s="7235"/>
      <c r="AM157" s="8059"/>
      <c r="AN157" s="3028"/>
      <c r="AO157" s="4956"/>
      <c r="AP157" s="1193" t="str">
        <f t="shared" si="28"/>
        <v/>
      </c>
      <c r="AQ157" s="290"/>
      <c r="AR157" s="290"/>
      <c r="AS157" s="290"/>
      <c r="AT157" s="290"/>
      <c r="AU157" s="290"/>
      <c r="AV157" s="290"/>
      <c r="AW157" s="290"/>
      <c r="AX157" s="290"/>
      <c r="AY157" s="290"/>
      <c r="AZ157" s="290"/>
      <c r="BA157" s="290"/>
      <c r="BU157" s="1452"/>
      <c r="BV157" s="1452"/>
      <c r="BY157" s="290"/>
      <c r="BZ157" s="290"/>
      <c r="CA157" s="290"/>
      <c r="CB157" s="290"/>
      <c r="CC157" s="290"/>
      <c r="CD157" s="1460"/>
      <c r="CE157" s="1460"/>
      <c r="CF157" s="1460"/>
      <c r="CG157" s="1460"/>
      <c r="CH157" s="1460"/>
      <c r="CI157" s="1460"/>
      <c r="CJ157" s="1460"/>
      <c r="CK157" s="1460"/>
      <c r="CL157" s="1460"/>
      <c r="CM157" s="1460"/>
      <c r="CN157" s="1460"/>
      <c r="CO157" s="1460"/>
      <c r="CP157" s="1460"/>
      <c r="CQ157" s="290"/>
      <c r="CR157" s="290"/>
      <c r="CS157" s="290"/>
      <c r="CT157" s="1457" t="str">
        <f t="shared" si="23"/>
        <v/>
      </c>
      <c r="CU157" s="1457"/>
      <c r="CV157" s="1457"/>
      <c r="CW157" s="1457"/>
      <c r="CX157" s="1457"/>
      <c r="CY157" s="1457"/>
      <c r="CZ157" s="1458">
        <f t="shared" si="24"/>
        <v>0</v>
      </c>
      <c r="DA157" s="1454"/>
      <c r="DB157" s="1454"/>
      <c r="DC157" s="1454"/>
      <c r="DD157" s="1454"/>
      <c r="DE157" s="1454"/>
      <c r="DF157" s="1454"/>
      <c r="DG157" s="1454"/>
      <c r="DH157" s="1454"/>
      <c r="DI157" s="1454"/>
      <c r="DJ157" s="1454"/>
      <c r="DK157" s="1454"/>
      <c r="DL157" s="1454"/>
      <c r="DM157" s="1454"/>
      <c r="EA157" s="290"/>
      <c r="EB157" s="290"/>
      <c r="EC157" s="290"/>
      <c r="ED157" s="290"/>
      <c r="EE157" s="290"/>
      <c r="EF157" s="290"/>
      <c r="EG157" s="290"/>
      <c r="EH157" s="290"/>
      <c r="EI157" s="290"/>
      <c r="EJ157" s="290"/>
      <c r="EK157" s="290"/>
      <c r="EL157" s="290"/>
      <c r="EM157" s="290"/>
      <c r="EN157" s="290"/>
      <c r="EO157" s="290"/>
      <c r="EP157" s="290"/>
      <c r="EQ157" s="290"/>
      <c r="ER157" s="290"/>
      <c r="ES157" s="290"/>
    </row>
    <row r="158" spans="1:149" ht="14.1" customHeight="1" x14ac:dyDescent="0.2">
      <c r="A158" s="7770" t="s">
        <v>312</v>
      </c>
      <c r="B158" s="5128">
        <f t="shared" si="25"/>
        <v>0</v>
      </c>
      <c r="C158" s="7977">
        <f t="shared" si="26"/>
        <v>0</v>
      </c>
      <c r="D158" s="7977">
        <f t="shared" si="27"/>
        <v>0</v>
      </c>
      <c r="E158" s="3028"/>
      <c r="F158" s="4956"/>
      <c r="G158" s="3028"/>
      <c r="H158" s="4956"/>
      <c r="I158" s="3028"/>
      <c r="J158" s="4956"/>
      <c r="K158" s="3028"/>
      <c r="L158" s="8054"/>
      <c r="M158" s="8054"/>
      <c r="N158" s="7235"/>
      <c r="O158" s="3028"/>
      <c r="P158" s="4956"/>
      <c r="Q158" s="3028"/>
      <c r="R158" s="4956"/>
      <c r="S158" s="3028"/>
      <c r="T158" s="4956"/>
      <c r="U158" s="3028"/>
      <c r="V158" s="4956"/>
      <c r="W158" s="3028"/>
      <c r="X158" s="4956"/>
      <c r="Y158" s="3028"/>
      <c r="Z158" s="4956"/>
      <c r="AA158" s="3028"/>
      <c r="AB158" s="4956"/>
      <c r="AC158" s="3028"/>
      <c r="AD158" s="7235"/>
      <c r="AE158" s="3028"/>
      <c r="AF158" s="4956"/>
      <c r="AG158" s="3028"/>
      <c r="AH158" s="4956"/>
      <c r="AI158" s="3028"/>
      <c r="AJ158" s="4956"/>
      <c r="AK158" s="3136"/>
      <c r="AL158" s="7235"/>
      <c r="AM158" s="8059"/>
      <c r="AN158" s="3028"/>
      <c r="AO158" s="4956"/>
      <c r="AP158" s="1193" t="str">
        <f t="shared" si="28"/>
        <v/>
      </c>
      <c r="AQ158" s="290"/>
      <c r="AR158" s="290"/>
      <c r="AS158" s="290"/>
      <c r="AT158" s="290"/>
      <c r="AU158" s="290"/>
      <c r="AV158" s="290"/>
      <c r="AW158" s="290"/>
      <c r="AX158" s="290"/>
      <c r="AY158" s="290"/>
      <c r="AZ158" s="290"/>
      <c r="BA158" s="290"/>
      <c r="BU158" s="1452"/>
      <c r="BV158" s="1452"/>
      <c r="BY158" s="290"/>
      <c r="BZ158" s="290"/>
      <c r="CA158" s="290"/>
      <c r="CB158" s="290"/>
      <c r="CC158" s="290"/>
      <c r="CD158" s="1460"/>
      <c r="CE158" s="1460"/>
      <c r="CF158" s="1460"/>
      <c r="CG158" s="1460"/>
      <c r="CH158" s="1460"/>
      <c r="CI158" s="1460"/>
      <c r="CJ158" s="1460"/>
      <c r="CK158" s="1460"/>
      <c r="CL158" s="1460"/>
      <c r="CM158" s="1460"/>
      <c r="CN158" s="1460"/>
      <c r="CO158" s="1460"/>
      <c r="CP158" s="1460"/>
      <c r="CQ158" s="290"/>
      <c r="CR158" s="290"/>
      <c r="CS158" s="290"/>
      <c r="CT158" s="1457" t="str">
        <f t="shared" si="23"/>
        <v/>
      </c>
      <c r="CU158" s="1457"/>
      <c r="CV158" s="1457"/>
      <c r="CW158" s="1457"/>
      <c r="CX158" s="1457"/>
      <c r="CY158" s="1457"/>
      <c r="CZ158" s="1458">
        <f t="shared" si="24"/>
        <v>0</v>
      </c>
      <c r="DA158" s="1454"/>
      <c r="DB158" s="1454"/>
      <c r="DC158" s="1454"/>
      <c r="DD158" s="1454"/>
      <c r="DE158" s="1454"/>
      <c r="DF158" s="1454"/>
      <c r="DG158" s="1454"/>
      <c r="DH158" s="1454"/>
      <c r="DI158" s="1454"/>
      <c r="DJ158" s="1454"/>
      <c r="DK158" s="1454"/>
      <c r="DL158" s="1454"/>
      <c r="DM158" s="1454"/>
      <c r="EA158" s="290"/>
      <c r="EB158" s="290"/>
      <c r="EC158" s="290"/>
      <c r="ED158" s="290"/>
      <c r="EE158" s="290"/>
      <c r="EF158" s="290"/>
      <c r="EG158" s="290"/>
      <c r="EH158" s="290"/>
      <c r="EI158" s="290"/>
      <c r="EJ158" s="290"/>
      <c r="EK158" s="290"/>
      <c r="EL158" s="290"/>
      <c r="EM158" s="290"/>
      <c r="EN158" s="290"/>
      <c r="EO158" s="290"/>
      <c r="EP158" s="290"/>
      <c r="EQ158" s="290"/>
      <c r="ER158" s="290"/>
      <c r="ES158" s="290"/>
    </row>
    <row r="159" spans="1:149" ht="14.1" customHeight="1" x14ac:dyDescent="0.2">
      <c r="A159" s="7770" t="s">
        <v>2835</v>
      </c>
      <c r="B159" s="5128">
        <f t="shared" si="25"/>
        <v>0</v>
      </c>
      <c r="C159" s="7977">
        <f t="shared" si="26"/>
        <v>0</v>
      </c>
      <c r="D159" s="7977">
        <f t="shared" si="27"/>
        <v>0</v>
      </c>
      <c r="E159" s="3028"/>
      <c r="F159" s="4956"/>
      <c r="G159" s="3028"/>
      <c r="H159" s="4956"/>
      <c r="I159" s="3028"/>
      <c r="J159" s="4956"/>
      <c r="K159" s="3028"/>
      <c r="L159" s="8054"/>
      <c r="M159" s="8054"/>
      <c r="N159" s="7235"/>
      <c r="O159" s="3028"/>
      <c r="P159" s="4956"/>
      <c r="Q159" s="3028"/>
      <c r="R159" s="4956"/>
      <c r="S159" s="3028"/>
      <c r="T159" s="4956"/>
      <c r="U159" s="3028"/>
      <c r="V159" s="4956"/>
      <c r="W159" s="3028"/>
      <c r="X159" s="4956"/>
      <c r="Y159" s="3028"/>
      <c r="Z159" s="4956"/>
      <c r="AA159" s="3028"/>
      <c r="AB159" s="4956"/>
      <c r="AC159" s="3028"/>
      <c r="AD159" s="7235"/>
      <c r="AE159" s="3028"/>
      <c r="AF159" s="4956"/>
      <c r="AG159" s="3028"/>
      <c r="AH159" s="4956"/>
      <c r="AI159" s="3028"/>
      <c r="AJ159" s="4956"/>
      <c r="AK159" s="3136"/>
      <c r="AL159" s="7235"/>
      <c r="AM159" s="8059"/>
      <c r="AN159" s="3028"/>
      <c r="AO159" s="4956"/>
      <c r="AP159" s="1193" t="str">
        <f t="shared" si="28"/>
        <v/>
      </c>
      <c r="AQ159" s="290"/>
      <c r="AR159" s="290"/>
      <c r="AS159" s="290"/>
      <c r="AT159" s="290"/>
      <c r="AU159" s="290"/>
      <c r="AV159" s="290"/>
      <c r="AW159" s="290"/>
      <c r="AX159" s="290"/>
      <c r="AY159" s="290"/>
      <c r="AZ159" s="290"/>
      <c r="BA159" s="290"/>
      <c r="BU159" s="1452"/>
      <c r="BV159" s="1452"/>
      <c r="BY159" s="290"/>
      <c r="BZ159" s="290"/>
      <c r="CA159" s="290"/>
      <c r="CB159" s="290"/>
      <c r="CC159" s="290"/>
      <c r="CD159" s="1460"/>
      <c r="CE159" s="1460"/>
      <c r="CF159" s="1460"/>
      <c r="CG159" s="1460"/>
      <c r="CH159" s="1460"/>
      <c r="CI159" s="1460"/>
      <c r="CJ159" s="1460"/>
      <c r="CK159" s="1460"/>
      <c r="CL159" s="1460"/>
      <c r="CM159" s="1460"/>
      <c r="CN159" s="1460"/>
      <c r="CO159" s="1460"/>
      <c r="CP159" s="1460"/>
      <c r="CQ159" s="290"/>
      <c r="CR159" s="290"/>
      <c r="CS159" s="290"/>
      <c r="CT159" s="1457" t="str">
        <f t="shared" si="23"/>
        <v/>
      </c>
      <c r="CU159" s="1457"/>
      <c r="CV159" s="1457"/>
      <c r="CW159" s="1457"/>
      <c r="CX159" s="1457"/>
      <c r="CY159" s="1457"/>
      <c r="CZ159" s="1458">
        <f t="shared" si="24"/>
        <v>0</v>
      </c>
      <c r="DA159" s="1454"/>
      <c r="DB159" s="1454"/>
      <c r="DC159" s="1454"/>
      <c r="DD159" s="1454"/>
      <c r="DE159" s="1454"/>
      <c r="DF159" s="1454"/>
      <c r="DG159" s="1454"/>
      <c r="DH159" s="1454"/>
      <c r="DI159" s="1454"/>
      <c r="DJ159" s="1454"/>
      <c r="DK159" s="1454"/>
      <c r="DL159" s="1454"/>
      <c r="DM159" s="1454"/>
      <c r="EA159" s="290"/>
      <c r="EB159" s="290"/>
      <c r="EC159" s="290"/>
      <c r="ED159" s="290"/>
      <c r="EE159" s="290"/>
      <c r="EF159" s="290"/>
      <c r="EG159" s="290"/>
      <c r="EH159" s="290"/>
      <c r="EI159" s="290"/>
      <c r="EJ159" s="290"/>
      <c r="EK159" s="290"/>
      <c r="EL159" s="290"/>
      <c r="EM159" s="290"/>
      <c r="EN159" s="290"/>
      <c r="EO159" s="290"/>
      <c r="EP159" s="290"/>
      <c r="EQ159" s="290"/>
      <c r="ER159" s="290"/>
      <c r="ES159" s="290"/>
    </row>
    <row r="160" spans="1:149" ht="14.1" customHeight="1" x14ac:dyDescent="0.2">
      <c r="A160" s="7770" t="s">
        <v>2836</v>
      </c>
      <c r="B160" s="5128">
        <f t="shared" si="25"/>
        <v>0</v>
      </c>
      <c r="C160" s="7977">
        <f t="shared" si="26"/>
        <v>0</v>
      </c>
      <c r="D160" s="7977">
        <f t="shared" si="27"/>
        <v>0</v>
      </c>
      <c r="E160" s="3028"/>
      <c r="F160" s="4956"/>
      <c r="G160" s="3028"/>
      <c r="H160" s="4956"/>
      <c r="I160" s="3028"/>
      <c r="J160" s="4956"/>
      <c r="K160" s="3028"/>
      <c r="L160" s="8054"/>
      <c r="M160" s="8054"/>
      <c r="N160" s="7235"/>
      <c r="O160" s="3028"/>
      <c r="P160" s="4956"/>
      <c r="Q160" s="3028"/>
      <c r="R160" s="4956"/>
      <c r="S160" s="3028"/>
      <c r="T160" s="4956"/>
      <c r="U160" s="3028"/>
      <c r="V160" s="4956"/>
      <c r="W160" s="3028"/>
      <c r="X160" s="4956"/>
      <c r="Y160" s="3028"/>
      <c r="Z160" s="4956"/>
      <c r="AA160" s="3028"/>
      <c r="AB160" s="4956"/>
      <c r="AC160" s="3028"/>
      <c r="AD160" s="7235"/>
      <c r="AE160" s="3028"/>
      <c r="AF160" s="4956"/>
      <c r="AG160" s="3028"/>
      <c r="AH160" s="4956"/>
      <c r="AI160" s="3028"/>
      <c r="AJ160" s="4956"/>
      <c r="AK160" s="3136"/>
      <c r="AL160" s="7235"/>
      <c r="AM160" s="8059"/>
      <c r="AN160" s="3028"/>
      <c r="AO160" s="4956"/>
      <c r="AP160" s="1193" t="str">
        <f t="shared" si="28"/>
        <v/>
      </c>
      <c r="AQ160" s="290"/>
      <c r="AR160" s="290"/>
      <c r="AS160" s="290"/>
      <c r="AT160" s="290"/>
      <c r="AU160" s="290"/>
      <c r="AV160" s="290"/>
      <c r="AW160" s="290"/>
      <c r="AX160" s="290"/>
      <c r="AY160" s="290"/>
      <c r="AZ160" s="290"/>
      <c r="BA160" s="290"/>
      <c r="BU160" s="1452"/>
      <c r="BV160" s="1452"/>
      <c r="BY160" s="290"/>
      <c r="BZ160" s="290"/>
      <c r="CA160" s="290"/>
      <c r="CB160" s="290"/>
      <c r="CC160" s="290"/>
      <c r="CD160" s="1460"/>
      <c r="CE160" s="1460"/>
      <c r="CF160" s="1460"/>
      <c r="CG160" s="1460"/>
      <c r="CH160" s="1460"/>
      <c r="CI160" s="1460"/>
      <c r="CJ160" s="1460"/>
      <c r="CK160" s="1460"/>
      <c r="CL160" s="1460"/>
      <c r="CM160" s="1460"/>
      <c r="CN160" s="1460"/>
      <c r="CO160" s="1460"/>
      <c r="CP160" s="1460"/>
      <c r="CQ160" s="290"/>
      <c r="CR160" s="290"/>
      <c r="CS160" s="290"/>
      <c r="CT160" s="1457" t="str">
        <f t="shared" si="23"/>
        <v/>
      </c>
      <c r="CU160" s="1457"/>
      <c r="CV160" s="1457"/>
      <c r="CW160" s="1457"/>
      <c r="CX160" s="1457"/>
      <c r="CY160" s="1457"/>
      <c r="CZ160" s="1458">
        <f t="shared" si="24"/>
        <v>0</v>
      </c>
      <c r="DA160" s="1454"/>
      <c r="DB160" s="1454"/>
      <c r="DC160" s="1454"/>
      <c r="DD160" s="1454"/>
      <c r="DE160" s="1454"/>
      <c r="DF160" s="1454"/>
      <c r="DG160" s="1454"/>
      <c r="DH160" s="1454"/>
      <c r="DI160" s="1454"/>
      <c r="DJ160" s="1454"/>
      <c r="DK160" s="1454"/>
      <c r="DL160" s="1454"/>
      <c r="DM160" s="1454"/>
      <c r="EA160" s="290"/>
      <c r="EB160" s="290"/>
      <c r="EC160" s="290"/>
      <c r="ED160" s="290"/>
      <c r="EE160" s="290"/>
      <c r="EF160" s="290"/>
      <c r="EG160" s="290"/>
      <c r="EH160" s="290"/>
      <c r="EI160" s="290"/>
      <c r="EJ160" s="290"/>
      <c r="EK160" s="290"/>
      <c r="EL160" s="290"/>
      <c r="EM160" s="290"/>
      <c r="EN160" s="290"/>
      <c r="EO160" s="290"/>
      <c r="EP160" s="290"/>
      <c r="EQ160" s="290"/>
      <c r="ER160" s="290"/>
      <c r="ES160" s="290"/>
    </row>
    <row r="161" spans="1:149" ht="14.1" customHeight="1" x14ac:dyDescent="0.2">
      <c r="A161" s="7770" t="s">
        <v>2820</v>
      </c>
      <c r="B161" s="5128">
        <f t="shared" si="25"/>
        <v>0</v>
      </c>
      <c r="C161" s="7977">
        <f t="shared" si="26"/>
        <v>0</v>
      </c>
      <c r="D161" s="7977">
        <f t="shared" si="27"/>
        <v>0</v>
      </c>
      <c r="E161" s="3028"/>
      <c r="F161" s="4956"/>
      <c r="G161" s="3028"/>
      <c r="H161" s="4956"/>
      <c r="I161" s="3028"/>
      <c r="J161" s="4956"/>
      <c r="K161" s="3028"/>
      <c r="L161" s="8054"/>
      <c r="M161" s="8054"/>
      <c r="N161" s="7235"/>
      <c r="O161" s="3028"/>
      <c r="P161" s="4956"/>
      <c r="Q161" s="3028"/>
      <c r="R161" s="4956"/>
      <c r="S161" s="3028"/>
      <c r="T161" s="4956"/>
      <c r="U161" s="3028"/>
      <c r="V161" s="4956"/>
      <c r="W161" s="3028"/>
      <c r="X161" s="4956"/>
      <c r="Y161" s="3028"/>
      <c r="Z161" s="4956"/>
      <c r="AA161" s="3028"/>
      <c r="AB161" s="4956"/>
      <c r="AC161" s="3028"/>
      <c r="AD161" s="7235"/>
      <c r="AE161" s="3028"/>
      <c r="AF161" s="4956"/>
      <c r="AG161" s="3028"/>
      <c r="AH161" s="4956"/>
      <c r="AI161" s="3028"/>
      <c r="AJ161" s="4956"/>
      <c r="AK161" s="3136"/>
      <c r="AL161" s="7235"/>
      <c r="AM161" s="8059"/>
      <c r="AN161" s="3028"/>
      <c r="AO161" s="4956"/>
      <c r="AP161" s="1193" t="str">
        <f t="shared" si="28"/>
        <v/>
      </c>
      <c r="BU161" s="1452"/>
      <c r="BV161" s="1452"/>
      <c r="BY161" s="290"/>
      <c r="BZ161" s="290"/>
      <c r="CA161" s="290"/>
      <c r="CB161" s="290"/>
      <c r="CC161" s="290"/>
      <c r="CD161" s="1460"/>
      <c r="CE161" s="1460"/>
      <c r="CF161" s="1460"/>
      <c r="CG161" s="1460"/>
      <c r="CH161" s="1460"/>
      <c r="CI161" s="1460"/>
      <c r="CJ161" s="1460"/>
      <c r="CK161" s="1460"/>
      <c r="CL161" s="1460"/>
      <c r="CM161" s="1460"/>
      <c r="CN161" s="1460"/>
      <c r="CO161" s="1460"/>
      <c r="CP161" s="1460"/>
      <c r="CQ161" s="290"/>
      <c r="CR161" s="290"/>
      <c r="CS161" s="290"/>
      <c r="CT161" s="1457" t="str">
        <f t="shared" si="23"/>
        <v/>
      </c>
      <c r="CU161" s="1457"/>
      <c r="CV161" s="1457"/>
      <c r="CW161" s="1457"/>
      <c r="CX161" s="1457"/>
      <c r="CY161" s="1457"/>
      <c r="CZ161" s="1458">
        <f t="shared" si="24"/>
        <v>0</v>
      </c>
      <c r="DA161" s="1454"/>
      <c r="DB161" s="1454"/>
      <c r="DC161" s="1454"/>
      <c r="DD161" s="1454"/>
      <c r="DE161" s="1454"/>
      <c r="DF161" s="1454"/>
      <c r="DG161" s="1454"/>
      <c r="DH161" s="1454"/>
      <c r="DI161" s="1454"/>
      <c r="DJ161" s="1454"/>
      <c r="DK161" s="1454"/>
      <c r="DL161" s="1454"/>
      <c r="DM161" s="1454"/>
      <c r="EA161" s="290"/>
      <c r="EB161" s="290"/>
      <c r="EC161" s="290"/>
      <c r="ED161" s="290"/>
      <c r="EE161" s="290"/>
      <c r="EF161" s="290"/>
      <c r="EG161" s="290"/>
      <c r="EH161" s="290"/>
      <c r="EI161" s="290"/>
      <c r="EJ161" s="290"/>
      <c r="EK161" s="290"/>
      <c r="EL161" s="290"/>
      <c r="EM161" s="290"/>
      <c r="EN161" s="290"/>
      <c r="EO161" s="290"/>
      <c r="EP161" s="290"/>
      <c r="EQ161" s="290"/>
      <c r="ER161" s="290"/>
      <c r="ES161" s="290"/>
    </row>
    <row r="162" spans="1:149" ht="14.1" customHeight="1" x14ac:dyDescent="0.2">
      <c r="A162" s="7770" t="s">
        <v>2837</v>
      </c>
      <c r="B162" s="5128">
        <f t="shared" si="25"/>
        <v>0</v>
      </c>
      <c r="C162" s="7977">
        <f t="shared" si="26"/>
        <v>0</v>
      </c>
      <c r="D162" s="7977">
        <f t="shared" si="27"/>
        <v>0</v>
      </c>
      <c r="E162" s="3028"/>
      <c r="F162" s="4956"/>
      <c r="G162" s="3028"/>
      <c r="H162" s="4956"/>
      <c r="I162" s="3028"/>
      <c r="J162" s="4956"/>
      <c r="K162" s="3028"/>
      <c r="L162" s="8054"/>
      <c r="M162" s="8054"/>
      <c r="N162" s="7235"/>
      <c r="O162" s="3028"/>
      <c r="P162" s="4956"/>
      <c r="Q162" s="3028"/>
      <c r="R162" s="4956"/>
      <c r="S162" s="3028"/>
      <c r="T162" s="4956"/>
      <c r="U162" s="3028"/>
      <c r="V162" s="4956"/>
      <c r="W162" s="3028"/>
      <c r="X162" s="4956"/>
      <c r="Y162" s="3028"/>
      <c r="Z162" s="4956"/>
      <c r="AA162" s="3028"/>
      <c r="AB162" s="4956"/>
      <c r="AC162" s="3028"/>
      <c r="AD162" s="7235"/>
      <c r="AE162" s="3028"/>
      <c r="AF162" s="4956"/>
      <c r="AG162" s="3028"/>
      <c r="AH162" s="4956"/>
      <c r="AI162" s="3028"/>
      <c r="AJ162" s="4956"/>
      <c r="AK162" s="3136"/>
      <c r="AL162" s="7235"/>
      <c r="AM162" s="8059"/>
      <c r="AN162" s="3028"/>
      <c r="AO162" s="4956"/>
      <c r="AP162" s="1193" t="str">
        <f t="shared" si="28"/>
        <v/>
      </c>
      <c r="BU162" s="1452"/>
      <c r="BV162" s="1452"/>
      <c r="BY162" s="290"/>
      <c r="BZ162" s="290"/>
      <c r="CA162" s="290"/>
      <c r="CB162" s="290"/>
      <c r="CC162" s="290"/>
      <c r="CD162" s="1460"/>
      <c r="CE162" s="1460"/>
      <c r="CF162" s="1460"/>
      <c r="CG162" s="1460"/>
      <c r="CH162" s="1460"/>
      <c r="CI162" s="1460"/>
      <c r="CJ162" s="1460"/>
      <c r="CK162" s="1460"/>
      <c r="CL162" s="1460"/>
      <c r="CM162" s="1460"/>
      <c r="CN162" s="1460"/>
      <c r="CO162" s="1460"/>
      <c r="CP162" s="1460"/>
      <c r="CQ162" s="290"/>
      <c r="CR162" s="290"/>
      <c r="CS162" s="290"/>
      <c r="CT162" s="1457" t="str">
        <f t="shared" si="23"/>
        <v/>
      </c>
      <c r="CU162" s="1457"/>
      <c r="CV162" s="1457"/>
      <c r="CW162" s="1457"/>
      <c r="CX162" s="1457"/>
      <c r="CY162" s="1457"/>
      <c r="CZ162" s="1458">
        <f t="shared" si="24"/>
        <v>0</v>
      </c>
      <c r="DA162" s="1454"/>
      <c r="DB162" s="1454"/>
      <c r="DC162" s="1454"/>
      <c r="DD162" s="1454"/>
      <c r="DE162" s="1454"/>
      <c r="DF162" s="1454"/>
      <c r="DG162" s="1454"/>
      <c r="DH162" s="1454"/>
      <c r="DI162" s="1454"/>
      <c r="DJ162" s="1454"/>
      <c r="DK162" s="1454"/>
      <c r="DL162" s="1454"/>
      <c r="DM162" s="1454"/>
      <c r="EA162" s="290"/>
      <c r="EB162" s="290"/>
      <c r="EC162" s="290"/>
      <c r="ED162" s="290"/>
      <c r="EE162" s="290"/>
      <c r="EF162" s="290"/>
      <c r="EG162" s="290"/>
      <c r="EH162" s="290"/>
      <c r="EI162" s="290"/>
      <c r="EJ162" s="290"/>
      <c r="EK162" s="290"/>
      <c r="EL162" s="290"/>
      <c r="EM162" s="290"/>
      <c r="EN162" s="290"/>
      <c r="EO162" s="290"/>
      <c r="EP162" s="290"/>
      <c r="EQ162" s="290"/>
      <c r="ER162" s="290"/>
      <c r="ES162" s="290"/>
    </row>
    <row r="163" spans="1:149" ht="14.1" customHeight="1" x14ac:dyDescent="0.2">
      <c r="A163" s="7770" t="s">
        <v>2838</v>
      </c>
      <c r="B163" s="5128">
        <f t="shared" si="25"/>
        <v>0</v>
      </c>
      <c r="C163" s="7977">
        <f t="shared" si="26"/>
        <v>0</v>
      </c>
      <c r="D163" s="7977">
        <f t="shared" si="27"/>
        <v>0</v>
      </c>
      <c r="E163" s="3028"/>
      <c r="F163" s="4956"/>
      <c r="G163" s="3028"/>
      <c r="H163" s="4956"/>
      <c r="I163" s="3028"/>
      <c r="J163" s="4956"/>
      <c r="K163" s="3028"/>
      <c r="L163" s="8054"/>
      <c r="M163" s="8054"/>
      <c r="N163" s="7235"/>
      <c r="O163" s="3028"/>
      <c r="P163" s="4956"/>
      <c r="Q163" s="3028"/>
      <c r="R163" s="4956"/>
      <c r="S163" s="3028"/>
      <c r="T163" s="4956"/>
      <c r="U163" s="3028"/>
      <c r="V163" s="4956"/>
      <c r="W163" s="3028"/>
      <c r="X163" s="4956"/>
      <c r="Y163" s="3028"/>
      <c r="Z163" s="4956"/>
      <c r="AA163" s="3028"/>
      <c r="AB163" s="4956"/>
      <c r="AC163" s="3028"/>
      <c r="AD163" s="7235"/>
      <c r="AE163" s="3028"/>
      <c r="AF163" s="4956"/>
      <c r="AG163" s="3028"/>
      <c r="AH163" s="4956"/>
      <c r="AI163" s="3028"/>
      <c r="AJ163" s="4956"/>
      <c r="AK163" s="3136"/>
      <c r="AL163" s="7235"/>
      <c r="AM163" s="8059"/>
      <c r="AN163" s="3028"/>
      <c r="AO163" s="4956"/>
      <c r="AP163" s="1193" t="str">
        <f t="shared" si="28"/>
        <v/>
      </c>
      <c r="BU163" s="1452"/>
      <c r="BV163" s="1452"/>
      <c r="BY163" s="290"/>
      <c r="BZ163" s="290"/>
      <c r="CA163" s="290"/>
      <c r="CB163" s="290"/>
      <c r="CC163" s="290"/>
      <c r="CD163" s="1460"/>
      <c r="CE163" s="1460"/>
      <c r="CF163" s="1460"/>
      <c r="CG163" s="1460"/>
      <c r="CH163" s="1460"/>
      <c r="CI163" s="1460"/>
      <c r="CJ163" s="1460"/>
      <c r="CK163" s="1460"/>
      <c r="CL163" s="1460"/>
      <c r="CM163" s="1460"/>
      <c r="CN163" s="1460"/>
      <c r="CO163" s="1460"/>
      <c r="CP163" s="1460"/>
      <c r="CQ163" s="290"/>
      <c r="CR163" s="290"/>
      <c r="CS163" s="290"/>
      <c r="CT163" s="1457" t="str">
        <f t="shared" si="23"/>
        <v/>
      </c>
      <c r="CU163" s="1457"/>
      <c r="CV163" s="1457"/>
      <c r="CW163" s="1457"/>
      <c r="CX163" s="1457"/>
      <c r="CY163" s="1457"/>
      <c r="CZ163" s="1458">
        <f t="shared" si="24"/>
        <v>0</v>
      </c>
      <c r="DA163" s="1454"/>
      <c r="DB163" s="1454"/>
      <c r="DC163" s="1454"/>
      <c r="DD163" s="1454"/>
      <c r="DE163" s="1454"/>
      <c r="DF163" s="1454"/>
      <c r="DG163" s="1454"/>
      <c r="DH163" s="1454"/>
      <c r="DI163" s="1454"/>
      <c r="DJ163" s="1454"/>
      <c r="DK163" s="1454"/>
      <c r="DL163" s="1454"/>
      <c r="DM163" s="1454"/>
      <c r="EA163" s="290"/>
      <c r="EB163" s="290"/>
      <c r="EC163" s="290"/>
      <c r="ED163" s="290"/>
      <c r="EE163" s="290"/>
      <c r="EF163" s="290"/>
      <c r="EG163" s="290"/>
      <c r="EH163" s="290"/>
      <c r="EI163" s="290"/>
      <c r="EJ163" s="290"/>
      <c r="EK163" s="290"/>
      <c r="EL163" s="290"/>
      <c r="EM163" s="290"/>
      <c r="EN163" s="290"/>
      <c r="EO163" s="290"/>
      <c r="EP163" s="290"/>
      <c r="EQ163" s="290"/>
      <c r="ER163" s="290"/>
      <c r="ES163" s="290"/>
    </row>
    <row r="164" spans="1:149" ht="14.1" customHeight="1" x14ac:dyDescent="0.2">
      <c r="A164" s="7770" t="s">
        <v>2839</v>
      </c>
      <c r="B164" s="5128">
        <f t="shared" si="25"/>
        <v>0</v>
      </c>
      <c r="C164" s="7977">
        <f t="shared" si="26"/>
        <v>0</v>
      </c>
      <c r="D164" s="7977">
        <f t="shared" si="27"/>
        <v>0</v>
      </c>
      <c r="E164" s="3028"/>
      <c r="F164" s="4956"/>
      <c r="G164" s="3028"/>
      <c r="H164" s="4956"/>
      <c r="I164" s="3028"/>
      <c r="J164" s="4956"/>
      <c r="K164" s="3028"/>
      <c r="L164" s="8054"/>
      <c r="M164" s="8054"/>
      <c r="N164" s="7235"/>
      <c r="O164" s="3028"/>
      <c r="P164" s="4956"/>
      <c r="Q164" s="3028"/>
      <c r="R164" s="4956"/>
      <c r="S164" s="3028"/>
      <c r="T164" s="4956"/>
      <c r="U164" s="3028"/>
      <c r="V164" s="4956"/>
      <c r="W164" s="3028"/>
      <c r="X164" s="4956"/>
      <c r="Y164" s="3028"/>
      <c r="Z164" s="4956"/>
      <c r="AA164" s="3028"/>
      <c r="AB164" s="4956"/>
      <c r="AC164" s="3028"/>
      <c r="AD164" s="7235"/>
      <c r="AE164" s="3028"/>
      <c r="AF164" s="4956"/>
      <c r="AG164" s="3028"/>
      <c r="AH164" s="4956"/>
      <c r="AI164" s="3028"/>
      <c r="AJ164" s="4956"/>
      <c r="AK164" s="3136"/>
      <c r="AL164" s="7235"/>
      <c r="AM164" s="8059"/>
      <c r="AN164" s="3028"/>
      <c r="AO164" s="4956"/>
      <c r="AP164" s="1193" t="str">
        <f t="shared" si="28"/>
        <v/>
      </c>
      <c r="BU164" s="1452"/>
      <c r="BV164" s="1452"/>
      <c r="BY164" s="290"/>
      <c r="BZ164" s="290"/>
      <c r="CA164" s="290"/>
      <c r="CB164" s="290"/>
      <c r="CC164" s="290"/>
      <c r="CD164" s="1460"/>
      <c r="CE164" s="1460"/>
      <c r="CF164" s="1460"/>
      <c r="CG164" s="1460"/>
      <c r="CH164" s="1460"/>
      <c r="CI164" s="1460"/>
      <c r="CJ164" s="1460"/>
      <c r="CK164" s="1460"/>
      <c r="CL164" s="1460"/>
      <c r="CM164" s="1460"/>
      <c r="CN164" s="1460"/>
      <c r="CO164" s="1460"/>
      <c r="CP164" s="1460"/>
      <c r="CQ164" s="290"/>
      <c r="CR164" s="290"/>
      <c r="CS164" s="290"/>
      <c r="CT164" s="1457" t="str">
        <f t="shared" si="23"/>
        <v/>
      </c>
      <c r="CU164" s="1457"/>
      <c r="CV164" s="1457"/>
      <c r="CW164" s="1457"/>
      <c r="CX164" s="1457"/>
      <c r="CY164" s="1457"/>
      <c r="CZ164" s="1458">
        <f t="shared" si="24"/>
        <v>0</v>
      </c>
      <c r="DA164" s="1454"/>
      <c r="DB164" s="1454"/>
      <c r="DC164" s="1454"/>
      <c r="DD164" s="1454"/>
      <c r="DE164" s="1454"/>
      <c r="DF164" s="1454"/>
      <c r="DG164" s="1454"/>
      <c r="DH164" s="1454"/>
      <c r="DI164" s="1454"/>
      <c r="DJ164" s="1454"/>
      <c r="DK164" s="1454"/>
      <c r="DL164" s="1454"/>
      <c r="DM164" s="1454"/>
      <c r="EA164" s="290"/>
      <c r="EB164" s="290"/>
      <c r="EC164" s="290"/>
      <c r="ED164" s="290"/>
      <c r="EE164" s="290"/>
      <c r="EF164" s="290"/>
      <c r="EG164" s="290"/>
      <c r="EH164" s="290"/>
      <c r="EI164" s="290"/>
      <c r="EJ164" s="290"/>
      <c r="EK164" s="290"/>
      <c r="EL164" s="290"/>
      <c r="EM164" s="290"/>
      <c r="EN164" s="290"/>
      <c r="EO164" s="290"/>
      <c r="EP164" s="290"/>
      <c r="EQ164" s="290"/>
      <c r="ER164" s="290"/>
      <c r="ES164" s="290"/>
    </row>
    <row r="165" spans="1:149" ht="14.1" customHeight="1" x14ac:dyDescent="0.2">
      <c r="A165" s="7770" t="s">
        <v>2811</v>
      </c>
      <c r="B165" s="5128">
        <f t="shared" si="25"/>
        <v>0</v>
      </c>
      <c r="C165" s="7977">
        <f t="shared" si="26"/>
        <v>0</v>
      </c>
      <c r="D165" s="7977">
        <f t="shared" si="27"/>
        <v>0</v>
      </c>
      <c r="E165" s="3028"/>
      <c r="F165" s="4956"/>
      <c r="G165" s="3028"/>
      <c r="H165" s="4956"/>
      <c r="I165" s="3028"/>
      <c r="J165" s="4956"/>
      <c r="K165" s="3028"/>
      <c r="L165" s="8054"/>
      <c r="M165" s="8054"/>
      <c r="N165" s="7235"/>
      <c r="O165" s="3028"/>
      <c r="P165" s="4956"/>
      <c r="Q165" s="3028"/>
      <c r="R165" s="4956"/>
      <c r="S165" s="3028"/>
      <c r="T165" s="4956"/>
      <c r="U165" s="3028"/>
      <c r="V165" s="4956"/>
      <c r="W165" s="3028"/>
      <c r="X165" s="4956"/>
      <c r="Y165" s="3028"/>
      <c r="Z165" s="4956"/>
      <c r="AA165" s="3028"/>
      <c r="AB165" s="4956"/>
      <c r="AC165" s="3028"/>
      <c r="AD165" s="7235"/>
      <c r="AE165" s="3028"/>
      <c r="AF165" s="4956"/>
      <c r="AG165" s="3028"/>
      <c r="AH165" s="4956"/>
      <c r="AI165" s="3028"/>
      <c r="AJ165" s="4956"/>
      <c r="AK165" s="3136"/>
      <c r="AL165" s="7235"/>
      <c r="AM165" s="8059"/>
      <c r="AN165" s="3028"/>
      <c r="AO165" s="4956"/>
      <c r="AP165" s="1193" t="str">
        <f t="shared" si="28"/>
        <v/>
      </c>
      <c r="BU165" s="1452"/>
      <c r="BV165" s="1452"/>
      <c r="BY165" s="290"/>
      <c r="BZ165" s="290"/>
      <c r="CA165" s="290"/>
      <c r="CB165" s="290"/>
      <c r="CC165" s="290"/>
      <c r="CD165" s="1460"/>
      <c r="CE165" s="1460"/>
      <c r="CF165" s="1460"/>
      <c r="CG165" s="1460"/>
      <c r="CH165" s="1460"/>
      <c r="CI165" s="1460"/>
      <c r="CJ165" s="1460"/>
      <c r="CK165" s="1460"/>
      <c r="CL165" s="1460"/>
      <c r="CM165" s="1460"/>
      <c r="CN165" s="1460"/>
      <c r="CO165" s="1460"/>
      <c r="CP165" s="1460"/>
      <c r="CQ165" s="290"/>
      <c r="CR165" s="290"/>
      <c r="CS165" s="290"/>
      <c r="CT165" s="1457" t="str">
        <f t="shared" si="23"/>
        <v/>
      </c>
      <c r="CU165" s="1457"/>
      <c r="CV165" s="1457"/>
      <c r="CW165" s="1457"/>
      <c r="CX165" s="1457"/>
      <c r="CY165" s="1457"/>
      <c r="CZ165" s="1458">
        <f t="shared" si="24"/>
        <v>0</v>
      </c>
      <c r="DA165" s="1454"/>
      <c r="DB165" s="1454"/>
      <c r="DC165" s="1454"/>
      <c r="DD165" s="1454"/>
      <c r="DE165" s="1454"/>
      <c r="DF165" s="1454"/>
      <c r="DG165" s="1454"/>
      <c r="DH165" s="1454"/>
      <c r="DI165" s="1454"/>
      <c r="DJ165" s="1454"/>
      <c r="DK165" s="1454"/>
      <c r="DL165" s="1454"/>
      <c r="DM165" s="1454"/>
      <c r="EA165" s="290"/>
      <c r="EB165" s="290"/>
      <c r="EC165" s="290"/>
      <c r="ED165" s="290"/>
      <c r="EE165" s="290"/>
      <c r="EF165" s="290"/>
      <c r="EG165" s="290"/>
      <c r="EH165" s="290"/>
      <c r="EI165" s="290"/>
      <c r="EJ165" s="290"/>
      <c r="EK165" s="290"/>
      <c r="EL165" s="290"/>
      <c r="EM165" s="290"/>
      <c r="EN165" s="290"/>
      <c r="EO165" s="290"/>
      <c r="EP165" s="290"/>
      <c r="EQ165" s="290"/>
      <c r="ER165" s="290"/>
      <c r="ES165" s="290"/>
    </row>
    <row r="166" spans="1:149" ht="14.1" customHeight="1" x14ac:dyDescent="0.2">
      <c r="A166" s="7770" t="s">
        <v>2840</v>
      </c>
      <c r="B166" s="5128">
        <f t="shared" si="25"/>
        <v>0</v>
      </c>
      <c r="C166" s="7977">
        <f t="shared" si="26"/>
        <v>0</v>
      </c>
      <c r="D166" s="7977">
        <f t="shared" si="27"/>
        <v>0</v>
      </c>
      <c r="E166" s="3028"/>
      <c r="F166" s="4956"/>
      <c r="G166" s="3028"/>
      <c r="H166" s="4956"/>
      <c r="I166" s="3028"/>
      <c r="J166" s="4956"/>
      <c r="K166" s="3028"/>
      <c r="L166" s="8054"/>
      <c r="M166" s="8054"/>
      <c r="N166" s="7235"/>
      <c r="O166" s="3028"/>
      <c r="P166" s="4956"/>
      <c r="Q166" s="3028"/>
      <c r="R166" s="4956"/>
      <c r="S166" s="3028"/>
      <c r="T166" s="4956"/>
      <c r="U166" s="3028"/>
      <c r="V166" s="4956"/>
      <c r="W166" s="3028"/>
      <c r="X166" s="4956"/>
      <c r="Y166" s="3028"/>
      <c r="Z166" s="4956"/>
      <c r="AA166" s="3028"/>
      <c r="AB166" s="4956"/>
      <c r="AC166" s="3028"/>
      <c r="AD166" s="7235"/>
      <c r="AE166" s="3028"/>
      <c r="AF166" s="4956"/>
      <c r="AG166" s="3028"/>
      <c r="AH166" s="4956"/>
      <c r="AI166" s="3028"/>
      <c r="AJ166" s="4956"/>
      <c r="AK166" s="3136"/>
      <c r="AL166" s="7235"/>
      <c r="AM166" s="8059"/>
      <c r="AN166" s="3028"/>
      <c r="AO166" s="4956"/>
      <c r="AP166" s="1193" t="str">
        <f t="shared" si="28"/>
        <v/>
      </c>
      <c r="BU166" s="1452"/>
      <c r="BV166" s="1452"/>
      <c r="BY166" s="290"/>
      <c r="BZ166" s="290"/>
      <c r="CA166" s="290"/>
      <c r="CB166" s="290"/>
      <c r="CC166" s="290"/>
      <c r="CD166" s="1460"/>
      <c r="CE166" s="1460"/>
      <c r="CF166" s="1460"/>
      <c r="CG166" s="1460"/>
      <c r="CH166" s="1460"/>
      <c r="CI166" s="1460"/>
      <c r="CJ166" s="1460"/>
      <c r="CK166" s="1460"/>
      <c r="CL166" s="1460"/>
      <c r="CM166" s="1460"/>
      <c r="CN166" s="1460"/>
      <c r="CO166" s="1460"/>
      <c r="CP166" s="1460"/>
      <c r="CQ166" s="290"/>
      <c r="CR166" s="290"/>
      <c r="CS166" s="290"/>
      <c r="CT166" s="1457" t="str">
        <f t="shared" si="23"/>
        <v/>
      </c>
      <c r="CU166" s="1457"/>
      <c r="CV166" s="1457"/>
      <c r="CW166" s="1457"/>
      <c r="CX166" s="1457"/>
      <c r="CY166" s="1457"/>
      <c r="CZ166" s="1458">
        <f t="shared" si="24"/>
        <v>0</v>
      </c>
      <c r="DA166" s="1454"/>
      <c r="DB166" s="1454"/>
      <c r="DC166" s="1454"/>
      <c r="DD166" s="1454"/>
      <c r="DE166" s="1454"/>
      <c r="DF166" s="1454"/>
      <c r="DG166" s="1454"/>
      <c r="DH166" s="1454"/>
      <c r="DI166" s="1454"/>
      <c r="DJ166" s="1454"/>
      <c r="DK166" s="1454"/>
      <c r="DL166" s="1454"/>
      <c r="DM166" s="1454"/>
      <c r="EA166" s="290"/>
      <c r="EB166" s="290"/>
      <c r="EC166" s="290"/>
      <c r="ED166" s="290"/>
      <c r="EE166" s="290"/>
      <c r="EF166" s="290"/>
      <c r="EG166" s="290"/>
      <c r="EH166" s="290"/>
      <c r="EI166" s="290"/>
      <c r="EJ166" s="290"/>
      <c r="EK166" s="290"/>
      <c r="EL166" s="290"/>
      <c r="EM166" s="290"/>
      <c r="EN166" s="290"/>
      <c r="EO166" s="290"/>
      <c r="EP166" s="290"/>
      <c r="EQ166" s="290"/>
      <c r="ER166" s="290"/>
      <c r="ES166" s="290"/>
    </row>
    <row r="167" spans="1:149" ht="14.1" customHeight="1" x14ac:dyDescent="0.2">
      <c r="A167" s="7770" t="s">
        <v>315</v>
      </c>
      <c r="B167" s="5128">
        <f t="shared" si="25"/>
        <v>0</v>
      </c>
      <c r="C167" s="7977">
        <f t="shared" si="26"/>
        <v>0</v>
      </c>
      <c r="D167" s="7977">
        <f t="shared" si="27"/>
        <v>0</v>
      </c>
      <c r="E167" s="3028"/>
      <c r="F167" s="4956"/>
      <c r="G167" s="3028"/>
      <c r="H167" s="4956"/>
      <c r="I167" s="3028"/>
      <c r="J167" s="4956"/>
      <c r="K167" s="3028"/>
      <c r="L167" s="8054"/>
      <c r="M167" s="8054"/>
      <c r="N167" s="7235"/>
      <c r="O167" s="3028"/>
      <c r="P167" s="4956"/>
      <c r="Q167" s="3028"/>
      <c r="R167" s="4956"/>
      <c r="S167" s="3028"/>
      <c r="T167" s="4956"/>
      <c r="U167" s="3028"/>
      <c r="V167" s="4956"/>
      <c r="W167" s="3028"/>
      <c r="X167" s="4956"/>
      <c r="Y167" s="3028"/>
      <c r="Z167" s="4956"/>
      <c r="AA167" s="3028"/>
      <c r="AB167" s="4956"/>
      <c r="AC167" s="3028"/>
      <c r="AD167" s="7235"/>
      <c r="AE167" s="3028"/>
      <c r="AF167" s="4956"/>
      <c r="AG167" s="3028"/>
      <c r="AH167" s="4956"/>
      <c r="AI167" s="3028"/>
      <c r="AJ167" s="4956"/>
      <c r="AK167" s="3136"/>
      <c r="AL167" s="7235"/>
      <c r="AM167" s="8059"/>
      <c r="AN167" s="3028"/>
      <c r="AO167" s="4956"/>
      <c r="AP167" s="1193" t="str">
        <f t="shared" si="28"/>
        <v/>
      </c>
      <c r="BU167" s="1452"/>
      <c r="BV167" s="1452"/>
      <c r="BY167" s="290"/>
      <c r="BZ167" s="290"/>
      <c r="CA167" s="290"/>
      <c r="CB167" s="290"/>
      <c r="CC167" s="290"/>
      <c r="CD167" s="1460"/>
      <c r="CE167" s="1460"/>
      <c r="CF167" s="1460"/>
      <c r="CG167" s="1460"/>
      <c r="CH167" s="1460"/>
      <c r="CI167" s="1460"/>
      <c r="CJ167" s="1460"/>
      <c r="CK167" s="1460"/>
      <c r="CL167" s="1460"/>
      <c r="CM167" s="1460"/>
      <c r="CN167" s="1460"/>
      <c r="CO167" s="1460"/>
      <c r="CP167" s="1460"/>
      <c r="CQ167" s="290"/>
      <c r="CR167" s="290"/>
      <c r="CS167" s="290"/>
      <c r="CT167" s="1457" t="str">
        <f t="shared" si="23"/>
        <v/>
      </c>
      <c r="CU167" s="1457"/>
      <c r="CV167" s="1457"/>
      <c r="CW167" s="1457"/>
      <c r="CX167" s="1457"/>
      <c r="CY167" s="1457"/>
      <c r="CZ167" s="1458">
        <f t="shared" si="24"/>
        <v>0</v>
      </c>
      <c r="DA167" s="1454"/>
      <c r="DB167" s="1454"/>
      <c r="DC167" s="1454"/>
      <c r="DD167" s="1454"/>
      <c r="DE167" s="1454"/>
      <c r="DF167" s="1454"/>
      <c r="DG167" s="1454"/>
      <c r="DH167" s="1454"/>
      <c r="DI167" s="1454"/>
      <c r="DJ167" s="1454"/>
      <c r="DK167" s="1454"/>
      <c r="DL167" s="1454"/>
      <c r="DM167" s="1454"/>
      <c r="EA167" s="290"/>
      <c r="EB167" s="290"/>
      <c r="EC167" s="290"/>
      <c r="ED167" s="290"/>
      <c r="EE167" s="290"/>
      <c r="EF167" s="290"/>
      <c r="EG167" s="290"/>
      <c r="EH167" s="290"/>
      <c r="EI167" s="290"/>
      <c r="EJ167" s="290"/>
      <c r="EK167" s="290"/>
      <c r="EL167" s="290"/>
      <c r="EM167" s="290"/>
      <c r="EN167" s="290"/>
      <c r="EO167" s="290"/>
      <c r="EP167" s="290"/>
      <c r="EQ167" s="290"/>
      <c r="ER167" s="290"/>
      <c r="ES167" s="290"/>
    </row>
    <row r="168" spans="1:149" ht="14.1" customHeight="1" x14ac:dyDescent="0.2">
      <c r="A168" s="7770" t="s">
        <v>2841</v>
      </c>
      <c r="B168" s="5128">
        <f t="shared" si="25"/>
        <v>0</v>
      </c>
      <c r="C168" s="7977">
        <f t="shared" si="26"/>
        <v>0</v>
      </c>
      <c r="D168" s="7977">
        <f t="shared" si="27"/>
        <v>0</v>
      </c>
      <c r="E168" s="3028"/>
      <c r="F168" s="4956"/>
      <c r="G168" s="3028"/>
      <c r="H168" s="4956"/>
      <c r="I168" s="3028"/>
      <c r="J168" s="4956"/>
      <c r="K168" s="3028"/>
      <c r="L168" s="8054"/>
      <c r="M168" s="8054"/>
      <c r="N168" s="7235"/>
      <c r="O168" s="3028"/>
      <c r="P168" s="4956"/>
      <c r="Q168" s="3028"/>
      <c r="R168" s="4956"/>
      <c r="S168" s="3028"/>
      <c r="T168" s="4956"/>
      <c r="U168" s="3028"/>
      <c r="V168" s="4956"/>
      <c r="W168" s="3028"/>
      <c r="X168" s="4956"/>
      <c r="Y168" s="3028"/>
      <c r="Z168" s="4956"/>
      <c r="AA168" s="3028"/>
      <c r="AB168" s="4956"/>
      <c r="AC168" s="3028"/>
      <c r="AD168" s="7235"/>
      <c r="AE168" s="3028"/>
      <c r="AF168" s="4956"/>
      <c r="AG168" s="3028"/>
      <c r="AH168" s="4956"/>
      <c r="AI168" s="3028"/>
      <c r="AJ168" s="4956"/>
      <c r="AK168" s="3136"/>
      <c r="AL168" s="7235"/>
      <c r="AM168" s="8059"/>
      <c r="AN168" s="3028"/>
      <c r="AO168" s="4956"/>
      <c r="AP168" s="1193" t="str">
        <f t="shared" si="28"/>
        <v/>
      </c>
      <c r="BU168" s="1452"/>
      <c r="BV168" s="1452"/>
      <c r="BY168" s="290"/>
      <c r="BZ168" s="290"/>
      <c r="CA168" s="290"/>
      <c r="CB168" s="290"/>
      <c r="CC168" s="290"/>
      <c r="CD168" s="1460"/>
      <c r="CE168" s="1460"/>
      <c r="CF168" s="1460"/>
      <c r="CG168" s="1460"/>
      <c r="CH168" s="1460"/>
      <c r="CI168" s="1460"/>
      <c r="CJ168" s="1460"/>
      <c r="CK168" s="1460"/>
      <c r="CL168" s="1460"/>
      <c r="CM168" s="1460"/>
      <c r="CN168" s="1460"/>
      <c r="CO168" s="1460"/>
      <c r="CP168" s="1460"/>
      <c r="CQ168" s="290"/>
      <c r="CR168" s="290"/>
      <c r="CS168" s="290"/>
      <c r="CT168" s="1457" t="str">
        <f t="shared" si="23"/>
        <v/>
      </c>
      <c r="CU168" s="1457"/>
      <c r="CV168" s="1457"/>
      <c r="CW168" s="1457"/>
      <c r="CX168" s="1457"/>
      <c r="CY168" s="1457"/>
      <c r="CZ168" s="1458">
        <f t="shared" si="24"/>
        <v>0</v>
      </c>
      <c r="DA168" s="1454"/>
      <c r="DB168" s="1454"/>
      <c r="DC168" s="1454"/>
      <c r="DD168" s="1454"/>
      <c r="DE168" s="1454"/>
      <c r="DF168" s="1454"/>
      <c r="DG168" s="1454"/>
      <c r="DH168" s="1454"/>
      <c r="DI168" s="1454"/>
      <c r="DJ168" s="1454"/>
      <c r="DK168" s="1454"/>
      <c r="DL168" s="1454"/>
      <c r="DM168" s="1454"/>
      <c r="EA168" s="290"/>
      <c r="EB168" s="290"/>
      <c r="EC168" s="290"/>
      <c r="ED168" s="290"/>
      <c r="EE168" s="290"/>
      <c r="EF168" s="290"/>
      <c r="EG168" s="290"/>
      <c r="EH168" s="290"/>
      <c r="EI168" s="290"/>
      <c r="EJ168" s="290"/>
      <c r="EK168" s="290"/>
      <c r="EL168" s="290"/>
      <c r="EM168" s="290"/>
      <c r="EN168" s="290"/>
      <c r="EO168" s="290"/>
      <c r="EP168" s="290"/>
      <c r="EQ168" s="290"/>
      <c r="ER168" s="290"/>
      <c r="ES168" s="290"/>
    </row>
    <row r="169" spans="1:149" ht="14.1" customHeight="1" x14ac:dyDescent="0.2">
      <c r="A169" s="7770" t="s">
        <v>402</v>
      </c>
      <c r="B169" s="5128">
        <f t="shared" si="25"/>
        <v>0</v>
      </c>
      <c r="C169" s="7977">
        <f t="shared" si="26"/>
        <v>0</v>
      </c>
      <c r="D169" s="7977">
        <f t="shared" si="27"/>
        <v>0</v>
      </c>
      <c r="E169" s="3028"/>
      <c r="F169" s="4956"/>
      <c r="G169" s="3028"/>
      <c r="H169" s="4956"/>
      <c r="I169" s="3028"/>
      <c r="J169" s="4956"/>
      <c r="K169" s="3028"/>
      <c r="L169" s="8054"/>
      <c r="M169" s="8054"/>
      <c r="N169" s="7235"/>
      <c r="O169" s="3028"/>
      <c r="P169" s="4956"/>
      <c r="Q169" s="3028"/>
      <c r="R169" s="4956"/>
      <c r="S169" s="3028"/>
      <c r="T169" s="4956"/>
      <c r="U169" s="3028"/>
      <c r="V169" s="4956"/>
      <c r="W169" s="3028"/>
      <c r="X169" s="4956"/>
      <c r="Y169" s="3028"/>
      <c r="Z169" s="4956"/>
      <c r="AA169" s="3028"/>
      <c r="AB169" s="4956"/>
      <c r="AC169" s="3028"/>
      <c r="AD169" s="7235"/>
      <c r="AE169" s="3028"/>
      <c r="AF169" s="4956"/>
      <c r="AG169" s="3028"/>
      <c r="AH169" s="4956"/>
      <c r="AI169" s="3028"/>
      <c r="AJ169" s="4956"/>
      <c r="AK169" s="3136"/>
      <c r="AL169" s="7235"/>
      <c r="AM169" s="8059"/>
      <c r="AN169" s="3028"/>
      <c r="AO169" s="4956"/>
      <c r="AP169" s="1193" t="str">
        <f t="shared" si="28"/>
        <v/>
      </c>
      <c r="BU169" s="1452"/>
      <c r="BV169" s="1452"/>
      <c r="BY169" s="290"/>
      <c r="BZ169" s="290"/>
      <c r="CA169" s="290"/>
      <c r="CB169" s="290"/>
      <c r="CC169" s="290"/>
      <c r="CD169" s="1460"/>
      <c r="CE169" s="1460"/>
      <c r="CF169" s="1460"/>
      <c r="CG169" s="1460"/>
      <c r="CH169" s="1460"/>
      <c r="CI169" s="1460"/>
      <c r="CJ169" s="1460"/>
      <c r="CK169" s="1460"/>
      <c r="CL169" s="1460"/>
      <c r="CM169" s="1460"/>
      <c r="CN169" s="1460"/>
      <c r="CO169" s="1460"/>
      <c r="CP169" s="1460"/>
      <c r="CQ169" s="290"/>
      <c r="CR169" s="290"/>
      <c r="CS169" s="290"/>
      <c r="CT169" s="1457" t="str">
        <f t="shared" si="23"/>
        <v/>
      </c>
      <c r="CU169" s="1457"/>
      <c r="CV169" s="1457"/>
      <c r="CW169" s="1457"/>
      <c r="CX169" s="1457"/>
      <c r="CY169" s="1457"/>
      <c r="CZ169" s="1458">
        <f t="shared" si="24"/>
        <v>0</v>
      </c>
      <c r="DA169" s="1454"/>
      <c r="DB169" s="1454"/>
      <c r="DC169" s="1454"/>
      <c r="DD169" s="1454"/>
      <c r="DE169" s="1454"/>
      <c r="DF169" s="1454"/>
      <c r="DG169" s="1454"/>
      <c r="DH169" s="1454"/>
      <c r="DI169" s="1454"/>
      <c r="DJ169" s="1454"/>
      <c r="DK169" s="1454"/>
      <c r="DL169" s="1454"/>
      <c r="DM169" s="1454"/>
      <c r="EA169" s="290"/>
      <c r="EB169" s="290"/>
      <c r="EC169" s="290"/>
      <c r="ED169" s="290"/>
      <c r="EE169" s="290"/>
      <c r="EF169" s="290"/>
      <c r="EG169" s="290"/>
      <c r="EH169" s="290"/>
      <c r="EI169" s="290"/>
      <c r="EJ169" s="290"/>
      <c r="EK169" s="290"/>
      <c r="EL169" s="290"/>
      <c r="EM169" s="290"/>
      <c r="EN169" s="290"/>
      <c r="EO169" s="290"/>
      <c r="EP169" s="290"/>
      <c r="EQ169" s="290"/>
      <c r="ER169" s="290"/>
      <c r="ES169" s="290"/>
    </row>
    <row r="170" spans="1:149" ht="14.1" customHeight="1" x14ac:dyDescent="0.2">
      <c r="A170" s="7770" t="s">
        <v>2842</v>
      </c>
      <c r="B170" s="5128">
        <f t="shared" si="25"/>
        <v>0</v>
      </c>
      <c r="C170" s="7977">
        <f t="shared" si="26"/>
        <v>0</v>
      </c>
      <c r="D170" s="7977">
        <f t="shared" si="27"/>
        <v>0</v>
      </c>
      <c r="E170" s="3028"/>
      <c r="F170" s="4956"/>
      <c r="G170" s="3028"/>
      <c r="H170" s="4956"/>
      <c r="I170" s="3028"/>
      <c r="J170" s="4956"/>
      <c r="K170" s="3028"/>
      <c r="L170" s="8054"/>
      <c r="M170" s="8054"/>
      <c r="N170" s="7235"/>
      <c r="O170" s="3028"/>
      <c r="P170" s="4956"/>
      <c r="Q170" s="3028"/>
      <c r="R170" s="4956"/>
      <c r="S170" s="3028"/>
      <c r="T170" s="4956"/>
      <c r="U170" s="3028"/>
      <c r="V170" s="4956"/>
      <c r="W170" s="3028"/>
      <c r="X170" s="4956"/>
      <c r="Y170" s="3028"/>
      <c r="Z170" s="4956"/>
      <c r="AA170" s="3028"/>
      <c r="AB170" s="4956"/>
      <c r="AC170" s="3028"/>
      <c r="AD170" s="7235"/>
      <c r="AE170" s="3028"/>
      <c r="AF170" s="4956"/>
      <c r="AG170" s="3028"/>
      <c r="AH170" s="4956"/>
      <c r="AI170" s="3028"/>
      <c r="AJ170" s="4956"/>
      <c r="AK170" s="3136"/>
      <c r="AL170" s="7235"/>
      <c r="AM170" s="8059"/>
      <c r="AN170" s="3028"/>
      <c r="AO170" s="4956"/>
      <c r="AP170" s="1193" t="str">
        <f t="shared" si="28"/>
        <v/>
      </c>
      <c r="BU170" s="1452"/>
      <c r="BV170" s="1452"/>
      <c r="BY170" s="290"/>
      <c r="BZ170" s="290"/>
      <c r="CA170" s="290"/>
      <c r="CB170" s="290"/>
      <c r="CC170" s="290"/>
      <c r="CD170" s="1460"/>
      <c r="CE170" s="1460"/>
      <c r="CF170" s="1460"/>
      <c r="CG170" s="1460"/>
      <c r="CH170" s="1460"/>
      <c r="CI170" s="1460"/>
      <c r="CJ170" s="1460"/>
      <c r="CK170" s="1460"/>
      <c r="CL170" s="1460"/>
      <c r="CM170" s="1460"/>
      <c r="CN170" s="1460"/>
      <c r="CO170" s="1460"/>
      <c r="CP170" s="1460"/>
      <c r="CQ170" s="290"/>
      <c r="CR170" s="290"/>
      <c r="CS170" s="290"/>
      <c r="CT170" s="1457" t="str">
        <f t="shared" si="23"/>
        <v/>
      </c>
      <c r="CU170" s="1457"/>
      <c r="CV170" s="1457"/>
      <c r="CW170" s="1457"/>
      <c r="CX170" s="1457"/>
      <c r="CY170" s="1457"/>
      <c r="CZ170" s="1458">
        <f t="shared" si="24"/>
        <v>0</v>
      </c>
      <c r="DA170" s="1454"/>
      <c r="DB170" s="1454"/>
      <c r="DC170" s="1454"/>
      <c r="DD170" s="1454"/>
      <c r="DE170" s="1454"/>
      <c r="DF170" s="1454"/>
      <c r="DG170" s="1454"/>
      <c r="DH170" s="1454"/>
      <c r="DI170" s="1454"/>
      <c r="DJ170" s="1454"/>
      <c r="DK170" s="1454"/>
      <c r="DL170" s="1454"/>
      <c r="DM170" s="1454"/>
      <c r="EA170" s="290"/>
      <c r="EB170" s="290"/>
      <c r="EC170" s="290"/>
      <c r="ED170" s="290"/>
      <c r="EE170" s="290"/>
      <c r="EF170" s="290"/>
      <c r="EG170" s="290"/>
      <c r="EH170" s="290"/>
      <c r="EI170" s="290"/>
      <c r="EJ170" s="290"/>
      <c r="EK170" s="290"/>
      <c r="EL170" s="290"/>
      <c r="EM170" s="290"/>
      <c r="EN170" s="290"/>
      <c r="EO170" s="290"/>
      <c r="EP170" s="290"/>
      <c r="EQ170" s="290"/>
      <c r="ER170" s="290"/>
      <c r="ES170" s="290"/>
    </row>
    <row r="171" spans="1:149" ht="14.1" customHeight="1" x14ac:dyDescent="0.2">
      <c r="A171" s="7770" t="s">
        <v>2819</v>
      </c>
      <c r="B171" s="5128">
        <f t="shared" si="25"/>
        <v>0</v>
      </c>
      <c r="C171" s="7977">
        <f t="shared" si="26"/>
        <v>0</v>
      </c>
      <c r="D171" s="7977">
        <f t="shared" si="27"/>
        <v>0</v>
      </c>
      <c r="E171" s="3028"/>
      <c r="F171" s="4956"/>
      <c r="G171" s="3028"/>
      <c r="H171" s="4956"/>
      <c r="I171" s="3028"/>
      <c r="J171" s="4956"/>
      <c r="K171" s="3028"/>
      <c r="L171" s="8054"/>
      <c r="M171" s="8054"/>
      <c r="N171" s="7235"/>
      <c r="O171" s="3028"/>
      <c r="P171" s="4956"/>
      <c r="Q171" s="3028"/>
      <c r="R171" s="4956"/>
      <c r="S171" s="3028"/>
      <c r="T171" s="4956"/>
      <c r="U171" s="3028"/>
      <c r="V171" s="4956"/>
      <c r="W171" s="3028"/>
      <c r="X171" s="4956"/>
      <c r="Y171" s="3028"/>
      <c r="Z171" s="4956"/>
      <c r="AA171" s="3028"/>
      <c r="AB171" s="4956"/>
      <c r="AC171" s="3028"/>
      <c r="AD171" s="7235"/>
      <c r="AE171" s="3028"/>
      <c r="AF171" s="4956"/>
      <c r="AG171" s="3028"/>
      <c r="AH171" s="4956"/>
      <c r="AI171" s="3028"/>
      <c r="AJ171" s="4956"/>
      <c r="AK171" s="3136"/>
      <c r="AL171" s="7235"/>
      <c r="AM171" s="8059"/>
      <c r="AN171" s="3028"/>
      <c r="AO171" s="4956"/>
      <c r="AP171" s="1193" t="str">
        <f t="shared" si="28"/>
        <v/>
      </c>
      <c r="BU171" s="1452"/>
      <c r="BV171" s="1452"/>
      <c r="BY171" s="290"/>
      <c r="BZ171" s="290"/>
      <c r="CA171" s="290"/>
      <c r="CB171" s="290"/>
      <c r="CC171" s="290"/>
      <c r="CD171" s="1460"/>
      <c r="CE171" s="1460"/>
      <c r="CF171" s="1460"/>
      <c r="CG171" s="1460"/>
      <c r="CH171" s="1460"/>
      <c r="CI171" s="1460"/>
      <c r="CJ171" s="1460"/>
      <c r="CK171" s="1460"/>
      <c r="CL171" s="1460"/>
      <c r="CM171" s="1460"/>
      <c r="CN171" s="1460"/>
      <c r="CO171" s="1460"/>
      <c r="CP171" s="1460"/>
      <c r="CQ171" s="290"/>
      <c r="CR171" s="290"/>
      <c r="CS171" s="290"/>
      <c r="CT171" s="1457" t="str">
        <f t="shared" si="23"/>
        <v/>
      </c>
      <c r="CU171" s="1451"/>
      <c r="CV171" s="1451"/>
      <c r="CW171" s="1451"/>
      <c r="CX171" s="1451"/>
      <c r="CY171" s="1451"/>
      <c r="CZ171" s="1458">
        <f t="shared" si="24"/>
        <v>0</v>
      </c>
      <c r="DA171" s="1454"/>
      <c r="DB171" s="1454"/>
      <c r="DC171" s="1454"/>
      <c r="DD171" s="1454"/>
      <c r="DE171" s="1454"/>
      <c r="DF171" s="1454"/>
      <c r="DG171" s="1454"/>
      <c r="DH171" s="1454"/>
      <c r="DI171" s="1454"/>
      <c r="DJ171" s="1454"/>
      <c r="DK171" s="1454"/>
      <c r="DL171" s="1454"/>
      <c r="DM171" s="1454"/>
      <c r="EA171" s="290"/>
      <c r="EB171" s="290"/>
      <c r="EC171" s="290"/>
      <c r="ED171" s="290"/>
      <c r="EE171" s="290"/>
      <c r="EF171" s="290"/>
      <c r="EG171" s="290"/>
      <c r="EH171" s="290"/>
      <c r="EI171" s="290"/>
      <c r="EJ171" s="290"/>
      <c r="EK171" s="290"/>
      <c r="EL171" s="290"/>
      <c r="EM171" s="290"/>
      <c r="EN171" s="290"/>
      <c r="EO171" s="290"/>
      <c r="EP171" s="290"/>
      <c r="EQ171" s="290"/>
      <c r="ER171" s="290"/>
      <c r="ES171" s="290"/>
    </row>
    <row r="172" spans="1:149" ht="14.1" customHeight="1" x14ac:dyDescent="0.2">
      <c r="A172" s="7770" t="s">
        <v>1759</v>
      </c>
      <c r="B172" s="5128">
        <f t="shared" si="25"/>
        <v>0</v>
      </c>
      <c r="C172" s="7977">
        <f t="shared" si="26"/>
        <v>0</v>
      </c>
      <c r="D172" s="7977">
        <f t="shared" si="27"/>
        <v>0</v>
      </c>
      <c r="E172" s="3028"/>
      <c r="F172" s="4956"/>
      <c r="G172" s="3028"/>
      <c r="H172" s="4956"/>
      <c r="I172" s="3028"/>
      <c r="J172" s="4956"/>
      <c r="K172" s="3028"/>
      <c r="L172" s="8054"/>
      <c r="M172" s="8054"/>
      <c r="N172" s="7235"/>
      <c r="O172" s="3028"/>
      <c r="P172" s="4956"/>
      <c r="Q172" s="3028"/>
      <c r="R172" s="4956"/>
      <c r="S172" s="3028"/>
      <c r="T172" s="4956"/>
      <c r="U172" s="3028"/>
      <c r="V172" s="4956"/>
      <c r="W172" s="3028"/>
      <c r="X172" s="4956"/>
      <c r="Y172" s="3028"/>
      <c r="Z172" s="4956"/>
      <c r="AA172" s="3028"/>
      <c r="AB172" s="4956"/>
      <c r="AC172" s="3028"/>
      <c r="AD172" s="7235"/>
      <c r="AE172" s="3028"/>
      <c r="AF172" s="4956"/>
      <c r="AG172" s="3028"/>
      <c r="AH172" s="4956"/>
      <c r="AI172" s="3028"/>
      <c r="AJ172" s="4956"/>
      <c r="AK172" s="3136"/>
      <c r="AL172" s="7235"/>
      <c r="AM172" s="8059"/>
      <c r="AN172" s="3028"/>
      <c r="AO172" s="4956"/>
      <c r="AP172" s="1193" t="str">
        <f t="shared" si="28"/>
        <v/>
      </c>
      <c r="BU172" s="1452"/>
      <c r="BV172" s="1452"/>
      <c r="BY172" s="290"/>
      <c r="BZ172" s="290"/>
      <c r="CA172" s="290"/>
      <c r="CB172" s="290"/>
      <c r="CC172" s="290"/>
      <c r="CD172" s="1460"/>
      <c r="CE172" s="1460"/>
      <c r="CF172" s="1460"/>
      <c r="CG172" s="1460"/>
      <c r="CH172" s="1460"/>
      <c r="CI172" s="1460"/>
      <c r="CJ172" s="1460"/>
      <c r="CK172" s="1460"/>
      <c r="CL172" s="1460"/>
      <c r="CM172" s="1460"/>
      <c r="CN172" s="1460"/>
      <c r="CO172" s="1460"/>
      <c r="CP172" s="1460"/>
      <c r="CQ172" s="290"/>
      <c r="CR172" s="290"/>
      <c r="CS172" s="290"/>
      <c r="CT172" s="1457" t="str">
        <f t="shared" si="23"/>
        <v/>
      </c>
      <c r="CU172" s="1451"/>
      <c r="CV172" s="1451"/>
      <c r="CW172" s="1451"/>
      <c r="CX172" s="1451"/>
      <c r="CY172" s="1451"/>
      <c r="CZ172" s="1458">
        <f t="shared" si="24"/>
        <v>0</v>
      </c>
      <c r="DA172" s="1454"/>
      <c r="DB172" s="1454"/>
      <c r="DC172" s="1454"/>
      <c r="DD172" s="1454"/>
      <c r="DE172" s="1454"/>
      <c r="DF172" s="1454"/>
      <c r="DG172" s="1454"/>
      <c r="DH172" s="1454"/>
      <c r="DI172" s="1454"/>
      <c r="DJ172" s="1454"/>
      <c r="DK172" s="1454"/>
      <c r="DL172" s="1454"/>
      <c r="DM172" s="1454"/>
      <c r="EA172" s="290"/>
      <c r="EB172" s="290"/>
      <c r="EC172" s="290"/>
      <c r="ED172" s="290"/>
      <c r="EE172" s="290"/>
      <c r="EF172" s="290"/>
      <c r="EG172" s="290"/>
      <c r="EH172" s="290"/>
      <c r="EI172" s="290"/>
      <c r="EJ172" s="290"/>
      <c r="EK172" s="290"/>
      <c r="EL172" s="290"/>
      <c r="EM172" s="290"/>
      <c r="EN172" s="290"/>
      <c r="EO172" s="290"/>
      <c r="EP172" s="290"/>
      <c r="EQ172" s="290"/>
      <c r="ER172" s="290"/>
      <c r="ES172" s="290"/>
    </row>
    <row r="173" spans="1:149" ht="14.1" customHeight="1" x14ac:dyDescent="0.2">
      <c r="A173" s="7770" t="s">
        <v>313</v>
      </c>
      <c r="B173" s="5128">
        <f t="shared" si="25"/>
        <v>0</v>
      </c>
      <c r="C173" s="7977">
        <f t="shared" si="26"/>
        <v>0</v>
      </c>
      <c r="D173" s="7977">
        <f t="shared" si="27"/>
        <v>0</v>
      </c>
      <c r="E173" s="3028"/>
      <c r="F173" s="4956"/>
      <c r="G173" s="3028"/>
      <c r="H173" s="4956"/>
      <c r="I173" s="3028"/>
      <c r="J173" s="4956"/>
      <c r="K173" s="3028"/>
      <c r="L173" s="8054"/>
      <c r="M173" s="8054"/>
      <c r="N173" s="7235"/>
      <c r="O173" s="3028"/>
      <c r="P173" s="4956"/>
      <c r="Q173" s="3028"/>
      <c r="R173" s="4956"/>
      <c r="S173" s="3028"/>
      <c r="T173" s="4956"/>
      <c r="U173" s="3028"/>
      <c r="V173" s="4956"/>
      <c r="W173" s="3028"/>
      <c r="X173" s="4956"/>
      <c r="Y173" s="3028"/>
      <c r="Z173" s="4956"/>
      <c r="AA173" s="3028"/>
      <c r="AB173" s="4956"/>
      <c r="AC173" s="3028"/>
      <c r="AD173" s="7235"/>
      <c r="AE173" s="3028"/>
      <c r="AF173" s="4956"/>
      <c r="AG173" s="3028"/>
      <c r="AH173" s="4956"/>
      <c r="AI173" s="3028"/>
      <c r="AJ173" s="4956"/>
      <c r="AK173" s="3136"/>
      <c r="AL173" s="7235"/>
      <c r="AM173" s="8059"/>
      <c r="AN173" s="3028"/>
      <c r="AO173" s="4956"/>
      <c r="AP173" s="1193" t="str">
        <f t="shared" si="28"/>
        <v/>
      </c>
      <c r="BU173" s="1452"/>
      <c r="BV173" s="1452"/>
      <c r="BY173" s="290"/>
      <c r="BZ173" s="290"/>
      <c r="CA173" s="290"/>
      <c r="CB173" s="290"/>
      <c r="CC173" s="290"/>
      <c r="CD173" s="1460"/>
      <c r="CE173" s="1460"/>
      <c r="CF173" s="1460"/>
      <c r="CG173" s="1460"/>
      <c r="CH173" s="1460"/>
      <c r="CI173" s="1460"/>
      <c r="CJ173" s="1460"/>
      <c r="CK173" s="1460"/>
      <c r="CL173" s="1460"/>
      <c r="CM173" s="1460"/>
      <c r="CN173" s="1460"/>
      <c r="CO173" s="1460"/>
      <c r="CP173" s="1460"/>
      <c r="CQ173" s="290"/>
      <c r="CR173" s="290"/>
      <c r="CS173" s="290"/>
      <c r="CT173" s="1457" t="str">
        <f t="shared" si="23"/>
        <v/>
      </c>
      <c r="CU173" s="1451"/>
      <c r="CV173" s="1451"/>
      <c r="CW173" s="1451"/>
      <c r="CX173" s="1451"/>
      <c r="CY173" s="1451"/>
      <c r="CZ173" s="1458">
        <f t="shared" si="24"/>
        <v>0</v>
      </c>
      <c r="DA173" s="1454"/>
      <c r="DB173" s="1454"/>
      <c r="DC173" s="1454"/>
      <c r="DD173" s="1454"/>
      <c r="DE173" s="1454"/>
      <c r="DF173" s="1454"/>
      <c r="DG173" s="1454"/>
      <c r="DH173" s="1454"/>
      <c r="DI173" s="1454"/>
      <c r="DJ173" s="1454"/>
      <c r="DK173" s="1454"/>
      <c r="DL173" s="1454"/>
      <c r="DM173" s="1454"/>
      <c r="EA173" s="290"/>
      <c r="EB173" s="290"/>
      <c r="EC173" s="290"/>
      <c r="ED173" s="290"/>
      <c r="EE173" s="290"/>
      <c r="EF173" s="290"/>
      <c r="EG173" s="290"/>
      <c r="EH173" s="290"/>
      <c r="EI173" s="290"/>
      <c r="EJ173" s="290"/>
      <c r="EK173" s="290"/>
      <c r="EL173" s="290"/>
      <c r="EM173" s="290"/>
      <c r="EN173" s="290"/>
      <c r="EO173" s="290"/>
      <c r="EP173" s="290"/>
      <c r="EQ173" s="290"/>
      <c r="ER173" s="290"/>
      <c r="ES173" s="290"/>
    </row>
    <row r="174" spans="1:149" ht="14.1" customHeight="1" x14ac:dyDescent="0.2">
      <c r="A174" s="7770" t="s">
        <v>314</v>
      </c>
      <c r="B174" s="5128">
        <f t="shared" si="25"/>
        <v>0</v>
      </c>
      <c r="C174" s="7977">
        <f t="shared" si="26"/>
        <v>0</v>
      </c>
      <c r="D174" s="7977">
        <f t="shared" si="27"/>
        <v>0</v>
      </c>
      <c r="E174" s="3028"/>
      <c r="F174" s="4956"/>
      <c r="G174" s="3028"/>
      <c r="H174" s="4956"/>
      <c r="I174" s="3028"/>
      <c r="J174" s="4956"/>
      <c r="K174" s="3028"/>
      <c r="L174" s="8054"/>
      <c r="M174" s="8054"/>
      <c r="N174" s="7235"/>
      <c r="O174" s="3028"/>
      <c r="P174" s="4956"/>
      <c r="Q174" s="3028"/>
      <c r="R174" s="4956"/>
      <c r="S174" s="3028"/>
      <c r="T174" s="4956"/>
      <c r="U174" s="3028"/>
      <c r="V174" s="4956"/>
      <c r="W174" s="3028"/>
      <c r="X174" s="4956"/>
      <c r="Y174" s="3028"/>
      <c r="Z174" s="4956"/>
      <c r="AA174" s="3028"/>
      <c r="AB174" s="4956"/>
      <c r="AC174" s="3028"/>
      <c r="AD174" s="7235"/>
      <c r="AE174" s="3028"/>
      <c r="AF174" s="4956"/>
      <c r="AG174" s="3028"/>
      <c r="AH174" s="4956"/>
      <c r="AI174" s="3028"/>
      <c r="AJ174" s="4956"/>
      <c r="AK174" s="3136"/>
      <c r="AL174" s="7235"/>
      <c r="AM174" s="8059"/>
      <c r="AN174" s="3028"/>
      <c r="AO174" s="4956"/>
      <c r="AP174" s="1193" t="str">
        <f t="shared" si="28"/>
        <v/>
      </c>
      <c r="BU174" s="1452"/>
      <c r="BV174" s="1452"/>
      <c r="BY174" s="290"/>
      <c r="BZ174" s="290"/>
      <c r="CA174" s="290"/>
      <c r="CB174" s="290"/>
      <c r="CC174" s="290"/>
      <c r="CD174" s="1460"/>
      <c r="CE174" s="1460"/>
      <c r="CF174" s="1460"/>
      <c r="CG174" s="1460"/>
      <c r="CH174" s="1460"/>
      <c r="CI174" s="1460"/>
      <c r="CJ174" s="1460"/>
      <c r="CK174" s="1460"/>
      <c r="CL174" s="1460"/>
      <c r="CM174" s="1460"/>
      <c r="CN174" s="1460"/>
      <c r="CO174" s="1460"/>
      <c r="CP174" s="1460"/>
      <c r="CQ174" s="290"/>
      <c r="CR174" s="290"/>
      <c r="CS174" s="290"/>
      <c r="CT174" s="1457" t="str">
        <f t="shared" si="23"/>
        <v/>
      </c>
      <c r="CU174" s="1451"/>
      <c r="CV174" s="1451"/>
      <c r="CW174" s="1451"/>
      <c r="CX174" s="1451"/>
      <c r="CY174" s="1451"/>
      <c r="CZ174" s="1458">
        <f t="shared" si="24"/>
        <v>0</v>
      </c>
      <c r="DA174" s="1454"/>
      <c r="DB174" s="1454"/>
      <c r="DC174" s="1454"/>
      <c r="DD174" s="1454"/>
      <c r="DE174" s="1454"/>
      <c r="DF174" s="1454"/>
      <c r="DG174" s="1454"/>
      <c r="DH174" s="1454"/>
      <c r="DI174" s="1454"/>
      <c r="DJ174" s="1454"/>
      <c r="DK174" s="1454"/>
      <c r="DL174" s="1454"/>
      <c r="DM174" s="1454"/>
      <c r="EA174" s="290"/>
      <c r="EB174" s="290"/>
      <c r="EC174" s="290"/>
      <c r="ED174" s="290"/>
      <c r="EE174" s="290"/>
      <c r="EF174" s="290"/>
      <c r="EG174" s="290"/>
      <c r="EH174" s="290"/>
      <c r="EI174" s="290"/>
      <c r="EJ174" s="290"/>
      <c r="EK174" s="290"/>
      <c r="EL174" s="290"/>
      <c r="EM174" s="290"/>
      <c r="EN174" s="290"/>
      <c r="EO174" s="290"/>
      <c r="EP174" s="290"/>
      <c r="EQ174" s="290"/>
      <c r="ER174" s="290"/>
      <c r="ES174" s="290"/>
    </row>
    <row r="175" spans="1:149" ht="14.1" customHeight="1" x14ac:dyDescent="0.2">
      <c r="A175" s="7770" t="s">
        <v>2818</v>
      </c>
      <c r="B175" s="5128">
        <f t="shared" si="25"/>
        <v>0</v>
      </c>
      <c r="C175" s="7977">
        <f t="shared" si="26"/>
        <v>0</v>
      </c>
      <c r="D175" s="7977">
        <f t="shared" si="27"/>
        <v>0</v>
      </c>
      <c r="E175" s="3028"/>
      <c r="F175" s="4956"/>
      <c r="G175" s="3028"/>
      <c r="H175" s="4956"/>
      <c r="I175" s="3028"/>
      <c r="J175" s="4956"/>
      <c r="K175" s="3028"/>
      <c r="L175" s="8054"/>
      <c r="M175" s="8054"/>
      <c r="N175" s="7235"/>
      <c r="O175" s="3028"/>
      <c r="P175" s="4956"/>
      <c r="Q175" s="3028"/>
      <c r="R175" s="4956"/>
      <c r="S175" s="3028"/>
      <c r="T175" s="4956"/>
      <c r="U175" s="3028"/>
      <c r="V175" s="4956"/>
      <c r="W175" s="3028"/>
      <c r="X175" s="4956"/>
      <c r="Y175" s="3028"/>
      <c r="Z175" s="4956"/>
      <c r="AA175" s="3028"/>
      <c r="AB175" s="4956"/>
      <c r="AC175" s="3028"/>
      <c r="AD175" s="7235"/>
      <c r="AE175" s="3028"/>
      <c r="AF175" s="4956"/>
      <c r="AG175" s="3028"/>
      <c r="AH175" s="4956"/>
      <c r="AI175" s="3028"/>
      <c r="AJ175" s="4956"/>
      <c r="AK175" s="3136"/>
      <c r="AL175" s="7235"/>
      <c r="AM175" s="8059"/>
      <c r="AN175" s="3028"/>
      <c r="AO175" s="4956"/>
      <c r="AP175" s="1193" t="str">
        <f t="shared" si="28"/>
        <v/>
      </c>
      <c r="BU175" s="1452"/>
      <c r="BV175" s="1452"/>
      <c r="BY175" s="290"/>
      <c r="BZ175" s="290"/>
      <c r="CA175" s="290"/>
      <c r="CB175" s="290"/>
      <c r="CC175" s="290"/>
      <c r="CD175" s="1460"/>
      <c r="CE175" s="1460"/>
      <c r="CF175" s="1460"/>
      <c r="CG175" s="1460"/>
      <c r="CH175" s="1460"/>
      <c r="CI175" s="1460"/>
      <c r="CJ175" s="1460"/>
      <c r="CK175" s="1460"/>
      <c r="CL175" s="1460"/>
      <c r="CM175" s="1460"/>
      <c r="CN175" s="1460"/>
      <c r="CO175" s="1460"/>
      <c r="CP175" s="1460"/>
      <c r="CQ175" s="290"/>
      <c r="CR175" s="290"/>
      <c r="CS175" s="290"/>
      <c r="CT175" s="1457" t="str">
        <f t="shared" si="23"/>
        <v/>
      </c>
      <c r="CU175" s="1451"/>
      <c r="CV175" s="1451"/>
      <c r="CW175" s="1451"/>
      <c r="CX175" s="1451"/>
      <c r="CY175" s="1451"/>
      <c r="CZ175" s="1458">
        <f t="shared" si="24"/>
        <v>0</v>
      </c>
      <c r="DA175" s="1454"/>
      <c r="DB175" s="1454"/>
      <c r="DC175" s="1454"/>
      <c r="DD175" s="1454"/>
      <c r="DE175" s="1454"/>
      <c r="DF175" s="1454"/>
      <c r="DG175" s="1454"/>
      <c r="DH175" s="1454"/>
      <c r="DI175" s="1454"/>
      <c r="DJ175" s="1454"/>
      <c r="DK175" s="1454"/>
      <c r="DL175" s="1454"/>
      <c r="DM175" s="1454"/>
      <c r="EA175" s="290"/>
      <c r="EB175" s="290"/>
      <c r="EC175" s="290"/>
      <c r="ED175" s="290"/>
      <c r="EE175" s="290"/>
      <c r="EF175" s="290"/>
      <c r="EG175" s="290"/>
      <c r="EH175" s="290"/>
      <c r="EI175" s="290"/>
      <c r="EJ175" s="290"/>
      <c r="EK175" s="290"/>
      <c r="EL175" s="290"/>
      <c r="EM175" s="290"/>
      <c r="EN175" s="290"/>
      <c r="EO175" s="290"/>
      <c r="EP175" s="290"/>
      <c r="EQ175" s="290"/>
      <c r="ER175" s="290"/>
      <c r="ES175" s="290"/>
    </row>
    <row r="176" spans="1:149" ht="14.1" customHeight="1" x14ac:dyDescent="0.2">
      <c r="A176" s="7886" t="s">
        <v>70</v>
      </c>
      <c r="B176" s="5128">
        <f t="shared" si="25"/>
        <v>0</v>
      </c>
      <c r="C176" s="7977">
        <f t="shared" si="26"/>
        <v>0</v>
      </c>
      <c r="D176" s="7977">
        <f t="shared" si="27"/>
        <v>0</v>
      </c>
      <c r="E176" s="3278"/>
      <c r="F176" s="3280"/>
      <c r="G176" s="3278"/>
      <c r="H176" s="3280"/>
      <c r="I176" s="3278"/>
      <c r="J176" s="3280"/>
      <c r="K176" s="3278"/>
      <c r="L176" s="3330"/>
      <c r="M176" s="3330"/>
      <c r="N176" s="3319"/>
      <c r="O176" s="3278"/>
      <c r="P176" s="3280"/>
      <c r="Q176" s="3278"/>
      <c r="R176" s="3280"/>
      <c r="S176" s="3278"/>
      <c r="T176" s="3280"/>
      <c r="U176" s="3278"/>
      <c r="V176" s="3280"/>
      <c r="W176" s="3278"/>
      <c r="X176" s="3280"/>
      <c r="Y176" s="3278"/>
      <c r="Z176" s="3280"/>
      <c r="AA176" s="3278"/>
      <c r="AB176" s="3280"/>
      <c r="AC176" s="3278"/>
      <c r="AD176" s="3319"/>
      <c r="AE176" s="3278"/>
      <c r="AF176" s="3280"/>
      <c r="AG176" s="3278"/>
      <c r="AH176" s="3280"/>
      <c r="AI176" s="3278"/>
      <c r="AJ176" s="3280"/>
      <c r="AK176" s="2057"/>
      <c r="AL176" s="3319"/>
      <c r="AM176" s="8061"/>
      <c r="AN176" s="3278"/>
      <c r="AO176" s="3280"/>
      <c r="AP176" s="1193" t="str">
        <f t="shared" si="28"/>
        <v/>
      </c>
      <c r="BU176" s="1452"/>
      <c r="BV176" s="1452"/>
      <c r="BY176" s="290"/>
      <c r="BZ176" s="290"/>
      <c r="CA176" s="290"/>
      <c r="CB176" s="290"/>
      <c r="CC176" s="290"/>
      <c r="CD176" s="1460"/>
      <c r="CE176" s="1460"/>
      <c r="CF176" s="1460"/>
      <c r="CG176" s="1460"/>
      <c r="CH176" s="1460"/>
      <c r="CI176" s="1460"/>
      <c r="CJ176" s="1460"/>
      <c r="CK176" s="1460"/>
      <c r="CL176" s="1460"/>
      <c r="CM176" s="1460"/>
      <c r="CN176" s="1460"/>
      <c r="CO176" s="1460"/>
      <c r="CP176" s="1460"/>
      <c r="CQ176" s="290"/>
      <c r="CR176" s="290"/>
      <c r="CS176" s="290"/>
      <c r="CT176" s="1457" t="str">
        <f t="shared" si="23"/>
        <v/>
      </c>
      <c r="CU176" s="1451"/>
      <c r="CV176" s="1451"/>
      <c r="CW176" s="1451"/>
      <c r="CX176" s="1451"/>
      <c r="CY176" s="1451"/>
      <c r="CZ176" s="1458">
        <f t="shared" si="24"/>
        <v>0</v>
      </c>
      <c r="DA176" s="1454"/>
      <c r="DB176" s="1454"/>
      <c r="DC176" s="1454"/>
      <c r="DD176" s="1454"/>
      <c r="DE176" s="1454"/>
      <c r="DF176" s="1454"/>
      <c r="DG176" s="1454"/>
      <c r="DH176" s="1454"/>
      <c r="DI176" s="1454"/>
      <c r="DJ176" s="1454"/>
      <c r="DK176" s="1454"/>
      <c r="DL176" s="1454"/>
      <c r="DM176" s="1454"/>
      <c r="EA176" s="290"/>
      <c r="EB176" s="290"/>
      <c r="EC176" s="290"/>
      <c r="ED176" s="290"/>
      <c r="EE176" s="290"/>
      <c r="EF176" s="290"/>
      <c r="EG176" s="290"/>
      <c r="EH176" s="290"/>
      <c r="EI176" s="290"/>
      <c r="EJ176" s="290"/>
      <c r="EK176" s="290"/>
      <c r="EL176" s="290"/>
      <c r="EM176" s="290"/>
      <c r="EN176" s="290"/>
      <c r="EO176" s="290"/>
      <c r="EP176" s="290"/>
      <c r="EQ176" s="290"/>
      <c r="ER176" s="290"/>
      <c r="ES176" s="290"/>
    </row>
    <row r="177" spans="1:149" ht="14.1" customHeight="1" x14ac:dyDescent="0.2">
      <c r="A177" s="7887" t="s">
        <v>73</v>
      </c>
      <c r="B177" s="7888">
        <f>SUM(B178:B182)</f>
        <v>0</v>
      </c>
      <c r="C177" s="7978">
        <f>SUM(C178:C182)</f>
        <v>0</v>
      </c>
      <c r="D177" s="7978">
        <f>SUM(D178:D182)</f>
        <v>0</v>
      </c>
      <c r="E177" s="7264">
        <f>SUM(E178:E182)</f>
        <v>0</v>
      </c>
      <c r="F177" s="7284">
        <f t="shared" ref="F177:AL177" si="29">SUM(F178:F182)</f>
        <v>0</v>
      </c>
      <c r="G177" s="7264">
        <f t="shared" si="29"/>
        <v>0</v>
      </c>
      <c r="H177" s="7284">
        <f>SUM(H178:H182)</f>
        <v>0</v>
      </c>
      <c r="I177" s="7264">
        <f t="shared" si="29"/>
        <v>0</v>
      </c>
      <c r="J177" s="7284">
        <f t="shared" si="29"/>
        <v>0</v>
      </c>
      <c r="K177" s="7264">
        <f t="shared" si="29"/>
        <v>0</v>
      </c>
      <c r="L177" s="7264">
        <f t="shared" si="29"/>
        <v>0</v>
      </c>
      <c r="M177" s="7264">
        <f t="shared" si="29"/>
        <v>0</v>
      </c>
      <c r="N177" s="7266">
        <f t="shared" si="29"/>
        <v>0</v>
      </c>
      <c r="O177" s="7264">
        <f t="shared" si="29"/>
        <v>0</v>
      </c>
      <c r="P177" s="7284">
        <f t="shared" si="29"/>
        <v>0</v>
      </c>
      <c r="Q177" s="7264">
        <f t="shared" si="29"/>
        <v>0</v>
      </c>
      <c r="R177" s="7284">
        <f t="shared" si="29"/>
        <v>0</v>
      </c>
      <c r="S177" s="7264">
        <f t="shared" si="29"/>
        <v>0</v>
      </c>
      <c r="T177" s="7284">
        <f t="shared" si="29"/>
        <v>0</v>
      </c>
      <c r="U177" s="7264">
        <f t="shared" si="29"/>
        <v>0</v>
      </c>
      <c r="V177" s="7284">
        <f t="shared" si="29"/>
        <v>0</v>
      </c>
      <c r="W177" s="7264">
        <f t="shared" si="29"/>
        <v>0</v>
      </c>
      <c r="X177" s="7284">
        <f t="shared" si="29"/>
        <v>0</v>
      </c>
      <c r="Y177" s="7264">
        <f t="shared" si="29"/>
        <v>0</v>
      </c>
      <c r="Z177" s="7284">
        <f t="shared" si="29"/>
        <v>0</v>
      </c>
      <c r="AA177" s="7264">
        <f t="shared" si="29"/>
        <v>0</v>
      </c>
      <c r="AB177" s="7284">
        <f t="shared" si="29"/>
        <v>0</v>
      </c>
      <c r="AC177" s="7264">
        <f t="shared" si="29"/>
        <v>0</v>
      </c>
      <c r="AD177" s="7266">
        <f t="shared" si="29"/>
        <v>0</v>
      </c>
      <c r="AE177" s="7264">
        <f t="shared" si="29"/>
        <v>0</v>
      </c>
      <c r="AF177" s="7284">
        <f t="shared" si="29"/>
        <v>0</v>
      </c>
      <c r="AG177" s="7264">
        <f t="shared" si="29"/>
        <v>0</v>
      </c>
      <c r="AH177" s="7284">
        <f t="shared" si="29"/>
        <v>0</v>
      </c>
      <c r="AI177" s="7264">
        <f t="shared" si="29"/>
        <v>0</v>
      </c>
      <c r="AJ177" s="7284">
        <f t="shared" si="29"/>
        <v>0</v>
      </c>
      <c r="AK177" s="8064">
        <f t="shared" si="29"/>
        <v>0</v>
      </c>
      <c r="AL177" s="7889">
        <f t="shared" si="29"/>
        <v>0</v>
      </c>
      <c r="AM177" s="8065">
        <f t="shared" ref="AM177:AO177" si="30">SUM(AM178:AM182)</f>
        <v>0</v>
      </c>
      <c r="AN177" s="7284">
        <f t="shared" si="30"/>
        <v>0</v>
      </c>
      <c r="AO177" s="7320">
        <f t="shared" si="30"/>
        <v>0</v>
      </c>
      <c r="AP177" s="1193"/>
      <c r="BU177" s="1452"/>
      <c r="BV177" s="1452"/>
      <c r="BX177" s="1460"/>
      <c r="CA177" s="1460"/>
      <c r="CB177" s="1460"/>
      <c r="CC177" s="290"/>
      <c r="CD177" s="1460"/>
      <c r="CE177" s="1460"/>
      <c r="CF177" s="1460"/>
      <c r="CG177" s="1460"/>
      <c r="CH177" s="1460"/>
      <c r="CI177" s="1460"/>
      <c r="CJ177" s="1460"/>
      <c r="CK177" s="1460"/>
      <c r="CL177" s="1460"/>
      <c r="CM177" s="1460"/>
      <c r="CN177" s="1460"/>
      <c r="CO177" s="1460"/>
      <c r="CP177" s="1460"/>
      <c r="CQ177" s="290"/>
      <c r="CR177" s="290"/>
      <c r="CS177" s="290"/>
      <c r="CT177" s="1457"/>
      <c r="CU177" s="1457"/>
      <c r="CV177" s="1457"/>
      <c r="CW177" s="1457"/>
      <c r="CX177" s="1457"/>
      <c r="CY177" s="1457"/>
      <c r="CZ177" s="1458"/>
      <c r="DA177" s="1454"/>
      <c r="DB177" s="1454"/>
      <c r="DC177" s="1454"/>
      <c r="DD177" s="1454"/>
      <c r="DE177" s="1454"/>
      <c r="DF177" s="1454"/>
      <c r="DG177" s="1454"/>
      <c r="DH177" s="1454"/>
      <c r="DI177" s="1454"/>
      <c r="DJ177" s="1454"/>
      <c r="DK177" s="1454"/>
      <c r="DL177" s="1454"/>
      <c r="DM177" s="1454"/>
      <c r="EA177" s="290"/>
      <c r="EB177" s="290"/>
      <c r="EC177" s="290"/>
      <c r="ED177" s="290"/>
      <c r="EE177" s="290"/>
      <c r="EF177" s="290"/>
      <c r="EG177" s="290"/>
      <c r="EH177" s="290"/>
      <c r="EI177" s="290"/>
      <c r="EJ177" s="290"/>
      <c r="EK177" s="290"/>
      <c r="EL177" s="290"/>
      <c r="EM177" s="290"/>
      <c r="EN177" s="290"/>
      <c r="EO177" s="290"/>
      <c r="EP177" s="290"/>
      <c r="EQ177" s="290"/>
      <c r="ER177" s="290"/>
      <c r="ES177" s="290"/>
    </row>
    <row r="178" spans="1:149" ht="14.1" customHeight="1" x14ac:dyDescent="0.2">
      <c r="A178" s="3333" t="s">
        <v>152</v>
      </c>
      <c r="B178" s="7890">
        <f t="shared" si="25"/>
        <v>0</v>
      </c>
      <c r="C178" s="7977">
        <f t="shared" si="26"/>
        <v>0</v>
      </c>
      <c r="D178" s="7977">
        <f t="shared" si="27"/>
        <v>0</v>
      </c>
      <c r="E178" s="4025"/>
      <c r="F178" s="4966"/>
      <c r="G178" s="4025"/>
      <c r="H178" s="4966"/>
      <c r="I178" s="4025"/>
      <c r="J178" s="4966"/>
      <c r="K178" s="4025"/>
      <c r="L178" s="7178"/>
      <c r="M178" s="7178"/>
      <c r="N178" s="8062"/>
      <c r="O178" s="4025"/>
      <c r="P178" s="4966"/>
      <c r="Q178" s="4025"/>
      <c r="R178" s="4966"/>
      <c r="S178" s="4025"/>
      <c r="T178" s="4966"/>
      <c r="U178" s="4025"/>
      <c r="V178" s="4966"/>
      <c r="W178" s="4025"/>
      <c r="X178" s="4966"/>
      <c r="Y178" s="4025"/>
      <c r="Z178" s="4966"/>
      <c r="AA178" s="4025"/>
      <c r="AB178" s="4966"/>
      <c r="AC178" s="4025"/>
      <c r="AD178" s="8062"/>
      <c r="AE178" s="4025"/>
      <c r="AF178" s="4966"/>
      <c r="AG178" s="4025"/>
      <c r="AH178" s="4966"/>
      <c r="AI178" s="4025"/>
      <c r="AJ178" s="4966"/>
      <c r="AK178" s="4024"/>
      <c r="AL178" s="8062"/>
      <c r="AM178" s="8063"/>
      <c r="AN178" s="4025"/>
      <c r="AO178" s="4966"/>
      <c r="AP178" s="1193" t="str">
        <f t="shared" si="28"/>
        <v/>
      </c>
      <c r="BU178" s="1452"/>
      <c r="BV178" s="1452"/>
      <c r="BX178" s="1460"/>
      <c r="CA178" s="1460"/>
      <c r="CB178" s="1460"/>
      <c r="CC178" s="290"/>
      <c r="CD178" s="1460"/>
      <c r="CE178" s="1460"/>
      <c r="CF178" s="1460"/>
      <c r="CG178" s="1460"/>
      <c r="CH178" s="1460"/>
      <c r="CI178" s="1460"/>
      <c r="CJ178" s="1460"/>
      <c r="CK178" s="1460"/>
      <c r="CL178" s="1460"/>
      <c r="CM178" s="1460"/>
      <c r="CN178" s="1460"/>
      <c r="CO178" s="1460"/>
      <c r="CP178" s="1460"/>
      <c r="CQ178" s="290"/>
      <c r="CR178" s="290"/>
      <c r="CS178" s="290"/>
      <c r="CT178" s="1457" t="str">
        <f>IF(CZ178=1,"* El número de Egresos Según tipo de atención NO DEBE ser diferente al Total. ","")</f>
        <v/>
      </c>
      <c r="CU178" s="1457"/>
      <c r="CV178" s="1457"/>
      <c r="CW178" s="1457"/>
      <c r="CX178" s="1457"/>
      <c r="CY178" s="1457"/>
      <c r="CZ178" s="1458">
        <f>IF(B178&lt;&gt;SUM(AM178:AO178),1,0)</f>
        <v>0</v>
      </c>
      <c r="DA178" s="1454"/>
      <c r="DB178" s="1454"/>
      <c r="DC178" s="1454"/>
      <c r="DD178" s="1454"/>
      <c r="DE178" s="1454"/>
      <c r="DF178" s="1454"/>
      <c r="DG178" s="1454"/>
      <c r="DH178" s="1454"/>
      <c r="DI178" s="1454"/>
      <c r="DJ178" s="1454"/>
      <c r="DK178" s="1454"/>
      <c r="DL178" s="1454"/>
      <c r="DM178" s="1454"/>
      <c r="EA178" s="290"/>
      <c r="EB178" s="290"/>
      <c r="EC178" s="290"/>
      <c r="ED178" s="290"/>
      <c r="EE178" s="290"/>
      <c r="EF178" s="290"/>
      <c r="EG178" s="290"/>
      <c r="EH178" s="290"/>
      <c r="EI178" s="290"/>
      <c r="EJ178" s="290"/>
      <c r="EK178" s="290"/>
      <c r="EL178" s="290"/>
      <c r="EM178" s="290"/>
      <c r="EN178" s="290"/>
      <c r="EO178" s="290"/>
      <c r="EP178" s="290"/>
      <c r="EQ178" s="290"/>
      <c r="ER178" s="290"/>
      <c r="ES178" s="290"/>
    </row>
    <row r="179" spans="1:149" ht="14.1" customHeight="1" x14ac:dyDescent="0.2">
      <c r="A179" s="3333" t="s">
        <v>153</v>
      </c>
      <c r="B179" s="7885">
        <f t="shared" si="25"/>
        <v>0</v>
      </c>
      <c r="C179" s="7977">
        <f t="shared" si="26"/>
        <v>0</v>
      </c>
      <c r="D179" s="7977">
        <f t="shared" si="27"/>
        <v>0</v>
      </c>
      <c r="E179" s="3028"/>
      <c r="F179" s="4956"/>
      <c r="G179" s="3028"/>
      <c r="H179" s="4956"/>
      <c r="I179" s="3028"/>
      <c r="J179" s="4956"/>
      <c r="K179" s="3028"/>
      <c r="L179" s="8054"/>
      <c r="M179" s="8054"/>
      <c r="N179" s="7235"/>
      <c r="O179" s="3028"/>
      <c r="P179" s="4956"/>
      <c r="Q179" s="3028"/>
      <c r="R179" s="4956"/>
      <c r="S179" s="3028"/>
      <c r="T179" s="4956"/>
      <c r="U179" s="3028"/>
      <c r="V179" s="4956"/>
      <c r="W179" s="3028"/>
      <c r="X179" s="4956"/>
      <c r="Y179" s="3028"/>
      <c r="Z179" s="4956"/>
      <c r="AA179" s="3028"/>
      <c r="AB179" s="4956"/>
      <c r="AC179" s="3028"/>
      <c r="AD179" s="7235"/>
      <c r="AE179" s="3028"/>
      <c r="AF179" s="4956"/>
      <c r="AG179" s="3028"/>
      <c r="AH179" s="4956"/>
      <c r="AI179" s="3028"/>
      <c r="AJ179" s="4956"/>
      <c r="AK179" s="3136"/>
      <c r="AL179" s="7235"/>
      <c r="AM179" s="8059"/>
      <c r="AN179" s="3028"/>
      <c r="AO179" s="4956"/>
      <c r="AP179" s="1193" t="str">
        <f t="shared" si="28"/>
        <v/>
      </c>
      <c r="BU179" s="1452"/>
      <c r="BV179" s="1452"/>
      <c r="BX179" s="1460"/>
      <c r="CA179" s="1460"/>
      <c r="CB179" s="1460"/>
      <c r="CC179" s="290"/>
      <c r="CD179" s="1460"/>
      <c r="CE179" s="1460"/>
      <c r="CF179" s="1460"/>
      <c r="CG179" s="1460"/>
      <c r="CH179" s="1460"/>
      <c r="CI179" s="1460"/>
      <c r="CJ179" s="1460"/>
      <c r="CK179" s="1460"/>
      <c r="CL179" s="1460"/>
      <c r="CM179" s="1460"/>
      <c r="CN179" s="1460"/>
      <c r="CO179" s="1460"/>
      <c r="CP179" s="1460"/>
      <c r="CQ179" s="290"/>
      <c r="CR179" s="290"/>
      <c r="CS179" s="290"/>
      <c r="CT179" s="1457" t="str">
        <f>IF(CZ179=1,"* El número de Egresos Según tipo de atención NO DEBE ser diferente al Total. ","")</f>
        <v/>
      </c>
      <c r="CU179" s="1457"/>
      <c r="CV179" s="1457"/>
      <c r="CW179" s="1457"/>
      <c r="CX179" s="1457"/>
      <c r="CY179" s="1457"/>
      <c r="CZ179" s="1458">
        <f>IF(B179&lt;&gt;SUM(AM179:AO179),1,0)</f>
        <v>0</v>
      </c>
      <c r="DA179" s="1454"/>
      <c r="DB179" s="1454"/>
      <c r="DC179" s="1454"/>
      <c r="DD179" s="1454"/>
      <c r="DE179" s="1454"/>
      <c r="DF179" s="1454"/>
      <c r="DG179" s="1454"/>
      <c r="DH179" s="1454"/>
      <c r="DI179" s="1454"/>
      <c r="DJ179" s="1454"/>
      <c r="DK179" s="1454"/>
      <c r="DL179" s="1454"/>
      <c r="DM179" s="1454"/>
      <c r="EA179" s="290"/>
      <c r="EB179" s="290"/>
      <c r="EC179" s="290"/>
      <c r="ED179" s="290"/>
      <c r="EE179" s="290"/>
      <c r="EF179" s="290"/>
      <c r="EG179" s="290"/>
      <c r="EH179" s="290"/>
      <c r="EI179" s="290"/>
      <c r="EJ179" s="290"/>
      <c r="EK179" s="290"/>
      <c r="EL179" s="290"/>
      <c r="EM179" s="290"/>
      <c r="EN179" s="290"/>
      <c r="EO179" s="290"/>
      <c r="EP179" s="290"/>
      <c r="EQ179" s="290"/>
      <c r="ER179" s="290"/>
      <c r="ES179" s="290"/>
    </row>
    <row r="180" spans="1:149" ht="14.1" customHeight="1" x14ac:dyDescent="0.2">
      <c r="A180" s="3333" t="s">
        <v>154</v>
      </c>
      <c r="B180" s="7885">
        <f t="shared" si="25"/>
        <v>0</v>
      </c>
      <c r="C180" s="7977">
        <f t="shared" si="26"/>
        <v>0</v>
      </c>
      <c r="D180" s="7977">
        <f t="shared" si="27"/>
        <v>0</v>
      </c>
      <c r="E180" s="3028"/>
      <c r="F180" s="4956"/>
      <c r="G180" s="3028"/>
      <c r="H180" s="4956"/>
      <c r="I180" s="3028"/>
      <c r="J180" s="4956"/>
      <c r="K180" s="3028"/>
      <c r="L180" s="8054"/>
      <c r="M180" s="8054"/>
      <c r="N180" s="7235"/>
      <c r="O180" s="3028"/>
      <c r="P180" s="4956"/>
      <c r="Q180" s="3028"/>
      <c r="R180" s="4956"/>
      <c r="S180" s="3028"/>
      <c r="T180" s="4956"/>
      <c r="U180" s="3028"/>
      <c r="V180" s="4956"/>
      <c r="W180" s="3028"/>
      <c r="X180" s="4956"/>
      <c r="Y180" s="3028"/>
      <c r="Z180" s="4956"/>
      <c r="AA180" s="3028"/>
      <c r="AB180" s="4956"/>
      <c r="AC180" s="3028"/>
      <c r="AD180" s="7235"/>
      <c r="AE180" s="3028"/>
      <c r="AF180" s="4956"/>
      <c r="AG180" s="3028"/>
      <c r="AH180" s="4956"/>
      <c r="AI180" s="3028"/>
      <c r="AJ180" s="4956"/>
      <c r="AK180" s="3136"/>
      <c r="AL180" s="7235"/>
      <c r="AM180" s="8059"/>
      <c r="AN180" s="3028"/>
      <c r="AO180" s="4956"/>
      <c r="AP180" s="1193" t="str">
        <f t="shared" si="28"/>
        <v/>
      </c>
      <c r="BU180" s="1452"/>
      <c r="BV180" s="1452"/>
      <c r="BX180" s="1460"/>
      <c r="CA180" s="1460"/>
      <c r="CB180" s="1460"/>
      <c r="CC180" s="290"/>
      <c r="CD180" s="1460"/>
      <c r="CE180" s="1460"/>
      <c r="CF180" s="1460"/>
      <c r="CG180" s="1460"/>
      <c r="CH180" s="1460"/>
      <c r="CI180" s="1460"/>
      <c r="CJ180" s="1460"/>
      <c r="CK180" s="1460"/>
      <c r="CL180" s="1460"/>
      <c r="CM180" s="1460"/>
      <c r="CN180" s="1460"/>
      <c r="CO180" s="1460"/>
      <c r="CP180" s="1460"/>
      <c r="CQ180" s="290"/>
      <c r="CR180" s="290"/>
      <c r="CS180" s="290"/>
      <c r="CT180" s="1457" t="str">
        <f>IF(CZ180=1,"* El número de Egresos Según tipo de atención NO DEBE ser diferente al Total. ","")</f>
        <v/>
      </c>
      <c r="CU180" s="1457"/>
      <c r="CV180" s="1457"/>
      <c r="CW180" s="1457"/>
      <c r="CX180" s="1457"/>
      <c r="CY180" s="1457"/>
      <c r="CZ180" s="1458">
        <f>IF(B180&lt;&gt;SUM(AM180:AO180),1,0)</f>
        <v>0</v>
      </c>
      <c r="DA180" s="1454"/>
      <c r="DB180" s="1454"/>
      <c r="DC180" s="1454"/>
      <c r="DD180" s="1454"/>
      <c r="DE180" s="1454"/>
      <c r="DF180" s="1454"/>
      <c r="DG180" s="1454"/>
      <c r="DH180" s="1454"/>
      <c r="DI180" s="1454"/>
      <c r="DJ180" s="1454"/>
      <c r="DK180" s="1454"/>
      <c r="DL180" s="1454"/>
      <c r="DM180" s="1454"/>
      <c r="EA180" s="290"/>
      <c r="EB180" s="290"/>
      <c r="EC180" s="290"/>
      <c r="ED180" s="290"/>
      <c r="EE180" s="290"/>
      <c r="EF180" s="290"/>
      <c r="EG180" s="290"/>
      <c r="EH180" s="290"/>
      <c r="EI180" s="290"/>
      <c r="EJ180" s="290"/>
      <c r="EK180" s="290"/>
      <c r="EL180" s="290"/>
      <c r="EM180" s="290"/>
      <c r="EN180" s="290"/>
      <c r="EO180" s="290"/>
      <c r="EP180" s="290"/>
      <c r="EQ180" s="290"/>
      <c r="ER180" s="290"/>
      <c r="ES180" s="290"/>
    </row>
    <row r="181" spans="1:149" ht="14.1" customHeight="1" x14ac:dyDescent="0.2">
      <c r="A181" s="3333" t="s">
        <v>185</v>
      </c>
      <c r="B181" s="7885">
        <f t="shared" si="25"/>
        <v>0</v>
      </c>
      <c r="C181" s="7977">
        <f t="shared" si="26"/>
        <v>0</v>
      </c>
      <c r="D181" s="7977">
        <f t="shared" si="27"/>
        <v>0</v>
      </c>
      <c r="E181" s="3028"/>
      <c r="F181" s="4956"/>
      <c r="G181" s="3028"/>
      <c r="H181" s="4956"/>
      <c r="I181" s="3028"/>
      <c r="J181" s="4956"/>
      <c r="K181" s="3028"/>
      <c r="L181" s="8054"/>
      <c r="M181" s="8054"/>
      <c r="N181" s="7235"/>
      <c r="O181" s="3028"/>
      <c r="P181" s="4956"/>
      <c r="Q181" s="3028"/>
      <c r="R181" s="4956"/>
      <c r="S181" s="3028"/>
      <c r="T181" s="4956"/>
      <c r="U181" s="3028"/>
      <c r="V181" s="4956"/>
      <c r="W181" s="3028"/>
      <c r="X181" s="4956"/>
      <c r="Y181" s="3028"/>
      <c r="Z181" s="4956"/>
      <c r="AA181" s="3028"/>
      <c r="AB181" s="4956"/>
      <c r="AC181" s="3028"/>
      <c r="AD181" s="7235"/>
      <c r="AE181" s="3028"/>
      <c r="AF181" s="4956"/>
      <c r="AG181" s="3028"/>
      <c r="AH181" s="4956"/>
      <c r="AI181" s="3028"/>
      <c r="AJ181" s="4956"/>
      <c r="AK181" s="3136"/>
      <c r="AL181" s="7235"/>
      <c r="AM181" s="8059"/>
      <c r="AN181" s="3028"/>
      <c r="AO181" s="4956"/>
      <c r="AP181" s="1193" t="str">
        <f t="shared" si="28"/>
        <v/>
      </c>
      <c r="BU181" s="1452"/>
      <c r="BV181" s="1452"/>
      <c r="BX181" s="1460"/>
      <c r="CA181" s="1460"/>
      <c r="CB181" s="1460"/>
      <c r="CC181" s="290"/>
      <c r="CD181" s="1460"/>
      <c r="CE181" s="1460"/>
      <c r="CF181" s="1460"/>
      <c r="CG181" s="1460"/>
      <c r="CH181" s="1460"/>
      <c r="CI181" s="1460"/>
      <c r="CJ181" s="1460"/>
      <c r="CK181" s="1460"/>
      <c r="CL181" s="1460"/>
      <c r="CM181" s="1460"/>
      <c r="CN181" s="1460"/>
      <c r="CO181" s="1460"/>
      <c r="CP181" s="1460"/>
      <c r="CQ181" s="290"/>
      <c r="CR181" s="290"/>
      <c r="CS181" s="290"/>
      <c r="CT181" s="1457" t="str">
        <f>IF(CZ181=1,"* El número de Egresos Según tipo de atención NO DEBE ser diferente al Total. ","")</f>
        <v/>
      </c>
      <c r="CU181" s="1457"/>
      <c r="CV181" s="1457"/>
      <c r="CW181" s="1457"/>
      <c r="CX181" s="1457"/>
      <c r="CY181" s="1457"/>
      <c r="CZ181" s="1458">
        <f>IF(B181&lt;&gt;SUM(AM181:AO181),1,0)</f>
        <v>0</v>
      </c>
      <c r="DA181" s="1454"/>
      <c r="DB181" s="1454"/>
      <c r="DC181" s="1454"/>
      <c r="DD181" s="1454"/>
      <c r="DE181" s="1454"/>
      <c r="DF181" s="1454"/>
      <c r="DG181" s="1454"/>
      <c r="DH181" s="1454"/>
      <c r="DI181" s="1454"/>
      <c r="DJ181" s="1454"/>
      <c r="DK181" s="1454"/>
      <c r="DL181" s="1454"/>
      <c r="DM181" s="1454"/>
      <c r="EA181" s="290"/>
      <c r="EB181" s="290"/>
      <c r="EC181" s="290"/>
      <c r="ED181" s="290"/>
      <c r="EE181" s="290"/>
      <c r="EF181" s="290"/>
      <c r="EG181" s="290"/>
      <c r="EH181" s="290"/>
      <c r="EI181" s="290"/>
      <c r="EJ181" s="290"/>
      <c r="EK181" s="290"/>
      <c r="EL181" s="290"/>
      <c r="EM181" s="290"/>
      <c r="EN181" s="290"/>
      <c r="EO181" s="290"/>
      <c r="EP181" s="290"/>
      <c r="EQ181" s="290"/>
      <c r="ER181" s="290"/>
      <c r="ES181" s="290"/>
    </row>
    <row r="182" spans="1:149" ht="14.1" customHeight="1" x14ac:dyDescent="0.2">
      <c r="A182" s="3345" t="s">
        <v>70</v>
      </c>
      <c r="B182" s="7891">
        <f t="shared" si="25"/>
        <v>0</v>
      </c>
      <c r="C182" s="7979">
        <f t="shared" si="26"/>
        <v>0</v>
      </c>
      <c r="D182" s="7979">
        <f t="shared" si="27"/>
        <v>0</v>
      </c>
      <c r="E182" s="3248"/>
      <c r="F182" s="3127"/>
      <c r="G182" s="3248"/>
      <c r="H182" s="3127"/>
      <c r="I182" s="3248"/>
      <c r="J182" s="3127"/>
      <c r="K182" s="3248"/>
      <c r="L182" s="3064"/>
      <c r="M182" s="3064"/>
      <c r="N182" s="1898"/>
      <c r="O182" s="3248"/>
      <c r="P182" s="3127"/>
      <c r="Q182" s="3248"/>
      <c r="R182" s="3127"/>
      <c r="S182" s="3248"/>
      <c r="T182" s="3127"/>
      <c r="U182" s="3248"/>
      <c r="V182" s="3127"/>
      <c r="W182" s="3248"/>
      <c r="X182" s="3127"/>
      <c r="Y182" s="3248"/>
      <c r="Z182" s="3127"/>
      <c r="AA182" s="3248"/>
      <c r="AB182" s="3127"/>
      <c r="AC182" s="3248"/>
      <c r="AD182" s="1898"/>
      <c r="AE182" s="3248"/>
      <c r="AF182" s="3127"/>
      <c r="AG182" s="3248"/>
      <c r="AH182" s="3127"/>
      <c r="AI182" s="3248"/>
      <c r="AJ182" s="3127"/>
      <c r="AK182" s="3126"/>
      <c r="AL182" s="1898"/>
      <c r="AM182" s="8060"/>
      <c r="AN182" s="3248"/>
      <c r="AO182" s="3127"/>
      <c r="AP182" s="1193" t="str">
        <f t="shared" si="28"/>
        <v/>
      </c>
      <c r="BU182" s="1452"/>
      <c r="BV182" s="1452"/>
      <c r="BX182" s="1460"/>
      <c r="CA182" s="1460"/>
      <c r="CB182" s="1460"/>
      <c r="CC182" s="290"/>
      <c r="CD182" s="1460"/>
      <c r="CE182" s="1460"/>
      <c r="CF182" s="1460"/>
      <c r="CG182" s="1460"/>
      <c r="CH182" s="1460"/>
      <c r="CI182" s="1460"/>
      <c r="CJ182" s="1460"/>
      <c r="CK182" s="1460"/>
      <c r="CL182" s="1460"/>
      <c r="CM182" s="1460"/>
      <c r="CN182" s="1460"/>
      <c r="CO182" s="1460"/>
      <c r="CP182" s="1460"/>
      <c r="CQ182" s="290"/>
      <c r="CR182" s="290"/>
      <c r="CS182" s="290"/>
      <c r="CT182" s="1457" t="str">
        <f>IF(CZ182=1,"* El número de Egresos Según tipo de atención NO DEBE ser diferente al Total. ","")</f>
        <v/>
      </c>
      <c r="CU182" s="1457"/>
      <c r="CV182" s="1457"/>
      <c r="CW182" s="1457"/>
      <c r="CX182" s="1457"/>
      <c r="CY182" s="1457"/>
      <c r="CZ182" s="1458">
        <f>IF(B182&lt;&gt;SUM(AM182:AO182),1,0)</f>
        <v>0</v>
      </c>
      <c r="DA182" s="1454"/>
      <c r="DB182" s="1454"/>
      <c r="DC182" s="1454"/>
      <c r="DD182" s="1454"/>
      <c r="DE182" s="1454"/>
      <c r="DF182" s="1454"/>
      <c r="DG182" s="1454"/>
      <c r="DH182" s="1454"/>
      <c r="DI182" s="1454"/>
      <c r="DJ182" s="1454"/>
      <c r="DK182" s="1454"/>
      <c r="DL182" s="1454"/>
      <c r="DM182" s="1454"/>
      <c r="EA182" s="290"/>
      <c r="EB182" s="290"/>
      <c r="EC182" s="290"/>
      <c r="ED182" s="290"/>
      <c r="EE182" s="290"/>
      <c r="EF182" s="290"/>
      <c r="EG182" s="290"/>
      <c r="EH182" s="290"/>
      <c r="EI182" s="290"/>
      <c r="EJ182" s="290"/>
      <c r="EK182" s="290"/>
      <c r="EL182" s="290"/>
      <c r="EM182" s="290"/>
      <c r="EN182" s="290"/>
      <c r="EO182" s="290"/>
      <c r="EP182" s="290"/>
      <c r="EQ182" s="290"/>
      <c r="ER182" s="290"/>
      <c r="ES182" s="290"/>
    </row>
    <row r="183" spans="1:149" ht="21" customHeight="1" x14ac:dyDescent="0.2">
      <c r="A183" s="72" t="s">
        <v>202</v>
      </c>
      <c r="D183" s="72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140"/>
      <c r="AR183" s="140"/>
      <c r="AS183" s="140"/>
      <c r="AT183" s="288"/>
      <c r="CA183" s="1457"/>
      <c r="CB183" s="1457"/>
      <c r="CC183" s="1457"/>
      <c r="CD183" s="1457"/>
      <c r="CE183" s="1457"/>
      <c r="CF183" s="1457"/>
      <c r="CG183" s="1458"/>
      <c r="CH183" s="1454"/>
      <c r="CI183" s="1454"/>
      <c r="CJ183" s="1454"/>
      <c r="CK183" s="1454"/>
      <c r="CL183" s="1454"/>
      <c r="CM183" s="1454"/>
      <c r="CN183" s="1454"/>
      <c r="CO183" s="1454"/>
      <c r="CP183" s="1454"/>
      <c r="CQ183" s="1454"/>
      <c r="CR183" s="1454"/>
      <c r="CS183" s="1454"/>
      <c r="CT183" s="1454"/>
      <c r="CU183" s="290"/>
      <c r="CV183" s="290"/>
      <c r="CW183" s="290"/>
      <c r="CX183" s="290"/>
      <c r="CY183" s="290"/>
      <c r="CZ183" s="290"/>
    </row>
    <row r="184" spans="1:149" ht="15" customHeight="1" x14ac:dyDescent="0.2">
      <c r="A184" s="9382" t="s">
        <v>0</v>
      </c>
      <c r="B184" s="10413" t="s">
        <v>44</v>
      </c>
      <c r="C184" s="10416" t="s">
        <v>98</v>
      </c>
      <c r="D184" s="9110"/>
      <c r="E184" s="9110"/>
      <c r="F184" s="9110"/>
      <c r="G184" s="9110"/>
      <c r="H184" s="9110"/>
      <c r="I184" s="9110"/>
      <c r="J184" s="9110"/>
      <c r="K184" s="9110"/>
      <c r="L184" s="9110"/>
      <c r="M184" s="9110"/>
      <c r="N184" s="9110"/>
      <c r="O184" s="9110"/>
      <c r="P184" s="9110"/>
      <c r="Q184" s="9110"/>
      <c r="R184" s="9110"/>
      <c r="S184" s="10417"/>
      <c r="T184" s="10399" t="s">
        <v>644</v>
      </c>
      <c r="U184" s="10451"/>
      <c r="V184" s="10451"/>
      <c r="W184" s="10451"/>
      <c r="X184" s="10451"/>
      <c r="AZ184" s="1452"/>
      <c r="BA184" s="1452"/>
      <c r="BY184" s="290"/>
      <c r="BZ184" s="290"/>
      <c r="CA184" s="1457"/>
      <c r="CB184" s="1457"/>
      <c r="CC184" s="1457"/>
      <c r="CD184" s="1457"/>
      <c r="CE184" s="1457"/>
      <c r="CF184" s="1457"/>
      <c r="CG184" s="1458"/>
      <c r="CH184" s="1454"/>
      <c r="CI184" s="1454"/>
      <c r="CJ184" s="1454"/>
      <c r="CK184" s="1454"/>
      <c r="CL184" s="1454"/>
      <c r="CM184" s="1454"/>
      <c r="CN184" s="1454"/>
      <c r="CO184" s="1454"/>
      <c r="CP184" s="1454"/>
      <c r="CQ184" s="1454"/>
      <c r="CR184" s="1454"/>
      <c r="CS184" s="1454"/>
      <c r="CT184" s="1454"/>
      <c r="DA184" s="1460"/>
      <c r="DB184" s="1460"/>
      <c r="DC184" s="1460"/>
      <c r="DD184" s="1460"/>
      <c r="DE184" s="1460"/>
      <c r="DF184" s="1460"/>
      <c r="DG184" s="1460"/>
      <c r="DH184" s="1460"/>
      <c r="DI184" s="1460"/>
    </row>
    <row r="185" spans="1:149" ht="15" customHeight="1" x14ac:dyDescent="0.2">
      <c r="A185" s="8462"/>
      <c r="B185" s="10414"/>
      <c r="C185" s="10418"/>
      <c r="D185" s="10419"/>
      <c r="E185" s="10419"/>
      <c r="F185" s="10419"/>
      <c r="G185" s="10419"/>
      <c r="H185" s="10419"/>
      <c r="I185" s="10419"/>
      <c r="J185" s="10419"/>
      <c r="K185" s="10419"/>
      <c r="L185" s="10419"/>
      <c r="M185" s="10419"/>
      <c r="N185" s="10419"/>
      <c r="O185" s="10419"/>
      <c r="P185" s="10419"/>
      <c r="Q185" s="10419"/>
      <c r="R185" s="10419"/>
      <c r="S185" s="10420"/>
      <c r="T185" s="10400" t="s">
        <v>364</v>
      </c>
      <c r="U185" s="10400"/>
      <c r="V185" s="10401"/>
      <c r="W185" s="10402" t="s">
        <v>2945</v>
      </c>
      <c r="X185" s="10403"/>
      <c r="AZ185" s="1452"/>
      <c r="BA185" s="1452"/>
      <c r="BY185" s="290"/>
      <c r="BZ185" s="290"/>
      <c r="CA185" s="1457"/>
      <c r="CB185" s="1457"/>
      <c r="CC185" s="1457"/>
      <c r="CD185" s="1457"/>
      <c r="CE185" s="1457"/>
      <c r="CF185" s="1457"/>
      <c r="CG185" s="1458"/>
      <c r="CH185" s="1454"/>
      <c r="CI185" s="1454"/>
      <c r="CJ185" s="1454"/>
      <c r="CK185" s="1454"/>
      <c r="CL185" s="1454"/>
      <c r="CM185" s="1454"/>
      <c r="CN185" s="1454"/>
      <c r="CO185" s="1454"/>
      <c r="CP185" s="1454"/>
      <c r="CQ185" s="1454"/>
      <c r="CR185" s="1454"/>
      <c r="CS185" s="1454"/>
      <c r="CT185" s="1454"/>
      <c r="DA185" s="1460"/>
      <c r="DB185" s="1460"/>
      <c r="DC185" s="1460"/>
      <c r="DD185" s="1460"/>
      <c r="DE185" s="1460"/>
      <c r="DF185" s="1460"/>
      <c r="DG185" s="1460"/>
      <c r="DH185" s="1460"/>
      <c r="DI185" s="1460"/>
    </row>
    <row r="186" spans="1:149" ht="31.5" customHeight="1" x14ac:dyDescent="0.2">
      <c r="A186" s="10425"/>
      <c r="B186" s="10415"/>
      <c r="C186" s="7894" t="s">
        <v>1414</v>
      </c>
      <c r="D186" s="7894" t="s">
        <v>1413</v>
      </c>
      <c r="E186" s="7894" t="s">
        <v>77</v>
      </c>
      <c r="F186" s="7894" t="s">
        <v>68</v>
      </c>
      <c r="G186" s="7894" t="s">
        <v>142</v>
      </c>
      <c r="H186" s="7894" t="s">
        <v>143</v>
      </c>
      <c r="I186" s="7894" t="s">
        <v>144</v>
      </c>
      <c r="J186" s="7894" t="s">
        <v>7</v>
      </c>
      <c r="K186" s="7894" t="s">
        <v>8</v>
      </c>
      <c r="L186" s="7894" t="s">
        <v>145</v>
      </c>
      <c r="M186" s="7894" t="s">
        <v>10</v>
      </c>
      <c r="N186" s="7894" t="s">
        <v>11</v>
      </c>
      <c r="O186" s="7894" t="s">
        <v>12</v>
      </c>
      <c r="P186" s="7894" t="s">
        <v>13</v>
      </c>
      <c r="Q186" s="7894" t="s">
        <v>14</v>
      </c>
      <c r="R186" s="7894" t="s">
        <v>15</v>
      </c>
      <c r="S186" s="7895" t="s">
        <v>16</v>
      </c>
      <c r="T186" s="7892" t="s">
        <v>2942</v>
      </c>
      <c r="U186" s="7892" t="s">
        <v>2943</v>
      </c>
      <c r="V186" s="7892" t="s">
        <v>2944</v>
      </c>
      <c r="W186" s="7893" t="s">
        <v>183</v>
      </c>
      <c r="X186" s="7892" t="s">
        <v>184</v>
      </c>
      <c r="AZ186" s="1452"/>
      <c r="BA186" s="1452"/>
      <c r="BY186" s="290"/>
      <c r="BZ186" s="290"/>
      <c r="CA186" s="1457"/>
      <c r="CB186" s="1457"/>
      <c r="CC186" s="1457"/>
      <c r="CD186" s="1457"/>
      <c r="CE186" s="1457"/>
      <c r="CF186" s="1457"/>
      <c r="CG186" s="1458"/>
      <c r="CH186" s="1454"/>
      <c r="CI186" s="1454"/>
      <c r="CJ186" s="1454"/>
      <c r="CK186" s="1454"/>
      <c r="CL186" s="1454"/>
      <c r="CM186" s="1454"/>
      <c r="CN186" s="1454"/>
      <c r="CO186" s="1454"/>
      <c r="CP186" s="1454"/>
      <c r="CQ186" s="1454"/>
      <c r="CR186" s="1454"/>
      <c r="CS186" s="1454"/>
      <c r="CT186" s="1454"/>
      <c r="DA186" s="1460"/>
      <c r="DB186" s="1460"/>
      <c r="DC186" s="1460"/>
      <c r="DD186" s="1460"/>
      <c r="DE186" s="1460"/>
      <c r="DF186" s="1460"/>
      <c r="DG186" s="1460"/>
      <c r="DH186" s="1460"/>
      <c r="DI186" s="1460"/>
    </row>
    <row r="187" spans="1:149" ht="14.1" customHeight="1" x14ac:dyDescent="0.2">
      <c r="A187" s="7801" t="s">
        <v>1014</v>
      </c>
      <c r="B187" s="7815">
        <f t="shared" ref="B187:B193" si="31">SUM(C187:S187)</f>
        <v>0</v>
      </c>
      <c r="C187" s="3067"/>
      <c r="D187" s="3067"/>
      <c r="E187" s="3067"/>
      <c r="F187" s="3067"/>
      <c r="G187" s="3067"/>
      <c r="H187" s="3067"/>
      <c r="I187" s="3067"/>
      <c r="J187" s="3067"/>
      <c r="K187" s="3067"/>
      <c r="L187" s="3067"/>
      <c r="M187" s="3067"/>
      <c r="N187" s="3067"/>
      <c r="O187" s="3067"/>
      <c r="P187" s="3067"/>
      <c r="Q187" s="3067"/>
      <c r="R187" s="3067"/>
      <c r="S187" s="3069"/>
      <c r="T187" s="3121"/>
      <c r="U187" s="3121"/>
      <c r="V187" s="3121"/>
      <c r="W187" s="3121"/>
      <c r="X187" s="3121"/>
      <c r="Y187" s="165" t="str">
        <f>CA187</f>
        <v/>
      </c>
      <c r="AZ187" s="1452"/>
      <c r="BA187" s="1452"/>
      <c r="BY187" s="290"/>
      <c r="BZ187" s="290"/>
      <c r="CA187" s="1457" t="str">
        <f>IF(CG187=1," * El total de Evaluaciones según tipo de atencion NO DEBE ser diferente al total.  ","")</f>
        <v/>
      </c>
      <c r="CB187" s="1457"/>
      <c r="CC187" s="1457"/>
      <c r="CD187" s="1457"/>
      <c r="CE187" s="1457"/>
      <c r="CF187" s="1457"/>
      <c r="CG187" s="1458">
        <f>IF(B187&lt;&gt;SUM(T187:X187),1,0)</f>
        <v>0</v>
      </c>
      <c r="CH187" s="1454"/>
      <c r="CI187" s="1454"/>
      <c r="CJ187" s="1454"/>
      <c r="CK187" s="1454"/>
      <c r="CL187" s="1454"/>
      <c r="CM187" s="1454"/>
      <c r="CN187" s="1454"/>
      <c r="CO187" s="1454"/>
      <c r="CP187" s="1454"/>
      <c r="CQ187" s="1454"/>
      <c r="CR187" s="1454"/>
      <c r="CS187" s="1454"/>
      <c r="CT187" s="1454"/>
      <c r="CU187" s="290"/>
      <c r="CV187" s="290"/>
      <c r="CW187" s="290"/>
      <c r="DA187" s="1460"/>
      <c r="DB187" s="1460"/>
      <c r="DC187" s="1460"/>
      <c r="DD187" s="1460"/>
      <c r="DE187" s="1460"/>
      <c r="DF187" s="1460"/>
      <c r="DG187" s="1460"/>
      <c r="DH187" s="1460"/>
      <c r="DI187" s="1460"/>
    </row>
    <row r="188" spans="1:149" ht="14.1" customHeight="1" x14ac:dyDescent="0.2">
      <c r="A188" s="3333" t="s">
        <v>62</v>
      </c>
      <c r="B188" s="7817">
        <f t="shared" si="31"/>
        <v>0</v>
      </c>
      <c r="C188" s="3067"/>
      <c r="D188" s="3067"/>
      <c r="E188" s="3067"/>
      <c r="F188" s="3067"/>
      <c r="G188" s="3067"/>
      <c r="H188" s="3067"/>
      <c r="I188" s="3067"/>
      <c r="J188" s="3067"/>
      <c r="K188" s="3067"/>
      <c r="L188" s="3067"/>
      <c r="M188" s="3067"/>
      <c r="N188" s="3067"/>
      <c r="O188" s="3067"/>
      <c r="P188" s="3067"/>
      <c r="Q188" s="3067"/>
      <c r="R188" s="3067"/>
      <c r="S188" s="3069"/>
      <c r="T188" s="3121"/>
      <c r="U188" s="3121"/>
      <c r="V188" s="3121"/>
      <c r="W188" s="3121"/>
      <c r="X188" s="3121"/>
      <c r="Y188" s="165" t="str">
        <f t="shared" ref="Y188:Y193" si="32">CA188</f>
        <v/>
      </c>
      <c r="AZ188" s="1452"/>
      <c r="BA188" s="1452"/>
      <c r="BY188" s="290"/>
      <c r="BZ188" s="290"/>
      <c r="CA188" s="1457" t="str">
        <f t="shared" ref="CA188:CA193" si="33">IF(CG188=1," * El total de Evaluaciones según tipo de atencion NO DEBE ser diferente al total.  ","")</f>
        <v/>
      </c>
      <c r="CB188" s="1457"/>
      <c r="CC188" s="1457"/>
      <c r="CD188" s="1457"/>
      <c r="CE188" s="1457"/>
      <c r="CF188" s="1457"/>
      <c r="CG188" s="1458">
        <f t="shared" ref="CG188:CG193" si="34">IF(B188&lt;&gt;SUM(T188:X188),1,0)</f>
        <v>0</v>
      </c>
      <c r="CH188" s="1454"/>
      <c r="CI188" s="1454"/>
      <c r="CJ188" s="1454"/>
      <c r="CK188" s="1454"/>
      <c r="CL188" s="1454"/>
      <c r="CM188" s="1454"/>
      <c r="CN188" s="1454"/>
      <c r="CO188" s="1454"/>
      <c r="CP188" s="1454"/>
      <c r="CQ188" s="1454"/>
      <c r="CR188" s="1454"/>
      <c r="CS188" s="1454"/>
      <c r="CT188" s="1454"/>
      <c r="CU188" s="290"/>
      <c r="CV188" s="290"/>
      <c r="CW188" s="290"/>
      <c r="DA188" s="1460"/>
      <c r="DB188" s="1460"/>
      <c r="DC188" s="1460"/>
      <c r="DD188" s="1460"/>
      <c r="DE188" s="1460"/>
      <c r="DF188" s="1460"/>
      <c r="DG188" s="1460"/>
      <c r="DH188" s="1460"/>
      <c r="DI188" s="1460"/>
    </row>
    <row r="189" spans="1:149" ht="14.1" customHeight="1" x14ac:dyDescent="0.2">
      <c r="A189" s="3333" t="s">
        <v>2586</v>
      </c>
      <c r="B189" s="7817">
        <f t="shared" si="31"/>
        <v>0</v>
      </c>
      <c r="C189" s="3067"/>
      <c r="D189" s="3067"/>
      <c r="E189" s="3067"/>
      <c r="F189" s="3067"/>
      <c r="G189" s="3067"/>
      <c r="H189" s="3067"/>
      <c r="I189" s="3067"/>
      <c r="J189" s="3067"/>
      <c r="K189" s="3067"/>
      <c r="L189" s="3067"/>
      <c r="M189" s="3067"/>
      <c r="N189" s="3067"/>
      <c r="O189" s="3067"/>
      <c r="P189" s="3067"/>
      <c r="Q189" s="3067"/>
      <c r="R189" s="3067"/>
      <c r="S189" s="3069"/>
      <c r="T189" s="3121"/>
      <c r="U189" s="3121"/>
      <c r="V189" s="3121"/>
      <c r="W189" s="3121"/>
      <c r="X189" s="3121"/>
      <c r="Y189" s="165" t="str">
        <f t="shared" si="32"/>
        <v/>
      </c>
      <c r="AZ189" s="1452"/>
      <c r="BA189" s="1452"/>
      <c r="BY189" s="290"/>
      <c r="BZ189" s="290"/>
      <c r="CA189" s="1457" t="str">
        <f t="shared" si="33"/>
        <v/>
      </c>
      <c r="CB189" s="1457"/>
      <c r="CC189" s="1457"/>
      <c r="CD189" s="1457"/>
      <c r="CE189" s="1457"/>
      <c r="CF189" s="1457"/>
      <c r="CG189" s="1458">
        <f t="shared" si="34"/>
        <v>0</v>
      </c>
      <c r="CH189" s="1454"/>
      <c r="CI189" s="1454"/>
      <c r="CJ189" s="1454"/>
      <c r="CK189" s="1454"/>
      <c r="CL189" s="1454"/>
      <c r="CM189" s="1454"/>
      <c r="CN189" s="1454"/>
      <c r="CO189" s="1454"/>
      <c r="CP189" s="1454"/>
      <c r="CQ189" s="1454"/>
      <c r="CR189" s="1454"/>
      <c r="CS189" s="1454"/>
      <c r="CT189" s="1454"/>
      <c r="CU189" s="290"/>
      <c r="CV189" s="290"/>
      <c r="CW189" s="290"/>
      <c r="DA189" s="1460"/>
      <c r="DB189" s="1460"/>
      <c r="DC189" s="1460"/>
      <c r="DD189" s="1460"/>
      <c r="DE189" s="1460"/>
      <c r="DF189" s="1460"/>
      <c r="DG189" s="1460"/>
      <c r="DH189" s="1460"/>
      <c r="DI189" s="1460"/>
    </row>
    <row r="190" spans="1:149" ht="14.1" customHeight="1" x14ac:dyDescent="0.2">
      <c r="A190" s="7896" t="s">
        <v>60</v>
      </c>
      <c r="B190" s="7817">
        <f t="shared" si="31"/>
        <v>0</v>
      </c>
      <c r="C190" s="3067"/>
      <c r="D190" s="3067"/>
      <c r="E190" s="3067"/>
      <c r="F190" s="3067"/>
      <c r="G190" s="3067"/>
      <c r="H190" s="3067"/>
      <c r="I190" s="3067"/>
      <c r="J190" s="3067"/>
      <c r="K190" s="3067"/>
      <c r="L190" s="3067"/>
      <c r="M190" s="3067"/>
      <c r="N190" s="3067"/>
      <c r="O190" s="3067"/>
      <c r="P190" s="3067"/>
      <c r="Q190" s="3067"/>
      <c r="R190" s="3067"/>
      <c r="S190" s="3069"/>
      <c r="T190" s="3121"/>
      <c r="U190" s="3121"/>
      <c r="V190" s="3121"/>
      <c r="W190" s="3121"/>
      <c r="X190" s="3121"/>
      <c r="Y190" s="165" t="str">
        <f t="shared" si="32"/>
        <v/>
      </c>
      <c r="AZ190" s="1452"/>
      <c r="BA190" s="1452"/>
      <c r="BY190" s="290"/>
      <c r="BZ190" s="290"/>
      <c r="CA190" s="1457" t="str">
        <f t="shared" si="33"/>
        <v/>
      </c>
      <c r="CB190" s="1457"/>
      <c r="CC190" s="1457"/>
      <c r="CD190" s="1457"/>
      <c r="CE190" s="1457"/>
      <c r="CF190" s="1457"/>
      <c r="CG190" s="1458">
        <f t="shared" si="34"/>
        <v>0</v>
      </c>
      <c r="CH190" s="1454"/>
      <c r="CI190" s="1454"/>
      <c r="CJ190" s="1454"/>
      <c r="CK190" s="1454"/>
      <c r="CL190" s="1454"/>
      <c r="CM190" s="1454"/>
      <c r="CN190" s="1454"/>
      <c r="CO190" s="1454"/>
      <c r="CP190" s="1454"/>
      <c r="CQ190" s="1454"/>
      <c r="CR190" s="1454"/>
      <c r="CS190" s="1454"/>
      <c r="CT190" s="1454"/>
      <c r="CU190" s="290"/>
      <c r="CV190" s="290"/>
      <c r="CW190" s="290"/>
      <c r="DA190" s="1460"/>
      <c r="DB190" s="1460"/>
      <c r="DC190" s="1460"/>
      <c r="DD190" s="1460"/>
      <c r="DE190" s="1460"/>
      <c r="DF190" s="1460"/>
      <c r="DG190" s="1460"/>
      <c r="DH190" s="1460"/>
      <c r="DI190" s="1460"/>
    </row>
    <row r="191" spans="1:149" ht="14.1" customHeight="1" x14ac:dyDescent="0.2">
      <c r="A191" s="7896" t="s">
        <v>2590</v>
      </c>
      <c r="B191" s="7817">
        <f t="shared" si="31"/>
        <v>0</v>
      </c>
      <c r="C191" s="3067"/>
      <c r="D191" s="3067"/>
      <c r="E191" s="3067"/>
      <c r="F191" s="3067"/>
      <c r="G191" s="3067"/>
      <c r="H191" s="3067"/>
      <c r="I191" s="3067"/>
      <c r="J191" s="3067"/>
      <c r="K191" s="3067"/>
      <c r="L191" s="3067"/>
      <c r="M191" s="3067"/>
      <c r="N191" s="3067"/>
      <c r="O191" s="3067"/>
      <c r="P191" s="3067"/>
      <c r="Q191" s="3067"/>
      <c r="R191" s="3067"/>
      <c r="S191" s="3069"/>
      <c r="T191" s="3121"/>
      <c r="U191" s="3121"/>
      <c r="V191" s="3121"/>
      <c r="W191" s="3121"/>
      <c r="X191" s="3121"/>
      <c r="Y191" s="165" t="str">
        <f t="shared" si="32"/>
        <v/>
      </c>
      <c r="AZ191" s="1452"/>
      <c r="BA191" s="1452"/>
      <c r="BY191" s="290"/>
      <c r="BZ191" s="290"/>
      <c r="CA191" s="1457" t="str">
        <f t="shared" si="33"/>
        <v/>
      </c>
      <c r="CB191" s="1457"/>
      <c r="CC191" s="1457"/>
      <c r="CD191" s="1457"/>
      <c r="CE191" s="1457"/>
      <c r="CF191" s="1457"/>
      <c r="CG191" s="1458">
        <f t="shared" si="34"/>
        <v>0</v>
      </c>
      <c r="CH191" s="1454"/>
      <c r="CI191" s="1454"/>
      <c r="CJ191" s="1454"/>
      <c r="CK191" s="1454"/>
      <c r="CL191" s="1454"/>
      <c r="CM191" s="1454"/>
      <c r="CN191" s="1454"/>
      <c r="CO191" s="1454"/>
      <c r="CP191" s="1454"/>
      <c r="CQ191" s="1454"/>
      <c r="CR191" s="1454"/>
      <c r="CS191" s="1454"/>
      <c r="CT191" s="1454"/>
      <c r="CU191" s="290"/>
      <c r="CV191" s="290"/>
      <c r="CW191" s="290"/>
      <c r="DA191" s="1460"/>
      <c r="DB191" s="1460"/>
      <c r="DC191" s="1460"/>
      <c r="DD191" s="1460"/>
      <c r="DE191" s="1460"/>
      <c r="DF191" s="1460"/>
      <c r="DG191" s="1460"/>
      <c r="DH191" s="1460"/>
      <c r="DI191" s="1460"/>
    </row>
    <row r="192" spans="1:149" ht="14.1" customHeight="1" x14ac:dyDescent="0.2">
      <c r="A192" s="4032" t="s">
        <v>403</v>
      </c>
      <c r="B192" s="7817">
        <f t="shared" si="31"/>
        <v>0</v>
      </c>
      <c r="C192" s="3067"/>
      <c r="D192" s="3067"/>
      <c r="E192" s="3067"/>
      <c r="F192" s="3067"/>
      <c r="G192" s="3067"/>
      <c r="H192" s="3067"/>
      <c r="I192" s="3067"/>
      <c r="J192" s="3067"/>
      <c r="K192" s="3067"/>
      <c r="L192" s="3067"/>
      <c r="M192" s="3067"/>
      <c r="N192" s="3067"/>
      <c r="O192" s="3067"/>
      <c r="P192" s="3067"/>
      <c r="Q192" s="3067"/>
      <c r="R192" s="3067"/>
      <c r="S192" s="3069"/>
      <c r="T192" s="3121"/>
      <c r="U192" s="3121"/>
      <c r="V192" s="3121"/>
      <c r="W192" s="3121"/>
      <c r="X192" s="3121"/>
      <c r="Y192" s="165" t="str">
        <f t="shared" si="32"/>
        <v/>
      </c>
      <c r="AZ192" s="1452"/>
      <c r="BA192" s="1452"/>
      <c r="BY192" s="290"/>
      <c r="BZ192" s="290"/>
      <c r="CA192" s="1457" t="str">
        <f t="shared" si="33"/>
        <v/>
      </c>
      <c r="CB192" s="1457"/>
      <c r="CC192" s="1457"/>
      <c r="CD192" s="1457"/>
      <c r="CE192" s="1457"/>
      <c r="CF192" s="1457"/>
      <c r="CG192" s="1458">
        <f t="shared" si="34"/>
        <v>0</v>
      </c>
      <c r="CH192" s="1454"/>
      <c r="CI192" s="1454"/>
      <c r="CJ192" s="1454"/>
      <c r="CK192" s="1454"/>
      <c r="CL192" s="1454"/>
      <c r="CM192" s="1454"/>
      <c r="CN192" s="1454"/>
      <c r="CO192" s="1454"/>
      <c r="CP192" s="1454"/>
      <c r="CQ192" s="1454"/>
      <c r="CR192" s="1454"/>
      <c r="CS192" s="1454"/>
      <c r="CT192" s="1454"/>
      <c r="CU192" s="290"/>
      <c r="CV192" s="290"/>
      <c r="CW192" s="290"/>
      <c r="DA192" s="1460"/>
      <c r="DB192" s="1460"/>
      <c r="DC192" s="1460"/>
      <c r="DD192" s="1460"/>
      <c r="DE192" s="1460"/>
      <c r="DF192" s="1460"/>
      <c r="DG192" s="1460"/>
      <c r="DH192" s="1460"/>
      <c r="DI192" s="1460"/>
    </row>
    <row r="193" spans="1:116" ht="14.1" customHeight="1" x14ac:dyDescent="0.2">
      <c r="A193" s="3346" t="s">
        <v>2585</v>
      </c>
      <c r="B193" s="7897">
        <f t="shared" si="31"/>
        <v>0</v>
      </c>
      <c r="C193" s="3113"/>
      <c r="D193" s="3113"/>
      <c r="E193" s="3113"/>
      <c r="F193" s="3113"/>
      <c r="G193" s="3113"/>
      <c r="H193" s="3113"/>
      <c r="I193" s="3113"/>
      <c r="J193" s="3113"/>
      <c r="K193" s="3113"/>
      <c r="L193" s="3113"/>
      <c r="M193" s="3113"/>
      <c r="N193" s="3113"/>
      <c r="O193" s="3113"/>
      <c r="P193" s="3113"/>
      <c r="Q193" s="3113"/>
      <c r="R193" s="3113"/>
      <c r="S193" s="3119"/>
      <c r="T193" s="1731"/>
      <c r="U193" s="1731"/>
      <c r="V193" s="1731"/>
      <c r="W193" s="1731"/>
      <c r="X193" s="1731"/>
      <c r="Y193" s="165" t="str">
        <f t="shared" si="32"/>
        <v/>
      </c>
      <c r="AZ193" s="1452"/>
      <c r="BA193" s="1452"/>
      <c r="BY193" s="290"/>
      <c r="BZ193" s="290"/>
      <c r="CA193" s="1457" t="str">
        <f t="shared" si="33"/>
        <v/>
      </c>
      <c r="CG193" s="1458">
        <f t="shared" si="34"/>
        <v>0</v>
      </c>
      <c r="CH193" s="1454"/>
      <c r="CI193" s="1454"/>
      <c r="CJ193" s="1454"/>
      <c r="CK193" s="1454"/>
      <c r="CL193" s="1454"/>
      <c r="CM193" s="1454"/>
      <c r="CN193" s="1454"/>
      <c r="CO193" s="1454"/>
      <c r="CP193" s="1454"/>
      <c r="CQ193" s="1454"/>
      <c r="CR193" s="1454"/>
      <c r="CS193" s="1454"/>
      <c r="CT193" s="1454"/>
      <c r="CU193" s="290"/>
      <c r="CV193" s="290"/>
      <c r="CW193" s="290"/>
      <c r="DA193" s="1460"/>
      <c r="DB193" s="1460"/>
      <c r="DC193" s="1460"/>
      <c r="DD193" s="1460"/>
      <c r="DE193" s="1460"/>
      <c r="DF193" s="1460"/>
      <c r="DG193" s="1460"/>
      <c r="DH193" s="1460"/>
      <c r="DI193" s="1460"/>
    </row>
    <row r="194" spans="1:116" ht="14.1" customHeight="1" x14ac:dyDescent="0.2">
      <c r="A194" s="7898" t="s">
        <v>24</v>
      </c>
      <c r="B194" s="7417">
        <f>SUM(B187:B193)</f>
        <v>0</v>
      </c>
      <c r="C194" s="7417">
        <f>SUM(C187:C193)</f>
        <v>0</v>
      </c>
      <c r="D194" s="7417">
        <f t="shared" ref="D194:S194" si="35">SUM(D187:D193)</f>
        <v>0</v>
      </c>
      <c r="E194" s="7417">
        <f t="shared" si="35"/>
        <v>0</v>
      </c>
      <c r="F194" s="7417">
        <f t="shared" si="35"/>
        <v>0</v>
      </c>
      <c r="G194" s="7417">
        <f t="shared" si="35"/>
        <v>0</v>
      </c>
      <c r="H194" s="7417">
        <f t="shared" si="35"/>
        <v>0</v>
      </c>
      <c r="I194" s="7417">
        <f t="shared" si="35"/>
        <v>0</v>
      </c>
      <c r="J194" s="7417">
        <f t="shared" si="35"/>
        <v>0</v>
      </c>
      <c r="K194" s="7417">
        <f t="shared" si="35"/>
        <v>0</v>
      </c>
      <c r="L194" s="7417">
        <f t="shared" si="35"/>
        <v>0</v>
      </c>
      <c r="M194" s="7417">
        <f t="shared" si="35"/>
        <v>0</v>
      </c>
      <c r="N194" s="7417">
        <f t="shared" si="35"/>
        <v>0</v>
      </c>
      <c r="O194" s="7417">
        <f t="shared" si="35"/>
        <v>0</v>
      </c>
      <c r="P194" s="7417">
        <f t="shared" si="35"/>
        <v>0</v>
      </c>
      <c r="Q194" s="7417">
        <f t="shared" si="35"/>
        <v>0</v>
      </c>
      <c r="R194" s="7417">
        <f t="shared" si="35"/>
        <v>0</v>
      </c>
      <c r="S194" s="7824">
        <f t="shared" si="35"/>
        <v>0</v>
      </c>
      <c r="T194" s="1936">
        <f>SUM(T187:T193)</f>
        <v>0</v>
      </c>
      <c r="U194" s="3253">
        <f>SUM(U187:U193)</f>
        <v>0</v>
      </c>
      <c r="V194" s="3253">
        <f>SUM(V187:V193)</f>
        <v>0</v>
      </c>
      <c r="W194" s="3253">
        <f>SUM(W187:W193)</f>
        <v>0</v>
      </c>
      <c r="X194" s="3253">
        <f>SUM(X187:X193)</f>
        <v>0</v>
      </c>
      <c r="AZ194" s="1452"/>
      <c r="BA194" s="1452"/>
      <c r="BY194" s="290"/>
      <c r="BZ194" s="290"/>
      <c r="CA194" s="1457"/>
      <c r="CG194" s="1458"/>
      <c r="CH194" s="1454"/>
      <c r="CI194" s="1454"/>
      <c r="CJ194" s="1454"/>
      <c r="CK194" s="1454"/>
      <c r="CL194" s="1454"/>
      <c r="CM194" s="1454"/>
      <c r="CN194" s="1454"/>
      <c r="CO194" s="1454"/>
      <c r="CP194" s="1454"/>
      <c r="CQ194" s="1454"/>
      <c r="CR194" s="1454"/>
      <c r="CS194" s="1454"/>
      <c r="CT194" s="1454"/>
      <c r="DA194" s="1460"/>
      <c r="DB194" s="1460"/>
      <c r="DC194" s="1460"/>
      <c r="DD194" s="1460"/>
      <c r="DE194" s="1460"/>
      <c r="DF194" s="1460"/>
      <c r="DG194" s="1460"/>
      <c r="DH194" s="1460"/>
      <c r="DI194" s="1460"/>
    </row>
    <row r="195" spans="1:116" ht="25.9" customHeight="1" x14ac:dyDescent="0.2">
      <c r="A195" s="133" t="s">
        <v>626</v>
      </c>
      <c r="AS195" s="290"/>
      <c r="AT195" s="290"/>
      <c r="CA195" s="1457"/>
      <c r="CG195" s="1458"/>
      <c r="CH195" s="1454"/>
      <c r="CI195" s="1454"/>
      <c r="CJ195" s="1454"/>
      <c r="CK195" s="1454"/>
      <c r="CL195" s="1454"/>
      <c r="CM195" s="1454"/>
      <c r="CN195" s="1454"/>
      <c r="CO195" s="1454"/>
      <c r="CP195" s="1454"/>
      <c r="CQ195" s="1454"/>
      <c r="CR195" s="1454"/>
      <c r="CS195" s="1454"/>
      <c r="CT195" s="1454"/>
      <c r="CU195" s="290"/>
      <c r="CV195" s="290"/>
      <c r="CW195" s="290"/>
      <c r="CX195" s="290"/>
      <c r="CY195" s="290"/>
      <c r="CZ195" s="290"/>
    </row>
    <row r="196" spans="1:116" ht="15" customHeight="1" x14ac:dyDescent="0.2">
      <c r="A196" s="9280" t="s">
        <v>0</v>
      </c>
      <c r="B196" s="10413" t="s">
        <v>44</v>
      </c>
      <c r="C196" s="10416" t="s">
        <v>98</v>
      </c>
      <c r="D196" s="9110"/>
      <c r="E196" s="9110"/>
      <c r="F196" s="9110"/>
      <c r="G196" s="9110"/>
      <c r="H196" s="9110"/>
      <c r="I196" s="9110"/>
      <c r="J196" s="9110"/>
      <c r="K196" s="9110"/>
      <c r="L196" s="9110"/>
      <c r="M196" s="9110"/>
      <c r="N196" s="9110"/>
      <c r="O196" s="9110"/>
      <c r="P196" s="9110"/>
      <c r="Q196" s="9110"/>
      <c r="R196" s="9110"/>
      <c r="S196" s="10417"/>
      <c r="T196" s="9723" t="s">
        <v>644</v>
      </c>
      <c r="U196" s="9723"/>
      <c r="V196" s="9723"/>
      <c r="W196" s="9723"/>
      <c r="X196" s="10399"/>
      <c r="BJ196" s="290"/>
      <c r="BK196" s="290"/>
      <c r="BY196" s="290"/>
      <c r="BZ196" s="290"/>
      <c r="CA196" s="1457"/>
      <c r="CG196" s="1458"/>
      <c r="CH196" s="1454"/>
      <c r="CI196" s="1454"/>
      <c r="CJ196" s="1454"/>
      <c r="CK196" s="1454"/>
      <c r="CL196" s="1454"/>
      <c r="CM196" s="1454"/>
      <c r="CN196" s="1454"/>
      <c r="CO196" s="1454"/>
      <c r="CP196" s="1454"/>
      <c r="CQ196" s="1454"/>
      <c r="CR196" s="1454"/>
      <c r="CS196" s="1454"/>
      <c r="CT196" s="1454"/>
      <c r="DA196" s="1460"/>
      <c r="DB196" s="1460"/>
      <c r="DC196" s="1460"/>
      <c r="DD196" s="1460"/>
      <c r="DE196" s="1460"/>
      <c r="DF196" s="1460"/>
      <c r="DG196" s="1460"/>
      <c r="DH196" s="1460"/>
      <c r="DI196" s="1460"/>
      <c r="DJ196" s="1460"/>
      <c r="DK196" s="1460"/>
    </row>
    <row r="197" spans="1:116" ht="15" customHeight="1" x14ac:dyDescent="0.2">
      <c r="A197" s="9296"/>
      <c r="B197" s="10414"/>
      <c r="C197" s="10418"/>
      <c r="D197" s="10419"/>
      <c r="E197" s="10419"/>
      <c r="F197" s="10419"/>
      <c r="G197" s="10419"/>
      <c r="H197" s="10419"/>
      <c r="I197" s="10419"/>
      <c r="J197" s="10419"/>
      <c r="K197" s="10419"/>
      <c r="L197" s="10419"/>
      <c r="M197" s="10419"/>
      <c r="N197" s="10419"/>
      <c r="O197" s="10419"/>
      <c r="P197" s="10419"/>
      <c r="Q197" s="10419"/>
      <c r="R197" s="10419"/>
      <c r="S197" s="10420"/>
      <c r="T197" s="10400" t="s">
        <v>364</v>
      </c>
      <c r="U197" s="10400"/>
      <c r="V197" s="10401"/>
      <c r="W197" s="10402" t="s">
        <v>2945</v>
      </c>
      <c r="X197" s="10403"/>
      <c r="BJ197" s="290"/>
      <c r="BK197" s="290"/>
      <c r="BY197" s="290"/>
      <c r="BZ197" s="290"/>
      <c r="CA197" s="1457"/>
      <c r="CG197" s="1458"/>
      <c r="CH197" s="1454"/>
      <c r="CI197" s="1454"/>
      <c r="CJ197" s="1454"/>
      <c r="CK197" s="1454"/>
      <c r="CL197" s="1454"/>
      <c r="CM197" s="1454"/>
      <c r="CN197" s="1454"/>
      <c r="CO197" s="1454"/>
      <c r="CP197" s="1454"/>
      <c r="CQ197" s="1454"/>
      <c r="CR197" s="1454"/>
      <c r="CS197" s="1454"/>
      <c r="CT197" s="1454"/>
      <c r="DA197" s="1460"/>
      <c r="DB197" s="1460"/>
      <c r="DC197" s="1460"/>
      <c r="DD197" s="1460"/>
      <c r="DE197" s="1460"/>
      <c r="DF197" s="1460"/>
      <c r="DG197" s="1460"/>
      <c r="DH197" s="1460"/>
      <c r="DI197" s="1460"/>
      <c r="DJ197" s="1460"/>
      <c r="DK197" s="1460"/>
    </row>
    <row r="198" spans="1:116" ht="32.450000000000003" customHeight="1" x14ac:dyDescent="0.2">
      <c r="A198" s="10404"/>
      <c r="B198" s="10415"/>
      <c r="C198" s="7894" t="s">
        <v>1414</v>
      </c>
      <c r="D198" s="7894" t="s">
        <v>1413</v>
      </c>
      <c r="E198" s="7894" t="s">
        <v>77</v>
      </c>
      <c r="F198" s="7894" t="s">
        <v>68</v>
      </c>
      <c r="G198" s="7894" t="s">
        <v>142</v>
      </c>
      <c r="H198" s="7894" t="s">
        <v>143</v>
      </c>
      <c r="I198" s="7894" t="s">
        <v>144</v>
      </c>
      <c r="J198" s="7894" t="s">
        <v>7</v>
      </c>
      <c r="K198" s="7894" t="s">
        <v>8</v>
      </c>
      <c r="L198" s="7894" t="s">
        <v>145</v>
      </c>
      <c r="M198" s="7894" t="s">
        <v>10</v>
      </c>
      <c r="N198" s="7894" t="s">
        <v>11</v>
      </c>
      <c r="O198" s="7894" t="s">
        <v>12</v>
      </c>
      <c r="P198" s="7894" t="s">
        <v>13</v>
      </c>
      <c r="Q198" s="7894" t="s">
        <v>14</v>
      </c>
      <c r="R198" s="7894" t="s">
        <v>15</v>
      </c>
      <c r="S198" s="7895" t="s">
        <v>16</v>
      </c>
      <c r="T198" s="7892" t="s">
        <v>2942</v>
      </c>
      <c r="U198" s="7892" t="s">
        <v>2943</v>
      </c>
      <c r="V198" s="7892" t="s">
        <v>2944</v>
      </c>
      <c r="W198" s="7893" t="s">
        <v>183</v>
      </c>
      <c r="X198" s="7892" t="s">
        <v>184</v>
      </c>
      <c r="BJ198" s="290"/>
      <c r="BK198" s="290"/>
      <c r="BY198" s="290"/>
      <c r="BZ198" s="290"/>
      <c r="CA198" s="1457"/>
      <c r="CG198" s="1458"/>
      <c r="CH198" s="1454"/>
      <c r="CI198" s="1454"/>
      <c r="CJ198" s="1454"/>
      <c r="CK198" s="1454"/>
      <c r="CL198" s="1454"/>
      <c r="CM198" s="1454"/>
      <c r="CN198" s="1454"/>
      <c r="CO198" s="1454"/>
      <c r="CP198" s="1454"/>
      <c r="CQ198" s="1454"/>
      <c r="CR198" s="1454"/>
      <c r="CS198" s="1454"/>
      <c r="CT198" s="1454"/>
      <c r="DA198" s="1460"/>
      <c r="DB198" s="1460"/>
      <c r="DC198" s="1460"/>
      <c r="DD198" s="1460"/>
      <c r="DE198" s="1460"/>
      <c r="DF198" s="1460"/>
      <c r="DG198" s="1460"/>
      <c r="DH198" s="1460"/>
      <c r="DI198" s="1460"/>
      <c r="DJ198" s="1460"/>
      <c r="DK198" s="1460"/>
    </row>
    <row r="199" spans="1:116" ht="14.1" customHeight="1" x14ac:dyDescent="0.2">
      <c r="A199" s="7801" t="s">
        <v>1014</v>
      </c>
      <c r="B199" s="7815">
        <f t="shared" ref="B199:B204" si="36">SUM(C199:S199)</f>
        <v>0</v>
      </c>
      <c r="C199" s="3067"/>
      <c r="D199" s="3067"/>
      <c r="E199" s="3067"/>
      <c r="F199" s="3067"/>
      <c r="G199" s="3067"/>
      <c r="H199" s="3067"/>
      <c r="I199" s="3067"/>
      <c r="J199" s="3067"/>
      <c r="K199" s="3067"/>
      <c r="L199" s="3067"/>
      <c r="M199" s="3067"/>
      <c r="N199" s="3067"/>
      <c r="O199" s="3067"/>
      <c r="P199" s="3067"/>
      <c r="Q199" s="3067"/>
      <c r="R199" s="3067"/>
      <c r="S199" s="3069"/>
      <c r="T199" s="7899"/>
      <c r="U199" s="7900"/>
      <c r="V199" s="7900"/>
      <c r="W199" s="7900"/>
      <c r="X199" s="7900"/>
      <c r="Y199" s="165" t="str">
        <f t="shared" ref="Y199:Y204" si="37">CA199</f>
        <v/>
      </c>
      <c r="BY199" s="290"/>
      <c r="BZ199" s="290"/>
      <c r="CA199" s="1457" t="str">
        <f t="shared" ref="CA199:CA204" si="38">IF(CG199=1," * El total de Evaluaciones según tipo de atencion NO DEBE ser diferente al total.  ","")</f>
        <v/>
      </c>
      <c r="CG199" s="1458">
        <f t="shared" ref="CG199:CG204" si="39">IF(B199&lt;&gt;SUM(T199:X199),1,0)</f>
        <v>0</v>
      </c>
      <c r="CH199" s="1454"/>
      <c r="CI199" s="1454"/>
      <c r="CJ199" s="1454"/>
      <c r="CK199" s="1454"/>
      <c r="CL199" s="1454"/>
      <c r="CM199" s="1454"/>
      <c r="CN199" s="1454"/>
      <c r="CO199" s="1454"/>
      <c r="CP199" s="1454"/>
      <c r="CQ199" s="1454"/>
      <c r="CR199" s="1454"/>
      <c r="CS199" s="1454"/>
      <c r="CT199" s="1454"/>
      <c r="DA199" s="1460"/>
      <c r="DB199" s="1460"/>
      <c r="DC199" s="1460"/>
      <c r="DD199" s="1460"/>
      <c r="DE199" s="1460"/>
      <c r="DF199" s="1460"/>
      <c r="DG199" s="1460"/>
      <c r="DH199" s="1460"/>
      <c r="DI199" s="1460"/>
      <c r="DJ199" s="1460"/>
      <c r="DK199" s="1460"/>
    </row>
    <row r="200" spans="1:116" ht="14.1" customHeight="1" x14ac:dyDescent="0.2">
      <c r="A200" s="3333" t="s">
        <v>62</v>
      </c>
      <c r="B200" s="7817">
        <f t="shared" si="36"/>
        <v>0</v>
      </c>
      <c r="C200" s="3067"/>
      <c r="D200" s="3067"/>
      <c r="E200" s="3067"/>
      <c r="F200" s="3067"/>
      <c r="G200" s="3067"/>
      <c r="H200" s="3067"/>
      <c r="I200" s="3067"/>
      <c r="J200" s="3067"/>
      <c r="K200" s="3067"/>
      <c r="L200" s="3067"/>
      <c r="M200" s="3067"/>
      <c r="N200" s="3067"/>
      <c r="O200" s="3067"/>
      <c r="P200" s="3067"/>
      <c r="Q200" s="3067"/>
      <c r="R200" s="3067"/>
      <c r="S200" s="3069"/>
      <c r="T200" s="3121"/>
      <c r="U200" s="3067"/>
      <c r="V200" s="3067"/>
      <c r="W200" s="3067"/>
      <c r="X200" s="3067"/>
      <c r="Y200" s="165" t="str">
        <f t="shared" si="37"/>
        <v/>
      </c>
      <c r="BY200" s="290"/>
      <c r="BZ200" s="290"/>
      <c r="CA200" s="1457" t="str">
        <f t="shared" si="38"/>
        <v/>
      </c>
      <c r="CG200" s="1458">
        <f t="shared" si="39"/>
        <v>0</v>
      </c>
      <c r="CH200" s="1454"/>
      <c r="CI200" s="1454"/>
      <c r="CJ200" s="1454"/>
      <c r="CK200" s="1454"/>
      <c r="CL200" s="1454"/>
      <c r="CM200" s="1454"/>
      <c r="CN200" s="1454"/>
      <c r="CO200" s="1454"/>
      <c r="CP200" s="1454"/>
      <c r="CQ200" s="1454"/>
      <c r="CR200" s="1454"/>
      <c r="CS200" s="1454"/>
      <c r="CT200" s="1454"/>
      <c r="DA200" s="1460"/>
      <c r="DB200" s="1460"/>
      <c r="DC200" s="1460"/>
      <c r="DD200" s="1460"/>
      <c r="DE200" s="1460"/>
      <c r="DF200" s="1460"/>
      <c r="DG200" s="1460"/>
      <c r="DH200" s="1460"/>
      <c r="DI200" s="1460"/>
      <c r="DJ200" s="1460"/>
      <c r="DK200" s="1460"/>
    </row>
    <row r="201" spans="1:116" ht="14.1" customHeight="1" x14ac:dyDescent="0.2">
      <c r="A201" s="3333" t="s">
        <v>2586</v>
      </c>
      <c r="B201" s="7817">
        <f t="shared" si="36"/>
        <v>0</v>
      </c>
      <c r="C201" s="3067"/>
      <c r="D201" s="3067"/>
      <c r="E201" s="3067"/>
      <c r="F201" s="3067"/>
      <c r="G201" s="3067"/>
      <c r="H201" s="3067"/>
      <c r="I201" s="3067"/>
      <c r="J201" s="3067"/>
      <c r="K201" s="3067"/>
      <c r="L201" s="3067"/>
      <c r="M201" s="3067"/>
      <c r="N201" s="3067"/>
      <c r="O201" s="3067"/>
      <c r="P201" s="3067"/>
      <c r="Q201" s="3067"/>
      <c r="R201" s="3067"/>
      <c r="S201" s="3069"/>
      <c r="T201" s="3121"/>
      <c r="U201" s="3067"/>
      <c r="V201" s="3067"/>
      <c r="W201" s="3067"/>
      <c r="X201" s="3067"/>
      <c r="Y201" s="165" t="str">
        <f t="shared" si="37"/>
        <v/>
      </c>
      <c r="BY201" s="290"/>
      <c r="BZ201" s="290"/>
      <c r="CA201" s="1457" t="str">
        <f t="shared" si="38"/>
        <v/>
      </c>
      <c r="CG201" s="1458">
        <f t="shared" si="39"/>
        <v>0</v>
      </c>
      <c r="CH201" s="1454"/>
      <c r="CI201" s="1454"/>
      <c r="CJ201" s="1454"/>
      <c r="CK201" s="1454"/>
      <c r="CL201" s="1454"/>
      <c r="CM201" s="1454"/>
      <c r="CN201" s="1454"/>
      <c r="CO201" s="1454"/>
      <c r="CP201" s="1454"/>
      <c r="CQ201" s="1454"/>
      <c r="CR201" s="1454"/>
      <c r="CS201" s="1454"/>
      <c r="CT201" s="1454"/>
      <c r="DA201" s="1460"/>
      <c r="DB201" s="1460"/>
      <c r="DC201" s="1460"/>
      <c r="DD201" s="1460"/>
      <c r="DE201" s="1460"/>
      <c r="DF201" s="1460"/>
      <c r="DG201" s="1460"/>
      <c r="DH201" s="1460"/>
      <c r="DI201" s="1460"/>
      <c r="DJ201" s="1460"/>
      <c r="DK201" s="1460"/>
    </row>
    <row r="202" spans="1:116" ht="14.1" customHeight="1" x14ac:dyDescent="0.2">
      <c r="A202" s="7896" t="s">
        <v>60</v>
      </c>
      <c r="B202" s="7817">
        <f t="shared" si="36"/>
        <v>0</v>
      </c>
      <c r="C202" s="3067"/>
      <c r="D202" s="3067"/>
      <c r="E202" s="3067"/>
      <c r="F202" s="3067"/>
      <c r="G202" s="3067"/>
      <c r="H202" s="3067"/>
      <c r="I202" s="3067"/>
      <c r="J202" s="3067"/>
      <c r="K202" s="3067"/>
      <c r="L202" s="3067"/>
      <c r="M202" s="3067"/>
      <c r="N202" s="3067"/>
      <c r="O202" s="3067"/>
      <c r="P202" s="3067"/>
      <c r="Q202" s="3067"/>
      <c r="R202" s="3067"/>
      <c r="S202" s="3069"/>
      <c r="T202" s="3121"/>
      <c r="U202" s="3067"/>
      <c r="V202" s="3067"/>
      <c r="W202" s="3067"/>
      <c r="X202" s="3067"/>
      <c r="Y202" s="165" t="str">
        <f t="shared" si="37"/>
        <v/>
      </c>
      <c r="BY202" s="290"/>
      <c r="BZ202" s="290"/>
      <c r="CA202" s="1457" t="str">
        <f t="shared" si="38"/>
        <v/>
      </c>
      <c r="CG202" s="1458">
        <f t="shared" si="39"/>
        <v>0</v>
      </c>
      <c r="CH202" s="1454"/>
      <c r="CI202" s="1454"/>
      <c r="CJ202" s="1454"/>
      <c r="CK202" s="1454"/>
      <c r="CL202" s="1454"/>
      <c r="CM202" s="1454"/>
      <c r="CN202" s="1454"/>
      <c r="CO202" s="1454"/>
      <c r="CP202" s="1454"/>
      <c r="CQ202" s="1454"/>
      <c r="CR202" s="1454"/>
      <c r="CS202" s="1454"/>
      <c r="CT202" s="1454"/>
      <c r="DA202" s="1460"/>
      <c r="DB202" s="1460"/>
      <c r="DC202" s="1460"/>
      <c r="DD202" s="1460"/>
      <c r="DE202" s="1460"/>
      <c r="DF202" s="1460"/>
      <c r="DG202" s="1460"/>
      <c r="DH202" s="1460"/>
      <c r="DI202" s="1460"/>
      <c r="DJ202" s="1460"/>
      <c r="DK202" s="1460"/>
    </row>
    <row r="203" spans="1:116" ht="14.1" customHeight="1" x14ac:dyDescent="0.2">
      <c r="A203" s="7901" t="s">
        <v>403</v>
      </c>
      <c r="B203" s="7817">
        <f t="shared" si="36"/>
        <v>0</v>
      </c>
      <c r="C203" s="3067"/>
      <c r="D203" s="3067"/>
      <c r="E203" s="3067"/>
      <c r="F203" s="3067"/>
      <c r="G203" s="3067"/>
      <c r="H203" s="3067"/>
      <c r="I203" s="3067"/>
      <c r="J203" s="3067"/>
      <c r="K203" s="3067"/>
      <c r="L203" s="3067"/>
      <c r="M203" s="3067"/>
      <c r="N203" s="3067"/>
      <c r="O203" s="3067"/>
      <c r="P203" s="3067"/>
      <c r="Q203" s="3067"/>
      <c r="R203" s="3067"/>
      <c r="S203" s="3069"/>
      <c r="T203" s="3121"/>
      <c r="U203" s="3067"/>
      <c r="V203" s="3067"/>
      <c r="W203" s="3067"/>
      <c r="X203" s="3067"/>
      <c r="Y203" s="165" t="str">
        <f t="shared" si="37"/>
        <v/>
      </c>
      <c r="BY203" s="290"/>
      <c r="BZ203" s="290"/>
      <c r="CA203" s="1457" t="str">
        <f t="shared" si="38"/>
        <v/>
      </c>
      <c r="CB203" s="1457"/>
      <c r="CC203" s="1457"/>
      <c r="CD203" s="1457"/>
      <c r="CE203" s="1457"/>
      <c r="CF203" s="1457"/>
      <c r="CG203" s="1458">
        <f t="shared" si="39"/>
        <v>0</v>
      </c>
      <c r="CH203" s="1458"/>
      <c r="CI203" s="1454"/>
      <c r="CJ203" s="1454"/>
      <c r="CK203" s="1454"/>
      <c r="CL203" s="1454"/>
      <c r="CM203" s="1454"/>
      <c r="CN203" s="1454"/>
      <c r="CO203" s="1454"/>
      <c r="CP203" s="1454"/>
      <c r="CQ203" s="1454"/>
      <c r="CR203" s="1454"/>
      <c r="CS203" s="1454"/>
      <c r="CT203" s="1454"/>
      <c r="DA203" s="1460"/>
      <c r="DB203" s="1460"/>
      <c r="DC203" s="1460"/>
      <c r="DD203" s="1460"/>
      <c r="DE203" s="1460"/>
      <c r="DF203" s="1460"/>
      <c r="DG203" s="1460"/>
      <c r="DH203" s="1460"/>
      <c r="DI203" s="1460"/>
      <c r="DJ203" s="1460"/>
      <c r="DK203" s="1460"/>
    </row>
    <row r="204" spans="1:116" ht="14.1" customHeight="1" x14ac:dyDescent="0.2">
      <c r="A204" s="7901" t="s">
        <v>2590</v>
      </c>
      <c r="B204" s="7902">
        <f t="shared" si="36"/>
        <v>0</v>
      </c>
      <c r="C204" s="3067"/>
      <c r="D204" s="3067"/>
      <c r="E204" s="3067"/>
      <c r="F204" s="3067"/>
      <c r="G204" s="3067"/>
      <c r="H204" s="3067"/>
      <c r="I204" s="3067"/>
      <c r="J204" s="3067"/>
      <c r="K204" s="3067"/>
      <c r="L204" s="3067"/>
      <c r="M204" s="3067"/>
      <c r="N204" s="3067"/>
      <c r="O204" s="3067"/>
      <c r="P204" s="3067"/>
      <c r="Q204" s="3067"/>
      <c r="R204" s="3067"/>
      <c r="S204" s="3069"/>
      <c r="T204" s="1731"/>
      <c r="U204" s="7903"/>
      <c r="V204" s="7903"/>
      <c r="W204" s="7903"/>
      <c r="X204" s="7903"/>
      <c r="Y204" s="165" t="str">
        <f t="shared" si="37"/>
        <v/>
      </c>
      <c r="BY204" s="290"/>
      <c r="BZ204" s="290"/>
      <c r="CA204" s="1457" t="str">
        <f t="shared" si="38"/>
        <v/>
      </c>
      <c r="CB204" s="1457"/>
      <c r="CC204" s="1457"/>
      <c r="CD204" s="1457"/>
      <c r="CE204" s="1457"/>
      <c r="CF204" s="1457"/>
      <c r="CG204" s="1458">
        <f t="shared" si="39"/>
        <v>0</v>
      </c>
      <c r="CH204" s="1458"/>
      <c r="CI204" s="1454"/>
      <c r="CJ204" s="1454"/>
      <c r="CK204" s="1454"/>
      <c r="CL204" s="1454"/>
      <c r="CM204" s="1454"/>
      <c r="CN204" s="1454"/>
      <c r="CO204" s="1454"/>
      <c r="CP204" s="1454"/>
      <c r="CQ204" s="1454"/>
      <c r="CR204" s="1454"/>
      <c r="CS204" s="1454"/>
      <c r="CT204" s="1454"/>
      <c r="DA204" s="1460"/>
      <c r="DB204" s="1460"/>
      <c r="DC204" s="1460"/>
      <c r="DD204" s="1460"/>
      <c r="DE204" s="1460"/>
      <c r="DF204" s="1460"/>
      <c r="DG204" s="1460"/>
      <c r="DH204" s="1460"/>
      <c r="DI204" s="1460"/>
      <c r="DJ204" s="1460"/>
      <c r="DK204" s="1460"/>
    </row>
    <row r="205" spans="1:116" ht="14.1" customHeight="1" x14ac:dyDescent="0.2">
      <c r="A205" s="7904" t="s">
        <v>24</v>
      </c>
      <c r="B205" s="7417">
        <f>SUM(B199:B204)</f>
        <v>0</v>
      </c>
      <c r="C205" s="7417">
        <f>SUM(C199:C204)</f>
        <v>0</v>
      </c>
      <c r="D205" s="7417">
        <f>SUM(D199:D204)</f>
        <v>0</v>
      </c>
      <c r="E205" s="7417">
        <f t="shared" ref="E205:X205" si="40">SUM(E199:E204)</f>
        <v>0</v>
      </c>
      <c r="F205" s="7417">
        <f t="shared" si="40"/>
        <v>0</v>
      </c>
      <c r="G205" s="7417">
        <f t="shared" si="40"/>
        <v>0</v>
      </c>
      <c r="H205" s="7417">
        <f t="shared" si="40"/>
        <v>0</v>
      </c>
      <c r="I205" s="7417">
        <f t="shared" si="40"/>
        <v>0</v>
      </c>
      <c r="J205" s="7417">
        <f t="shared" si="40"/>
        <v>0</v>
      </c>
      <c r="K205" s="7417">
        <f t="shared" si="40"/>
        <v>0</v>
      </c>
      <c r="L205" s="7417">
        <f t="shared" si="40"/>
        <v>0</v>
      </c>
      <c r="M205" s="7417">
        <f t="shared" si="40"/>
        <v>0</v>
      </c>
      <c r="N205" s="7417">
        <f t="shared" si="40"/>
        <v>0</v>
      </c>
      <c r="O205" s="7417">
        <f t="shared" si="40"/>
        <v>0</v>
      </c>
      <c r="P205" s="7417">
        <f t="shared" si="40"/>
        <v>0</v>
      </c>
      <c r="Q205" s="7417">
        <f t="shared" si="40"/>
        <v>0</v>
      </c>
      <c r="R205" s="7417">
        <f t="shared" si="40"/>
        <v>0</v>
      </c>
      <c r="S205" s="7824">
        <f t="shared" si="40"/>
        <v>0</v>
      </c>
      <c r="T205" s="7333">
        <f t="shared" si="40"/>
        <v>0</v>
      </c>
      <c r="U205" s="3325">
        <f t="shared" si="40"/>
        <v>0</v>
      </c>
      <c r="V205" s="3325">
        <f t="shared" si="40"/>
        <v>0</v>
      </c>
      <c r="W205" s="3325">
        <f t="shared" si="40"/>
        <v>0</v>
      </c>
      <c r="X205" s="3325">
        <f t="shared" si="40"/>
        <v>0</v>
      </c>
      <c r="BY205" s="290"/>
      <c r="BZ205" s="290"/>
      <c r="CA205" s="1457"/>
      <c r="CB205" s="1457"/>
      <c r="CC205" s="1457"/>
      <c r="CD205" s="1457"/>
      <c r="CE205" s="1457"/>
      <c r="CF205" s="1457"/>
      <c r="CG205" s="1458"/>
      <c r="CH205" s="1458"/>
      <c r="CI205" s="1454"/>
      <c r="CJ205" s="1454"/>
      <c r="CK205" s="1454"/>
      <c r="CL205" s="1454"/>
      <c r="CM205" s="1454"/>
      <c r="CN205" s="1454"/>
      <c r="CO205" s="1454"/>
      <c r="CP205" s="1454"/>
      <c r="CQ205" s="1454"/>
      <c r="CR205" s="1454"/>
      <c r="CS205" s="1454"/>
      <c r="CT205" s="1454"/>
      <c r="DA205" s="1460"/>
      <c r="DB205" s="1460"/>
      <c r="DC205" s="1460"/>
      <c r="DD205" s="1460"/>
      <c r="DE205" s="1460"/>
      <c r="DF205" s="1460"/>
      <c r="DG205" s="1460"/>
      <c r="DH205" s="1460"/>
      <c r="DI205" s="1460"/>
      <c r="DJ205" s="1460"/>
      <c r="DK205" s="1460"/>
    </row>
    <row r="206" spans="1:116" ht="27.75" customHeight="1" x14ac:dyDescent="0.2">
      <c r="A206" s="133" t="s">
        <v>203</v>
      </c>
      <c r="CA206" s="1457"/>
      <c r="CB206" s="1457"/>
      <c r="CC206" s="1457"/>
      <c r="CD206" s="1457"/>
      <c r="CE206" s="1457"/>
      <c r="CF206" s="1457"/>
      <c r="CG206" s="1458"/>
      <c r="CH206" s="1458"/>
      <c r="CI206" s="1454"/>
      <c r="CJ206" s="1454"/>
      <c r="CK206" s="1454"/>
      <c r="CL206" s="1454"/>
      <c r="CM206" s="1454"/>
      <c r="CN206" s="1454"/>
      <c r="CO206" s="1454"/>
      <c r="CP206" s="1454"/>
      <c r="CQ206" s="1454"/>
      <c r="CR206" s="1454"/>
      <c r="CS206" s="1454"/>
      <c r="CT206" s="1454"/>
      <c r="CU206" s="290"/>
      <c r="CV206" s="290"/>
      <c r="CW206" s="290"/>
      <c r="CX206" s="290"/>
      <c r="CY206" s="290"/>
      <c r="CZ206" s="290"/>
    </row>
    <row r="207" spans="1:116" ht="15" customHeight="1" x14ac:dyDescent="0.2">
      <c r="A207" s="9280" t="s">
        <v>0</v>
      </c>
      <c r="B207" s="10413" t="s">
        <v>44</v>
      </c>
      <c r="C207" s="10416" t="s">
        <v>98</v>
      </c>
      <c r="D207" s="9110"/>
      <c r="E207" s="9110"/>
      <c r="F207" s="9110"/>
      <c r="G207" s="9110"/>
      <c r="H207" s="9110"/>
      <c r="I207" s="9110"/>
      <c r="J207" s="9110"/>
      <c r="K207" s="9110"/>
      <c r="L207" s="9110"/>
      <c r="M207" s="9110"/>
      <c r="N207" s="9110"/>
      <c r="O207" s="9110"/>
      <c r="P207" s="9110"/>
      <c r="Q207" s="9110"/>
      <c r="R207" s="9110"/>
      <c r="S207" s="10417"/>
      <c r="T207" s="9723" t="s">
        <v>644</v>
      </c>
      <c r="U207" s="9723"/>
      <c r="V207" s="9723"/>
      <c r="W207" s="9723"/>
      <c r="X207" s="10399"/>
      <c r="BY207" s="290"/>
      <c r="BZ207" s="290"/>
      <c r="CA207" s="1457"/>
      <c r="CB207" s="1457"/>
      <c r="CC207" s="1457"/>
      <c r="CD207" s="1457"/>
      <c r="CE207" s="1457"/>
      <c r="CF207" s="1457"/>
      <c r="CG207" s="1458"/>
      <c r="CH207" s="1458"/>
      <c r="CI207" s="1454"/>
      <c r="CJ207" s="1454"/>
      <c r="CK207" s="1454"/>
      <c r="CL207" s="1454"/>
      <c r="CM207" s="1454"/>
      <c r="CN207" s="1454"/>
      <c r="CO207" s="1454"/>
      <c r="CP207" s="1454"/>
      <c r="CQ207" s="1454"/>
      <c r="CR207" s="1454"/>
      <c r="CS207" s="1454"/>
      <c r="CT207" s="1454"/>
      <c r="DA207" s="1460"/>
      <c r="DB207" s="1460"/>
      <c r="DC207" s="1460"/>
      <c r="DD207" s="1460"/>
      <c r="DE207" s="1460"/>
      <c r="DF207" s="1460"/>
      <c r="DG207" s="1460"/>
      <c r="DH207" s="1460"/>
      <c r="DI207" s="1460"/>
      <c r="DJ207" s="1460"/>
      <c r="DK207" s="1460"/>
      <c r="DL207" s="1460"/>
    </row>
    <row r="208" spans="1:116" ht="18" customHeight="1" x14ac:dyDescent="0.2">
      <c r="A208" s="9296"/>
      <c r="B208" s="10414"/>
      <c r="C208" s="10418"/>
      <c r="D208" s="10419"/>
      <c r="E208" s="10419"/>
      <c r="F208" s="10419"/>
      <c r="G208" s="10419"/>
      <c r="H208" s="10419"/>
      <c r="I208" s="10419"/>
      <c r="J208" s="10419"/>
      <c r="K208" s="10419"/>
      <c r="L208" s="10419"/>
      <c r="M208" s="10419"/>
      <c r="N208" s="10419"/>
      <c r="O208" s="10419"/>
      <c r="P208" s="10419"/>
      <c r="Q208" s="10419"/>
      <c r="R208" s="10419"/>
      <c r="S208" s="10420"/>
      <c r="T208" s="10400" t="s">
        <v>364</v>
      </c>
      <c r="U208" s="10400"/>
      <c r="V208" s="10401"/>
      <c r="W208" s="10402" t="s">
        <v>2945</v>
      </c>
      <c r="X208" s="10403"/>
      <c r="BY208" s="290"/>
      <c r="BZ208" s="290"/>
      <c r="CA208" s="1457"/>
      <c r="CB208" s="1457"/>
      <c r="CC208" s="1457"/>
      <c r="CD208" s="1457"/>
      <c r="CE208" s="1457"/>
      <c r="CF208" s="1457"/>
      <c r="CG208" s="1458"/>
      <c r="CH208" s="1458"/>
      <c r="CI208" s="1454"/>
      <c r="CJ208" s="1454"/>
      <c r="CK208" s="1454"/>
      <c r="CL208" s="1454"/>
      <c r="CM208" s="1454"/>
      <c r="CN208" s="1454"/>
      <c r="CO208" s="1454"/>
      <c r="CP208" s="1454"/>
      <c r="CQ208" s="1454"/>
      <c r="CR208" s="1454"/>
      <c r="CS208" s="1454"/>
      <c r="CT208" s="1454"/>
      <c r="DA208" s="1460"/>
      <c r="DB208" s="1460"/>
      <c r="DC208" s="1460"/>
      <c r="DD208" s="1460"/>
      <c r="DE208" s="1460"/>
      <c r="DF208" s="1460"/>
      <c r="DG208" s="1460"/>
      <c r="DH208" s="1460"/>
      <c r="DI208" s="1460"/>
      <c r="DJ208" s="1460"/>
      <c r="DK208" s="1460"/>
      <c r="DL208" s="1460"/>
    </row>
    <row r="209" spans="1:116" ht="42" customHeight="1" x14ac:dyDescent="0.2">
      <c r="A209" s="10404"/>
      <c r="B209" s="10415"/>
      <c r="C209" s="7894" t="s">
        <v>1414</v>
      </c>
      <c r="D209" s="7894" t="s">
        <v>1413</v>
      </c>
      <c r="E209" s="7894" t="s">
        <v>77</v>
      </c>
      <c r="F209" s="7894" t="s">
        <v>68</v>
      </c>
      <c r="G209" s="7894" t="s">
        <v>142</v>
      </c>
      <c r="H209" s="7894" t="s">
        <v>143</v>
      </c>
      <c r="I209" s="7894" t="s">
        <v>144</v>
      </c>
      <c r="J209" s="7894" t="s">
        <v>7</v>
      </c>
      <c r="K209" s="7894" t="s">
        <v>8</v>
      </c>
      <c r="L209" s="7894" t="s">
        <v>145</v>
      </c>
      <c r="M209" s="7894" t="s">
        <v>10</v>
      </c>
      <c r="N209" s="7894" t="s">
        <v>11</v>
      </c>
      <c r="O209" s="7894" t="s">
        <v>12</v>
      </c>
      <c r="P209" s="7894" t="s">
        <v>13</v>
      </c>
      <c r="Q209" s="7894" t="s">
        <v>14</v>
      </c>
      <c r="R209" s="7894" t="s">
        <v>15</v>
      </c>
      <c r="S209" s="7895" t="s">
        <v>16</v>
      </c>
      <c r="T209" s="7892" t="s">
        <v>2942</v>
      </c>
      <c r="U209" s="7892" t="s">
        <v>2943</v>
      </c>
      <c r="V209" s="7892" t="s">
        <v>2944</v>
      </c>
      <c r="W209" s="7893" t="s">
        <v>183</v>
      </c>
      <c r="X209" s="7892" t="s">
        <v>184</v>
      </c>
      <c r="BY209" s="290"/>
      <c r="BZ209" s="290"/>
      <c r="CG209" s="1454"/>
      <c r="CH209" s="1454"/>
      <c r="CI209" s="1454"/>
      <c r="CJ209" s="1454"/>
      <c r="CK209" s="1454"/>
      <c r="CL209" s="1454"/>
      <c r="CM209" s="1454"/>
      <c r="CN209" s="1454"/>
      <c r="CO209" s="1454"/>
      <c r="CP209" s="1454"/>
      <c r="CQ209" s="1454"/>
      <c r="CR209" s="1454"/>
      <c r="CS209" s="1454"/>
      <c r="CT209" s="1454"/>
      <c r="DA209" s="1460"/>
      <c r="DB209" s="1460"/>
      <c r="DC209" s="1460"/>
      <c r="DD209" s="1460"/>
      <c r="DE209" s="1460"/>
      <c r="DF209" s="1460"/>
      <c r="DG209" s="1460"/>
      <c r="DH209" s="1460"/>
      <c r="DI209" s="1460"/>
      <c r="DJ209" s="1460"/>
      <c r="DK209" s="1460"/>
      <c r="DL209" s="1460"/>
    </row>
    <row r="210" spans="1:116" ht="14.1" customHeight="1" x14ac:dyDescent="0.2">
      <c r="A210" s="7801" t="s">
        <v>1014</v>
      </c>
      <c r="B210" s="7815">
        <f>SUM(C210:S210)</f>
        <v>0</v>
      </c>
      <c r="C210" s="3067"/>
      <c r="D210" s="3067"/>
      <c r="E210" s="3067"/>
      <c r="F210" s="3067"/>
      <c r="G210" s="3067"/>
      <c r="H210" s="3067"/>
      <c r="I210" s="3067"/>
      <c r="J210" s="3067"/>
      <c r="K210" s="3067"/>
      <c r="L210" s="3067"/>
      <c r="M210" s="3067"/>
      <c r="N210" s="3067"/>
      <c r="O210" s="3067"/>
      <c r="P210" s="3067"/>
      <c r="Q210" s="3067"/>
      <c r="R210" s="3067"/>
      <c r="S210" s="3069"/>
      <c r="T210" s="2877"/>
      <c r="U210" s="3113"/>
      <c r="V210" s="3113"/>
      <c r="W210" s="3113"/>
      <c r="X210" s="3113"/>
      <c r="Y210" s="165" t="str">
        <f>CA210</f>
        <v/>
      </c>
      <c r="BY210" s="290"/>
      <c r="BZ210" s="290"/>
      <c r="CA210" s="1457" t="str">
        <f>IF(CG210=1," * El total de Evaluaciones según tipo de atencion NO DEBE ser diferente al total.  ","")</f>
        <v/>
      </c>
      <c r="CG210" s="1458">
        <f>IF(B210&lt;&gt;SUM(T210:X210),1,0)</f>
        <v>0</v>
      </c>
      <c r="CH210" s="1454"/>
      <c r="CI210" s="1454"/>
      <c r="CJ210" s="1454"/>
      <c r="CK210" s="1454"/>
      <c r="CL210" s="1454"/>
      <c r="CM210" s="1454"/>
      <c r="CN210" s="1454"/>
      <c r="CO210" s="1454"/>
      <c r="CP210" s="1454"/>
      <c r="CQ210" s="1454"/>
      <c r="CR210" s="1454"/>
      <c r="CS210" s="1454"/>
      <c r="CT210" s="1454"/>
      <c r="DA210" s="1460"/>
      <c r="DB210" s="1460"/>
      <c r="DC210" s="1460"/>
      <c r="DD210" s="1460"/>
      <c r="DE210" s="1460"/>
      <c r="DF210" s="1460"/>
      <c r="DG210" s="1460"/>
      <c r="DH210" s="1460"/>
      <c r="DI210" s="1460"/>
      <c r="DJ210" s="1460"/>
      <c r="DK210" s="1460"/>
      <c r="DL210" s="1460"/>
    </row>
    <row r="211" spans="1:116" ht="14.1" customHeight="1" x14ac:dyDescent="0.2">
      <c r="A211" s="3333" t="s">
        <v>62</v>
      </c>
      <c r="B211" s="7817">
        <f>SUM(C211:S211)</f>
        <v>0</v>
      </c>
      <c r="C211" s="3067"/>
      <c r="D211" s="3067"/>
      <c r="E211" s="3067"/>
      <c r="F211" s="3067"/>
      <c r="G211" s="3067"/>
      <c r="H211" s="3067"/>
      <c r="I211" s="3067"/>
      <c r="J211" s="3067"/>
      <c r="K211" s="3067"/>
      <c r="L211" s="3067"/>
      <c r="M211" s="3067"/>
      <c r="N211" s="3067"/>
      <c r="O211" s="3067"/>
      <c r="P211" s="3067"/>
      <c r="Q211" s="3067"/>
      <c r="R211" s="3067"/>
      <c r="S211" s="3069"/>
      <c r="T211" s="3121"/>
      <c r="U211" s="3067"/>
      <c r="V211" s="3067"/>
      <c r="W211" s="3067"/>
      <c r="X211" s="3067"/>
      <c r="Y211" s="165" t="str">
        <f>CA211</f>
        <v/>
      </c>
      <c r="BY211" s="290"/>
      <c r="BZ211" s="290"/>
      <c r="CA211" s="1457" t="str">
        <f>IF(CG211=1," * El total de Evaluaciones según tipo de atencion NO DEBE ser diferente al total.  ","")</f>
        <v/>
      </c>
      <c r="CG211" s="1458">
        <f>IF(B211&lt;&gt;SUM(T211:X211),1,0)</f>
        <v>0</v>
      </c>
      <c r="CH211" s="1454"/>
      <c r="CI211" s="1454"/>
      <c r="CJ211" s="1454"/>
      <c r="CK211" s="1454"/>
      <c r="CL211" s="1454"/>
      <c r="CM211" s="1454"/>
      <c r="CN211" s="1454"/>
      <c r="CO211" s="1454"/>
      <c r="CP211" s="1454"/>
      <c r="CQ211" s="1454"/>
      <c r="CR211" s="1454"/>
      <c r="CS211" s="1454"/>
      <c r="CT211" s="1454"/>
      <c r="DA211" s="1460"/>
      <c r="DB211" s="1460"/>
      <c r="DC211" s="1460"/>
      <c r="DD211" s="1460"/>
      <c r="DE211" s="1460"/>
      <c r="DF211" s="1460"/>
      <c r="DG211" s="1460"/>
      <c r="DH211" s="1460"/>
      <c r="DI211" s="1460"/>
      <c r="DJ211" s="1460"/>
      <c r="DK211" s="1460"/>
      <c r="DL211" s="1460"/>
    </row>
    <row r="212" spans="1:116" ht="14.1" customHeight="1" x14ac:dyDescent="0.2">
      <c r="A212" s="3333" t="s">
        <v>2586</v>
      </c>
      <c r="B212" s="7817">
        <f>SUM(C212:S212)</f>
        <v>0</v>
      </c>
      <c r="C212" s="3067"/>
      <c r="D212" s="3067"/>
      <c r="E212" s="3067"/>
      <c r="F212" s="3067"/>
      <c r="G212" s="3067"/>
      <c r="H212" s="3067"/>
      <c r="I212" s="3067"/>
      <c r="J212" s="3067"/>
      <c r="K212" s="3067"/>
      <c r="L212" s="3067"/>
      <c r="M212" s="3067"/>
      <c r="N212" s="3067"/>
      <c r="O212" s="3067"/>
      <c r="P212" s="3067"/>
      <c r="Q212" s="3067"/>
      <c r="R212" s="3067"/>
      <c r="S212" s="3069"/>
      <c r="T212" s="3121"/>
      <c r="U212" s="3067"/>
      <c r="V212" s="3067"/>
      <c r="W212" s="3067"/>
      <c r="X212" s="3067"/>
      <c r="Y212" s="165" t="str">
        <f>CA212</f>
        <v/>
      </c>
      <c r="BY212" s="290"/>
      <c r="BZ212" s="290"/>
      <c r="CA212" s="1457" t="str">
        <f>IF(CG212=1," * El total de Evaluaciones según tipo de atencion NO DEBE ser diferente al total.  ","")</f>
        <v/>
      </c>
      <c r="CG212" s="1458">
        <f>IF(B212&lt;&gt;SUM(T212:X212),1,0)</f>
        <v>0</v>
      </c>
      <c r="CH212" s="1454"/>
      <c r="CI212" s="1454"/>
      <c r="CJ212" s="1454"/>
      <c r="CK212" s="1454"/>
      <c r="CL212" s="1454"/>
      <c r="CM212" s="1454"/>
      <c r="CN212" s="1454"/>
      <c r="CO212" s="1454"/>
      <c r="CP212" s="1454"/>
      <c r="CQ212" s="1454"/>
      <c r="CR212" s="1454"/>
      <c r="CS212" s="1454"/>
      <c r="CT212" s="1454"/>
      <c r="DA212" s="1460"/>
      <c r="DB212" s="1460"/>
      <c r="DC212" s="1460"/>
      <c r="DD212" s="1460"/>
      <c r="DE212" s="1460"/>
      <c r="DF212" s="1460"/>
      <c r="DG212" s="1460"/>
      <c r="DH212" s="1460"/>
      <c r="DI212" s="1460"/>
      <c r="DJ212" s="1460"/>
      <c r="DK212" s="1460"/>
      <c r="DL212" s="1460"/>
    </row>
    <row r="213" spans="1:116" ht="14.1" customHeight="1" x14ac:dyDescent="0.2">
      <c r="A213" s="3346" t="s">
        <v>60</v>
      </c>
      <c r="B213" s="7818">
        <f>SUM(C213:S213)</f>
        <v>0</v>
      </c>
      <c r="C213" s="3329"/>
      <c r="D213" s="3329"/>
      <c r="E213" s="3329"/>
      <c r="F213" s="3329"/>
      <c r="G213" s="3329"/>
      <c r="H213" s="3329"/>
      <c r="I213" s="3329"/>
      <c r="J213" s="3329"/>
      <c r="K213" s="3329"/>
      <c r="L213" s="3329"/>
      <c r="M213" s="3329"/>
      <c r="N213" s="3329"/>
      <c r="O213" s="3329"/>
      <c r="P213" s="3329"/>
      <c r="Q213" s="3329"/>
      <c r="R213" s="3329"/>
      <c r="S213" s="7865"/>
      <c r="T213" s="3249"/>
      <c r="U213" s="3329"/>
      <c r="V213" s="3329"/>
      <c r="W213" s="3329"/>
      <c r="X213" s="3329"/>
      <c r="Y213" s="165" t="str">
        <f>CA213</f>
        <v/>
      </c>
      <c r="BY213" s="290"/>
      <c r="BZ213" s="290"/>
      <c r="CA213" s="1457" t="str">
        <f>IF(CG213=1," * El total de Evaluaciones según tipo de atencion NO DEBE ser diferente al total.  ","")</f>
        <v/>
      </c>
      <c r="CG213" s="1458">
        <f>IF(B213&lt;&gt;SUM(T213:X213),1,0)</f>
        <v>0</v>
      </c>
      <c r="CH213" s="1454"/>
      <c r="CI213" s="1454"/>
      <c r="CJ213" s="1454"/>
      <c r="CK213" s="1454"/>
      <c r="CL213" s="1454"/>
      <c r="CM213" s="1454"/>
      <c r="CN213" s="1454"/>
      <c r="CO213" s="1454"/>
      <c r="CP213" s="1454"/>
      <c r="CQ213" s="1454"/>
      <c r="CR213" s="1454"/>
      <c r="CS213" s="1454"/>
      <c r="CT213" s="1454"/>
      <c r="DA213" s="1460"/>
      <c r="DB213" s="1460"/>
      <c r="DC213" s="1460"/>
      <c r="DD213" s="1460"/>
      <c r="DE213" s="1460"/>
      <c r="DF213" s="1460"/>
      <c r="DG213" s="1460"/>
      <c r="DH213" s="1460"/>
      <c r="DI213" s="1460"/>
      <c r="DJ213" s="1460"/>
      <c r="DK213" s="1460"/>
      <c r="DL213" s="1460"/>
    </row>
    <row r="214" spans="1:116" ht="14.1" customHeight="1" x14ac:dyDescent="0.2">
      <c r="A214" s="7904" t="s">
        <v>24</v>
      </c>
      <c r="B214" s="7897">
        <f>SUM(B210:B213)</f>
        <v>0</v>
      </c>
      <c r="C214" s="7897">
        <f>SUM(C210:C213)</f>
        <v>0</v>
      </c>
      <c r="D214" s="7897">
        <f t="shared" ref="D214:X214" si="41">SUM(D210:D213)</f>
        <v>0</v>
      </c>
      <c r="E214" s="7897">
        <f t="shared" si="41"/>
        <v>0</v>
      </c>
      <c r="F214" s="7897">
        <f t="shared" si="41"/>
        <v>0</v>
      </c>
      <c r="G214" s="7897">
        <f t="shared" si="41"/>
        <v>0</v>
      </c>
      <c r="H214" s="7897">
        <f t="shared" si="41"/>
        <v>0</v>
      </c>
      <c r="I214" s="7897">
        <f t="shared" si="41"/>
        <v>0</v>
      </c>
      <c r="J214" s="7897">
        <f t="shared" si="41"/>
        <v>0</v>
      </c>
      <c r="K214" s="7897">
        <f t="shared" si="41"/>
        <v>0</v>
      </c>
      <c r="L214" s="7897">
        <f t="shared" si="41"/>
        <v>0</v>
      </c>
      <c r="M214" s="7897">
        <f t="shared" si="41"/>
        <v>0</v>
      </c>
      <c r="N214" s="7897">
        <f t="shared" si="41"/>
        <v>0</v>
      </c>
      <c r="O214" s="7897">
        <f t="shared" si="41"/>
        <v>0</v>
      </c>
      <c r="P214" s="7897">
        <f t="shared" si="41"/>
        <v>0</v>
      </c>
      <c r="Q214" s="7897">
        <f t="shared" si="41"/>
        <v>0</v>
      </c>
      <c r="R214" s="7897">
        <f t="shared" si="41"/>
        <v>0</v>
      </c>
      <c r="S214" s="7905">
        <f t="shared" si="41"/>
        <v>0</v>
      </c>
      <c r="T214" s="7333">
        <f t="shared" si="41"/>
        <v>0</v>
      </c>
      <c r="U214" s="3325">
        <f t="shared" si="41"/>
        <v>0</v>
      </c>
      <c r="V214" s="3325">
        <f t="shared" si="41"/>
        <v>0</v>
      </c>
      <c r="W214" s="3325">
        <f t="shared" si="41"/>
        <v>0</v>
      </c>
      <c r="X214" s="3325">
        <f t="shared" si="41"/>
        <v>0</v>
      </c>
      <c r="BY214" s="290"/>
      <c r="BZ214" s="290"/>
      <c r="CG214" s="1454"/>
      <c r="CH214" s="1454"/>
      <c r="CI214" s="1454"/>
      <c r="CJ214" s="1454"/>
      <c r="CK214" s="1454"/>
      <c r="CL214" s="1454"/>
      <c r="CM214" s="1454"/>
      <c r="CN214" s="1454"/>
      <c r="CO214" s="1454"/>
      <c r="CP214" s="1454"/>
      <c r="CQ214" s="1454"/>
      <c r="CR214" s="1454"/>
      <c r="CS214" s="1454"/>
      <c r="CT214" s="1454"/>
      <c r="DA214" s="1460"/>
      <c r="DB214" s="1460"/>
      <c r="DC214" s="1460"/>
      <c r="DD214" s="1460"/>
      <c r="DE214" s="1460"/>
      <c r="DF214" s="1460"/>
      <c r="DG214" s="1460"/>
      <c r="DH214" s="1460"/>
      <c r="DI214" s="1460"/>
      <c r="DJ214" s="1460"/>
      <c r="DK214" s="1460"/>
      <c r="DL214" s="1460"/>
    </row>
    <row r="215" spans="1:116" ht="26.45" customHeight="1" x14ac:dyDescent="0.2">
      <c r="A215" s="72" t="s">
        <v>627</v>
      </c>
      <c r="CG215" s="1454"/>
      <c r="CH215" s="1454"/>
      <c r="CI215" s="1454"/>
      <c r="CJ215" s="1454"/>
      <c r="CK215" s="1454"/>
      <c r="CL215" s="1454"/>
      <c r="CM215" s="1454"/>
      <c r="CN215" s="1454"/>
      <c r="CO215" s="1454"/>
      <c r="CP215" s="1454"/>
      <c r="CQ215" s="1454"/>
      <c r="CR215" s="1454"/>
      <c r="CS215" s="1454"/>
      <c r="CT215" s="1454"/>
      <c r="CU215" s="290"/>
      <c r="CV215" s="290"/>
      <c r="CW215" s="290"/>
      <c r="CX215" s="290"/>
      <c r="CY215" s="290"/>
      <c r="CZ215" s="290"/>
    </row>
    <row r="216" spans="1:116" ht="18" customHeight="1" x14ac:dyDescent="0.2">
      <c r="A216" s="7906" t="s">
        <v>186</v>
      </c>
      <c r="B216" s="7882" t="s">
        <v>1</v>
      </c>
      <c r="CG216" s="1454"/>
      <c r="CH216" s="1454"/>
      <c r="CI216" s="1454"/>
      <c r="CJ216" s="1454"/>
      <c r="CK216" s="1454"/>
      <c r="CL216" s="1454"/>
      <c r="CM216" s="1454"/>
      <c r="CN216" s="1454"/>
      <c r="CO216" s="1454"/>
      <c r="CP216" s="1454"/>
      <c r="CQ216" s="1454"/>
      <c r="CR216" s="1454"/>
      <c r="CS216" s="1454"/>
      <c r="CT216" s="1454"/>
      <c r="CU216" s="290"/>
      <c r="CV216" s="290"/>
      <c r="CW216" s="290"/>
      <c r="CX216" s="290"/>
      <c r="CY216" s="290"/>
      <c r="CZ216" s="290"/>
    </row>
    <row r="217" spans="1:116" ht="14.1" customHeight="1" x14ac:dyDescent="0.2">
      <c r="A217" s="3347" t="s">
        <v>187</v>
      </c>
      <c r="B217" s="3113"/>
      <c r="CG217" s="1454"/>
      <c r="CH217" s="1454"/>
      <c r="CI217" s="1454"/>
      <c r="CJ217" s="1454"/>
      <c r="CK217" s="1454"/>
      <c r="CL217" s="1454"/>
      <c r="CM217" s="1454"/>
      <c r="CN217" s="1454"/>
      <c r="CO217" s="1454"/>
      <c r="CP217" s="1454"/>
      <c r="CQ217" s="1454"/>
      <c r="CR217" s="1454"/>
      <c r="CS217" s="1454"/>
      <c r="CT217" s="1454"/>
      <c r="CU217" s="290"/>
      <c r="CV217" s="290"/>
      <c r="CW217" s="290"/>
      <c r="CX217" s="290"/>
      <c r="CY217" s="290"/>
      <c r="CZ217" s="290"/>
    </row>
    <row r="218" spans="1:116" ht="14.1" customHeight="1" x14ac:dyDescent="0.2">
      <c r="A218" s="7907" t="s">
        <v>188</v>
      </c>
      <c r="B218" s="3067"/>
      <c r="CG218" s="1454"/>
      <c r="CH218" s="1454"/>
      <c r="CI218" s="1454"/>
      <c r="CJ218" s="1454"/>
      <c r="CK218" s="1454"/>
      <c r="CL218" s="1454"/>
      <c r="CM218" s="1454"/>
      <c r="CN218" s="1454"/>
      <c r="CO218" s="1454"/>
      <c r="CP218" s="1454"/>
      <c r="CQ218" s="1454"/>
      <c r="CR218" s="1454"/>
      <c r="CS218" s="1454"/>
      <c r="CT218" s="1454"/>
      <c r="CU218" s="290"/>
      <c r="CV218" s="290"/>
      <c r="CW218" s="290"/>
      <c r="CX218" s="290"/>
      <c r="CY218" s="290"/>
      <c r="CZ218" s="290"/>
    </row>
    <row r="219" spans="1:116" ht="14.1" customHeight="1" x14ac:dyDescent="0.2">
      <c r="A219" s="7907" t="s">
        <v>189</v>
      </c>
      <c r="B219" s="3067"/>
      <c r="CG219" s="1454"/>
      <c r="CH219" s="1454"/>
      <c r="CI219" s="1454"/>
      <c r="CJ219" s="1454"/>
      <c r="CK219" s="1454"/>
      <c r="CL219" s="1454"/>
      <c r="CM219" s="1454"/>
      <c r="CN219" s="1454"/>
      <c r="CO219" s="1454"/>
      <c r="CP219" s="1454"/>
      <c r="CQ219" s="1454"/>
      <c r="CR219" s="1454"/>
      <c r="CS219" s="1454"/>
      <c r="CT219" s="1454"/>
      <c r="CU219" s="290"/>
      <c r="CV219" s="290"/>
      <c r="CW219" s="290"/>
      <c r="CX219" s="290"/>
      <c r="CY219" s="290"/>
      <c r="CZ219" s="290"/>
    </row>
    <row r="220" spans="1:116" ht="14.1" customHeight="1" x14ac:dyDescent="0.2">
      <c r="A220" s="7908" t="s">
        <v>2843</v>
      </c>
      <c r="B220" s="3329"/>
      <c r="CG220" s="1454"/>
      <c r="CH220" s="1454"/>
      <c r="CI220" s="1454"/>
      <c r="CJ220" s="1454"/>
      <c r="CK220" s="1454"/>
      <c r="CL220" s="1454"/>
      <c r="CM220" s="1454"/>
      <c r="CN220" s="1454"/>
      <c r="CO220" s="1454"/>
      <c r="CP220" s="1454"/>
      <c r="CQ220" s="1454"/>
      <c r="CR220" s="1454"/>
      <c r="CS220" s="1454"/>
      <c r="CT220" s="1454"/>
      <c r="CU220" s="290"/>
      <c r="CV220" s="290"/>
      <c r="CW220" s="290"/>
      <c r="CX220" s="290"/>
      <c r="CY220" s="290"/>
      <c r="CZ220" s="290"/>
    </row>
    <row r="221" spans="1:116" ht="26.25" customHeight="1" x14ac:dyDescent="0.2">
      <c r="A221" s="133" t="s">
        <v>628</v>
      </c>
      <c r="CG221" s="1454"/>
      <c r="CH221" s="1454"/>
      <c r="CI221" s="1454"/>
      <c r="CJ221" s="1454"/>
      <c r="CK221" s="1454"/>
      <c r="CL221" s="1454"/>
      <c r="CM221" s="1454"/>
      <c r="CN221" s="1454"/>
      <c r="CO221" s="1454"/>
      <c r="CP221" s="1454"/>
      <c r="CQ221" s="1454"/>
      <c r="CR221" s="1454"/>
      <c r="CS221" s="1454"/>
      <c r="CT221" s="1454"/>
      <c r="CU221" s="290"/>
      <c r="CV221" s="290"/>
      <c r="CW221" s="290"/>
      <c r="CX221" s="290"/>
      <c r="CY221" s="290"/>
      <c r="CZ221" s="290"/>
    </row>
    <row r="222" spans="1:116" ht="24" customHeight="1" x14ac:dyDescent="0.2">
      <c r="A222" s="7674" t="s">
        <v>47</v>
      </c>
      <c r="B222" s="7882" t="s">
        <v>24</v>
      </c>
      <c r="CG222" s="1454"/>
      <c r="CH222" s="1454"/>
      <c r="CI222" s="1454"/>
      <c r="CJ222" s="1454"/>
      <c r="CK222" s="1454"/>
      <c r="CL222" s="1454"/>
      <c r="CM222" s="1454"/>
      <c r="CN222" s="1454"/>
      <c r="CO222" s="1454"/>
      <c r="CP222" s="1454"/>
      <c r="CQ222" s="1454"/>
      <c r="CR222" s="1454"/>
      <c r="CS222" s="1454"/>
      <c r="CT222" s="1454"/>
      <c r="CU222" s="290"/>
      <c r="CV222" s="290"/>
      <c r="CW222" s="290"/>
      <c r="CX222" s="290"/>
      <c r="CY222" s="290"/>
      <c r="CZ222" s="290"/>
    </row>
    <row r="223" spans="1:116" ht="14.1" customHeight="1" x14ac:dyDescent="0.2">
      <c r="A223" s="7907" t="s">
        <v>302</v>
      </c>
      <c r="B223" s="3067"/>
      <c r="CG223" s="1454"/>
      <c r="CH223" s="1454"/>
      <c r="CI223" s="1454"/>
      <c r="CJ223" s="1454"/>
      <c r="CK223" s="1454"/>
      <c r="CL223" s="1454"/>
      <c r="CM223" s="1454"/>
      <c r="CN223" s="1454"/>
      <c r="CO223" s="1454"/>
      <c r="CP223" s="1454"/>
      <c r="CQ223" s="1454"/>
      <c r="CR223" s="1454"/>
      <c r="CS223" s="1454"/>
      <c r="CT223" s="1454"/>
      <c r="CU223" s="290"/>
      <c r="CV223" s="290"/>
      <c r="CW223" s="290"/>
      <c r="CX223" s="290"/>
      <c r="CY223" s="290"/>
      <c r="CZ223" s="290"/>
    </row>
    <row r="224" spans="1:116" ht="14.1" customHeight="1" x14ac:dyDescent="0.2">
      <c r="A224" s="7907" t="s">
        <v>2825</v>
      </c>
      <c r="B224" s="3067"/>
      <c r="CG224" s="1454"/>
      <c r="CH224" s="1454"/>
      <c r="CI224" s="1454"/>
      <c r="CJ224" s="1454"/>
      <c r="CK224" s="1454"/>
      <c r="CL224" s="1454"/>
      <c r="CM224" s="1454"/>
      <c r="CN224" s="1454"/>
      <c r="CO224" s="1454"/>
      <c r="CP224" s="1454"/>
      <c r="CQ224" s="1454"/>
      <c r="CR224" s="1454"/>
      <c r="CS224" s="1454"/>
      <c r="CT224" s="1454"/>
      <c r="CU224" s="290"/>
      <c r="CV224" s="290"/>
      <c r="CW224" s="290"/>
      <c r="CX224" s="290"/>
      <c r="CY224" s="290"/>
      <c r="CZ224" s="290"/>
    </row>
    <row r="225" spans="1:104" ht="14.1" customHeight="1" x14ac:dyDescent="0.2">
      <c r="A225" s="7907" t="s">
        <v>303</v>
      </c>
      <c r="B225" s="3067"/>
      <c r="CG225" s="1454"/>
      <c r="CH225" s="1454"/>
      <c r="CI225" s="1454"/>
      <c r="CJ225" s="1454"/>
      <c r="CK225" s="1454"/>
      <c r="CL225" s="1454"/>
      <c r="CM225" s="1454"/>
      <c r="CN225" s="1454"/>
      <c r="CO225" s="1454"/>
      <c r="CP225" s="1454"/>
      <c r="CQ225" s="1454"/>
      <c r="CR225" s="1454"/>
      <c r="CS225" s="1454"/>
      <c r="CT225" s="1454"/>
      <c r="CU225" s="290"/>
      <c r="CV225" s="290"/>
      <c r="CW225" s="290"/>
      <c r="CX225" s="290"/>
      <c r="CY225" s="290"/>
      <c r="CZ225" s="290"/>
    </row>
    <row r="226" spans="1:104" ht="25.5" customHeight="1" x14ac:dyDescent="0.2">
      <c r="A226" s="7909" t="s">
        <v>2826</v>
      </c>
      <c r="B226" s="3067"/>
      <c r="CG226" s="1454"/>
      <c r="CH226" s="1454"/>
      <c r="CI226" s="1454"/>
      <c r="CJ226" s="1454"/>
      <c r="CK226" s="1454"/>
      <c r="CL226" s="1454"/>
      <c r="CM226" s="1454"/>
      <c r="CN226" s="1454"/>
      <c r="CO226" s="1454"/>
      <c r="CP226" s="1454"/>
      <c r="CQ226" s="1454"/>
      <c r="CR226" s="1454"/>
      <c r="CS226" s="1454"/>
      <c r="CT226" s="1454"/>
      <c r="CU226" s="290"/>
      <c r="CV226" s="290"/>
      <c r="CW226" s="290"/>
      <c r="CX226" s="290"/>
      <c r="CY226" s="290"/>
      <c r="CZ226" s="290"/>
    </row>
    <row r="227" spans="1:104" ht="14.1" customHeight="1" x14ac:dyDescent="0.2">
      <c r="A227" s="7907" t="s">
        <v>322</v>
      </c>
      <c r="B227" s="3067"/>
      <c r="CG227" s="1454"/>
      <c r="CH227" s="1454"/>
      <c r="CI227" s="1454"/>
      <c r="CJ227" s="1454"/>
      <c r="CK227" s="1454"/>
      <c r="CL227" s="1454"/>
      <c r="CM227" s="1454"/>
      <c r="CN227" s="1454"/>
      <c r="CO227" s="1454"/>
      <c r="CP227" s="1454"/>
      <c r="CQ227" s="1454"/>
      <c r="CR227" s="1454"/>
      <c r="CS227" s="1454"/>
      <c r="CT227" s="1454"/>
      <c r="CU227" s="290"/>
      <c r="CV227" s="290"/>
      <c r="CW227" s="290"/>
      <c r="CX227" s="290"/>
      <c r="CY227" s="290"/>
      <c r="CZ227" s="290"/>
    </row>
    <row r="228" spans="1:104" ht="14.1" customHeight="1" x14ac:dyDescent="0.2">
      <c r="A228" s="7907" t="s">
        <v>306</v>
      </c>
      <c r="B228" s="3067"/>
      <c r="BY228" s="290"/>
      <c r="BZ228" s="290"/>
      <c r="CG228" s="1454"/>
      <c r="CH228" s="1454"/>
      <c r="CI228" s="1454"/>
      <c r="CJ228" s="1454"/>
      <c r="CK228" s="1454"/>
      <c r="CL228" s="1454"/>
      <c r="CM228" s="1454"/>
      <c r="CN228" s="1454"/>
      <c r="CO228" s="1454"/>
      <c r="CP228" s="1454"/>
      <c r="CQ228" s="1454"/>
      <c r="CR228" s="1454"/>
      <c r="CS228" s="1454"/>
      <c r="CT228" s="1454"/>
      <c r="CU228" s="290"/>
      <c r="CV228" s="290"/>
      <c r="CW228" s="290"/>
      <c r="CX228" s="290"/>
      <c r="CY228" s="290"/>
      <c r="CZ228" s="290"/>
    </row>
    <row r="229" spans="1:104" ht="14.1" customHeight="1" x14ac:dyDescent="0.2">
      <c r="A229" s="7907" t="s">
        <v>323</v>
      </c>
      <c r="B229" s="3067"/>
      <c r="BY229" s="290"/>
      <c r="BZ229" s="290"/>
      <c r="CG229" s="1454"/>
      <c r="CH229" s="1454"/>
      <c r="CI229" s="1454"/>
      <c r="CJ229" s="1454"/>
      <c r="CK229" s="1454"/>
      <c r="CL229" s="1454"/>
      <c r="CM229" s="1454"/>
      <c r="CN229" s="1454"/>
      <c r="CO229" s="1454"/>
      <c r="CP229" s="1454"/>
      <c r="CQ229" s="1454"/>
      <c r="CR229" s="1454"/>
      <c r="CS229" s="1454"/>
      <c r="CT229" s="1454"/>
      <c r="CU229" s="290"/>
      <c r="CV229" s="290"/>
      <c r="CW229" s="290"/>
      <c r="CX229" s="290"/>
      <c r="CY229" s="290"/>
      <c r="CZ229" s="290"/>
    </row>
    <row r="230" spans="1:104" ht="14.1" customHeight="1" x14ac:dyDescent="0.2">
      <c r="A230" s="7907" t="s">
        <v>320</v>
      </c>
      <c r="B230" s="3067"/>
      <c r="BY230" s="290"/>
      <c r="BZ230" s="290"/>
      <c r="CG230" s="1454"/>
      <c r="CH230" s="1454"/>
      <c r="CI230" s="1454"/>
      <c r="CJ230" s="1454"/>
      <c r="CK230" s="1454"/>
      <c r="CL230" s="1454"/>
      <c r="CM230" s="1454"/>
      <c r="CN230" s="1454"/>
      <c r="CO230" s="1454"/>
      <c r="CP230" s="1454"/>
      <c r="CQ230" s="1454"/>
      <c r="CR230" s="1454"/>
      <c r="CS230" s="1454"/>
      <c r="CT230" s="1454"/>
      <c r="CU230" s="290"/>
      <c r="CV230" s="290"/>
      <c r="CW230" s="290"/>
      <c r="CX230" s="290"/>
      <c r="CY230" s="290"/>
      <c r="CZ230" s="290"/>
    </row>
    <row r="231" spans="1:104" ht="14.1" customHeight="1" x14ac:dyDescent="0.2">
      <c r="A231" s="7907" t="s">
        <v>2828</v>
      </c>
      <c r="B231" s="3067"/>
      <c r="BY231" s="290"/>
      <c r="BZ231" s="290"/>
      <c r="CG231" s="1454"/>
      <c r="CH231" s="1454"/>
      <c r="CI231" s="1454"/>
      <c r="CJ231" s="1454"/>
      <c r="CK231" s="1454"/>
      <c r="CL231" s="1454"/>
      <c r="CM231" s="1454"/>
      <c r="CN231" s="1454"/>
      <c r="CO231" s="1454"/>
      <c r="CP231" s="1454"/>
      <c r="CQ231" s="1454"/>
      <c r="CR231" s="1454"/>
      <c r="CS231" s="1454"/>
      <c r="CT231" s="1454"/>
      <c r="CU231" s="290"/>
      <c r="CV231" s="290"/>
      <c r="CW231" s="290"/>
      <c r="CX231" s="290"/>
      <c r="CY231" s="290"/>
      <c r="CZ231" s="290"/>
    </row>
    <row r="232" spans="1:104" ht="14.1" customHeight="1" x14ac:dyDescent="0.2">
      <c r="A232" s="7907" t="s">
        <v>305</v>
      </c>
      <c r="B232" s="3067"/>
      <c r="BY232" s="290"/>
      <c r="BZ232" s="290"/>
      <c r="CG232" s="1454"/>
      <c r="CH232" s="1454"/>
      <c r="CI232" s="1454"/>
      <c r="CJ232" s="1454"/>
      <c r="CK232" s="1454"/>
      <c r="CL232" s="1454"/>
      <c r="CM232" s="1454"/>
      <c r="CN232" s="1454"/>
      <c r="CO232" s="1454"/>
      <c r="CP232" s="1454"/>
      <c r="CQ232" s="1454"/>
      <c r="CR232" s="1454"/>
      <c r="CS232" s="1454"/>
      <c r="CT232" s="1454"/>
      <c r="CU232" s="290"/>
      <c r="CV232" s="290"/>
      <c r="CW232" s="290"/>
      <c r="CX232" s="290"/>
      <c r="CY232" s="290"/>
      <c r="CZ232" s="290"/>
    </row>
    <row r="233" spans="1:104" ht="14.1" customHeight="1" x14ac:dyDescent="0.2">
      <c r="A233" s="7907" t="s">
        <v>304</v>
      </c>
      <c r="B233" s="3067"/>
      <c r="BY233" s="290"/>
      <c r="BZ233" s="290"/>
      <c r="CG233" s="1454"/>
      <c r="CH233" s="1454"/>
      <c r="CI233" s="1454"/>
      <c r="CJ233" s="1454"/>
      <c r="CK233" s="1454"/>
      <c r="CL233" s="1454"/>
      <c r="CM233" s="1454"/>
      <c r="CN233" s="1454"/>
      <c r="CO233" s="1454"/>
      <c r="CP233" s="1454"/>
      <c r="CQ233" s="1454"/>
      <c r="CR233" s="1454"/>
      <c r="CS233" s="1454"/>
      <c r="CT233" s="1454"/>
      <c r="CU233" s="290"/>
      <c r="CV233" s="290"/>
      <c r="CW233" s="290"/>
      <c r="CX233" s="290"/>
      <c r="CY233" s="290"/>
      <c r="CZ233" s="290"/>
    </row>
    <row r="234" spans="1:104" ht="14.1" customHeight="1" x14ac:dyDescent="0.2">
      <c r="A234" s="7907" t="s">
        <v>2827</v>
      </c>
      <c r="B234" s="3067"/>
      <c r="BY234" s="290"/>
      <c r="BZ234" s="290"/>
      <c r="CG234" s="1454"/>
      <c r="CH234" s="1454"/>
      <c r="CI234" s="1454"/>
      <c r="CJ234" s="1454"/>
      <c r="CK234" s="1454"/>
      <c r="CL234" s="1454"/>
      <c r="CM234" s="1454"/>
      <c r="CN234" s="1454"/>
      <c r="CO234" s="1454"/>
      <c r="CP234" s="1454"/>
      <c r="CQ234" s="1454"/>
      <c r="CR234" s="1454"/>
      <c r="CS234" s="1454"/>
      <c r="CT234" s="1454"/>
      <c r="CU234" s="290"/>
      <c r="CV234" s="290"/>
      <c r="CW234" s="290"/>
      <c r="CX234" s="290"/>
      <c r="CY234" s="290"/>
      <c r="CZ234" s="290"/>
    </row>
    <row r="235" spans="1:104" ht="14.1" customHeight="1" x14ac:dyDescent="0.2">
      <c r="A235" s="7907" t="s">
        <v>2844</v>
      </c>
      <c r="B235" s="3067"/>
      <c r="BY235" s="290"/>
      <c r="BZ235" s="290"/>
      <c r="CG235" s="1454"/>
      <c r="CH235" s="1454"/>
      <c r="CI235" s="1454"/>
      <c r="CJ235" s="1454"/>
      <c r="CK235" s="1454"/>
      <c r="CL235" s="1454"/>
      <c r="CM235" s="1454"/>
      <c r="CN235" s="1454"/>
      <c r="CO235" s="1454"/>
      <c r="CP235" s="1454"/>
      <c r="CQ235" s="1454"/>
      <c r="CR235" s="1454"/>
      <c r="CS235" s="1454"/>
      <c r="CT235" s="1454"/>
      <c r="CU235" s="290"/>
      <c r="CV235" s="290"/>
      <c r="CW235" s="290"/>
      <c r="CX235" s="290"/>
      <c r="CY235" s="290"/>
      <c r="CZ235" s="290"/>
    </row>
    <row r="236" spans="1:104" ht="14.1" customHeight="1" x14ac:dyDescent="0.2">
      <c r="A236" s="7907" t="s">
        <v>1114</v>
      </c>
      <c r="B236" s="3067"/>
      <c r="BY236" s="290"/>
      <c r="BZ236" s="290"/>
      <c r="CG236" s="1454"/>
      <c r="CH236" s="1454"/>
      <c r="CI236" s="1454"/>
      <c r="CJ236" s="1454"/>
      <c r="CK236" s="1454"/>
      <c r="CL236" s="1454"/>
      <c r="CM236" s="1454"/>
      <c r="CN236" s="1454"/>
      <c r="CO236" s="1454"/>
      <c r="CP236" s="1454"/>
      <c r="CQ236" s="1454"/>
      <c r="CR236" s="1454"/>
      <c r="CS236" s="1454"/>
      <c r="CT236" s="1454"/>
      <c r="CU236" s="290"/>
      <c r="CV236" s="290"/>
      <c r="CW236" s="290"/>
      <c r="CX236" s="290"/>
      <c r="CY236" s="290"/>
      <c r="CZ236" s="290"/>
    </row>
    <row r="237" spans="1:104" ht="14.1" customHeight="1" x14ac:dyDescent="0.2">
      <c r="A237" s="7907" t="s">
        <v>321</v>
      </c>
      <c r="B237" s="3067"/>
      <c r="BY237" s="290"/>
      <c r="BZ237" s="290"/>
      <c r="CG237" s="1454"/>
      <c r="CH237" s="1454"/>
      <c r="CI237" s="1454"/>
      <c r="CJ237" s="1454"/>
      <c r="CK237" s="1454"/>
      <c r="CL237" s="1454"/>
      <c r="CM237" s="1454"/>
      <c r="CN237" s="1454"/>
      <c r="CO237" s="1454"/>
      <c r="CP237" s="1454"/>
      <c r="CQ237" s="1454"/>
      <c r="CR237" s="1454"/>
      <c r="CS237" s="1454"/>
      <c r="CT237" s="1454"/>
      <c r="CU237" s="290"/>
      <c r="CV237" s="290"/>
      <c r="CW237" s="290"/>
      <c r="CX237" s="290"/>
      <c r="CY237" s="290"/>
      <c r="CZ237" s="290"/>
    </row>
    <row r="238" spans="1:104" ht="14.1" customHeight="1" x14ac:dyDescent="0.2">
      <c r="A238" s="7907" t="s">
        <v>2829</v>
      </c>
      <c r="B238" s="3067"/>
      <c r="BY238" s="290"/>
      <c r="BZ238" s="290"/>
      <c r="CU238" s="290"/>
      <c r="CV238" s="290"/>
      <c r="CW238" s="290"/>
      <c r="CX238" s="290"/>
      <c r="CY238" s="290"/>
      <c r="CZ238" s="290"/>
    </row>
    <row r="239" spans="1:104" ht="14.1" customHeight="1" x14ac:dyDescent="0.2">
      <c r="A239" s="7907" t="s">
        <v>2830</v>
      </c>
      <c r="B239" s="3067"/>
      <c r="BY239" s="290"/>
      <c r="BZ239" s="290"/>
      <c r="CA239" s="165"/>
      <c r="CB239" s="165"/>
      <c r="CC239" s="165"/>
      <c r="CD239" s="165"/>
      <c r="CE239" s="165"/>
      <c r="CF239" s="165"/>
      <c r="CG239" s="165"/>
      <c r="CH239" s="165"/>
      <c r="CI239" s="165"/>
      <c r="CJ239" s="165"/>
      <c r="CK239" s="165"/>
      <c r="CL239" s="165"/>
      <c r="CM239" s="165"/>
      <c r="CN239" s="165"/>
      <c r="CO239" s="165"/>
      <c r="CP239" s="165"/>
      <c r="CQ239" s="165"/>
      <c r="CR239" s="165"/>
      <c r="CS239" s="165"/>
      <c r="CT239" s="165"/>
      <c r="CU239" s="290"/>
      <c r="CV239" s="290"/>
      <c r="CW239" s="290"/>
      <c r="CX239" s="290"/>
      <c r="CY239" s="290"/>
      <c r="CZ239" s="290"/>
    </row>
    <row r="240" spans="1:104" ht="14.1" customHeight="1" x14ac:dyDescent="0.2">
      <c r="A240" s="7907" t="s">
        <v>2831</v>
      </c>
      <c r="B240" s="3067"/>
      <c r="BY240" s="290"/>
      <c r="BZ240" s="290"/>
      <c r="CA240" s="165"/>
      <c r="CB240" s="165"/>
      <c r="CC240" s="165"/>
      <c r="CD240" s="165"/>
      <c r="CE240" s="165"/>
      <c r="CF240" s="165"/>
      <c r="CG240" s="165"/>
      <c r="CH240" s="165"/>
      <c r="CI240" s="165"/>
      <c r="CJ240" s="165"/>
      <c r="CK240" s="165"/>
      <c r="CL240" s="165"/>
      <c r="CM240" s="165"/>
      <c r="CN240" s="165"/>
      <c r="CO240" s="165"/>
      <c r="CP240" s="165"/>
      <c r="CQ240" s="165"/>
      <c r="CR240" s="165"/>
      <c r="CS240" s="165"/>
      <c r="CT240" s="165"/>
      <c r="CU240" s="290"/>
      <c r="CV240" s="290"/>
      <c r="CW240" s="290"/>
      <c r="CX240" s="290"/>
      <c r="CY240" s="290"/>
      <c r="CZ240" s="290"/>
    </row>
    <row r="241" spans="1:104" ht="14.1" customHeight="1" x14ac:dyDescent="0.2">
      <c r="A241" s="7907" t="s">
        <v>2832</v>
      </c>
      <c r="B241" s="3067"/>
      <c r="CA241" s="165"/>
      <c r="CB241" s="165"/>
      <c r="CC241" s="165"/>
      <c r="CD241" s="165"/>
      <c r="CE241" s="165"/>
      <c r="CF241" s="165"/>
      <c r="CG241" s="165"/>
      <c r="CH241" s="165"/>
      <c r="CI241" s="165"/>
      <c r="CJ241" s="165"/>
      <c r="CK241" s="165"/>
      <c r="CL241" s="165"/>
      <c r="CM241" s="165"/>
      <c r="CN241" s="165"/>
      <c r="CO241" s="165"/>
      <c r="CP241" s="165"/>
      <c r="CQ241" s="165"/>
      <c r="CR241" s="165"/>
      <c r="CS241" s="165"/>
      <c r="CT241" s="165"/>
      <c r="CU241" s="290"/>
      <c r="CV241" s="290"/>
      <c r="CW241" s="290"/>
      <c r="CX241" s="290"/>
      <c r="CY241" s="290"/>
      <c r="CZ241" s="290"/>
    </row>
    <row r="242" spans="1:104" ht="14.1" customHeight="1" x14ac:dyDescent="0.2">
      <c r="A242" s="7907" t="s">
        <v>2833</v>
      </c>
      <c r="B242" s="3067"/>
      <c r="CA242" s="165"/>
      <c r="CB242" s="165"/>
      <c r="CC242" s="165"/>
      <c r="CD242" s="165"/>
      <c r="CE242" s="165"/>
      <c r="CF242" s="165"/>
      <c r="CG242" s="165"/>
      <c r="CH242" s="165"/>
      <c r="CI242" s="165"/>
      <c r="CJ242" s="165"/>
      <c r="CK242" s="165"/>
      <c r="CL242" s="165"/>
      <c r="CM242" s="165"/>
      <c r="CN242" s="165"/>
      <c r="CO242" s="165"/>
      <c r="CP242" s="165"/>
      <c r="CQ242" s="165"/>
      <c r="CR242" s="165"/>
      <c r="CS242" s="165"/>
      <c r="CT242" s="165"/>
      <c r="CU242" s="290"/>
      <c r="CV242" s="290"/>
      <c r="CW242" s="290"/>
      <c r="CX242" s="290"/>
      <c r="CY242" s="290"/>
      <c r="CZ242" s="290"/>
    </row>
    <row r="243" spans="1:104" ht="14.1" customHeight="1" x14ac:dyDescent="0.2">
      <c r="A243" s="7907" t="s">
        <v>307</v>
      </c>
      <c r="B243" s="3067"/>
      <c r="CA243" s="165"/>
      <c r="CB243" s="165"/>
      <c r="CC243" s="165"/>
      <c r="CD243" s="165"/>
      <c r="CE243" s="165"/>
      <c r="CF243" s="165"/>
      <c r="CG243" s="165"/>
      <c r="CH243" s="165"/>
      <c r="CI243" s="165"/>
      <c r="CJ243" s="165"/>
      <c r="CK243" s="165"/>
      <c r="CL243" s="165"/>
      <c r="CM243" s="165"/>
      <c r="CN243" s="165"/>
      <c r="CO243" s="165"/>
      <c r="CP243" s="165"/>
      <c r="CQ243" s="165"/>
      <c r="CR243" s="165"/>
      <c r="CS243" s="165"/>
      <c r="CT243" s="165"/>
      <c r="CU243" s="290"/>
      <c r="CV243" s="290"/>
      <c r="CW243" s="290"/>
      <c r="CX243" s="290"/>
      <c r="CY243" s="290"/>
      <c r="CZ243" s="290"/>
    </row>
    <row r="244" spans="1:104" ht="14.1" customHeight="1" x14ac:dyDescent="0.2">
      <c r="A244" s="7907" t="s">
        <v>2845</v>
      </c>
      <c r="B244" s="3067"/>
      <c r="CA244" s="165"/>
      <c r="CB244" s="165"/>
      <c r="CC244" s="165"/>
      <c r="CD244" s="165"/>
      <c r="CE244" s="165"/>
      <c r="CF244" s="165"/>
      <c r="CG244" s="165"/>
      <c r="CH244" s="165"/>
      <c r="CI244" s="165"/>
      <c r="CJ244" s="165"/>
      <c r="CK244" s="165"/>
      <c r="CL244" s="165"/>
      <c r="CM244" s="165"/>
      <c r="CN244" s="165"/>
      <c r="CO244" s="165"/>
      <c r="CP244" s="165"/>
      <c r="CQ244" s="165"/>
      <c r="CR244" s="165"/>
      <c r="CS244" s="165"/>
      <c r="CT244" s="165"/>
      <c r="CU244" s="290"/>
      <c r="CV244" s="290"/>
      <c r="CW244" s="290"/>
      <c r="CX244" s="290"/>
      <c r="CY244" s="290"/>
      <c r="CZ244" s="290"/>
    </row>
    <row r="245" spans="1:104" ht="14.1" customHeight="1" x14ac:dyDescent="0.2">
      <c r="A245" s="7907" t="s">
        <v>470</v>
      </c>
      <c r="B245" s="3067"/>
      <c r="CA245" s="165"/>
      <c r="CB245" s="165"/>
      <c r="CC245" s="165"/>
      <c r="CD245" s="165"/>
      <c r="CE245" s="165"/>
      <c r="CF245" s="165"/>
      <c r="CG245" s="165"/>
      <c r="CH245" s="165"/>
      <c r="CI245" s="165"/>
      <c r="CJ245" s="165"/>
      <c r="CK245" s="165"/>
      <c r="CL245" s="165"/>
      <c r="CM245" s="165"/>
      <c r="CN245" s="165"/>
      <c r="CO245" s="165"/>
      <c r="CP245" s="165"/>
      <c r="CQ245" s="165"/>
      <c r="CR245" s="165"/>
      <c r="CS245" s="165"/>
      <c r="CT245" s="165"/>
      <c r="CU245" s="290"/>
      <c r="CV245" s="290"/>
      <c r="CW245" s="290"/>
      <c r="CX245" s="290"/>
      <c r="CY245" s="290"/>
      <c r="CZ245" s="290"/>
    </row>
    <row r="246" spans="1:104" ht="14.1" customHeight="1" x14ac:dyDescent="0.2">
      <c r="A246" s="7907" t="s">
        <v>418</v>
      </c>
      <c r="B246" s="3067"/>
      <c r="CA246" s="165"/>
      <c r="CB246" s="165"/>
      <c r="CC246" s="165"/>
      <c r="CD246" s="165"/>
      <c r="CE246" s="165"/>
      <c r="CF246" s="165"/>
      <c r="CG246" s="165"/>
      <c r="CH246" s="165"/>
      <c r="CI246" s="165"/>
      <c r="CJ246" s="165"/>
      <c r="CK246" s="165"/>
      <c r="CL246" s="165"/>
      <c r="CM246" s="165"/>
      <c r="CN246" s="165"/>
      <c r="CO246" s="165"/>
      <c r="CP246" s="165"/>
      <c r="CQ246" s="165"/>
      <c r="CR246" s="165"/>
      <c r="CS246" s="165"/>
      <c r="CT246" s="165"/>
      <c r="CU246" s="290"/>
      <c r="CV246" s="290"/>
      <c r="CW246" s="290"/>
      <c r="CX246" s="290"/>
      <c r="CY246" s="290"/>
      <c r="CZ246" s="290"/>
    </row>
    <row r="247" spans="1:104" ht="14.1" customHeight="1" x14ac:dyDescent="0.2">
      <c r="A247" s="7908" t="s">
        <v>419</v>
      </c>
      <c r="B247" s="3329"/>
      <c r="CA247" s="165"/>
      <c r="CB247" s="165"/>
      <c r="CC247" s="165"/>
      <c r="CD247" s="165"/>
      <c r="CE247" s="165"/>
      <c r="CF247" s="165"/>
      <c r="CG247" s="165"/>
      <c r="CH247" s="165"/>
      <c r="CI247" s="165"/>
      <c r="CJ247" s="165"/>
      <c r="CK247" s="165"/>
      <c r="CL247" s="165"/>
      <c r="CM247" s="165"/>
      <c r="CN247" s="165"/>
      <c r="CO247" s="165"/>
      <c r="CP247" s="165"/>
      <c r="CQ247" s="165"/>
      <c r="CR247" s="165"/>
      <c r="CS247" s="165"/>
      <c r="CT247" s="165"/>
      <c r="CU247" s="290"/>
      <c r="CV247" s="290"/>
      <c r="CW247" s="290"/>
      <c r="CX247" s="290"/>
      <c r="CY247" s="290"/>
      <c r="CZ247" s="290"/>
    </row>
    <row r="248" spans="1:104" ht="14.1" customHeight="1" x14ac:dyDescent="0.2">
      <c r="A248" s="7910" t="s">
        <v>24</v>
      </c>
      <c r="B248" s="7911">
        <f>SUM(B223:B247)</f>
        <v>0</v>
      </c>
      <c r="CA248" s="165"/>
      <c r="CB248" s="165"/>
      <c r="CC248" s="165"/>
      <c r="CD248" s="165"/>
      <c r="CE248" s="165"/>
      <c r="CF248" s="165"/>
      <c r="CG248" s="165"/>
      <c r="CH248" s="165"/>
      <c r="CI248" s="165"/>
      <c r="CJ248" s="165"/>
      <c r="CK248" s="165"/>
      <c r="CL248" s="165"/>
      <c r="CM248" s="165"/>
      <c r="CN248" s="165"/>
      <c r="CO248" s="165"/>
      <c r="CP248" s="165"/>
      <c r="CQ248" s="165"/>
      <c r="CR248" s="165"/>
      <c r="CS248" s="165"/>
      <c r="CT248" s="165"/>
      <c r="CU248" s="290"/>
      <c r="CV248" s="290"/>
      <c r="CW248" s="290"/>
      <c r="CX248" s="290"/>
      <c r="CY248" s="290"/>
      <c r="CZ248" s="290"/>
    </row>
    <row r="249" spans="1:104" ht="15" customHeight="1" x14ac:dyDescent="0.2">
      <c r="A249" s="72" t="s">
        <v>629</v>
      </c>
      <c r="B249" s="72"/>
      <c r="CA249" s="165"/>
      <c r="CB249" s="165"/>
      <c r="CC249" s="165"/>
      <c r="CD249" s="165"/>
      <c r="CE249" s="165"/>
      <c r="CF249" s="165"/>
      <c r="CG249" s="165"/>
      <c r="CH249" s="165"/>
      <c r="CI249" s="165"/>
      <c r="CJ249" s="165"/>
      <c r="CK249" s="165"/>
      <c r="CL249" s="165"/>
      <c r="CM249" s="165"/>
      <c r="CN249" s="165"/>
      <c r="CO249" s="165"/>
      <c r="CP249" s="165"/>
      <c r="CQ249" s="165"/>
      <c r="CR249" s="165"/>
      <c r="CS249" s="165"/>
      <c r="CT249" s="165"/>
      <c r="CU249" s="290"/>
      <c r="CV249" s="290"/>
      <c r="CW249" s="290"/>
      <c r="CX249" s="290"/>
      <c r="CY249" s="290"/>
      <c r="CZ249" s="290"/>
    </row>
    <row r="250" spans="1:104" ht="26.25" customHeight="1" x14ac:dyDescent="0.2">
      <c r="A250" s="72" t="s">
        <v>630</v>
      </c>
      <c r="B250" s="2153"/>
      <c r="BX250" s="1460"/>
      <c r="BZ250" s="290"/>
      <c r="CA250" s="165"/>
      <c r="CB250" s="165"/>
      <c r="CC250" s="165"/>
      <c r="CD250" s="165"/>
      <c r="CE250" s="165"/>
      <c r="CF250" s="165"/>
      <c r="CG250" s="165"/>
      <c r="CH250" s="165"/>
      <c r="CI250" s="165"/>
      <c r="CJ250" s="165"/>
      <c r="CK250" s="165"/>
      <c r="CL250" s="165"/>
      <c r="CM250" s="165"/>
      <c r="CN250" s="165"/>
      <c r="CO250" s="165"/>
      <c r="CP250" s="165"/>
      <c r="CQ250" s="165"/>
      <c r="CR250" s="165"/>
      <c r="CS250" s="165"/>
      <c r="CT250" s="165"/>
      <c r="CU250" s="290"/>
      <c r="CV250" s="290"/>
      <c r="CW250" s="290"/>
      <c r="CX250" s="290"/>
      <c r="CY250" s="290"/>
      <c r="CZ250" s="290"/>
    </row>
    <row r="251" spans="1:104" ht="15" customHeight="1" x14ac:dyDescent="0.2">
      <c r="A251" s="8197" t="s">
        <v>404</v>
      </c>
      <c r="B251" s="10405" t="s">
        <v>24</v>
      </c>
      <c r="C251" s="9702" t="s">
        <v>55</v>
      </c>
      <c r="D251" s="9704"/>
      <c r="E251" s="9704"/>
      <c r="F251" s="9704"/>
      <c r="G251" s="9704"/>
      <c r="H251" s="9704"/>
      <c r="I251" s="9704"/>
      <c r="J251" s="9704"/>
      <c r="K251" s="9704"/>
      <c r="L251" s="9704"/>
      <c r="M251" s="9704"/>
      <c r="N251" s="9704"/>
      <c r="O251" s="9704"/>
      <c r="P251" s="9704"/>
      <c r="Q251" s="9704"/>
      <c r="R251" s="9704"/>
      <c r="S251" s="10407"/>
      <c r="BY251" s="290"/>
      <c r="BZ251" s="290"/>
      <c r="CA251" s="165"/>
      <c r="CB251" s="165"/>
      <c r="CC251" s="165"/>
      <c r="CD251" s="165"/>
      <c r="CE251" s="165"/>
      <c r="CF251" s="165"/>
      <c r="CG251" s="165"/>
      <c r="CH251" s="165"/>
      <c r="CI251" s="165"/>
      <c r="CJ251" s="165"/>
      <c r="CK251" s="165"/>
      <c r="CL251" s="165"/>
      <c r="CM251" s="165"/>
      <c r="CN251" s="165"/>
      <c r="CO251" s="165"/>
      <c r="CP251" s="165"/>
      <c r="CQ251" s="165"/>
      <c r="CR251" s="165"/>
      <c r="CS251" s="165"/>
      <c r="CT251" s="165"/>
      <c r="CU251" s="290"/>
      <c r="CV251" s="290"/>
      <c r="CW251" s="290"/>
      <c r="CX251" s="290"/>
      <c r="CY251" s="290"/>
      <c r="CZ251" s="290"/>
    </row>
    <row r="252" spans="1:104" ht="15" customHeight="1" x14ac:dyDescent="0.2">
      <c r="A252" s="10424"/>
      <c r="B252" s="10406"/>
      <c r="C252" s="7912" t="s">
        <v>75</v>
      </c>
      <c r="D252" s="7912" t="s">
        <v>76</v>
      </c>
      <c r="E252" s="7912" t="s">
        <v>77</v>
      </c>
      <c r="F252" s="7913" t="s">
        <v>68</v>
      </c>
      <c r="G252" s="7913" t="s">
        <v>142</v>
      </c>
      <c r="H252" s="7913" t="s">
        <v>143</v>
      </c>
      <c r="I252" s="7913" t="s">
        <v>144</v>
      </c>
      <c r="J252" s="7913" t="s">
        <v>7</v>
      </c>
      <c r="K252" s="7913" t="s">
        <v>8</v>
      </c>
      <c r="L252" s="7913" t="s">
        <v>145</v>
      </c>
      <c r="M252" s="7913" t="s">
        <v>10</v>
      </c>
      <c r="N252" s="7913" t="s">
        <v>11</v>
      </c>
      <c r="O252" s="7913" t="s">
        <v>12</v>
      </c>
      <c r="P252" s="7913" t="s">
        <v>13</v>
      </c>
      <c r="Q252" s="7913" t="s">
        <v>14</v>
      </c>
      <c r="R252" s="7913" t="s">
        <v>15</v>
      </c>
      <c r="S252" s="7914" t="s">
        <v>16</v>
      </c>
      <c r="BY252" s="290"/>
      <c r="BZ252" s="290"/>
      <c r="CA252" s="165"/>
      <c r="CB252" s="165"/>
      <c r="CC252" s="165"/>
      <c r="CD252" s="165"/>
      <c r="CE252" s="165"/>
      <c r="CF252" s="165"/>
      <c r="CG252" s="165"/>
      <c r="CH252" s="165"/>
      <c r="CI252" s="165"/>
      <c r="CJ252" s="165"/>
      <c r="CK252" s="165"/>
      <c r="CL252" s="165"/>
      <c r="CM252" s="165"/>
      <c r="CN252" s="165"/>
      <c r="CO252" s="165"/>
      <c r="CP252" s="165"/>
      <c r="CQ252" s="165"/>
      <c r="CR252" s="165"/>
      <c r="CS252" s="165"/>
      <c r="CT252" s="165"/>
      <c r="CU252" s="290"/>
      <c r="CV252" s="290"/>
      <c r="CW252" s="290"/>
      <c r="CX252" s="290"/>
      <c r="CY252" s="290"/>
      <c r="CZ252" s="290"/>
    </row>
    <row r="253" spans="1:104" ht="15" customHeight="1" x14ac:dyDescent="0.2">
      <c r="A253" s="7915" t="s">
        <v>2877</v>
      </c>
      <c r="B253" s="7916">
        <f>SUM(C253:S253)</f>
        <v>0</v>
      </c>
      <c r="C253" s="7917"/>
      <c r="D253" s="3056"/>
      <c r="E253" s="3056"/>
      <c r="F253" s="3056"/>
      <c r="G253" s="3056"/>
      <c r="H253" s="3056"/>
      <c r="I253" s="3056"/>
      <c r="J253" s="3056"/>
      <c r="K253" s="3056"/>
      <c r="L253" s="3056"/>
      <c r="M253" s="3056"/>
      <c r="N253" s="3056"/>
      <c r="O253" s="3056"/>
      <c r="P253" s="3056"/>
      <c r="Q253" s="3056"/>
      <c r="R253" s="3056"/>
      <c r="S253" s="3122"/>
      <c r="Z253" s="290"/>
      <c r="AA253" s="290"/>
      <c r="AB253" s="290"/>
      <c r="AC253" s="290"/>
      <c r="AD253" s="290"/>
      <c r="AE253" s="290"/>
      <c r="AF253" s="290"/>
      <c r="AG253" s="290"/>
      <c r="AH253" s="290"/>
      <c r="AI253" s="290"/>
      <c r="AJ253" s="290"/>
      <c r="AK253" s="290"/>
      <c r="AL253" s="290"/>
      <c r="AM253" s="290"/>
      <c r="AN253" s="290"/>
      <c r="AO253" s="290"/>
      <c r="AP253" s="290"/>
      <c r="AQ253" s="290"/>
      <c r="AR253" s="290"/>
      <c r="AS253" s="290"/>
      <c r="AT253" s="290"/>
      <c r="AU253" s="290"/>
      <c r="AV253" s="290"/>
      <c r="AW253" s="290"/>
      <c r="AX253" s="290"/>
      <c r="AY253" s="290"/>
      <c r="AZ253" s="290"/>
      <c r="BA253" s="290"/>
      <c r="BB253" s="290"/>
      <c r="BC253" s="1460"/>
      <c r="BD253" s="1460"/>
      <c r="BE253" s="1460"/>
      <c r="BF253" s="1460"/>
      <c r="BG253" s="1460"/>
      <c r="BH253" s="1460"/>
      <c r="BI253" s="1460"/>
      <c r="BJ253" s="1460"/>
      <c r="BK253" s="1460"/>
      <c r="BL253" s="1460"/>
      <c r="BM253" s="1460"/>
      <c r="BN253" s="1460"/>
      <c r="BO253" s="1460"/>
      <c r="BP253" s="1460"/>
      <c r="BQ253" s="1460"/>
      <c r="BR253" s="1460"/>
      <c r="BS253" s="1460"/>
      <c r="BT253" s="1460"/>
      <c r="BU253" s="1460"/>
      <c r="BV253" s="1460"/>
      <c r="BW253" s="1460"/>
      <c r="BX253" s="1460"/>
      <c r="CA253" s="165"/>
      <c r="CB253" s="165"/>
      <c r="CC253" s="165"/>
      <c r="CD253" s="165"/>
      <c r="CE253" s="165"/>
      <c r="CF253" s="165"/>
      <c r="CG253" s="165"/>
      <c r="CH253" s="165"/>
      <c r="CI253" s="165"/>
      <c r="CJ253" s="165"/>
      <c r="CK253" s="165"/>
      <c r="CL253" s="165"/>
      <c r="CM253" s="165"/>
      <c r="CN253" s="165"/>
      <c r="CO253" s="165"/>
      <c r="CP253" s="165"/>
      <c r="CQ253" s="165"/>
      <c r="CR253" s="165"/>
      <c r="CS253" s="165"/>
      <c r="CT253" s="165"/>
      <c r="CU253" s="290"/>
      <c r="CV253" s="290"/>
      <c r="CW253" s="290"/>
      <c r="CX253" s="290"/>
      <c r="CY253" s="290"/>
      <c r="CZ253" s="290"/>
    </row>
    <row r="254" spans="1:104" ht="15" customHeight="1" x14ac:dyDescent="0.2">
      <c r="A254" s="3348" t="s">
        <v>410</v>
      </c>
      <c r="B254" s="7918">
        <f>SUM(C254:S254)</f>
        <v>0</v>
      </c>
      <c r="C254" s="3028"/>
      <c r="D254" s="1871"/>
      <c r="E254" s="1871"/>
      <c r="F254" s="1871"/>
      <c r="G254" s="1871"/>
      <c r="H254" s="1871"/>
      <c r="I254" s="1871"/>
      <c r="J254" s="1871"/>
      <c r="K254" s="1871"/>
      <c r="L254" s="1871"/>
      <c r="M254" s="1871"/>
      <c r="N254" s="1871"/>
      <c r="O254" s="1871"/>
      <c r="P254" s="1871"/>
      <c r="Q254" s="1871"/>
      <c r="R254" s="1871"/>
      <c r="S254" s="3121"/>
      <c r="Z254" s="1452"/>
      <c r="AA254" s="1452"/>
      <c r="AB254" s="1452"/>
      <c r="AC254" s="1452"/>
      <c r="AD254" s="1452"/>
      <c r="AE254" s="1452"/>
      <c r="AF254" s="1452"/>
      <c r="AG254" s="1452"/>
      <c r="AH254" s="1452"/>
      <c r="AI254" s="1452"/>
      <c r="AJ254" s="1452"/>
      <c r="AK254" s="1452"/>
      <c r="AL254" s="1452"/>
      <c r="AM254" s="1452"/>
      <c r="AN254" s="1452"/>
      <c r="AO254" s="1452"/>
      <c r="AP254" s="1452"/>
      <c r="AQ254" s="1452"/>
      <c r="AR254" s="1452"/>
      <c r="AS254" s="1452"/>
      <c r="AT254" s="1452"/>
      <c r="AU254" s="1452"/>
      <c r="AV254" s="1452"/>
      <c r="AW254" s="1452"/>
      <c r="AX254" s="1452"/>
      <c r="AY254" s="1452"/>
      <c r="AZ254" s="1452"/>
      <c r="BA254" s="1452"/>
      <c r="BB254" s="1452"/>
      <c r="CA254" s="165"/>
      <c r="CB254" s="165"/>
      <c r="CC254" s="165"/>
      <c r="CD254" s="165"/>
      <c r="CE254" s="165"/>
      <c r="CF254" s="165"/>
      <c r="CG254" s="165"/>
      <c r="CH254" s="165"/>
      <c r="CI254" s="165"/>
      <c r="CJ254" s="165"/>
      <c r="CK254" s="165"/>
      <c r="CL254" s="165"/>
      <c r="CM254" s="165"/>
      <c r="CN254" s="165"/>
      <c r="CO254" s="165"/>
      <c r="CP254" s="165"/>
      <c r="CQ254" s="165"/>
      <c r="CR254" s="165"/>
      <c r="CS254" s="165"/>
      <c r="CT254" s="165"/>
      <c r="CU254" s="290"/>
      <c r="CV254" s="290"/>
      <c r="CW254" s="290"/>
      <c r="CX254" s="290"/>
      <c r="CY254" s="290"/>
      <c r="CZ254" s="290"/>
    </row>
    <row r="255" spans="1:104" ht="15" customHeight="1" x14ac:dyDescent="0.2">
      <c r="A255" s="7919" t="s">
        <v>2878</v>
      </c>
      <c r="B255" s="7920">
        <f>SUM(C255:S255)</f>
        <v>0</v>
      </c>
      <c r="C255" s="3328"/>
      <c r="D255" s="3062"/>
      <c r="E255" s="3062"/>
      <c r="F255" s="3062"/>
      <c r="G255" s="3062"/>
      <c r="H255" s="3062"/>
      <c r="I255" s="3062"/>
      <c r="J255" s="3062"/>
      <c r="K255" s="3062"/>
      <c r="L255" s="3062"/>
      <c r="M255" s="3062"/>
      <c r="N255" s="3062"/>
      <c r="O255" s="3062"/>
      <c r="P255" s="3062"/>
      <c r="Q255" s="3062"/>
      <c r="R255" s="3062"/>
      <c r="S255" s="1731"/>
      <c r="Z255" s="1452"/>
      <c r="AA255" s="1452"/>
      <c r="AB255" s="1452"/>
      <c r="AC255" s="1452"/>
      <c r="AD255" s="1452"/>
      <c r="AE255" s="1452"/>
      <c r="AF255" s="1452"/>
      <c r="AG255" s="1452"/>
      <c r="AH255" s="1452"/>
      <c r="AI255" s="1452"/>
      <c r="AJ255" s="1452"/>
      <c r="AK255" s="1452"/>
      <c r="AL255" s="1452"/>
      <c r="AM255" s="1452"/>
      <c r="AN255" s="1452"/>
      <c r="AO255" s="1452"/>
      <c r="AP255" s="1452"/>
      <c r="AQ255" s="1452"/>
      <c r="AR255" s="1452"/>
      <c r="AS255" s="1452"/>
      <c r="AT255" s="1452"/>
      <c r="AU255" s="1452"/>
      <c r="AV255" s="1452"/>
      <c r="AW255" s="1452"/>
      <c r="AX255" s="1452"/>
      <c r="AY255" s="1452"/>
      <c r="AZ255" s="1452"/>
      <c r="BA255" s="1452"/>
      <c r="BB255" s="1452"/>
      <c r="CA255" s="165"/>
      <c r="CB255" s="165"/>
      <c r="CC255" s="165"/>
      <c r="CD255" s="165"/>
      <c r="CE255" s="165"/>
      <c r="CF255" s="165"/>
      <c r="CG255" s="165"/>
      <c r="CH255" s="165"/>
      <c r="CI255" s="165"/>
      <c r="CJ255" s="165"/>
      <c r="CK255" s="165"/>
      <c r="CL255" s="165"/>
      <c r="CM255" s="165"/>
      <c r="CN255" s="165"/>
      <c r="CO255" s="165"/>
      <c r="CP255" s="165"/>
      <c r="CQ255" s="165"/>
      <c r="CR255" s="165"/>
      <c r="CS255" s="165"/>
      <c r="CT255" s="165"/>
      <c r="CU255" s="290"/>
      <c r="CV255" s="290"/>
      <c r="CW255" s="290"/>
      <c r="CX255" s="290"/>
      <c r="CY255" s="290"/>
      <c r="CZ255" s="290"/>
    </row>
    <row r="256" spans="1:104" ht="27" customHeight="1" x14ac:dyDescent="0.2">
      <c r="A256" s="72" t="s">
        <v>631</v>
      </c>
      <c r="B256" s="7921"/>
      <c r="D256" s="7921"/>
      <c r="AX256" s="1452"/>
      <c r="AY256" s="1452"/>
      <c r="AZ256" s="1452"/>
      <c r="BA256" s="1452"/>
      <c r="BB256" s="1452"/>
      <c r="BC256" s="1452"/>
      <c r="BD256" s="1452"/>
      <c r="BY256" s="290"/>
      <c r="BZ256" s="290"/>
      <c r="CA256" s="165"/>
      <c r="CB256" s="165"/>
      <c r="CC256" s="165"/>
      <c r="CD256" s="165"/>
      <c r="CE256" s="165"/>
      <c r="CF256" s="165"/>
      <c r="CG256" s="165"/>
      <c r="CH256" s="165"/>
      <c r="CI256" s="165"/>
      <c r="CJ256" s="165"/>
      <c r="CK256" s="165"/>
      <c r="CL256" s="165"/>
      <c r="CM256" s="165"/>
      <c r="CN256" s="165"/>
      <c r="CO256" s="165"/>
      <c r="CP256" s="165"/>
      <c r="CQ256" s="165"/>
      <c r="CR256" s="165"/>
      <c r="CS256" s="165"/>
      <c r="CT256" s="165"/>
    </row>
    <row r="257" spans="1:130" ht="15" customHeight="1" x14ac:dyDescent="0.2">
      <c r="A257" s="9140" t="s">
        <v>632</v>
      </c>
      <c r="B257" s="10405" t="s">
        <v>39</v>
      </c>
      <c r="C257" s="9702" t="s">
        <v>55</v>
      </c>
      <c r="D257" s="9704"/>
      <c r="E257" s="9704"/>
      <c r="F257" s="9704"/>
      <c r="G257" s="9704"/>
      <c r="H257" s="9704"/>
      <c r="I257" s="9704"/>
      <c r="J257" s="9704"/>
      <c r="K257" s="9704"/>
      <c r="L257" s="9704"/>
      <c r="M257" s="9704"/>
      <c r="N257" s="9704"/>
      <c r="O257" s="9704"/>
      <c r="P257" s="9704"/>
      <c r="Q257" s="9704"/>
      <c r="R257" s="9704"/>
      <c r="S257" s="10407"/>
      <c r="AA257" s="1452"/>
      <c r="AB257" s="1452"/>
      <c r="AC257" s="1452"/>
      <c r="AD257" s="1452"/>
      <c r="AE257" s="1452"/>
      <c r="AF257" s="1452"/>
      <c r="AG257" s="1452"/>
      <c r="AH257" s="1452"/>
      <c r="AI257" s="1452"/>
      <c r="AJ257" s="1452"/>
      <c r="AK257" s="1452"/>
      <c r="AL257" s="1452"/>
      <c r="AM257" s="1452"/>
      <c r="AN257" s="1452"/>
      <c r="AO257" s="1452"/>
      <c r="AP257" s="1452"/>
      <c r="AQ257" s="1452"/>
      <c r="AR257" s="1452"/>
      <c r="AS257" s="1452"/>
      <c r="AT257" s="1452"/>
      <c r="AU257" s="1452"/>
      <c r="AV257" s="1452"/>
      <c r="AW257" s="1452"/>
      <c r="AX257" s="1452"/>
      <c r="AY257" s="1452"/>
      <c r="AZ257" s="1452"/>
      <c r="BA257" s="1452"/>
      <c r="BB257" s="1452"/>
      <c r="CA257" s="165"/>
      <c r="CB257" s="165"/>
      <c r="CC257" s="165"/>
      <c r="CD257" s="165"/>
      <c r="CE257" s="165"/>
      <c r="CF257" s="165"/>
      <c r="CG257" s="165"/>
      <c r="CH257" s="165"/>
      <c r="CI257" s="165"/>
      <c r="CJ257" s="165"/>
      <c r="CK257" s="165"/>
      <c r="CL257" s="165"/>
      <c r="CM257" s="165"/>
      <c r="CN257" s="165"/>
      <c r="CO257" s="165"/>
      <c r="CP257" s="165"/>
      <c r="CQ257" s="165"/>
      <c r="CR257" s="165"/>
      <c r="CS257" s="165"/>
      <c r="CT257" s="165"/>
      <c r="CU257" s="290"/>
      <c r="CV257" s="290"/>
      <c r="CW257" s="290"/>
      <c r="CX257" s="290"/>
      <c r="CY257" s="290"/>
      <c r="CZ257" s="290"/>
    </row>
    <row r="258" spans="1:130" ht="15" customHeight="1" x14ac:dyDescent="0.25">
      <c r="A258" s="8466"/>
      <c r="B258" s="10406"/>
      <c r="C258" s="7912" t="s">
        <v>75</v>
      </c>
      <c r="D258" s="7912" t="s">
        <v>76</v>
      </c>
      <c r="E258" s="7912" t="s">
        <v>77</v>
      </c>
      <c r="F258" s="7913" t="s">
        <v>68</v>
      </c>
      <c r="G258" s="7913" t="s">
        <v>142</v>
      </c>
      <c r="H258" s="7913" t="s">
        <v>143</v>
      </c>
      <c r="I258" s="7913" t="s">
        <v>144</v>
      </c>
      <c r="J258" s="7913" t="s">
        <v>7</v>
      </c>
      <c r="K258" s="7913" t="s">
        <v>8</v>
      </c>
      <c r="L258" s="7913" t="s">
        <v>145</v>
      </c>
      <c r="M258" s="7913" t="s">
        <v>10</v>
      </c>
      <c r="N258" s="7913" t="s">
        <v>11</v>
      </c>
      <c r="O258" s="7913" t="s">
        <v>12</v>
      </c>
      <c r="P258" s="7913" t="s">
        <v>13</v>
      </c>
      <c r="Q258" s="7913" t="s">
        <v>14</v>
      </c>
      <c r="R258" s="7913" t="s">
        <v>15</v>
      </c>
      <c r="S258" s="7914" t="s">
        <v>16</v>
      </c>
      <c r="T258" s="1188"/>
      <c r="U258" s="1188"/>
      <c r="V258" s="1188"/>
      <c r="W258" s="1188"/>
      <c r="X258" s="1188"/>
      <c r="Y258" s="1188"/>
      <c r="Z258" s="1188"/>
      <c r="AA258" s="1188"/>
      <c r="AB258" s="1188"/>
      <c r="AC258" s="1188"/>
      <c r="AD258" s="1188"/>
      <c r="AE258" s="1188"/>
      <c r="AF258" s="1188"/>
      <c r="AG258" s="1188"/>
      <c r="AH258" s="1188"/>
      <c r="AI258" s="1188"/>
      <c r="AJ258" s="1188"/>
      <c r="AK258" s="1188"/>
      <c r="AL258" s="1188"/>
      <c r="AM258" s="1188"/>
      <c r="AN258" s="1188"/>
      <c r="AO258" s="1188"/>
      <c r="AP258" s="1188"/>
      <c r="AQ258" s="1188"/>
      <c r="AR258" s="1188"/>
      <c r="AS258" s="1188"/>
      <c r="AT258" s="1188"/>
      <c r="AU258" s="1188"/>
      <c r="AV258" s="1188"/>
      <c r="AW258" s="1188"/>
      <c r="AX258" s="1188"/>
      <c r="AY258" s="1188"/>
      <c r="AZ258" s="1188"/>
      <c r="BA258" s="1188"/>
      <c r="BB258" s="1188"/>
      <c r="BC258" s="1188"/>
      <c r="BD258" s="1188"/>
      <c r="BE258" s="1188"/>
      <c r="BF258" s="1188"/>
      <c r="BG258" s="1188"/>
      <c r="BH258" s="1188"/>
      <c r="BI258" s="1188"/>
      <c r="BJ258" s="1188"/>
      <c r="BK258" s="1188"/>
      <c r="BL258" s="1188"/>
      <c r="BM258" s="1188"/>
      <c r="BN258" s="1188"/>
      <c r="BO258" s="1188"/>
      <c r="BP258" s="1188"/>
      <c r="BQ258" s="1188"/>
      <c r="BR258" s="1188"/>
      <c r="BS258" s="1188"/>
      <c r="BT258" s="1188"/>
      <c r="BU258" s="1152"/>
      <c r="BV258" s="1152"/>
      <c r="BW258" s="1152"/>
      <c r="BX258" s="1152"/>
      <c r="CA258" s="165"/>
      <c r="CB258" s="165"/>
      <c r="CC258" s="165"/>
      <c r="CD258" s="165"/>
      <c r="CE258" s="165"/>
      <c r="CF258" s="165"/>
      <c r="CG258" s="165"/>
      <c r="CH258" s="165"/>
      <c r="CI258" s="165"/>
      <c r="CJ258" s="165"/>
      <c r="CK258" s="165"/>
      <c r="CL258" s="165"/>
      <c r="CM258" s="165"/>
      <c r="CN258" s="165"/>
      <c r="CO258" s="165"/>
      <c r="CP258" s="165"/>
      <c r="CQ258" s="165"/>
      <c r="CR258" s="165"/>
      <c r="CS258" s="165"/>
      <c r="CT258" s="165"/>
      <c r="CU258" s="290"/>
      <c r="CV258" s="290"/>
      <c r="CW258" s="290"/>
      <c r="CX258" s="290"/>
      <c r="CY258" s="290"/>
      <c r="CZ258" s="290"/>
    </row>
    <row r="259" spans="1:130" ht="14.1" customHeight="1" x14ac:dyDescent="0.25">
      <c r="A259" s="3183" t="s">
        <v>633</v>
      </c>
      <c r="B259" s="3183">
        <f>SUM(C259:S259)</f>
        <v>0</v>
      </c>
      <c r="C259" s="3056"/>
      <c r="D259" s="3056"/>
      <c r="E259" s="3056"/>
      <c r="F259" s="3056"/>
      <c r="G259" s="3056"/>
      <c r="H259" s="3056"/>
      <c r="I259" s="3056"/>
      <c r="J259" s="3056"/>
      <c r="K259" s="3056"/>
      <c r="L259" s="3056"/>
      <c r="M259" s="3056"/>
      <c r="N259" s="3056"/>
      <c r="O259" s="3056"/>
      <c r="P259" s="3056"/>
      <c r="Q259" s="3056"/>
      <c r="R259" s="3056"/>
      <c r="S259" s="7899"/>
      <c r="T259" s="1188"/>
      <c r="U259" s="1188"/>
      <c r="V259" s="1188"/>
      <c r="W259" s="1188"/>
      <c r="X259" s="1188"/>
      <c r="Y259" s="1188"/>
      <c r="Z259" s="1188"/>
      <c r="AA259" s="1188"/>
      <c r="AB259" s="1188"/>
      <c r="AC259" s="1188"/>
      <c r="AD259" s="1188"/>
      <c r="AE259" s="1188"/>
      <c r="AF259" s="1188"/>
      <c r="AG259" s="1188"/>
      <c r="AH259" s="1188"/>
      <c r="AI259" s="1188"/>
      <c r="AJ259" s="1188"/>
      <c r="AK259" s="1188"/>
      <c r="AL259" s="1188"/>
      <c r="AM259" s="1188"/>
      <c r="AN259" s="1188"/>
      <c r="AO259" s="1188"/>
      <c r="AP259" s="1188"/>
      <c r="AQ259" s="1188"/>
      <c r="AR259" s="1188"/>
      <c r="AS259" s="1188"/>
      <c r="AT259" s="1188"/>
      <c r="AU259" s="1188"/>
      <c r="AV259" s="1188"/>
      <c r="AW259" s="1188"/>
      <c r="AX259" s="1188"/>
      <c r="AY259" s="1188"/>
      <c r="AZ259" s="1188"/>
      <c r="BA259" s="1188"/>
      <c r="BB259" s="1188"/>
      <c r="BC259" s="1188"/>
      <c r="BD259" s="1188"/>
      <c r="BE259" s="1188"/>
      <c r="BF259" s="1188"/>
      <c r="BG259" s="1188"/>
      <c r="BH259" s="1188"/>
      <c r="BI259" s="1188"/>
      <c r="BJ259" s="1188"/>
      <c r="BK259" s="1188"/>
      <c r="BL259" s="1188"/>
      <c r="BM259" s="1188"/>
      <c r="BN259" s="1188"/>
      <c r="BO259" s="1188"/>
      <c r="BP259" s="1188"/>
      <c r="BQ259" s="1188"/>
      <c r="BR259" s="1188"/>
      <c r="BS259" s="1188"/>
      <c r="BT259" s="1188"/>
      <c r="BU259" s="1152"/>
      <c r="BV259" s="1152"/>
      <c r="BW259" s="1152"/>
      <c r="BX259" s="1152"/>
      <c r="CA259" s="165"/>
      <c r="CB259" s="165"/>
      <c r="CC259" s="165"/>
      <c r="CD259" s="165"/>
      <c r="CE259" s="165"/>
      <c r="CF259" s="165"/>
      <c r="CG259" s="165"/>
      <c r="CH259" s="165"/>
      <c r="CI259" s="165"/>
      <c r="CJ259" s="165"/>
      <c r="CK259" s="165"/>
      <c r="CL259" s="165"/>
      <c r="CM259" s="165"/>
      <c r="CN259" s="165"/>
      <c r="CO259" s="165"/>
      <c r="CP259" s="165"/>
      <c r="CQ259" s="165"/>
      <c r="CR259" s="165"/>
      <c r="CS259" s="165"/>
      <c r="CT259" s="165"/>
      <c r="CU259" s="290"/>
      <c r="CV259" s="290"/>
      <c r="CW259" s="290"/>
      <c r="CX259" s="290"/>
      <c r="CY259" s="290"/>
      <c r="CZ259" s="290"/>
    </row>
    <row r="260" spans="1:130" ht="14.1" customHeight="1" x14ac:dyDescent="0.25">
      <c r="A260" s="3314" t="s">
        <v>634</v>
      </c>
      <c r="B260" s="3314">
        <f t="shared" ref="B260:B285" si="42">SUM(C260:S260)</f>
        <v>0</v>
      </c>
      <c r="C260" s="1871"/>
      <c r="D260" s="1871"/>
      <c r="E260" s="1871"/>
      <c r="F260" s="1871"/>
      <c r="G260" s="1871"/>
      <c r="H260" s="1871"/>
      <c r="I260" s="1871"/>
      <c r="J260" s="1871"/>
      <c r="K260" s="1871"/>
      <c r="L260" s="1871"/>
      <c r="M260" s="1871"/>
      <c r="N260" s="1871"/>
      <c r="O260" s="1871"/>
      <c r="P260" s="1871"/>
      <c r="Q260" s="1871"/>
      <c r="R260" s="1871"/>
      <c r="S260" s="3121"/>
      <c r="T260" s="1188"/>
      <c r="U260" s="1188"/>
      <c r="V260" s="1188"/>
      <c r="W260" s="1188"/>
      <c r="X260" s="1188"/>
      <c r="Y260" s="1188"/>
      <c r="Z260" s="1188"/>
      <c r="AA260" s="1188"/>
      <c r="AB260" s="1188"/>
      <c r="AC260" s="1188"/>
      <c r="AD260" s="1188"/>
      <c r="AE260" s="1188"/>
      <c r="AF260" s="1188"/>
      <c r="AG260" s="1188"/>
      <c r="AH260" s="1188"/>
      <c r="AI260" s="1188"/>
      <c r="AJ260" s="1188"/>
      <c r="AK260" s="1188"/>
      <c r="AL260" s="1188"/>
      <c r="AM260" s="1188"/>
      <c r="AN260" s="1188"/>
      <c r="AO260" s="1188"/>
      <c r="AP260" s="1188"/>
      <c r="AQ260" s="1188"/>
      <c r="AR260" s="1188"/>
      <c r="AS260" s="1188"/>
      <c r="AT260" s="1188"/>
      <c r="AU260" s="1188"/>
      <c r="AV260" s="1188"/>
      <c r="AW260" s="1188"/>
      <c r="AX260" s="1188"/>
      <c r="AY260" s="1188"/>
      <c r="AZ260" s="1188"/>
      <c r="BA260" s="1188"/>
      <c r="BB260" s="1188"/>
      <c r="BC260" s="1188"/>
      <c r="BD260" s="1188"/>
      <c r="BE260" s="1188"/>
      <c r="BF260" s="1188"/>
      <c r="BG260" s="1188"/>
      <c r="BH260" s="1188"/>
      <c r="BI260" s="1188"/>
      <c r="BJ260" s="1188"/>
      <c r="BK260" s="1188"/>
      <c r="BL260" s="1188"/>
      <c r="BM260" s="1188"/>
      <c r="BN260" s="1188"/>
      <c r="BO260" s="1188"/>
      <c r="BP260" s="1188"/>
      <c r="BQ260" s="1188"/>
      <c r="BR260" s="1188"/>
      <c r="BS260" s="1188"/>
      <c r="BT260" s="1188"/>
      <c r="BU260" s="1152"/>
      <c r="BV260" s="1152"/>
      <c r="BW260" s="1152"/>
      <c r="BX260" s="1152"/>
      <c r="CA260" s="165"/>
      <c r="CB260" s="165"/>
      <c r="CC260" s="165"/>
      <c r="CD260" s="165"/>
      <c r="CE260" s="165"/>
      <c r="CF260" s="165"/>
      <c r="CG260" s="165"/>
      <c r="CH260" s="165"/>
      <c r="CI260" s="165"/>
      <c r="CJ260" s="165"/>
      <c r="CK260" s="165"/>
      <c r="CL260" s="165"/>
      <c r="CM260" s="165"/>
      <c r="CN260" s="165"/>
      <c r="CO260" s="165"/>
      <c r="CP260" s="165"/>
      <c r="CQ260" s="165"/>
      <c r="CR260" s="165"/>
      <c r="CS260" s="165"/>
      <c r="CT260" s="165"/>
      <c r="CU260" s="290"/>
      <c r="CV260" s="290"/>
      <c r="CW260" s="290"/>
      <c r="CX260" s="290"/>
      <c r="CY260" s="290"/>
      <c r="CZ260" s="290"/>
    </row>
    <row r="261" spans="1:130" ht="14.1" customHeight="1" x14ac:dyDescent="0.25">
      <c r="A261" s="3314" t="s">
        <v>635</v>
      </c>
      <c r="B261" s="3314">
        <f>SUM(C261:S261)</f>
        <v>0</v>
      </c>
      <c r="C261" s="1871"/>
      <c r="D261" s="1871"/>
      <c r="E261" s="1871"/>
      <c r="F261" s="1871"/>
      <c r="G261" s="1871"/>
      <c r="H261" s="1871"/>
      <c r="I261" s="1871"/>
      <c r="J261" s="1871"/>
      <c r="K261" s="1871"/>
      <c r="L261" s="1871"/>
      <c r="M261" s="1871"/>
      <c r="N261" s="1871"/>
      <c r="O261" s="1871"/>
      <c r="P261" s="1871"/>
      <c r="Q261" s="1871"/>
      <c r="R261" s="1871"/>
      <c r="S261" s="3121"/>
      <c r="T261" s="1188"/>
      <c r="U261" s="1188"/>
      <c r="V261" s="1188"/>
      <c r="W261" s="1188"/>
      <c r="X261" s="1188"/>
      <c r="Y261" s="1188"/>
      <c r="Z261" s="1188"/>
      <c r="AA261" s="1188"/>
      <c r="AB261" s="1188"/>
      <c r="AC261" s="1188"/>
      <c r="AD261" s="1188"/>
      <c r="AE261" s="1188"/>
      <c r="AF261" s="1188"/>
      <c r="AG261" s="1188"/>
      <c r="AH261" s="1188"/>
      <c r="AI261" s="1188"/>
      <c r="AJ261" s="1188"/>
      <c r="AK261" s="1188"/>
      <c r="AL261" s="1188"/>
      <c r="AM261" s="1188"/>
      <c r="AN261" s="1188"/>
      <c r="AO261" s="1188"/>
      <c r="AP261" s="1188"/>
      <c r="AQ261" s="1188"/>
      <c r="AR261" s="1188"/>
      <c r="AS261" s="1188"/>
      <c r="AT261" s="1188"/>
      <c r="AU261" s="1188"/>
      <c r="AV261" s="1188"/>
      <c r="AW261" s="1188"/>
      <c r="AX261" s="1188"/>
      <c r="AY261" s="1188"/>
      <c r="AZ261" s="1188"/>
      <c r="BA261" s="1188"/>
      <c r="BB261" s="1188"/>
      <c r="BC261" s="1188"/>
      <c r="BD261" s="1188"/>
      <c r="BE261" s="1188"/>
      <c r="BF261" s="1188"/>
      <c r="BG261" s="1188"/>
      <c r="BH261" s="1188"/>
      <c r="BI261" s="1188"/>
      <c r="BJ261" s="1188"/>
      <c r="BK261" s="1188"/>
      <c r="BL261" s="1188"/>
      <c r="BM261" s="1188"/>
      <c r="BN261" s="1188"/>
      <c r="BO261" s="1188"/>
      <c r="BP261" s="1188"/>
      <c r="BQ261" s="1188"/>
      <c r="BR261" s="1188"/>
      <c r="BS261" s="1188"/>
      <c r="BT261" s="1188"/>
      <c r="BU261" s="1152"/>
      <c r="BV261" s="1152"/>
      <c r="BW261" s="1152"/>
      <c r="BX261" s="1152"/>
      <c r="CA261" s="165"/>
      <c r="CB261" s="165"/>
      <c r="CC261" s="165"/>
      <c r="CD261" s="165"/>
      <c r="CE261" s="165"/>
      <c r="CF261" s="165"/>
      <c r="CG261" s="165"/>
      <c r="CH261" s="165"/>
      <c r="CI261" s="165"/>
      <c r="CJ261" s="165"/>
      <c r="CK261" s="165"/>
      <c r="CL261" s="165"/>
      <c r="CM261" s="165"/>
      <c r="CN261" s="165"/>
      <c r="CO261" s="165"/>
      <c r="CP261" s="165"/>
      <c r="CQ261" s="165"/>
      <c r="CR261" s="165"/>
      <c r="CS261" s="165"/>
      <c r="CT261" s="165"/>
      <c r="CU261" s="290"/>
      <c r="CV261" s="290"/>
      <c r="CW261" s="290"/>
      <c r="CX261" s="290"/>
      <c r="CY261" s="290"/>
      <c r="CZ261" s="290"/>
    </row>
    <row r="262" spans="1:130" ht="14.1" customHeight="1" x14ac:dyDescent="0.25">
      <c r="A262" s="3314" t="s">
        <v>405</v>
      </c>
      <c r="B262" s="3314">
        <f t="shared" si="42"/>
        <v>0</v>
      </c>
      <c r="C262" s="1871"/>
      <c r="D262" s="1871"/>
      <c r="E262" s="1871"/>
      <c r="F262" s="1871"/>
      <c r="G262" s="1871"/>
      <c r="H262" s="1871"/>
      <c r="I262" s="1871"/>
      <c r="J262" s="1871"/>
      <c r="K262" s="1871"/>
      <c r="L262" s="1871"/>
      <c r="M262" s="1871"/>
      <c r="N262" s="1871"/>
      <c r="O262" s="1871"/>
      <c r="P262" s="1871"/>
      <c r="Q262" s="1871"/>
      <c r="R262" s="1871"/>
      <c r="S262" s="3121"/>
      <c r="T262" s="1188"/>
      <c r="U262" s="1188"/>
      <c r="V262" s="1188"/>
      <c r="W262" s="1188"/>
      <c r="X262" s="1188"/>
      <c r="Y262" s="1188"/>
      <c r="Z262" s="1188"/>
      <c r="AA262" s="1188"/>
      <c r="AB262" s="1188"/>
      <c r="AC262" s="1188"/>
      <c r="AD262" s="1188"/>
      <c r="AE262" s="1188"/>
      <c r="AF262" s="1188"/>
      <c r="AG262" s="1188"/>
      <c r="AH262" s="1188"/>
      <c r="AI262" s="1188"/>
      <c r="AJ262" s="1188"/>
      <c r="AK262" s="1188"/>
      <c r="AL262" s="1188"/>
      <c r="AM262" s="1188"/>
      <c r="AN262" s="1188"/>
      <c r="AO262" s="1188"/>
      <c r="AP262" s="1188"/>
      <c r="AQ262" s="1188"/>
      <c r="AR262" s="1188"/>
      <c r="AS262" s="1188"/>
      <c r="AT262" s="1188"/>
      <c r="AU262" s="1188"/>
      <c r="AV262" s="1188"/>
      <c r="AW262" s="1188"/>
      <c r="AX262" s="1188"/>
      <c r="AY262" s="1188"/>
      <c r="AZ262" s="1188"/>
      <c r="BA262" s="1188"/>
      <c r="BB262" s="1188"/>
      <c r="BC262" s="1188"/>
      <c r="BD262" s="1188"/>
      <c r="BE262" s="1188"/>
      <c r="BF262" s="1188"/>
      <c r="BG262" s="1188"/>
      <c r="BH262" s="1188"/>
      <c r="BI262" s="1188"/>
      <c r="BJ262" s="1188"/>
      <c r="BK262" s="1188"/>
      <c r="BL262" s="1188"/>
      <c r="BM262" s="1188"/>
      <c r="BN262" s="1188"/>
      <c r="BO262" s="1188"/>
      <c r="BP262" s="1188"/>
      <c r="BQ262" s="1188"/>
      <c r="BR262" s="1188"/>
      <c r="BS262" s="1188"/>
      <c r="BT262" s="1188"/>
      <c r="BU262" s="1152"/>
      <c r="BV262" s="1152"/>
      <c r="BW262" s="1152"/>
      <c r="BX262" s="1152"/>
      <c r="CA262" s="165"/>
      <c r="CB262" s="165"/>
      <c r="CC262" s="165"/>
      <c r="CD262" s="165"/>
      <c r="CE262" s="165"/>
      <c r="CF262" s="165"/>
      <c r="CG262" s="165"/>
      <c r="CH262" s="165"/>
      <c r="CI262" s="165"/>
      <c r="CJ262" s="165"/>
      <c r="CK262" s="165"/>
      <c r="CL262" s="165"/>
      <c r="CM262" s="165"/>
      <c r="CN262" s="165"/>
      <c r="CO262" s="165"/>
      <c r="CP262" s="165"/>
      <c r="CQ262" s="165"/>
      <c r="CR262" s="165"/>
      <c r="CS262" s="165"/>
      <c r="CT262" s="165"/>
      <c r="CU262" s="290"/>
      <c r="CV262" s="290"/>
      <c r="CW262" s="290"/>
      <c r="CX262" s="290"/>
      <c r="CY262" s="290"/>
      <c r="CZ262" s="290"/>
    </row>
    <row r="263" spans="1:130" ht="14.1" customHeight="1" x14ac:dyDescent="0.25">
      <c r="A263" s="3314" t="s">
        <v>406</v>
      </c>
      <c r="B263" s="3314">
        <f t="shared" si="42"/>
        <v>0</v>
      </c>
      <c r="C263" s="1871"/>
      <c r="D263" s="1871"/>
      <c r="E263" s="1871"/>
      <c r="F263" s="1871"/>
      <c r="G263" s="1871"/>
      <c r="H263" s="1871"/>
      <c r="I263" s="1871"/>
      <c r="J263" s="1871"/>
      <c r="K263" s="1871"/>
      <c r="L263" s="1871"/>
      <c r="M263" s="1871"/>
      <c r="N263" s="1871"/>
      <c r="O263" s="1871"/>
      <c r="P263" s="1871"/>
      <c r="Q263" s="1871"/>
      <c r="R263" s="1871"/>
      <c r="S263" s="3121"/>
      <c r="T263" s="1188"/>
      <c r="U263" s="1188"/>
      <c r="V263" s="1188"/>
      <c r="W263" s="1188"/>
      <c r="X263" s="1188"/>
      <c r="Y263" s="1188"/>
      <c r="Z263" s="1188"/>
      <c r="AA263" s="1188"/>
      <c r="AB263" s="1188"/>
      <c r="AC263" s="1188"/>
      <c r="AD263" s="1188"/>
      <c r="AE263" s="1188"/>
      <c r="AF263" s="1188"/>
      <c r="AG263" s="1188"/>
      <c r="AH263" s="1188"/>
      <c r="AI263" s="1188"/>
      <c r="AJ263" s="1188"/>
      <c r="AK263" s="1188"/>
      <c r="AL263" s="1188"/>
      <c r="AM263" s="1188"/>
      <c r="AN263" s="1188"/>
      <c r="AO263" s="1188"/>
      <c r="AP263" s="1188"/>
      <c r="AQ263" s="1188"/>
      <c r="AR263" s="1188"/>
      <c r="AS263" s="1188"/>
      <c r="AT263" s="1188"/>
      <c r="AU263" s="1188"/>
      <c r="AV263" s="1188"/>
      <c r="AW263" s="1188"/>
      <c r="AX263" s="1188"/>
      <c r="AY263" s="1188"/>
      <c r="AZ263" s="1188"/>
      <c r="BA263" s="1188"/>
      <c r="BB263" s="1188"/>
      <c r="BC263" s="1188"/>
      <c r="BD263" s="1188"/>
      <c r="BE263" s="1188"/>
      <c r="BF263" s="1188"/>
      <c r="BG263" s="1188"/>
      <c r="BH263" s="1188"/>
      <c r="BI263" s="1188"/>
      <c r="BJ263" s="1188"/>
      <c r="BK263" s="1188"/>
      <c r="BL263" s="1188"/>
      <c r="BM263" s="1188"/>
      <c r="BN263" s="1188"/>
      <c r="BO263" s="1188"/>
      <c r="BP263" s="1188"/>
      <c r="BQ263" s="1188"/>
      <c r="BR263" s="1188"/>
      <c r="BS263" s="1188"/>
      <c r="BT263" s="1188"/>
      <c r="BU263" s="1152"/>
      <c r="BV263" s="1152"/>
      <c r="BW263" s="1152"/>
      <c r="BX263" s="1152"/>
      <c r="CA263" s="165"/>
      <c r="CB263" s="165"/>
      <c r="CC263" s="165"/>
      <c r="CD263" s="165"/>
      <c r="CE263" s="165"/>
      <c r="CF263" s="165"/>
      <c r="CG263" s="165"/>
      <c r="CH263" s="165"/>
      <c r="CI263" s="165"/>
      <c r="CJ263" s="165"/>
      <c r="CK263" s="165"/>
      <c r="CL263" s="165"/>
      <c r="CM263" s="165"/>
      <c r="CN263" s="165"/>
      <c r="CO263" s="165"/>
      <c r="CP263" s="165"/>
      <c r="CQ263" s="165"/>
      <c r="CR263" s="165"/>
      <c r="CS263" s="165"/>
      <c r="CT263" s="165"/>
      <c r="CU263" s="290"/>
      <c r="CV263" s="290"/>
      <c r="CW263" s="290"/>
      <c r="CX263" s="290"/>
      <c r="CY263" s="290"/>
      <c r="CZ263" s="290"/>
    </row>
    <row r="264" spans="1:130" s="1440" customFormat="1" ht="14.1" customHeight="1" x14ac:dyDescent="0.2">
      <c r="A264" s="3314" t="s">
        <v>407</v>
      </c>
      <c r="B264" s="3314">
        <f t="shared" si="42"/>
        <v>0</v>
      </c>
      <c r="C264" s="1871"/>
      <c r="D264" s="1871"/>
      <c r="E264" s="1871"/>
      <c r="F264" s="1871"/>
      <c r="G264" s="1871"/>
      <c r="H264" s="1871"/>
      <c r="I264" s="1871"/>
      <c r="J264" s="1871"/>
      <c r="K264" s="1871"/>
      <c r="L264" s="1871"/>
      <c r="M264" s="1871"/>
      <c r="N264" s="1871"/>
      <c r="O264" s="1871"/>
      <c r="P264" s="1871"/>
      <c r="Q264" s="1871"/>
      <c r="R264" s="1871"/>
      <c r="S264" s="3121"/>
      <c r="T264" s="165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  <c r="AN264" s="165"/>
      <c r="AO264" s="165"/>
      <c r="AP264" s="165"/>
      <c r="AQ264" s="165"/>
      <c r="AR264" s="165"/>
      <c r="AS264" s="165"/>
      <c r="AT264" s="165"/>
      <c r="AU264" s="165"/>
      <c r="AV264" s="165"/>
      <c r="AW264" s="165"/>
      <c r="AX264" s="165"/>
      <c r="AY264" s="165"/>
      <c r="AZ264" s="165"/>
      <c r="BA264" s="165"/>
      <c r="BB264" s="165"/>
      <c r="BC264" s="165"/>
      <c r="BD264" s="165"/>
      <c r="BE264" s="165"/>
      <c r="BF264" s="165"/>
      <c r="BG264" s="165"/>
      <c r="BH264" s="165"/>
      <c r="BI264" s="165"/>
      <c r="BJ264" s="165"/>
      <c r="BK264" s="165"/>
      <c r="BL264" s="165"/>
      <c r="BM264" s="165"/>
      <c r="BN264" s="165"/>
      <c r="BO264" s="165"/>
      <c r="BP264" s="165"/>
      <c r="BQ264" s="165"/>
      <c r="BR264" s="165"/>
      <c r="BS264" s="165"/>
      <c r="BT264" s="165"/>
      <c r="BU264" s="290"/>
      <c r="BV264" s="290"/>
      <c r="BW264" s="290"/>
      <c r="BX264" s="290"/>
      <c r="BY264" s="1460"/>
      <c r="BZ264" s="1460"/>
      <c r="CA264" s="165"/>
      <c r="CB264" s="165"/>
      <c r="CC264" s="165"/>
      <c r="CD264" s="165"/>
      <c r="CE264" s="165"/>
      <c r="CF264" s="165"/>
      <c r="CG264" s="165"/>
      <c r="CH264" s="165"/>
      <c r="CI264" s="165"/>
      <c r="CJ264" s="165"/>
      <c r="CK264" s="165"/>
      <c r="CL264" s="165"/>
      <c r="CM264" s="165"/>
      <c r="CN264" s="165"/>
      <c r="CO264" s="165"/>
      <c r="CP264" s="165"/>
      <c r="CQ264" s="165"/>
      <c r="CR264" s="165"/>
      <c r="CS264" s="165"/>
      <c r="CT264" s="165"/>
      <c r="CU264" s="290"/>
      <c r="CV264" s="290"/>
      <c r="CW264" s="290"/>
      <c r="CX264" s="290"/>
      <c r="CY264" s="290"/>
      <c r="CZ264" s="290"/>
      <c r="DA264" s="290"/>
      <c r="DB264" s="290"/>
      <c r="DC264" s="290"/>
      <c r="DD264" s="290"/>
      <c r="DE264" s="290"/>
      <c r="DF264" s="290"/>
      <c r="DG264" s="290"/>
      <c r="DH264" s="290"/>
      <c r="DI264" s="290"/>
      <c r="DJ264" s="290"/>
      <c r="DK264" s="290"/>
      <c r="DL264" s="290"/>
      <c r="DM264" s="290"/>
      <c r="DN264" s="290"/>
      <c r="DO264" s="290"/>
      <c r="DP264" s="290"/>
      <c r="DQ264" s="290"/>
      <c r="DR264" s="290"/>
      <c r="DS264" s="290"/>
      <c r="DT264" s="290"/>
      <c r="DU264" s="290"/>
      <c r="DV264" s="290"/>
      <c r="DW264" s="290"/>
      <c r="DX264" s="290"/>
      <c r="DY264" s="290"/>
      <c r="DZ264" s="290"/>
    </row>
    <row r="265" spans="1:130" s="1440" customFormat="1" ht="14.1" customHeight="1" x14ac:dyDescent="0.2">
      <c r="A265" s="3314" t="s">
        <v>2879</v>
      </c>
      <c r="B265" s="3314">
        <f t="shared" si="42"/>
        <v>0</v>
      </c>
      <c r="C265" s="1871"/>
      <c r="D265" s="1871"/>
      <c r="E265" s="1871"/>
      <c r="F265" s="1871"/>
      <c r="G265" s="1871"/>
      <c r="H265" s="1871"/>
      <c r="I265" s="1871"/>
      <c r="J265" s="1871"/>
      <c r="K265" s="1871"/>
      <c r="L265" s="1871"/>
      <c r="M265" s="1871"/>
      <c r="N265" s="1871"/>
      <c r="O265" s="1871"/>
      <c r="P265" s="1871"/>
      <c r="Q265" s="1871"/>
      <c r="R265" s="1871"/>
      <c r="S265" s="3121"/>
      <c r="T265" s="165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  <c r="AN265" s="165"/>
      <c r="AO265" s="165"/>
      <c r="AP265" s="165"/>
      <c r="AQ265" s="165"/>
      <c r="AR265" s="165"/>
      <c r="AS265" s="165"/>
      <c r="AT265" s="165"/>
      <c r="AU265" s="165"/>
      <c r="AV265" s="165"/>
      <c r="AW265" s="165"/>
      <c r="AX265" s="165"/>
      <c r="AY265" s="165"/>
      <c r="AZ265" s="165"/>
      <c r="BA265" s="165"/>
      <c r="BB265" s="165"/>
      <c r="BC265" s="165"/>
      <c r="BD265" s="165"/>
      <c r="BE265" s="165"/>
      <c r="BF265" s="165"/>
      <c r="BG265" s="165"/>
      <c r="BH265" s="165"/>
      <c r="BI265" s="165"/>
      <c r="BJ265" s="165"/>
      <c r="BK265" s="165"/>
      <c r="BL265" s="165"/>
      <c r="BM265" s="165"/>
      <c r="BN265" s="165"/>
      <c r="BO265" s="165"/>
      <c r="BP265" s="165"/>
      <c r="BQ265" s="165"/>
      <c r="BR265" s="165"/>
      <c r="BS265" s="165"/>
      <c r="BT265" s="165"/>
      <c r="BU265" s="290"/>
      <c r="BV265" s="290"/>
      <c r="BW265" s="290"/>
      <c r="BX265" s="290"/>
      <c r="BY265" s="1460"/>
      <c r="BZ265" s="1460"/>
      <c r="CA265" s="165"/>
      <c r="CB265" s="165"/>
      <c r="CC265" s="165"/>
      <c r="CD265" s="165"/>
      <c r="CE265" s="165"/>
      <c r="CF265" s="165"/>
      <c r="CG265" s="165"/>
      <c r="CH265" s="165"/>
      <c r="CI265" s="165"/>
      <c r="CJ265" s="165"/>
      <c r="CK265" s="165"/>
      <c r="CL265" s="165"/>
      <c r="CM265" s="165"/>
      <c r="CN265" s="165"/>
      <c r="CO265" s="165"/>
      <c r="CP265" s="165"/>
      <c r="CQ265" s="165"/>
      <c r="CR265" s="165"/>
      <c r="CS265" s="165"/>
      <c r="CT265" s="165"/>
      <c r="CU265" s="290"/>
      <c r="CV265" s="290"/>
      <c r="CW265" s="290"/>
      <c r="CX265" s="290"/>
      <c r="CY265" s="290"/>
      <c r="CZ265" s="290"/>
      <c r="DA265" s="290"/>
      <c r="DB265" s="290"/>
      <c r="DC265" s="290"/>
      <c r="DD265" s="290"/>
      <c r="DE265" s="290"/>
      <c r="DF265" s="290"/>
      <c r="DG265" s="290"/>
      <c r="DH265" s="290"/>
      <c r="DI265" s="290"/>
      <c r="DJ265" s="290"/>
      <c r="DK265" s="290"/>
      <c r="DL265" s="290"/>
      <c r="DM265" s="290"/>
      <c r="DN265" s="290"/>
      <c r="DO265" s="290"/>
      <c r="DP265" s="290"/>
      <c r="DQ265" s="290"/>
      <c r="DR265" s="290"/>
      <c r="DS265" s="290"/>
      <c r="DT265" s="290"/>
      <c r="DU265" s="290"/>
      <c r="DV265" s="290"/>
      <c r="DW265" s="290"/>
      <c r="DX265" s="290"/>
      <c r="DY265" s="290"/>
      <c r="DZ265" s="290"/>
    </row>
    <row r="266" spans="1:130" s="1440" customFormat="1" ht="14.1" customHeight="1" x14ac:dyDescent="0.2">
      <c r="A266" s="3314" t="s">
        <v>2880</v>
      </c>
      <c r="B266" s="3314">
        <f t="shared" si="42"/>
        <v>0</v>
      </c>
      <c r="C266" s="1871"/>
      <c r="D266" s="1871"/>
      <c r="E266" s="1871"/>
      <c r="F266" s="1871"/>
      <c r="G266" s="1871"/>
      <c r="H266" s="1871"/>
      <c r="I266" s="1871"/>
      <c r="J266" s="1871"/>
      <c r="K266" s="1871"/>
      <c r="L266" s="1871"/>
      <c r="M266" s="1871"/>
      <c r="N266" s="1871"/>
      <c r="O266" s="1871"/>
      <c r="P266" s="1871"/>
      <c r="Q266" s="1871"/>
      <c r="R266" s="1871"/>
      <c r="S266" s="3121"/>
      <c r="T266" s="165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  <c r="AN266" s="165"/>
      <c r="AO266" s="165"/>
      <c r="AP266" s="165"/>
      <c r="AQ266" s="165"/>
      <c r="AR266" s="165"/>
      <c r="AS266" s="165"/>
      <c r="AT266" s="165"/>
      <c r="AU266" s="165"/>
      <c r="AV266" s="165"/>
      <c r="AW266" s="165"/>
      <c r="AX266" s="165"/>
      <c r="AY266" s="165"/>
      <c r="AZ266" s="165"/>
      <c r="BA266" s="165"/>
      <c r="BB266" s="165"/>
      <c r="BC266" s="165"/>
      <c r="BD266" s="165"/>
      <c r="BE266" s="165"/>
      <c r="BF266" s="165"/>
      <c r="BG266" s="165"/>
      <c r="BH266" s="165"/>
      <c r="BI266" s="165"/>
      <c r="BJ266" s="165"/>
      <c r="BK266" s="165"/>
      <c r="BL266" s="165"/>
      <c r="BM266" s="165"/>
      <c r="BN266" s="165"/>
      <c r="BO266" s="165"/>
      <c r="BP266" s="165"/>
      <c r="BQ266" s="165"/>
      <c r="BR266" s="165"/>
      <c r="BS266" s="165"/>
      <c r="BT266" s="165"/>
      <c r="BU266" s="290"/>
      <c r="BV266" s="290"/>
      <c r="BW266" s="290"/>
      <c r="BX266" s="290"/>
      <c r="BY266" s="1460"/>
      <c r="BZ266" s="1460"/>
      <c r="CA266" s="165"/>
      <c r="CB266" s="165"/>
      <c r="CC266" s="165"/>
      <c r="CD266" s="165"/>
      <c r="CE266" s="165"/>
      <c r="CF266" s="165"/>
      <c r="CG266" s="165"/>
      <c r="CH266" s="165"/>
      <c r="CI266" s="165"/>
      <c r="CJ266" s="165"/>
      <c r="CK266" s="165"/>
      <c r="CL266" s="165"/>
      <c r="CM266" s="165"/>
      <c r="CN266" s="165"/>
      <c r="CO266" s="165"/>
      <c r="CP266" s="165"/>
      <c r="CQ266" s="165"/>
      <c r="CR266" s="165"/>
      <c r="CS266" s="165"/>
      <c r="CT266" s="165"/>
      <c r="CU266" s="290"/>
      <c r="CV266" s="290"/>
      <c r="CW266" s="290"/>
      <c r="CX266" s="290"/>
      <c r="CY266" s="290"/>
      <c r="CZ266" s="290"/>
      <c r="DA266" s="290"/>
      <c r="DB266" s="290"/>
      <c r="DC266" s="290"/>
      <c r="DD266" s="290"/>
      <c r="DE266" s="290"/>
      <c r="DF266" s="290"/>
      <c r="DG266" s="290"/>
      <c r="DH266" s="290"/>
      <c r="DI266" s="290"/>
      <c r="DJ266" s="290"/>
      <c r="DK266" s="290"/>
      <c r="DL266" s="290"/>
      <c r="DM266" s="290"/>
      <c r="DN266" s="290"/>
      <c r="DO266" s="290"/>
      <c r="DP266" s="290"/>
      <c r="DQ266" s="290"/>
      <c r="DR266" s="290"/>
      <c r="DS266" s="290"/>
      <c r="DT266" s="290"/>
      <c r="DU266" s="290"/>
      <c r="DV266" s="290"/>
      <c r="DW266" s="290"/>
      <c r="DX266" s="290"/>
      <c r="DY266" s="290"/>
      <c r="DZ266" s="290"/>
    </row>
    <row r="267" spans="1:130" s="1440" customFormat="1" ht="14.1" customHeight="1" x14ac:dyDescent="0.2">
      <c r="A267" s="3314" t="s">
        <v>2881</v>
      </c>
      <c r="B267" s="3314">
        <f t="shared" si="42"/>
        <v>0</v>
      </c>
      <c r="C267" s="1871"/>
      <c r="D267" s="1871"/>
      <c r="E267" s="1871"/>
      <c r="F267" s="1871"/>
      <c r="G267" s="1871"/>
      <c r="H267" s="1871"/>
      <c r="I267" s="1871"/>
      <c r="J267" s="1871"/>
      <c r="K267" s="1871"/>
      <c r="L267" s="1871"/>
      <c r="M267" s="1871"/>
      <c r="N267" s="1871"/>
      <c r="O267" s="1871"/>
      <c r="P267" s="1871"/>
      <c r="Q267" s="1871"/>
      <c r="R267" s="1871"/>
      <c r="S267" s="3121"/>
      <c r="T267" s="165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  <c r="AN267" s="165"/>
      <c r="AO267" s="165"/>
      <c r="AP267" s="165"/>
      <c r="AQ267" s="165"/>
      <c r="AR267" s="165"/>
      <c r="AS267" s="165"/>
      <c r="AT267" s="165"/>
      <c r="AU267" s="165"/>
      <c r="AV267" s="165"/>
      <c r="AW267" s="165"/>
      <c r="AX267" s="165"/>
      <c r="AY267" s="165"/>
      <c r="AZ267" s="165"/>
      <c r="BA267" s="165"/>
      <c r="BB267" s="165"/>
      <c r="BC267" s="165"/>
      <c r="BD267" s="165"/>
      <c r="BE267" s="165"/>
      <c r="BF267" s="165"/>
      <c r="BG267" s="165"/>
      <c r="BH267" s="165"/>
      <c r="BI267" s="165"/>
      <c r="BJ267" s="165"/>
      <c r="BK267" s="165"/>
      <c r="BL267" s="165"/>
      <c r="BM267" s="165"/>
      <c r="BN267" s="165"/>
      <c r="BO267" s="165"/>
      <c r="BP267" s="165"/>
      <c r="BQ267" s="165"/>
      <c r="BR267" s="165"/>
      <c r="BS267" s="165"/>
      <c r="BT267" s="165"/>
      <c r="BU267" s="290"/>
      <c r="BV267" s="290"/>
      <c r="BW267" s="290"/>
      <c r="BX267" s="290"/>
      <c r="BY267" s="1460"/>
      <c r="BZ267" s="1460"/>
      <c r="CA267" s="165"/>
      <c r="CB267" s="165"/>
      <c r="CC267" s="165"/>
      <c r="CD267" s="165"/>
      <c r="CE267" s="165"/>
      <c r="CF267" s="165"/>
      <c r="CG267" s="165"/>
      <c r="CH267" s="165"/>
      <c r="CI267" s="165"/>
      <c r="CJ267" s="165"/>
      <c r="CK267" s="165"/>
      <c r="CL267" s="165"/>
      <c r="CM267" s="165"/>
      <c r="CN267" s="165"/>
      <c r="CO267" s="165"/>
      <c r="CP267" s="165"/>
      <c r="CQ267" s="165"/>
      <c r="CR267" s="165"/>
      <c r="CS267" s="165"/>
      <c r="CT267" s="165"/>
      <c r="CU267" s="290"/>
      <c r="CV267" s="290"/>
      <c r="CW267" s="290"/>
      <c r="CX267" s="290"/>
      <c r="CY267" s="290"/>
      <c r="CZ267" s="290"/>
      <c r="DA267" s="290"/>
      <c r="DB267" s="290"/>
      <c r="DC267" s="290"/>
      <c r="DD267" s="290"/>
      <c r="DE267" s="290"/>
      <c r="DF267" s="290"/>
      <c r="DG267" s="290"/>
      <c r="DH267" s="290"/>
      <c r="DI267" s="290"/>
      <c r="DJ267" s="290"/>
      <c r="DK267" s="290"/>
      <c r="DL267" s="290"/>
      <c r="DM267" s="290"/>
      <c r="DN267" s="290"/>
      <c r="DO267" s="290"/>
      <c r="DP267" s="290"/>
      <c r="DQ267" s="290"/>
      <c r="DR267" s="290"/>
      <c r="DS267" s="290"/>
      <c r="DT267" s="290"/>
      <c r="DU267" s="290"/>
      <c r="DV267" s="290"/>
      <c r="DW267" s="290"/>
      <c r="DX267" s="290"/>
      <c r="DY267" s="290"/>
      <c r="DZ267" s="290"/>
    </row>
    <row r="268" spans="1:130" ht="13.9" customHeight="1" x14ac:dyDescent="0.2">
      <c r="A268" s="3314" t="s">
        <v>2885</v>
      </c>
      <c r="B268" s="3314">
        <f t="shared" si="42"/>
        <v>0</v>
      </c>
      <c r="C268" s="1871"/>
      <c r="D268" s="1871"/>
      <c r="E268" s="1871"/>
      <c r="F268" s="1871"/>
      <c r="G268" s="1871"/>
      <c r="H268" s="1871"/>
      <c r="I268" s="1871"/>
      <c r="J268" s="1871"/>
      <c r="K268" s="1871"/>
      <c r="L268" s="1871"/>
      <c r="M268" s="1871"/>
      <c r="N268" s="1871"/>
      <c r="O268" s="1871"/>
      <c r="P268" s="1871"/>
      <c r="Q268" s="1871"/>
      <c r="R268" s="1871"/>
      <c r="S268" s="3121"/>
      <c r="CA268" s="165"/>
      <c r="CB268" s="165"/>
      <c r="CC268" s="165"/>
      <c r="CD268" s="165"/>
      <c r="CE268" s="165"/>
      <c r="CF268" s="165"/>
      <c r="CG268" s="165"/>
      <c r="CH268" s="165"/>
      <c r="CI268" s="165"/>
      <c r="CJ268" s="165"/>
      <c r="CK268" s="165"/>
      <c r="CL268" s="165"/>
      <c r="CM268" s="165"/>
      <c r="CN268" s="165"/>
      <c r="CO268" s="165"/>
      <c r="CP268" s="165"/>
      <c r="CQ268" s="165"/>
      <c r="CR268" s="165"/>
      <c r="CS268" s="165"/>
      <c r="CT268" s="165"/>
      <c r="CU268" s="290"/>
      <c r="CV268" s="290"/>
      <c r="CW268" s="290"/>
      <c r="CX268" s="290"/>
      <c r="CY268" s="290"/>
      <c r="CZ268" s="290"/>
    </row>
    <row r="269" spans="1:130" ht="23.45" customHeight="1" x14ac:dyDescent="0.2">
      <c r="A269" s="3315" t="s">
        <v>2886</v>
      </c>
      <c r="B269" s="3314">
        <f t="shared" si="42"/>
        <v>0</v>
      </c>
      <c r="C269" s="1871"/>
      <c r="D269" s="1871"/>
      <c r="E269" s="1871"/>
      <c r="F269" s="1871"/>
      <c r="G269" s="1871"/>
      <c r="H269" s="1871"/>
      <c r="I269" s="1871"/>
      <c r="J269" s="1871"/>
      <c r="K269" s="1871"/>
      <c r="L269" s="1871"/>
      <c r="M269" s="1871"/>
      <c r="N269" s="1871"/>
      <c r="O269" s="1871"/>
      <c r="P269" s="1871"/>
      <c r="Q269" s="1871"/>
      <c r="R269" s="1871"/>
      <c r="S269" s="3121"/>
      <c r="CA269" s="165"/>
      <c r="CB269" s="165"/>
      <c r="CC269" s="165"/>
      <c r="CD269" s="165"/>
      <c r="CE269" s="165"/>
      <c r="CF269" s="165"/>
      <c r="CG269" s="165"/>
      <c r="CH269" s="165"/>
      <c r="CI269" s="165"/>
      <c r="CJ269" s="165"/>
      <c r="CK269" s="165"/>
      <c r="CL269" s="165"/>
      <c r="CM269" s="165"/>
      <c r="CN269" s="165"/>
      <c r="CO269" s="165"/>
      <c r="CP269" s="165"/>
      <c r="CQ269" s="165"/>
      <c r="CR269" s="165"/>
      <c r="CS269" s="165"/>
      <c r="CT269" s="165"/>
      <c r="CU269" s="290"/>
      <c r="CV269" s="290"/>
      <c r="CW269" s="290"/>
      <c r="CX269" s="290"/>
      <c r="CY269" s="290"/>
      <c r="CZ269" s="290"/>
    </row>
    <row r="270" spans="1:130" ht="25.15" customHeight="1" x14ac:dyDescent="0.25">
      <c r="A270" s="3315" t="s">
        <v>2887</v>
      </c>
      <c r="B270" s="3314">
        <f>SUM(C270:S270)</f>
        <v>0</v>
      </c>
      <c r="C270" s="1871"/>
      <c r="D270" s="1871"/>
      <c r="E270" s="1871"/>
      <c r="F270" s="1871"/>
      <c r="G270" s="1871"/>
      <c r="H270" s="1871"/>
      <c r="I270" s="1871"/>
      <c r="J270" s="1871"/>
      <c r="K270" s="1871"/>
      <c r="L270" s="1871"/>
      <c r="M270" s="1871"/>
      <c r="N270" s="1871"/>
      <c r="O270" s="1871"/>
      <c r="P270" s="1871"/>
      <c r="Q270" s="1871"/>
      <c r="R270" s="1871"/>
      <c r="S270" s="3121"/>
      <c r="T270" s="1188"/>
      <c r="U270" s="1188"/>
      <c r="V270" s="1188"/>
      <c r="W270" s="1188"/>
      <c r="X270" s="1188"/>
      <c r="Y270" s="1188"/>
      <c r="Z270" s="1188"/>
      <c r="AA270" s="1188"/>
      <c r="AB270" s="1188"/>
      <c r="AC270" s="1188"/>
      <c r="AD270" s="1188"/>
      <c r="AE270" s="1188"/>
      <c r="AF270" s="1188"/>
      <c r="AG270" s="1188"/>
      <c r="AH270" s="1188"/>
      <c r="AI270" s="1188"/>
      <c r="AJ270" s="1188"/>
      <c r="AK270" s="1188"/>
      <c r="AL270" s="1188"/>
      <c r="AM270" s="1188"/>
      <c r="AN270" s="1188"/>
      <c r="AO270" s="1188"/>
      <c r="AP270" s="1188"/>
      <c r="AQ270" s="1188"/>
      <c r="AR270" s="1188"/>
      <c r="AS270" s="1188"/>
      <c r="AT270" s="1188"/>
      <c r="AU270" s="1188"/>
      <c r="AV270" s="1188"/>
      <c r="AW270" s="1188"/>
      <c r="AX270" s="1188"/>
      <c r="AY270" s="1188"/>
      <c r="AZ270" s="1188"/>
      <c r="BA270" s="1188"/>
      <c r="BB270" s="1188"/>
      <c r="BC270" s="1188"/>
      <c r="BD270" s="1188"/>
      <c r="BE270" s="1188"/>
      <c r="BF270" s="1188"/>
      <c r="BG270" s="1188"/>
      <c r="BH270" s="1188"/>
      <c r="BI270" s="1188"/>
      <c r="BJ270" s="1188"/>
      <c r="BK270" s="1188"/>
      <c r="BL270" s="1188"/>
      <c r="BM270" s="1188"/>
      <c r="BN270" s="1188"/>
      <c r="BO270" s="1188"/>
      <c r="BP270" s="1188"/>
      <c r="BQ270" s="1188"/>
      <c r="BR270" s="1188"/>
      <c r="BS270" s="1188"/>
      <c r="BT270" s="1188"/>
      <c r="BU270" s="1152"/>
      <c r="BV270" s="1152"/>
      <c r="BW270" s="1152"/>
      <c r="BX270" s="1152"/>
      <c r="CA270" s="165"/>
      <c r="CB270" s="165"/>
      <c r="CC270" s="165"/>
      <c r="CD270" s="165"/>
      <c r="CE270" s="165"/>
      <c r="CF270" s="165"/>
      <c r="CG270" s="165"/>
      <c r="CH270" s="165"/>
      <c r="CI270" s="165"/>
      <c r="CJ270" s="165"/>
      <c r="CK270" s="165"/>
      <c r="CL270" s="165"/>
      <c r="CM270" s="165"/>
      <c r="CN270" s="165"/>
      <c r="CO270" s="165"/>
      <c r="CP270" s="165"/>
      <c r="CQ270" s="165"/>
      <c r="CR270" s="165"/>
      <c r="CS270" s="165"/>
      <c r="CT270" s="165"/>
      <c r="CU270" s="290"/>
      <c r="CV270" s="290"/>
      <c r="CW270" s="290"/>
      <c r="CX270" s="290"/>
      <c r="CY270" s="290"/>
      <c r="CZ270" s="290"/>
    </row>
    <row r="271" spans="1:130" ht="13.9" customHeight="1" x14ac:dyDescent="0.2">
      <c r="A271" s="3314" t="s">
        <v>409</v>
      </c>
      <c r="B271" s="3314">
        <f t="shared" si="42"/>
        <v>0</v>
      </c>
      <c r="C271" s="1871"/>
      <c r="D271" s="1871"/>
      <c r="E271" s="1871"/>
      <c r="F271" s="1871"/>
      <c r="G271" s="1871"/>
      <c r="H271" s="1871"/>
      <c r="I271" s="1871"/>
      <c r="J271" s="1871"/>
      <c r="K271" s="1871"/>
      <c r="L271" s="1871"/>
      <c r="M271" s="1871"/>
      <c r="N271" s="1871"/>
      <c r="O271" s="1871"/>
      <c r="P271" s="1871"/>
      <c r="Q271" s="1871"/>
      <c r="R271" s="1871"/>
      <c r="S271" s="3121"/>
      <c r="CA271" s="1441"/>
      <c r="CB271" s="1441"/>
      <c r="CC271" s="1441"/>
      <c r="CD271" s="1441"/>
      <c r="CE271" s="1440"/>
      <c r="CF271" s="1440"/>
      <c r="CG271" s="1440"/>
      <c r="CH271" s="1440"/>
      <c r="CI271" s="1440"/>
      <c r="CJ271" s="1440"/>
      <c r="CK271" s="1440"/>
      <c r="CL271" s="1440"/>
      <c r="CM271" s="1440"/>
      <c r="CN271" s="1440"/>
      <c r="CO271" s="1440"/>
      <c r="CP271" s="1440"/>
      <c r="CQ271" s="1440"/>
      <c r="CR271" s="1440"/>
      <c r="CS271" s="1440"/>
      <c r="CT271" s="1440"/>
      <c r="CU271" s="290"/>
      <c r="CV271" s="290"/>
      <c r="CW271" s="290"/>
      <c r="CX271" s="290"/>
      <c r="CY271" s="290"/>
      <c r="CZ271" s="290"/>
    </row>
    <row r="272" spans="1:130" ht="13.9" customHeight="1" x14ac:dyDescent="0.2">
      <c r="A272" s="3314" t="s">
        <v>2884</v>
      </c>
      <c r="B272" s="3314">
        <f t="shared" si="42"/>
        <v>0</v>
      </c>
      <c r="C272" s="1871"/>
      <c r="D272" s="1871"/>
      <c r="E272" s="1871"/>
      <c r="F272" s="1871"/>
      <c r="G272" s="1871"/>
      <c r="H272" s="1871"/>
      <c r="I272" s="1871"/>
      <c r="J272" s="1871"/>
      <c r="K272" s="1871"/>
      <c r="L272" s="1871"/>
      <c r="M272" s="1871"/>
      <c r="N272" s="1871"/>
      <c r="O272" s="1871"/>
      <c r="P272" s="1871"/>
      <c r="Q272" s="1871"/>
      <c r="R272" s="1871"/>
      <c r="S272" s="3121"/>
      <c r="CE272" s="1440"/>
      <c r="CF272" s="1440"/>
      <c r="CG272" s="1440"/>
      <c r="CH272" s="1440"/>
      <c r="CI272" s="1440"/>
      <c r="CJ272" s="1440"/>
      <c r="CK272" s="1440"/>
      <c r="CL272" s="1440"/>
      <c r="CM272" s="1440"/>
      <c r="CN272" s="1440"/>
      <c r="CO272" s="1440"/>
      <c r="CP272" s="1440"/>
      <c r="CQ272" s="1440"/>
      <c r="CR272" s="1440"/>
      <c r="CS272" s="1440"/>
      <c r="CT272" s="1440"/>
      <c r="CU272" s="290"/>
      <c r="CV272" s="290"/>
      <c r="CW272" s="290"/>
      <c r="CX272" s="290"/>
      <c r="CY272" s="290"/>
      <c r="CZ272" s="290"/>
    </row>
    <row r="273" spans="1:104" ht="13.9" customHeight="1" x14ac:dyDescent="0.2">
      <c r="A273" s="3314" t="s">
        <v>2883</v>
      </c>
      <c r="B273" s="3314">
        <f t="shared" si="42"/>
        <v>0</v>
      </c>
      <c r="C273" s="1871"/>
      <c r="D273" s="1871"/>
      <c r="E273" s="1871"/>
      <c r="F273" s="1871"/>
      <c r="G273" s="1871"/>
      <c r="H273" s="1871"/>
      <c r="I273" s="1871"/>
      <c r="J273" s="1871"/>
      <c r="K273" s="1871"/>
      <c r="L273" s="1871"/>
      <c r="M273" s="1871"/>
      <c r="N273" s="1871"/>
      <c r="O273" s="1871"/>
      <c r="P273" s="1871"/>
      <c r="Q273" s="1871"/>
      <c r="R273" s="1871"/>
      <c r="S273" s="3121"/>
      <c r="CU273" s="290"/>
      <c r="CV273" s="290"/>
      <c r="CW273" s="290"/>
      <c r="CX273" s="290"/>
      <c r="CY273" s="290"/>
      <c r="CZ273" s="290"/>
    </row>
    <row r="274" spans="1:104" ht="13.9" customHeight="1" x14ac:dyDescent="0.2">
      <c r="A274" s="3314" t="s">
        <v>2882</v>
      </c>
      <c r="B274" s="3314">
        <f t="shared" si="42"/>
        <v>0</v>
      </c>
      <c r="C274" s="1871"/>
      <c r="D274" s="1871"/>
      <c r="E274" s="1871"/>
      <c r="F274" s="1871"/>
      <c r="G274" s="1871"/>
      <c r="H274" s="1871"/>
      <c r="I274" s="1871"/>
      <c r="J274" s="1871"/>
      <c r="K274" s="1871"/>
      <c r="L274" s="1871"/>
      <c r="M274" s="1871"/>
      <c r="N274" s="1871"/>
      <c r="O274" s="1871"/>
      <c r="P274" s="1871"/>
      <c r="Q274" s="1871"/>
      <c r="R274" s="1871"/>
      <c r="S274" s="3121"/>
      <c r="CF274" s="1440"/>
      <c r="CG274" s="1440"/>
      <c r="CH274" s="1440"/>
      <c r="CI274" s="1440"/>
      <c r="CJ274" s="1440"/>
      <c r="CK274" s="1440"/>
      <c r="CL274" s="1440"/>
      <c r="CM274" s="1440"/>
      <c r="CN274" s="1440"/>
      <c r="CO274" s="1440"/>
      <c r="CP274" s="1440"/>
      <c r="CQ274" s="1440"/>
      <c r="CR274" s="1440"/>
      <c r="CS274" s="1440"/>
      <c r="CT274" s="1440"/>
      <c r="CU274" s="290"/>
      <c r="CV274" s="290"/>
      <c r="CW274" s="290"/>
      <c r="CX274" s="290"/>
      <c r="CY274" s="290"/>
      <c r="CZ274" s="290"/>
    </row>
    <row r="275" spans="1:104" ht="13.9" customHeight="1" x14ac:dyDescent="0.2">
      <c r="A275" s="3314" t="s">
        <v>636</v>
      </c>
      <c r="B275" s="3314">
        <f t="shared" si="42"/>
        <v>0</v>
      </c>
      <c r="C275" s="1871"/>
      <c r="D275" s="1871"/>
      <c r="E275" s="1871"/>
      <c r="F275" s="1871"/>
      <c r="G275" s="1871"/>
      <c r="H275" s="1871"/>
      <c r="I275" s="1871"/>
      <c r="J275" s="1871"/>
      <c r="K275" s="1871"/>
      <c r="L275" s="1871"/>
      <c r="M275" s="1871"/>
      <c r="N275" s="1871"/>
      <c r="O275" s="1871"/>
      <c r="P275" s="1871"/>
      <c r="Q275" s="1871"/>
      <c r="R275" s="1871"/>
      <c r="S275" s="3121"/>
      <c r="CF275" s="165"/>
      <c r="CG275" s="165"/>
      <c r="CH275" s="165"/>
      <c r="CI275" s="165"/>
      <c r="CJ275" s="165"/>
      <c r="CK275" s="165"/>
      <c r="CL275" s="165"/>
      <c r="CM275" s="165"/>
      <c r="CN275" s="165"/>
      <c r="CO275" s="165"/>
      <c r="CP275" s="165"/>
      <c r="CQ275" s="165"/>
      <c r="CR275" s="165"/>
      <c r="CS275" s="165"/>
      <c r="CT275" s="165"/>
      <c r="CU275" s="290"/>
      <c r="CV275" s="290"/>
      <c r="CW275" s="290"/>
      <c r="CX275" s="290"/>
      <c r="CY275" s="290"/>
      <c r="CZ275" s="290"/>
    </row>
    <row r="276" spans="1:104" ht="13.9" customHeight="1" x14ac:dyDescent="0.2">
      <c r="A276" s="3314" t="s">
        <v>637</v>
      </c>
      <c r="B276" s="3314">
        <f t="shared" si="42"/>
        <v>0</v>
      </c>
      <c r="C276" s="1871"/>
      <c r="D276" s="1871"/>
      <c r="E276" s="1871"/>
      <c r="F276" s="1871"/>
      <c r="G276" s="1871"/>
      <c r="H276" s="1871"/>
      <c r="I276" s="1871"/>
      <c r="J276" s="1871"/>
      <c r="K276" s="1871"/>
      <c r="L276" s="1871"/>
      <c r="M276" s="1871"/>
      <c r="N276" s="1871"/>
      <c r="O276" s="1871"/>
      <c r="P276" s="1871"/>
      <c r="Q276" s="1871"/>
      <c r="R276" s="1871"/>
      <c r="S276" s="3121"/>
      <c r="CF276" s="165"/>
      <c r="CG276" s="165"/>
      <c r="CH276" s="165"/>
      <c r="CI276" s="165"/>
      <c r="CJ276" s="165"/>
      <c r="CK276" s="165"/>
      <c r="CL276" s="165"/>
      <c r="CM276" s="165"/>
      <c r="CN276" s="165"/>
      <c r="CO276" s="165"/>
      <c r="CP276" s="165"/>
      <c r="CQ276" s="165"/>
      <c r="CR276" s="165"/>
      <c r="CS276" s="165"/>
      <c r="CT276" s="165"/>
      <c r="CU276" s="290"/>
      <c r="CV276" s="290"/>
      <c r="CW276" s="290"/>
      <c r="CX276" s="290"/>
      <c r="CY276" s="290"/>
      <c r="CZ276" s="290"/>
    </row>
    <row r="277" spans="1:104" ht="13.9" customHeight="1" x14ac:dyDescent="0.2">
      <c r="A277" s="3314" t="s">
        <v>408</v>
      </c>
      <c r="B277" s="3314">
        <f t="shared" si="42"/>
        <v>0</v>
      </c>
      <c r="C277" s="1871"/>
      <c r="D277" s="1871"/>
      <c r="E277" s="1871"/>
      <c r="F277" s="1871"/>
      <c r="G277" s="1871"/>
      <c r="H277" s="1871"/>
      <c r="I277" s="1871"/>
      <c r="J277" s="1871"/>
      <c r="K277" s="1871"/>
      <c r="L277" s="1871"/>
      <c r="M277" s="1871"/>
      <c r="N277" s="1871"/>
      <c r="O277" s="1871"/>
      <c r="P277" s="1871"/>
      <c r="Q277" s="1871"/>
      <c r="R277" s="1871"/>
      <c r="S277" s="3121"/>
      <c r="BY277" s="290"/>
      <c r="BZ277" s="290"/>
      <c r="CF277" s="165"/>
      <c r="CG277" s="165"/>
      <c r="CH277" s="165"/>
      <c r="CI277" s="165"/>
      <c r="CJ277" s="165"/>
      <c r="CK277" s="165"/>
      <c r="CL277" s="165"/>
      <c r="CM277" s="165"/>
      <c r="CN277" s="165"/>
      <c r="CO277" s="165"/>
      <c r="CP277" s="165"/>
      <c r="CQ277" s="165"/>
      <c r="CR277" s="165"/>
      <c r="CS277" s="165"/>
      <c r="CT277" s="165"/>
      <c r="CU277" s="290"/>
      <c r="CV277" s="290"/>
      <c r="CW277" s="290"/>
      <c r="CX277" s="290"/>
      <c r="CY277" s="290"/>
      <c r="CZ277" s="290"/>
    </row>
    <row r="278" spans="1:104" ht="13.9" customHeight="1" x14ac:dyDescent="0.2">
      <c r="A278" s="3314" t="s">
        <v>638</v>
      </c>
      <c r="B278" s="3314">
        <f t="shared" si="42"/>
        <v>0</v>
      </c>
      <c r="C278" s="1871"/>
      <c r="D278" s="1871"/>
      <c r="E278" s="1871"/>
      <c r="F278" s="1871"/>
      <c r="G278" s="1871"/>
      <c r="H278" s="1871"/>
      <c r="I278" s="1871"/>
      <c r="J278" s="1871"/>
      <c r="K278" s="1871"/>
      <c r="L278" s="1871"/>
      <c r="M278" s="1871"/>
      <c r="N278" s="1871"/>
      <c r="O278" s="1871"/>
      <c r="P278" s="1871"/>
      <c r="Q278" s="1871"/>
      <c r="R278" s="1871"/>
      <c r="S278" s="3121"/>
      <c r="BY278" s="290"/>
      <c r="BZ278" s="290"/>
      <c r="CF278" s="165"/>
      <c r="CG278" s="165"/>
      <c r="CH278" s="165"/>
      <c r="CI278" s="165"/>
      <c r="CJ278" s="165"/>
      <c r="CK278" s="165"/>
      <c r="CL278" s="165"/>
      <c r="CM278" s="165"/>
      <c r="CN278" s="165"/>
      <c r="CO278" s="165"/>
      <c r="CP278" s="165"/>
      <c r="CQ278" s="165"/>
      <c r="CR278" s="165"/>
      <c r="CS278" s="165"/>
      <c r="CT278" s="165"/>
      <c r="CU278" s="290"/>
      <c r="CV278" s="290"/>
      <c r="CW278" s="290"/>
      <c r="CX278" s="290"/>
      <c r="CY278" s="290"/>
      <c r="CZ278" s="290"/>
    </row>
    <row r="279" spans="1:104" ht="13.9" customHeight="1" x14ac:dyDescent="0.2">
      <c r="A279" s="3314" t="s">
        <v>639</v>
      </c>
      <c r="B279" s="3314">
        <f t="shared" si="42"/>
        <v>0</v>
      </c>
      <c r="C279" s="1871"/>
      <c r="D279" s="1871"/>
      <c r="E279" s="1871"/>
      <c r="F279" s="1871"/>
      <c r="G279" s="1871"/>
      <c r="H279" s="1871"/>
      <c r="I279" s="1871"/>
      <c r="J279" s="1871"/>
      <c r="K279" s="1871"/>
      <c r="L279" s="1871"/>
      <c r="M279" s="1871"/>
      <c r="N279" s="1871"/>
      <c r="O279" s="1871"/>
      <c r="P279" s="1871"/>
      <c r="Q279" s="1871"/>
      <c r="R279" s="1871"/>
      <c r="S279" s="3121"/>
      <c r="BY279" s="290"/>
      <c r="BZ279" s="290"/>
      <c r="CF279" s="165"/>
      <c r="CG279" s="165"/>
      <c r="CH279" s="165"/>
      <c r="CI279" s="165"/>
      <c r="CJ279" s="165"/>
      <c r="CK279" s="165"/>
      <c r="CL279" s="165"/>
      <c r="CM279" s="165"/>
      <c r="CN279" s="165"/>
      <c r="CO279" s="165"/>
      <c r="CP279" s="165"/>
      <c r="CQ279" s="165"/>
      <c r="CR279" s="165"/>
      <c r="CS279" s="165"/>
      <c r="CT279" s="165"/>
      <c r="CU279" s="290"/>
      <c r="CV279" s="290"/>
      <c r="CW279" s="290"/>
      <c r="CX279" s="290"/>
      <c r="CY279" s="290"/>
      <c r="CZ279" s="290"/>
    </row>
    <row r="280" spans="1:104" ht="13.9" customHeight="1" x14ac:dyDescent="0.2">
      <c r="A280" s="7922" t="s">
        <v>466</v>
      </c>
      <c r="B280" s="3314">
        <f t="shared" si="42"/>
        <v>0</v>
      </c>
      <c r="C280" s="3060"/>
      <c r="D280" s="3060"/>
      <c r="E280" s="3060"/>
      <c r="F280" s="3060"/>
      <c r="G280" s="3060"/>
      <c r="H280" s="3060"/>
      <c r="I280" s="3060"/>
      <c r="J280" s="3060"/>
      <c r="K280" s="3060"/>
      <c r="L280" s="3060"/>
      <c r="M280" s="3060"/>
      <c r="N280" s="3060"/>
      <c r="O280" s="3060"/>
      <c r="P280" s="3060"/>
      <c r="Q280" s="3060"/>
      <c r="R280" s="3060"/>
      <c r="S280" s="2877"/>
      <c r="BY280" s="290"/>
      <c r="BZ280" s="290"/>
      <c r="CF280" s="165"/>
      <c r="CG280" s="165"/>
      <c r="CH280" s="165"/>
      <c r="CI280" s="165"/>
      <c r="CJ280" s="165"/>
      <c r="CK280" s="165"/>
      <c r="CL280" s="165"/>
      <c r="CM280" s="165"/>
      <c r="CN280" s="165"/>
      <c r="CO280" s="165"/>
      <c r="CP280" s="165"/>
      <c r="CQ280" s="165"/>
      <c r="CR280" s="165"/>
      <c r="CS280" s="165"/>
      <c r="CT280" s="165"/>
      <c r="CU280" s="290"/>
      <c r="CV280" s="290"/>
      <c r="CW280" s="290"/>
      <c r="CX280" s="290"/>
      <c r="CY280" s="290"/>
      <c r="CZ280" s="290"/>
    </row>
    <row r="281" spans="1:104" ht="13.9" customHeight="1" x14ac:dyDescent="0.2">
      <c r="A281" s="7922" t="s">
        <v>467</v>
      </c>
      <c r="B281" s="3314">
        <f t="shared" si="42"/>
        <v>0</v>
      </c>
      <c r="C281" s="1871"/>
      <c r="D281" s="1871"/>
      <c r="E281" s="1871"/>
      <c r="F281" s="1871"/>
      <c r="G281" s="1871"/>
      <c r="H281" s="1871"/>
      <c r="I281" s="1871"/>
      <c r="J281" s="1871"/>
      <c r="K281" s="1871"/>
      <c r="L281" s="1871"/>
      <c r="M281" s="1871"/>
      <c r="N281" s="1871"/>
      <c r="O281" s="1871"/>
      <c r="P281" s="1871"/>
      <c r="Q281" s="1871"/>
      <c r="R281" s="1871"/>
      <c r="S281" s="3121"/>
      <c r="BY281" s="290"/>
      <c r="BZ281" s="290"/>
      <c r="CF281" s="165"/>
      <c r="CG281" s="165"/>
      <c r="CH281" s="165"/>
      <c r="CI281" s="165"/>
      <c r="CJ281" s="165"/>
      <c r="CK281" s="165"/>
      <c r="CL281" s="165"/>
      <c r="CM281" s="165"/>
      <c r="CN281" s="165"/>
      <c r="CO281" s="165"/>
      <c r="CP281" s="165"/>
      <c r="CQ281" s="165"/>
      <c r="CR281" s="165"/>
      <c r="CS281" s="165"/>
      <c r="CT281" s="165"/>
      <c r="CU281" s="290"/>
      <c r="CV281" s="290"/>
      <c r="CW281" s="290"/>
      <c r="CX281" s="290"/>
      <c r="CY281" s="290"/>
      <c r="CZ281" s="290"/>
    </row>
    <row r="282" spans="1:104" ht="13.9" customHeight="1" x14ac:dyDescent="0.2">
      <c r="A282" s="7923" t="s">
        <v>640</v>
      </c>
      <c r="B282" s="3314">
        <f t="shared" si="42"/>
        <v>0</v>
      </c>
      <c r="C282" s="1871"/>
      <c r="D282" s="1871"/>
      <c r="E282" s="1871"/>
      <c r="F282" s="1871"/>
      <c r="G282" s="1871"/>
      <c r="H282" s="1871"/>
      <c r="I282" s="1871"/>
      <c r="J282" s="1871"/>
      <c r="K282" s="1871"/>
      <c r="L282" s="1871"/>
      <c r="M282" s="1871"/>
      <c r="N282" s="1871"/>
      <c r="O282" s="1871"/>
      <c r="P282" s="1871"/>
      <c r="Q282" s="1871"/>
      <c r="R282" s="1871"/>
      <c r="S282" s="3121"/>
      <c r="BY282" s="290"/>
      <c r="BZ282" s="290"/>
      <c r="CF282" s="165"/>
      <c r="CG282" s="165"/>
      <c r="CH282" s="165"/>
      <c r="CI282" s="165"/>
      <c r="CJ282" s="165"/>
      <c r="CK282" s="165"/>
      <c r="CL282" s="165"/>
      <c r="CM282" s="165"/>
      <c r="CN282" s="165"/>
      <c r="CO282" s="165"/>
      <c r="CP282" s="165"/>
      <c r="CQ282" s="165"/>
      <c r="CR282" s="165"/>
      <c r="CS282" s="165"/>
      <c r="CT282" s="165"/>
      <c r="CU282" s="290"/>
      <c r="CV282" s="290"/>
      <c r="CW282" s="290"/>
      <c r="CX282" s="290"/>
      <c r="CY282" s="290"/>
      <c r="CZ282" s="290"/>
    </row>
    <row r="283" spans="1:104" ht="13.9" customHeight="1" x14ac:dyDescent="0.2">
      <c r="A283" s="7922" t="s">
        <v>468</v>
      </c>
      <c r="B283" s="3314">
        <f t="shared" si="42"/>
        <v>0</v>
      </c>
      <c r="C283" s="1871"/>
      <c r="D283" s="1871"/>
      <c r="E283" s="1871"/>
      <c r="F283" s="1871"/>
      <c r="G283" s="1871"/>
      <c r="H283" s="1871"/>
      <c r="I283" s="1871"/>
      <c r="J283" s="1871"/>
      <c r="K283" s="1871"/>
      <c r="L283" s="1871"/>
      <c r="M283" s="1871"/>
      <c r="N283" s="1871"/>
      <c r="O283" s="1871"/>
      <c r="P283" s="1871"/>
      <c r="Q283" s="1871"/>
      <c r="R283" s="1871"/>
      <c r="S283" s="3121"/>
      <c r="BY283" s="290"/>
      <c r="BZ283" s="290"/>
      <c r="CF283" s="165"/>
      <c r="CG283" s="165"/>
      <c r="CH283" s="165"/>
      <c r="CI283" s="165"/>
      <c r="CJ283" s="165"/>
      <c r="CK283" s="165"/>
      <c r="CL283" s="165"/>
      <c r="CM283" s="165"/>
      <c r="CN283" s="165"/>
      <c r="CO283" s="165"/>
      <c r="CP283" s="165"/>
      <c r="CQ283" s="165"/>
      <c r="CR283" s="165"/>
      <c r="CS283" s="165"/>
      <c r="CT283" s="165"/>
      <c r="CU283" s="290"/>
      <c r="CV283" s="290"/>
      <c r="CW283" s="290"/>
      <c r="CX283" s="290"/>
      <c r="CY283" s="290"/>
      <c r="CZ283" s="290"/>
    </row>
    <row r="284" spans="1:104" ht="13.9" customHeight="1" x14ac:dyDescent="0.2">
      <c r="A284" s="7922" t="s">
        <v>469</v>
      </c>
      <c r="B284" s="3314">
        <f>SUM(C284:S284)</f>
        <v>0</v>
      </c>
      <c r="C284" s="1871"/>
      <c r="D284" s="1871"/>
      <c r="E284" s="1871"/>
      <c r="F284" s="1871"/>
      <c r="G284" s="1871"/>
      <c r="H284" s="1871"/>
      <c r="I284" s="1871"/>
      <c r="J284" s="1871"/>
      <c r="K284" s="1871"/>
      <c r="L284" s="1871"/>
      <c r="M284" s="1871"/>
      <c r="N284" s="1871"/>
      <c r="O284" s="1871"/>
      <c r="P284" s="1871"/>
      <c r="Q284" s="1871"/>
      <c r="R284" s="1871"/>
      <c r="S284" s="3121"/>
      <c r="BY284" s="290"/>
      <c r="BZ284" s="290"/>
      <c r="CF284" s="165"/>
      <c r="CG284" s="165"/>
      <c r="CH284" s="165"/>
      <c r="CI284" s="165"/>
      <c r="CJ284" s="165"/>
      <c r="CK284" s="165"/>
      <c r="CL284" s="165"/>
      <c r="CM284" s="165"/>
      <c r="CN284" s="165"/>
      <c r="CO284" s="165"/>
      <c r="CP284" s="165"/>
      <c r="CQ284" s="165"/>
      <c r="CR284" s="165"/>
      <c r="CS284" s="165"/>
      <c r="CT284" s="165"/>
      <c r="CU284" s="290"/>
      <c r="CV284" s="290"/>
      <c r="CW284" s="290"/>
      <c r="CX284" s="290"/>
      <c r="CY284" s="290"/>
      <c r="CZ284" s="290"/>
    </row>
    <row r="285" spans="1:104" ht="13.9" customHeight="1" x14ac:dyDescent="0.2">
      <c r="A285" s="7924" t="s">
        <v>28</v>
      </c>
      <c r="B285" s="3325">
        <f t="shared" si="42"/>
        <v>0</v>
      </c>
      <c r="C285" s="3064"/>
      <c r="D285" s="3064"/>
      <c r="E285" s="3064"/>
      <c r="F285" s="3064"/>
      <c r="G285" s="3064"/>
      <c r="H285" s="3064"/>
      <c r="I285" s="3064"/>
      <c r="J285" s="3064"/>
      <c r="K285" s="3064"/>
      <c r="L285" s="3064"/>
      <c r="M285" s="3064"/>
      <c r="N285" s="3064"/>
      <c r="O285" s="3064"/>
      <c r="P285" s="3064"/>
      <c r="Q285" s="3064"/>
      <c r="R285" s="3064"/>
      <c r="S285" s="3249"/>
      <c r="BY285" s="290"/>
      <c r="BZ285" s="290"/>
      <c r="CF285" s="165"/>
      <c r="CG285" s="165"/>
      <c r="CH285" s="165"/>
      <c r="CI285" s="165"/>
      <c r="CJ285" s="165"/>
      <c r="CK285" s="165"/>
      <c r="CL285" s="165"/>
      <c r="CM285" s="165"/>
      <c r="CN285" s="165"/>
      <c r="CO285" s="165"/>
      <c r="CP285" s="165"/>
      <c r="CQ285" s="165"/>
      <c r="CR285" s="165"/>
      <c r="CS285" s="165"/>
      <c r="CT285" s="165"/>
      <c r="CU285" s="290"/>
      <c r="CV285" s="290"/>
      <c r="CW285" s="290"/>
      <c r="CX285" s="290"/>
      <c r="CY285" s="290"/>
      <c r="CZ285" s="290"/>
    </row>
    <row r="286" spans="1:104" ht="26.25" customHeight="1" x14ac:dyDescent="0.2">
      <c r="A286" s="2153" t="s">
        <v>641</v>
      </c>
      <c r="B286" s="2153"/>
      <c r="CF286" s="165"/>
      <c r="CG286" s="165"/>
      <c r="CH286" s="165"/>
      <c r="CI286" s="165"/>
      <c r="CJ286" s="165"/>
      <c r="CK286" s="165"/>
      <c r="CL286" s="165"/>
      <c r="CM286" s="165"/>
      <c r="CN286" s="165"/>
      <c r="CO286" s="165"/>
      <c r="CP286" s="165"/>
      <c r="CQ286" s="165"/>
      <c r="CR286" s="165"/>
      <c r="CS286" s="165"/>
      <c r="CT286" s="165"/>
      <c r="CU286" s="290"/>
      <c r="CV286" s="290"/>
      <c r="CW286" s="290"/>
      <c r="CX286" s="290"/>
      <c r="CY286" s="290"/>
      <c r="CZ286" s="290"/>
    </row>
    <row r="287" spans="1:104" ht="18.75" customHeight="1" x14ac:dyDescent="0.2">
      <c r="A287" s="8197" t="s">
        <v>2846</v>
      </c>
      <c r="B287" s="10405" t="s">
        <v>24</v>
      </c>
      <c r="C287" s="9702" t="s">
        <v>55</v>
      </c>
      <c r="D287" s="9704"/>
      <c r="E287" s="9704"/>
      <c r="F287" s="9704"/>
      <c r="G287" s="9704"/>
      <c r="H287" s="9704"/>
      <c r="I287" s="9704"/>
      <c r="J287" s="9704"/>
      <c r="K287" s="9704"/>
      <c r="L287" s="9704"/>
      <c r="M287" s="9704"/>
      <c r="N287" s="9704"/>
      <c r="O287" s="9704"/>
      <c r="P287" s="9704"/>
      <c r="Q287" s="9704"/>
      <c r="R287" s="9704"/>
      <c r="S287" s="10407"/>
      <c r="BW287" s="1460"/>
      <c r="BX287" s="1460"/>
      <c r="BY287" s="290"/>
      <c r="BZ287" s="290"/>
      <c r="CF287" s="165"/>
      <c r="CG287" s="165"/>
      <c r="CH287" s="165"/>
      <c r="CI287" s="165"/>
      <c r="CJ287" s="165"/>
      <c r="CK287" s="165"/>
      <c r="CL287" s="165"/>
      <c r="CM287" s="165"/>
      <c r="CN287" s="165"/>
      <c r="CO287" s="165"/>
      <c r="CP287" s="165"/>
      <c r="CQ287" s="165"/>
      <c r="CR287" s="165"/>
      <c r="CS287" s="165"/>
      <c r="CT287" s="165"/>
      <c r="CU287" s="290"/>
      <c r="CV287" s="290"/>
      <c r="CW287" s="290"/>
      <c r="CX287" s="290"/>
      <c r="CY287" s="290"/>
      <c r="CZ287" s="290"/>
    </row>
    <row r="288" spans="1:104" ht="18.75" customHeight="1" x14ac:dyDescent="0.2">
      <c r="A288" s="10424"/>
      <c r="B288" s="10406"/>
      <c r="C288" s="7912" t="s">
        <v>75</v>
      </c>
      <c r="D288" s="7912" t="s">
        <v>76</v>
      </c>
      <c r="E288" s="7912" t="s">
        <v>77</v>
      </c>
      <c r="F288" s="7913" t="s">
        <v>68</v>
      </c>
      <c r="G288" s="7913" t="s">
        <v>142</v>
      </c>
      <c r="H288" s="7913" t="s">
        <v>143</v>
      </c>
      <c r="I288" s="7913" t="s">
        <v>144</v>
      </c>
      <c r="J288" s="7913" t="s">
        <v>7</v>
      </c>
      <c r="K288" s="7913" t="s">
        <v>8</v>
      </c>
      <c r="L288" s="7913" t="s">
        <v>145</v>
      </c>
      <c r="M288" s="7913" t="s">
        <v>10</v>
      </c>
      <c r="N288" s="7913" t="s">
        <v>11</v>
      </c>
      <c r="O288" s="7913" t="s">
        <v>12</v>
      </c>
      <c r="P288" s="7913" t="s">
        <v>13</v>
      </c>
      <c r="Q288" s="7913" t="s">
        <v>14</v>
      </c>
      <c r="R288" s="7913" t="s">
        <v>15</v>
      </c>
      <c r="S288" s="7914" t="s">
        <v>16</v>
      </c>
      <c r="BB288" s="1452"/>
      <c r="BC288" s="1452"/>
      <c r="BY288" s="290"/>
      <c r="BZ288" s="290"/>
      <c r="CF288" s="165"/>
      <c r="CG288" s="165"/>
      <c r="CH288" s="165"/>
      <c r="CI288" s="165"/>
      <c r="CJ288" s="165"/>
      <c r="CK288" s="165"/>
      <c r="CL288" s="165"/>
      <c r="CM288" s="165"/>
      <c r="CN288" s="165"/>
      <c r="CO288" s="165"/>
      <c r="CP288" s="165"/>
      <c r="CQ288" s="165"/>
      <c r="CR288" s="165"/>
      <c r="CS288" s="165"/>
      <c r="CT288" s="165"/>
      <c r="CU288" s="290"/>
      <c r="CV288" s="290"/>
      <c r="CW288" s="290"/>
      <c r="CX288" s="290"/>
      <c r="CY288" s="290"/>
      <c r="CZ288" s="290"/>
    </row>
    <row r="289" spans="1:104" ht="14.1" customHeight="1" x14ac:dyDescent="0.2">
      <c r="A289" s="7925" t="s">
        <v>2813</v>
      </c>
      <c r="B289" s="7918">
        <f>SUM(C289:S289)</f>
        <v>0</v>
      </c>
      <c r="C289" s="3060"/>
      <c r="D289" s="3060"/>
      <c r="E289" s="3060"/>
      <c r="F289" s="3060"/>
      <c r="G289" s="3060"/>
      <c r="H289" s="3060"/>
      <c r="I289" s="3060"/>
      <c r="J289" s="3060"/>
      <c r="K289" s="3060"/>
      <c r="L289" s="3060"/>
      <c r="M289" s="3060"/>
      <c r="N289" s="3060"/>
      <c r="O289" s="3060"/>
      <c r="P289" s="3060"/>
      <c r="Q289" s="3060"/>
      <c r="R289" s="3060"/>
      <c r="S289" s="2877"/>
      <c r="BB289" s="1452"/>
      <c r="BC289" s="1452"/>
      <c r="BY289" s="290"/>
      <c r="BZ289" s="290"/>
      <c r="CA289" s="165"/>
      <c r="CB289" s="165"/>
      <c r="CC289" s="165"/>
      <c r="CD289" s="165"/>
      <c r="CE289" s="165"/>
      <c r="CF289" s="165"/>
      <c r="CG289" s="165"/>
      <c r="CH289" s="165"/>
      <c r="CI289" s="165"/>
      <c r="CJ289" s="165"/>
      <c r="CK289" s="165"/>
      <c r="CL289" s="165"/>
      <c r="CM289" s="165"/>
      <c r="CN289" s="165"/>
      <c r="CO289" s="165"/>
      <c r="CP289" s="165"/>
      <c r="CQ289" s="165"/>
      <c r="CR289" s="165"/>
      <c r="CS289" s="165"/>
      <c r="CT289" s="165"/>
      <c r="CU289" s="290"/>
      <c r="CV289" s="290"/>
      <c r="CW289" s="290"/>
      <c r="CX289" s="290"/>
      <c r="CY289" s="290"/>
      <c r="CZ289" s="290"/>
    </row>
    <row r="290" spans="1:104" ht="14.1" customHeight="1" x14ac:dyDescent="0.2">
      <c r="A290" s="7770" t="s">
        <v>2817</v>
      </c>
      <c r="B290" s="7918">
        <f t="shared" ref="B290:B308" si="43">SUM(C290:S290)</f>
        <v>0</v>
      </c>
      <c r="C290" s="1871"/>
      <c r="D290" s="1871"/>
      <c r="E290" s="1871"/>
      <c r="F290" s="1871"/>
      <c r="G290" s="1871"/>
      <c r="H290" s="1871"/>
      <c r="I290" s="1871"/>
      <c r="J290" s="1871"/>
      <c r="K290" s="1871"/>
      <c r="L290" s="1871"/>
      <c r="M290" s="1871"/>
      <c r="N290" s="1871"/>
      <c r="O290" s="1871"/>
      <c r="P290" s="1871"/>
      <c r="Q290" s="1871"/>
      <c r="R290" s="1871"/>
      <c r="S290" s="3121"/>
      <c r="BB290" s="1452"/>
      <c r="BC290" s="1452"/>
      <c r="BY290" s="290"/>
      <c r="BZ290" s="290"/>
      <c r="CA290" s="165"/>
      <c r="CB290" s="165"/>
      <c r="CC290" s="165"/>
      <c r="CD290" s="165"/>
      <c r="CE290" s="165"/>
      <c r="CF290" s="165"/>
      <c r="CG290" s="165"/>
      <c r="CH290" s="165"/>
      <c r="CI290" s="165"/>
      <c r="CJ290" s="165"/>
      <c r="CK290" s="165"/>
      <c r="CL290" s="165"/>
      <c r="CM290" s="165"/>
      <c r="CN290" s="165"/>
      <c r="CO290" s="165"/>
      <c r="CP290" s="165"/>
      <c r="CQ290" s="165"/>
      <c r="CR290" s="165"/>
      <c r="CS290" s="165"/>
      <c r="CT290" s="165"/>
      <c r="CU290" s="290"/>
      <c r="CV290" s="290"/>
      <c r="CW290" s="290"/>
      <c r="CX290" s="290"/>
      <c r="CY290" s="290"/>
      <c r="CZ290" s="290"/>
    </row>
    <row r="291" spans="1:104" ht="14.1" customHeight="1" x14ac:dyDescent="0.2">
      <c r="A291" s="7896" t="s">
        <v>2814</v>
      </c>
      <c r="B291" s="7918">
        <f t="shared" si="43"/>
        <v>0</v>
      </c>
      <c r="C291" s="1871"/>
      <c r="D291" s="1871"/>
      <c r="E291" s="1871"/>
      <c r="F291" s="1871"/>
      <c r="G291" s="1871"/>
      <c r="H291" s="1871"/>
      <c r="I291" s="1871"/>
      <c r="J291" s="1871"/>
      <c r="K291" s="1871"/>
      <c r="L291" s="1871"/>
      <c r="M291" s="1871"/>
      <c r="N291" s="1871"/>
      <c r="O291" s="1871"/>
      <c r="P291" s="1871"/>
      <c r="Q291" s="1871"/>
      <c r="R291" s="1871"/>
      <c r="S291" s="3121"/>
      <c r="BB291" s="1452"/>
      <c r="BC291" s="1452"/>
      <c r="BY291" s="290"/>
      <c r="BZ291" s="290"/>
      <c r="CA291" s="165"/>
      <c r="CB291" s="165"/>
      <c r="CC291" s="165"/>
      <c r="CD291" s="165"/>
      <c r="CE291" s="165"/>
      <c r="CF291" s="165"/>
      <c r="CG291" s="165"/>
      <c r="CH291" s="165"/>
      <c r="CI291" s="165"/>
      <c r="CJ291" s="165"/>
      <c r="CK291" s="165"/>
      <c r="CL291" s="165"/>
      <c r="CM291" s="165"/>
      <c r="CN291" s="165"/>
      <c r="CO291" s="165"/>
      <c r="CP291" s="165"/>
      <c r="CQ291" s="165"/>
      <c r="CR291" s="165"/>
      <c r="CS291" s="165"/>
      <c r="CT291" s="165"/>
      <c r="CU291" s="290"/>
      <c r="CV291" s="290"/>
      <c r="CW291" s="290"/>
      <c r="CX291" s="290"/>
      <c r="CY291" s="290"/>
      <c r="CZ291" s="290"/>
    </row>
    <row r="292" spans="1:104" ht="14.1" customHeight="1" x14ac:dyDescent="0.2">
      <c r="A292" s="7896" t="s">
        <v>3538</v>
      </c>
      <c r="B292" s="7918">
        <f t="shared" si="43"/>
        <v>0</v>
      </c>
      <c r="C292" s="1871"/>
      <c r="D292" s="1871"/>
      <c r="E292" s="1871"/>
      <c r="F292" s="1871"/>
      <c r="G292" s="1871"/>
      <c r="H292" s="1871"/>
      <c r="I292" s="1871"/>
      <c r="J292" s="1871"/>
      <c r="K292" s="1871"/>
      <c r="L292" s="1871"/>
      <c r="M292" s="1871"/>
      <c r="N292" s="1871"/>
      <c r="O292" s="1871"/>
      <c r="P292" s="1871"/>
      <c r="Q292" s="1871"/>
      <c r="R292" s="1871"/>
      <c r="S292" s="3121"/>
      <c r="BB292" s="1452"/>
      <c r="BC292" s="1452"/>
      <c r="BY292" s="290"/>
      <c r="BZ292" s="290"/>
      <c r="CA292" s="165"/>
      <c r="CB292" s="165"/>
      <c r="CC292" s="165"/>
      <c r="CD292" s="165"/>
      <c r="CE292" s="165"/>
      <c r="CF292" s="165"/>
      <c r="CG292" s="165"/>
      <c r="CH292" s="165"/>
      <c r="CI292" s="165"/>
      <c r="CJ292" s="165"/>
      <c r="CK292" s="165"/>
      <c r="CL292" s="165"/>
      <c r="CM292" s="165"/>
      <c r="CN292" s="165"/>
      <c r="CO292" s="165"/>
      <c r="CP292" s="165"/>
      <c r="CQ292" s="165"/>
      <c r="CR292" s="165"/>
      <c r="CS292" s="165"/>
      <c r="CT292" s="165"/>
      <c r="CU292" s="290"/>
      <c r="CV292" s="290"/>
      <c r="CW292" s="290"/>
      <c r="CX292" s="290"/>
      <c r="CY292" s="290"/>
      <c r="CZ292" s="290"/>
    </row>
    <row r="293" spans="1:104" ht="14.1" customHeight="1" x14ac:dyDescent="0.2">
      <c r="A293" s="7770" t="s">
        <v>312</v>
      </c>
      <c r="B293" s="7918">
        <f t="shared" si="43"/>
        <v>0</v>
      </c>
      <c r="C293" s="1871"/>
      <c r="D293" s="1871"/>
      <c r="E293" s="1871"/>
      <c r="F293" s="1871"/>
      <c r="G293" s="1871"/>
      <c r="H293" s="1871"/>
      <c r="I293" s="1871"/>
      <c r="J293" s="1871"/>
      <c r="K293" s="1871"/>
      <c r="L293" s="1871"/>
      <c r="M293" s="1871"/>
      <c r="N293" s="1871"/>
      <c r="O293" s="1871"/>
      <c r="P293" s="1871"/>
      <c r="Q293" s="1871"/>
      <c r="R293" s="1871"/>
      <c r="S293" s="3121"/>
      <c r="BB293" s="1452"/>
      <c r="BC293" s="1452"/>
      <c r="BY293" s="290"/>
      <c r="BZ293" s="290"/>
      <c r="CA293" s="165"/>
      <c r="CB293" s="165"/>
      <c r="CC293" s="165"/>
      <c r="CD293" s="165"/>
      <c r="CE293" s="165"/>
      <c r="CF293" s="165"/>
      <c r="CG293" s="165"/>
      <c r="CH293" s="165"/>
      <c r="CI293" s="165"/>
      <c r="CJ293" s="165"/>
      <c r="CK293" s="165"/>
      <c r="CL293" s="165"/>
      <c r="CM293" s="165"/>
      <c r="CN293" s="165"/>
      <c r="CO293" s="165"/>
      <c r="CP293" s="165"/>
      <c r="CQ293" s="165"/>
      <c r="CR293" s="165"/>
      <c r="CS293" s="165"/>
      <c r="CT293" s="165"/>
      <c r="CU293" s="290"/>
      <c r="CV293" s="290"/>
      <c r="CW293" s="290"/>
      <c r="CX293" s="290"/>
      <c r="CY293" s="290"/>
      <c r="CZ293" s="290"/>
    </row>
    <row r="294" spans="1:104" ht="14.1" customHeight="1" x14ac:dyDescent="0.2">
      <c r="A294" s="3333" t="s">
        <v>158</v>
      </c>
      <c r="B294" s="7918">
        <f t="shared" si="43"/>
        <v>0</v>
      </c>
      <c r="C294" s="1871"/>
      <c r="D294" s="1871"/>
      <c r="E294" s="1871"/>
      <c r="F294" s="1871"/>
      <c r="G294" s="1871"/>
      <c r="H294" s="1871"/>
      <c r="I294" s="1871"/>
      <c r="J294" s="1871"/>
      <c r="K294" s="1871"/>
      <c r="L294" s="1871"/>
      <c r="M294" s="1871"/>
      <c r="N294" s="1871"/>
      <c r="O294" s="1871"/>
      <c r="P294" s="1871"/>
      <c r="Q294" s="1871"/>
      <c r="R294" s="1871"/>
      <c r="S294" s="3121"/>
      <c r="BB294" s="1452"/>
      <c r="BC294" s="1452"/>
      <c r="BY294" s="290"/>
      <c r="BZ294" s="290"/>
      <c r="CA294" s="165"/>
      <c r="CB294" s="165"/>
      <c r="CC294" s="165"/>
      <c r="CD294" s="165"/>
      <c r="CE294" s="165"/>
      <c r="CF294" s="165"/>
      <c r="CG294" s="165"/>
      <c r="CH294" s="165"/>
      <c r="CI294" s="165"/>
      <c r="CJ294" s="165"/>
      <c r="CK294" s="165"/>
      <c r="CL294" s="165"/>
      <c r="CM294" s="165"/>
      <c r="CN294" s="165"/>
      <c r="CO294" s="165"/>
      <c r="CP294" s="165"/>
      <c r="CQ294" s="165"/>
      <c r="CR294" s="165"/>
      <c r="CS294" s="165"/>
      <c r="CT294" s="165"/>
      <c r="CU294" s="290"/>
      <c r="CV294" s="290"/>
      <c r="CW294" s="290"/>
      <c r="CX294" s="290"/>
      <c r="CY294" s="290"/>
      <c r="CZ294" s="290"/>
    </row>
    <row r="295" spans="1:104" ht="14.1" customHeight="1" x14ac:dyDescent="0.2">
      <c r="A295" s="3333" t="s">
        <v>2847</v>
      </c>
      <c r="B295" s="7918">
        <f t="shared" si="43"/>
        <v>0</v>
      </c>
      <c r="C295" s="1871"/>
      <c r="D295" s="1871"/>
      <c r="E295" s="1871"/>
      <c r="F295" s="1871"/>
      <c r="G295" s="1871"/>
      <c r="H295" s="1871"/>
      <c r="I295" s="1871"/>
      <c r="J295" s="1871"/>
      <c r="K295" s="1871"/>
      <c r="L295" s="1871"/>
      <c r="M295" s="1871"/>
      <c r="N295" s="1871"/>
      <c r="O295" s="1871"/>
      <c r="P295" s="1871"/>
      <c r="Q295" s="1871"/>
      <c r="R295" s="1871"/>
      <c r="S295" s="3121"/>
      <c r="BY295" s="290"/>
      <c r="BZ295" s="290"/>
      <c r="CA295" s="165"/>
      <c r="CB295" s="165"/>
      <c r="CC295" s="165"/>
      <c r="CD295" s="165"/>
      <c r="CE295" s="165"/>
      <c r="CF295" s="165"/>
      <c r="CG295" s="165"/>
      <c r="CH295" s="165"/>
      <c r="CI295" s="165"/>
      <c r="CJ295" s="165"/>
      <c r="CK295" s="165"/>
      <c r="CL295" s="165"/>
      <c r="CM295" s="165"/>
      <c r="CN295" s="165"/>
      <c r="CO295" s="165"/>
      <c r="CP295" s="165"/>
      <c r="CQ295" s="165"/>
      <c r="CR295" s="165"/>
      <c r="CS295" s="165"/>
      <c r="CT295" s="165"/>
      <c r="CU295" s="290"/>
      <c r="CV295" s="290"/>
      <c r="CW295" s="290"/>
      <c r="CX295" s="290"/>
      <c r="CY295" s="290"/>
      <c r="CZ295" s="290"/>
    </row>
    <row r="296" spans="1:104" ht="14.1" customHeight="1" x14ac:dyDescent="0.2">
      <c r="A296" s="3333" t="s">
        <v>2888</v>
      </c>
      <c r="B296" s="7918">
        <f t="shared" si="43"/>
        <v>0</v>
      </c>
      <c r="C296" s="1871"/>
      <c r="D296" s="1871"/>
      <c r="E296" s="1871"/>
      <c r="F296" s="1871"/>
      <c r="G296" s="1871"/>
      <c r="H296" s="1871"/>
      <c r="I296" s="1871"/>
      <c r="J296" s="1871"/>
      <c r="K296" s="1871"/>
      <c r="L296" s="1871"/>
      <c r="M296" s="1871"/>
      <c r="N296" s="1871"/>
      <c r="O296" s="1871"/>
      <c r="P296" s="1871"/>
      <c r="Q296" s="1871"/>
      <c r="R296" s="1871"/>
      <c r="S296" s="3121"/>
      <c r="BY296" s="290"/>
      <c r="BZ296" s="290"/>
      <c r="CA296" s="165"/>
      <c r="CB296" s="165"/>
      <c r="CC296" s="165"/>
      <c r="CD296" s="165"/>
      <c r="CE296" s="165"/>
      <c r="CF296" s="165"/>
      <c r="CG296" s="165"/>
      <c r="CH296" s="165"/>
      <c r="CI296" s="165"/>
      <c r="CJ296" s="165"/>
      <c r="CK296" s="165"/>
      <c r="CL296" s="165"/>
      <c r="CM296" s="165"/>
      <c r="CN296" s="165"/>
      <c r="CO296" s="165"/>
      <c r="CP296" s="165"/>
      <c r="CQ296" s="165"/>
      <c r="CR296" s="165"/>
      <c r="CS296" s="165"/>
      <c r="CT296" s="165"/>
      <c r="CU296" s="290"/>
      <c r="CV296" s="290"/>
      <c r="CW296" s="290"/>
      <c r="CX296" s="290"/>
      <c r="CY296" s="290"/>
      <c r="CZ296" s="290"/>
    </row>
    <row r="297" spans="1:104" ht="14.1" customHeight="1" x14ac:dyDescent="0.2">
      <c r="A297" s="7770" t="s">
        <v>2839</v>
      </c>
      <c r="B297" s="7918">
        <f t="shared" si="43"/>
        <v>0</v>
      </c>
      <c r="C297" s="1871"/>
      <c r="D297" s="1871"/>
      <c r="E297" s="1871"/>
      <c r="F297" s="1871"/>
      <c r="G297" s="1871"/>
      <c r="H297" s="1871"/>
      <c r="I297" s="1871"/>
      <c r="J297" s="1871"/>
      <c r="K297" s="1871"/>
      <c r="L297" s="1871"/>
      <c r="M297" s="1871"/>
      <c r="N297" s="1871"/>
      <c r="O297" s="1871"/>
      <c r="P297" s="1871"/>
      <c r="Q297" s="1871"/>
      <c r="R297" s="1871"/>
      <c r="S297" s="3121"/>
      <c r="BY297" s="290"/>
      <c r="BZ297" s="290"/>
      <c r="CA297" s="165"/>
      <c r="CB297" s="165"/>
      <c r="CC297" s="165"/>
      <c r="CD297" s="165"/>
      <c r="CE297" s="165"/>
      <c r="CF297" s="165"/>
      <c r="CG297" s="165"/>
      <c r="CH297" s="165"/>
      <c r="CI297" s="165"/>
      <c r="CJ297" s="165"/>
      <c r="CK297" s="165"/>
      <c r="CL297" s="165"/>
      <c r="CM297" s="165"/>
      <c r="CN297" s="165"/>
      <c r="CO297" s="165"/>
      <c r="CP297" s="165"/>
      <c r="CQ297" s="165"/>
      <c r="CR297" s="165"/>
      <c r="CS297" s="165"/>
      <c r="CT297" s="165"/>
      <c r="CU297" s="290"/>
      <c r="CV297" s="290"/>
      <c r="CW297" s="290"/>
      <c r="CX297" s="290"/>
      <c r="CY297" s="290"/>
      <c r="CZ297" s="290"/>
    </row>
    <row r="298" spans="1:104" ht="14.1" customHeight="1" x14ac:dyDescent="0.2">
      <c r="A298" s="3333" t="s">
        <v>72</v>
      </c>
      <c r="B298" s="7918">
        <f t="shared" si="43"/>
        <v>0</v>
      </c>
      <c r="C298" s="1871"/>
      <c r="D298" s="1871"/>
      <c r="E298" s="1871"/>
      <c r="F298" s="1871"/>
      <c r="G298" s="1871"/>
      <c r="H298" s="1871"/>
      <c r="I298" s="1871"/>
      <c r="J298" s="1871"/>
      <c r="K298" s="1871"/>
      <c r="L298" s="1871"/>
      <c r="M298" s="1871"/>
      <c r="N298" s="1871"/>
      <c r="O298" s="1871"/>
      <c r="P298" s="1871"/>
      <c r="Q298" s="1871"/>
      <c r="R298" s="1871"/>
      <c r="S298" s="3121"/>
      <c r="BY298" s="290"/>
      <c r="BZ298" s="290"/>
      <c r="CA298" s="165"/>
      <c r="CB298" s="165"/>
      <c r="CC298" s="165"/>
      <c r="CD298" s="165"/>
      <c r="CE298" s="165"/>
      <c r="CF298" s="165"/>
      <c r="CG298" s="165"/>
      <c r="CH298" s="165"/>
      <c r="CI298" s="165"/>
      <c r="CJ298" s="165"/>
      <c r="CK298" s="165"/>
      <c r="CL298" s="165"/>
      <c r="CM298" s="165"/>
      <c r="CN298" s="165"/>
      <c r="CO298" s="165"/>
      <c r="CP298" s="165"/>
      <c r="CQ298" s="165"/>
      <c r="CR298" s="165"/>
      <c r="CS298" s="165"/>
      <c r="CT298" s="165"/>
      <c r="CU298" s="290"/>
      <c r="CV298" s="290"/>
      <c r="CW298" s="290"/>
      <c r="CX298" s="290"/>
      <c r="CY298" s="290"/>
      <c r="CZ298" s="290"/>
    </row>
    <row r="299" spans="1:104" ht="14.1" customHeight="1" x14ac:dyDescent="0.2">
      <c r="A299" s="7770" t="s">
        <v>2819</v>
      </c>
      <c r="B299" s="7918">
        <f t="shared" si="43"/>
        <v>0</v>
      </c>
      <c r="C299" s="1871"/>
      <c r="D299" s="1871"/>
      <c r="E299" s="1871"/>
      <c r="F299" s="1871"/>
      <c r="G299" s="1871"/>
      <c r="H299" s="1871"/>
      <c r="I299" s="1871"/>
      <c r="J299" s="1871"/>
      <c r="K299" s="1871"/>
      <c r="L299" s="1871"/>
      <c r="M299" s="1871"/>
      <c r="N299" s="1871"/>
      <c r="O299" s="1871"/>
      <c r="P299" s="1871"/>
      <c r="Q299" s="1871"/>
      <c r="R299" s="1871"/>
      <c r="S299" s="3121"/>
      <c r="BY299" s="290"/>
      <c r="BZ299" s="290"/>
      <c r="CA299" s="165"/>
      <c r="CB299" s="165"/>
      <c r="CC299" s="165"/>
      <c r="CD299" s="165"/>
      <c r="CE299" s="165"/>
      <c r="CF299" s="165"/>
      <c r="CG299" s="165"/>
      <c r="CH299" s="165"/>
      <c r="CI299" s="165"/>
      <c r="CJ299" s="165"/>
      <c r="CK299" s="165"/>
      <c r="CL299" s="165"/>
      <c r="CM299" s="165"/>
      <c r="CN299" s="165"/>
      <c r="CO299" s="165"/>
      <c r="CP299" s="165"/>
      <c r="CQ299" s="165"/>
      <c r="CR299" s="165"/>
      <c r="CS299" s="165"/>
      <c r="CT299" s="165"/>
      <c r="CU299" s="290"/>
      <c r="CV299" s="290"/>
      <c r="CW299" s="290"/>
      <c r="CX299" s="290"/>
      <c r="CY299" s="290"/>
      <c r="CZ299" s="290"/>
    </row>
    <row r="300" spans="1:104" ht="14.1" customHeight="1" x14ac:dyDescent="0.2">
      <c r="A300" s="3333" t="s">
        <v>136</v>
      </c>
      <c r="B300" s="7918">
        <f t="shared" si="43"/>
        <v>0</v>
      </c>
      <c r="C300" s="1871"/>
      <c r="D300" s="1871"/>
      <c r="E300" s="1871"/>
      <c r="F300" s="1871"/>
      <c r="G300" s="1871"/>
      <c r="H300" s="1871"/>
      <c r="I300" s="1871"/>
      <c r="J300" s="1871"/>
      <c r="K300" s="1871"/>
      <c r="L300" s="1871"/>
      <c r="M300" s="1871"/>
      <c r="N300" s="1871"/>
      <c r="O300" s="1871"/>
      <c r="P300" s="1871"/>
      <c r="Q300" s="1871"/>
      <c r="R300" s="1871"/>
      <c r="S300" s="3121"/>
      <c r="BY300" s="290"/>
      <c r="BZ300" s="290"/>
      <c r="CA300" s="165"/>
      <c r="CB300" s="165"/>
      <c r="CC300" s="165"/>
      <c r="CD300" s="165"/>
      <c r="CE300" s="165"/>
      <c r="CF300" s="165"/>
      <c r="CG300" s="165"/>
      <c r="CH300" s="165"/>
      <c r="CI300" s="165"/>
      <c r="CJ300" s="165"/>
      <c r="CK300" s="165"/>
      <c r="CL300" s="165"/>
      <c r="CM300" s="165"/>
      <c r="CN300" s="165"/>
      <c r="CO300" s="165"/>
      <c r="CP300" s="165"/>
      <c r="CQ300" s="165"/>
      <c r="CR300" s="165"/>
      <c r="CS300" s="165"/>
      <c r="CT300" s="165"/>
      <c r="CU300" s="290"/>
      <c r="CV300" s="290"/>
      <c r="CW300" s="290"/>
      <c r="CX300" s="290"/>
      <c r="CY300" s="290"/>
      <c r="CZ300" s="290"/>
    </row>
    <row r="301" spans="1:104" ht="14.1" customHeight="1" x14ac:dyDescent="0.2">
      <c r="A301" s="7770" t="s">
        <v>1759</v>
      </c>
      <c r="B301" s="7918">
        <f t="shared" si="43"/>
        <v>0</v>
      </c>
      <c r="C301" s="3060"/>
      <c r="D301" s="3060"/>
      <c r="E301" s="3060"/>
      <c r="F301" s="3060"/>
      <c r="G301" s="3060"/>
      <c r="H301" s="3060"/>
      <c r="I301" s="3060"/>
      <c r="J301" s="3060"/>
      <c r="K301" s="3060"/>
      <c r="L301" s="3060"/>
      <c r="M301" s="3060"/>
      <c r="N301" s="3060"/>
      <c r="O301" s="3060"/>
      <c r="P301" s="3060"/>
      <c r="Q301" s="3060"/>
      <c r="R301" s="3060"/>
      <c r="S301" s="2877"/>
      <c r="BY301" s="290"/>
      <c r="BZ301" s="290"/>
      <c r="CA301" s="165"/>
      <c r="CB301" s="165"/>
      <c r="CC301" s="165"/>
      <c r="CD301" s="165"/>
      <c r="CE301" s="165"/>
      <c r="CF301" s="165"/>
      <c r="CG301" s="165"/>
      <c r="CH301" s="165"/>
      <c r="CI301" s="165"/>
      <c r="CJ301" s="165"/>
      <c r="CK301" s="165"/>
      <c r="CL301" s="165"/>
      <c r="CM301" s="165"/>
      <c r="CN301" s="165"/>
      <c r="CO301" s="165"/>
      <c r="CP301" s="165"/>
      <c r="CQ301" s="165"/>
      <c r="CR301" s="165"/>
      <c r="CS301" s="165"/>
      <c r="CT301" s="165"/>
      <c r="CU301" s="290"/>
      <c r="CV301" s="290"/>
      <c r="CW301" s="290"/>
      <c r="CX301" s="290"/>
      <c r="CY301" s="290"/>
      <c r="CZ301" s="290"/>
    </row>
    <row r="302" spans="1:104" ht="14.1" customHeight="1" x14ac:dyDescent="0.25">
      <c r="A302" s="3333" t="s">
        <v>411</v>
      </c>
      <c r="B302" s="7918">
        <f t="shared" si="43"/>
        <v>0</v>
      </c>
      <c r="C302" s="3060"/>
      <c r="D302" s="3060"/>
      <c r="E302" s="3060"/>
      <c r="F302" s="3060"/>
      <c r="G302" s="3060"/>
      <c r="H302" s="3060"/>
      <c r="I302" s="3060"/>
      <c r="J302" s="3060"/>
      <c r="K302" s="3060"/>
      <c r="L302" s="3060"/>
      <c r="M302" s="3060"/>
      <c r="N302" s="3060"/>
      <c r="O302" s="3060"/>
      <c r="P302" s="3060"/>
      <c r="Q302" s="3060"/>
      <c r="R302" s="3060"/>
      <c r="S302" s="2877"/>
      <c r="T302" s="1188"/>
      <c r="U302" s="1188"/>
      <c r="V302" s="1188"/>
      <c r="W302" s="1188"/>
      <c r="X302" s="1188"/>
      <c r="Y302" s="1188"/>
      <c r="Z302" s="1188"/>
      <c r="AA302" s="1188"/>
      <c r="AB302" s="1188"/>
      <c r="AC302" s="1188"/>
      <c r="AD302" s="1188"/>
      <c r="AE302" s="1188"/>
      <c r="AF302" s="1188"/>
      <c r="AG302" s="1188"/>
      <c r="AH302" s="1188"/>
      <c r="AI302" s="1188"/>
      <c r="AJ302" s="1188"/>
      <c r="AK302" s="1188"/>
      <c r="AL302" s="1188"/>
      <c r="AM302" s="1188"/>
      <c r="AN302" s="1188"/>
      <c r="AO302" s="1188"/>
      <c r="AP302" s="1188"/>
      <c r="AQ302" s="1188"/>
      <c r="AR302" s="1188"/>
      <c r="AS302" s="1188"/>
      <c r="AT302" s="1188"/>
      <c r="AU302" s="1188"/>
      <c r="AV302" s="1188"/>
      <c r="AW302" s="1188"/>
      <c r="AX302" s="1188"/>
      <c r="AY302" s="1188"/>
      <c r="AZ302" s="1188"/>
      <c r="BA302" s="1188"/>
      <c r="BB302" s="1188"/>
      <c r="BC302" s="1188"/>
      <c r="BD302" s="1188"/>
      <c r="BE302" s="1188"/>
      <c r="BF302" s="1188"/>
      <c r="BG302" s="1188"/>
      <c r="BH302" s="1188"/>
      <c r="BI302" s="1188"/>
      <c r="BJ302" s="1188"/>
      <c r="BK302" s="1188"/>
      <c r="BL302" s="1188"/>
      <c r="BM302" s="1188"/>
      <c r="BN302" s="1188"/>
      <c r="BO302" s="1188"/>
      <c r="BP302" s="1188"/>
      <c r="BQ302" s="1188"/>
      <c r="BR302" s="1188"/>
      <c r="BS302" s="1188"/>
      <c r="BT302" s="1188"/>
      <c r="BU302" s="1152"/>
      <c r="BV302" s="1152"/>
      <c r="BW302" s="1152"/>
      <c r="BX302" s="1152"/>
      <c r="BY302" s="290"/>
      <c r="BZ302" s="290"/>
      <c r="CA302" s="165"/>
      <c r="CB302" s="165"/>
      <c r="CC302" s="165"/>
      <c r="CD302" s="165"/>
      <c r="CE302" s="165"/>
      <c r="CF302" s="165"/>
      <c r="CG302" s="165"/>
      <c r="CH302" s="165"/>
      <c r="CI302" s="165"/>
      <c r="CJ302" s="165"/>
      <c r="CK302" s="165"/>
      <c r="CL302" s="165"/>
      <c r="CM302" s="165"/>
      <c r="CN302" s="165"/>
      <c r="CO302" s="165"/>
      <c r="CP302" s="165"/>
      <c r="CQ302" s="165"/>
      <c r="CR302" s="165"/>
      <c r="CS302" s="165"/>
      <c r="CT302" s="165"/>
      <c r="CU302" s="290"/>
      <c r="CV302" s="290"/>
      <c r="CW302" s="290"/>
      <c r="CX302" s="290"/>
      <c r="CY302" s="290"/>
      <c r="CZ302" s="290"/>
    </row>
    <row r="303" spans="1:104" ht="14.1" customHeight="1" x14ac:dyDescent="0.25">
      <c r="A303" s="3333" t="s">
        <v>412</v>
      </c>
      <c r="B303" s="7918">
        <f t="shared" si="43"/>
        <v>0</v>
      </c>
      <c r="C303" s="3060"/>
      <c r="D303" s="3060"/>
      <c r="E303" s="3060"/>
      <c r="F303" s="3060"/>
      <c r="G303" s="3060"/>
      <c r="H303" s="3060"/>
      <c r="I303" s="3060"/>
      <c r="J303" s="3060"/>
      <c r="K303" s="3060"/>
      <c r="L303" s="3060"/>
      <c r="M303" s="3060"/>
      <c r="N303" s="3060"/>
      <c r="O303" s="3060"/>
      <c r="P303" s="3060"/>
      <c r="Q303" s="3060"/>
      <c r="R303" s="3060"/>
      <c r="S303" s="2877"/>
      <c r="T303" s="1188"/>
      <c r="U303" s="1188"/>
      <c r="V303" s="1188"/>
      <c r="W303" s="1188"/>
      <c r="X303" s="1188"/>
      <c r="Y303" s="1188"/>
      <c r="Z303" s="1188"/>
      <c r="AA303" s="1188"/>
      <c r="AB303" s="1188"/>
      <c r="AC303" s="1188"/>
      <c r="AD303" s="1188"/>
      <c r="AE303" s="1188"/>
      <c r="AF303" s="1188"/>
      <c r="AG303" s="1188"/>
      <c r="AH303" s="1188"/>
      <c r="AI303" s="1188"/>
      <c r="AJ303" s="1188"/>
      <c r="AK303" s="1188"/>
      <c r="AL303" s="1188"/>
      <c r="AM303" s="1188"/>
      <c r="AN303" s="1188"/>
      <c r="AO303" s="1188"/>
      <c r="AP303" s="1188"/>
      <c r="AQ303" s="1188"/>
      <c r="AR303" s="1188"/>
      <c r="AS303" s="1188"/>
      <c r="AT303" s="1188"/>
      <c r="AU303" s="1188"/>
      <c r="AV303" s="1188"/>
      <c r="AW303" s="1188"/>
      <c r="AX303" s="1188"/>
      <c r="AY303" s="1188"/>
      <c r="AZ303" s="1188"/>
      <c r="BA303" s="1188"/>
      <c r="BB303" s="1188"/>
      <c r="BC303" s="1188"/>
      <c r="BD303" s="1188"/>
      <c r="BE303" s="1188"/>
      <c r="BF303" s="1188"/>
      <c r="BG303" s="1188"/>
      <c r="BH303" s="1188"/>
      <c r="BI303" s="1188"/>
      <c r="BJ303" s="1188"/>
      <c r="BK303" s="1188"/>
      <c r="BL303" s="1188"/>
      <c r="BM303" s="1188"/>
      <c r="BN303" s="1188"/>
      <c r="BO303" s="1188"/>
      <c r="BP303" s="1188"/>
      <c r="BQ303" s="1188"/>
      <c r="BR303" s="1188"/>
      <c r="BS303" s="1188"/>
      <c r="BT303" s="1188"/>
      <c r="BU303" s="1152"/>
      <c r="BV303" s="1152"/>
      <c r="BW303" s="1152"/>
      <c r="BX303" s="1152"/>
      <c r="BY303" s="290"/>
      <c r="BZ303" s="290"/>
      <c r="CA303" s="165"/>
      <c r="CB303" s="165"/>
      <c r="CC303" s="165"/>
      <c r="CD303" s="165"/>
      <c r="CE303" s="165"/>
      <c r="CF303" s="165"/>
      <c r="CG303" s="165"/>
      <c r="CH303" s="165"/>
      <c r="CI303" s="165"/>
      <c r="CJ303" s="165"/>
      <c r="CK303" s="165"/>
      <c r="CL303" s="165"/>
      <c r="CM303" s="165"/>
      <c r="CN303" s="165"/>
      <c r="CO303" s="165"/>
      <c r="CP303" s="165"/>
      <c r="CQ303" s="165"/>
      <c r="CR303" s="165"/>
      <c r="CS303" s="165"/>
      <c r="CT303" s="165"/>
      <c r="CU303" s="290"/>
      <c r="CV303" s="290"/>
      <c r="CW303" s="290"/>
      <c r="CX303" s="290"/>
      <c r="CY303" s="290"/>
      <c r="CZ303" s="290"/>
    </row>
    <row r="304" spans="1:104" ht="14.1" customHeight="1" x14ac:dyDescent="0.25">
      <c r="A304" s="7770" t="s">
        <v>2820</v>
      </c>
      <c r="B304" s="7918">
        <f t="shared" si="43"/>
        <v>0</v>
      </c>
      <c r="C304" s="1871"/>
      <c r="D304" s="1871"/>
      <c r="E304" s="1871"/>
      <c r="F304" s="1871"/>
      <c r="G304" s="1871"/>
      <c r="H304" s="1871"/>
      <c r="I304" s="1871"/>
      <c r="J304" s="1871"/>
      <c r="K304" s="1871"/>
      <c r="L304" s="1871"/>
      <c r="M304" s="1871"/>
      <c r="N304" s="1871"/>
      <c r="O304" s="1871"/>
      <c r="P304" s="1871"/>
      <c r="Q304" s="1871"/>
      <c r="R304" s="1871"/>
      <c r="S304" s="3121"/>
      <c r="T304" s="1188"/>
      <c r="U304" s="1188"/>
      <c r="V304" s="1188"/>
      <c r="W304" s="1188"/>
      <c r="X304" s="1188"/>
      <c r="Y304" s="1188"/>
      <c r="Z304" s="1188"/>
      <c r="AA304" s="1188"/>
      <c r="AB304" s="1188"/>
      <c r="AC304" s="1188"/>
      <c r="AD304" s="1188"/>
      <c r="AE304" s="1188"/>
      <c r="AF304" s="1188"/>
      <c r="AG304" s="1188"/>
      <c r="AH304" s="1188"/>
      <c r="AI304" s="1188"/>
      <c r="AJ304" s="1188"/>
      <c r="AK304" s="1188"/>
      <c r="AL304" s="1188"/>
      <c r="AM304" s="1188"/>
      <c r="AN304" s="1188"/>
      <c r="AO304" s="1188"/>
      <c r="AP304" s="1188"/>
      <c r="AQ304" s="1188"/>
      <c r="AR304" s="1188"/>
      <c r="AS304" s="1188"/>
      <c r="AT304" s="1188"/>
      <c r="AU304" s="1188"/>
      <c r="AV304" s="1188"/>
      <c r="AW304" s="1188"/>
      <c r="AX304" s="1188"/>
      <c r="AY304" s="1188"/>
      <c r="AZ304" s="1188"/>
      <c r="BA304" s="1188"/>
      <c r="BB304" s="1188"/>
      <c r="BC304" s="1188"/>
      <c r="BD304" s="1188"/>
      <c r="BE304" s="1188"/>
      <c r="BF304" s="1188"/>
      <c r="BG304" s="1188"/>
      <c r="BH304" s="1188"/>
      <c r="BI304" s="1188"/>
      <c r="BJ304" s="1188"/>
      <c r="BK304" s="1188"/>
      <c r="BL304" s="1188"/>
      <c r="BM304" s="1188"/>
      <c r="BN304" s="1188"/>
      <c r="BO304" s="1188"/>
      <c r="BP304" s="1188"/>
      <c r="BQ304" s="1188"/>
      <c r="BR304" s="1188"/>
      <c r="BS304" s="1188"/>
      <c r="BT304" s="1188"/>
      <c r="BU304" s="1152"/>
      <c r="BV304" s="1152"/>
      <c r="BW304" s="1152"/>
      <c r="BX304" s="1152"/>
      <c r="BY304" s="290"/>
      <c r="BZ304" s="290"/>
      <c r="CA304" s="165"/>
      <c r="CB304" s="165"/>
      <c r="CC304" s="165"/>
      <c r="CD304" s="165"/>
      <c r="CE304" s="165"/>
      <c r="CF304" s="165"/>
      <c r="CG304" s="165"/>
      <c r="CH304" s="165"/>
      <c r="CI304" s="165"/>
      <c r="CJ304" s="165"/>
      <c r="CK304" s="165"/>
      <c r="CL304" s="165"/>
      <c r="CM304" s="165"/>
      <c r="CN304" s="165"/>
      <c r="CO304" s="165"/>
      <c r="CP304" s="165"/>
      <c r="CQ304" s="165"/>
      <c r="CR304" s="165"/>
      <c r="CS304" s="165"/>
      <c r="CT304" s="165"/>
      <c r="CU304" s="290"/>
      <c r="CV304" s="290"/>
      <c r="CW304" s="290"/>
      <c r="CX304" s="290"/>
      <c r="CY304" s="290"/>
      <c r="CZ304" s="290"/>
    </row>
    <row r="305" spans="1:104" ht="14.1" customHeight="1" x14ac:dyDescent="0.25">
      <c r="A305" s="7884" t="s">
        <v>2836</v>
      </c>
      <c r="B305" s="7918">
        <f t="shared" si="43"/>
        <v>0</v>
      </c>
      <c r="C305" s="1871"/>
      <c r="D305" s="1871"/>
      <c r="E305" s="1871"/>
      <c r="F305" s="1871"/>
      <c r="G305" s="1871"/>
      <c r="H305" s="1871"/>
      <c r="I305" s="1871"/>
      <c r="J305" s="1871"/>
      <c r="K305" s="1871"/>
      <c r="L305" s="1871"/>
      <c r="M305" s="1871"/>
      <c r="N305" s="1871"/>
      <c r="O305" s="1871"/>
      <c r="P305" s="1871"/>
      <c r="Q305" s="1871"/>
      <c r="R305" s="1871"/>
      <c r="S305" s="3121"/>
      <c r="T305" s="1188"/>
      <c r="U305" s="1188"/>
      <c r="V305" s="1188"/>
      <c r="W305" s="1188"/>
      <c r="X305" s="1188"/>
      <c r="Y305" s="1188"/>
      <c r="Z305" s="1188"/>
      <c r="AA305" s="1188"/>
      <c r="AB305" s="1188"/>
      <c r="AC305" s="1188"/>
      <c r="AD305" s="1188"/>
      <c r="AE305" s="1188"/>
      <c r="AF305" s="1188"/>
      <c r="AG305" s="1188"/>
      <c r="AH305" s="1188"/>
      <c r="AI305" s="1188"/>
      <c r="AJ305" s="1188"/>
      <c r="AK305" s="1188"/>
      <c r="AL305" s="1188"/>
      <c r="AM305" s="1188"/>
      <c r="AN305" s="1188"/>
      <c r="AO305" s="1188"/>
      <c r="AP305" s="1188"/>
      <c r="AQ305" s="1188"/>
      <c r="AR305" s="1188"/>
      <c r="AS305" s="1188"/>
      <c r="AT305" s="1188"/>
      <c r="AU305" s="1188"/>
      <c r="AV305" s="1188"/>
      <c r="AW305" s="1188"/>
      <c r="AX305" s="1188"/>
      <c r="AY305" s="1188"/>
      <c r="AZ305" s="1188"/>
      <c r="BA305" s="1188"/>
      <c r="BB305" s="1188"/>
      <c r="BC305" s="1188"/>
      <c r="BD305" s="1188"/>
      <c r="BE305" s="1188"/>
      <c r="BF305" s="1188"/>
      <c r="BG305" s="1188"/>
      <c r="BH305" s="1188"/>
      <c r="BI305" s="1188"/>
      <c r="BJ305" s="1188"/>
      <c r="BK305" s="1188"/>
      <c r="BL305" s="1188"/>
      <c r="BM305" s="1188"/>
      <c r="BN305" s="1188"/>
      <c r="BO305" s="1188"/>
      <c r="BP305" s="1188"/>
      <c r="BQ305" s="1188"/>
      <c r="BR305" s="1188"/>
      <c r="BS305" s="1188"/>
      <c r="BT305" s="1188"/>
      <c r="BU305" s="1152"/>
      <c r="BV305" s="1152"/>
      <c r="BW305" s="1152"/>
      <c r="BX305" s="1152"/>
      <c r="BY305" s="290"/>
      <c r="BZ305" s="290"/>
      <c r="CA305" s="165"/>
      <c r="CB305" s="165"/>
      <c r="CC305" s="165"/>
      <c r="CD305" s="165"/>
      <c r="CE305" s="165"/>
      <c r="CF305" s="165"/>
      <c r="CG305" s="165"/>
      <c r="CH305" s="165"/>
      <c r="CI305" s="165"/>
      <c r="CJ305" s="165"/>
      <c r="CK305" s="165"/>
      <c r="CL305" s="165"/>
      <c r="CM305" s="165"/>
      <c r="CN305" s="165"/>
      <c r="CO305" s="165"/>
      <c r="CP305" s="165"/>
      <c r="CQ305" s="165"/>
      <c r="CR305" s="165"/>
      <c r="CS305" s="165"/>
      <c r="CT305" s="165"/>
      <c r="CU305" s="290"/>
      <c r="CV305" s="290"/>
      <c r="CW305" s="290"/>
      <c r="CX305" s="290"/>
      <c r="CY305" s="290"/>
      <c r="CZ305" s="290"/>
    </row>
    <row r="306" spans="1:104" ht="14.1" customHeight="1" x14ac:dyDescent="0.25">
      <c r="A306" s="7595" t="s">
        <v>2848</v>
      </c>
      <c r="B306" s="7918">
        <f t="shared" si="43"/>
        <v>0</v>
      </c>
      <c r="C306" s="1871"/>
      <c r="D306" s="1871"/>
      <c r="E306" s="1871"/>
      <c r="F306" s="1871"/>
      <c r="G306" s="1871"/>
      <c r="H306" s="1871"/>
      <c r="I306" s="1871"/>
      <c r="J306" s="1871"/>
      <c r="K306" s="1871"/>
      <c r="L306" s="1871"/>
      <c r="M306" s="1871"/>
      <c r="N306" s="1871"/>
      <c r="O306" s="1871"/>
      <c r="P306" s="1871"/>
      <c r="Q306" s="1871"/>
      <c r="R306" s="1871"/>
      <c r="S306" s="3121"/>
      <c r="T306" s="1188"/>
      <c r="U306" s="1188"/>
      <c r="V306" s="1188"/>
      <c r="W306" s="1188"/>
      <c r="X306" s="1188"/>
      <c r="Y306" s="1188"/>
      <c r="Z306" s="1188"/>
      <c r="AA306" s="1188"/>
      <c r="AB306" s="1188"/>
      <c r="AC306" s="1188"/>
      <c r="AD306" s="1188"/>
      <c r="AE306" s="1188"/>
      <c r="AF306" s="1188"/>
      <c r="AG306" s="1188"/>
      <c r="AH306" s="1188"/>
      <c r="AI306" s="1188"/>
      <c r="AJ306" s="1188"/>
      <c r="AK306" s="1188"/>
      <c r="AL306" s="1188"/>
      <c r="AM306" s="1188"/>
      <c r="AN306" s="1188"/>
      <c r="AO306" s="1188"/>
      <c r="AP306" s="1188"/>
      <c r="AQ306" s="1188"/>
      <c r="AR306" s="1188"/>
      <c r="AS306" s="1188"/>
      <c r="AT306" s="1188"/>
      <c r="AU306" s="1188"/>
      <c r="AV306" s="1188"/>
      <c r="AW306" s="1188"/>
      <c r="AX306" s="1188"/>
      <c r="AY306" s="1188"/>
      <c r="AZ306" s="1188"/>
      <c r="BA306" s="1188"/>
      <c r="BB306" s="1188"/>
      <c r="BC306" s="1188"/>
      <c r="BD306" s="1188"/>
      <c r="BE306" s="1188"/>
      <c r="BF306" s="1188"/>
      <c r="BG306" s="1188"/>
      <c r="BH306" s="1188"/>
      <c r="BI306" s="1188"/>
      <c r="BJ306" s="1188"/>
      <c r="BK306" s="1188"/>
      <c r="BL306" s="1188"/>
      <c r="BM306" s="1188"/>
      <c r="BN306" s="1188"/>
      <c r="BO306" s="1188"/>
      <c r="BP306" s="1188"/>
      <c r="BQ306" s="1188"/>
      <c r="BR306" s="1188"/>
      <c r="BS306" s="1188"/>
      <c r="BT306" s="1188"/>
      <c r="BU306" s="1152"/>
      <c r="BV306" s="1152"/>
      <c r="BW306" s="1152"/>
      <c r="BX306" s="1152"/>
      <c r="BY306" s="290"/>
      <c r="BZ306" s="290"/>
      <c r="CA306" s="165"/>
      <c r="CB306" s="165"/>
      <c r="CC306" s="165"/>
      <c r="CD306" s="165"/>
      <c r="CE306" s="165"/>
      <c r="CF306" s="165"/>
      <c r="CG306" s="165"/>
      <c r="CH306" s="165"/>
      <c r="CI306" s="165"/>
      <c r="CJ306" s="165"/>
      <c r="CK306" s="165"/>
      <c r="CL306" s="165"/>
      <c r="CM306" s="165"/>
      <c r="CN306" s="165"/>
      <c r="CO306" s="165"/>
      <c r="CP306" s="165"/>
      <c r="CQ306" s="165"/>
      <c r="CR306" s="165"/>
      <c r="CS306" s="165"/>
      <c r="CT306" s="165"/>
      <c r="CU306" s="290"/>
      <c r="CV306" s="290"/>
      <c r="CW306" s="290"/>
      <c r="CX306" s="290"/>
      <c r="CY306" s="290"/>
      <c r="CZ306" s="290"/>
    </row>
    <row r="307" spans="1:104" ht="14.1" customHeight="1" x14ac:dyDescent="0.25">
      <c r="A307" s="7595" t="s">
        <v>2811</v>
      </c>
      <c r="B307" s="7918">
        <f t="shared" si="43"/>
        <v>0</v>
      </c>
      <c r="C307" s="1871"/>
      <c r="D307" s="1871"/>
      <c r="E307" s="1871"/>
      <c r="F307" s="1871"/>
      <c r="G307" s="1871"/>
      <c r="H307" s="1871"/>
      <c r="I307" s="1871"/>
      <c r="J307" s="1871"/>
      <c r="K307" s="1871"/>
      <c r="L307" s="1871"/>
      <c r="M307" s="1871"/>
      <c r="N307" s="1871"/>
      <c r="O307" s="1871"/>
      <c r="P307" s="1871"/>
      <c r="Q307" s="1871"/>
      <c r="R307" s="1871"/>
      <c r="S307" s="3121"/>
      <c r="T307" s="1188"/>
      <c r="U307" s="1188"/>
      <c r="V307" s="1188"/>
      <c r="W307" s="1188"/>
      <c r="X307" s="1188"/>
      <c r="Y307" s="1188"/>
      <c r="Z307" s="1188"/>
      <c r="AA307" s="1188"/>
      <c r="AB307" s="1188"/>
      <c r="AC307" s="1188"/>
      <c r="AD307" s="1188"/>
      <c r="AE307" s="1188"/>
      <c r="AF307" s="1188"/>
      <c r="AG307" s="1188"/>
      <c r="AH307" s="1188"/>
      <c r="AI307" s="1188"/>
      <c r="AJ307" s="1188"/>
      <c r="AK307" s="1188"/>
      <c r="AL307" s="1188"/>
      <c r="AM307" s="1188"/>
      <c r="AN307" s="1188"/>
      <c r="AO307" s="1188"/>
      <c r="AP307" s="1188"/>
      <c r="AQ307" s="1188"/>
      <c r="AR307" s="1188"/>
      <c r="AS307" s="1188"/>
      <c r="AT307" s="1188"/>
      <c r="AU307" s="1188"/>
      <c r="AV307" s="1188"/>
      <c r="AW307" s="1188"/>
      <c r="AX307" s="1188"/>
      <c r="AY307" s="1188"/>
      <c r="AZ307" s="1188"/>
      <c r="BA307" s="1188"/>
      <c r="BB307" s="1188"/>
      <c r="BC307" s="1188"/>
      <c r="BD307" s="1188"/>
      <c r="BE307" s="1188"/>
      <c r="BF307" s="1188"/>
      <c r="BG307" s="1188"/>
      <c r="BH307" s="1188"/>
      <c r="BI307" s="1188"/>
      <c r="BJ307" s="1188"/>
      <c r="BK307" s="1188"/>
      <c r="BL307" s="1188"/>
      <c r="BM307" s="1188"/>
      <c r="BN307" s="1188"/>
      <c r="BO307" s="1188"/>
      <c r="BP307" s="1188"/>
      <c r="BQ307" s="1188"/>
      <c r="BR307" s="1188"/>
      <c r="BS307" s="1188"/>
      <c r="BT307" s="1188"/>
      <c r="BU307" s="1152"/>
      <c r="BV307" s="1152"/>
      <c r="BW307" s="1152"/>
      <c r="BX307" s="1152"/>
      <c r="BY307" s="290"/>
      <c r="BZ307" s="290"/>
      <c r="CA307" s="165"/>
      <c r="CB307" s="165"/>
      <c r="CC307" s="165"/>
      <c r="CD307" s="165"/>
      <c r="CE307" s="165"/>
      <c r="CF307" s="165"/>
      <c r="CG307" s="165"/>
      <c r="CH307" s="165"/>
      <c r="CI307" s="165"/>
      <c r="CJ307" s="165"/>
      <c r="CK307" s="165"/>
      <c r="CL307" s="165"/>
      <c r="CM307" s="165"/>
      <c r="CN307" s="165"/>
      <c r="CO307" s="165"/>
      <c r="CP307" s="165"/>
      <c r="CQ307" s="165"/>
      <c r="CR307" s="165"/>
      <c r="CS307" s="165"/>
      <c r="CT307" s="165"/>
      <c r="CU307" s="290"/>
      <c r="CV307" s="290"/>
      <c r="CW307" s="290"/>
      <c r="CX307" s="290"/>
      <c r="CY307" s="290"/>
      <c r="CZ307" s="290"/>
    </row>
    <row r="308" spans="1:104" ht="14.1" customHeight="1" x14ac:dyDescent="0.25">
      <c r="A308" s="7595" t="s">
        <v>2840</v>
      </c>
      <c r="B308" s="7926">
        <f t="shared" si="43"/>
        <v>0</v>
      </c>
      <c r="C308" s="3330"/>
      <c r="D308" s="3330"/>
      <c r="E308" s="3330"/>
      <c r="F308" s="3330"/>
      <c r="G308" s="3330"/>
      <c r="H308" s="3330"/>
      <c r="I308" s="3330"/>
      <c r="J308" s="3330"/>
      <c r="K308" s="3330"/>
      <c r="L308" s="3330"/>
      <c r="M308" s="3330"/>
      <c r="N308" s="3330"/>
      <c r="O308" s="3330"/>
      <c r="P308" s="3330"/>
      <c r="Q308" s="3330"/>
      <c r="R308" s="3330"/>
      <c r="S308" s="3279"/>
      <c r="T308" s="1188"/>
      <c r="U308" s="1188"/>
      <c r="V308" s="1188"/>
      <c r="W308" s="1188"/>
      <c r="X308" s="1188"/>
      <c r="Y308" s="1188"/>
      <c r="Z308" s="1188"/>
      <c r="AA308" s="1188"/>
      <c r="AB308" s="1188"/>
      <c r="AC308" s="1188"/>
      <c r="AD308" s="1188"/>
      <c r="AE308" s="1188"/>
      <c r="AF308" s="1188"/>
      <c r="AG308" s="1188"/>
      <c r="AH308" s="1188"/>
      <c r="AI308" s="1188"/>
      <c r="AJ308" s="1188"/>
      <c r="AK308" s="1188"/>
      <c r="AL308" s="1188"/>
      <c r="AM308" s="1188"/>
      <c r="AN308" s="1188"/>
      <c r="AO308" s="1188"/>
      <c r="AP308" s="1188"/>
      <c r="AQ308" s="1188"/>
      <c r="AR308" s="1188"/>
      <c r="AS308" s="1188"/>
      <c r="AT308" s="1188"/>
      <c r="AU308" s="1188"/>
      <c r="AV308" s="1188"/>
      <c r="AW308" s="1188"/>
      <c r="AX308" s="1188"/>
      <c r="AY308" s="1188"/>
      <c r="AZ308" s="1188"/>
      <c r="BA308" s="1188"/>
      <c r="BB308" s="1188"/>
      <c r="BC308" s="1188"/>
      <c r="BD308" s="1188"/>
      <c r="BE308" s="1188"/>
      <c r="BF308" s="1188"/>
      <c r="BG308" s="1188"/>
      <c r="BH308" s="1188"/>
      <c r="BI308" s="1188"/>
      <c r="BJ308" s="1188"/>
      <c r="BK308" s="1188"/>
      <c r="BL308" s="1188"/>
      <c r="BM308" s="1188"/>
      <c r="BN308" s="1188"/>
      <c r="BO308" s="1188"/>
      <c r="BP308" s="1188"/>
      <c r="BQ308" s="1188"/>
      <c r="BR308" s="1188"/>
      <c r="BS308" s="1188"/>
      <c r="BT308" s="1188"/>
      <c r="BU308" s="1152"/>
      <c r="BV308" s="1152"/>
      <c r="BW308" s="1152"/>
      <c r="BX308" s="1152"/>
      <c r="BY308" s="290"/>
      <c r="BZ308" s="290"/>
      <c r="CA308" s="165"/>
      <c r="CB308" s="165"/>
      <c r="CC308" s="165"/>
      <c r="CD308" s="165"/>
      <c r="CE308" s="165"/>
      <c r="CF308" s="165"/>
      <c r="CG308" s="165"/>
      <c r="CH308" s="165"/>
      <c r="CI308" s="165"/>
      <c r="CJ308" s="165"/>
      <c r="CK308" s="165"/>
      <c r="CL308" s="165"/>
      <c r="CM308" s="165"/>
      <c r="CN308" s="165"/>
      <c r="CO308" s="165"/>
      <c r="CP308" s="165"/>
      <c r="CQ308" s="165"/>
      <c r="CR308" s="165"/>
      <c r="CS308" s="165"/>
      <c r="CT308" s="165"/>
      <c r="CU308" s="290"/>
      <c r="CV308" s="290"/>
      <c r="CW308" s="290"/>
      <c r="CX308" s="290"/>
      <c r="CY308" s="290"/>
      <c r="CZ308" s="290"/>
    </row>
    <row r="309" spans="1:104" ht="14.1" customHeight="1" x14ac:dyDescent="0.25">
      <c r="A309" s="7927" t="s">
        <v>413</v>
      </c>
      <c r="B309" s="7928">
        <f>SUM(C309:S309)</f>
        <v>0</v>
      </c>
      <c r="C309" s="3064"/>
      <c r="D309" s="3064"/>
      <c r="E309" s="3064"/>
      <c r="F309" s="3064"/>
      <c r="G309" s="3064"/>
      <c r="H309" s="3064"/>
      <c r="I309" s="3064"/>
      <c r="J309" s="3064"/>
      <c r="K309" s="3064"/>
      <c r="L309" s="3064"/>
      <c r="M309" s="3064"/>
      <c r="N309" s="3064"/>
      <c r="O309" s="3064"/>
      <c r="P309" s="3064"/>
      <c r="Q309" s="3064"/>
      <c r="R309" s="3064"/>
      <c r="S309" s="3249"/>
      <c r="T309" s="1188"/>
      <c r="U309" s="1188"/>
      <c r="V309" s="1188"/>
      <c r="W309" s="1188"/>
      <c r="X309" s="1188"/>
      <c r="Y309" s="1188"/>
      <c r="Z309" s="1188"/>
      <c r="AA309" s="1188"/>
      <c r="AB309" s="1188"/>
      <c r="AC309" s="1188"/>
      <c r="AD309" s="1188"/>
      <c r="AE309" s="1188"/>
      <c r="AF309" s="1188"/>
      <c r="AG309" s="1188"/>
      <c r="AH309" s="1188"/>
      <c r="AI309" s="1188"/>
      <c r="AJ309" s="1188"/>
      <c r="AK309" s="1188"/>
      <c r="AL309" s="1188"/>
      <c r="AM309" s="1188"/>
      <c r="AN309" s="1188"/>
      <c r="AO309" s="1188"/>
      <c r="AP309" s="1188"/>
      <c r="AQ309" s="1188"/>
      <c r="AR309" s="1188"/>
      <c r="AS309" s="1188"/>
      <c r="AT309" s="1188"/>
      <c r="AU309" s="1188"/>
      <c r="AV309" s="1188"/>
      <c r="AW309" s="1188"/>
      <c r="AX309" s="1188"/>
      <c r="AY309" s="1188"/>
      <c r="AZ309" s="1188"/>
      <c r="BA309" s="1188"/>
      <c r="BB309" s="1188"/>
      <c r="BC309" s="1188"/>
      <c r="BD309" s="1188"/>
      <c r="BE309" s="1188"/>
      <c r="BF309" s="1188"/>
      <c r="BG309" s="1188"/>
      <c r="BH309" s="1188"/>
      <c r="BI309" s="1188"/>
      <c r="BJ309" s="1188"/>
      <c r="BK309" s="1188"/>
      <c r="BL309" s="1188"/>
      <c r="BM309" s="1188"/>
      <c r="BN309" s="1188"/>
      <c r="BO309" s="1188"/>
      <c r="BP309" s="1188"/>
      <c r="BQ309" s="1188"/>
      <c r="BR309" s="1188"/>
      <c r="BS309" s="1188"/>
      <c r="BT309" s="1188"/>
      <c r="BU309" s="1152"/>
      <c r="BV309" s="1152"/>
      <c r="BW309" s="1152"/>
      <c r="BX309" s="1152"/>
      <c r="BY309" s="290"/>
      <c r="BZ309" s="290"/>
      <c r="CA309" s="165"/>
      <c r="CB309" s="165"/>
      <c r="CC309" s="165"/>
      <c r="CD309" s="165"/>
      <c r="CE309" s="165"/>
      <c r="CF309" s="165"/>
      <c r="CG309" s="165"/>
      <c r="CH309" s="165"/>
      <c r="CI309" s="165"/>
      <c r="CJ309" s="165"/>
      <c r="CK309" s="165"/>
      <c r="CL309" s="165"/>
      <c r="CM309" s="165"/>
      <c r="CN309" s="165"/>
      <c r="CO309" s="165"/>
      <c r="CP309" s="165"/>
      <c r="CQ309" s="165"/>
      <c r="CR309" s="165"/>
      <c r="CS309" s="165"/>
      <c r="CT309" s="165"/>
      <c r="CU309" s="290"/>
      <c r="CV309" s="290"/>
      <c r="CW309" s="290"/>
      <c r="CX309" s="290"/>
      <c r="CY309" s="290"/>
      <c r="CZ309" s="290"/>
    </row>
    <row r="310" spans="1:104" ht="18.75" customHeight="1" x14ac:dyDescent="0.25">
      <c r="A310" s="1188"/>
      <c r="B310" s="1188"/>
      <c r="C310" s="1188"/>
      <c r="D310" s="1188"/>
      <c r="E310" s="1188"/>
      <c r="F310" s="1188"/>
      <c r="G310" s="1188"/>
      <c r="H310" s="1188"/>
      <c r="I310" s="1188"/>
      <c r="J310" s="1188"/>
      <c r="K310" s="1188"/>
      <c r="L310" s="1188"/>
      <c r="M310" s="1188"/>
      <c r="N310" s="1188"/>
      <c r="O310" s="1188"/>
      <c r="P310" s="1188"/>
      <c r="Q310" s="1188"/>
      <c r="R310" s="1188"/>
      <c r="S310" s="1188"/>
      <c r="T310" s="1188"/>
      <c r="U310" s="1188"/>
      <c r="V310" s="1188"/>
      <c r="W310" s="1188"/>
      <c r="X310" s="1188"/>
      <c r="Y310" s="1188"/>
      <c r="Z310" s="1188"/>
      <c r="AA310" s="1188"/>
      <c r="AB310" s="1188"/>
      <c r="AC310" s="1188"/>
      <c r="AD310" s="1188"/>
      <c r="AE310" s="1188"/>
      <c r="AF310" s="1188"/>
      <c r="AG310" s="1188"/>
      <c r="AH310" s="1188"/>
      <c r="AI310" s="1188"/>
      <c r="AJ310" s="1188"/>
      <c r="AK310" s="1188"/>
      <c r="AL310" s="1188"/>
      <c r="AM310" s="1188"/>
      <c r="AN310" s="1188"/>
      <c r="AO310" s="1188"/>
      <c r="AP310" s="1188"/>
      <c r="AQ310" s="1188"/>
      <c r="AR310" s="1188"/>
      <c r="AS310" s="1188"/>
      <c r="AT310" s="1188"/>
      <c r="AU310" s="1188"/>
      <c r="AV310" s="1188"/>
      <c r="AW310" s="1188"/>
      <c r="AX310" s="1188"/>
      <c r="AY310" s="1188"/>
      <c r="AZ310" s="1188"/>
      <c r="BA310" s="1188"/>
      <c r="BB310" s="1188"/>
      <c r="BC310" s="1188"/>
      <c r="BD310" s="1188"/>
      <c r="BE310" s="1188"/>
      <c r="BF310" s="1188"/>
      <c r="BG310" s="1188"/>
      <c r="BH310" s="1188"/>
      <c r="BI310" s="1188"/>
      <c r="BJ310" s="1188"/>
      <c r="BK310" s="1188"/>
      <c r="BL310" s="1188"/>
      <c r="BM310" s="1188"/>
      <c r="BN310" s="1188"/>
      <c r="BO310" s="1188"/>
      <c r="BP310" s="1188"/>
      <c r="BQ310" s="1188"/>
      <c r="BR310" s="1188"/>
      <c r="BS310" s="1188"/>
      <c r="BT310" s="1188"/>
      <c r="BU310" s="1152"/>
      <c r="BV310" s="1152"/>
      <c r="BW310" s="1152"/>
      <c r="BX310" s="1152"/>
      <c r="BY310" s="1152"/>
      <c r="BZ310" s="1152"/>
      <c r="CA310" s="165"/>
      <c r="CB310" s="165"/>
      <c r="CC310" s="165"/>
      <c r="CD310" s="165"/>
      <c r="CE310" s="165"/>
      <c r="CF310" s="165"/>
      <c r="CG310" s="165"/>
      <c r="CH310" s="165"/>
      <c r="CI310" s="165"/>
      <c r="CJ310" s="165"/>
      <c r="CK310" s="165"/>
      <c r="CL310" s="165"/>
      <c r="CM310" s="165"/>
      <c r="CN310" s="165"/>
      <c r="CO310" s="165"/>
      <c r="CP310" s="165"/>
      <c r="CQ310" s="165"/>
      <c r="CR310" s="165"/>
      <c r="CS310" s="165"/>
      <c r="CT310" s="165"/>
      <c r="CU310" s="1152"/>
      <c r="CV310" s="1152"/>
      <c r="CW310" s="1152"/>
      <c r="CX310" s="1152"/>
      <c r="CY310" s="1152"/>
      <c r="CZ310" s="1152"/>
    </row>
    <row r="311" spans="1:104" x14ac:dyDescent="0.2">
      <c r="CA311" s="165"/>
      <c r="CB311" s="165"/>
      <c r="CC311" s="165"/>
      <c r="CD311" s="165"/>
      <c r="CE311" s="165"/>
      <c r="CF311" s="165"/>
      <c r="CG311" s="165"/>
      <c r="CH311" s="165"/>
      <c r="CI311" s="165"/>
      <c r="CJ311" s="165"/>
      <c r="CK311" s="165"/>
      <c r="CL311" s="165"/>
      <c r="CM311" s="165"/>
      <c r="CN311" s="165"/>
      <c r="CO311" s="165"/>
      <c r="CP311" s="165"/>
      <c r="CQ311" s="165"/>
      <c r="CR311" s="165"/>
      <c r="CS311" s="165"/>
      <c r="CT311" s="165"/>
    </row>
    <row r="312" spans="1:104" x14ac:dyDescent="0.2">
      <c r="CA312" s="165"/>
      <c r="CB312" s="165"/>
      <c r="CC312" s="165"/>
      <c r="CD312" s="165"/>
      <c r="CE312" s="165"/>
      <c r="CF312" s="165"/>
      <c r="CG312" s="165"/>
      <c r="CH312" s="165"/>
      <c r="CI312" s="165"/>
      <c r="CJ312" s="165"/>
      <c r="CK312" s="165"/>
      <c r="CL312" s="165"/>
      <c r="CM312" s="165"/>
      <c r="CN312" s="165"/>
      <c r="CO312" s="165"/>
      <c r="CP312" s="165"/>
      <c r="CQ312" s="165"/>
      <c r="CR312" s="165"/>
      <c r="CS312" s="165"/>
      <c r="CT312" s="165"/>
    </row>
    <row r="313" spans="1:104" x14ac:dyDescent="0.2">
      <c r="CA313" s="165"/>
      <c r="CB313" s="165"/>
      <c r="CC313" s="165"/>
      <c r="CD313" s="165"/>
      <c r="CE313" s="165"/>
      <c r="CF313" s="165"/>
      <c r="CG313" s="165"/>
      <c r="CH313" s="165"/>
      <c r="CI313" s="165"/>
      <c r="CJ313" s="165"/>
      <c r="CK313" s="165"/>
      <c r="CL313" s="165"/>
      <c r="CM313" s="165"/>
      <c r="CN313" s="165"/>
      <c r="CO313" s="165"/>
      <c r="CP313" s="165"/>
      <c r="CQ313" s="165"/>
      <c r="CR313" s="165"/>
      <c r="CS313" s="165"/>
      <c r="CT313" s="165"/>
    </row>
    <row r="314" spans="1:104" x14ac:dyDescent="0.2">
      <c r="CA314" s="165"/>
      <c r="CB314" s="165"/>
      <c r="CC314" s="165"/>
      <c r="CD314" s="165"/>
      <c r="CE314" s="165"/>
      <c r="CF314" s="165"/>
      <c r="CG314" s="165"/>
      <c r="CH314" s="165"/>
      <c r="CI314" s="165"/>
      <c r="CJ314" s="165"/>
      <c r="CK314" s="165"/>
      <c r="CL314" s="165"/>
      <c r="CM314" s="165"/>
      <c r="CN314" s="165"/>
      <c r="CO314" s="165"/>
      <c r="CP314" s="165"/>
      <c r="CQ314" s="165"/>
      <c r="CR314" s="165"/>
      <c r="CS314" s="165"/>
      <c r="CT314" s="165"/>
    </row>
    <row r="315" spans="1:104" x14ac:dyDescent="0.2">
      <c r="CA315" s="165"/>
      <c r="CB315" s="165"/>
      <c r="CC315" s="165"/>
      <c r="CD315" s="165"/>
      <c r="CE315" s="165"/>
      <c r="CF315" s="165"/>
      <c r="CG315" s="165"/>
      <c r="CH315" s="165"/>
      <c r="CI315" s="165"/>
      <c r="CJ315" s="165"/>
      <c r="CK315" s="165"/>
      <c r="CL315" s="165"/>
      <c r="CM315" s="165"/>
      <c r="CN315" s="165"/>
      <c r="CO315" s="165"/>
      <c r="CP315" s="165"/>
      <c r="CQ315" s="165"/>
      <c r="CR315" s="165"/>
      <c r="CS315" s="165"/>
      <c r="CT315" s="165"/>
    </row>
    <row r="316" spans="1:104" x14ac:dyDescent="0.2">
      <c r="CA316" s="165"/>
      <c r="CB316" s="165"/>
      <c r="CC316" s="165"/>
      <c r="CD316" s="165"/>
      <c r="CE316" s="165"/>
      <c r="CF316" s="165"/>
      <c r="CG316" s="165"/>
      <c r="CH316" s="165"/>
      <c r="CI316" s="165"/>
      <c r="CJ316" s="165"/>
      <c r="CK316" s="165"/>
      <c r="CL316" s="165"/>
      <c r="CM316" s="165"/>
      <c r="CN316" s="165"/>
      <c r="CO316" s="165"/>
      <c r="CP316" s="165"/>
      <c r="CQ316" s="165"/>
      <c r="CR316" s="165"/>
      <c r="CS316" s="165"/>
      <c r="CT316" s="165"/>
    </row>
    <row r="317" spans="1:104" x14ac:dyDescent="0.2">
      <c r="CA317" s="165"/>
      <c r="CB317" s="165"/>
      <c r="CC317" s="165"/>
      <c r="CD317" s="165"/>
      <c r="CE317" s="165"/>
      <c r="CF317" s="165"/>
      <c r="CG317" s="165"/>
      <c r="CH317" s="165"/>
      <c r="CI317" s="165"/>
      <c r="CJ317" s="165"/>
      <c r="CK317" s="165"/>
      <c r="CL317" s="165"/>
      <c r="CM317" s="165"/>
      <c r="CN317" s="165"/>
      <c r="CO317" s="165"/>
      <c r="CP317" s="165"/>
      <c r="CQ317" s="165"/>
      <c r="CR317" s="165"/>
      <c r="CS317" s="165"/>
      <c r="CT317" s="165"/>
    </row>
    <row r="318" spans="1:104" x14ac:dyDescent="0.2">
      <c r="CA318" s="165"/>
      <c r="CB318" s="165"/>
      <c r="CC318" s="165"/>
      <c r="CD318" s="165"/>
      <c r="CE318" s="165"/>
      <c r="CF318" s="165"/>
      <c r="CG318" s="165"/>
      <c r="CH318" s="165"/>
      <c r="CI318" s="165"/>
      <c r="CJ318" s="165"/>
      <c r="CK318" s="165"/>
      <c r="CL318" s="165"/>
      <c r="CM318" s="165"/>
      <c r="CN318" s="165"/>
      <c r="CO318" s="165"/>
      <c r="CP318" s="165"/>
      <c r="CQ318" s="165"/>
      <c r="CR318" s="165"/>
      <c r="CS318" s="165"/>
      <c r="CT318" s="165"/>
    </row>
    <row r="319" spans="1:104" x14ac:dyDescent="0.2">
      <c r="CA319" s="165"/>
      <c r="CB319" s="165"/>
      <c r="CC319" s="165"/>
      <c r="CD319" s="165"/>
      <c r="CE319" s="165"/>
      <c r="CF319" s="165"/>
      <c r="CG319" s="165"/>
      <c r="CH319" s="165"/>
      <c r="CI319" s="165"/>
      <c r="CJ319" s="165"/>
      <c r="CK319" s="165"/>
      <c r="CL319" s="165"/>
      <c r="CM319" s="165"/>
      <c r="CN319" s="165"/>
      <c r="CO319" s="165"/>
      <c r="CP319" s="165"/>
      <c r="CQ319" s="165"/>
      <c r="CR319" s="165"/>
      <c r="CS319" s="165"/>
      <c r="CT319" s="165"/>
    </row>
    <row r="320" spans="1:104" x14ac:dyDescent="0.2">
      <c r="CA320" s="165"/>
      <c r="CB320" s="165"/>
      <c r="CC320" s="165"/>
      <c r="CD320" s="165"/>
      <c r="CE320" s="165"/>
      <c r="CF320" s="165"/>
      <c r="CG320" s="165"/>
      <c r="CH320" s="165"/>
      <c r="CI320" s="165"/>
      <c r="CJ320" s="165"/>
      <c r="CK320" s="165"/>
      <c r="CL320" s="165"/>
      <c r="CM320" s="165"/>
      <c r="CN320" s="165"/>
      <c r="CO320" s="165"/>
      <c r="CP320" s="165"/>
      <c r="CQ320" s="165"/>
      <c r="CR320" s="165"/>
      <c r="CS320" s="165"/>
      <c r="CT320" s="165"/>
    </row>
    <row r="321" spans="79:98" x14ac:dyDescent="0.2">
      <c r="CA321" s="165"/>
      <c r="CB321" s="165"/>
      <c r="CC321" s="165"/>
      <c r="CD321" s="165"/>
      <c r="CE321" s="165"/>
      <c r="CF321" s="165"/>
      <c r="CG321" s="165"/>
      <c r="CH321" s="165"/>
      <c r="CI321" s="165"/>
      <c r="CJ321" s="165"/>
      <c r="CK321" s="165"/>
      <c r="CL321" s="165"/>
      <c r="CM321" s="165"/>
      <c r="CN321" s="165"/>
      <c r="CO321" s="165"/>
      <c r="CP321" s="165"/>
      <c r="CQ321" s="165"/>
      <c r="CR321" s="165"/>
      <c r="CS321" s="165"/>
      <c r="CT321" s="165"/>
    </row>
    <row r="322" spans="79:98" x14ac:dyDescent="0.2">
      <c r="CA322" s="165"/>
      <c r="CB322" s="165"/>
      <c r="CC322" s="165"/>
      <c r="CD322" s="165"/>
      <c r="CE322" s="165"/>
      <c r="CF322" s="165"/>
      <c r="CG322" s="165"/>
      <c r="CH322" s="165"/>
      <c r="CI322" s="165"/>
      <c r="CJ322" s="165"/>
      <c r="CK322" s="165"/>
      <c r="CL322" s="165"/>
      <c r="CM322" s="165"/>
      <c r="CN322" s="165"/>
      <c r="CO322" s="165"/>
      <c r="CP322" s="165"/>
      <c r="CQ322" s="165"/>
      <c r="CR322" s="165"/>
      <c r="CS322" s="165"/>
      <c r="CT322" s="165"/>
    </row>
    <row r="323" spans="79:98" x14ac:dyDescent="0.2">
      <c r="CA323" s="165"/>
      <c r="CB323" s="165"/>
      <c r="CC323" s="165"/>
      <c r="CD323" s="165"/>
      <c r="CE323" s="165"/>
      <c r="CF323" s="165"/>
      <c r="CG323" s="165"/>
      <c r="CH323" s="165"/>
      <c r="CI323" s="165"/>
      <c r="CJ323" s="165"/>
      <c r="CK323" s="165"/>
      <c r="CL323" s="165"/>
      <c r="CM323" s="165"/>
      <c r="CN323" s="165"/>
      <c r="CO323" s="165"/>
      <c r="CP323" s="165"/>
      <c r="CQ323" s="165"/>
      <c r="CR323" s="165"/>
      <c r="CS323" s="165"/>
      <c r="CT323" s="165"/>
    </row>
    <row r="324" spans="79:98" x14ac:dyDescent="0.2">
      <c r="CG324" s="1454"/>
    </row>
    <row r="329" spans="79:98" x14ac:dyDescent="0.2">
      <c r="CA329" s="1457" t="str">
        <f t="shared" ref="CA329:CA340" si="44">IF(CG329=1,"*El Total de Beneficiarios no puede superar el Total por Sexo. ","")</f>
        <v/>
      </c>
      <c r="CG329" s="1458">
        <f>IF(AR329&gt;C329,1,0)</f>
        <v>0</v>
      </c>
      <c r="CH329" s="1454"/>
      <c r="CI329" s="1454"/>
      <c r="CJ329" s="1454"/>
      <c r="CK329" s="1454"/>
      <c r="CL329" s="1454"/>
    </row>
    <row r="330" spans="79:98" x14ac:dyDescent="0.2">
      <c r="CA330" s="1457" t="str">
        <f t="shared" si="44"/>
        <v/>
      </c>
      <c r="CG330" s="1458">
        <f t="shared" ref="CG330:CG340" si="45">IF(AR330&gt;C330,1,0)</f>
        <v>0</v>
      </c>
      <c r="CH330" s="1454"/>
      <c r="CI330" s="1454"/>
      <c r="CJ330" s="1454"/>
      <c r="CK330" s="1454"/>
      <c r="CL330" s="1454"/>
    </row>
    <row r="331" spans="79:98" x14ac:dyDescent="0.2">
      <c r="CA331" s="1457" t="str">
        <f t="shared" si="44"/>
        <v/>
      </c>
      <c r="CG331" s="1458">
        <f t="shared" si="45"/>
        <v>0</v>
      </c>
      <c r="CH331" s="1454"/>
      <c r="CI331" s="1454"/>
      <c r="CJ331" s="1454"/>
      <c r="CK331" s="1454"/>
      <c r="CL331" s="1454"/>
    </row>
    <row r="332" spans="79:98" x14ac:dyDescent="0.2">
      <c r="CA332" s="1457" t="str">
        <f t="shared" si="44"/>
        <v/>
      </c>
      <c r="CG332" s="1458">
        <f t="shared" si="45"/>
        <v>0</v>
      </c>
      <c r="CH332" s="1454"/>
      <c r="CI332" s="1454"/>
      <c r="CJ332" s="1454"/>
      <c r="CK332" s="1454"/>
      <c r="CL332" s="1454"/>
    </row>
    <row r="333" spans="79:98" x14ac:dyDescent="0.2">
      <c r="CA333" s="1457" t="str">
        <f t="shared" si="44"/>
        <v/>
      </c>
      <c r="CG333" s="1458">
        <f t="shared" si="45"/>
        <v>0</v>
      </c>
      <c r="CH333" s="1454"/>
      <c r="CI333" s="1454"/>
      <c r="CJ333" s="1454"/>
      <c r="CK333" s="1454"/>
      <c r="CL333" s="1454"/>
    </row>
    <row r="334" spans="79:98" x14ac:dyDescent="0.2">
      <c r="CA334" s="1457" t="str">
        <f t="shared" si="44"/>
        <v/>
      </c>
      <c r="CG334" s="1458">
        <f t="shared" si="45"/>
        <v>0</v>
      </c>
      <c r="CH334" s="1454"/>
      <c r="CI334" s="1454"/>
      <c r="CJ334" s="1454"/>
      <c r="CK334" s="1454"/>
      <c r="CL334" s="1454"/>
    </row>
    <row r="335" spans="79:98" x14ac:dyDescent="0.2">
      <c r="CA335" s="1457" t="str">
        <f t="shared" si="44"/>
        <v/>
      </c>
      <c r="CG335" s="1458">
        <f t="shared" si="45"/>
        <v>0</v>
      </c>
      <c r="CH335" s="1454"/>
      <c r="CI335" s="1454"/>
      <c r="CJ335" s="1454"/>
      <c r="CK335" s="1454"/>
      <c r="CL335" s="1454"/>
    </row>
    <row r="336" spans="79:98" x14ac:dyDescent="0.2">
      <c r="CA336" s="1457" t="str">
        <f t="shared" si="44"/>
        <v/>
      </c>
      <c r="CG336" s="1458">
        <f t="shared" si="45"/>
        <v>0</v>
      </c>
      <c r="CH336" s="1454"/>
      <c r="CI336" s="1454"/>
      <c r="CJ336" s="1454"/>
      <c r="CK336" s="1454"/>
      <c r="CL336" s="1454"/>
    </row>
    <row r="337" spans="1:130" x14ac:dyDescent="0.2">
      <c r="CA337" s="1457" t="str">
        <f t="shared" si="44"/>
        <v/>
      </c>
      <c r="CG337" s="1458">
        <f t="shared" si="45"/>
        <v>0</v>
      </c>
      <c r="CH337" s="1454"/>
      <c r="CI337" s="1454"/>
      <c r="CJ337" s="1454"/>
      <c r="CK337" s="1454"/>
      <c r="CL337" s="1454"/>
    </row>
    <row r="338" spans="1:130" x14ac:dyDescent="0.2">
      <c r="CA338" s="1457" t="str">
        <f t="shared" si="44"/>
        <v/>
      </c>
      <c r="CG338" s="1458">
        <f t="shared" si="45"/>
        <v>0</v>
      </c>
      <c r="CH338" s="1454"/>
      <c r="CI338" s="1454"/>
      <c r="CJ338" s="1454"/>
      <c r="CK338" s="1454"/>
      <c r="CL338" s="1454"/>
    </row>
    <row r="339" spans="1:130" x14ac:dyDescent="0.2">
      <c r="CA339" s="1457" t="str">
        <f t="shared" si="44"/>
        <v/>
      </c>
      <c r="CG339" s="1458">
        <f t="shared" si="45"/>
        <v>0</v>
      </c>
      <c r="CH339" s="1454"/>
      <c r="CI339" s="1454"/>
      <c r="CJ339" s="1454"/>
      <c r="CK339" s="1454"/>
      <c r="CL339" s="1454"/>
    </row>
    <row r="340" spans="1:130" x14ac:dyDescent="0.2">
      <c r="CA340" s="1457" t="str">
        <f t="shared" si="44"/>
        <v/>
      </c>
      <c r="CG340" s="1458">
        <f t="shared" si="45"/>
        <v>0</v>
      </c>
      <c r="CH340" s="1454"/>
      <c r="CI340" s="1454"/>
      <c r="CJ340" s="1454"/>
      <c r="CK340" s="1454"/>
      <c r="CL340" s="1454"/>
    </row>
    <row r="341" spans="1:130" x14ac:dyDescent="0.2">
      <c r="CG341" s="1454"/>
      <c r="CH341" s="1454"/>
      <c r="CI341" s="1454"/>
      <c r="CJ341" s="1454"/>
      <c r="CK341" s="1454"/>
      <c r="CL341" s="1454"/>
    </row>
    <row r="342" spans="1:130" x14ac:dyDescent="0.2">
      <c r="CG342" s="1454"/>
      <c r="CH342" s="1454"/>
      <c r="CI342" s="1454"/>
      <c r="CJ342" s="1454"/>
      <c r="CK342" s="1454"/>
      <c r="CL342" s="1454"/>
    </row>
    <row r="343" spans="1:130" x14ac:dyDescent="0.2">
      <c r="CG343" s="1454"/>
      <c r="CH343" s="1454"/>
      <c r="CI343" s="1454"/>
      <c r="CJ343" s="1454"/>
      <c r="CK343" s="1454"/>
      <c r="CL343" s="1454"/>
    </row>
    <row r="344" spans="1:130" x14ac:dyDescent="0.2">
      <c r="CG344" s="1454"/>
      <c r="CH344" s="1454"/>
      <c r="CI344" s="1454"/>
      <c r="CJ344" s="1454"/>
      <c r="CK344" s="1454"/>
      <c r="CL344" s="1454"/>
    </row>
    <row r="345" spans="1:130" x14ac:dyDescent="0.2">
      <c r="CA345" s="1457" t="str">
        <f t="shared" ref="CA345:CA356" si="46">IF(CG345=1,"*El Total de Beneficiarios no puede superar el Total por Sexo. ","")</f>
        <v/>
      </c>
      <c r="CG345" s="1458">
        <f t="shared" ref="CG345:CG356" si="47">IF(AR345&gt;C345,1,0)</f>
        <v>0</v>
      </c>
      <c r="CH345" s="1454"/>
      <c r="CI345" s="1454"/>
      <c r="CJ345" s="1454"/>
      <c r="CK345" s="1454"/>
      <c r="CL345" s="1454"/>
    </row>
    <row r="346" spans="1:130" s="7929" customFormat="1" ht="15" hidden="1" x14ac:dyDescent="0.25">
      <c r="A346" s="7929">
        <f>SUM(B13:B24,C29:C50,B60,B68,B76,B96:E96,B104:E104,B112:E112,B116:B117,B121:B123,C127:L142,B148:B176,B177,B194,B205,B214,B217:B220,B248,B253:B255,B259:B285,B289:B309)</f>
        <v>0</v>
      </c>
      <c r="B346" s="7929">
        <f>SUM(CG6:CZ309)</f>
        <v>0</v>
      </c>
      <c r="BU346" s="7930"/>
      <c r="BV346" s="7930"/>
      <c r="BW346" s="7930"/>
      <c r="BX346" s="7930"/>
      <c r="BY346" s="7931"/>
      <c r="BZ346" s="7931"/>
      <c r="CA346" s="1457" t="str">
        <f t="shared" si="46"/>
        <v/>
      </c>
      <c r="CB346" s="1451"/>
      <c r="CC346" s="1451"/>
      <c r="CD346" s="1451"/>
      <c r="CE346" s="1451"/>
      <c r="CF346" s="1451"/>
      <c r="CG346" s="1458">
        <f t="shared" si="47"/>
        <v>0</v>
      </c>
      <c r="CH346" s="1454"/>
      <c r="CI346" s="1454"/>
      <c r="CJ346" s="1454"/>
      <c r="CK346" s="1454"/>
      <c r="CL346" s="1454"/>
      <c r="CM346" s="1451"/>
      <c r="CN346" s="1451"/>
      <c r="CO346" s="1451"/>
      <c r="CP346" s="1451"/>
      <c r="CQ346" s="1451"/>
      <c r="CR346" s="1451"/>
      <c r="CS346" s="1451"/>
      <c r="CT346" s="1451"/>
      <c r="CU346" s="7931"/>
      <c r="CV346" s="7931"/>
      <c r="CW346" s="7931"/>
      <c r="CX346" s="7931"/>
      <c r="CY346" s="7931"/>
      <c r="CZ346" s="7931"/>
      <c r="DA346" s="7930"/>
      <c r="DB346" s="7930"/>
      <c r="DC346" s="7930"/>
      <c r="DD346" s="7930"/>
      <c r="DE346" s="7930"/>
      <c r="DF346" s="7930"/>
      <c r="DG346" s="7930"/>
      <c r="DH346" s="7930"/>
      <c r="DI346" s="7930"/>
      <c r="DJ346" s="7930"/>
      <c r="DK346" s="7930"/>
      <c r="DL346" s="7930"/>
      <c r="DM346" s="7930"/>
      <c r="DN346" s="7930"/>
      <c r="DO346" s="7930"/>
      <c r="DP346" s="7930"/>
      <c r="DQ346" s="7930"/>
      <c r="DR346" s="7930"/>
      <c r="DS346" s="7930"/>
      <c r="DT346" s="7930"/>
      <c r="DU346" s="7930"/>
      <c r="DV346" s="7930"/>
      <c r="DW346" s="7930"/>
      <c r="DX346" s="7930"/>
      <c r="DY346" s="7930"/>
      <c r="DZ346" s="7930"/>
    </row>
    <row r="347" spans="1:130" x14ac:dyDescent="0.2">
      <c r="CA347" s="1457" t="str">
        <f t="shared" si="46"/>
        <v/>
      </c>
      <c r="CG347" s="1458">
        <f t="shared" si="47"/>
        <v>0</v>
      </c>
      <c r="CH347" s="1454"/>
      <c r="CI347" s="1454"/>
      <c r="CJ347" s="1454"/>
      <c r="CK347" s="1454"/>
      <c r="CL347" s="1454"/>
    </row>
    <row r="348" spans="1:130" x14ac:dyDescent="0.2">
      <c r="CA348" s="1457" t="str">
        <f t="shared" si="46"/>
        <v/>
      </c>
      <c r="CG348" s="1458">
        <f t="shared" si="47"/>
        <v>0</v>
      </c>
      <c r="CH348" s="1454"/>
      <c r="CI348" s="1454"/>
      <c r="CJ348" s="1454"/>
      <c r="CK348" s="1454"/>
      <c r="CL348" s="1454"/>
    </row>
    <row r="349" spans="1:130" x14ac:dyDescent="0.2">
      <c r="CA349" s="1457" t="str">
        <f t="shared" si="46"/>
        <v/>
      </c>
      <c r="CG349" s="1458">
        <f t="shared" si="47"/>
        <v>0</v>
      </c>
      <c r="CH349" s="1454"/>
      <c r="CI349" s="1454"/>
      <c r="CJ349" s="1454"/>
      <c r="CK349" s="1454"/>
      <c r="CL349" s="1454"/>
    </row>
    <row r="350" spans="1:130" x14ac:dyDescent="0.2">
      <c r="CA350" s="1457" t="str">
        <f t="shared" si="46"/>
        <v/>
      </c>
      <c r="CG350" s="1458">
        <f t="shared" si="47"/>
        <v>0</v>
      </c>
      <c r="CH350" s="1454"/>
      <c r="CI350" s="1454"/>
      <c r="CJ350" s="1454"/>
      <c r="CK350" s="1454"/>
      <c r="CL350" s="1454"/>
    </row>
    <row r="351" spans="1:130" x14ac:dyDescent="0.2">
      <c r="CA351" s="1457" t="str">
        <f t="shared" si="46"/>
        <v/>
      </c>
      <c r="CG351" s="1458">
        <f t="shared" si="47"/>
        <v>0</v>
      </c>
      <c r="CH351" s="1454"/>
      <c r="CI351" s="1454"/>
      <c r="CJ351" s="1454"/>
      <c r="CK351" s="1454"/>
      <c r="CL351" s="1454"/>
    </row>
    <row r="352" spans="1:130" x14ac:dyDescent="0.2">
      <c r="CA352" s="1457" t="str">
        <f t="shared" si="46"/>
        <v/>
      </c>
      <c r="CG352" s="1458">
        <f t="shared" si="47"/>
        <v>0</v>
      </c>
      <c r="CH352" s="1454"/>
      <c r="CI352" s="1454"/>
      <c r="CJ352" s="1454"/>
      <c r="CK352" s="1454"/>
      <c r="CL352" s="1454"/>
    </row>
    <row r="353" spans="79:90" x14ac:dyDescent="0.2">
      <c r="CA353" s="1457" t="str">
        <f t="shared" si="46"/>
        <v/>
      </c>
      <c r="CG353" s="1458">
        <f t="shared" si="47"/>
        <v>0</v>
      </c>
      <c r="CH353" s="1454"/>
      <c r="CI353" s="1454"/>
      <c r="CJ353" s="1454"/>
      <c r="CK353" s="1454"/>
      <c r="CL353" s="1454"/>
    </row>
    <row r="354" spans="79:90" x14ac:dyDescent="0.2">
      <c r="CA354" s="1457" t="str">
        <f t="shared" si="46"/>
        <v/>
      </c>
      <c r="CG354" s="1458">
        <f t="shared" si="47"/>
        <v>0</v>
      </c>
      <c r="CH354" s="1454"/>
      <c r="CI354" s="1454"/>
      <c r="CJ354" s="1454"/>
      <c r="CK354" s="1454"/>
      <c r="CL354" s="1454"/>
    </row>
    <row r="355" spans="79:90" x14ac:dyDescent="0.2">
      <c r="CA355" s="1457" t="str">
        <f t="shared" si="46"/>
        <v/>
      </c>
      <c r="CG355" s="1458">
        <f t="shared" si="47"/>
        <v>0</v>
      </c>
      <c r="CH355" s="1454"/>
      <c r="CI355" s="1454"/>
      <c r="CJ355" s="1454"/>
      <c r="CK355" s="1454"/>
      <c r="CL355" s="1454"/>
    </row>
    <row r="356" spans="79:90" x14ac:dyDescent="0.2">
      <c r="CA356" s="1457" t="str">
        <f t="shared" si="46"/>
        <v/>
      </c>
      <c r="CG356" s="1458">
        <f t="shared" si="47"/>
        <v>0</v>
      </c>
      <c r="CH356" s="1454"/>
      <c r="CI356" s="1454"/>
      <c r="CJ356" s="1454"/>
      <c r="CK356" s="1454"/>
      <c r="CL356" s="1454"/>
    </row>
    <row r="357" spans="79:90" x14ac:dyDescent="0.2">
      <c r="CG357" s="1454"/>
      <c r="CH357" s="1454"/>
      <c r="CI357" s="1454"/>
      <c r="CJ357" s="1454"/>
      <c r="CK357" s="1454"/>
      <c r="CL357" s="1454"/>
    </row>
    <row r="358" spans="79:90" x14ac:dyDescent="0.2">
      <c r="CG358" s="1454"/>
      <c r="CH358" s="1454"/>
      <c r="CI358" s="1454"/>
      <c r="CJ358" s="1454"/>
      <c r="CK358" s="1454"/>
      <c r="CL358" s="1454"/>
    </row>
    <row r="359" spans="79:90" x14ac:dyDescent="0.2">
      <c r="CG359" s="1454"/>
      <c r="CH359" s="1454"/>
      <c r="CI359" s="1454"/>
      <c r="CJ359" s="1454"/>
      <c r="CK359" s="1454"/>
      <c r="CL359" s="1454"/>
    </row>
    <row r="360" spans="79:90" x14ac:dyDescent="0.2">
      <c r="CG360" s="1454"/>
      <c r="CH360" s="1454"/>
      <c r="CI360" s="1454"/>
      <c r="CJ360" s="1454"/>
      <c r="CK360" s="1454"/>
      <c r="CL360" s="1454"/>
    </row>
    <row r="361" spans="79:90" x14ac:dyDescent="0.2">
      <c r="CA361" s="1457" t="str">
        <f>IF(CG361=1,"*El Total de Beneficiarios no puede superar el Total por Sexo. ","")</f>
        <v/>
      </c>
      <c r="CG361" s="1458">
        <f>IF(AR361&gt;C361,1,0)</f>
        <v>0</v>
      </c>
      <c r="CH361" s="1454"/>
      <c r="CI361" s="1454"/>
      <c r="CJ361" s="1454"/>
      <c r="CK361" s="1454"/>
      <c r="CL361" s="1454"/>
    </row>
    <row r="362" spans="79:90" x14ac:dyDescent="0.2">
      <c r="CA362" s="1457" t="str">
        <f>IF(CG362=1,"*El Total de Beneficiarios no puede superar el Total por Sexo. ","")</f>
        <v/>
      </c>
      <c r="CG362" s="1458">
        <f>IF(AR362&gt;C362,1,0)</f>
        <v>0</v>
      </c>
      <c r="CH362" s="1454"/>
      <c r="CI362" s="1454"/>
      <c r="CJ362" s="1454"/>
      <c r="CK362" s="1454"/>
      <c r="CL362" s="1454"/>
    </row>
    <row r="363" spans="79:90" x14ac:dyDescent="0.2">
      <c r="CA363" s="1457" t="str">
        <f>IF(CG363=1,"*El Total de Beneficiarios no puede superar el Total por Sexo. ","")</f>
        <v/>
      </c>
      <c r="CG363" s="1458">
        <f>IF(AR363&gt;C363,1,0)</f>
        <v>0</v>
      </c>
      <c r="CH363" s="1454"/>
      <c r="CI363" s="1454"/>
      <c r="CJ363" s="1454"/>
      <c r="CK363" s="1454"/>
      <c r="CL363" s="1454"/>
    </row>
    <row r="364" spans="79:90" x14ac:dyDescent="0.2">
      <c r="CA364" s="1457" t="str">
        <f>IF(CG364=1,"*El Total de Beneficiarios no puede superar el Total por Sexo. ","")</f>
        <v/>
      </c>
      <c r="CG364" s="1458">
        <f>IF(AR364&gt;C364,1,0)</f>
        <v>0</v>
      </c>
      <c r="CH364" s="1454"/>
      <c r="CI364" s="1454"/>
      <c r="CJ364" s="1454"/>
      <c r="CK364" s="1454"/>
      <c r="CL364" s="1454"/>
    </row>
    <row r="365" spans="79:90" x14ac:dyDescent="0.2">
      <c r="CG365" s="1454"/>
      <c r="CH365" s="1454"/>
      <c r="CI365" s="1454"/>
      <c r="CJ365" s="1454"/>
      <c r="CK365" s="1454"/>
      <c r="CL365" s="1454"/>
    </row>
    <row r="366" spans="79:90" x14ac:dyDescent="0.2">
      <c r="CG366" s="1454"/>
      <c r="CH366" s="1454"/>
      <c r="CI366" s="1454"/>
      <c r="CJ366" s="1454"/>
      <c r="CK366" s="1454"/>
      <c r="CL366" s="1454"/>
    </row>
    <row r="367" spans="79:90" x14ac:dyDescent="0.2">
      <c r="CG367" s="1454"/>
      <c r="CH367" s="1454"/>
      <c r="CI367" s="1454"/>
      <c r="CJ367" s="1454"/>
      <c r="CK367" s="1454"/>
      <c r="CL367" s="1454"/>
    </row>
    <row r="368" spans="79:90" x14ac:dyDescent="0.2">
      <c r="CG368" s="1454"/>
      <c r="CH368" s="1454"/>
      <c r="CI368" s="1454"/>
      <c r="CJ368" s="1454"/>
      <c r="CK368" s="1454"/>
      <c r="CL368" s="1454"/>
    </row>
    <row r="369" spans="85:90" x14ac:dyDescent="0.2">
      <c r="CG369" s="1454"/>
      <c r="CH369" s="1454"/>
      <c r="CI369" s="1454"/>
      <c r="CJ369" s="1454"/>
      <c r="CK369" s="1454"/>
      <c r="CL369" s="1454"/>
    </row>
    <row r="370" spans="85:90" x14ac:dyDescent="0.2">
      <c r="CG370" s="1454"/>
      <c r="CH370" s="1454"/>
      <c r="CI370" s="1454"/>
      <c r="CJ370" s="1454"/>
      <c r="CK370" s="1454"/>
      <c r="CL370" s="1454"/>
    </row>
    <row r="371" spans="85:90" x14ac:dyDescent="0.2">
      <c r="CG371" s="1454"/>
      <c r="CH371" s="1454"/>
      <c r="CI371" s="1454"/>
      <c r="CJ371" s="1454"/>
      <c r="CK371" s="1454"/>
      <c r="CL371" s="1454"/>
    </row>
    <row r="372" spans="85:90" x14ac:dyDescent="0.2">
      <c r="CG372" s="1454"/>
      <c r="CH372" s="1454"/>
      <c r="CI372" s="1454"/>
      <c r="CJ372" s="1454"/>
      <c r="CK372" s="1454"/>
      <c r="CL372" s="1454"/>
    </row>
    <row r="373" spans="85:90" x14ac:dyDescent="0.2">
      <c r="CG373" s="1454"/>
      <c r="CH373" s="1454"/>
      <c r="CI373" s="1454"/>
      <c r="CJ373" s="1454"/>
      <c r="CK373" s="1454"/>
      <c r="CL373" s="1454"/>
    </row>
    <row r="374" spans="85:90" x14ac:dyDescent="0.2">
      <c r="CG374" s="1454"/>
      <c r="CH374" s="1454"/>
      <c r="CI374" s="1454"/>
      <c r="CJ374" s="1454"/>
      <c r="CK374" s="1454"/>
      <c r="CL374" s="1454"/>
    </row>
    <row r="375" spans="85:90" x14ac:dyDescent="0.2">
      <c r="CG375" s="1454"/>
      <c r="CH375" s="1454"/>
      <c r="CI375" s="1454"/>
      <c r="CJ375" s="1454"/>
      <c r="CK375" s="1454"/>
      <c r="CL375" s="1454"/>
    </row>
    <row r="376" spans="85:90" x14ac:dyDescent="0.2">
      <c r="CG376" s="1454"/>
      <c r="CH376" s="1454"/>
      <c r="CI376" s="1454"/>
      <c r="CJ376" s="1454"/>
      <c r="CK376" s="1454"/>
      <c r="CL376" s="1454"/>
    </row>
    <row r="377" spans="85:90" x14ac:dyDescent="0.2">
      <c r="CG377" s="1454"/>
      <c r="CH377" s="1454"/>
      <c r="CI377" s="1454"/>
      <c r="CJ377" s="1454"/>
      <c r="CK377" s="1454"/>
      <c r="CL377" s="1454"/>
    </row>
    <row r="378" spans="85:90" x14ac:dyDescent="0.2">
      <c r="CG378" s="1454"/>
      <c r="CH378" s="1454"/>
      <c r="CI378" s="1454"/>
      <c r="CJ378" s="1454"/>
      <c r="CK378" s="1454"/>
      <c r="CL378" s="1454"/>
    </row>
    <row r="379" spans="85:90" x14ac:dyDescent="0.2">
      <c r="CG379" s="1454"/>
      <c r="CH379" s="1454"/>
      <c r="CI379" s="1454"/>
      <c r="CJ379" s="1454"/>
      <c r="CK379" s="1454"/>
      <c r="CL379" s="1454"/>
    </row>
    <row r="380" spans="85:90" x14ac:dyDescent="0.2">
      <c r="CG380" s="1454"/>
      <c r="CH380" s="1454"/>
      <c r="CI380" s="1454"/>
      <c r="CJ380" s="1454"/>
      <c r="CK380" s="1454"/>
      <c r="CL380" s="1454"/>
    </row>
    <row r="400" spans="79:98" ht="15" x14ac:dyDescent="0.25">
      <c r="CA400" s="7932"/>
      <c r="CB400" s="7932"/>
      <c r="CC400" s="7932"/>
      <c r="CD400" s="7932"/>
      <c r="CE400" s="7932"/>
      <c r="CF400" s="7932"/>
      <c r="CG400" s="7932"/>
      <c r="CH400" s="7932"/>
      <c r="CI400" s="7932"/>
      <c r="CJ400" s="7932"/>
      <c r="CK400" s="7932"/>
      <c r="CL400" s="7932"/>
      <c r="CM400" s="7932"/>
      <c r="CN400" s="7932"/>
      <c r="CO400" s="7932"/>
      <c r="CP400" s="7932"/>
      <c r="CQ400" s="7932"/>
      <c r="CR400" s="7932"/>
      <c r="CS400" s="7932"/>
      <c r="CT400" s="7932"/>
    </row>
  </sheetData>
  <sheetProtection algorithmName="SHA-512" hashValue="g74ga0xtbRwKaLlZm2PnCQzv/jODL79tUp3YX13euwyaKp2cplLucmuM/2KLcZS+cXuGSel/FjI8pmRSJWAhfA==" saltValue="m40ue34DzaPdhR8oNMFNxQ==" spinCount="100000" sheet="1" objects="1" scenarios="1"/>
  <mergeCells count="147">
    <mergeCell ref="AE146:AF146"/>
    <mergeCell ref="AG146:AH146"/>
    <mergeCell ref="AI146:AJ146"/>
    <mergeCell ref="AK146:AL146"/>
    <mergeCell ref="E145:AL145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Y146:Z146"/>
    <mergeCell ref="T184:X184"/>
    <mergeCell ref="T185:V185"/>
    <mergeCell ref="W185:X185"/>
    <mergeCell ref="C184:S185"/>
    <mergeCell ref="AM145:AO145"/>
    <mergeCell ref="AN146:AO146"/>
    <mergeCell ref="AM146:AM147"/>
    <mergeCell ref="N27:O27"/>
    <mergeCell ref="F27:G27"/>
    <mergeCell ref="H27:I27"/>
    <mergeCell ref="X62:Z62"/>
    <mergeCell ref="T62:W62"/>
    <mergeCell ref="T70:W70"/>
    <mergeCell ref="C26:E27"/>
    <mergeCell ref="F26:AM26"/>
    <mergeCell ref="AL27:AM27"/>
    <mergeCell ref="AJ27:AK27"/>
    <mergeCell ref="I125:J125"/>
    <mergeCell ref="C52:F52"/>
    <mergeCell ref="J27:K27"/>
    <mergeCell ref="L27:M27"/>
    <mergeCell ref="AB27:AC27"/>
    <mergeCell ref="AA146:AB146"/>
    <mergeCell ref="AC146:AD146"/>
    <mergeCell ref="G114:H114"/>
    <mergeCell ref="K125:L125"/>
    <mergeCell ref="B145:D146"/>
    <mergeCell ref="E146:F146"/>
    <mergeCell ref="G146:H146"/>
    <mergeCell ref="A131:A135"/>
    <mergeCell ref="A52:A54"/>
    <mergeCell ref="A127:A130"/>
    <mergeCell ref="C125:D125"/>
    <mergeCell ref="F119:F120"/>
    <mergeCell ref="C119:E119"/>
    <mergeCell ref="G119:G120"/>
    <mergeCell ref="G53:G54"/>
    <mergeCell ref="H53:H54"/>
    <mergeCell ref="A62:A63"/>
    <mergeCell ref="A70:A71"/>
    <mergeCell ref="AN27:AN28"/>
    <mergeCell ref="AN26:AQ26"/>
    <mergeCell ref="AP27:AP28"/>
    <mergeCell ref="AQ27:AQ28"/>
    <mergeCell ref="B62:B63"/>
    <mergeCell ref="B70:B71"/>
    <mergeCell ref="G52:H52"/>
    <mergeCell ref="A6:N6"/>
    <mergeCell ref="A10:A12"/>
    <mergeCell ref="B10:D11"/>
    <mergeCell ref="AG11:AH11"/>
    <mergeCell ref="AI11:AJ11"/>
    <mergeCell ref="AK11:AL11"/>
    <mergeCell ref="AD27:AE27"/>
    <mergeCell ref="AE11:AF11"/>
    <mergeCell ref="Y11:Z11"/>
    <mergeCell ref="K11:L11"/>
    <mergeCell ref="O11:P11"/>
    <mergeCell ref="Q11:R11"/>
    <mergeCell ref="A26:A28"/>
    <mergeCell ref="Z27:AA27"/>
    <mergeCell ref="A287:A288"/>
    <mergeCell ref="B52:B54"/>
    <mergeCell ref="A184:A186"/>
    <mergeCell ref="A251:A252"/>
    <mergeCell ref="A145:A147"/>
    <mergeCell ref="B251:B252"/>
    <mergeCell ref="E53:E54"/>
    <mergeCell ref="F53:F54"/>
    <mergeCell ref="B119:B120"/>
    <mergeCell ref="A125:A126"/>
    <mergeCell ref="B125:B126"/>
    <mergeCell ref="E125:F125"/>
    <mergeCell ref="A119:A120"/>
    <mergeCell ref="A257:A258"/>
    <mergeCell ref="A114:A115"/>
    <mergeCell ref="D53:D54"/>
    <mergeCell ref="B114:B115"/>
    <mergeCell ref="B287:B288"/>
    <mergeCell ref="B207:B209"/>
    <mergeCell ref="C207:S208"/>
    <mergeCell ref="C257:S257"/>
    <mergeCell ref="C287:S287"/>
    <mergeCell ref="A136:A141"/>
    <mergeCell ref="G125:H125"/>
    <mergeCell ref="T207:X207"/>
    <mergeCell ref="T208:V208"/>
    <mergeCell ref="W208:X208"/>
    <mergeCell ref="A207:A209"/>
    <mergeCell ref="B257:B258"/>
    <mergeCell ref="C251:S251"/>
    <mergeCell ref="AR10:AR12"/>
    <mergeCell ref="AC11:AD11"/>
    <mergeCell ref="AM10:AP10"/>
    <mergeCell ref="A196:A198"/>
    <mergeCell ref="X70:Z70"/>
    <mergeCell ref="C53:C54"/>
    <mergeCell ref="W197:X197"/>
    <mergeCell ref="T196:X196"/>
    <mergeCell ref="T197:V197"/>
    <mergeCell ref="C62:S62"/>
    <mergeCell ref="C70:S70"/>
    <mergeCell ref="B184:B186"/>
    <mergeCell ref="B196:B198"/>
    <mergeCell ref="C196:S197"/>
    <mergeCell ref="AO27:AO28"/>
    <mergeCell ref="AM11:AM12"/>
    <mergeCell ref="C114:F114"/>
    <mergeCell ref="H119:K119"/>
    <mergeCell ref="AS10:AS12"/>
    <mergeCell ref="AQ10:AQ12"/>
    <mergeCell ref="A30:A48"/>
    <mergeCell ref="E10:AL10"/>
    <mergeCell ref="B26:B28"/>
    <mergeCell ref="A29:B29"/>
    <mergeCell ref="AA11:AB11"/>
    <mergeCell ref="M11:N11"/>
    <mergeCell ref="W11:X11"/>
    <mergeCell ref="E11:F11"/>
    <mergeCell ref="G11:H11"/>
    <mergeCell ref="I11:J11"/>
    <mergeCell ref="P27:Q27"/>
    <mergeCell ref="R27:S27"/>
    <mergeCell ref="T27:U27"/>
    <mergeCell ref="V27:W27"/>
    <mergeCell ref="AP11:AP12"/>
    <mergeCell ref="AO11:AO12"/>
    <mergeCell ref="AF27:AG27"/>
    <mergeCell ref="AH27:AI27"/>
    <mergeCell ref="AN11:AN12"/>
    <mergeCell ref="S11:T11"/>
    <mergeCell ref="U11:V11"/>
    <mergeCell ref="X27:Y27"/>
  </mergeCells>
  <dataValidations count="4">
    <dataValidation type="whole" allowBlank="1" showInputMessage="1" showErrorMessage="1" error="Valor no Permitido" sqref="F109 B130:B176 C60 F77:F80 CG118:CT124 F61 F69 CF53:CS60 CG1:CT52 W62 T76:Z76 CF114:CS117 CG61:CT113 CF125:CS142 E147:AL147 CG183:CT1048576 CZ145:DM182 CG143:CT144 C145:D176 C178:D182" xr:uid="{82DDECB1-F22E-450D-A7BA-E21253A59FF0}">
      <formula1>0</formula1>
      <formula2>1E+30</formula2>
    </dataValidation>
    <dataValidation allowBlank="1" sqref="CA1:CF52 BZ53:CE60 BZ114:CE117 CA61:CF113 BZ125:CE142 CA118:CF124 CT145:CY182 CA143:CF144 CA183:CF1048576" xr:uid="{2AB3A759-38FE-429C-BD3A-8C4414C8DDF8}"/>
    <dataValidation allowBlank="1" showInputMessage="1" showErrorMessage="1" error="Valor no Permitido" sqref="T63 T71" xr:uid="{15E6DFC6-1A1B-4BBC-AAF9-7F5A11C0DF7D}"/>
    <dataValidation type="whole" operator="greaterThanOrEqual" allowBlank="1" showInputMessage="1" showErrorMessage="1" error="Valor no Permitido" sqref="C253:S255 B223:B247 C72:Z75 B79:E95 B99:E103 B107:E111 C116:H117 C121:K123 C127:L142 E13:AS24 F29:AQ50 C55:H59 C64:Z67 C289:S309 C187:X193 C199:X204 C210:X213 B217:B220 C259:S285 E148:AO182" xr:uid="{55D85322-85C4-457A-9181-87503B47A42B}">
      <formula1>0</formula1>
    </dataValidation>
  </dataValidation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1"/>
  <dimension ref="A1:CZ288"/>
  <sheetViews>
    <sheetView showGridLines="0" zoomScaleNormal="100" workbookViewId="0">
      <selection activeCell="A6" sqref="A6:T6"/>
    </sheetView>
  </sheetViews>
  <sheetFormatPr baseColWidth="10" defaultColWidth="11.42578125" defaultRowHeight="14.25" x14ac:dyDescent="0.2"/>
  <cols>
    <col min="1" max="1" width="71.28515625" style="4651" customWidth="1"/>
    <col min="2" max="2" width="48.7109375" style="4651" customWidth="1"/>
    <col min="3" max="3" width="37.28515625" style="4651" customWidth="1"/>
    <col min="4" max="4" width="19.140625" style="4651" customWidth="1"/>
    <col min="5" max="5" width="15.85546875" style="4651" customWidth="1"/>
    <col min="6" max="6" width="12.5703125" style="4651" customWidth="1"/>
    <col min="7" max="7" width="12.7109375" style="4651" customWidth="1"/>
    <col min="8" max="11" width="11.42578125" style="4651" customWidth="1"/>
    <col min="12" max="12" width="13.7109375" style="4651" customWidth="1"/>
    <col min="13" max="13" width="12.28515625" style="4651" customWidth="1"/>
    <col min="14" max="14" width="15" style="4651" customWidth="1"/>
    <col min="15" max="15" width="13.85546875" style="4651" customWidth="1"/>
    <col min="16" max="72" width="11.42578125" style="4651"/>
    <col min="73" max="77" width="13.28515625" style="4651" customWidth="1"/>
    <col min="78" max="78" width="12" style="4652" customWidth="1"/>
    <col min="79" max="104" width="12" style="4688" hidden="1" customWidth="1"/>
    <col min="105" max="105" width="12" style="4651" customWidth="1"/>
    <col min="106" max="106" width="11.42578125" style="4651" customWidth="1"/>
    <col min="107" max="16384" width="11.42578125" style="4651"/>
  </cols>
  <sheetData>
    <row r="1" spans="1:95" ht="16.350000000000001" customHeight="1" x14ac:dyDescent="0.2">
      <c r="A1" s="4173" t="s">
        <v>206</v>
      </c>
      <c r="BZ1" s="4651"/>
    </row>
    <row r="2" spans="1:95" ht="16.350000000000001" customHeight="1" x14ac:dyDescent="0.2">
      <c r="A2" s="4173" t="str">
        <f>CONCATENATE("COMUNA: ",NOMBRE!B2," - ","( ",NOMBRE!C2,NOMBRE!D2,NOMBRE!E2,NOMBRE!F2,NOMBRE!G2," )")</f>
        <v>COMUNA:  - (  )</v>
      </c>
      <c r="BZ2" s="4651"/>
    </row>
    <row r="3" spans="1:95" ht="16.350000000000001" customHeight="1" x14ac:dyDescent="0.2">
      <c r="A3" s="4173" t="str">
        <f>CONCATENATE("ESTABLECIMIENTO/ESTRATEGIA: ",NOMBRE!B3," - ","( ",NOMBRE!C3,NOMBRE!D3,NOMBRE!E3,NOMBRE!F3,NOMBRE!G3,NOMBRE!H3," )")</f>
        <v>ESTABLECIMIENTO/ESTRATEGIA:  - (  )</v>
      </c>
      <c r="BZ3" s="4651"/>
    </row>
    <row r="4" spans="1:95" ht="16.350000000000001" customHeight="1" x14ac:dyDescent="0.2">
      <c r="A4" s="4173" t="str">
        <f>CONCATENATE("MES: ",NOMBRE!B6," - ","( ",NOMBRE!C6,NOMBRE!D6," )")</f>
        <v>MES:  - (  )</v>
      </c>
      <c r="BZ4" s="4651"/>
    </row>
    <row r="5" spans="1:95" ht="16.350000000000001" customHeight="1" x14ac:dyDescent="0.2">
      <c r="A5" s="4173" t="str">
        <f>CONCATENATE("AÑO: ",NOMBRE!B7)</f>
        <v>AÑO: 2023</v>
      </c>
      <c r="BZ5" s="4651"/>
    </row>
    <row r="6" spans="1:95" ht="15" x14ac:dyDescent="0.2">
      <c r="A6" s="8835" t="s">
        <v>1365</v>
      </c>
      <c r="B6" s="8835"/>
      <c r="C6" s="8835"/>
      <c r="D6" s="8835"/>
      <c r="E6" s="8835"/>
      <c r="F6" s="8835"/>
      <c r="G6" s="8835"/>
      <c r="H6" s="8835"/>
      <c r="I6" s="8835"/>
      <c r="J6" s="8835"/>
      <c r="K6" s="8835"/>
      <c r="L6" s="8835"/>
      <c r="M6" s="8835"/>
      <c r="N6" s="8835"/>
      <c r="O6" s="8835"/>
      <c r="P6" s="8835"/>
      <c r="Q6" s="8835"/>
      <c r="R6" s="8835"/>
      <c r="S6" s="8835"/>
      <c r="T6" s="8835"/>
      <c r="BZ6" s="4651"/>
    </row>
    <row r="7" spans="1:95" x14ac:dyDescent="0.2">
      <c r="A7" s="4661"/>
      <c r="B7" s="5427"/>
      <c r="C7" s="5427"/>
      <c r="D7" s="5427"/>
      <c r="E7" s="5427"/>
      <c r="F7" s="5427"/>
      <c r="BZ7" s="4651"/>
    </row>
    <row r="8" spans="1:95" ht="32.1" customHeight="1" x14ac:dyDescent="0.2">
      <c r="A8" s="4650" t="s">
        <v>1364</v>
      </c>
      <c r="C8" s="4879"/>
      <c r="BZ8" s="4651"/>
    </row>
    <row r="9" spans="1:95" ht="80.25" customHeight="1" x14ac:dyDescent="0.2">
      <c r="A9" s="10470" t="s">
        <v>1038</v>
      </c>
      <c r="B9" s="8828" t="s">
        <v>24</v>
      </c>
      <c r="C9" s="8829"/>
      <c r="D9" s="8933"/>
      <c r="E9" s="8733" t="s">
        <v>3510</v>
      </c>
      <c r="F9" s="8733"/>
      <c r="G9" s="8733" t="s">
        <v>80</v>
      </c>
      <c r="H9" s="8733"/>
      <c r="I9" s="8733" t="s">
        <v>2897</v>
      </c>
      <c r="J9" s="8733"/>
      <c r="K9" s="10466" t="s">
        <v>2799</v>
      </c>
      <c r="L9" s="10467"/>
      <c r="M9" s="10468" t="s">
        <v>2080</v>
      </c>
      <c r="N9" s="10469"/>
      <c r="O9" s="10469" t="s">
        <v>2081</v>
      </c>
      <c r="P9" s="10469"/>
      <c r="Q9" s="10476" t="s">
        <v>1349</v>
      </c>
      <c r="R9" s="10477"/>
      <c r="S9" s="10472" t="s">
        <v>360</v>
      </c>
      <c r="T9" s="10474" t="s">
        <v>359</v>
      </c>
      <c r="BY9" s="4652"/>
    </row>
    <row r="10" spans="1:95" ht="24" customHeight="1" x14ac:dyDescent="0.2">
      <c r="A10" s="10471"/>
      <c r="B10" s="5533" t="s">
        <v>42</v>
      </c>
      <c r="C10" s="5534" t="s">
        <v>17</v>
      </c>
      <c r="D10" s="5535" t="s">
        <v>18</v>
      </c>
      <c r="E10" s="5536" t="s">
        <v>17</v>
      </c>
      <c r="F10" s="5537" t="s">
        <v>18</v>
      </c>
      <c r="G10" s="5536" t="s">
        <v>17</v>
      </c>
      <c r="H10" s="5537" t="s">
        <v>18</v>
      </c>
      <c r="I10" s="5536" t="s">
        <v>17</v>
      </c>
      <c r="J10" s="5537" t="s">
        <v>18</v>
      </c>
      <c r="K10" s="5538" t="s">
        <v>17</v>
      </c>
      <c r="L10" s="5539" t="s">
        <v>18</v>
      </c>
      <c r="M10" s="5540" t="s">
        <v>91</v>
      </c>
      <c r="N10" s="5541" t="s">
        <v>97</v>
      </c>
      <c r="O10" s="5541" t="s">
        <v>91</v>
      </c>
      <c r="P10" s="5541" t="s">
        <v>97</v>
      </c>
      <c r="Q10" s="5542" t="s">
        <v>2691</v>
      </c>
      <c r="R10" s="5543" t="s">
        <v>2692</v>
      </c>
      <c r="S10" s="10473"/>
      <c r="T10" s="10475"/>
      <c r="BY10" s="4652"/>
    </row>
    <row r="11" spans="1:95" x14ac:dyDescent="0.2">
      <c r="A11" s="5544" t="s">
        <v>1363</v>
      </c>
      <c r="B11" s="10513"/>
      <c r="C11" s="8946"/>
      <c r="D11" s="8946"/>
      <c r="E11" s="8946"/>
      <c r="F11" s="8946"/>
      <c r="G11" s="8946"/>
      <c r="H11" s="8946"/>
      <c r="I11" s="8946"/>
      <c r="J11" s="8946"/>
      <c r="K11" s="8946"/>
      <c r="L11" s="8946"/>
      <c r="M11" s="8946"/>
      <c r="N11" s="8946"/>
      <c r="O11" s="8946"/>
      <c r="P11" s="8946"/>
      <c r="Q11" s="8946"/>
      <c r="R11" s="8946"/>
      <c r="S11" s="8946"/>
      <c r="T11" s="10514"/>
      <c r="BY11" s="4652"/>
      <c r="CC11" s="5545"/>
      <c r="CD11" s="5545"/>
      <c r="CN11" s="5438"/>
      <c r="CO11" s="5438"/>
      <c r="CP11" s="5438"/>
      <c r="CQ11" s="5438"/>
    </row>
    <row r="12" spans="1:95" x14ac:dyDescent="0.2">
      <c r="A12" s="5546" t="s">
        <v>2082</v>
      </c>
      <c r="B12" s="5547">
        <f>SUM(C12+D12)</f>
        <v>0</v>
      </c>
      <c r="C12" s="5547">
        <f t="shared" ref="C12:D15" si="0">SUM(E12+G12+I12+K12)</f>
        <v>0</v>
      </c>
      <c r="D12" s="5548">
        <f t="shared" si="0"/>
        <v>0</v>
      </c>
      <c r="E12" s="5549"/>
      <c r="F12" s="5550"/>
      <c r="G12" s="5549"/>
      <c r="H12" s="5550"/>
      <c r="I12" s="5549"/>
      <c r="J12" s="5550"/>
      <c r="K12" s="4281"/>
      <c r="L12" s="5551"/>
      <c r="M12" s="4428"/>
      <c r="N12" s="5552"/>
      <c r="O12" s="5552"/>
      <c r="P12" s="5552"/>
      <c r="Q12" s="5553"/>
      <c r="R12" s="5554"/>
      <c r="S12" s="4428"/>
      <c r="T12" s="5552"/>
      <c r="U12" s="4651" t="str">
        <f>CA12&amp;CB12&amp;CC12&amp;CD12</f>
        <v/>
      </c>
      <c r="BY12" s="4652"/>
      <c r="CA12" s="5437" t="str">
        <f>IF(AND($B12&lt;&gt;0,S12=""),"* No olvide digitar el campo "&amp;S$9&amp;" (Digite 0 si no tiene). ","")</f>
        <v/>
      </c>
      <c r="CB12" s="5437" t="str">
        <f>IF(AND($B12&lt;&gt;0,T12=""),"* No olvide digitar el campo "&amp;T$9&amp;" (Digite 0 si no tiene). ","")</f>
        <v/>
      </c>
      <c r="CC12" s="5545" t="str">
        <f>IF(CP12=1," * El número de consultas de personas pertenecientes a pueblos originarios no debe superar el Total de consultas. ","")</f>
        <v/>
      </c>
      <c r="CD12" s="5545" t="str">
        <f>IF(CQ12=1," * El número de consultas de personas migrantes no debe superar el Total de consultas. ","")</f>
        <v/>
      </c>
      <c r="CN12" s="5438"/>
      <c r="CO12" s="5438"/>
      <c r="CP12" s="5438">
        <f>IF(S12&gt;$B12,1,0)</f>
        <v>0</v>
      </c>
      <c r="CQ12" s="5438">
        <f>IF(T12&gt;$B12,1,0)</f>
        <v>0</v>
      </c>
    </row>
    <row r="13" spans="1:95" x14ac:dyDescent="0.2">
      <c r="A13" s="5555" t="s">
        <v>1362</v>
      </c>
      <c r="B13" s="5556">
        <f>SUM(C13+D13)</f>
        <v>0</v>
      </c>
      <c r="C13" s="5556">
        <f>SUM(E13+G13+I13+K13)</f>
        <v>0</v>
      </c>
      <c r="D13" s="5557">
        <f t="shared" si="0"/>
        <v>0</v>
      </c>
      <c r="E13" s="5558"/>
      <c r="F13" s="5341"/>
      <c r="G13" s="5558"/>
      <c r="H13" s="5341"/>
      <c r="I13" s="5558"/>
      <c r="J13" s="5341"/>
      <c r="K13" s="5559"/>
      <c r="L13" s="5523"/>
      <c r="M13" s="5560"/>
      <c r="N13" s="5561"/>
      <c r="O13" s="5561"/>
      <c r="P13" s="5561"/>
      <c r="Q13" s="4208"/>
      <c r="R13" s="5562"/>
      <c r="S13" s="5560"/>
      <c r="T13" s="5561"/>
      <c r="U13" s="4651" t="str">
        <f t="shared" ref="U13:U28" si="1">CA13&amp;CB13&amp;CC13&amp;CD13</f>
        <v/>
      </c>
      <c r="BY13" s="4652"/>
      <c r="CA13" s="5437" t="str">
        <f t="shared" ref="CA13:CA15" si="2">IF(AND($B13&lt;&gt;0,S13=""),"* No olvide digitar el campo "&amp;S$9&amp;" (Digite 0 si no tiene). ","")</f>
        <v/>
      </c>
      <c r="CB13" s="5437" t="str">
        <f t="shared" ref="CB13:CB15" si="3">IF(AND($B13&lt;&gt;0,T13=""),"* No olvide digitar el campo "&amp;T$9&amp;" (Digite 0 si no tiene). ","")</f>
        <v/>
      </c>
      <c r="CC13" s="5545" t="str">
        <f t="shared" ref="CC13:CC28" si="4">IF(CP13=1," * El número de consultas de personas pertenecientes a pueblos originarios no debe superar el Total de consultas. ","")</f>
        <v/>
      </c>
      <c r="CD13" s="5545" t="str">
        <f t="shared" ref="CD13:CD28" si="5">IF(CQ13=1," * El número de consultas de personas migrantes no debe superar el Total de consultas. ","")</f>
        <v/>
      </c>
      <c r="CN13" s="5438"/>
      <c r="CO13" s="5438"/>
      <c r="CP13" s="5438">
        <f t="shared" ref="CP13:CP28" si="6">IF(S13&gt;$B13,1,0)</f>
        <v>0</v>
      </c>
      <c r="CQ13" s="5438">
        <f t="shared" ref="CQ13:CQ28" si="7">IF(T13&gt;$B13,1,0)</f>
        <v>0</v>
      </c>
    </row>
    <row r="14" spans="1:95" x14ac:dyDescent="0.2">
      <c r="A14" s="5555" t="s">
        <v>2106</v>
      </c>
      <c r="B14" s="5563">
        <f>SUM(C14+D14)</f>
        <v>0</v>
      </c>
      <c r="C14" s="5563">
        <f t="shared" si="0"/>
        <v>0</v>
      </c>
      <c r="D14" s="5564">
        <f t="shared" si="0"/>
        <v>0</v>
      </c>
      <c r="E14" s="5565"/>
      <c r="F14" s="5566"/>
      <c r="G14" s="5565"/>
      <c r="H14" s="5566"/>
      <c r="I14" s="5565"/>
      <c r="J14" s="5566"/>
      <c r="K14" s="5387"/>
      <c r="L14" s="5521"/>
      <c r="M14" s="5389"/>
      <c r="N14" s="5567"/>
      <c r="O14" s="5567"/>
      <c r="P14" s="5566"/>
      <c r="Q14" s="4208"/>
      <c r="R14" s="5577"/>
      <c r="S14" s="4210"/>
      <c r="T14" s="5566"/>
      <c r="U14" s="4651" t="str">
        <f t="shared" si="1"/>
        <v/>
      </c>
      <c r="BY14" s="4652"/>
      <c r="CA14" s="5437" t="str">
        <f t="shared" si="2"/>
        <v/>
      </c>
      <c r="CB14" s="5437" t="str">
        <f t="shared" si="3"/>
        <v/>
      </c>
      <c r="CC14" s="5545" t="str">
        <f t="shared" si="4"/>
        <v/>
      </c>
      <c r="CD14" s="5545" t="str">
        <f t="shared" si="5"/>
        <v/>
      </c>
      <c r="CN14" s="5438"/>
      <c r="CO14" s="5438"/>
      <c r="CP14" s="5438">
        <f t="shared" si="6"/>
        <v>0</v>
      </c>
      <c r="CQ14" s="5438">
        <f t="shared" si="7"/>
        <v>0</v>
      </c>
    </row>
    <row r="15" spans="1:95" x14ac:dyDescent="0.2">
      <c r="A15" s="5555" t="s">
        <v>2145</v>
      </c>
      <c r="B15" s="5563">
        <f>SUM(C15+D15)</f>
        <v>0</v>
      </c>
      <c r="C15" s="5563">
        <f>SUM(E15+G15+I15+K15)</f>
        <v>0</v>
      </c>
      <c r="D15" s="5564">
        <f t="shared" si="0"/>
        <v>0</v>
      </c>
      <c r="E15" s="5565"/>
      <c r="F15" s="5566"/>
      <c r="G15" s="5565"/>
      <c r="H15" s="5566"/>
      <c r="I15" s="5565"/>
      <c r="J15" s="5566"/>
      <c r="K15" s="5387"/>
      <c r="L15" s="5521"/>
      <c r="M15" s="5389"/>
      <c r="N15" s="5567"/>
      <c r="O15" s="5567"/>
      <c r="P15" s="5566"/>
      <c r="Q15" s="4208"/>
      <c r="R15" s="5577"/>
      <c r="S15" s="4210"/>
      <c r="T15" s="5566"/>
      <c r="U15" s="4651" t="str">
        <f t="shared" si="1"/>
        <v/>
      </c>
      <c r="BY15" s="4652"/>
      <c r="CA15" s="5437" t="str">
        <f t="shared" si="2"/>
        <v/>
      </c>
      <c r="CB15" s="5437" t="str">
        <f t="shared" si="3"/>
        <v/>
      </c>
      <c r="CC15" s="5545" t="str">
        <f t="shared" si="4"/>
        <v/>
      </c>
      <c r="CD15" s="5545" t="str">
        <f t="shared" si="5"/>
        <v/>
      </c>
      <c r="CN15" s="5438"/>
      <c r="CO15" s="5438"/>
      <c r="CP15" s="5438">
        <f t="shared" si="6"/>
        <v>0</v>
      </c>
      <c r="CQ15" s="5438">
        <f t="shared" si="7"/>
        <v>0</v>
      </c>
    </row>
    <row r="16" spans="1:95" ht="15" customHeight="1" x14ac:dyDescent="0.2">
      <c r="A16" s="5544" t="s">
        <v>1361</v>
      </c>
      <c r="B16" s="10513"/>
      <c r="C16" s="8946"/>
      <c r="D16" s="8946"/>
      <c r="E16" s="8946"/>
      <c r="F16" s="8946"/>
      <c r="G16" s="8946"/>
      <c r="H16" s="8946"/>
      <c r="I16" s="8946"/>
      <c r="J16" s="8946"/>
      <c r="K16" s="8946"/>
      <c r="L16" s="8947"/>
      <c r="M16" s="5568"/>
      <c r="N16" s="5569"/>
      <c r="O16" s="5569"/>
      <c r="P16" s="5570"/>
      <c r="Q16" s="4427"/>
      <c r="R16" s="5571"/>
      <c r="S16" s="10515"/>
      <c r="T16" s="10516"/>
      <c r="U16" s="4651" t="str">
        <f t="shared" si="1"/>
        <v/>
      </c>
      <c r="BY16" s="4652"/>
      <c r="CC16" s="5545" t="str">
        <f t="shared" si="4"/>
        <v/>
      </c>
      <c r="CD16" s="5545" t="str">
        <f t="shared" si="5"/>
        <v/>
      </c>
      <c r="CN16" s="5438"/>
      <c r="CO16" s="5438"/>
      <c r="CP16" s="5438">
        <f t="shared" si="6"/>
        <v>0</v>
      </c>
      <c r="CQ16" s="5438">
        <f t="shared" si="7"/>
        <v>0</v>
      </c>
    </row>
    <row r="17" spans="1:95" x14ac:dyDescent="0.2">
      <c r="A17" s="5572" t="s">
        <v>3714</v>
      </c>
      <c r="B17" s="5573">
        <f t="shared" ref="B17:B22" si="8">SUM(C17+D17)</f>
        <v>0</v>
      </c>
      <c r="C17" s="5573">
        <f t="shared" ref="C17:D22" si="9">SUM(E17+G17+I17+K17)</f>
        <v>0</v>
      </c>
      <c r="D17" s="5573">
        <f t="shared" si="9"/>
        <v>0</v>
      </c>
      <c r="E17" s="5549"/>
      <c r="F17" s="5550"/>
      <c r="G17" s="5549"/>
      <c r="H17" s="5550"/>
      <c r="I17" s="5549"/>
      <c r="J17" s="5550"/>
      <c r="K17" s="4281"/>
      <c r="L17" s="5551"/>
      <c r="M17" s="5574"/>
      <c r="N17" s="5575"/>
      <c r="O17" s="5575"/>
      <c r="P17" s="5576"/>
      <c r="Q17" s="4208"/>
      <c r="R17" s="5577"/>
      <c r="S17" s="5578"/>
      <c r="T17" s="5579"/>
      <c r="U17" s="4651" t="str">
        <f t="shared" si="1"/>
        <v/>
      </c>
      <c r="BY17" s="4652"/>
      <c r="CA17" s="5437" t="str">
        <f t="shared" ref="CA17:CA22" si="10">IF(AND($B17&lt;&gt;0,S17=""),"* No olvide digitar el campo "&amp;S$9&amp;" (Digite 0 si no tiene). ","")</f>
        <v/>
      </c>
      <c r="CB17" s="5437" t="str">
        <f t="shared" ref="CB17:CB22" si="11">IF(AND($B17&lt;&gt;0,T17=""),"* No olvide digitar el campo "&amp;T$9&amp;" (Digite 0 si no tiene). ","")</f>
        <v/>
      </c>
      <c r="CC17" s="5545" t="str">
        <f t="shared" si="4"/>
        <v/>
      </c>
      <c r="CD17" s="5545" t="str">
        <f t="shared" si="5"/>
        <v/>
      </c>
      <c r="CN17" s="5438"/>
      <c r="CO17" s="5438"/>
      <c r="CP17" s="5438">
        <f t="shared" si="6"/>
        <v>0</v>
      </c>
      <c r="CQ17" s="5438">
        <f t="shared" si="7"/>
        <v>0</v>
      </c>
    </row>
    <row r="18" spans="1:95" x14ac:dyDescent="0.2">
      <c r="A18" s="5580" t="s">
        <v>2079</v>
      </c>
      <c r="B18" s="5581">
        <f t="shared" si="8"/>
        <v>0</v>
      </c>
      <c r="C18" s="5581">
        <f>SUM(E18+G18+I18+K18)</f>
        <v>0</v>
      </c>
      <c r="D18" s="5581">
        <f t="shared" si="9"/>
        <v>0</v>
      </c>
      <c r="E18" s="4778"/>
      <c r="F18" s="5582"/>
      <c r="G18" s="4778"/>
      <c r="H18" s="5582"/>
      <c r="I18" s="4778"/>
      <c r="J18" s="5582"/>
      <c r="K18" s="5387"/>
      <c r="L18" s="5521"/>
      <c r="M18" s="5583"/>
      <c r="N18" s="5575"/>
      <c r="O18" s="5575"/>
      <c r="P18" s="5576"/>
      <c r="Q18" s="4208"/>
      <c r="R18" s="5577"/>
      <c r="S18" s="4624"/>
      <c r="T18" s="5584"/>
      <c r="U18" s="4651" t="str">
        <f>CA18&amp;CB18&amp;CC18&amp;CD18</f>
        <v/>
      </c>
      <c r="BY18" s="4652"/>
      <c r="CA18" s="5437" t="str">
        <f t="shared" si="10"/>
        <v/>
      </c>
      <c r="CB18" s="5437" t="str">
        <f t="shared" si="11"/>
        <v/>
      </c>
      <c r="CC18" s="5545" t="str">
        <f t="shared" si="4"/>
        <v/>
      </c>
      <c r="CD18" s="5545" t="str">
        <f t="shared" si="5"/>
        <v/>
      </c>
      <c r="CN18" s="5438"/>
      <c r="CO18" s="5438"/>
      <c r="CP18" s="5438">
        <f t="shared" si="6"/>
        <v>0</v>
      </c>
      <c r="CQ18" s="5438">
        <f t="shared" si="7"/>
        <v>0</v>
      </c>
    </row>
    <row r="19" spans="1:95" x14ac:dyDescent="0.2">
      <c r="A19" s="5580" t="s">
        <v>1360</v>
      </c>
      <c r="B19" s="5585">
        <f t="shared" si="8"/>
        <v>0</v>
      </c>
      <c r="C19" s="5585">
        <f t="shared" si="9"/>
        <v>0</v>
      </c>
      <c r="D19" s="5585">
        <f t="shared" si="9"/>
        <v>0</v>
      </c>
      <c r="E19" s="4778"/>
      <c r="F19" s="5586"/>
      <c r="G19" s="4778"/>
      <c r="H19" s="5586"/>
      <c r="I19" s="4778"/>
      <c r="J19" s="5586"/>
      <c r="K19" s="5387"/>
      <c r="L19" s="5521"/>
      <c r="M19" s="5574"/>
      <c r="N19" s="5575"/>
      <c r="O19" s="5575"/>
      <c r="P19" s="5576"/>
      <c r="Q19" s="4208"/>
      <c r="R19" s="5577"/>
      <c r="S19" s="4624"/>
      <c r="T19" s="5584"/>
      <c r="U19" s="4651" t="str">
        <f t="shared" si="1"/>
        <v/>
      </c>
      <c r="BY19" s="4652"/>
      <c r="CA19" s="5437" t="str">
        <f t="shared" si="10"/>
        <v/>
      </c>
      <c r="CB19" s="5437" t="str">
        <f t="shared" si="11"/>
        <v/>
      </c>
      <c r="CC19" s="5545" t="str">
        <f t="shared" si="4"/>
        <v/>
      </c>
      <c r="CD19" s="5545" t="str">
        <f t="shared" si="5"/>
        <v/>
      </c>
      <c r="CN19" s="5438"/>
      <c r="CO19" s="5438"/>
      <c r="CP19" s="5438">
        <f t="shared" si="6"/>
        <v>0</v>
      </c>
      <c r="CQ19" s="5438">
        <f t="shared" si="7"/>
        <v>0</v>
      </c>
    </row>
    <row r="20" spans="1:95" x14ac:dyDescent="0.2">
      <c r="A20" s="5580" t="s">
        <v>1359</v>
      </c>
      <c r="B20" s="5581">
        <f t="shared" si="8"/>
        <v>0</v>
      </c>
      <c r="C20" s="5581">
        <f t="shared" si="9"/>
        <v>0</v>
      </c>
      <c r="D20" s="5581">
        <f t="shared" si="9"/>
        <v>0</v>
      </c>
      <c r="E20" s="4778"/>
      <c r="F20" s="4866"/>
      <c r="G20" s="4778"/>
      <c r="H20" s="4866"/>
      <c r="I20" s="4778"/>
      <c r="J20" s="4866"/>
      <c r="K20" s="5387"/>
      <c r="L20" s="5388"/>
      <c r="M20" s="5574"/>
      <c r="N20" s="5575"/>
      <c r="O20" s="5575"/>
      <c r="P20" s="5576"/>
      <c r="Q20" s="4208"/>
      <c r="R20" s="5577"/>
      <c r="S20" s="4624"/>
      <c r="T20" s="5584"/>
      <c r="U20" s="4651" t="str">
        <f t="shared" si="1"/>
        <v/>
      </c>
      <c r="BY20" s="4652"/>
      <c r="CA20" s="5437" t="str">
        <f t="shared" si="10"/>
        <v/>
      </c>
      <c r="CB20" s="5437" t="str">
        <f t="shared" si="11"/>
        <v/>
      </c>
      <c r="CC20" s="5545" t="str">
        <f t="shared" si="4"/>
        <v/>
      </c>
      <c r="CD20" s="5545" t="str">
        <f t="shared" si="5"/>
        <v/>
      </c>
      <c r="CN20" s="5438"/>
      <c r="CO20" s="5438"/>
      <c r="CP20" s="5438">
        <f t="shared" si="6"/>
        <v>0</v>
      </c>
      <c r="CQ20" s="5438">
        <f t="shared" si="7"/>
        <v>0</v>
      </c>
    </row>
    <row r="21" spans="1:95" x14ac:dyDescent="0.2">
      <c r="A21" s="5587" t="s">
        <v>1358</v>
      </c>
      <c r="B21" s="5581">
        <f t="shared" si="8"/>
        <v>0</v>
      </c>
      <c r="C21" s="5581">
        <f t="shared" si="9"/>
        <v>0</v>
      </c>
      <c r="D21" s="5581">
        <f t="shared" si="9"/>
        <v>0</v>
      </c>
      <c r="E21" s="4778"/>
      <c r="F21" s="4866"/>
      <c r="G21" s="4778"/>
      <c r="H21" s="4866"/>
      <c r="I21" s="4778"/>
      <c r="J21" s="4866"/>
      <c r="K21" s="5387"/>
      <c r="L21" s="5388"/>
      <c r="M21" s="5574"/>
      <c r="N21" s="5575"/>
      <c r="O21" s="5575"/>
      <c r="P21" s="5576"/>
      <c r="Q21" s="4208"/>
      <c r="R21" s="5577"/>
      <c r="S21" s="4624"/>
      <c r="T21" s="5584"/>
      <c r="U21" s="4651" t="str">
        <f t="shared" si="1"/>
        <v/>
      </c>
      <c r="BY21" s="4652"/>
      <c r="CA21" s="5437" t="str">
        <f t="shared" si="10"/>
        <v/>
      </c>
      <c r="CB21" s="5437" t="str">
        <f t="shared" si="11"/>
        <v/>
      </c>
      <c r="CC21" s="5545" t="str">
        <f t="shared" si="4"/>
        <v/>
      </c>
      <c r="CD21" s="5545" t="str">
        <f t="shared" si="5"/>
        <v/>
      </c>
      <c r="CN21" s="5438"/>
      <c r="CO21" s="5438"/>
      <c r="CP21" s="5438">
        <f t="shared" si="6"/>
        <v>0</v>
      </c>
      <c r="CQ21" s="5438">
        <f t="shared" si="7"/>
        <v>0</v>
      </c>
    </row>
    <row r="22" spans="1:95" x14ac:dyDescent="0.2">
      <c r="A22" s="5588" t="s">
        <v>1357</v>
      </c>
      <c r="B22" s="5581">
        <f t="shared" si="8"/>
        <v>0</v>
      </c>
      <c r="C22" s="5581">
        <f t="shared" si="9"/>
        <v>0</v>
      </c>
      <c r="D22" s="5581">
        <f t="shared" si="9"/>
        <v>0</v>
      </c>
      <c r="E22" s="4796"/>
      <c r="F22" s="4874"/>
      <c r="G22" s="4796"/>
      <c r="H22" s="4874"/>
      <c r="I22" s="4796"/>
      <c r="J22" s="4874"/>
      <c r="K22" s="4829"/>
      <c r="L22" s="5589"/>
      <c r="M22" s="5574"/>
      <c r="N22" s="5575"/>
      <c r="O22" s="5575"/>
      <c r="P22" s="5576"/>
      <c r="Q22" s="5590"/>
      <c r="R22" s="5577"/>
      <c r="S22" s="5591"/>
      <c r="T22" s="4598"/>
      <c r="U22" s="4651" t="str">
        <f t="shared" si="1"/>
        <v/>
      </c>
      <c r="BY22" s="4652"/>
      <c r="CA22" s="5437" t="str">
        <f t="shared" si="10"/>
        <v/>
      </c>
      <c r="CB22" s="5437" t="str">
        <f t="shared" si="11"/>
        <v/>
      </c>
      <c r="CC22" s="5545" t="str">
        <f t="shared" si="4"/>
        <v/>
      </c>
      <c r="CD22" s="5545" t="str">
        <f t="shared" si="5"/>
        <v/>
      </c>
      <c r="CN22" s="5438"/>
      <c r="CO22" s="5438"/>
      <c r="CP22" s="5438">
        <f t="shared" si="6"/>
        <v>0</v>
      </c>
      <c r="CQ22" s="5438">
        <f t="shared" si="7"/>
        <v>0</v>
      </c>
    </row>
    <row r="23" spans="1:95" ht="15" customHeight="1" x14ac:dyDescent="0.2">
      <c r="A23" s="5592" t="s">
        <v>1356</v>
      </c>
      <c r="B23" s="10513"/>
      <c r="C23" s="8946"/>
      <c r="D23" s="8946"/>
      <c r="E23" s="8946"/>
      <c r="F23" s="8946"/>
      <c r="G23" s="8946"/>
      <c r="H23" s="8946"/>
      <c r="I23" s="8946"/>
      <c r="J23" s="8946"/>
      <c r="K23" s="8946"/>
      <c r="L23" s="8947"/>
      <c r="M23" s="5593"/>
      <c r="N23" s="5594"/>
      <c r="O23" s="5594"/>
      <c r="P23" s="5595"/>
      <c r="Q23" s="5596"/>
      <c r="R23" s="5597"/>
      <c r="S23" s="8945"/>
      <c r="T23" s="10514"/>
      <c r="U23" s="4651" t="str">
        <f t="shared" si="1"/>
        <v/>
      </c>
      <c r="BY23" s="4652"/>
      <c r="CC23" s="5545" t="str">
        <f t="shared" si="4"/>
        <v/>
      </c>
      <c r="CD23" s="5545" t="str">
        <f t="shared" si="5"/>
        <v/>
      </c>
      <c r="CN23" s="5438"/>
      <c r="CO23" s="5438"/>
      <c r="CP23" s="5438">
        <f t="shared" si="6"/>
        <v>0</v>
      </c>
      <c r="CQ23" s="5438">
        <f t="shared" si="7"/>
        <v>0</v>
      </c>
    </row>
    <row r="24" spans="1:95" x14ac:dyDescent="0.2">
      <c r="A24" s="5598" t="s">
        <v>1355</v>
      </c>
      <c r="B24" s="5599">
        <f>SUM(C24+D24)</f>
        <v>0</v>
      </c>
      <c r="C24" s="5599">
        <f>SUM(E24+G24+I24+K24)</f>
        <v>0</v>
      </c>
      <c r="D24" s="5599">
        <f>SUM(F24+H24+J24+L24)</f>
        <v>0</v>
      </c>
      <c r="E24" s="5600"/>
      <c r="F24" s="5601"/>
      <c r="G24" s="5600"/>
      <c r="H24" s="5601"/>
      <c r="I24" s="5600"/>
      <c r="J24" s="5601"/>
      <c r="K24" s="5602"/>
      <c r="L24" s="5603"/>
      <c r="M24" s="5604"/>
      <c r="N24" s="5605"/>
      <c r="O24" s="5605"/>
      <c r="P24" s="5604"/>
      <c r="Q24" s="4427"/>
      <c r="R24" s="5571"/>
      <c r="S24" s="5606"/>
      <c r="T24" s="4427"/>
      <c r="U24" s="4651" t="str">
        <f t="shared" si="1"/>
        <v/>
      </c>
      <c r="BY24" s="4652"/>
      <c r="CA24" s="5437" t="str">
        <f t="shared" ref="CA24:CA25" si="12">IF(AND($B24&lt;&gt;0,S24=""),"* No olvide digitar el campo "&amp;S$9&amp;" (Digite 0 si no tiene). ","")</f>
        <v/>
      </c>
      <c r="CB24" s="5437" t="str">
        <f t="shared" ref="CB24:CB25" si="13">IF(AND($B24&lt;&gt;0,T24=""),"* No olvide digitar el campo "&amp;T$9&amp;" (Digite 0 si no tiene). ","")</f>
        <v/>
      </c>
      <c r="CC24" s="5545" t="str">
        <f t="shared" si="4"/>
        <v/>
      </c>
      <c r="CD24" s="5545" t="str">
        <f t="shared" si="5"/>
        <v/>
      </c>
      <c r="CN24" s="5438"/>
      <c r="CO24" s="5438"/>
      <c r="CP24" s="5438">
        <f t="shared" si="6"/>
        <v>0</v>
      </c>
      <c r="CQ24" s="5438">
        <f t="shared" si="7"/>
        <v>0</v>
      </c>
    </row>
    <row r="25" spans="1:95" x14ac:dyDescent="0.2">
      <c r="A25" s="4328" t="s">
        <v>1354</v>
      </c>
      <c r="B25" s="5607">
        <f>SUM(C25+D25)</f>
        <v>0</v>
      </c>
      <c r="C25" s="5607">
        <f>SUM(E25+G25+I25+K25)</f>
        <v>0</v>
      </c>
      <c r="D25" s="5607">
        <f>SUM(F25+H25+J25+L25)</f>
        <v>0</v>
      </c>
      <c r="E25" s="4796"/>
      <c r="F25" s="4888"/>
      <c r="G25" s="4796"/>
      <c r="H25" s="4888"/>
      <c r="I25" s="4796"/>
      <c r="J25" s="4888"/>
      <c r="K25" s="4829"/>
      <c r="L25" s="5522"/>
      <c r="M25" s="5574"/>
      <c r="N25" s="5575"/>
      <c r="O25" s="5575"/>
      <c r="P25" s="5576"/>
      <c r="Q25" s="5590"/>
      <c r="R25" s="5577"/>
      <c r="S25" s="4624"/>
      <c r="T25" s="5584"/>
      <c r="U25" s="4651" t="str">
        <f t="shared" si="1"/>
        <v/>
      </c>
      <c r="BY25" s="4652"/>
      <c r="CA25" s="5437" t="str">
        <f t="shared" si="12"/>
        <v/>
      </c>
      <c r="CB25" s="5437" t="str">
        <f t="shared" si="13"/>
        <v/>
      </c>
      <c r="CC25" s="5545" t="str">
        <f t="shared" si="4"/>
        <v/>
      </c>
      <c r="CD25" s="5545" t="str">
        <f t="shared" si="5"/>
        <v/>
      </c>
      <c r="CN25" s="5438"/>
      <c r="CO25" s="5438"/>
      <c r="CP25" s="5438">
        <f t="shared" si="6"/>
        <v>0</v>
      </c>
      <c r="CQ25" s="5438">
        <f t="shared" si="7"/>
        <v>0</v>
      </c>
    </row>
    <row r="26" spans="1:95" ht="15" customHeight="1" x14ac:dyDescent="0.2">
      <c r="A26" s="5592" t="s">
        <v>3715</v>
      </c>
      <c r="B26" s="10513"/>
      <c r="C26" s="8946"/>
      <c r="D26" s="8946"/>
      <c r="E26" s="8946"/>
      <c r="F26" s="8946"/>
      <c r="G26" s="8946"/>
      <c r="H26" s="8946"/>
      <c r="I26" s="8946"/>
      <c r="J26" s="8946"/>
      <c r="K26" s="8946"/>
      <c r="L26" s="8947"/>
      <c r="M26" s="5574"/>
      <c r="N26" s="5575"/>
      <c r="O26" s="5575"/>
      <c r="P26" s="5576"/>
      <c r="Q26" s="4208"/>
      <c r="R26" s="5577"/>
      <c r="S26" s="10517"/>
      <c r="T26" s="10518"/>
      <c r="U26" s="4651" t="str">
        <f t="shared" si="1"/>
        <v/>
      </c>
      <c r="V26" s="4657"/>
      <c r="W26" s="4657"/>
      <c r="X26" s="4657"/>
      <c r="Y26" s="4657"/>
      <c r="Z26" s="4657"/>
      <c r="BY26" s="4652"/>
      <c r="CC26" s="5545" t="str">
        <f t="shared" si="4"/>
        <v/>
      </c>
      <c r="CD26" s="5545" t="str">
        <f t="shared" si="5"/>
        <v/>
      </c>
      <c r="CN26" s="5438"/>
      <c r="CO26" s="5438"/>
      <c r="CP26" s="5438">
        <f t="shared" si="6"/>
        <v>0</v>
      </c>
      <c r="CQ26" s="5438">
        <f t="shared" si="7"/>
        <v>0</v>
      </c>
    </row>
    <row r="27" spans="1:95" ht="15" customHeight="1" x14ac:dyDescent="0.2">
      <c r="A27" s="5608" t="s">
        <v>1353</v>
      </c>
      <c r="B27" s="5609">
        <f>SUM(C27+D27)</f>
        <v>0</v>
      </c>
      <c r="C27" s="5599">
        <f>SUM(E27+G27+I27+K27)</f>
        <v>0</v>
      </c>
      <c r="D27" s="5599">
        <f>SUM(F27+H27+J27+L27)</f>
        <v>0</v>
      </c>
      <c r="E27" s="5549"/>
      <c r="F27" s="5550"/>
      <c r="G27" s="5610"/>
      <c r="H27" s="5550"/>
      <c r="I27" s="5549"/>
      <c r="J27" s="5550"/>
      <c r="K27" s="4281"/>
      <c r="L27" s="5551"/>
      <c r="M27" s="5574"/>
      <c r="N27" s="5575"/>
      <c r="O27" s="5575"/>
      <c r="P27" s="5576"/>
      <c r="Q27" s="4208"/>
      <c r="R27" s="5562"/>
      <c r="S27" s="4624"/>
      <c r="T27" s="5584"/>
      <c r="U27" s="4651" t="str">
        <f t="shared" si="1"/>
        <v/>
      </c>
      <c r="V27" s="4657"/>
      <c r="W27" s="4657"/>
      <c r="X27" s="4657"/>
      <c r="Y27" s="4657"/>
      <c r="Z27" s="4657"/>
      <c r="BY27" s="4652"/>
      <c r="CA27" s="5437" t="str">
        <f t="shared" ref="CA27:CA28" si="14">IF(AND($B27&lt;&gt;0,S27=""),"* No olvide digitar el campo "&amp;S$9&amp;" (Digite 0 si no tiene). ","")</f>
        <v/>
      </c>
      <c r="CB27" s="5437" t="str">
        <f t="shared" ref="CB27:CB28" si="15">IF(AND($B27&lt;&gt;0,T27=""),"* No olvide digitar el campo "&amp;T$9&amp;" (Digite 0 si no tiene). ","")</f>
        <v/>
      </c>
      <c r="CC27" s="5545" t="str">
        <f t="shared" si="4"/>
        <v/>
      </c>
      <c r="CD27" s="5545" t="str">
        <f t="shared" si="5"/>
        <v/>
      </c>
      <c r="CN27" s="5438"/>
      <c r="CO27" s="5438"/>
      <c r="CP27" s="5438">
        <f t="shared" si="6"/>
        <v>0</v>
      </c>
      <c r="CQ27" s="5438">
        <f t="shared" si="7"/>
        <v>0</v>
      </c>
    </row>
    <row r="28" spans="1:95" ht="15" customHeight="1" x14ac:dyDescent="0.2">
      <c r="A28" s="5611" t="s">
        <v>2673</v>
      </c>
      <c r="B28" s="5612">
        <f>SUM(C28+D28)</f>
        <v>0</v>
      </c>
      <c r="C28" s="5607">
        <f>SUM(E28+G28+I28+K28)</f>
        <v>0</v>
      </c>
      <c r="D28" s="5607">
        <f>SUM(F28+H28+J28+L28)</f>
        <v>0</v>
      </c>
      <c r="E28" s="4796"/>
      <c r="F28" s="4888"/>
      <c r="G28" s="4796"/>
      <c r="H28" s="4874"/>
      <c r="I28" s="4796"/>
      <c r="J28" s="4874"/>
      <c r="K28" s="4829"/>
      <c r="L28" s="5589"/>
      <c r="M28" s="5593"/>
      <c r="N28" s="5613"/>
      <c r="O28" s="5613"/>
      <c r="P28" s="5614"/>
      <c r="Q28" s="5615"/>
      <c r="R28" s="5616"/>
      <c r="S28" s="5591"/>
      <c r="T28" s="4598"/>
      <c r="U28" s="4651" t="str">
        <f t="shared" si="1"/>
        <v/>
      </c>
      <c r="V28" s="4657"/>
      <c r="W28" s="4657"/>
      <c r="X28" s="4657"/>
      <c r="Y28" s="4657"/>
      <c r="Z28" s="4657"/>
      <c r="BY28" s="4652"/>
      <c r="CA28" s="5437" t="str">
        <f t="shared" si="14"/>
        <v/>
      </c>
      <c r="CB28" s="5437" t="str">
        <f t="shared" si="15"/>
        <v/>
      </c>
      <c r="CC28" s="5545" t="str">
        <f t="shared" si="4"/>
        <v/>
      </c>
      <c r="CD28" s="5545" t="str">
        <f t="shared" si="5"/>
        <v/>
      </c>
      <c r="CN28" s="5438"/>
      <c r="CO28" s="5438"/>
      <c r="CP28" s="5438">
        <f t="shared" si="6"/>
        <v>0</v>
      </c>
      <c r="CQ28" s="5438">
        <f t="shared" si="7"/>
        <v>0</v>
      </c>
    </row>
    <row r="29" spans="1:95" ht="32.1" customHeight="1" x14ac:dyDescent="0.2">
      <c r="A29" s="4650" t="s">
        <v>1352</v>
      </c>
      <c r="B29" s="5617"/>
      <c r="C29" s="4879"/>
      <c r="D29" s="4657"/>
      <c r="E29" s="4657"/>
      <c r="F29" s="5618"/>
      <c r="G29" s="5618"/>
      <c r="H29" s="5618"/>
      <c r="I29" s="5618"/>
      <c r="J29" s="5618"/>
      <c r="K29" s="5618"/>
      <c r="L29" s="5618"/>
      <c r="M29" s="4657"/>
      <c r="P29" s="4657"/>
      <c r="Q29" s="4657"/>
      <c r="R29" s="4657"/>
      <c r="S29" s="4657"/>
      <c r="T29" s="4657"/>
      <c r="U29" s="4657"/>
      <c r="V29" s="4657"/>
      <c r="W29" s="4657"/>
      <c r="X29" s="4657"/>
      <c r="Y29" s="4657"/>
      <c r="Z29" s="4657"/>
      <c r="AA29" s="4657"/>
      <c r="AB29" s="4657"/>
      <c r="AC29" s="4657"/>
      <c r="BZ29" s="4651"/>
    </row>
    <row r="30" spans="1:95" ht="15" customHeight="1" x14ac:dyDescent="0.2">
      <c r="A30" s="9043" t="s">
        <v>1351</v>
      </c>
      <c r="B30" s="10240"/>
      <c r="C30" s="9043" t="s">
        <v>24</v>
      </c>
      <c r="D30" s="8828" t="s">
        <v>1350</v>
      </c>
      <c r="E30" s="8829"/>
      <c r="F30" s="8829"/>
      <c r="G30" s="8829"/>
      <c r="H30" s="8829"/>
      <c r="I30" s="8829"/>
      <c r="J30" s="8829"/>
      <c r="K30" s="8829"/>
      <c r="L30" s="8933"/>
      <c r="M30" s="10483" t="s">
        <v>1349</v>
      </c>
      <c r="N30" s="10484"/>
      <c r="O30" s="10485"/>
      <c r="P30" s="10472" t="s">
        <v>360</v>
      </c>
      <c r="Q30" s="10474" t="s">
        <v>359</v>
      </c>
      <c r="R30" s="4657"/>
      <c r="S30" s="4657"/>
      <c r="T30" s="4657"/>
      <c r="U30" s="4657"/>
      <c r="V30" s="4657"/>
      <c r="W30" s="4657"/>
      <c r="X30" s="4657"/>
      <c r="Y30" s="4657"/>
      <c r="Z30" s="4657"/>
      <c r="AA30" s="4657"/>
      <c r="AB30" s="4657"/>
      <c r="AC30" s="4657"/>
      <c r="BZ30" s="4651"/>
    </row>
    <row r="31" spans="1:95" ht="23.25" customHeight="1" x14ac:dyDescent="0.2">
      <c r="A31" s="10465"/>
      <c r="B31" s="10242"/>
      <c r="C31" s="10482"/>
      <c r="D31" s="5536" t="s">
        <v>3512</v>
      </c>
      <c r="E31" s="5619" t="s">
        <v>3513</v>
      </c>
      <c r="F31" s="5620" t="s">
        <v>120</v>
      </c>
      <c r="G31" s="5620" t="s">
        <v>1412</v>
      </c>
      <c r="H31" s="5620" t="s">
        <v>1404</v>
      </c>
      <c r="I31" s="5620" t="s">
        <v>1395</v>
      </c>
      <c r="J31" s="5620" t="s">
        <v>1394</v>
      </c>
      <c r="K31" s="5620" t="s">
        <v>1393</v>
      </c>
      <c r="L31" s="5621" t="s">
        <v>1403</v>
      </c>
      <c r="M31" s="5622" t="s">
        <v>1348</v>
      </c>
      <c r="N31" s="5622" t="s">
        <v>1347</v>
      </c>
      <c r="O31" s="5623" t="s">
        <v>1346</v>
      </c>
      <c r="P31" s="10478"/>
      <c r="Q31" s="10475"/>
      <c r="R31" s="4657"/>
      <c r="S31" s="4657"/>
      <c r="T31" s="4657"/>
      <c r="U31" s="4657"/>
      <c r="V31" s="4657"/>
      <c r="W31" s="4657"/>
      <c r="X31" s="4657"/>
      <c r="Y31" s="4657"/>
      <c r="Z31" s="4657"/>
      <c r="AA31" s="4657"/>
      <c r="AB31" s="4657"/>
      <c r="AC31" s="4657"/>
      <c r="BZ31" s="4651"/>
    </row>
    <row r="32" spans="1:95" ht="14.1" customHeight="1" x14ac:dyDescent="0.2">
      <c r="A32" s="8974" t="s">
        <v>1345</v>
      </c>
      <c r="B32" s="5624" t="s">
        <v>190</v>
      </c>
      <c r="C32" s="5625">
        <f t="shared" ref="C32:C57" si="16">SUM(D32:L32)</f>
        <v>0</v>
      </c>
      <c r="D32" s="5626"/>
      <c r="E32" s="5627"/>
      <c r="F32" s="5627"/>
      <c r="G32" s="5627"/>
      <c r="H32" s="5627"/>
      <c r="I32" s="5627"/>
      <c r="J32" s="5627"/>
      <c r="K32" s="5627"/>
      <c r="L32" s="5628"/>
      <c r="M32" s="5629"/>
      <c r="N32" s="5629"/>
      <c r="O32" s="5630"/>
      <c r="P32" s="5631"/>
      <c r="Q32" s="5632"/>
      <c r="R32" s="4651" t="str">
        <f>CA32&amp;CB32&amp;CC32&amp;CD32</f>
        <v/>
      </c>
      <c r="S32" s="4657"/>
      <c r="T32" s="4657"/>
      <c r="V32" s="4657"/>
      <c r="W32" s="4657"/>
      <c r="X32" s="4657"/>
      <c r="Y32" s="4657"/>
      <c r="Z32" s="4657"/>
      <c r="AA32" s="4657"/>
      <c r="AB32" s="4657"/>
      <c r="AC32" s="4657"/>
      <c r="BZ32" s="4651"/>
      <c r="CA32" s="5437" t="str">
        <f>IF(AND($C32&lt;&gt;0,P32=""),"* No olvide digitar el campo "&amp;S$9&amp;" (Digite 0 si no tiene). ","")</f>
        <v/>
      </c>
      <c r="CB32" s="5437" t="str">
        <f>IF(AND($C32&lt;&gt;0,Q32=""),"* No olvide digitar el campo "&amp;T$9&amp;" (Digite 0 si no tiene). ","")</f>
        <v/>
      </c>
      <c r="CC32" s="5545" t="str">
        <f>IF(CP32=1," * El número de procedimientos de personas pertenecientes a pueblos originarios no debe superar el Total de procedimientos. ","")</f>
        <v/>
      </c>
      <c r="CD32" s="5545" t="str">
        <f>IF(CQ32=1," * El número de procedimientos de personas migrantes no debe superar el Total de procedimientos. ","")</f>
        <v/>
      </c>
      <c r="CN32" s="5426"/>
      <c r="CO32" s="5426"/>
      <c r="CP32" s="5438">
        <f>IF(P32&gt;$C32,1,0)</f>
        <v>0</v>
      </c>
      <c r="CQ32" s="5438">
        <f>IF(Q32&gt;$C32,1,0)</f>
        <v>0</v>
      </c>
    </row>
    <row r="33" spans="1:95" ht="14.1" customHeight="1" x14ac:dyDescent="0.2">
      <c r="A33" s="10463"/>
      <c r="B33" s="5633" t="s">
        <v>1325</v>
      </c>
      <c r="C33" s="5633">
        <f>SUM(D33:L33)</f>
        <v>0</v>
      </c>
      <c r="D33" s="5634">
        <f>SUM(D34:D38)</f>
        <v>0</v>
      </c>
      <c r="E33" s="5635">
        <f>SUM(E34:E38)</f>
        <v>0</v>
      </c>
      <c r="F33" s="5635">
        <f>SUM(F34:F38)</f>
        <v>0</v>
      </c>
      <c r="G33" s="5635">
        <f t="shared" ref="G33:L33" si="17">SUM(G34:G38)</f>
        <v>0</v>
      </c>
      <c r="H33" s="5635">
        <f t="shared" si="17"/>
        <v>0</v>
      </c>
      <c r="I33" s="5635">
        <f t="shared" si="17"/>
        <v>0</v>
      </c>
      <c r="J33" s="5635">
        <f t="shared" si="17"/>
        <v>0</v>
      </c>
      <c r="K33" s="5635">
        <f t="shared" si="17"/>
        <v>0</v>
      </c>
      <c r="L33" s="5636">
        <f t="shared" si="17"/>
        <v>0</v>
      </c>
      <c r="M33" s="5637"/>
      <c r="N33" s="5637"/>
      <c r="O33" s="5638"/>
      <c r="P33" s="5631"/>
      <c r="Q33" s="5632"/>
      <c r="R33" s="4651" t="str">
        <f t="shared" ref="R33:R64" si="18">CA33&amp;CB33&amp;CC33&amp;CD33</f>
        <v/>
      </c>
      <c r="S33" s="5436"/>
      <c r="T33" s="5436"/>
      <c r="U33" s="5436"/>
      <c r="V33" s="5436"/>
      <c r="W33" s="5436"/>
      <c r="X33" s="5436"/>
      <c r="Y33" s="5436"/>
      <c r="Z33" s="5436"/>
      <c r="AA33" s="5436"/>
      <c r="AB33" s="4657"/>
      <c r="AC33" s="4657"/>
      <c r="BZ33" s="4651"/>
      <c r="CA33" s="5437" t="str">
        <f t="shared" ref="CA33:CA64" si="19">IF(AND($C33&lt;&gt;0,P33=""),"* No olvide digitar el campo "&amp;S$9&amp;" (Digite 0 si no tiene). ","")</f>
        <v/>
      </c>
      <c r="CB33" s="5437" t="str">
        <f t="shared" ref="CB33:CB64" si="20">IF(AND($C33&lt;&gt;0,Q33=""),"* No olvide digitar el campo "&amp;T$9&amp;" (Digite 0 si no tiene). ","")</f>
        <v/>
      </c>
      <c r="CC33" s="5545" t="str">
        <f t="shared" ref="CC33:CC64" si="21">IF(CP33=1," * El número de procedimientos de personas pertenecientes a pueblos originarios no debe superar el Total de procedimientos. ","")</f>
        <v/>
      </c>
      <c r="CD33" s="5545" t="str">
        <f t="shared" ref="CD33:CD64" si="22">IF(CQ33=1," * El número de procedimientos de personas migrantes no debe superar el Total de procedimientos. ","")</f>
        <v/>
      </c>
      <c r="CN33" s="5438">
        <f>IF(C33&lt;SUM(M33:O33),1,0)</f>
        <v>0</v>
      </c>
      <c r="CO33" s="5438">
        <f>IF(AND(C33&lt;&gt;0,OR(M33="",N33="",O33="")),1,0)</f>
        <v>0</v>
      </c>
      <c r="CP33" s="5438">
        <f t="shared" ref="CP33:CP64" si="23">IF(P33&gt;$C33,1,0)</f>
        <v>0</v>
      </c>
      <c r="CQ33" s="5438">
        <f t="shared" ref="CQ33:CQ64" si="24">IF(Q33&gt;$C33,1,0)</f>
        <v>0</v>
      </c>
    </row>
    <row r="34" spans="1:95" ht="14.1" customHeight="1" x14ac:dyDescent="0.2">
      <c r="A34" s="10463"/>
      <c r="B34" s="5639" t="s">
        <v>1344</v>
      </c>
      <c r="C34" s="5640">
        <f t="shared" si="16"/>
        <v>0</v>
      </c>
      <c r="D34" s="5641"/>
      <c r="E34" s="5642"/>
      <c r="F34" s="5642"/>
      <c r="G34" s="5642"/>
      <c r="H34" s="5642"/>
      <c r="I34" s="5642"/>
      <c r="J34" s="5642"/>
      <c r="K34" s="5642"/>
      <c r="L34" s="5643"/>
      <c r="M34" s="5644"/>
      <c r="N34" s="5644"/>
      <c r="O34" s="5645"/>
      <c r="P34" s="5631"/>
      <c r="Q34" s="5632"/>
      <c r="R34" s="4651" t="str">
        <f t="shared" si="18"/>
        <v/>
      </c>
      <c r="S34" s="4657"/>
      <c r="T34" s="4657"/>
      <c r="U34" s="4657"/>
      <c r="V34" s="4657"/>
      <c r="W34" s="4657"/>
      <c r="X34" s="4657"/>
      <c r="Y34" s="4657"/>
      <c r="Z34" s="4657"/>
      <c r="AA34" s="4657"/>
      <c r="AB34" s="4657"/>
      <c r="AC34" s="4657"/>
      <c r="BZ34" s="4651"/>
      <c r="CA34" s="5437" t="str">
        <f t="shared" si="19"/>
        <v/>
      </c>
      <c r="CB34" s="5437" t="str">
        <f t="shared" si="20"/>
        <v/>
      </c>
      <c r="CC34" s="5545" t="str">
        <f t="shared" si="21"/>
        <v/>
      </c>
      <c r="CD34" s="5545" t="str">
        <f t="shared" si="22"/>
        <v/>
      </c>
      <c r="CN34" s="5426"/>
      <c r="CO34" s="5426"/>
      <c r="CP34" s="5438">
        <f t="shared" si="23"/>
        <v>0</v>
      </c>
      <c r="CQ34" s="5438">
        <f t="shared" si="24"/>
        <v>0</v>
      </c>
    </row>
    <row r="35" spans="1:95" ht="14.1" customHeight="1" x14ac:dyDescent="0.2">
      <c r="A35" s="10463"/>
      <c r="B35" s="5646" t="s">
        <v>1343</v>
      </c>
      <c r="C35" s="5581">
        <f t="shared" si="16"/>
        <v>0</v>
      </c>
      <c r="D35" s="5647"/>
      <c r="E35" s="5648"/>
      <c r="F35" s="5648"/>
      <c r="G35" s="5648"/>
      <c r="H35" s="5648"/>
      <c r="I35" s="5648"/>
      <c r="J35" s="5648"/>
      <c r="K35" s="5648"/>
      <c r="L35" s="5649"/>
      <c r="M35" s="5650"/>
      <c r="N35" s="5650"/>
      <c r="O35" s="5651"/>
      <c r="P35" s="5631"/>
      <c r="Q35" s="5632"/>
      <c r="R35" s="4651" t="str">
        <f t="shared" si="18"/>
        <v/>
      </c>
      <c r="S35" s="4657"/>
      <c r="T35" s="4657"/>
      <c r="U35" s="4657"/>
      <c r="V35" s="4657"/>
      <c r="W35" s="4657"/>
      <c r="X35" s="4657"/>
      <c r="Y35" s="4657"/>
      <c r="Z35" s="4657"/>
      <c r="AA35" s="4657"/>
      <c r="AB35" s="4657"/>
      <c r="AC35" s="4657"/>
      <c r="BZ35" s="4651"/>
      <c r="CA35" s="5437" t="str">
        <f t="shared" si="19"/>
        <v/>
      </c>
      <c r="CB35" s="5437" t="str">
        <f t="shared" si="20"/>
        <v/>
      </c>
      <c r="CC35" s="5545" t="str">
        <f t="shared" si="21"/>
        <v/>
      </c>
      <c r="CD35" s="5545" t="str">
        <f t="shared" si="22"/>
        <v/>
      </c>
      <c r="CN35" s="5426"/>
      <c r="CO35" s="5426"/>
      <c r="CP35" s="5438">
        <f t="shared" si="23"/>
        <v>0</v>
      </c>
      <c r="CQ35" s="5438">
        <f t="shared" si="24"/>
        <v>0</v>
      </c>
    </row>
    <row r="36" spans="1:95" ht="14.1" customHeight="1" x14ac:dyDescent="0.2">
      <c r="A36" s="10463"/>
      <c r="B36" s="5646" t="s">
        <v>1342</v>
      </c>
      <c r="C36" s="5581">
        <f t="shared" si="16"/>
        <v>0</v>
      </c>
      <c r="D36" s="5652"/>
      <c r="E36" s="5653"/>
      <c r="F36" s="5653"/>
      <c r="G36" s="5653"/>
      <c r="H36" s="5653"/>
      <c r="I36" s="5653"/>
      <c r="J36" s="5653"/>
      <c r="K36" s="5653"/>
      <c r="L36" s="5654"/>
      <c r="M36" s="5655"/>
      <c r="N36" s="5655"/>
      <c r="O36" s="5656"/>
      <c r="P36" s="5631"/>
      <c r="Q36" s="5632"/>
      <c r="R36" s="4651" t="str">
        <f t="shared" si="18"/>
        <v/>
      </c>
      <c r="S36" s="4657"/>
      <c r="T36" s="4657"/>
      <c r="U36" s="4657"/>
      <c r="V36" s="4657"/>
      <c r="W36" s="4657"/>
      <c r="X36" s="4657"/>
      <c r="Y36" s="4657"/>
      <c r="Z36" s="4657"/>
      <c r="AA36" s="4657"/>
      <c r="AB36" s="4657"/>
      <c r="AC36" s="4657"/>
      <c r="BZ36" s="4651"/>
      <c r="CA36" s="5437" t="str">
        <f t="shared" si="19"/>
        <v/>
      </c>
      <c r="CB36" s="5437" t="str">
        <f t="shared" si="20"/>
        <v/>
      </c>
      <c r="CC36" s="5545" t="str">
        <f t="shared" si="21"/>
        <v/>
      </c>
      <c r="CD36" s="5545" t="str">
        <f t="shared" si="22"/>
        <v/>
      </c>
      <c r="CN36" s="5426"/>
      <c r="CO36" s="5426"/>
      <c r="CP36" s="5438">
        <f t="shared" si="23"/>
        <v>0</v>
      </c>
      <c r="CQ36" s="5438">
        <f t="shared" si="24"/>
        <v>0</v>
      </c>
    </row>
    <row r="37" spans="1:95" ht="14.1" customHeight="1" x14ac:dyDescent="0.2">
      <c r="A37" s="10463"/>
      <c r="B37" s="5646" t="s">
        <v>1341</v>
      </c>
      <c r="C37" s="5581">
        <f t="shared" si="16"/>
        <v>0</v>
      </c>
      <c r="D37" s="5657"/>
      <c r="E37" s="5658"/>
      <c r="F37" s="5658"/>
      <c r="G37" s="5658"/>
      <c r="H37" s="5658"/>
      <c r="I37" s="5658"/>
      <c r="J37" s="5658"/>
      <c r="K37" s="5658"/>
      <c r="L37" s="5659"/>
      <c r="M37" s="5660"/>
      <c r="N37" s="5660"/>
      <c r="O37" s="5661"/>
      <c r="P37" s="5631"/>
      <c r="Q37" s="5632"/>
      <c r="R37" s="4651" t="str">
        <f t="shared" si="18"/>
        <v/>
      </c>
      <c r="S37" s="4657"/>
      <c r="T37" s="4657"/>
      <c r="U37" s="4657"/>
      <c r="V37" s="4657"/>
      <c r="W37" s="4657"/>
      <c r="X37" s="4657"/>
      <c r="Y37" s="4657"/>
      <c r="Z37" s="4657"/>
      <c r="AA37" s="4657"/>
      <c r="AB37" s="4657"/>
      <c r="AC37" s="4657"/>
      <c r="BZ37" s="4651"/>
      <c r="CA37" s="5437" t="str">
        <f t="shared" si="19"/>
        <v/>
      </c>
      <c r="CB37" s="5437" t="str">
        <f t="shared" si="20"/>
        <v/>
      </c>
      <c r="CC37" s="5545" t="str">
        <f t="shared" si="21"/>
        <v/>
      </c>
      <c r="CD37" s="5545" t="str">
        <f t="shared" si="22"/>
        <v/>
      </c>
      <c r="CN37" s="5426"/>
      <c r="CO37" s="5426"/>
      <c r="CP37" s="5438">
        <f t="shared" si="23"/>
        <v>0</v>
      </c>
      <c r="CQ37" s="5438">
        <f t="shared" si="24"/>
        <v>0</v>
      </c>
    </row>
    <row r="38" spans="1:95" ht="14.1" customHeight="1" x14ac:dyDescent="0.2">
      <c r="A38" s="10463"/>
      <c r="B38" s="5646" t="s">
        <v>1340</v>
      </c>
      <c r="C38" s="5581">
        <f t="shared" si="16"/>
        <v>0</v>
      </c>
      <c r="D38" s="5647"/>
      <c r="E38" s="5648"/>
      <c r="F38" s="5648"/>
      <c r="G38" s="5648"/>
      <c r="H38" s="5648"/>
      <c r="I38" s="5648"/>
      <c r="J38" s="5648"/>
      <c r="K38" s="5648"/>
      <c r="L38" s="5649"/>
      <c r="M38" s="5650"/>
      <c r="N38" s="5650"/>
      <c r="O38" s="5651"/>
      <c r="P38" s="5631"/>
      <c r="Q38" s="5632"/>
      <c r="R38" s="4651" t="str">
        <f t="shared" si="18"/>
        <v/>
      </c>
      <c r="S38" s="4657"/>
      <c r="T38" s="4657"/>
      <c r="U38" s="4657"/>
      <c r="V38" s="4657"/>
      <c r="W38" s="4657"/>
      <c r="X38" s="4657"/>
      <c r="Y38" s="4657"/>
      <c r="Z38" s="4657"/>
      <c r="AA38" s="4657"/>
      <c r="AB38" s="4657"/>
      <c r="AC38" s="4657"/>
      <c r="BZ38" s="4651"/>
      <c r="CA38" s="5437" t="str">
        <f t="shared" si="19"/>
        <v/>
      </c>
      <c r="CB38" s="5437" t="str">
        <f t="shared" si="20"/>
        <v/>
      </c>
      <c r="CC38" s="5545" t="str">
        <f t="shared" si="21"/>
        <v/>
      </c>
      <c r="CD38" s="5545" t="str">
        <f t="shared" si="22"/>
        <v/>
      </c>
      <c r="CN38" s="5426"/>
      <c r="CO38" s="5426"/>
      <c r="CP38" s="5438">
        <f t="shared" si="23"/>
        <v>0</v>
      </c>
      <c r="CQ38" s="5438">
        <f t="shared" si="24"/>
        <v>0</v>
      </c>
    </row>
    <row r="39" spans="1:95" ht="14.1" customHeight="1" x14ac:dyDescent="0.2">
      <c r="A39" s="10464"/>
      <c r="B39" s="5646" t="s">
        <v>2636</v>
      </c>
      <c r="C39" s="5581">
        <f t="shared" si="16"/>
        <v>0</v>
      </c>
      <c r="D39" s="5662"/>
      <c r="E39" s="5663"/>
      <c r="F39" s="5663"/>
      <c r="G39" s="5663"/>
      <c r="H39" s="5663"/>
      <c r="I39" s="5663"/>
      <c r="J39" s="5663"/>
      <c r="K39" s="5663"/>
      <c r="L39" s="5664"/>
      <c r="M39" s="5665"/>
      <c r="N39" s="5665"/>
      <c r="O39" s="5666"/>
      <c r="P39" s="5667"/>
      <c r="Q39" s="5668"/>
      <c r="R39" s="4651" t="str">
        <f t="shared" si="18"/>
        <v/>
      </c>
      <c r="S39" s="4657"/>
      <c r="T39" s="4657"/>
      <c r="U39" s="4657"/>
      <c r="V39" s="4657"/>
      <c r="W39" s="4657"/>
      <c r="X39" s="4657"/>
      <c r="Y39" s="4657"/>
      <c r="Z39" s="4657"/>
      <c r="AA39" s="4657"/>
      <c r="AB39" s="4657"/>
      <c r="AC39" s="4657"/>
      <c r="BZ39" s="4651"/>
      <c r="CA39" s="5437" t="str">
        <f t="shared" si="19"/>
        <v/>
      </c>
      <c r="CB39" s="5437" t="str">
        <f t="shared" si="20"/>
        <v/>
      </c>
      <c r="CC39" s="5545" t="str">
        <f t="shared" si="21"/>
        <v/>
      </c>
      <c r="CD39" s="5545" t="str">
        <f t="shared" si="22"/>
        <v/>
      </c>
      <c r="CN39" s="5426"/>
      <c r="CO39" s="5426"/>
      <c r="CP39" s="5438">
        <f t="shared" si="23"/>
        <v>0</v>
      </c>
      <c r="CQ39" s="5438">
        <f t="shared" si="24"/>
        <v>0</v>
      </c>
    </row>
    <row r="40" spans="1:95" ht="14.1" customHeight="1" x14ac:dyDescent="0.2">
      <c r="A40" s="8652" t="s">
        <v>1339</v>
      </c>
      <c r="B40" s="5321" t="s">
        <v>190</v>
      </c>
      <c r="C40" s="5669">
        <f t="shared" si="16"/>
        <v>0</v>
      </c>
      <c r="D40" s="5641"/>
      <c r="E40" s="5670"/>
      <c r="F40" s="5670"/>
      <c r="G40" s="5670"/>
      <c r="H40" s="5670"/>
      <c r="I40" s="5670"/>
      <c r="J40" s="5670"/>
      <c r="K40" s="5670"/>
      <c r="L40" s="5671"/>
      <c r="M40" s="5672"/>
      <c r="N40" s="5672"/>
      <c r="O40" s="5673"/>
      <c r="P40" s="5674"/>
      <c r="Q40" s="5675"/>
      <c r="R40" s="4651" t="str">
        <f t="shared" si="18"/>
        <v/>
      </c>
      <c r="S40" s="4657"/>
      <c r="T40" s="4657"/>
      <c r="U40" s="4657"/>
      <c r="V40" s="4657"/>
      <c r="W40" s="4657"/>
      <c r="X40" s="4657"/>
      <c r="Y40" s="4657"/>
      <c r="Z40" s="4657"/>
      <c r="AA40" s="4657"/>
      <c r="AB40" s="4657"/>
      <c r="AC40" s="4657"/>
      <c r="BZ40" s="4651"/>
      <c r="CA40" s="5437" t="str">
        <f t="shared" si="19"/>
        <v/>
      </c>
      <c r="CB40" s="5437" t="str">
        <f t="shared" si="20"/>
        <v/>
      </c>
      <c r="CC40" s="5545" t="str">
        <f t="shared" si="21"/>
        <v/>
      </c>
      <c r="CD40" s="5545" t="str">
        <f t="shared" si="22"/>
        <v/>
      </c>
      <c r="CN40" s="5426"/>
      <c r="CO40" s="5426"/>
      <c r="CP40" s="5438">
        <f t="shared" si="23"/>
        <v>0</v>
      </c>
      <c r="CQ40" s="5438">
        <f t="shared" si="24"/>
        <v>0</v>
      </c>
    </row>
    <row r="41" spans="1:95" ht="14.1" customHeight="1" x14ac:dyDescent="0.2">
      <c r="A41" s="8703"/>
      <c r="B41" s="5639" t="s">
        <v>1325</v>
      </c>
      <c r="C41" s="5640">
        <f t="shared" si="16"/>
        <v>0</v>
      </c>
      <c r="D41" s="5647"/>
      <c r="E41" s="5648"/>
      <c r="F41" s="5648"/>
      <c r="G41" s="5648"/>
      <c r="H41" s="5648"/>
      <c r="I41" s="5648"/>
      <c r="J41" s="5648"/>
      <c r="K41" s="5648"/>
      <c r="L41" s="5649"/>
      <c r="M41" s="5637"/>
      <c r="N41" s="5637"/>
      <c r="O41" s="5638"/>
      <c r="P41" s="5631"/>
      <c r="Q41" s="5632"/>
      <c r="R41" s="4651" t="str">
        <f t="shared" si="18"/>
        <v/>
      </c>
      <c r="S41" s="5436"/>
      <c r="T41" s="5436"/>
      <c r="U41" s="5436"/>
      <c r="V41" s="5436"/>
      <c r="W41" s="5436"/>
      <c r="X41" s="5436"/>
      <c r="Y41" s="5436"/>
      <c r="Z41" s="5436"/>
      <c r="AA41" s="5436"/>
      <c r="AB41" s="4657"/>
      <c r="AC41" s="4657"/>
      <c r="BZ41" s="4651"/>
      <c r="CA41" s="5437" t="str">
        <f t="shared" si="19"/>
        <v/>
      </c>
      <c r="CB41" s="5437" t="str">
        <f t="shared" si="20"/>
        <v/>
      </c>
      <c r="CC41" s="5545" t="str">
        <f t="shared" si="21"/>
        <v/>
      </c>
      <c r="CD41" s="5545" t="str">
        <f t="shared" si="22"/>
        <v/>
      </c>
      <c r="CN41" s="5438">
        <f>IF(C41&lt;SUM(M41:O41),1,0)</f>
        <v>0</v>
      </c>
      <c r="CO41" s="5438">
        <f>IF(AND(C41&lt;&gt;0,OR(M41="",N41="",O41="")),1,0)</f>
        <v>0</v>
      </c>
      <c r="CP41" s="5438">
        <f t="shared" si="23"/>
        <v>0</v>
      </c>
      <c r="CQ41" s="5438">
        <f t="shared" si="24"/>
        <v>0</v>
      </c>
    </row>
    <row r="42" spans="1:95" ht="14.1" customHeight="1" x14ac:dyDescent="0.2">
      <c r="A42" s="9692"/>
      <c r="B42" s="5676" t="s">
        <v>1335</v>
      </c>
      <c r="C42" s="5607">
        <f t="shared" si="16"/>
        <v>0</v>
      </c>
      <c r="D42" s="5677"/>
      <c r="E42" s="5678"/>
      <c r="F42" s="5678"/>
      <c r="G42" s="5678"/>
      <c r="H42" s="5678"/>
      <c r="I42" s="5678"/>
      <c r="J42" s="5678"/>
      <c r="K42" s="5678"/>
      <c r="L42" s="5679"/>
      <c r="M42" s="5680"/>
      <c r="N42" s="5680"/>
      <c r="O42" s="5681"/>
      <c r="P42" s="5667"/>
      <c r="Q42" s="5668"/>
      <c r="R42" s="4651" t="str">
        <f t="shared" si="18"/>
        <v/>
      </c>
      <c r="S42" s="4657"/>
      <c r="T42" s="4657"/>
      <c r="U42" s="4657"/>
      <c r="V42" s="4657"/>
      <c r="W42" s="4657"/>
      <c r="X42" s="4657"/>
      <c r="Y42" s="4657"/>
      <c r="Z42" s="4657"/>
      <c r="AA42" s="4657"/>
      <c r="AB42" s="4657"/>
      <c r="AC42" s="4657"/>
      <c r="BZ42" s="4651"/>
      <c r="CA42" s="5437" t="str">
        <f t="shared" si="19"/>
        <v/>
      </c>
      <c r="CB42" s="5437" t="str">
        <f t="shared" si="20"/>
        <v/>
      </c>
      <c r="CC42" s="5545" t="str">
        <f t="shared" si="21"/>
        <v/>
      </c>
      <c r="CD42" s="5545" t="str">
        <f t="shared" si="22"/>
        <v/>
      </c>
      <c r="CN42" s="5426"/>
      <c r="CO42" s="5426"/>
      <c r="CP42" s="5438">
        <f t="shared" si="23"/>
        <v>0</v>
      </c>
      <c r="CQ42" s="5438">
        <f t="shared" si="24"/>
        <v>0</v>
      </c>
    </row>
    <row r="43" spans="1:95" ht="14.1" customHeight="1" x14ac:dyDescent="0.2">
      <c r="A43" s="8652" t="s">
        <v>1338</v>
      </c>
      <c r="B43" s="5682" t="s">
        <v>190</v>
      </c>
      <c r="C43" s="5640">
        <f t="shared" si="16"/>
        <v>0</v>
      </c>
      <c r="D43" s="5683"/>
      <c r="E43" s="5670"/>
      <c r="F43" s="5670"/>
      <c r="G43" s="5670"/>
      <c r="H43" s="5670"/>
      <c r="I43" s="5670"/>
      <c r="J43" s="5670"/>
      <c r="K43" s="5670"/>
      <c r="L43" s="5671"/>
      <c r="M43" s="5672"/>
      <c r="N43" s="5672"/>
      <c r="O43" s="5673"/>
      <c r="P43" s="5674"/>
      <c r="Q43" s="5675"/>
      <c r="R43" s="4651" t="str">
        <f t="shared" si="18"/>
        <v/>
      </c>
      <c r="S43" s="4657"/>
      <c r="T43" s="4657"/>
      <c r="U43" s="4657"/>
      <c r="V43" s="4657"/>
      <c r="W43" s="4657"/>
      <c r="X43" s="4657"/>
      <c r="Y43" s="4657"/>
      <c r="Z43" s="4657"/>
      <c r="AA43" s="4657"/>
      <c r="AB43" s="4657"/>
      <c r="AC43" s="4657"/>
      <c r="BZ43" s="4651"/>
      <c r="CA43" s="5437" t="str">
        <f t="shared" si="19"/>
        <v/>
      </c>
      <c r="CB43" s="5437" t="str">
        <f t="shared" si="20"/>
        <v/>
      </c>
      <c r="CC43" s="5545" t="str">
        <f t="shared" si="21"/>
        <v/>
      </c>
      <c r="CD43" s="5545" t="str">
        <f t="shared" si="22"/>
        <v/>
      </c>
      <c r="CN43" s="5426"/>
      <c r="CO43" s="5426"/>
      <c r="CP43" s="5438">
        <f t="shared" si="23"/>
        <v>0</v>
      </c>
      <c r="CQ43" s="5438">
        <f t="shared" si="24"/>
        <v>0</v>
      </c>
    </row>
    <row r="44" spans="1:95" ht="14.1" customHeight="1" x14ac:dyDescent="0.2">
      <c r="A44" s="8703"/>
      <c r="B44" s="5684" t="s">
        <v>1325</v>
      </c>
      <c r="C44" s="5581">
        <f t="shared" si="16"/>
        <v>0</v>
      </c>
      <c r="D44" s="5647"/>
      <c r="E44" s="5648"/>
      <c r="F44" s="5648"/>
      <c r="G44" s="5648"/>
      <c r="H44" s="5648"/>
      <c r="I44" s="5648"/>
      <c r="J44" s="5648"/>
      <c r="K44" s="5648"/>
      <c r="L44" s="5649"/>
      <c r="M44" s="5637"/>
      <c r="N44" s="5637"/>
      <c r="O44" s="5638"/>
      <c r="P44" s="5631"/>
      <c r="Q44" s="5632"/>
      <c r="R44" s="4651" t="str">
        <f t="shared" si="18"/>
        <v/>
      </c>
      <c r="S44" s="5436"/>
      <c r="T44" s="5436"/>
      <c r="U44" s="5436"/>
      <c r="V44" s="5436"/>
      <c r="W44" s="5436"/>
      <c r="X44" s="5436"/>
      <c r="Y44" s="5436"/>
      <c r="Z44" s="5436"/>
      <c r="AA44" s="5436"/>
      <c r="AB44" s="4657"/>
      <c r="AC44" s="4657"/>
      <c r="BZ44" s="4651"/>
      <c r="CA44" s="5437" t="str">
        <f t="shared" si="19"/>
        <v/>
      </c>
      <c r="CB44" s="5437" t="str">
        <f t="shared" si="20"/>
        <v/>
      </c>
      <c r="CC44" s="5545" t="str">
        <f t="shared" si="21"/>
        <v/>
      </c>
      <c r="CD44" s="5545" t="str">
        <f t="shared" si="22"/>
        <v/>
      </c>
      <c r="CN44" s="5438">
        <f>IF(C44&lt;SUM(M44:O44),1,0)</f>
        <v>0</v>
      </c>
      <c r="CO44" s="5438">
        <f>IF(AND(C44&lt;&gt;0,OR(M44="",N44="",O44="")),1,0)</f>
        <v>0</v>
      </c>
      <c r="CP44" s="5438">
        <f t="shared" si="23"/>
        <v>0</v>
      </c>
      <c r="CQ44" s="5438">
        <f t="shared" si="24"/>
        <v>0</v>
      </c>
    </row>
    <row r="45" spans="1:95" ht="14.1" customHeight="1" x14ac:dyDescent="0.2">
      <c r="A45" s="9692"/>
      <c r="B45" s="5685" t="s">
        <v>1337</v>
      </c>
      <c r="C45" s="5686">
        <f t="shared" si="16"/>
        <v>0</v>
      </c>
      <c r="D45" s="5677"/>
      <c r="E45" s="5678"/>
      <c r="F45" s="5678"/>
      <c r="G45" s="5678"/>
      <c r="H45" s="5678"/>
      <c r="I45" s="5678"/>
      <c r="J45" s="5678"/>
      <c r="K45" s="5678"/>
      <c r="L45" s="5679"/>
      <c r="M45" s="5680"/>
      <c r="N45" s="5680"/>
      <c r="O45" s="5681"/>
      <c r="P45" s="5667"/>
      <c r="Q45" s="5668"/>
      <c r="R45" s="4651" t="str">
        <f t="shared" si="18"/>
        <v/>
      </c>
      <c r="S45" s="4657"/>
      <c r="T45" s="4657"/>
      <c r="U45" s="4657"/>
      <c r="V45" s="4657"/>
      <c r="W45" s="4657"/>
      <c r="X45" s="4657"/>
      <c r="Y45" s="4657"/>
      <c r="Z45" s="4657"/>
      <c r="AA45" s="4657"/>
      <c r="AB45" s="4657"/>
      <c r="AC45" s="4657"/>
      <c r="BZ45" s="4651"/>
      <c r="CA45" s="5437" t="str">
        <f t="shared" si="19"/>
        <v/>
      </c>
      <c r="CB45" s="5437" t="str">
        <f t="shared" si="20"/>
        <v/>
      </c>
      <c r="CC45" s="5545" t="str">
        <f t="shared" si="21"/>
        <v/>
      </c>
      <c r="CD45" s="5545" t="str">
        <f t="shared" si="22"/>
        <v/>
      </c>
      <c r="CN45" s="5426"/>
      <c r="CO45" s="5426"/>
      <c r="CP45" s="5438">
        <f t="shared" si="23"/>
        <v>0</v>
      </c>
      <c r="CQ45" s="5438">
        <f t="shared" si="24"/>
        <v>0</v>
      </c>
    </row>
    <row r="46" spans="1:95" ht="14.1" customHeight="1" x14ac:dyDescent="0.2">
      <c r="A46" s="10462" t="s">
        <v>3725</v>
      </c>
      <c r="B46" s="5321" t="s">
        <v>190</v>
      </c>
      <c r="C46" s="5687">
        <f>SUM(D46:L46)</f>
        <v>0</v>
      </c>
      <c r="D46" s="5688"/>
      <c r="E46" s="5689"/>
      <c r="F46" s="5689"/>
      <c r="G46" s="5689"/>
      <c r="H46" s="5689"/>
      <c r="I46" s="5689"/>
      <c r="J46" s="5689"/>
      <c r="K46" s="5689"/>
      <c r="L46" s="5690"/>
      <c r="M46" s="5672"/>
      <c r="N46" s="5672"/>
      <c r="O46" s="5673"/>
      <c r="P46" s="5674"/>
      <c r="Q46" s="5675"/>
      <c r="R46" s="4651" t="str">
        <f t="shared" si="18"/>
        <v/>
      </c>
      <c r="S46" s="4657"/>
      <c r="T46" s="4657"/>
      <c r="U46" s="4657"/>
      <c r="V46" s="4657"/>
      <c r="W46" s="4657"/>
      <c r="X46" s="4657"/>
      <c r="Y46" s="4657"/>
      <c r="Z46" s="4657"/>
      <c r="AA46" s="4657"/>
      <c r="AB46" s="4657"/>
      <c r="AC46" s="4657"/>
      <c r="BZ46" s="4651"/>
      <c r="CA46" s="5437" t="str">
        <f t="shared" si="19"/>
        <v/>
      </c>
      <c r="CB46" s="5437" t="str">
        <f t="shared" si="20"/>
        <v/>
      </c>
      <c r="CC46" s="5545" t="str">
        <f t="shared" si="21"/>
        <v/>
      </c>
      <c r="CD46" s="5545" t="str">
        <f t="shared" si="22"/>
        <v/>
      </c>
      <c r="CN46" s="5426"/>
      <c r="CO46" s="5426"/>
      <c r="CP46" s="5438">
        <f t="shared" si="23"/>
        <v>0</v>
      </c>
      <c r="CQ46" s="5438">
        <f t="shared" si="24"/>
        <v>0</v>
      </c>
    </row>
    <row r="47" spans="1:95" ht="14.1" customHeight="1" x14ac:dyDescent="0.2">
      <c r="A47" s="8635"/>
      <c r="B47" s="5639" t="s">
        <v>1325</v>
      </c>
      <c r="C47" s="5563">
        <f>SUM(D47:L47)</f>
        <v>0</v>
      </c>
      <c r="D47" s="5691"/>
      <c r="E47" s="5692"/>
      <c r="F47" s="5692"/>
      <c r="G47" s="5692"/>
      <c r="H47" s="5692"/>
      <c r="I47" s="5692"/>
      <c r="J47" s="5692"/>
      <c r="K47" s="5692"/>
      <c r="L47" s="5693"/>
      <c r="M47" s="5637"/>
      <c r="N47" s="5637"/>
      <c r="O47" s="5638"/>
      <c r="P47" s="5631"/>
      <c r="Q47" s="5632"/>
      <c r="R47" s="4651" t="str">
        <f t="shared" si="18"/>
        <v/>
      </c>
      <c r="S47" s="4657"/>
      <c r="T47" s="4657"/>
      <c r="U47" s="4657"/>
      <c r="V47" s="4657"/>
      <c r="W47" s="4657"/>
      <c r="X47" s="4657"/>
      <c r="Y47" s="4657"/>
      <c r="Z47" s="4657"/>
      <c r="AA47" s="4657"/>
      <c r="AB47" s="4657"/>
      <c r="AC47" s="4657"/>
      <c r="BZ47" s="4651"/>
      <c r="CA47" s="5437" t="str">
        <f t="shared" si="19"/>
        <v/>
      </c>
      <c r="CB47" s="5437" t="str">
        <f t="shared" si="20"/>
        <v/>
      </c>
      <c r="CC47" s="5545" t="str">
        <f t="shared" si="21"/>
        <v/>
      </c>
      <c r="CD47" s="5545" t="str">
        <f t="shared" si="22"/>
        <v/>
      </c>
      <c r="CN47" s="5426"/>
      <c r="CO47" s="5426"/>
      <c r="CP47" s="5438">
        <f t="shared" si="23"/>
        <v>0</v>
      </c>
      <c r="CQ47" s="5438">
        <f t="shared" si="24"/>
        <v>0</v>
      </c>
    </row>
    <row r="48" spans="1:95" ht="14.1" customHeight="1" x14ac:dyDescent="0.2">
      <c r="A48" s="8662"/>
      <c r="B48" s="5676" t="s">
        <v>3994</v>
      </c>
      <c r="C48" s="5694">
        <f>SUM(D48:L48)</f>
        <v>0</v>
      </c>
      <c r="D48" s="5695"/>
      <c r="E48" s="5663"/>
      <c r="F48" s="5663"/>
      <c r="G48" s="5663"/>
      <c r="H48" s="5663"/>
      <c r="I48" s="5663"/>
      <c r="J48" s="5663"/>
      <c r="K48" s="5663"/>
      <c r="L48" s="5696"/>
      <c r="M48" s="5665"/>
      <c r="N48" s="5665"/>
      <c r="O48" s="5666"/>
      <c r="P48" s="5667"/>
      <c r="Q48" s="5668"/>
      <c r="R48" s="4651" t="str">
        <f t="shared" si="18"/>
        <v/>
      </c>
      <c r="S48" s="4657"/>
      <c r="T48" s="4657"/>
      <c r="U48" s="4657"/>
      <c r="V48" s="4657"/>
      <c r="W48" s="4657"/>
      <c r="X48" s="4657"/>
      <c r="Y48" s="4657"/>
      <c r="Z48" s="4657"/>
      <c r="AA48" s="4657"/>
      <c r="AB48" s="4657"/>
      <c r="AC48" s="4657"/>
      <c r="BZ48" s="4651"/>
      <c r="CA48" s="5437" t="str">
        <f t="shared" si="19"/>
        <v/>
      </c>
      <c r="CB48" s="5437" t="str">
        <f t="shared" si="20"/>
        <v/>
      </c>
      <c r="CC48" s="5545" t="str">
        <f t="shared" si="21"/>
        <v/>
      </c>
      <c r="CD48" s="5545" t="str">
        <f t="shared" si="22"/>
        <v/>
      </c>
      <c r="CN48" s="5426"/>
      <c r="CO48" s="5426"/>
      <c r="CP48" s="5438">
        <f t="shared" si="23"/>
        <v>0</v>
      </c>
      <c r="CQ48" s="5438">
        <f t="shared" si="24"/>
        <v>0</v>
      </c>
    </row>
    <row r="49" spans="1:95" ht="14.1" customHeight="1" x14ac:dyDescent="0.2">
      <c r="A49" s="8652" t="s">
        <v>1336</v>
      </c>
      <c r="B49" s="5321" t="s">
        <v>190</v>
      </c>
      <c r="C49" s="5573">
        <f t="shared" si="16"/>
        <v>0</v>
      </c>
      <c r="D49" s="5697"/>
      <c r="E49" s="5698"/>
      <c r="F49" s="5698"/>
      <c r="G49" s="5698"/>
      <c r="H49" s="5698"/>
      <c r="I49" s="5698"/>
      <c r="J49" s="5698"/>
      <c r="K49" s="5698"/>
      <c r="L49" s="5699"/>
      <c r="M49" s="5700"/>
      <c r="N49" s="5700"/>
      <c r="O49" s="5701"/>
      <c r="P49" s="5674"/>
      <c r="Q49" s="5675"/>
      <c r="R49" s="4651" t="str">
        <f t="shared" si="18"/>
        <v/>
      </c>
      <c r="S49" s="4657"/>
      <c r="T49" s="4657"/>
      <c r="U49" s="4657"/>
      <c r="V49" s="4657"/>
      <c r="W49" s="4657"/>
      <c r="X49" s="4657"/>
      <c r="Y49" s="4657"/>
      <c r="Z49" s="4657"/>
      <c r="AA49" s="4657"/>
      <c r="AB49" s="4657"/>
      <c r="AC49" s="4657"/>
      <c r="BZ49" s="4651"/>
      <c r="CA49" s="5437" t="str">
        <f t="shared" si="19"/>
        <v/>
      </c>
      <c r="CB49" s="5437" t="str">
        <f t="shared" si="20"/>
        <v/>
      </c>
      <c r="CC49" s="5545" t="str">
        <f t="shared" si="21"/>
        <v/>
      </c>
      <c r="CD49" s="5545" t="str">
        <f t="shared" si="22"/>
        <v/>
      </c>
      <c r="CN49" s="5426"/>
      <c r="CO49" s="5426"/>
      <c r="CP49" s="5438">
        <f t="shared" si="23"/>
        <v>0</v>
      </c>
      <c r="CQ49" s="5438">
        <f t="shared" si="24"/>
        <v>0</v>
      </c>
    </row>
    <row r="50" spans="1:95" ht="14.1" customHeight="1" x14ac:dyDescent="0.2">
      <c r="A50" s="8703"/>
      <c r="B50" s="5639" t="s">
        <v>1325</v>
      </c>
      <c r="C50" s="5640">
        <f t="shared" si="16"/>
        <v>0</v>
      </c>
      <c r="D50" s="5657"/>
      <c r="E50" s="5658"/>
      <c r="F50" s="5658"/>
      <c r="G50" s="5658"/>
      <c r="H50" s="5658"/>
      <c r="I50" s="5658"/>
      <c r="J50" s="5658"/>
      <c r="K50" s="5658"/>
      <c r="L50" s="5659"/>
      <c r="M50" s="5702"/>
      <c r="N50" s="5702"/>
      <c r="O50" s="5703"/>
      <c r="P50" s="5631"/>
      <c r="Q50" s="5632"/>
      <c r="R50" s="4651" t="str">
        <f t="shared" si="18"/>
        <v/>
      </c>
      <c r="S50" s="5436"/>
      <c r="T50" s="5436"/>
      <c r="U50" s="5436"/>
      <c r="V50" s="5436"/>
      <c r="W50" s="5436"/>
      <c r="X50" s="5436"/>
      <c r="Y50" s="5436"/>
      <c r="Z50" s="5436"/>
      <c r="AA50" s="5436"/>
      <c r="AB50" s="4657"/>
      <c r="AC50" s="4657"/>
      <c r="BZ50" s="4651"/>
      <c r="CA50" s="5437" t="str">
        <f t="shared" si="19"/>
        <v/>
      </c>
      <c r="CB50" s="5437" t="str">
        <f t="shared" si="20"/>
        <v/>
      </c>
      <c r="CC50" s="5545" t="str">
        <f t="shared" si="21"/>
        <v/>
      </c>
      <c r="CD50" s="5545" t="str">
        <f t="shared" si="22"/>
        <v/>
      </c>
      <c r="CN50" s="5438">
        <f>IF(C50&lt;SUM(M50:O50),1,0)</f>
        <v>0</v>
      </c>
      <c r="CO50" s="5438">
        <f>IF(AND(C50&lt;&gt;0,OR(M50="",N50="",O50="")),1,0)</f>
        <v>0</v>
      </c>
      <c r="CP50" s="5438">
        <f t="shared" si="23"/>
        <v>0</v>
      </c>
      <c r="CQ50" s="5438">
        <f t="shared" si="24"/>
        <v>0</v>
      </c>
    </row>
    <row r="51" spans="1:95" ht="14.1" customHeight="1" x14ac:dyDescent="0.2">
      <c r="A51" s="8703"/>
      <c r="B51" s="5329" t="s">
        <v>1132</v>
      </c>
      <c r="C51" s="5581">
        <f t="shared" si="16"/>
        <v>0</v>
      </c>
      <c r="D51" s="5647"/>
      <c r="E51" s="5648"/>
      <c r="F51" s="5648"/>
      <c r="G51" s="5648"/>
      <c r="H51" s="5648"/>
      <c r="I51" s="5648"/>
      <c r="J51" s="5648"/>
      <c r="K51" s="5648"/>
      <c r="L51" s="5649"/>
      <c r="M51" s="5650"/>
      <c r="N51" s="5650"/>
      <c r="O51" s="5651"/>
      <c r="P51" s="5631"/>
      <c r="Q51" s="5632"/>
      <c r="R51" s="4651" t="str">
        <f t="shared" si="18"/>
        <v/>
      </c>
      <c r="S51" s="4657"/>
      <c r="T51" s="4657"/>
      <c r="U51" s="4657"/>
      <c r="V51" s="4657"/>
      <c r="W51" s="4657"/>
      <c r="X51" s="4657"/>
      <c r="Y51" s="4657"/>
      <c r="Z51" s="4657"/>
      <c r="AA51" s="4657"/>
      <c r="AB51" s="4657"/>
      <c r="AC51" s="4657"/>
      <c r="BZ51" s="4651"/>
      <c r="CA51" s="5437" t="str">
        <f t="shared" si="19"/>
        <v/>
      </c>
      <c r="CB51" s="5437" t="str">
        <f t="shared" si="20"/>
        <v/>
      </c>
      <c r="CC51" s="5545" t="str">
        <f t="shared" si="21"/>
        <v/>
      </c>
      <c r="CD51" s="5545" t="str">
        <f t="shared" si="22"/>
        <v/>
      </c>
      <c r="CN51" s="5426"/>
      <c r="CO51" s="5426"/>
      <c r="CP51" s="5438">
        <f t="shared" si="23"/>
        <v>0</v>
      </c>
      <c r="CQ51" s="5438">
        <f t="shared" si="24"/>
        <v>0</v>
      </c>
    </row>
    <row r="52" spans="1:95" ht="14.1" customHeight="1" x14ac:dyDescent="0.2">
      <c r="A52" s="8703"/>
      <c r="B52" s="5640" t="s">
        <v>1335</v>
      </c>
      <c r="C52" s="5581">
        <f t="shared" si="16"/>
        <v>0</v>
      </c>
      <c r="D52" s="5647"/>
      <c r="E52" s="5648"/>
      <c r="F52" s="5648"/>
      <c r="G52" s="5648"/>
      <c r="H52" s="5648"/>
      <c r="I52" s="5648"/>
      <c r="J52" s="5648"/>
      <c r="K52" s="5648"/>
      <c r="L52" s="5649"/>
      <c r="M52" s="5650"/>
      <c r="N52" s="5650"/>
      <c r="O52" s="5651"/>
      <c r="P52" s="5631"/>
      <c r="Q52" s="5632"/>
      <c r="R52" s="4651" t="str">
        <f t="shared" si="18"/>
        <v/>
      </c>
      <c r="S52" s="4657"/>
      <c r="T52" s="4657"/>
      <c r="U52" s="4657"/>
      <c r="V52" s="4657"/>
      <c r="W52" s="4657"/>
      <c r="X52" s="4657"/>
      <c r="Y52" s="4657"/>
      <c r="Z52" s="4657"/>
      <c r="AA52" s="4657"/>
      <c r="AB52" s="4657"/>
      <c r="AC52" s="4657"/>
      <c r="BZ52" s="4651"/>
      <c r="CA52" s="5437" t="str">
        <f t="shared" si="19"/>
        <v/>
      </c>
      <c r="CB52" s="5437" t="str">
        <f t="shared" si="20"/>
        <v/>
      </c>
      <c r="CC52" s="5545" t="str">
        <f t="shared" si="21"/>
        <v/>
      </c>
      <c r="CD52" s="5545" t="str">
        <f t="shared" si="22"/>
        <v/>
      </c>
      <c r="CN52" s="5426"/>
      <c r="CO52" s="5426"/>
      <c r="CP52" s="5438">
        <f t="shared" si="23"/>
        <v>0</v>
      </c>
      <c r="CQ52" s="5438">
        <f t="shared" si="24"/>
        <v>0</v>
      </c>
    </row>
    <row r="53" spans="1:95" ht="14.1" customHeight="1" x14ac:dyDescent="0.2">
      <c r="A53" s="8703"/>
      <c r="B53" s="4302" t="s">
        <v>1334</v>
      </c>
      <c r="C53" s="5640">
        <f t="shared" si="16"/>
        <v>0</v>
      </c>
      <c r="D53" s="5641"/>
      <c r="E53" s="5642"/>
      <c r="F53" s="5642"/>
      <c r="G53" s="5642"/>
      <c r="H53" s="5642"/>
      <c r="I53" s="5642"/>
      <c r="J53" s="5642"/>
      <c r="K53" s="5642"/>
      <c r="L53" s="5643"/>
      <c r="M53" s="5644"/>
      <c r="N53" s="5644"/>
      <c r="O53" s="5645"/>
      <c r="P53" s="5631"/>
      <c r="Q53" s="5632"/>
      <c r="R53" s="4651" t="str">
        <f t="shared" si="18"/>
        <v/>
      </c>
      <c r="S53" s="4657"/>
      <c r="T53" s="4657"/>
      <c r="U53" s="4657"/>
      <c r="V53" s="4657"/>
      <c r="W53" s="4657"/>
      <c r="X53" s="4657"/>
      <c r="Y53" s="4657"/>
      <c r="Z53" s="4657"/>
      <c r="AA53" s="4657"/>
      <c r="AB53" s="4657"/>
      <c r="AC53" s="4657"/>
      <c r="BZ53" s="4651"/>
      <c r="CA53" s="5437" t="str">
        <f t="shared" si="19"/>
        <v/>
      </c>
      <c r="CB53" s="5437" t="str">
        <f t="shared" si="20"/>
        <v/>
      </c>
      <c r="CC53" s="5545" t="str">
        <f t="shared" si="21"/>
        <v/>
      </c>
      <c r="CD53" s="5545" t="str">
        <f t="shared" si="22"/>
        <v/>
      </c>
      <c r="CN53" s="5426"/>
      <c r="CO53" s="5426"/>
      <c r="CP53" s="5438">
        <f t="shared" si="23"/>
        <v>0</v>
      </c>
      <c r="CQ53" s="5438">
        <f t="shared" si="24"/>
        <v>0</v>
      </c>
    </row>
    <row r="54" spans="1:95" ht="14.1" customHeight="1" x14ac:dyDescent="0.2">
      <c r="A54" s="9692"/>
      <c r="B54" s="5607" t="s">
        <v>1333</v>
      </c>
      <c r="C54" s="5607">
        <f t="shared" si="16"/>
        <v>0</v>
      </c>
      <c r="D54" s="5677"/>
      <c r="E54" s="5678"/>
      <c r="F54" s="5678"/>
      <c r="G54" s="5678"/>
      <c r="H54" s="5678"/>
      <c r="I54" s="5678"/>
      <c r="J54" s="5678"/>
      <c r="K54" s="5678"/>
      <c r="L54" s="5679"/>
      <c r="M54" s="5680"/>
      <c r="N54" s="5680"/>
      <c r="O54" s="5681"/>
      <c r="P54" s="5667"/>
      <c r="Q54" s="5668"/>
      <c r="R54" s="4651" t="str">
        <f t="shared" si="18"/>
        <v/>
      </c>
      <c r="S54" s="4657"/>
      <c r="T54" s="4657"/>
      <c r="U54" s="4657"/>
      <c r="V54" s="4657"/>
      <c r="W54" s="4657"/>
      <c r="X54" s="4657"/>
      <c r="Y54" s="4657"/>
      <c r="Z54" s="4657"/>
      <c r="AA54" s="4657"/>
      <c r="AB54" s="4657"/>
      <c r="AC54" s="4657"/>
      <c r="BZ54" s="4651"/>
      <c r="CA54" s="5437" t="str">
        <f t="shared" si="19"/>
        <v/>
      </c>
      <c r="CB54" s="5437" t="str">
        <f t="shared" si="20"/>
        <v/>
      </c>
      <c r="CC54" s="5545" t="str">
        <f t="shared" si="21"/>
        <v/>
      </c>
      <c r="CD54" s="5545" t="str">
        <f t="shared" si="22"/>
        <v/>
      </c>
      <c r="CN54" s="5426"/>
      <c r="CO54" s="5426"/>
      <c r="CP54" s="5438">
        <f t="shared" si="23"/>
        <v>0</v>
      </c>
      <c r="CQ54" s="5438">
        <f t="shared" si="24"/>
        <v>0</v>
      </c>
    </row>
    <row r="55" spans="1:95" ht="14.1" customHeight="1" x14ac:dyDescent="0.2">
      <c r="A55" s="8652" t="s">
        <v>3816</v>
      </c>
      <c r="B55" s="5704" t="s">
        <v>190</v>
      </c>
      <c r="C55" s="5705">
        <f t="shared" si="16"/>
        <v>0</v>
      </c>
      <c r="D55" s="5706"/>
      <c r="E55" s="5707"/>
      <c r="F55" s="5707"/>
      <c r="G55" s="5707"/>
      <c r="H55" s="5707"/>
      <c r="I55" s="5707"/>
      <c r="J55" s="5707"/>
      <c r="K55" s="5707"/>
      <c r="L55" s="5671"/>
      <c r="M55" s="5708"/>
      <c r="N55" s="5708"/>
      <c r="O55" s="5709"/>
      <c r="P55" s="5674"/>
      <c r="Q55" s="5675"/>
      <c r="R55" s="4651" t="str">
        <f t="shared" si="18"/>
        <v/>
      </c>
      <c r="S55" s="4657"/>
      <c r="T55" s="4657"/>
      <c r="U55" s="4657"/>
      <c r="V55" s="4657"/>
      <c r="W55" s="4657"/>
      <c r="X55" s="4657"/>
      <c r="Y55" s="4657"/>
      <c r="Z55" s="4657"/>
      <c r="AA55" s="4657"/>
      <c r="AB55" s="4657"/>
      <c r="AC55" s="4657"/>
      <c r="BZ55" s="4651"/>
      <c r="CA55" s="5437" t="str">
        <f t="shared" si="19"/>
        <v/>
      </c>
      <c r="CB55" s="5437" t="str">
        <f t="shared" si="20"/>
        <v/>
      </c>
      <c r="CC55" s="5545" t="str">
        <f t="shared" si="21"/>
        <v/>
      </c>
      <c r="CD55" s="5545" t="str">
        <f t="shared" si="22"/>
        <v/>
      </c>
      <c r="CN55" s="5426"/>
      <c r="CO55" s="5426"/>
      <c r="CP55" s="5438">
        <f t="shared" si="23"/>
        <v>0</v>
      </c>
      <c r="CQ55" s="5438">
        <f t="shared" si="24"/>
        <v>0</v>
      </c>
    </row>
    <row r="56" spans="1:95" ht="14.1" customHeight="1" x14ac:dyDescent="0.2">
      <c r="A56" s="8703"/>
      <c r="B56" s="5684" t="s">
        <v>1329</v>
      </c>
      <c r="C56" s="5581">
        <f t="shared" si="16"/>
        <v>0</v>
      </c>
      <c r="D56" s="5647"/>
      <c r="E56" s="5648"/>
      <c r="F56" s="5648"/>
      <c r="G56" s="5648"/>
      <c r="H56" s="5648"/>
      <c r="I56" s="5648"/>
      <c r="J56" s="5648"/>
      <c r="K56" s="5648"/>
      <c r="L56" s="5649"/>
      <c r="M56" s="5637"/>
      <c r="N56" s="5637"/>
      <c r="O56" s="5638"/>
      <c r="P56" s="5631"/>
      <c r="Q56" s="5632"/>
      <c r="R56" s="4651" t="str">
        <f t="shared" si="18"/>
        <v/>
      </c>
      <c r="S56" s="5436"/>
      <c r="T56" s="5436"/>
      <c r="U56" s="5436"/>
      <c r="V56" s="5436"/>
      <c r="W56" s="5436"/>
      <c r="X56" s="5436"/>
      <c r="Y56" s="5436"/>
      <c r="Z56" s="5436"/>
      <c r="AA56" s="5436"/>
      <c r="AB56" s="4657"/>
      <c r="AC56" s="4657"/>
      <c r="BZ56" s="4651"/>
      <c r="CA56" s="5437" t="str">
        <f t="shared" si="19"/>
        <v/>
      </c>
      <c r="CB56" s="5437" t="str">
        <f t="shared" si="20"/>
        <v/>
      </c>
      <c r="CC56" s="5545" t="str">
        <f t="shared" si="21"/>
        <v/>
      </c>
      <c r="CD56" s="5545" t="str">
        <f t="shared" si="22"/>
        <v/>
      </c>
      <c r="CN56" s="5438">
        <f>IF(C56&lt;SUM(M56:O56),1,0)</f>
        <v>0</v>
      </c>
      <c r="CO56" s="5438">
        <f>IF(AND(C56&lt;&gt;0,OR(M56="",N56="",O56="")),1,0)</f>
        <v>0</v>
      </c>
      <c r="CP56" s="5438">
        <f t="shared" si="23"/>
        <v>0</v>
      </c>
      <c r="CQ56" s="5438">
        <f t="shared" si="24"/>
        <v>0</v>
      </c>
    </row>
    <row r="57" spans="1:95" ht="24.75" customHeight="1" x14ac:dyDescent="0.2">
      <c r="A57" s="8703"/>
      <c r="B57" s="4793" t="s">
        <v>1332</v>
      </c>
      <c r="C57" s="5581">
        <f t="shared" si="16"/>
        <v>0</v>
      </c>
      <c r="D57" s="5641"/>
      <c r="E57" s="5642"/>
      <c r="F57" s="5642"/>
      <c r="G57" s="5642"/>
      <c r="H57" s="5642"/>
      <c r="I57" s="5642"/>
      <c r="J57" s="5642"/>
      <c r="K57" s="5642"/>
      <c r="L57" s="5643"/>
      <c r="M57" s="5644"/>
      <c r="N57" s="5644"/>
      <c r="O57" s="5645"/>
      <c r="P57" s="5631"/>
      <c r="Q57" s="5632"/>
      <c r="R57" s="4651" t="str">
        <f t="shared" si="18"/>
        <v/>
      </c>
      <c r="S57" s="4657"/>
      <c r="T57" s="4657"/>
      <c r="U57" s="4657"/>
      <c r="V57" s="4657"/>
      <c r="W57" s="4657"/>
      <c r="X57" s="4657"/>
      <c r="Y57" s="4657"/>
      <c r="Z57" s="4657"/>
      <c r="AA57" s="4657"/>
      <c r="AB57" s="4657"/>
      <c r="AC57" s="4657"/>
      <c r="BZ57" s="4651"/>
      <c r="CA57" s="5437" t="str">
        <f t="shared" si="19"/>
        <v/>
      </c>
      <c r="CB57" s="5437" t="str">
        <f t="shared" si="20"/>
        <v/>
      </c>
      <c r="CC57" s="5545" t="str">
        <f t="shared" si="21"/>
        <v/>
      </c>
      <c r="CD57" s="5545" t="str">
        <f t="shared" si="22"/>
        <v/>
      </c>
      <c r="CN57" s="5426"/>
      <c r="CO57" s="5426"/>
      <c r="CP57" s="5438">
        <f t="shared" si="23"/>
        <v>0</v>
      </c>
      <c r="CQ57" s="5438">
        <f t="shared" si="24"/>
        <v>0</v>
      </c>
    </row>
    <row r="58" spans="1:95" ht="14.1" customHeight="1" x14ac:dyDescent="0.2">
      <c r="A58" s="9692"/>
      <c r="B58" s="5710" t="s">
        <v>1331</v>
      </c>
      <c r="C58" s="5686">
        <f>SUM(D58:L58)</f>
        <v>0</v>
      </c>
      <c r="D58" s="5711"/>
      <c r="E58" s="5663"/>
      <c r="F58" s="5663"/>
      <c r="G58" s="5663"/>
      <c r="H58" s="5663"/>
      <c r="I58" s="5663"/>
      <c r="J58" s="5663"/>
      <c r="K58" s="5663"/>
      <c r="L58" s="5664"/>
      <c r="M58" s="5665"/>
      <c r="N58" s="5665"/>
      <c r="O58" s="5666"/>
      <c r="P58" s="5667"/>
      <c r="Q58" s="5668"/>
      <c r="R58" s="4651" t="str">
        <f t="shared" si="18"/>
        <v/>
      </c>
      <c r="S58" s="4657"/>
      <c r="T58" s="4657"/>
      <c r="U58" s="4657"/>
      <c r="V58" s="4657"/>
      <c r="W58" s="4657"/>
      <c r="X58" s="4657"/>
      <c r="Y58" s="4657"/>
      <c r="Z58" s="4657"/>
      <c r="AA58" s="4657"/>
      <c r="AB58" s="4657"/>
      <c r="AC58" s="4657"/>
      <c r="BZ58" s="4651"/>
      <c r="CA58" s="5437" t="str">
        <f t="shared" si="19"/>
        <v/>
      </c>
      <c r="CB58" s="5437" t="str">
        <f t="shared" si="20"/>
        <v/>
      </c>
      <c r="CC58" s="5545" t="str">
        <f t="shared" si="21"/>
        <v/>
      </c>
      <c r="CD58" s="5545" t="str">
        <f t="shared" si="22"/>
        <v/>
      </c>
      <c r="CN58" s="5426"/>
      <c r="CO58" s="5426"/>
      <c r="CP58" s="5438">
        <f t="shared" si="23"/>
        <v>0</v>
      </c>
      <c r="CQ58" s="5438">
        <f t="shared" si="24"/>
        <v>0</v>
      </c>
    </row>
    <row r="59" spans="1:95" ht="14.1" customHeight="1" x14ac:dyDescent="0.2">
      <c r="A59" s="8652" t="s">
        <v>1330</v>
      </c>
      <c r="B59" s="5712" t="s">
        <v>190</v>
      </c>
      <c r="C59" s="5713"/>
      <c r="D59" s="5714"/>
      <c r="E59" s="5715"/>
      <c r="F59" s="5715"/>
      <c r="G59" s="5715"/>
      <c r="H59" s="5715"/>
      <c r="I59" s="5715"/>
      <c r="J59" s="5715"/>
      <c r="K59" s="5715"/>
      <c r="L59" s="5716"/>
      <c r="M59" s="5717"/>
      <c r="N59" s="5717"/>
      <c r="O59" s="5718"/>
      <c r="P59" s="5674"/>
      <c r="Q59" s="5675"/>
      <c r="R59" s="4651" t="str">
        <f t="shared" si="18"/>
        <v/>
      </c>
      <c r="S59" s="4657"/>
      <c r="T59" s="4657"/>
      <c r="U59" s="4657"/>
      <c r="V59" s="4657"/>
      <c r="W59" s="4657"/>
      <c r="X59" s="4657"/>
      <c r="Y59" s="4657"/>
      <c r="Z59" s="4657"/>
      <c r="AA59" s="4657"/>
      <c r="AB59" s="4657"/>
      <c r="AC59" s="4657"/>
      <c r="CA59" s="5437" t="str">
        <f t="shared" si="19"/>
        <v/>
      </c>
      <c r="CB59" s="5437" t="str">
        <f t="shared" si="20"/>
        <v/>
      </c>
      <c r="CC59" s="5545" t="str">
        <f t="shared" si="21"/>
        <v/>
      </c>
      <c r="CD59" s="5545" t="str">
        <f t="shared" si="22"/>
        <v/>
      </c>
      <c r="CN59" s="5426"/>
      <c r="CO59" s="5426"/>
      <c r="CP59" s="5438">
        <f t="shared" si="23"/>
        <v>0</v>
      </c>
      <c r="CQ59" s="5438">
        <f t="shared" si="24"/>
        <v>0</v>
      </c>
    </row>
    <row r="60" spans="1:95" ht="14.1" customHeight="1" x14ac:dyDescent="0.2">
      <c r="A60" s="8703"/>
      <c r="B60" s="5719" t="s">
        <v>1329</v>
      </c>
      <c r="C60" s="5720">
        <f>SUM(D60:L60)</f>
        <v>0</v>
      </c>
      <c r="D60" s="5721">
        <f>SUM(D61:D62)</f>
        <v>0</v>
      </c>
      <c r="E60" s="5722">
        <f t="shared" ref="E60:L60" si="25">SUM(E61:E62)</f>
        <v>0</v>
      </c>
      <c r="F60" s="5722">
        <f t="shared" si="25"/>
        <v>0</v>
      </c>
      <c r="G60" s="5722">
        <f t="shared" si="25"/>
        <v>0</v>
      </c>
      <c r="H60" s="5722">
        <f t="shared" si="25"/>
        <v>0</v>
      </c>
      <c r="I60" s="5722">
        <f t="shared" si="25"/>
        <v>0</v>
      </c>
      <c r="J60" s="5722">
        <f t="shared" si="25"/>
        <v>0</v>
      </c>
      <c r="K60" s="5722">
        <f t="shared" si="25"/>
        <v>0</v>
      </c>
      <c r="L60" s="5723">
        <f t="shared" si="25"/>
        <v>0</v>
      </c>
      <c r="M60" s="5724"/>
      <c r="N60" s="5724"/>
      <c r="O60" s="5725"/>
      <c r="P60" s="5631"/>
      <c r="Q60" s="5632"/>
      <c r="R60" s="4651" t="str">
        <f t="shared" si="18"/>
        <v/>
      </c>
      <c r="S60" s="5436"/>
      <c r="T60" s="5436"/>
      <c r="U60" s="5436"/>
      <c r="V60" s="5436"/>
      <c r="W60" s="5436"/>
      <c r="X60" s="5436"/>
      <c r="Y60" s="5436"/>
      <c r="Z60" s="5436"/>
      <c r="AA60" s="5436"/>
      <c r="AB60" s="4657"/>
      <c r="AC60" s="4657"/>
      <c r="CA60" s="5437" t="str">
        <f t="shared" si="19"/>
        <v/>
      </c>
      <c r="CB60" s="5437" t="str">
        <f t="shared" si="20"/>
        <v/>
      </c>
      <c r="CC60" s="5545" t="str">
        <f t="shared" si="21"/>
        <v/>
      </c>
      <c r="CD60" s="5545" t="str">
        <f t="shared" si="22"/>
        <v/>
      </c>
      <c r="CN60" s="5438">
        <f>IF(C60&lt;SUM(M60:O60),1,0)</f>
        <v>0</v>
      </c>
      <c r="CO60" s="5438">
        <f>IF(AND(C60&lt;&gt;0,OR(M60="",N60="",O60="")),1,0)</f>
        <v>0</v>
      </c>
      <c r="CP60" s="5438">
        <f t="shared" si="23"/>
        <v>0</v>
      </c>
      <c r="CQ60" s="5438">
        <f t="shared" si="24"/>
        <v>0</v>
      </c>
    </row>
    <row r="61" spans="1:95" ht="14.1" customHeight="1" x14ac:dyDescent="0.2">
      <c r="A61" s="8703"/>
      <c r="B61" s="5726" t="s">
        <v>1328</v>
      </c>
      <c r="C61" s="5727">
        <f>SUM(D61:L61)</f>
        <v>0</v>
      </c>
      <c r="D61" s="5728"/>
      <c r="E61" s="5729"/>
      <c r="F61" s="5729"/>
      <c r="G61" s="5729"/>
      <c r="H61" s="5729"/>
      <c r="I61" s="5729"/>
      <c r="J61" s="5729"/>
      <c r="K61" s="5729"/>
      <c r="L61" s="5730"/>
      <c r="M61" s="5644"/>
      <c r="N61" s="5644"/>
      <c r="O61" s="5645"/>
      <c r="P61" s="5631"/>
      <c r="Q61" s="5632"/>
      <c r="R61" s="4651" t="str">
        <f t="shared" si="18"/>
        <v/>
      </c>
      <c r="S61" s="4657"/>
      <c r="T61" s="4657"/>
      <c r="U61" s="4657"/>
      <c r="V61" s="4657"/>
      <c r="W61" s="4657"/>
      <c r="X61" s="4657"/>
      <c r="Y61" s="4657"/>
      <c r="Z61" s="4657"/>
      <c r="AA61" s="4657"/>
      <c r="AB61" s="4657"/>
      <c r="AC61" s="4657"/>
      <c r="CA61" s="5437" t="str">
        <f t="shared" si="19"/>
        <v/>
      </c>
      <c r="CB61" s="5437" t="str">
        <f t="shared" si="20"/>
        <v/>
      </c>
      <c r="CC61" s="5545" t="str">
        <f t="shared" si="21"/>
        <v/>
      </c>
      <c r="CD61" s="5545" t="str">
        <f t="shared" si="22"/>
        <v/>
      </c>
      <c r="CN61" s="5426"/>
      <c r="CO61" s="5426"/>
      <c r="CP61" s="5438">
        <f t="shared" si="23"/>
        <v>0</v>
      </c>
      <c r="CQ61" s="5438">
        <f t="shared" si="24"/>
        <v>0</v>
      </c>
    </row>
    <row r="62" spans="1:95" ht="14.1" customHeight="1" x14ac:dyDescent="0.2">
      <c r="A62" s="9692"/>
      <c r="B62" s="5731" t="s">
        <v>1327</v>
      </c>
      <c r="C62" s="5732">
        <f>SUM(D62:L62)</f>
        <v>0</v>
      </c>
      <c r="D62" s="5677"/>
      <c r="E62" s="5678"/>
      <c r="F62" s="5678"/>
      <c r="G62" s="5678"/>
      <c r="H62" s="5678"/>
      <c r="I62" s="5678"/>
      <c r="J62" s="5678"/>
      <c r="K62" s="5678"/>
      <c r="L62" s="5679"/>
      <c r="M62" s="5680"/>
      <c r="N62" s="5680"/>
      <c r="O62" s="5681"/>
      <c r="P62" s="5667"/>
      <c r="Q62" s="5668"/>
      <c r="R62" s="4651" t="str">
        <f t="shared" si="18"/>
        <v/>
      </c>
      <c r="S62" s="4657"/>
      <c r="T62" s="4657"/>
      <c r="U62" s="4657"/>
      <c r="V62" s="4657"/>
      <c r="W62" s="4657"/>
      <c r="X62" s="4657"/>
      <c r="Y62" s="4657"/>
      <c r="Z62" s="4657"/>
      <c r="AA62" s="4657"/>
      <c r="AB62" s="4657"/>
      <c r="AC62" s="4657"/>
      <c r="CA62" s="5437" t="str">
        <f t="shared" si="19"/>
        <v/>
      </c>
      <c r="CB62" s="5437" t="str">
        <f t="shared" si="20"/>
        <v/>
      </c>
      <c r="CC62" s="5545" t="str">
        <f t="shared" si="21"/>
        <v/>
      </c>
      <c r="CD62" s="5545" t="str">
        <f t="shared" si="22"/>
        <v/>
      </c>
      <c r="CN62" s="5426"/>
      <c r="CO62" s="5426"/>
      <c r="CP62" s="5438">
        <f t="shared" si="23"/>
        <v>0</v>
      </c>
      <c r="CQ62" s="5438">
        <f t="shared" si="24"/>
        <v>0</v>
      </c>
    </row>
    <row r="63" spans="1:95" ht="14.1" customHeight="1" x14ac:dyDescent="0.2">
      <c r="A63" s="8652" t="s">
        <v>1326</v>
      </c>
      <c r="B63" s="5704" t="s">
        <v>190</v>
      </c>
      <c r="C63" s="5647"/>
      <c r="D63" s="5733"/>
      <c r="E63" s="5734"/>
      <c r="F63" s="5734"/>
      <c r="G63" s="5734"/>
      <c r="H63" s="5734"/>
      <c r="I63" s="5734"/>
      <c r="J63" s="5734"/>
      <c r="K63" s="5734"/>
      <c r="L63" s="5735"/>
      <c r="M63" s="5708"/>
      <c r="N63" s="5708"/>
      <c r="O63" s="5709"/>
      <c r="P63" s="5674"/>
      <c r="Q63" s="5675"/>
      <c r="R63" s="4651" t="str">
        <f t="shared" si="18"/>
        <v/>
      </c>
      <c r="S63" s="4657"/>
      <c r="T63" s="4657"/>
      <c r="U63" s="4657"/>
      <c r="V63" s="4657"/>
      <c r="W63" s="4657"/>
      <c r="X63" s="4657"/>
      <c r="Y63" s="4657"/>
      <c r="Z63" s="4657"/>
      <c r="AA63" s="4657"/>
      <c r="AB63" s="4657"/>
      <c r="AC63" s="4657"/>
      <c r="CA63" s="5437" t="str">
        <f t="shared" si="19"/>
        <v/>
      </c>
      <c r="CB63" s="5437" t="str">
        <f t="shared" si="20"/>
        <v/>
      </c>
      <c r="CC63" s="5545" t="str">
        <f t="shared" si="21"/>
        <v/>
      </c>
      <c r="CD63" s="5545" t="str">
        <f t="shared" si="22"/>
        <v/>
      </c>
      <c r="CN63" s="5426"/>
      <c r="CO63" s="5426"/>
      <c r="CP63" s="5438">
        <f t="shared" si="23"/>
        <v>0</v>
      </c>
      <c r="CQ63" s="5438">
        <f t="shared" si="24"/>
        <v>0</v>
      </c>
    </row>
    <row r="64" spans="1:95" ht="14.1" customHeight="1" x14ac:dyDescent="0.2">
      <c r="A64" s="9692"/>
      <c r="B64" s="5685" t="s">
        <v>1325</v>
      </c>
      <c r="C64" s="5677"/>
      <c r="D64" s="5736"/>
      <c r="E64" s="5737"/>
      <c r="F64" s="5737"/>
      <c r="G64" s="5737"/>
      <c r="H64" s="5737"/>
      <c r="I64" s="5737"/>
      <c r="J64" s="5737"/>
      <c r="K64" s="5737"/>
      <c r="L64" s="5738"/>
      <c r="M64" s="5668"/>
      <c r="N64" s="5668"/>
      <c r="O64" s="5739"/>
      <c r="P64" s="5667"/>
      <c r="Q64" s="5668"/>
      <c r="R64" s="4651" t="str">
        <f t="shared" si="18"/>
        <v/>
      </c>
      <c r="S64" s="5436"/>
      <c r="T64" s="5436"/>
      <c r="U64" s="5436"/>
      <c r="V64" s="5436"/>
      <c r="W64" s="5436"/>
      <c r="X64" s="5436"/>
      <c r="Y64" s="5436"/>
      <c r="Z64" s="5436"/>
      <c r="AA64" s="5436"/>
      <c r="AB64" s="4657"/>
      <c r="AC64" s="4657"/>
      <c r="CA64" s="5437" t="str">
        <f t="shared" si="19"/>
        <v/>
      </c>
      <c r="CB64" s="5437" t="str">
        <f t="shared" si="20"/>
        <v/>
      </c>
      <c r="CC64" s="5545" t="str">
        <f t="shared" si="21"/>
        <v/>
      </c>
      <c r="CD64" s="5545" t="str">
        <f t="shared" si="22"/>
        <v/>
      </c>
      <c r="CN64" s="5438">
        <f>IF(C64&lt;SUM(M64:O64),1,0)</f>
        <v>0</v>
      </c>
      <c r="CO64" s="5438">
        <f>IF(AND(C64&lt;&gt;0,OR(M64="",N64="",O64="")),1,0)</f>
        <v>0</v>
      </c>
      <c r="CP64" s="5438">
        <f t="shared" si="23"/>
        <v>0</v>
      </c>
      <c r="CQ64" s="5438">
        <f t="shared" si="24"/>
        <v>0</v>
      </c>
    </row>
    <row r="65" spans="1:104" customFormat="1" ht="27.6" customHeight="1" x14ac:dyDescent="0.25">
      <c r="A65" s="4661" t="s">
        <v>2708</v>
      </c>
      <c r="CA65" s="4688"/>
      <c r="CB65" s="4688"/>
      <c r="CC65" s="4688"/>
      <c r="CD65" s="4688"/>
      <c r="CE65" s="4688"/>
      <c r="CF65" s="4688"/>
      <c r="CG65" s="4688"/>
      <c r="CH65" s="4688"/>
      <c r="CI65" s="4688"/>
      <c r="CJ65" s="4688"/>
      <c r="CK65" s="4688"/>
      <c r="CL65" s="4688"/>
      <c r="CM65" s="4688"/>
      <c r="CN65" s="4688"/>
      <c r="CO65" s="4688"/>
      <c r="CP65" s="4688"/>
      <c r="CQ65" s="4688"/>
      <c r="CR65" s="4688"/>
      <c r="CS65" s="4688"/>
      <c r="CT65" s="4688"/>
      <c r="CU65" s="4688"/>
      <c r="CV65" s="4688"/>
      <c r="CW65" s="4688"/>
      <c r="CX65" s="4688"/>
      <c r="CY65" s="4688"/>
      <c r="CZ65" s="4688"/>
    </row>
    <row r="66" spans="1:104" customFormat="1" ht="15" x14ac:dyDescent="0.25">
      <c r="A66" s="10461" t="s">
        <v>1165</v>
      </c>
      <c r="B66" s="10488" t="s">
        <v>2709</v>
      </c>
      <c r="C66" s="10486" t="s">
        <v>2710</v>
      </c>
      <c r="D66" s="10486" t="s">
        <v>2762</v>
      </c>
      <c r="CA66" s="4688"/>
      <c r="CB66" s="4688"/>
      <c r="CC66" s="4688"/>
      <c r="CD66" s="4688"/>
      <c r="CE66" s="4688"/>
      <c r="CF66" s="4688"/>
      <c r="CG66" s="4688"/>
      <c r="CH66" s="4688"/>
      <c r="CI66" s="4688"/>
      <c r="CJ66" s="4688"/>
      <c r="CK66" s="4688"/>
      <c r="CL66" s="4688"/>
      <c r="CM66" s="4688"/>
      <c r="CN66" s="4688"/>
      <c r="CO66" s="4688"/>
      <c r="CP66" s="4688"/>
      <c r="CQ66" s="4688"/>
      <c r="CR66" s="4688"/>
      <c r="CS66" s="4688"/>
      <c r="CT66" s="4688"/>
      <c r="CU66" s="4688"/>
      <c r="CV66" s="4688"/>
      <c r="CW66" s="4688"/>
      <c r="CX66" s="4688"/>
      <c r="CY66" s="4688"/>
      <c r="CZ66" s="4688"/>
    </row>
    <row r="67" spans="1:104" customFormat="1" ht="45" customHeight="1" x14ac:dyDescent="0.25">
      <c r="A67" s="10461"/>
      <c r="B67" s="10489"/>
      <c r="C67" s="10487"/>
      <c r="D67" s="10487"/>
      <c r="CA67" s="4688"/>
      <c r="CB67" s="4688"/>
      <c r="CC67" s="4688"/>
      <c r="CD67" s="4688"/>
      <c r="CE67" s="4688"/>
      <c r="CF67" s="4688"/>
      <c r="CG67" s="4688"/>
      <c r="CH67" s="4688"/>
      <c r="CI67" s="4688"/>
      <c r="CJ67" s="4688"/>
      <c r="CK67" s="4688"/>
      <c r="CL67" s="4688"/>
      <c r="CM67" s="4688"/>
      <c r="CN67" s="4688"/>
      <c r="CO67" s="4688"/>
      <c r="CP67" s="4688"/>
      <c r="CQ67" s="4688"/>
      <c r="CR67" s="4688"/>
      <c r="CS67" s="4688"/>
      <c r="CT67" s="4688"/>
      <c r="CU67" s="4688"/>
      <c r="CV67" s="4688"/>
      <c r="CW67" s="4688"/>
      <c r="CX67" s="4688"/>
      <c r="CY67" s="4688"/>
      <c r="CZ67" s="4688"/>
    </row>
    <row r="68" spans="1:104" customFormat="1" ht="27" customHeight="1" x14ac:dyDescent="0.25">
      <c r="A68" s="10494" t="s">
        <v>38</v>
      </c>
      <c r="B68" s="5740" t="s">
        <v>2711</v>
      </c>
      <c r="C68" s="5741"/>
      <c r="D68" s="5741"/>
      <c r="CA68" s="4688"/>
      <c r="CB68" s="4688"/>
      <c r="CC68" s="4688"/>
      <c r="CD68" s="4688"/>
      <c r="CE68" s="4688"/>
      <c r="CF68" s="4688"/>
      <c r="CG68" s="4688"/>
      <c r="CH68" s="4688"/>
      <c r="CI68" s="4688"/>
      <c r="CJ68" s="4688"/>
      <c r="CK68" s="4688"/>
      <c r="CL68" s="4688"/>
      <c r="CM68" s="4688"/>
      <c r="CN68" s="4688"/>
      <c r="CO68" s="4688"/>
      <c r="CP68" s="4688"/>
      <c r="CQ68" s="4688"/>
      <c r="CR68" s="4688"/>
      <c r="CS68" s="4688"/>
      <c r="CT68" s="4688"/>
      <c r="CU68" s="4688"/>
      <c r="CV68" s="4688"/>
      <c r="CW68" s="4688"/>
      <c r="CX68" s="4688"/>
      <c r="CY68" s="4688"/>
      <c r="CZ68" s="4688"/>
    </row>
    <row r="69" spans="1:104" customFormat="1" ht="27.6" customHeight="1" x14ac:dyDescent="0.25">
      <c r="A69" s="10495"/>
      <c r="B69" s="5742" t="s">
        <v>2712</v>
      </c>
      <c r="C69" s="5743"/>
      <c r="D69" s="5743"/>
      <c r="BX69" s="4651"/>
      <c r="CA69" s="4688"/>
      <c r="CB69" s="4688"/>
      <c r="CC69" s="4688"/>
      <c r="CD69" s="4688"/>
      <c r="CE69" s="4688"/>
      <c r="CF69" s="4688"/>
      <c r="CG69" s="4688"/>
      <c r="CH69" s="4688"/>
      <c r="CI69" s="4688"/>
      <c r="CJ69" s="4688"/>
      <c r="CK69" s="4688"/>
      <c r="CL69" s="4688"/>
      <c r="CM69" s="4688"/>
      <c r="CN69" s="4688"/>
      <c r="CO69" s="4688"/>
      <c r="CP69" s="4688"/>
      <c r="CQ69" s="4688"/>
      <c r="CR69" s="4688"/>
      <c r="CS69" s="4688"/>
      <c r="CT69" s="4688"/>
      <c r="CU69" s="4688"/>
      <c r="CV69" s="4688"/>
      <c r="CW69" s="4688"/>
      <c r="CX69" s="4688"/>
      <c r="CY69" s="4688"/>
      <c r="CZ69" s="4688"/>
    </row>
    <row r="70" spans="1:104" customFormat="1" ht="22.9" customHeight="1" x14ac:dyDescent="0.25">
      <c r="A70" s="10495"/>
      <c r="B70" s="5744" t="s">
        <v>2713</v>
      </c>
      <c r="C70" s="5743"/>
      <c r="D70" s="5743"/>
      <c r="BX70" s="4651"/>
      <c r="CA70" s="4688"/>
      <c r="CB70" s="4688"/>
      <c r="CC70" s="4688"/>
      <c r="CD70" s="4688"/>
      <c r="CE70" s="4688"/>
      <c r="CF70" s="4688"/>
      <c r="CG70" s="4688"/>
      <c r="CH70" s="4688"/>
      <c r="CI70" s="4688"/>
      <c r="CJ70" s="4688"/>
      <c r="CK70" s="4688"/>
      <c r="CL70" s="4688"/>
      <c r="CM70" s="4688"/>
      <c r="CN70" s="4688"/>
      <c r="CO70" s="4688"/>
      <c r="CP70" s="4688"/>
      <c r="CQ70" s="4688"/>
      <c r="CR70" s="4688"/>
      <c r="CS70" s="4688"/>
      <c r="CT70" s="4688"/>
      <c r="CU70" s="4688"/>
      <c r="CV70" s="4688"/>
      <c r="CW70" s="4688"/>
      <c r="CX70" s="4688"/>
      <c r="CY70" s="4688"/>
      <c r="CZ70" s="4688"/>
    </row>
    <row r="71" spans="1:104" customFormat="1" ht="28.9" customHeight="1" x14ac:dyDescent="0.25">
      <c r="A71" s="10495"/>
      <c r="B71" s="5742" t="s">
        <v>2714</v>
      </c>
      <c r="C71" s="5743"/>
      <c r="D71" s="5743"/>
      <c r="BX71" s="4651"/>
      <c r="CA71" s="4688"/>
      <c r="CB71" s="4688"/>
      <c r="CC71" s="4688"/>
      <c r="CD71" s="4688"/>
      <c r="CE71" s="4688"/>
      <c r="CF71" s="4688"/>
      <c r="CG71" s="4688"/>
      <c r="CH71" s="4688"/>
      <c r="CI71" s="4688"/>
      <c r="CJ71" s="4688"/>
      <c r="CK71" s="4688"/>
      <c r="CL71" s="4688"/>
      <c r="CM71" s="4688"/>
      <c r="CN71" s="4688"/>
      <c r="CO71" s="4688"/>
      <c r="CP71" s="4688"/>
      <c r="CQ71" s="4688"/>
      <c r="CR71" s="4688"/>
      <c r="CS71" s="4688"/>
      <c r="CT71" s="4688"/>
      <c r="CU71" s="4688"/>
      <c r="CV71" s="4688"/>
      <c r="CW71" s="4688"/>
      <c r="CX71" s="4688"/>
      <c r="CY71" s="4688"/>
      <c r="CZ71" s="4688"/>
    </row>
    <row r="72" spans="1:104" customFormat="1" ht="28.9" customHeight="1" x14ac:dyDescent="0.25">
      <c r="A72" s="10495"/>
      <c r="B72" s="5742" t="s">
        <v>2735</v>
      </c>
      <c r="C72" s="5743"/>
      <c r="D72" s="5743"/>
      <c r="BX72" s="4651"/>
      <c r="CA72" s="4688"/>
      <c r="CB72" s="4688"/>
      <c r="CC72" s="4688"/>
      <c r="CD72" s="4688"/>
      <c r="CE72" s="4688"/>
      <c r="CF72" s="4688"/>
      <c r="CG72" s="4688"/>
      <c r="CH72" s="4688"/>
      <c r="CI72" s="4688"/>
      <c r="CJ72" s="4688"/>
      <c r="CK72" s="4688"/>
      <c r="CL72" s="4688"/>
      <c r="CM72" s="4688"/>
      <c r="CN72" s="4688"/>
      <c r="CO72" s="4688"/>
      <c r="CP72" s="4688"/>
      <c r="CQ72" s="4688"/>
      <c r="CR72" s="4688"/>
      <c r="CS72" s="4688"/>
      <c r="CT72" s="4688"/>
      <c r="CU72" s="4688"/>
      <c r="CV72" s="4688"/>
      <c r="CW72" s="4688"/>
      <c r="CX72" s="4688"/>
      <c r="CY72" s="4688"/>
      <c r="CZ72" s="4688"/>
    </row>
    <row r="73" spans="1:104" customFormat="1" ht="15" x14ac:dyDescent="0.25">
      <c r="A73" s="10495"/>
      <c r="B73" s="5745" t="s">
        <v>2715</v>
      </c>
      <c r="C73" s="5743"/>
      <c r="D73" s="5743"/>
      <c r="BX73" s="4651"/>
      <c r="CA73" s="4688"/>
      <c r="CB73" s="4688"/>
      <c r="CC73" s="4688"/>
      <c r="CD73" s="4688"/>
      <c r="CE73" s="4688"/>
      <c r="CF73" s="4688"/>
      <c r="CG73" s="4688"/>
      <c r="CH73" s="4688"/>
      <c r="CI73" s="4688"/>
      <c r="CJ73" s="4688"/>
      <c r="CK73" s="4688"/>
      <c r="CL73" s="4688"/>
      <c r="CM73" s="4688"/>
      <c r="CN73" s="4688"/>
      <c r="CO73" s="4688"/>
      <c r="CP73" s="4688"/>
      <c r="CQ73" s="4688"/>
      <c r="CR73" s="4688"/>
      <c r="CS73" s="4688"/>
      <c r="CT73" s="4688"/>
      <c r="CU73" s="4688"/>
      <c r="CV73" s="4688"/>
      <c r="CW73" s="4688"/>
      <c r="CX73" s="4688"/>
      <c r="CY73" s="4688"/>
      <c r="CZ73" s="4688"/>
    </row>
    <row r="74" spans="1:104" customFormat="1" ht="25.9" customHeight="1" x14ac:dyDescent="0.25">
      <c r="A74" s="10495"/>
      <c r="B74" s="5742" t="s">
        <v>2716</v>
      </c>
      <c r="C74" s="5743"/>
      <c r="D74" s="5743"/>
      <c r="BX74" s="4651"/>
      <c r="CA74" s="4688"/>
      <c r="CB74" s="4688"/>
      <c r="CC74" s="4688"/>
      <c r="CD74" s="4688"/>
      <c r="CE74" s="4688"/>
      <c r="CF74" s="4688"/>
      <c r="CG74" s="4688"/>
      <c r="CH74" s="4688"/>
      <c r="CI74" s="4688"/>
      <c r="CJ74" s="4688"/>
      <c r="CK74" s="4688"/>
      <c r="CL74" s="4688"/>
      <c r="CM74" s="4688"/>
      <c r="CN74" s="4688"/>
      <c r="CO74" s="4688"/>
      <c r="CP74" s="4688"/>
      <c r="CQ74" s="4688"/>
      <c r="CR74" s="4688"/>
      <c r="CS74" s="4688"/>
      <c r="CT74" s="4688"/>
      <c r="CU74" s="4688"/>
      <c r="CV74" s="4688"/>
      <c r="CW74" s="4688"/>
      <c r="CX74" s="4688"/>
      <c r="CY74" s="4688"/>
      <c r="CZ74" s="4688"/>
    </row>
    <row r="75" spans="1:104" customFormat="1" ht="27" customHeight="1" x14ac:dyDescent="0.25">
      <c r="A75" s="10495"/>
      <c r="B75" s="5742" t="s">
        <v>2736</v>
      </c>
      <c r="C75" s="5743"/>
      <c r="D75" s="5743"/>
      <c r="BX75" s="4651"/>
      <c r="CA75" s="4688"/>
      <c r="CB75" s="4688"/>
      <c r="CC75" s="4688"/>
      <c r="CD75" s="4688"/>
      <c r="CE75" s="4688"/>
      <c r="CF75" s="4688"/>
      <c r="CG75" s="4688"/>
      <c r="CH75" s="4688"/>
      <c r="CI75" s="4688"/>
      <c r="CJ75" s="4688"/>
      <c r="CK75" s="4688"/>
      <c r="CL75" s="4688"/>
      <c r="CM75" s="4688"/>
      <c r="CN75" s="4688"/>
      <c r="CO75" s="4688"/>
      <c r="CP75" s="4688"/>
      <c r="CQ75" s="4688"/>
      <c r="CR75" s="4688"/>
      <c r="CS75" s="4688"/>
      <c r="CT75" s="4688"/>
      <c r="CU75" s="4688"/>
      <c r="CV75" s="4688"/>
      <c r="CW75" s="4688"/>
      <c r="CX75" s="4688"/>
      <c r="CY75" s="4688"/>
      <c r="CZ75" s="4688"/>
    </row>
    <row r="76" spans="1:104" customFormat="1" ht="15" x14ac:dyDescent="0.25">
      <c r="A76" s="10495"/>
      <c r="B76" s="5745" t="s">
        <v>2717</v>
      </c>
      <c r="C76" s="5743"/>
      <c r="D76" s="5743"/>
      <c r="BX76" s="4651"/>
      <c r="CA76" s="4688"/>
      <c r="CB76" s="4688"/>
      <c r="CC76" s="4688"/>
      <c r="CD76" s="4688"/>
      <c r="CE76" s="4688"/>
      <c r="CF76" s="4688"/>
      <c r="CG76" s="4688"/>
      <c r="CH76" s="4688"/>
      <c r="CI76" s="4688"/>
      <c r="CJ76" s="4688"/>
      <c r="CK76" s="4688"/>
      <c r="CL76" s="4688"/>
      <c r="CM76" s="4688"/>
      <c r="CN76" s="4688"/>
      <c r="CO76" s="4688"/>
      <c r="CP76" s="4688"/>
      <c r="CQ76" s="4688"/>
      <c r="CR76" s="4688"/>
      <c r="CS76" s="4688"/>
      <c r="CT76" s="4688"/>
      <c r="CU76" s="4688"/>
      <c r="CV76" s="4688"/>
      <c r="CW76" s="4688"/>
      <c r="CX76" s="4688"/>
      <c r="CY76" s="4688"/>
      <c r="CZ76" s="4688"/>
    </row>
    <row r="77" spans="1:104" customFormat="1" ht="15" x14ac:dyDescent="0.25">
      <c r="A77" s="10495"/>
      <c r="B77" s="5745" t="s">
        <v>2718</v>
      </c>
      <c r="C77" s="5743"/>
      <c r="D77" s="5743"/>
      <c r="BX77" s="4651"/>
      <c r="CA77" s="4688"/>
      <c r="CB77" s="4688"/>
      <c r="CC77" s="4688"/>
      <c r="CD77" s="4688"/>
      <c r="CE77" s="4688"/>
      <c r="CF77" s="4688"/>
      <c r="CG77" s="4688"/>
      <c r="CH77" s="4688"/>
      <c r="CI77" s="4688"/>
      <c r="CJ77" s="4688"/>
      <c r="CK77" s="4688"/>
      <c r="CL77" s="4688"/>
      <c r="CM77" s="4688"/>
      <c r="CN77" s="4688"/>
      <c r="CO77" s="4688"/>
      <c r="CP77" s="4688"/>
      <c r="CQ77" s="4688"/>
      <c r="CR77" s="4688"/>
      <c r="CS77" s="4688"/>
      <c r="CT77" s="4688"/>
      <c r="CU77" s="4688"/>
      <c r="CV77" s="4688"/>
      <c r="CW77" s="4688"/>
      <c r="CX77" s="4688"/>
      <c r="CY77" s="4688"/>
      <c r="CZ77" s="4688"/>
    </row>
    <row r="78" spans="1:104" customFormat="1" ht="15" x14ac:dyDescent="0.25">
      <c r="A78" s="10495"/>
      <c r="B78" s="5745" t="s">
        <v>2719</v>
      </c>
      <c r="C78" s="5746"/>
      <c r="D78" s="5746"/>
      <c r="BX78" s="4651"/>
      <c r="CA78" s="4688"/>
      <c r="CB78" s="4688"/>
      <c r="CC78" s="4688"/>
      <c r="CD78" s="4688"/>
      <c r="CE78" s="4688"/>
      <c r="CF78" s="4688"/>
      <c r="CG78" s="4688"/>
      <c r="CH78" s="4688"/>
      <c r="CI78" s="4688"/>
      <c r="CJ78" s="4688"/>
      <c r="CK78" s="4688"/>
      <c r="CL78" s="4688"/>
      <c r="CM78" s="4688"/>
      <c r="CN78" s="4688"/>
      <c r="CO78" s="4688"/>
      <c r="CP78" s="4688"/>
      <c r="CQ78" s="4688"/>
      <c r="CR78" s="4688"/>
      <c r="CS78" s="4688"/>
      <c r="CT78" s="4688"/>
      <c r="CU78" s="4688"/>
      <c r="CV78" s="4688"/>
      <c r="CW78" s="4688"/>
      <c r="CX78" s="4688"/>
      <c r="CY78" s="4688"/>
      <c r="CZ78" s="4688"/>
    </row>
    <row r="79" spans="1:104" customFormat="1" ht="15" x14ac:dyDescent="0.25">
      <c r="A79" s="10495"/>
      <c r="B79" s="5745" t="s">
        <v>2720</v>
      </c>
      <c r="C79" s="5746"/>
      <c r="D79" s="5746"/>
      <c r="BX79" s="4651"/>
      <c r="CA79" s="4688"/>
      <c r="CB79" s="4688"/>
      <c r="CC79" s="4688"/>
      <c r="CD79" s="4688"/>
      <c r="CE79" s="4688"/>
      <c r="CF79" s="4688"/>
      <c r="CG79" s="4688"/>
      <c r="CH79" s="4688"/>
      <c r="CI79" s="4688"/>
      <c r="CJ79" s="4688"/>
      <c r="CK79" s="4688"/>
      <c r="CL79" s="4688"/>
      <c r="CM79" s="4688"/>
      <c r="CN79" s="4688"/>
      <c r="CO79" s="4688"/>
      <c r="CP79" s="4688"/>
      <c r="CQ79" s="4688"/>
      <c r="CR79" s="4688"/>
      <c r="CS79" s="4688"/>
      <c r="CT79" s="4688"/>
      <c r="CU79" s="4688"/>
      <c r="CV79" s="4688"/>
      <c r="CW79" s="4688"/>
      <c r="CX79" s="4688"/>
      <c r="CY79" s="4688"/>
      <c r="CZ79" s="4688"/>
    </row>
    <row r="80" spans="1:104" customFormat="1" ht="15" x14ac:dyDescent="0.25">
      <c r="A80" s="10495"/>
      <c r="B80" s="5745" t="s">
        <v>2721</v>
      </c>
      <c r="C80" s="5746"/>
      <c r="D80" s="5746"/>
      <c r="BX80" s="4651"/>
      <c r="CA80" s="4688"/>
      <c r="CB80" s="4688"/>
      <c r="CC80" s="4688"/>
      <c r="CD80" s="4688"/>
      <c r="CE80" s="4688"/>
      <c r="CF80" s="4688"/>
      <c r="CG80" s="4688"/>
      <c r="CH80" s="4688"/>
      <c r="CI80" s="4688"/>
      <c r="CJ80" s="4688"/>
      <c r="CK80" s="4688"/>
      <c r="CL80" s="4688"/>
      <c r="CM80" s="4688"/>
      <c r="CN80" s="4688"/>
      <c r="CO80" s="4688"/>
      <c r="CP80" s="4688"/>
      <c r="CQ80" s="4688"/>
      <c r="CR80" s="4688"/>
      <c r="CS80" s="4688"/>
      <c r="CT80" s="4688"/>
      <c r="CU80" s="4688"/>
      <c r="CV80" s="4688"/>
      <c r="CW80" s="4688"/>
      <c r="CX80" s="4688"/>
      <c r="CY80" s="4688"/>
      <c r="CZ80" s="4688"/>
    </row>
    <row r="81" spans="1:104" customFormat="1" ht="15" x14ac:dyDescent="0.25">
      <c r="A81" s="10495"/>
      <c r="B81" s="5745" t="s">
        <v>2722</v>
      </c>
      <c r="C81" s="5746"/>
      <c r="D81" s="5746"/>
      <c r="BX81" s="4651"/>
      <c r="CA81" s="4688"/>
      <c r="CB81" s="4688"/>
      <c r="CC81" s="4688"/>
      <c r="CD81" s="4688"/>
      <c r="CE81" s="4688"/>
      <c r="CF81" s="4688"/>
      <c r="CG81" s="4688"/>
      <c r="CH81" s="4688"/>
      <c r="CI81" s="4688"/>
      <c r="CJ81" s="4688"/>
      <c r="CK81" s="4688"/>
      <c r="CL81" s="4688"/>
      <c r="CM81" s="4688"/>
      <c r="CN81" s="4688"/>
      <c r="CO81" s="4688"/>
      <c r="CP81" s="4688"/>
      <c r="CQ81" s="4688"/>
      <c r="CR81" s="4688"/>
      <c r="CS81" s="4688"/>
      <c r="CT81" s="4688"/>
      <c r="CU81" s="4688"/>
      <c r="CV81" s="4688"/>
      <c r="CW81" s="4688"/>
      <c r="CX81" s="4688"/>
      <c r="CY81" s="4688"/>
      <c r="CZ81" s="4688"/>
    </row>
    <row r="82" spans="1:104" customFormat="1" ht="15" x14ac:dyDescent="0.25">
      <c r="A82" s="10495"/>
      <c r="B82" s="5745" t="s">
        <v>2723</v>
      </c>
      <c r="C82" s="5746"/>
      <c r="D82" s="5746"/>
      <c r="BX82" s="4651"/>
      <c r="CA82" s="4688"/>
      <c r="CB82" s="4688"/>
      <c r="CC82" s="4688"/>
      <c r="CD82" s="4688"/>
      <c r="CE82" s="4688"/>
      <c r="CF82" s="4688"/>
      <c r="CG82" s="4688"/>
      <c r="CH82" s="4688"/>
      <c r="CI82" s="4688"/>
      <c r="CJ82" s="4688"/>
      <c r="CK82" s="4688"/>
      <c r="CL82" s="4688"/>
      <c r="CM82" s="4688"/>
      <c r="CN82" s="4688"/>
      <c r="CO82" s="4688"/>
      <c r="CP82" s="4688"/>
      <c r="CQ82" s="4688"/>
      <c r="CR82" s="4688"/>
      <c r="CS82" s="4688"/>
      <c r="CT82" s="4688"/>
      <c r="CU82" s="4688"/>
      <c r="CV82" s="4688"/>
      <c r="CW82" s="4688"/>
      <c r="CX82" s="4688"/>
      <c r="CY82" s="4688"/>
      <c r="CZ82" s="4688"/>
    </row>
    <row r="83" spans="1:104" customFormat="1" ht="27" customHeight="1" x14ac:dyDescent="0.25">
      <c r="A83" s="10495"/>
      <c r="B83" s="5742" t="s">
        <v>2724</v>
      </c>
      <c r="C83" s="5746"/>
      <c r="D83" s="5746"/>
      <c r="BX83" s="4651"/>
      <c r="CA83" s="4688"/>
      <c r="CB83" s="4688"/>
      <c r="CC83" s="4688"/>
      <c r="CD83" s="4688"/>
      <c r="CE83" s="4688"/>
      <c r="CF83" s="4688"/>
      <c r="CG83" s="4688"/>
      <c r="CH83" s="4688"/>
      <c r="CI83" s="4688"/>
      <c r="CJ83" s="4688"/>
      <c r="CK83" s="4688"/>
      <c r="CL83" s="4688"/>
      <c r="CM83" s="4688"/>
      <c r="CN83" s="4688"/>
      <c r="CO83" s="4688"/>
      <c r="CP83" s="4688"/>
      <c r="CQ83" s="4688"/>
      <c r="CR83" s="4688"/>
      <c r="CS83" s="4688"/>
      <c r="CT83" s="4688"/>
      <c r="CU83" s="4688"/>
      <c r="CV83" s="4688"/>
      <c r="CW83" s="4688"/>
      <c r="CX83" s="4688"/>
      <c r="CY83" s="4688"/>
      <c r="CZ83" s="4688"/>
    </row>
    <row r="84" spans="1:104" customFormat="1" ht="27.6" customHeight="1" x14ac:dyDescent="0.25">
      <c r="A84" s="10495"/>
      <c r="B84" s="5742" t="s">
        <v>2725</v>
      </c>
      <c r="C84" s="5746"/>
      <c r="D84" s="5746"/>
      <c r="BX84" s="4651"/>
      <c r="CA84" s="4688"/>
      <c r="CB84" s="4688"/>
      <c r="CC84" s="4688"/>
      <c r="CD84" s="4688"/>
      <c r="CE84" s="4688"/>
      <c r="CF84" s="4688"/>
      <c r="CG84" s="4688"/>
      <c r="CH84" s="4688"/>
      <c r="CI84" s="4688"/>
      <c r="CJ84" s="4688"/>
      <c r="CK84" s="4688"/>
      <c r="CL84" s="4688"/>
      <c r="CM84" s="4688"/>
      <c r="CN84" s="4688"/>
      <c r="CO84" s="4688"/>
      <c r="CP84" s="4688"/>
      <c r="CQ84" s="4688"/>
      <c r="CR84" s="4688"/>
      <c r="CS84" s="4688"/>
      <c r="CT84" s="4688"/>
      <c r="CU84" s="4688"/>
      <c r="CV84" s="4688"/>
      <c r="CW84" s="4688"/>
      <c r="CX84" s="4688"/>
      <c r="CY84" s="4688"/>
      <c r="CZ84" s="4688"/>
    </row>
    <row r="85" spans="1:104" customFormat="1" ht="16.149999999999999" customHeight="1" x14ac:dyDescent="0.25">
      <c r="A85" s="10495"/>
      <c r="B85" s="5745" t="s">
        <v>2726</v>
      </c>
      <c r="C85" s="5746"/>
      <c r="D85" s="5746"/>
      <c r="BX85" s="4651"/>
      <c r="CA85" s="4688"/>
      <c r="CB85" s="4688"/>
      <c r="CC85" s="4688"/>
      <c r="CD85" s="4688"/>
      <c r="CE85" s="4688"/>
      <c r="CF85" s="4688"/>
      <c r="CG85" s="4688"/>
      <c r="CH85" s="4688"/>
      <c r="CI85" s="4688"/>
      <c r="CJ85" s="4688"/>
      <c r="CK85" s="4688"/>
      <c r="CL85" s="4688"/>
      <c r="CM85" s="4688"/>
      <c r="CN85" s="4688"/>
      <c r="CO85" s="4688"/>
      <c r="CP85" s="4688"/>
      <c r="CQ85" s="4688"/>
      <c r="CR85" s="4688"/>
      <c r="CS85" s="4688"/>
      <c r="CT85" s="4688"/>
      <c r="CU85" s="4688"/>
      <c r="CV85" s="4688"/>
      <c r="CW85" s="4688"/>
      <c r="CX85" s="4688"/>
      <c r="CY85" s="4688"/>
      <c r="CZ85" s="4688"/>
    </row>
    <row r="86" spans="1:104" customFormat="1" ht="15" x14ac:dyDescent="0.25">
      <c r="A86" s="10495"/>
      <c r="B86" s="5745" t="s">
        <v>2727</v>
      </c>
      <c r="C86" s="5746"/>
      <c r="D86" s="5746"/>
      <c r="BX86" s="4651"/>
      <c r="CA86" s="4688"/>
      <c r="CB86" s="4688"/>
      <c r="CC86" s="4688"/>
      <c r="CD86" s="4688"/>
      <c r="CE86" s="4688"/>
      <c r="CF86" s="4688"/>
      <c r="CG86" s="4688"/>
      <c r="CH86" s="4688"/>
      <c r="CI86" s="4688"/>
      <c r="CJ86" s="4688"/>
      <c r="CK86" s="4688"/>
      <c r="CL86" s="4688"/>
      <c r="CM86" s="4688"/>
      <c r="CN86" s="4688"/>
      <c r="CO86" s="4688"/>
      <c r="CP86" s="4688"/>
      <c r="CQ86" s="4688"/>
      <c r="CR86" s="4688"/>
      <c r="CS86" s="4688"/>
      <c r="CT86" s="4688"/>
      <c r="CU86" s="4688"/>
      <c r="CV86" s="4688"/>
      <c r="CW86" s="4688"/>
      <c r="CX86" s="4688"/>
      <c r="CY86" s="4688"/>
      <c r="CZ86" s="4688"/>
    </row>
    <row r="87" spans="1:104" customFormat="1" ht="27.6" customHeight="1" x14ac:dyDescent="0.25">
      <c r="A87" s="10505"/>
      <c r="B87" s="5747" t="s">
        <v>2728</v>
      </c>
      <c r="C87" s="5748"/>
      <c r="D87" s="5748"/>
      <c r="BX87" s="4651"/>
      <c r="CA87" s="4688"/>
      <c r="CB87" s="4688"/>
      <c r="CC87" s="4688"/>
      <c r="CD87" s="4688"/>
      <c r="CE87" s="4688"/>
      <c r="CF87" s="4688"/>
      <c r="CG87" s="4688"/>
      <c r="CH87" s="4688"/>
      <c r="CI87" s="4688"/>
      <c r="CJ87" s="4688"/>
      <c r="CK87" s="4688"/>
      <c r="CL87" s="4688"/>
      <c r="CM87" s="4688"/>
      <c r="CN87" s="4688"/>
      <c r="CO87" s="4688"/>
      <c r="CP87" s="4688"/>
      <c r="CQ87" s="4688"/>
      <c r="CR87" s="4688"/>
      <c r="CS87" s="4688"/>
      <c r="CT87" s="4688"/>
      <c r="CU87" s="4688"/>
      <c r="CV87" s="4688"/>
      <c r="CW87" s="4688"/>
      <c r="CX87" s="4688"/>
      <c r="CY87" s="4688"/>
      <c r="CZ87" s="4688"/>
    </row>
    <row r="88" spans="1:104" customFormat="1" ht="15" x14ac:dyDescent="0.25">
      <c r="A88" s="10503" t="s">
        <v>2729</v>
      </c>
      <c r="B88" s="5749" t="s">
        <v>2730</v>
      </c>
      <c r="C88" s="5750"/>
      <c r="D88" s="5750"/>
      <c r="BX88" s="4651"/>
      <c r="CA88" s="4688"/>
      <c r="CB88" s="4688"/>
      <c r="CC88" s="4688"/>
      <c r="CD88" s="4688"/>
      <c r="CE88" s="4688"/>
      <c r="CF88" s="4688"/>
      <c r="CG88" s="4688"/>
      <c r="CH88" s="4688"/>
      <c r="CI88" s="4688"/>
      <c r="CJ88" s="4688"/>
      <c r="CK88" s="4688"/>
      <c r="CL88" s="4688"/>
      <c r="CM88" s="4688"/>
      <c r="CN88" s="4688"/>
      <c r="CO88" s="4688"/>
      <c r="CP88" s="4688"/>
      <c r="CQ88" s="4688"/>
      <c r="CR88" s="4688"/>
      <c r="CS88" s="4688"/>
      <c r="CT88" s="4688"/>
      <c r="CU88" s="4688"/>
      <c r="CV88" s="4688"/>
      <c r="CW88" s="4688"/>
      <c r="CX88" s="4688"/>
      <c r="CY88" s="4688"/>
      <c r="CZ88" s="4688"/>
    </row>
    <row r="89" spans="1:104" customFormat="1" ht="14.45" customHeight="1" x14ac:dyDescent="0.25">
      <c r="A89" s="10242"/>
      <c r="B89" s="5751" t="s">
        <v>2731</v>
      </c>
      <c r="C89" s="5743"/>
      <c r="D89" s="5743"/>
      <c r="BX89" s="4651"/>
      <c r="CA89" s="4688"/>
      <c r="CB89" s="4688"/>
      <c r="CC89" s="4688"/>
      <c r="CD89" s="4688"/>
      <c r="CE89" s="4688"/>
      <c r="CF89" s="4688"/>
      <c r="CG89" s="4688"/>
      <c r="CH89" s="4688"/>
      <c r="CI89" s="4688"/>
      <c r="CJ89" s="4688"/>
      <c r="CK89" s="4688"/>
      <c r="CL89" s="4688"/>
      <c r="CM89" s="4688"/>
      <c r="CN89" s="4688"/>
      <c r="CO89" s="4688"/>
      <c r="CP89" s="4688"/>
      <c r="CQ89" s="4688"/>
      <c r="CR89" s="4688"/>
      <c r="CS89" s="4688"/>
      <c r="CT89" s="4688"/>
      <c r="CU89" s="4688"/>
      <c r="CV89" s="4688"/>
      <c r="CW89" s="4688"/>
      <c r="CX89" s="4688"/>
      <c r="CY89" s="4688"/>
      <c r="CZ89" s="4688"/>
    </row>
    <row r="90" spans="1:104" customFormat="1" ht="15" x14ac:dyDescent="0.25">
      <c r="A90" s="10242"/>
      <c r="B90" s="5751" t="s">
        <v>2732</v>
      </c>
      <c r="C90" s="5746"/>
      <c r="D90" s="5746"/>
      <c r="BX90" s="4651"/>
      <c r="CA90" s="4688"/>
      <c r="CB90" s="4688"/>
      <c r="CC90" s="4688"/>
      <c r="CD90" s="4688"/>
      <c r="CE90" s="4688"/>
      <c r="CF90" s="4688"/>
      <c r="CG90" s="4688"/>
      <c r="CH90" s="4688"/>
      <c r="CI90" s="4688"/>
      <c r="CJ90" s="4688"/>
      <c r="CK90" s="4688"/>
      <c r="CL90" s="4688"/>
      <c r="CM90" s="4688"/>
      <c r="CN90" s="4688"/>
      <c r="CO90" s="4688"/>
      <c r="CP90" s="4688"/>
      <c r="CQ90" s="4688"/>
      <c r="CR90" s="4688"/>
      <c r="CS90" s="4688"/>
      <c r="CT90" s="4688"/>
      <c r="CU90" s="4688"/>
      <c r="CV90" s="4688"/>
      <c r="CW90" s="4688"/>
      <c r="CX90" s="4688"/>
      <c r="CY90" s="4688"/>
      <c r="CZ90" s="4688"/>
    </row>
    <row r="91" spans="1:104" customFormat="1" ht="14.45" customHeight="1" x14ac:dyDescent="0.25">
      <c r="A91" s="10242"/>
      <c r="B91" s="5752" t="s">
        <v>2733</v>
      </c>
      <c r="C91" s="5746"/>
      <c r="D91" s="5746"/>
      <c r="BX91" s="4651"/>
      <c r="CA91" s="4688"/>
      <c r="CB91" s="4688"/>
      <c r="CC91" s="4688"/>
      <c r="CD91" s="4688"/>
      <c r="CE91" s="4688"/>
      <c r="CF91" s="4688"/>
      <c r="CG91" s="4688"/>
      <c r="CH91" s="4688"/>
      <c r="CI91" s="4688"/>
      <c r="CJ91" s="4688"/>
      <c r="CK91" s="4688"/>
      <c r="CL91" s="4688"/>
      <c r="CM91" s="4688"/>
      <c r="CN91" s="4688"/>
      <c r="CO91" s="4688"/>
      <c r="CP91" s="4688"/>
      <c r="CQ91" s="4688"/>
      <c r="CR91" s="4688"/>
      <c r="CS91" s="4688"/>
      <c r="CT91" s="4688"/>
      <c r="CU91" s="4688"/>
      <c r="CV91" s="4688"/>
      <c r="CW91" s="4688"/>
      <c r="CX91" s="4688"/>
      <c r="CY91" s="4688"/>
      <c r="CZ91" s="4688"/>
    </row>
    <row r="92" spans="1:104" customFormat="1" ht="18" customHeight="1" x14ac:dyDescent="0.25">
      <c r="A92" s="10242"/>
      <c r="B92" s="5753" t="s">
        <v>2734</v>
      </c>
      <c r="C92" s="5754"/>
      <c r="D92" s="5754"/>
      <c r="BX92" s="4651"/>
      <c r="CA92" s="4688"/>
      <c r="CB92" s="4688"/>
      <c r="CC92" s="4688"/>
      <c r="CD92" s="4688"/>
      <c r="CE92" s="4688"/>
      <c r="CF92" s="4688"/>
      <c r="CG92" s="4688"/>
      <c r="CH92" s="4688"/>
      <c r="CI92" s="4688"/>
      <c r="CJ92" s="4688"/>
      <c r="CK92" s="4688"/>
      <c r="CL92" s="4688"/>
      <c r="CM92" s="4688"/>
      <c r="CN92" s="4688"/>
      <c r="CO92" s="4688"/>
      <c r="CP92" s="4688"/>
      <c r="CQ92" s="4688"/>
      <c r="CR92" s="4688"/>
      <c r="CS92" s="4688"/>
      <c r="CT92" s="4688"/>
      <c r="CU92" s="4688"/>
      <c r="CV92" s="4688"/>
      <c r="CW92" s="4688"/>
      <c r="CX92" s="4688"/>
      <c r="CY92" s="4688"/>
      <c r="CZ92" s="4688"/>
    </row>
    <row r="93" spans="1:104" customFormat="1" ht="13.9" customHeight="1" x14ac:dyDescent="0.25">
      <c r="A93" s="10242"/>
      <c r="B93" s="5751" t="s">
        <v>2737</v>
      </c>
      <c r="C93" s="5755"/>
      <c r="D93" s="5756"/>
      <c r="L93" s="4657"/>
      <c r="BX93" s="4651"/>
      <c r="CA93" s="4688"/>
      <c r="CB93" s="4688"/>
      <c r="CC93" s="4688"/>
      <c r="CD93" s="4688"/>
      <c r="CE93" s="4688"/>
      <c r="CF93" s="4688"/>
      <c r="CG93" s="4688"/>
      <c r="CH93" s="4688"/>
      <c r="CI93" s="4688"/>
      <c r="CJ93" s="4688"/>
      <c r="CK93" s="4688"/>
      <c r="CL93" s="4688"/>
      <c r="CM93" s="4688"/>
      <c r="CN93" s="4688"/>
      <c r="CO93" s="4688"/>
      <c r="CP93" s="4688"/>
      <c r="CQ93" s="4688"/>
      <c r="CR93" s="4688"/>
      <c r="CS93" s="4688"/>
      <c r="CT93" s="4688"/>
      <c r="CU93" s="4688"/>
      <c r="CV93" s="4688"/>
      <c r="CW93" s="4688"/>
      <c r="CX93" s="4688"/>
      <c r="CY93" s="4688"/>
      <c r="CZ93" s="4688"/>
    </row>
    <row r="94" spans="1:104" customFormat="1" ht="13.9" customHeight="1" x14ac:dyDescent="0.25">
      <c r="A94" s="10242"/>
      <c r="B94" s="5751" t="s">
        <v>2763</v>
      </c>
      <c r="C94" s="5755"/>
      <c r="D94" s="5756"/>
      <c r="L94" s="4657"/>
      <c r="BX94" s="4651"/>
      <c r="CA94" s="4688"/>
      <c r="CB94" s="4688"/>
      <c r="CC94" s="4688"/>
      <c r="CD94" s="4688"/>
      <c r="CE94" s="4688"/>
      <c r="CF94" s="4688"/>
      <c r="CG94" s="4688"/>
      <c r="CH94" s="4688"/>
      <c r="CI94" s="4688"/>
      <c r="CJ94" s="4688"/>
      <c r="CK94" s="4688"/>
      <c r="CL94" s="4688"/>
      <c r="CM94" s="4688"/>
      <c r="CN94" s="4688"/>
      <c r="CO94" s="4688"/>
      <c r="CP94" s="4688"/>
      <c r="CQ94" s="4688"/>
      <c r="CR94" s="4688"/>
      <c r="CS94" s="4688"/>
      <c r="CT94" s="4688"/>
      <c r="CU94" s="4688"/>
      <c r="CV94" s="4688"/>
      <c r="CW94" s="4688"/>
      <c r="CX94" s="4688"/>
      <c r="CY94" s="4688"/>
      <c r="CZ94" s="4688"/>
    </row>
    <row r="95" spans="1:104" customFormat="1" ht="13.9" customHeight="1" x14ac:dyDescent="0.25">
      <c r="A95" s="10242"/>
      <c r="B95" s="5751" t="s">
        <v>2764</v>
      </c>
      <c r="C95" s="5755"/>
      <c r="D95" s="5756"/>
      <c r="L95" s="4657"/>
      <c r="BX95" s="4651"/>
      <c r="CA95" s="4688"/>
      <c r="CB95" s="4688"/>
      <c r="CC95" s="4688"/>
      <c r="CD95" s="4688"/>
      <c r="CE95" s="4688"/>
      <c r="CF95" s="4688"/>
      <c r="CG95" s="4688"/>
      <c r="CH95" s="4688"/>
      <c r="CI95" s="4688"/>
      <c r="CJ95" s="4688"/>
      <c r="CK95" s="4688"/>
      <c r="CL95" s="4688"/>
      <c r="CM95" s="4688"/>
      <c r="CN95" s="4688"/>
      <c r="CO95" s="4688"/>
      <c r="CP95" s="4688"/>
      <c r="CQ95" s="4688"/>
      <c r="CR95" s="4688"/>
      <c r="CS95" s="4688"/>
      <c r="CT95" s="4688"/>
      <c r="CU95" s="4688"/>
      <c r="CV95" s="4688"/>
      <c r="CW95" s="4688"/>
      <c r="CX95" s="4688"/>
      <c r="CY95" s="4688"/>
      <c r="CZ95" s="4688"/>
    </row>
    <row r="96" spans="1:104" customFormat="1" ht="13.9" customHeight="1" x14ac:dyDescent="0.25">
      <c r="A96" s="10242"/>
      <c r="B96" s="5751" t="s">
        <v>2765</v>
      </c>
      <c r="C96" s="5755"/>
      <c r="D96" s="5756"/>
      <c r="L96" s="4657"/>
      <c r="BX96" s="4651"/>
      <c r="CA96" s="4688"/>
      <c r="CB96" s="4688"/>
      <c r="CC96" s="4688"/>
      <c r="CD96" s="4688"/>
      <c r="CE96" s="4688"/>
      <c r="CF96" s="4688"/>
      <c r="CG96" s="4688"/>
      <c r="CH96" s="4688"/>
      <c r="CI96" s="4688"/>
      <c r="CJ96" s="4688"/>
      <c r="CK96" s="4688"/>
      <c r="CL96" s="4688"/>
      <c r="CM96" s="4688"/>
      <c r="CN96" s="4688"/>
      <c r="CO96" s="4688"/>
      <c r="CP96" s="4688"/>
      <c r="CQ96" s="4688"/>
      <c r="CR96" s="4688"/>
      <c r="CS96" s="4688"/>
      <c r="CT96" s="4688"/>
      <c r="CU96" s="4688"/>
      <c r="CV96" s="4688"/>
      <c r="CW96" s="4688"/>
      <c r="CX96" s="4688"/>
      <c r="CY96" s="4688"/>
      <c r="CZ96" s="4688"/>
    </row>
    <row r="97" spans="1:104" customFormat="1" ht="13.9" customHeight="1" x14ac:dyDescent="0.25">
      <c r="A97" s="10242"/>
      <c r="B97" s="5751" t="s">
        <v>2766</v>
      </c>
      <c r="C97" s="5755"/>
      <c r="D97" s="5756"/>
      <c r="L97" s="4657"/>
      <c r="BX97" s="4651"/>
      <c r="CA97" s="4688"/>
      <c r="CB97" s="4688"/>
      <c r="CC97" s="4688"/>
      <c r="CD97" s="4688"/>
      <c r="CE97" s="4688"/>
      <c r="CF97" s="4688"/>
      <c r="CG97" s="4688"/>
      <c r="CH97" s="4688"/>
      <c r="CI97" s="4688"/>
      <c r="CJ97" s="4688"/>
      <c r="CK97" s="4688"/>
      <c r="CL97" s="4688"/>
      <c r="CM97" s="4688"/>
      <c r="CN97" s="4688"/>
      <c r="CO97" s="4688"/>
      <c r="CP97" s="4688"/>
      <c r="CQ97" s="4688"/>
      <c r="CR97" s="4688"/>
      <c r="CS97" s="4688"/>
      <c r="CT97" s="4688"/>
      <c r="CU97" s="4688"/>
      <c r="CV97" s="4688"/>
      <c r="CW97" s="4688"/>
      <c r="CX97" s="4688"/>
      <c r="CY97" s="4688"/>
      <c r="CZ97" s="4688"/>
    </row>
    <row r="98" spans="1:104" customFormat="1" ht="13.9" customHeight="1" x14ac:dyDescent="0.25">
      <c r="A98" s="10242"/>
      <c r="B98" s="5751" t="s">
        <v>2767</v>
      </c>
      <c r="C98" s="5755"/>
      <c r="D98" s="5756"/>
      <c r="L98" s="4657"/>
      <c r="BX98" s="4651"/>
      <c r="CA98" s="4688"/>
      <c r="CB98" s="4688"/>
      <c r="CC98" s="4688"/>
      <c r="CD98" s="4688"/>
      <c r="CE98" s="4688"/>
      <c r="CF98" s="4688"/>
      <c r="CG98" s="4688"/>
      <c r="CH98" s="4688"/>
      <c r="CI98" s="4688"/>
      <c r="CJ98" s="4688"/>
      <c r="CK98" s="4688"/>
      <c r="CL98" s="4688"/>
      <c r="CM98" s="4688"/>
      <c r="CN98" s="4688"/>
      <c r="CO98" s="4688"/>
      <c r="CP98" s="4688"/>
      <c r="CQ98" s="4688"/>
      <c r="CR98" s="4688"/>
      <c r="CS98" s="4688"/>
      <c r="CT98" s="4688"/>
      <c r="CU98" s="4688"/>
      <c r="CV98" s="4688"/>
      <c r="CW98" s="4688"/>
      <c r="CX98" s="4688"/>
      <c r="CY98" s="4688"/>
      <c r="CZ98" s="4688"/>
    </row>
    <row r="99" spans="1:104" customFormat="1" ht="22.9" customHeight="1" x14ac:dyDescent="0.25">
      <c r="A99" s="10242"/>
      <c r="B99" s="5757" t="s">
        <v>2768</v>
      </c>
      <c r="C99" s="5755"/>
      <c r="D99" s="5756"/>
      <c r="L99" s="4657"/>
      <c r="BX99" s="4651"/>
      <c r="CA99" s="4688"/>
      <c r="CB99" s="4688"/>
      <c r="CC99" s="4688"/>
      <c r="CD99" s="4688"/>
      <c r="CE99" s="4688"/>
      <c r="CF99" s="4688"/>
      <c r="CG99" s="4688"/>
      <c r="CH99" s="4688"/>
      <c r="CI99" s="4688"/>
      <c r="CJ99" s="4688"/>
      <c r="CK99" s="4688"/>
      <c r="CL99" s="4688"/>
      <c r="CM99" s="4688"/>
      <c r="CN99" s="4688"/>
      <c r="CO99" s="4688"/>
      <c r="CP99" s="4688"/>
      <c r="CQ99" s="4688"/>
      <c r="CR99" s="4688"/>
      <c r="CS99" s="4688"/>
      <c r="CT99" s="4688"/>
      <c r="CU99" s="4688"/>
      <c r="CV99" s="4688"/>
      <c r="CW99" s="4688"/>
      <c r="CX99" s="4688"/>
      <c r="CY99" s="4688"/>
      <c r="CZ99" s="4688"/>
    </row>
    <row r="100" spans="1:104" customFormat="1" ht="13.9" customHeight="1" x14ac:dyDescent="0.25">
      <c r="A100" s="10242"/>
      <c r="B100" s="5751" t="s">
        <v>2769</v>
      </c>
      <c r="C100" s="5755"/>
      <c r="D100" s="5756"/>
      <c r="L100" s="4657"/>
      <c r="BX100" s="4651"/>
      <c r="CA100" s="4688"/>
      <c r="CB100" s="4688"/>
      <c r="CC100" s="4688"/>
      <c r="CD100" s="4688"/>
      <c r="CE100" s="4688"/>
      <c r="CF100" s="4688"/>
      <c r="CG100" s="4688"/>
      <c r="CH100" s="4688"/>
      <c r="CI100" s="4688"/>
      <c r="CJ100" s="4688"/>
      <c r="CK100" s="4688"/>
      <c r="CL100" s="4688"/>
      <c r="CM100" s="4688"/>
      <c r="CN100" s="4688"/>
      <c r="CO100" s="4688"/>
      <c r="CP100" s="4688"/>
      <c r="CQ100" s="4688"/>
      <c r="CR100" s="4688"/>
      <c r="CS100" s="4688"/>
      <c r="CT100" s="4688"/>
      <c r="CU100" s="4688"/>
      <c r="CV100" s="4688"/>
      <c r="CW100" s="4688"/>
      <c r="CX100" s="4688"/>
      <c r="CY100" s="4688"/>
      <c r="CZ100" s="4688"/>
    </row>
    <row r="101" spans="1:104" customFormat="1" ht="13.9" customHeight="1" x14ac:dyDescent="0.25">
      <c r="A101" s="10504"/>
      <c r="B101" s="5747" t="s">
        <v>2770</v>
      </c>
      <c r="C101" s="5758"/>
      <c r="D101" s="5759"/>
      <c r="E101" s="5760"/>
      <c r="L101" s="4657"/>
      <c r="BX101" s="4651"/>
      <c r="CA101" s="4688"/>
      <c r="CB101" s="4688"/>
      <c r="CC101" s="4688"/>
      <c r="CD101" s="4688"/>
      <c r="CE101" s="4688"/>
      <c r="CF101" s="4688"/>
      <c r="CG101" s="4688"/>
      <c r="CH101" s="4688"/>
      <c r="CI101" s="4688"/>
      <c r="CJ101" s="4688"/>
      <c r="CK101" s="4688"/>
      <c r="CL101" s="4688"/>
      <c r="CM101" s="4688"/>
      <c r="CN101" s="4688"/>
      <c r="CO101" s="4688"/>
      <c r="CP101" s="4688"/>
      <c r="CQ101" s="4688"/>
      <c r="CR101" s="4688"/>
      <c r="CS101" s="4688"/>
      <c r="CT101" s="4688"/>
      <c r="CU101" s="4688"/>
      <c r="CV101" s="4688"/>
      <c r="CW101" s="4688"/>
      <c r="CX101" s="4688"/>
      <c r="CY101" s="4688"/>
      <c r="CZ101" s="4688"/>
    </row>
    <row r="102" spans="1:104" s="4657" customFormat="1" ht="27.75" customHeight="1" x14ac:dyDescent="0.2">
      <c r="A102" s="5761" t="s">
        <v>1324</v>
      </c>
      <c r="B102" s="5762"/>
      <c r="C102" s="4650"/>
      <c r="D102" s="5762"/>
      <c r="E102" s="4878"/>
      <c r="BX102" s="4653"/>
      <c r="CA102" s="4688"/>
      <c r="CB102" s="4688"/>
      <c r="CC102" s="4688"/>
      <c r="CD102" s="4688"/>
      <c r="CE102" s="4688"/>
      <c r="CF102" s="4688"/>
      <c r="CG102" s="4688"/>
      <c r="CH102" s="4688"/>
      <c r="CI102" s="4688"/>
      <c r="CJ102" s="4688"/>
      <c r="CK102" s="4688"/>
      <c r="CL102" s="4688"/>
      <c r="CM102" s="4688"/>
      <c r="CN102" s="4688"/>
      <c r="CO102" s="4688"/>
      <c r="CP102" s="4688"/>
      <c r="CQ102" s="4688"/>
      <c r="CR102" s="4688"/>
      <c r="CS102" s="4688"/>
      <c r="CT102" s="4688"/>
      <c r="CU102" s="4688"/>
      <c r="CV102" s="4688"/>
      <c r="CW102" s="4688"/>
      <c r="CX102" s="4688"/>
      <c r="CY102" s="4688"/>
      <c r="CZ102" s="4688"/>
    </row>
    <row r="103" spans="1:104" s="4657" customFormat="1" ht="13.9" customHeight="1" x14ac:dyDescent="0.2">
      <c r="A103" s="10470" t="s">
        <v>31</v>
      </c>
      <c r="B103" s="8974" t="s">
        <v>44</v>
      </c>
      <c r="C103" s="9043" t="s">
        <v>1323</v>
      </c>
      <c r="D103" s="10240"/>
      <c r="BT103" s="4653"/>
      <c r="BU103" s="4653"/>
      <c r="CA103" s="4688"/>
      <c r="CB103" s="4688"/>
      <c r="CC103" s="4688"/>
      <c r="CD103" s="4688"/>
      <c r="CE103" s="4688"/>
      <c r="CF103" s="4688"/>
      <c r="CG103" s="4688"/>
      <c r="CH103" s="4688"/>
      <c r="CI103" s="4688"/>
      <c r="CJ103" s="4688"/>
      <c r="CK103" s="4688"/>
      <c r="CL103" s="4688"/>
      <c r="CM103" s="4688"/>
      <c r="CN103" s="4688"/>
      <c r="CO103" s="4688"/>
      <c r="CP103" s="4688"/>
      <c r="CQ103" s="4688"/>
      <c r="CR103" s="4688"/>
      <c r="CS103" s="4688"/>
      <c r="CT103" s="4688"/>
      <c r="CU103" s="4688"/>
      <c r="CV103" s="4688"/>
      <c r="CW103" s="4688"/>
      <c r="CX103" s="4688"/>
      <c r="CY103" s="4688"/>
      <c r="CZ103" s="4688"/>
    </row>
    <row r="104" spans="1:104" s="4657" customFormat="1" x14ac:dyDescent="0.2">
      <c r="A104" s="10463"/>
      <c r="B104" s="10463"/>
      <c r="C104" s="10480"/>
      <c r="D104" s="10481"/>
      <c r="BT104" s="4653"/>
      <c r="BU104" s="4653"/>
      <c r="CA104" s="4688"/>
      <c r="CB104" s="4688"/>
      <c r="CC104" s="4688"/>
      <c r="CD104" s="4688"/>
      <c r="CE104" s="4688"/>
      <c r="CF104" s="4688"/>
      <c r="CG104" s="4688"/>
      <c r="CH104" s="4688"/>
      <c r="CI104" s="4688"/>
      <c r="CJ104" s="4688"/>
      <c r="CK104" s="4688"/>
      <c r="CL104" s="4688"/>
      <c r="CM104" s="4688"/>
      <c r="CN104" s="4688"/>
      <c r="CO104" s="4688"/>
      <c r="CP104" s="4688"/>
      <c r="CQ104" s="4688"/>
      <c r="CR104" s="4688"/>
      <c r="CS104" s="4688"/>
      <c r="CT104" s="4688"/>
      <c r="CU104" s="4688"/>
      <c r="CV104" s="4688"/>
      <c r="CW104" s="4688"/>
      <c r="CX104" s="4688"/>
      <c r="CY104" s="4688"/>
      <c r="CZ104" s="4688"/>
    </row>
    <row r="105" spans="1:104" s="4657" customFormat="1" ht="13.9" customHeight="1" x14ac:dyDescent="0.2">
      <c r="A105" s="10471"/>
      <c r="B105" s="10479"/>
      <c r="C105" s="5763" t="s">
        <v>17</v>
      </c>
      <c r="D105" s="5535" t="s">
        <v>18</v>
      </c>
      <c r="BU105" s="4653"/>
      <c r="CA105" s="4688"/>
      <c r="CB105" s="4688"/>
      <c r="CC105" s="4688"/>
      <c r="CD105" s="4688"/>
      <c r="CE105" s="4688"/>
      <c r="CF105" s="4688"/>
      <c r="CG105" s="4688"/>
      <c r="CH105" s="4688"/>
      <c r="CI105" s="4688"/>
      <c r="CJ105" s="4688"/>
      <c r="CK105" s="4688"/>
      <c r="CL105" s="4688"/>
      <c r="CM105" s="4688"/>
      <c r="CN105" s="4688"/>
      <c r="CO105" s="4688"/>
      <c r="CP105" s="4688"/>
      <c r="CQ105" s="4688"/>
      <c r="CR105" s="4688"/>
      <c r="CS105" s="4688"/>
      <c r="CT105" s="4688"/>
      <c r="CU105" s="4688"/>
      <c r="CV105" s="4688"/>
      <c r="CW105" s="4688"/>
      <c r="CX105" s="4688"/>
      <c r="CY105" s="4688"/>
      <c r="CZ105" s="4688"/>
    </row>
    <row r="106" spans="1:104" s="4657" customFormat="1" ht="13.9" customHeight="1" x14ac:dyDescent="0.2">
      <c r="A106" s="5546" t="s">
        <v>1322</v>
      </c>
      <c r="B106" s="5669">
        <f>SUM(C106:D106)</f>
        <v>0</v>
      </c>
      <c r="C106" s="5764"/>
      <c r="D106" s="5764"/>
      <c r="BU106" s="4653"/>
      <c r="CA106" s="4688"/>
      <c r="CB106" s="4688"/>
      <c r="CC106" s="4688"/>
      <c r="CD106" s="4688"/>
      <c r="CE106" s="4688"/>
      <c r="CF106" s="4688"/>
      <c r="CG106" s="4688"/>
      <c r="CH106" s="4688"/>
      <c r="CI106" s="4688"/>
      <c r="CJ106" s="4688"/>
      <c r="CK106" s="4688"/>
      <c r="CL106" s="4688"/>
      <c r="CM106" s="4688"/>
      <c r="CN106" s="4688"/>
      <c r="CO106" s="4688"/>
      <c r="CP106" s="4688"/>
      <c r="CQ106" s="4688"/>
      <c r="CR106" s="4688"/>
      <c r="CS106" s="4688"/>
      <c r="CT106" s="4688"/>
      <c r="CU106" s="4688"/>
      <c r="CV106" s="4688"/>
      <c r="CW106" s="4688"/>
      <c r="CX106" s="4688"/>
      <c r="CY106" s="4688"/>
      <c r="CZ106" s="4688"/>
    </row>
    <row r="107" spans="1:104" x14ac:dyDescent="0.2">
      <c r="A107" s="5765" t="s">
        <v>1321</v>
      </c>
      <c r="B107" s="5607">
        <f>SUM(C107:D107)</f>
        <v>0</v>
      </c>
      <c r="C107" s="5766"/>
      <c r="D107" s="5766"/>
      <c r="E107" s="5767"/>
      <c r="BU107" s="4652"/>
    </row>
    <row r="108" spans="1:104" ht="25.15" customHeight="1" x14ac:dyDescent="0.2">
      <c r="A108" s="4649" t="s">
        <v>2864</v>
      </c>
      <c r="B108" s="5768"/>
      <c r="C108" s="5769"/>
      <c r="D108" s="5769"/>
      <c r="E108" s="5769"/>
      <c r="F108" s="5769"/>
      <c r="BX108" s="4652"/>
    </row>
    <row r="109" spans="1:104" ht="27.75" customHeight="1" x14ac:dyDescent="0.2">
      <c r="A109" s="5316" t="s">
        <v>2195</v>
      </c>
      <c r="B109" s="5770" t="s">
        <v>24</v>
      </c>
      <c r="BX109" s="4652"/>
    </row>
    <row r="110" spans="1:104" x14ac:dyDescent="0.2">
      <c r="A110" s="5771" t="s">
        <v>2277</v>
      </c>
      <c r="B110" s="5772"/>
    </row>
    <row r="111" spans="1:104" x14ac:dyDescent="0.2">
      <c r="A111" s="5773" t="s">
        <v>2273</v>
      </c>
      <c r="B111" s="5774"/>
    </row>
    <row r="112" spans="1:104" x14ac:dyDescent="0.2">
      <c r="A112" s="5773" t="s">
        <v>2274</v>
      </c>
      <c r="B112" s="5775"/>
    </row>
    <row r="113" spans="1:5" x14ac:dyDescent="0.2">
      <c r="A113" s="5773" t="s">
        <v>2278</v>
      </c>
      <c r="B113" s="5775"/>
    </row>
    <row r="114" spans="1:5" x14ac:dyDescent="0.2">
      <c r="A114" s="5773" t="s">
        <v>2279</v>
      </c>
      <c r="B114" s="5775"/>
    </row>
    <row r="115" spans="1:5" x14ac:dyDescent="0.2">
      <c r="A115" s="5773" t="s">
        <v>2280</v>
      </c>
      <c r="B115" s="5775"/>
    </row>
    <row r="116" spans="1:5" x14ac:dyDescent="0.2">
      <c r="A116" s="5773" t="s">
        <v>2281</v>
      </c>
      <c r="B116" s="5775"/>
    </row>
    <row r="117" spans="1:5" x14ac:dyDescent="0.2">
      <c r="A117" s="5773" t="s">
        <v>2282</v>
      </c>
      <c r="B117" s="5775"/>
    </row>
    <row r="118" spans="1:5" x14ac:dyDescent="0.2">
      <c r="A118" s="5773" t="s">
        <v>2283</v>
      </c>
      <c r="B118" s="5775"/>
    </row>
    <row r="119" spans="1:5" x14ac:dyDescent="0.2">
      <c r="A119" s="5773" t="s">
        <v>2284</v>
      </c>
      <c r="B119" s="5775"/>
    </row>
    <row r="120" spans="1:5" x14ac:dyDescent="0.2">
      <c r="A120" s="5773" t="s">
        <v>2285</v>
      </c>
      <c r="B120" s="5775"/>
    </row>
    <row r="121" spans="1:5" x14ac:dyDescent="0.2">
      <c r="A121" s="5773" t="s">
        <v>2286</v>
      </c>
      <c r="B121" s="5775"/>
    </row>
    <row r="122" spans="1:5" x14ac:dyDescent="0.2">
      <c r="A122" s="5773" t="s">
        <v>2289</v>
      </c>
      <c r="B122" s="5775"/>
    </row>
    <row r="123" spans="1:5" x14ac:dyDescent="0.2">
      <c r="A123" s="5773" t="s">
        <v>2287</v>
      </c>
      <c r="B123" s="5775"/>
    </row>
    <row r="124" spans="1:5" x14ac:dyDescent="0.2">
      <c r="A124" s="5773" t="s">
        <v>2288</v>
      </c>
      <c r="B124" s="5775"/>
    </row>
    <row r="125" spans="1:5" x14ac:dyDescent="0.2">
      <c r="A125" s="5773" t="s">
        <v>2276</v>
      </c>
      <c r="B125" s="5775"/>
    </row>
    <row r="126" spans="1:5" x14ac:dyDescent="0.2">
      <c r="A126" s="5776" t="s">
        <v>2275</v>
      </c>
      <c r="B126" s="5777"/>
    </row>
    <row r="127" spans="1:5" ht="20.25" customHeight="1" x14ac:dyDescent="0.2">
      <c r="A127" s="5778" t="s">
        <v>24</v>
      </c>
      <c r="B127" s="5779">
        <f>SUM(B110:B126)</f>
        <v>0</v>
      </c>
      <c r="C127" s="5780"/>
    </row>
    <row r="128" spans="1:5" ht="28.15" customHeight="1" x14ac:dyDescent="0.25">
      <c r="A128" s="5781" t="s">
        <v>2865</v>
      </c>
      <c r="B128"/>
      <c r="C128"/>
      <c r="D128"/>
      <c r="E128"/>
    </row>
    <row r="129" spans="1:5" ht="27.6" customHeight="1" x14ac:dyDescent="0.2">
      <c r="A129" s="5782" t="s">
        <v>2863</v>
      </c>
      <c r="B129" s="5782" t="s">
        <v>1047</v>
      </c>
      <c r="C129" s="5782" t="s">
        <v>24</v>
      </c>
      <c r="D129" s="5782" t="s">
        <v>2852</v>
      </c>
      <c r="E129" s="5782" t="s">
        <v>2853</v>
      </c>
    </row>
    <row r="130" spans="1:5" ht="14.1" customHeight="1" x14ac:dyDescent="0.2">
      <c r="A130" s="10510" t="s">
        <v>2854</v>
      </c>
      <c r="B130" s="5783" t="s">
        <v>2855</v>
      </c>
      <c r="C130" s="5784"/>
      <c r="D130" s="7374"/>
      <c r="E130" s="7374"/>
    </row>
    <row r="131" spans="1:5" ht="14.1" customHeight="1" x14ac:dyDescent="0.2">
      <c r="A131" s="10511"/>
      <c r="B131" s="5785" t="s">
        <v>2856</v>
      </c>
      <c r="C131" s="5786"/>
      <c r="D131" s="7375"/>
      <c r="E131" s="7375"/>
    </row>
    <row r="132" spans="1:5" ht="14.1" customHeight="1" x14ac:dyDescent="0.2">
      <c r="A132" s="5787" t="s">
        <v>3511</v>
      </c>
      <c r="B132" s="5787" t="s">
        <v>2857</v>
      </c>
      <c r="C132" s="5788"/>
      <c r="D132" s="7376"/>
      <c r="E132" s="7376"/>
    </row>
    <row r="133" spans="1:5" ht="14.1" customHeight="1" x14ac:dyDescent="0.2">
      <c r="A133" s="10512" t="s">
        <v>3937</v>
      </c>
      <c r="B133" s="5789" t="s">
        <v>2858</v>
      </c>
      <c r="C133" s="5790"/>
      <c r="D133" s="7377"/>
      <c r="E133" s="7377"/>
    </row>
    <row r="134" spans="1:5" ht="14.1" customHeight="1" x14ac:dyDescent="0.2">
      <c r="A134" s="10511"/>
      <c r="B134" s="5785" t="s">
        <v>2859</v>
      </c>
      <c r="C134" s="5786"/>
      <c r="D134" s="5786"/>
      <c r="E134" s="5786"/>
    </row>
    <row r="135" spans="1:5" ht="14.1" customHeight="1" x14ac:dyDescent="0.2">
      <c r="A135" s="10510" t="s">
        <v>2860</v>
      </c>
      <c r="B135" s="5783" t="s">
        <v>2858</v>
      </c>
      <c r="C135" s="5784"/>
      <c r="D135" s="5784"/>
      <c r="E135" s="7374"/>
    </row>
    <row r="136" spans="1:5" ht="14.1" customHeight="1" x14ac:dyDescent="0.2">
      <c r="A136" s="10511"/>
      <c r="B136" s="5785" t="s">
        <v>2859</v>
      </c>
      <c r="C136" s="5786"/>
      <c r="D136" s="5786"/>
      <c r="E136" s="7375"/>
    </row>
    <row r="137" spans="1:5" ht="14.1" customHeight="1" x14ac:dyDescent="0.2">
      <c r="A137" s="10510" t="s">
        <v>2861</v>
      </c>
      <c r="B137" s="5783" t="s">
        <v>2704</v>
      </c>
      <c r="C137" s="5784"/>
      <c r="D137" s="7374"/>
      <c r="E137" s="7374"/>
    </row>
    <row r="138" spans="1:5" ht="14.1" customHeight="1" x14ac:dyDescent="0.2">
      <c r="A138" s="10511"/>
      <c r="B138" s="5785" t="s">
        <v>2862</v>
      </c>
      <c r="C138" s="5786"/>
      <c r="D138" s="7375"/>
      <c r="E138" s="7375"/>
    </row>
    <row r="139" spans="1:5" ht="25.15" customHeight="1" x14ac:dyDescent="0.25">
      <c r="A139" s="5791" t="s">
        <v>2866</v>
      </c>
      <c r="B139" s="5500"/>
      <c r="C139"/>
      <c r="D139"/>
    </row>
    <row r="140" spans="1:5" ht="31.15" customHeight="1" x14ac:dyDescent="0.2">
      <c r="A140" s="4818" t="s">
        <v>1234</v>
      </c>
      <c r="B140" s="4818" t="s">
        <v>1212</v>
      </c>
      <c r="C140" s="4818" t="s">
        <v>2746</v>
      </c>
      <c r="D140" s="4818" t="s">
        <v>2747</v>
      </c>
    </row>
    <row r="141" spans="1:5" x14ac:dyDescent="0.2">
      <c r="A141" s="5792" t="s">
        <v>2748</v>
      </c>
      <c r="B141" s="5793"/>
      <c r="C141" s="5793"/>
      <c r="D141" s="5793"/>
    </row>
    <row r="142" spans="1:5" x14ac:dyDescent="0.2">
      <c r="A142" s="5794" t="s">
        <v>2749</v>
      </c>
      <c r="B142" s="5795"/>
      <c r="C142" s="5795"/>
      <c r="D142" s="5795"/>
    </row>
    <row r="143" spans="1:5" x14ac:dyDescent="0.2">
      <c r="A143" s="5794" t="s">
        <v>2750</v>
      </c>
      <c r="B143" s="5795"/>
      <c r="C143" s="7378"/>
      <c r="D143" s="7378"/>
    </row>
    <row r="144" spans="1:5" x14ac:dyDescent="0.2">
      <c r="A144" s="5794" t="s">
        <v>2751</v>
      </c>
      <c r="B144" s="5795"/>
      <c r="C144" s="7378"/>
      <c r="D144" s="7378"/>
    </row>
    <row r="145" spans="1:19" x14ac:dyDescent="0.2">
      <c r="A145" s="5794" t="s">
        <v>2752</v>
      </c>
      <c r="B145" s="5795"/>
      <c r="C145" s="5795"/>
      <c r="D145" s="5795"/>
    </row>
    <row r="146" spans="1:19" x14ac:dyDescent="0.2">
      <c r="A146" s="5796" t="s">
        <v>2753</v>
      </c>
      <c r="B146" s="5797"/>
      <c r="C146" s="5797"/>
      <c r="D146" s="5797"/>
    </row>
    <row r="147" spans="1:19" ht="22.15" customHeight="1" x14ac:dyDescent="0.25">
      <c r="A147" s="4650" t="s">
        <v>2867</v>
      </c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</row>
    <row r="148" spans="1:19" ht="14.45" customHeight="1" x14ac:dyDescent="0.25">
      <c r="A148" s="10494" t="s">
        <v>2702</v>
      </c>
      <c r="B148" s="10494" t="s">
        <v>24</v>
      </c>
      <c r="C148" s="10508" t="s">
        <v>3510</v>
      </c>
      <c r="D148" s="10508"/>
      <c r="E148" s="10506" t="s">
        <v>80</v>
      </c>
      <c r="F148" s="10507"/>
      <c r="G148" s="10508" t="s">
        <v>2897</v>
      </c>
      <c r="H148" s="10508"/>
      <c r="I148" s="10466" t="s">
        <v>2799</v>
      </c>
      <c r="J148" s="10467"/>
      <c r="K148" s="10490" t="s">
        <v>2776</v>
      </c>
      <c r="L148" s="10491"/>
      <c r="M148" s="10491"/>
      <c r="N148"/>
      <c r="O148"/>
      <c r="P148"/>
      <c r="Q148"/>
      <c r="R148"/>
      <c r="S148"/>
    </row>
    <row r="149" spans="1:19" ht="20.45" customHeight="1" x14ac:dyDescent="0.25">
      <c r="A149" s="10509"/>
      <c r="B149" s="10509"/>
      <c r="C149" s="5798" t="s">
        <v>17</v>
      </c>
      <c r="D149" s="5798" t="s">
        <v>18</v>
      </c>
      <c r="E149" s="5798" t="s">
        <v>17</v>
      </c>
      <c r="F149" s="5798" t="s">
        <v>18</v>
      </c>
      <c r="G149" s="5798" t="s">
        <v>17</v>
      </c>
      <c r="H149" s="5798" t="s">
        <v>18</v>
      </c>
      <c r="I149" s="5799" t="s">
        <v>17</v>
      </c>
      <c r="J149" s="5800" t="s">
        <v>18</v>
      </c>
      <c r="K149" s="5801" t="s">
        <v>1736</v>
      </c>
      <c r="L149" s="5802" t="s">
        <v>2774</v>
      </c>
      <c r="M149" s="5802" t="s">
        <v>2775</v>
      </c>
      <c r="N149"/>
      <c r="O149"/>
      <c r="P149"/>
      <c r="Q149"/>
      <c r="R149"/>
      <c r="S149"/>
    </row>
    <row r="150" spans="1:19" ht="15" x14ac:dyDescent="0.25">
      <c r="A150" s="5803" t="s">
        <v>2771</v>
      </c>
      <c r="B150" s="5804"/>
      <c r="C150" s="5805"/>
      <c r="D150" s="5805"/>
      <c r="E150" s="5805"/>
      <c r="F150" s="5805"/>
      <c r="G150" s="5805"/>
      <c r="H150" s="5805"/>
      <c r="I150" s="5806"/>
      <c r="J150" s="5807"/>
      <c r="K150" s="5515"/>
      <c r="L150" s="5808"/>
      <c r="M150" s="5808"/>
      <c r="N150"/>
      <c r="O150"/>
      <c r="P150"/>
      <c r="Q150"/>
      <c r="R150"/>
      <c r="S150"/>
    </row>
    <row r="151" spans="1:19" ht="15" x14ac:dyDescent="0.25">
      <c r="A151" s="5809" t="s">
        <v>2772</v>
      </c>
      <c r="B151" s="5810">
        <f>SUM(C151:J151)</f>
        <v>0</v>
      </c>
      <c r="C151" s="5811"/>
      <c r="D151" s="5811"/>
      <c r="E151" s="5811"/>
      <c r="F151" s="5811"/>
      <c r="G151" s="5811"/>
      <c r="H151" s="5811"/>
      <c r="I151" s="5363"/>
      <c r="J151" s="5518"/>
      <c r="K151" s="5389"/>
      <c r="L151" s="5811"/>
      <c r="M151" s="5811"/>
      <c r="N151"/>
      <c r="O151"/>
      <c r="P151"/>
      <c r="Q151"/>
      <c r="R151"/>
      <c r="S151"/>
    </row>
    <row r="152" spans="1:19" ht="15" x14ac:dyDescent="0.25">
      <c r="A152" s="5812" t="s">
        <v>2773</v>
      </c>
      <c r="B152" s="5813">
        <f>SUM(C152:J152)</f>
        <v>0</v>
      </c>
      <c r="C152" s="5814"/>
      <c r="D152" s="5814"/>
      <c r="E152" s="5814"/>
      <c r="F152" s="5814"/>
      <c r="G152" s="5814"/>
      <c r="H152" s="5814"/>
      <c r="I152" s="5815"/>
      <c r="J152" s="5816"/>
      <c r="K152" s="5817"/>
      <c r="L152" s="5814"/>
      <c r="M152" s="5814"/>
      <c r="N152"/>
      <c r="O152"/>
      <c r="P152"/>
      <c r="Q152"/>
      <c r="R152"/>
      <c r="S152"/>
    </row>
    <row r="153" spans="1:19" ht="24.6" customHeight="1" x14ac:dyDescent="0.2">
      <c r="A153" s="4650" t="s">
        <v>2868</v>
      </c>
      <c r="B153" s="5762"/>
      <c r="C153" s="5818"/>
      <c r="D153" s="5819"/>
      <c r="E153" s="5818"/>
      <c r="F153" s="5819"/>
    </row>
    <row r="154" spans="1:19" x14ac:dyDescent="0.2">
      <c r="A154" s="10494" t="s">
        <v>2702</v>
      </c>
      <c r="B154" s="10494" t="s">
        <v>24</v>
      </c>
      <c r="C154" s="10492" t="s">
        <v>2896</v>
      </c>
      <c r="D154" s="10493"/>
      <c r="E154" s="10498" t="s">
        <v>1349</v>
      </c>
      <c r="F154" s="10499"/>
      <c r="G154" s="10499"/>
      <c r="H154" s="10500"/>
    </row>
    <row r="155" spans="1:19" ht="14.45" customHeight="1" x14ac:dyDescent="0.2">
      <c r="A155" s="10495"/>
      <c r="B155" s="10495"/>
      <c r="C155" s="10492"/>
      <c r="D155" s="10493"/>
      <c r="E155" s="10501" t="s">
        <v>2704</v>
      </c>
      <c r="F155" s="10494" t="s">
        <v>2705</v>
      </c>
      <c r="G155" s="10497" t="s">
        <v>2703</v>
      </c>
      <c r="H155" s="10497"/>
    </row>
    <row r="156" spans="1:19" x14ac:dyDescent="0.2">
      <c r="A156" s="10496"/>
      <c r="B156" s="10496"/>
      <c r="C156" s="5799" t="s">
        <v>3652</v>
      </c>
      <c r="D156" s="5800" t="s">
        <v>2799</v>
      </c>
      <c r="E156" s="10210"/>
      <c r="F156" s="10502"/>
      <c r="G156" s="5820" t="s">
        <v>2704</v>
      </c>
      <c r="H156" s="5820" t="s">
        <v>2705</v>
      </c>
    </row>
    <row r="157" spans="1:19" x14ac:dyDescent="0.2">
      <c r="A157" s="5821" t="s">
        <v>2706</v>
      </c>
      <c r="B157" s="5822">
        <f>SUM(C157:D157)</f>
        <v>0</v>
      </c>
      <c r="C157" s="5823"/>
      <c r="D157" s="5824"/>
      <c r="E157" s="5515"/>
      <c r="F157" s="5825"/>
      <c r="G157" s="5825"/>
      <c r="H157" s="5825"/>
    </row>
    <row r="158" spans="1:19" x14ac:dyDescent="0.2">
      <c r="A158" s="5826" t="s">
        <v>2196</v>
      </c>
      <c r="B158" s="5827">
        <f>SUM(C158:D158)</f>
        <v>0</v>
      </c>
      <c r="C158" s="5363"/>
      <c r="D158" s="5518"/>
      <c r="E158" s="5389"/>
      <c r="F158" s="5828"/>
      <c r="G158" s="5828"/>
      <c r="H158" s="5828"/>
    </row>
    <row r="159" spans="1:19" x14ac:dyDescent="0.2">
      <c r="A159" s="5829" t="s">
        <v>2707</v>
      </c>
      <c r="B159" s="5830">
        <f>SUM(C159:D159)</f>
        <v>0</v>
      </c>
      <c r="C159" s="5815"/>
      <c r="D159" s="5816"/>
      <c r="E159" s="5817"/>
      <c r="F159" s="5831"/>
      <c r="G159" s="5831"/>
      <c r="H159" s="5831"/>
    </row>
    <row r="223" spans="79:104" s="4651" customFormat="1" x14ac:dyDescent="0.2">
      <c r="CA223" s="4688"/>
      <c r="CB223" s="4688"/>
      <c r="CC223" s="4688"/>
      <c r="CD223" s="4688"/>
      <c r="CE223" s="4688"/>
      <c r="CF223" s="4688"/>
      <c r="CG223" s="4688"/>
      <c r="CH223" s="4688"/>
      <c r="CI223" s="4688"/>
      <c r="CJ223" s="4688"/>
      <c r="CK223" s="4688"/>
      <c r="CL223" s="4688"/>
      <c r="CM223" s="4688"/>
      <c r="CN223" s="4688"/>
      <c r="CO223" s="4688"/>
      <c r="CP223" s="4688"/>
      <c r="CQ223" s="4688"/>
      <c r="CR223" s="4688"/>
      <c r="CS223" s="4688"/>
      <c r="CT223" s="4688"/>
      <c r="CU223" s="4688"/>
      <c r="CV223" s="4688"/>
      <c r="CW223" s="4688"/>
      <c r="CX223" s="4688"/>
      <c r="CY223" s="4688"/>
      <c r="CZ223" s="4688"/>
    </row>
    <row r="224" spans="79:104" s="4651" customFormat="1" x14ac:dyDescent="0.2">
      <c r="CA224" s="4688"/>
      <c r="CB224" s="4688"/>
      <c r="CC224" s="4688"/>
      <c r="CD224" s="4688"/>
      <c r="CE224" s="4688"/>
      <c r="CF224" s="4688"/>
      <c r="CG224" s="4688"/>
      <c r="CH224" s="4688"/>
      <c r="CI224" s="4688"/>
      <c r="CJ224" s="4688"/>
      <c r="CK224" s="4688"/>
      <c r="CL224" s="4688"/>
      <c r="CM224" s="4688"/>
      <c r="CN224" s="4688"/>
      <c r="CO224" s="4688"/>
      <c r="CP224" s="4688"/>
      <c r="CQ224" s="4688"/>
      <c r="CR224" s="4688"/>
      <c r="CS224" s="4688"/>
      <c r="CT224" s="4688"/>
      <c r="CU224" s="4688"/>
      <c r="CV224" s="4688"/>
      <c r="CW224" s="4688"/>
      <c r="CX224" s="4688"/>
      <c r="CY224" s="4688"/>
      <c r="CZ224" s="4688"/>
    </row>
    <row r="225" spans="1:104" s="5832" customFormat="1" hidden="1" x14ac:dyDescent="0.2">
      <c r="A225" s="5832">
        <f>SUM(B12:B15,B17:B22,B24:B25,B27:B28,C32:C64,C68:D101,B106:B107,B127,C130:C138,B141:B146,B151:B152,B157:B159)</f>
        <v>0</v>
      </c>
      <c r="B225" s="5832">
        <f>SUM(CN11:CQ64)</f>
        <v>0</v>
      </c>
      <c r="CA225" s="5833"/>
      <c r="CB225" s="5833"/>
      <c r="CC225" s="5833"/>
      <c r="CD225" s="5833"/>
      <c r="CE225" s="5833"/>
      <c r="CF225" s="5833"/>
      <c r="CG225" s="5833"/>
      <c r="CH225" s="5833"/>
      <c r="CI225" s="5833"/>
      <c r="CJ225" s="5833"/>
      <c r="CK225" s="5833"/>
      <c r="CL225" s="5833"/>
      <c r="CM225" s="5833"/>
      <c r="CN225" s="5833"/>
      <c r="CO225" s="5833"/>
      <c r="CP225" s="5833"/>
      <c r="CQ225" s="5833"/>
      <c r="CR225" s="5833"/>
      <c r="CS225" s="5833"/>
      <c r="CT225" s="5833"/>
      <c r="CU225" s="5833"/>
      <c r="CV225" s="5833"/>
      <c r="CW225" s="5833"/>
      <c r="CX225" s="5833"/>
      <c r="CY225" s="5833"/>
      <c r="CZ225" s="5833"/>
    </row>
    <row r="288" spans="78:104" s="4657" customFormat="1" x14ac:dyDescent="0.2">
      <c r="BZ288" s="4653"/>
      <c r="CA288" s="4688"/>
      <c r="CB288" s="4688"/>
      <c r="CC288" s="4688"/>
      <c r="CD288" s="4688"/>
      <c r="CE288" s="4688"/>
      <c r="CF288" s="4688"/>
      <c r="CG288" s="4688"/>
      <c r="CH288" s="4688"/>
      <c r="CI288" s="4688"/>
      <c r="CJ288" s="4688"/>
      <c r="CK288" s="4688"/>
      <c r="CL288" s="4688"/>
      <c r="CM288" s="4688"/>
      <c r="CN288" s="4688"/>
      <c r="CO288" s="4688"/>
      <c r="CP288" s="4688"/>
      <c r="CQ288" s="4688"/>
      <c r="CR288" s="4688"/>
      <c r="CS288" s="4688"/>
      <c r="CT288" s="4688"/>
      <c r="CU288" s="4688"/>
      <c r="CV288" s="4688"/>
      <c r="CW288" s="4688"/>
      <c r="CX288" s="4688"/>
      <c r="CY288" s="4688"/>
      <c r="CZ288" s="4688"/>
    </row>
  </sheetData>
  <sheetProtection algorithmName="SHA-512" hashValue="K7rLk8Pd6Lr44RMNMYpQFRlZ/6N/hrvgsMOon1JjA1UL3dMUxL0GMu/Iu9HbZbhx8i6Wa0dN/S+AMz/it2XXlQ==" saltValue="rkvcV1uCZ5jpaY7VceU1vg==" spinCount="100000" sheet="1" objects="1" scenarios="1"/>
  <mergeCells count="60">
    <mergeCell ref="B11:T11"/>
    <mergeCell ref="B16:L16"/>
    <mergeCell ref="B23:L23"/>
    <mergeCell ref="B26:L26"/>
    <mergeCell ref="S16:T16"/>
    <mergeCell ref="S23:T23"/>
    <mergeCell ref="S26:T26"/>
    <mergeCell ref="A88:A101"/>
    <mergeCell ref="A68:A87"/>
    <mergeCell ref="E148:F148"/>
    <mergeCell ref="C148:D148"/>
    <mergeCell ref="G148:H148"/>
    <mergeCell ref="B148:B149"/>
    <mergeCell ref="A148:A149"/>
    <mergeCell ref="A103:A105"/>
    <mergeCell ref="A130:A131"/>
    <mergeCell ref="A133:A134"/>
    <mergeCell ref="A135:A136"/>
    <mergeCell ref="A137:A138"/>
    <mergeCell ref="K148:M148"/>
    <mergeCell ref="I148:J148"/>
    <mergeCell ref="C154:D155"/>
    <mergeCell ref="A154:A156"/>
    <mergeCell ref="B154:B156"/>
    <mergeCell ref="G155:H155"/>
    <mergeCell ref="E154:H154"/>
    <mergeCell ref="E155:E156"/>
    <mergeCell ref="F155:F156"/>
    <mergeCell ref="P30:P31"/>
    <mergeCell ref="Q30:Q31"/>
    <mergeCell ref="B103:B105"/>
    <mergeCell ref="C103:D104"/>
    <mergeCell ref="C30:C31"/>
    <mergeCell ref="M30:O30"/>
    <mergeCell ref="C66:C67"/>
    <mergeCell ref="D66:D67"/>
    <mergeCell ref="B66:B67"/>
    <mergeCell ref="A6:T6"/>
    <mergeCell ref="B9:D9"/>
    <mergeCell ref="E9:F9"/>
    <mergeCell ref="G9:H9"/>
    <mergeCell ref="I9:J9"/>
    <mergeCell ref="K9:L9"/>
    <mergeCell ref="M9:N9"/>
    <mergeCell ref="O9:P9"/>
    <mergeCell ref="A9:A10"/>
    <mergeCell ref="S9:S10"/>
    <mergeCell ref="T9:T10"/>
    <mergeCell ref="Q9:R9"/>
    <mergeCell ref="A32:A39"/>
    <mergeCell ref="A43:A45"/>
    <mergeCell ref="A40:A42"/>
    <mergeCell ref="A30:B31"/>
    <mergeCell ref="D30:L30"/>
    <mergeCell ref="A66:A67"/>
    <mergeCell ref="A49:A54"/>
    <mergeCell ref="A46:A48"/>
    <mergeCell ref="A55:A58"/>
    <mergeCell ref="A59:A62"/>
    <mergeCell ref="A63:A64"/>
  </mergeCells>
  <dataValidations count="1">
    <dataValidation allowBlank="1" showInputMessage="1" showErrorMessage="1" error="Valor no Permitido" sqref="C1:XFD8 A1:A9 A11:A13 S9:T9 A15:A46 P29:Q30 Q10:R10 F148 C27:L28 V32:CD32 A106:A109 D29:O65 P32:Q65 C106:E106 B103:E105 B107:E107 B95:B107 A102:A103 G110:H110 F111:H147 A49:A68 A88 I110:XFD138 G148:H152 E139:XFD146 E150:F152 A150:B152 I147:XFD1048576 F153:H153 A153:D1048576 E153:E155 G155:H1048576 F155 E157:F1048576 C108:D152 A110:B148 E108:E148 C29:C71 B68:B93 U9:BY28 T27:T28 R29:XFD31 R33:CD64 C66:XFD101 F103:BU107 CA102:XFD109 C102:BX102 F108:BX109 R65:XFD65 CF32:XFD64 R32:T32 B1:B66 C9:P10 C12:L15 C17:L22 C24:L25 M12:S28 T12:T15 T17:T22 T24:T25 CA9:XFD28" xr:uid="{00000000-0002-0000-1500-000000000000}"/>
  </dataValidations>
  <pageMargins left="0.7" right="0.7" top="0.75" bottom="0.75" header="0.3" footer="0.3"/>
  <ignoredErrors>
    <ignoredError sqref="B151:B152 B158:B159" unlockedFormula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O180"/>
  <sheetViews>
    <sheetView zoomScaleNormal="100" workbookViewId="0">
      <selection activeCell="A6" sqref="A6:AE6"/>
    </sheetView>
  </sheetViews>
  <sheetFormatPr baseColWidth="10" defaultColWidth="11.42578125" defaultRowHeight="14.25" x14ac:dyDescent="0.2"/>
  <cols>
    <col min="1" max="1" width="66.42578125" style="165" customWidth="1"/>
    <col min="2" max="2" width="13.5703125" style="165" customWidth="1"/>
    <col min="3" max="7" width="11.42578125" style="165"/>
    <col min="8" max="8" width="16.7109375" style="165" customWidth="1"/>
    <col min="9" max="9" width="13.42578125" style="165" customWidth="1"/>
    <col min="10" max="10" width="13.28515625" style="165" bestFit="1" customWidth="1"/>
    <col min="11" max="15" width="11.42578125" style="165"/>
    <col min="16" max="16" width="11.42578125" style="165" customWidth="1"/>
    <col min="17" max="17" width="11.42578125" style="165"/>
    <col min="18" max="18" width="15.85546875" style="165" customWidth="1"/>
    <col min="19" max="19" width="14" style="165" customWidth="1"/>
    <col min="20" max="20" width="14.42578125" style="165" customWidth="1"/>
    <col min="21" max="23" width="11.42578125" style="165"/>
    <col min="24" max="24" width="11.28515625" style="165" customWidth="1"/>
    <col min="25" max="25" width="12" style="165" customWidth="1"/>
    <col min="26" max="16384" width="11.42578125" style="165"/>
  </cols>
  <sheetData>
    <row r="1" spans="1:37" ht="16.350000000000001" customHeight="1" x14ac:dyDescent="0.2">
      <c r="A1" s="150" t="s">
        <v>206</v>
      </c>
    </row>
    <row r="2" spans="1:37" ht="16.350000000000001" customHeight="1" x14ac:dyDescent="0.2">
      <c r="A2" s="150" t="str">
        <f>CONCATENATE("COMUNA: ",NOMBRE!B2," - ","( ",NOMBRE!C2,NOMBRE!D2,NOMBRE!E2,NOMBRE!F2,NOMBRE!G2," )")</f>
        <v>COMUNA:  - (  )</v>
      </c>
      <c r="D2" s="1442"/>
      <c r="E2" s="1442"/>
      <c r="F2" s="1442"/>
      <c r="G2" s="1442"/>
    </row>
    <row r="3" spans="1:37" ht="16.350000000000001" customHeight="1" x14ac:dyDescent="0.2">
      <c r="A3" s="150" t="str">
        <f>CONCATENATE("ESTABLECIMIENTO/ESTRATEGIA: ",NOMBRE!B3," - ","( ",NOMBRE!C3,NOMBRE!D3,NOMBRE!E3,NOMBRE!F3,NOMBRE!G3,NOMBRE!H3," )")</f>
        <v>ESTABLECIMIENTO/ESTRATEGIA:  - (  )</v>
      </c>
      <c r="E3" s="1443"/>
      <c r="G3" s="1443"/>
      <c r="H3" s="1444"/>
    </row>
    <row r="4" spans="1:37" ht="16.350000000000001" customHeight="1" x14ac:dyDescent="0.2">
      <c r="A4" s="150" t="str">
        <f>CONCATENATE("MES: ",NOMBRE!B6," - ","( ",NOMBRE!C6,NOMBRE!D6," )")</f>
        <v>MES:  - (  )</v>
      </c>
    </row>
    <row r="5" spans="1:37" ht="16.350000000000001" customHeight="1" x14ac:dyDescent="0.2">
      <c r="A5" s="150" t="str">
        <f>CONCATENATE("AÑO: ",NOMBRE!B7)</f>
        <v>AÑO: 2023</v>
      </c>
    </row>
    <row r="6" spans="1:37" ht="15.75" customHeight="1" x14ac:dyDescent="0.2">
      <c r="A6" s="9770" t="s">
        <v>1764</v>
      </c>
      <c r="B6" s="9770"/>
      <c r="C6" s="9770"/>
      <c r="D6" s="9770"/>
      <c r="E6" s="9770"/>
      <c r="F6" s="9770"/>
      <c r="G6" s="9770"/>
      <c r="H6" s="9770"/>
      <c r="I6" s="9770"/>
      <c r="J6" s="9770"/>
      <c r="K6" s="9770"/>
      <c r="L6" s="9770"/>
      <c r="M6" s="9770"/>
      <c r="N6" s="9770"/>
      <c r="O6" s="9770"/>
      <c r="P6" s="9770"/>
      <c r="Q6" s="9770"/>
      <c r="R6" s="9770"/>
      <c r="S6" s="9770"/>
      <c r="T6" s="9770"/>
      <c r="U6" s="9770"/>
      <c r="V6" s="9770"/>
      <c r="W6" s="9770"/>
      <c r="X6" s="9770"/>
      <c r="Y6" s="9770"/>
      <c r="Z6" s="9770"/>
      <c r="AA6" s="9770"/>
      <c r="AB6" s="9770"/>
      <c r="AC6" s="9770"/>
      <c r="AD6" s="9770"/>
      <c r="AE6" s="9770"/>
      <c r="AF6" s="140"/>
      <c r="AG6" s="140"/>
    </row>
    <row r="7" spans="1:37" ht="15" x14ac:dyDescent="0.2">
      <c r="A7" s="946"/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</row>
    <row r="8" spans="1:37" ht="15" x14ac:dyDescent="0.2">
      <c r="A8" s="946"/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</row>
    <row r="9" spans="1:37" x14ac:dyDescent="0.2">
      <c r="A9" s="670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</row>
    <row r="10" spans="1:37" ht="32.1" customHeight="1" x14ac:dyDescent="0.2">
      <c r="A10" s="746" t="s">
        <v>2665</v>
      </c>
      <c r="B10" s="746"/>
      <c r="C10" s="746"/>
      <c r="D10" s="746"/>
      <c r="E10" s="746"/>
      <c r="F10" s="746"/>
      <c r="G10" s="746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</row>
    <row r="11" spans="1:37" hidden="1" x14ac:dyDescent="0.2">
      <c r="A11" s="670"/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</row>
    <row r="12" spans="1:37" hidden="1" x14ac:dyDescent="0.2">
      <c r="A12" s="670"/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</row>
    <row r="13" spans="1:37" hidden="1" x14ac:dyDescent="0.2">
      <c r="A13" s="670"/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</row>
    <row r="14" spans="1:37" ht="53.25" customHeight="1" x14ac:dyDescent="0.2">
      <c r="A14" s="10333" t="s">
        <v>1763</v>
      </c>
      <c r="B14" s="9291" t="s">
        <v>3681</v>
      </c>
      <c r="C14" s="10586"/>
      <c r="D14" s="10586"/>
      <c r="E14" s="10586"/>
      <c r="F14" s="10586"/>
      <c r="G14" s="9292"/>
      <c r="H14" s="10526" t="s">
        <v>3682</v>
      </c>
      <c r="I14" s="10527"/>
      <c r="J14" s="10527"/>
      <c r="K14" s="10527"/>
      <c r="L14" s="10527"/>
      <c r="M14" s="10528"/>
      <c r="N14" s="10526" t="s">
        <v>3683</v>
      </c>
      <c r="O14" s="10527"/>
      <c r="P14" s="10527"/>
      <c r="Q14" s="10527"/>
      <c r="R14" s="10527"/>
      <c r="S14" s="10529"/>
      <c r="T14" s="10291" t="s">
        <v>1349</v>
      </c>
      <c r="U14" s="8216"/>
      <c r="V14" s="10580"/>
      <c r="W14" s="10530" t="s">
        <v>3684</v>
      </c>
      <c r="X14" s="10527"/>
      <c r="Y14" s="10527"/>
      <c r="Z14" s="10527"/>
      <c r="AA14" s="10527"/>
      <c r="AB14" s="10529"/>
      <c r="AC14" s="10579" t="s">
        <v>1349</v>
      </c>
      <c r="AD14" s="8216"/>
      <c r="AE14" s="10580"/>
      <c r="AF14" s="10530" t="s">
        <v>3685</v>
      </c>
      <c r="AG14" s="10527"/>
      <c r="AH14" s="10527"/>
      <c r="AI14" s="10527"/>
      <c r="AJ14" s="10527"/>
      <c r="AK14" s="10528"/>
    </row>
    <row r="15" spans="1:37" ht="14.25" customHeight="1" x14ac:dyDescent="0.2">
      <c r="A15" s="8125"/>
      <c r="B15" s="10542" t="s">
        <v>2686</v>
      </c>
      <c r="C15" s="10521"/>
      <c r="D15" s="10543" t="s">
        <v>33</v>
      </c>
      <c r="E15" s="10521"/>
      <c r="F15" s="10543" t="s">
        <v>2687</v>
      </c>
      <c r="G15" s="10521"/>
      <c r="H15" s="10542" t="s">
        <v>2686</v>
      </c>
      <c r="I15" s="10521"/>
      <c r="J15" s="10543" t="s">
        <v>33</v>
      </c>
      <c r="K15" s="10521"/>
      <c r="L15" s="10543" t="s">
        <v>2687</v>
      </c>
      <c r="M15" s="10521"/>
      <c r="N15" s="10290" t="s">
        <v>2686</v>
      </c>
      <c r="O15" s="10525"/>
      <c r="P15" s="10290" t="s">
        <v>33</v>
      </c>
      <c r="Q15" s="10525"/>
      <c r="R15" s="10290" t="s">
        <v>2687</v>
      </c>
      <c r="S15" s="10292"/>
      <c r="T15" s="10568" t="s">
        <v>1736</v>
      </c>
      <c r="U15" s="10577" t="s">
        <v>1735</v>
      </c>
      <c r="V15" s="10578"/>
      <c r="W15" s="10531" t="s">
        <v>2686</v>
      </c>
      <c r="X15" s="10525"/>
      <c r="Y15" s="10291" t="s">
        <v>33</v>
      </c>
      <c r="Z15" s="10521"/>
      <c r="AA15" s="10543" t="s">
        <v>2687</v>
      </c>
      <c r="AB15" s="10521"/>
      <c r="AC15" s="10587" t="s">
        <v>1736</v>
      </c>
      <c r="AD15" s="10577" t="s">
        <v>1735</v>
      </c>
      <c r="AE15" s="10578"/>
      <c r="AF15" s="10542" t="s">
        <v>2686</v>
      </c>
      <c r="AG15" s="10521"/>
      <c r="AH15" s="10543" t="s">
        <v>33</v>
      </c>
      <c r="AI15" s="10521"/>
      <c r="AJ15" s="10543" t="s">
        <v>2687</v>
      </c>
      <c r="AK15" s="10521"/>
    </row>
    <row r="16" spans="1:37" ht="14.25" customHeight="1" x14ac:dyDescent="0.2">
      <c r="A16" s="8514"/>
      <c r="B16" s="3911" t="s">
        <v>17</v>
      </c>
      <c r="C16" s="1064" t="s">
        <v>18</v>
      </c>
      <c r="D16" s="940" t="s">
        <v>17</v>
      </c>
      <c r="E16" s="1064" t="s">
        <v>18</v>
      </c>
      <c r="F16" s="940" t="s">
        <v>17</v>
      </c>
      <c r="G16" s="1064" t="s">
        <v>18</v>
      </c>
      <c r="H16" s="940" t="s">
        <v>17</v>
      </c>
      <c r="I16" s="1064" t="s">
        <v>18</v>
      </c>
      <c r="J16" s="940" t="s">
        <v>17</v>
      </c>
      <c r="K16" s="1064" t="s">
        <v>18</v>
      </c>
      <c r="L16" s="940" t="s">
        <v>17</v>
      </c>
      <c r="M16" s="1064" t="s">
        <v>18</v>
      </c>
      <c r="N16" s="2923" t="s">
        <v>17</v>
      </c>
      <c r="O16" s="2924" t="s">
        <v>18</v>
      </c>
      <c r="P16" s="2923" t="s">
        <v>17</v>
      </c>
      <c r="Q16" s="2924" t="s">
        <v>18</v>
      </c>
      <c r="R16" s="2923" t="s">
        <v>17</v>
      </c>
      <c r="S16" s="2925" t="s">
        <v>18</v>
      </c>
      <c r="T16" s="10569"/>
      <c r="U16" s="945" t="s">
        <v>1733</v>
      </c>
      <c r="V16" s="1445" t="s">
        <v>1732</v>
      </c>
      <c r="W16" s="2928" t="s">
        <v>17</v>
      </c>
      <c r="X16" s="2924" t="s">
        <v>18</v>
      </c>
      <c r="Y16" s="2926" t="s">
        <v>17</v>
      </c>
      <c r="Z16" s="1064" t="s">
        <v>18</v>
      </c>
      <c r="AA16" s="940" t="s">
        <v>17</v>
      </c>
      <c r="AB16" s="1066" t="s">
        <v>18</v>
      </c>
      <c r="AC16" s="10588"/>
      <c r="AD16" s="945" t="s">
        <v>1733</v>
      </c>
      <c r="AE16" s="1445" t="s">
        <v>1732</v>
      </c>
      <c r="AF16" s="1065" t="s">
        <v>17</v>
      </c>
      <c r="AG16" s="2924" t="s">
        <v>18</v>
      </c>
      <c r="AH16" s="2926" t="s">
        <v>17</v>
      </c>
      <c r="AI16" s="1064" t="s">
        <v>18</v>
      </c>
      <c r="AJ16" s="940" t="s">
        <v>17</v>
      </c>
      <c r="AK16" s="1064" t="s">
        <v>18</v>
      </c>
    </row>
    <row r="17" spans="1:41" x14ac:dyDescent="0.2">
      <c r="A17" s="2821" t="s">
        <v>24</v>
      </c>
      <c r="B17" s="822">
        <f t="shared" ref="B17:AK17" si="0">SUM(B18:B77)</f>
        <v>0</v>
      </c>
      <c r="C17" s="1359">
        <f t="shared" si="0"/>
        <v>0</v>
      </c>
      <c r="D17" s="1357">
        <f t="shared" si="0"/>
        <v>0</v>
      </c>
      <c r="E17" s="1359">
        <f t="shared" si="0"/>
        <v>0</v>
      </c>
      <c r="F17" s="1357">
        <f>SUM(F18:F77)</f>
        <v>0</v>
      </c>
      <c r="G17" s="1359">
        <f>SUM(G18:G77)</f>
        <v>0</v>
      </c>
      <c r="H17" s="1357">
        <f>SUM(H18:H77)</f>
        <v>0</v>
      </c>
      <c r="I17" s="1359">
        <f>SUM(I18:I77)</f>
        <v>0</v>
      </c>
      <c r="J17" s="1357">
        <f t="shared" si="0"/>
        <v>0</v>
      </c>
      <c r="K17" s="1359">
        <f t="shared" si="0"/>
        <v>0</v>
      </c>
      <c r="L17" s="1357">
        <f t="shared" si="0"/>
        <v>0</v>
      </c>
      <c r="M17" s="1359">
        <f t="shared" si="0"/>
        <v>0</v>
      </c>
      <c r="N17" s="2897">
        <f>SUM(N18:N77)</f>
        <v>0</v>
      </c>
      <c r="O17" s="2898">
        <f>SUM(O18:O77)</f>
        <v>0</v>
      </c>
      <c r="P17" s="2798">
        <f>SUM(P18:P77)</f>
        <v>0</v>
      </c>
      <c r="Q17" s="2898">
        <f t="shared" si="0"/>
        <v>0</v>
      </c>
      <c r="R17" s="2897">
        <f t="shared" si="0"/>
        <v>0</v>
      </c>
      <c r="S17" s="2896">
        <f t="shared" si="0"/>
        <v>0</v>
      </c>
      <c r="T17" s="2922">
        <f t="shared" si="0"/>
        <v>0</v>
      </c>
      <c r="U17" s="822">
        <f t="shared" si="0"/>
        <v>0</v>
      </c>
      <c r="V17" s="1090">
        <f t="shared" si="0"/>
        <v>0</v>
      </c>
      <c r="W17" s="2899">
        <f>SUM(W18:W77)</f>
        <v>0</v>
      </c>
      <c r="X17" s="2898">
        <f>SUM(X18:X77)</f>
        <v>0</v>
      </c>
      <c r="Y17" s="2798">
        <f t="shared" si="0"/>
        <v>0</v>
      </c>
      <c r="Z17" s="1359">
        <f t="shared" si="0"/>
        <v>0</v>
      </c>
      <c r="AA17" s="1357">
        <f t="shared" si="0"/>
        <v>0</v>
      </c>
      <c r="AB17" s="1061">
        <f t="shared" si="0"/>
        <v>0</v>
      </c>
      <c r="AC17" s="1063">
        <f t="shared" si="0"/>
        <v>0</v>
      </c>
      <c r="AD17" s="822">
        <f t="shared" si="0"/>
        <v>0</v>
      </c>
      <c r="AE17" s="1090">
        <f t="shared" si="0"/>
        <v>0</v>
      </c>
      <c r="AF17" s="1062">
        <f>SUM(AF18:AF77)</f>
        <v>0</v>
      </c>
      <c r="AG17" s="2898">
        <f>SUM(AG18:AG77)</f>
        <v>0</v>
      </c>
      <c r="AH17" s="2798">
        <f t="shared" si="0"/>
        <v>0</v>
      </c>
      <c r="AI17" s="1359">
        <f t="shared" si="0"/>
        <v>0</v>
      </c>
      <c r="AJ17" s="1357">
        <f t="shared" si="0"/>
        <v>0</v>
      </c>
      <c r="AK17" s="1359">
        <f t="shared" si="0"/>
        <v>0</v>
      </c>
    </row>
    <row r="18" spans="1:41" x14ac:dyDescent="0.2">
      <c r="A18" s="3241" t="s">
        <v>111</v>
      </c>
      <c r="B18" s="3339"/>
      <c r="C18" s="944"/>
      <c r="D18" s="943"/>
      <c r="E18" s="944"/>
      <c r="F18" s="943"/>
      <c r="G18" s="944"/>
      <c r="H18" s="943"/>
      <c r="I18" s="944"/>
      <c r="J18" s="943"/>
      <c r="K18" s="944"/>
      <c r="L18" s="943"/>
      <c r="M18" s="944"/>
      <c r="N18" s="1089">
        <f t="shared" ref="N18:S18" si="1">SUM(B18+H18)</f>
        <v>0</v>
      </c>
      <c r="O18" s="1088">
        <f t="shared" si="1"/>
        <v>0</v>
      </c>
      <c r="P18" s="1089">
        <f t="shared" si="1"/>
        <v>0</v>
      </c>
      <c r="Q18" s="1088">
        <f t="shared" si="1"/>
        <v>0</v>
      </c>
      <c r="R18" s="953">
        <f t="shared" si="1"/>
        <v>0</v>
      </c>
      <c r="S18" s="1087">
        <f t="shared" si="1"/>
        <v>0</v>
      </c>
      <c r="T18" s="1086"/>
      <c r="U18" s="952"/>
      <c r="V18" s="944"/>
      <c r="W18" s="2929"/>
      <c r="X18" s="2930"/>
      <c r="Y18" s="2927"/>
      <c r="Z18" s="944"/>
      <c r="AA18" s="943"/>
      <c r="AB18" s="950"/>
      <c r="AC18" s="1086"/>
      <c r="AD18" s="952"/>
      <c r="AE18" s="944"/>
      <c r="AF18" s="1085"/>
      <c r="AG18" s="2935"/>
      <c r="AH18" s="2931"/>
      <c r="AI18" s="1083"/>
      <c r="AJ18" s="1084"/>
      <c r="AK18" s="1083"/>
    </row>
    <row r="19" spans="1:41" x14ac:dyDescent="0.2">
      <c r="A19" s="2918" t="s">
        <v>110</v>
      </c>
      <c r="B19" s="2574"/>
      <c r="C19" s="138"/>
      <c r="D19" s="137"/>
      <c r="E19" s="138"/>
      <c r="F19" s="137"/>
      <c r="G19" s="138"/>
      <c r="H19" s="137"/>
      <c r="I19" s="138"/>
      <c r="J19" s="137"/>
      <c r="K19" s="138"/>
      <c r="L19" s="137"/>
      <c r="M19" s="138"/>
      <c r="N19" s="871">
        <f t="shared" ref="N19:N77" si="2">SUM(B19+H19)</f>
        <v>0</v>
      </c>
      <c r="O19" s="846">
        <f t="shared" ref="O19:O77" si="3">SUM(C19+I19)</f>
        <v>0</v>
      </c>
      <c r="P19" s="871">
        <f t="shared" ref="P19:P77" si="4">SUM(D19+J19)</f>
        <v>0</v>
      </c>
      <c r="Q19" s="846">
        <f t="shared" ref="Q19:Q77" si="5">SUM(E19+K19)</f>
        <v>0</v>
      </c>
      <c r="R19" s="577">
        <f t="shared" ref="R19:R77" si="6">SUM(F19+L19)</f>
        <v>0</v>
      </c>
      <c r="S19" s="1082">
        <f t="shared" ref="S19:S77" si="7">SUM(G19+M19)</f>
        <v>0</v>
      </c>
      <c r="T19" s="262"/>
      <c r="U19" s="550"/>
      <c r="V19" s="138"/>
      <c r="W19" s="2626"/>
      <c r="X19" s="2596"/>
      <c r="Y19" s="2852"/>
      <c r="Z19" s="138"/>
      <c r="AA19" s="137"/>
      <c r="AB19" s="260"/>
      <c r="AC19" s="262"/>
      <c r="AD19" s="550"/>
      <c r="AE19" s="138"/>
      <c r="AF19" s="1081"/>
      <c r="AG19" s="2812"/>
      <c r="AH19" s="2932"/>
      <c r="AI19" s="1079"/>
      <c r="AJ19" s="1080"/>
      <c r="AK19" s="1079"/>
    </row>
    <row r="20" spans="1:41" x14ac:dyDescent="0.2">
      <c r="A20" s="2918" t="s">
        <v>134</v>
      </c>
      <c r="B20" s="2574"/>
      <c r="C20" s="138"/>
      <c r="D20" s="137"/>
      <c r="E20" s="138"/>
      <c r="F20" s="137"/>
      <c r="G20" s="138"/>
      <c r="H20" s="137"/>
      <c r="I20" s="138"/>
      <c r="J20" s="137"/>
      <c r="K20" s="138"/>
      <c r="L20" s="137"/>
      <c r="M20" s="138"/>
      <c r="N20" s="871">
        <f t="shared" si="2"/>
        <v>0</v>
      </c>
      <c r="O20" s="846">
        <f t="shared" si="3"/>
        <v>0</v>
      </c>
      <c r="P20" s="871">
        <f t="shared" si="4"/>
        <v>0</v>
      </c>
      <c r="Q20" s="846">
        <f t="shared" si="5"/>
        <v>0</v>
      </c>
      <c r="R20" s="577">
        <f t="shared" si="6"/>
        <v>0</v>
      </c>
      <c r="S20" s="1082">
        <f t="shared" si="7"/>
        <v>0</v>
      </c>
      <c r="T20" s="262"/>
      <c r="U20" s="550"/>
      <c r="V20" s="138"/>
      <c r="W20" s="2626"/>
      <c r="X20" s="2596"/>
      <c r="Y20" s="2852"/>
      <c r="Z20" s="138"/>
      <c r="AA20" s="137"/>
      <c r="AB20" s="260"/>
      <c r="AC20" s="262"/>
      <c r="AD20" s="550"/>
      <c r="AE20" s="138"/>
      <c r="AF20" s="1081"/>
      <c r="AG20" s="2812"/>
      <c r="AH20" s="2932"/>
      <c r="AI20" s="1079"/>
      <c r="AJ20" s="1080"/>
      <c r="AK20" s="1079"/>
    </row>
    <row r="21" spans="1:41" x14ac:dyDescent="0.2">
      <c r="A21" s="2918" t="s">
        <v>254</v>
      </c>
      <c r="B21" s="2574"/>
      <c r="C21" s="138"/>
      <c r="D21" s="137"/>
      <c r="E21" s="138"/>
      <c r="F21" s="137"/>
      <c r="G21" s="138"/>
      <c r="H21" s="137"/>
      <c r="I21" s="138"/>
      <c r="J21" s="137"/>
      <c r="K21" s="138"/>
      <c r="L21" s="137"/>
      <c r="M21" s="138"/>
      <c r="N21" s="871">
        <f t="shared" si="2"/>
        <v>0</v>
      </c>
      <c r="O21" s="846">
        <f t="shared" si="3"/>
        <v>0</v>
      </c>
      <c r="P21" s="871">
        <f t="shared" si="4"/>
        <v>0</v>
      </c>
      <c r="Q21" s="846">
        <f t="shared" si="5"/>
        <v>0</v>
      </c>
      <c r="R21" s="577">
        <f t="shared" si="6"/>
        <v>0</v>
      </c>
      <c r="S21" s="1082">
        <f t="shared" si="7"/>
        <v>0</v>
      </c>
      <c r="T21" s="262"/>
      <c r="U21" s="550"/>
      <c r="V21" s="138"/>
      <c r="W21" s="2626"/>
      <c r="X21" s="2596"/>
      <c r="Y21" s="2852"/>
      <c r="Z21" s="138"/>
      <c r="AA21" s="137"/>
      <c r="AB21" s="260"/>
      <c r="AC21" s="262"/>
      <c r="AD21" s="550"/>
      <c r="AE21" s="138"/>
      <c r="AF21" s="1081"/>
      <c r="AG21" s="2812"/>
      <c r="AH21" s="2932"/>
      <c r="AI21" s="1079"/>
      <c r="AJ21" s="1080"/>
      <c r="AK21" s="1079"/>
    </row>
    <row r="22" spans="1:41" x14ac:dyDescent="0.2">
      <c r="A22" s="2918" t="s">
        <v>255</v>
      </c>
      <c r="B22" s="2574"/>
      <c r="C22" s="138"/>
      <c r="D22" s="137"/>
      <c r="E22" s="138"/>
      <c r="F22" s="137"/>
      <c r="G22" s="138"/>
      <c r="H22" s="137"/>
      <c r="I22" s="138"/>
      <c r="J22" s="137"/>
      <c r="K22" s="138"/>
      <c r="L22" s="137"/>
      <c r="M22" s="138"/>
      <c r="N22" s="871">
        <f t="shared" si="2"/>
        <v>0</v>
      </c>
      <c r="O22" s="846">
        <f t="shared" si="3"/>
        <v>0</v>
      </c>
      <c r="P22" s="871">
        <f t="shared" si="4"/>
        <v>0</v>
      </c>
      <c r="Q22" s="846">
        <f t="shared" si="5"/>
        <v>0</v>
      </c>
      <c r="R22" s="577">
        <f t="shared" si="6"/>
        <v>0</v>
      </c>
      <c r="S22" s="1082">
        <f t="shared" si="7"/>
        <v>0</v>
      </c>
      <c r="T22" s="262"/>
      <c r="U22" s="550"/>
      <c r="V22" s="138"/>
      <c r="W22" s="2626"/>
      <c r="X22" s="2596"/>
      <c r="Y22" s="2852"/>
      <c r="Z22" s="138"/>
      <c r="AA22" s="137"/>
      <c r="AB22" s="260"/>
      <c r="AC22" s="262"/>
      <c r="AD22" s="550"/>
      <c r="AE22" s="138"/>
      <c r="AF22" s="1081"/>
      <c r="AG22" s="2812"/>
      <c r="AH22" s="2932"/>
      <c r="AI22" s="1079"/>
      <c r="AJ22" s="1080"/>
      <c r="AK22" s="1079"/>
    </row>
    <row r="23" spans="1:41" x14ac:dyDescent="0.2">
      <c r="A23" s="2918" t="s">
        <v>256</v>
      </c>
      <c r="B23" s="2574"/>
      <c r="C23" s="138"/>
      <c r="D23" s="137"/>
      <c r="E23" s="138"/>
      <c r="F23" s="137"/>
      <c r="G23" s="138"/>
      <c r="H23" s="137"/>
      <c r="I23" s="138"/>
      <c r="J23" s="137"/>
      <c r="K23" s="138"/>
      <c r="L23" s="137"/>
      <c r="M23" s="138"/>
      <c r="N23" s="871">
        <f t="shared" si="2"/>
        <v>0</v>
      </c>
      <c r="O23" s="846">
        <f t="shared" si="3"/>
        <v>0</v>
      </c>
      <c r="P23" s="871">
        <f t="shared" si="4"/>
        <v>0</v>
      </c>
      <c r="Q23" s="846">
        <f t="shared" si="5"/>
        <v>0</v>
      </c>
      <c r="R23" s="577">
        <f t="shared" si="6"/>
        <v>0</v>
      </c>
      <c r="S23" s="1082">
        <f t="shared" si="7"/>
        <v>0</v>
      </c>
      <c r="T23" s="262"/>
      <c r="U23" s="550"/>
      <c r="V23" s="138"/>
      <c r="W23" s="2626"/>
      <c r="X23" s="2596"/>
      <c r="Y23" s="2852"/>
      <c r="Z23" s="138"/>
      <c r="AA23" s="137"/>
      <c r="AB23" s="260"/>
      <c r="AC23" s="262"/>
      <c r="AD23" s="550"/>
      <c r="AE23" s="138"/>
      <c r="AF23" s="1081"/>
      <c r="AG23" s="2812"/>
      <c r="AH23" s="2932"/>
      <c r="AI23" s="1079"/>
      <c r="AJ23" s="1080"/>
      <c r="AK23" s="1079"/>
    </row>
    <row r="24" spans="1:41" x14ac:dyDescent="0.2">
      <c r="A24" s="2918" t="s">
        <v>453</v>
      </c>
      <c r="B24" s="2574"/>
      <c r="C24" s="138"/>
      <c r="D24" s="137"/>
      <c r="E24" s="138"/>
      <c r="F24" s="137"/>
      <c r="G24" s="138"/>
      <c r="H24" s="137"/>
      <c r="I24" s="138"/>
      <c r="J24" s="137"/>
      <c r="K24" s="138"/>
      <c r="L24" s="137"/>
      <c r="M24" s="138"/>
      <c r="N24" s="871">
        <f t="shared" si="2"/>
        <v>0</v>
      </c>
      <c r="O24" s="846">
        <f t="shared" si="3"/>
        <v>0</v>
      </c>
      <c r="P24" s="871">
        <f t="shared" si="4"/>
        <v>0</v>
      </c>
      <c r="Q24" s="846">
        <f t="shared" si="5"/>
        <v>0</v>
      </c>
      <c r="R24" s="577">
        <f t="shared" si="6"/>
        <v>0</v>
      </c>
      <c r="S24" s="1082">
        <f t="shared" si="7"/>
        <v>0</v>
      </c>
      <c r="T24" s="262"/>
      <c r="U24" s="550"/>
      <c r="V24" s="138"/>
      <c r="W24" s="2626"/>
      <c r="X24" s="2596"/>
      <c r="Y24" s="2852"/>
      <c r="Z24" s="138"/>
      <c r="AA24" s="137"/>
      <c r="AB24" s="260"/>
      <c r="AC24" s="262"/>
      <c r="AD24" s="550"/>
      <c r="AE24" s="138"/>
      <c r="AF24" s="1081"/>
      <c r="AG24" s="2812"/>
      <c r="AH24" s="2932"/>
      <c r="AI24" s="1079"/>
      <c r="AJ24" s="1080"/>
      <c r="AK24" s="1079"/>
    </row>
    <row r="25" spans="1:41" x14ac:dyDescent="0.2">
      <c r="A25" s="2918" t="s">
        <v>257</v>
      </c>
      <c r="B25" s="2574"/>
      <c r="C25" s="138"/>
      <c r="D25" s="137"/>
      <c r="E25" s="138"/>
      <c r="F25" s="137"/>
      <c r="G25" s="138"/>
      <c r="H25" s="137"/>
      <c r="I25" s="138"/>
      <c r="J25" s="137"/>
      <c r="K25" s="138"/>
      <c r="L25" s="137"/>
      <c r="M25" s="138"/>
      <c r="N25" s="871">
        <f t="shared" si="2"/>
        <v>0</v>
      </c>
      <c r="O25" s="846">
        <f t="shared" si="3"/>
        <v>0</v>
      </c>
      <c r="P25" s="871">
        <f t="shared" si="4"/>
        <v>0</v>
      </c>
      <c r="Q25" s="846">
        <f t="shared" si="5"/>
        <v>0</v>
      </c>
      <c r="R25" s="577">
        <f t="shared" si="6"/>
        <v>0</v>
      </c>
      <c r="S25" s="1082">
        <f t="shared" si="7"/>
        <v>0</v>
      </c>
      <c r="T25" s="262"/>
      <c r="U25" s="550"/>
      <c r="V25" s="138"/>
      <c r="W25" s="2626"/>
      <c r="X25" s="2596"/>
      <c r="Y25" s="2852"/>
      <c r="Z25" s="138"/>
      <c r="AA25" s="137"/>
      <c r="AB25" s="260"/>
      <c r="AC25" s="262"/>
      <c r="AD25" s="550"/>
      <c r="AE25" s="138"/>
      <c r="AF25" s="1081"/>
      <c r="AG25" s="2812"/>
      <c r="AH25" s="2932"/>
      <c r="AI25" s="1079"/>
      <c r="AJ25" s="1080"/>
      <c r="AK25" s="1079"/>
    </row>
    <row r="26" spans="1:41" x14ac:dyDescent="0.2">
      <c r="A26" s="2918" t="s">
        <v>258</v>
      </c>
      <c r="B26" s="2574"/>
      <c r="C26" s="138"/>
      <c r="D26" s="137"/>
      <c r="E26" s="138"/>
      <c r="F26" s="137"/>
      <c r="G26" s="138"/>
      <c r="H26" s="137"/>
      <c r="I26" s="138"/>
      <c r="J26" s="137"/>
      <c r="K26" s="138"/>
      <c r="L26" s="137"/>
      <c r="M26" s="138"/>
      <c r="N26" s="871">
        <f t="shared" si="2"/>
        <v>0</v>
      </c>
      <c r="O26" s="846">
        <f t="shared" si="3"/>
        <v>0</v>
      </c>
      <c r="P26" s="871">
        <f t="shared" si="4"/>
        <v>0</v>
      </c>
      <c r="Q26" s="846">
        <f t="shared" si="5"/>
        <v>0</v>
      </c>
      <c r="R26" s="577">
        <f t="shared" si="6"/>
        <v>0</v>
      </c>
      <c r="S26" s="1082">
        <f t="shared" si="7"/>
        <v>0</v>
      </c>
      <c r="T26" s="262"/>
      <c r="U26" s="550"/>
      <c r="V26" s="138"/>
      <c r="W26" s="2626"/>
      <c r="X26" s="2596"/>
      <c r="Y26" s="2852"/>
      <c r="Z26" s="138"/>
      <c r="AA26" s="137"/>
      <c r="AB26" s="260"/>
      <c r="AC26" s="262"/>
      <c r="AD26" s="550"/>
      <c r="AE26" s="138"/>
      <c r="AF26" s="1081"/>
      <c r="AG26" s="2812"/>
      <c r="AH26" s="2932"/>
      <c r="AI26" s="1079"/>
      <c r="AJ26" s="1080"/>
      <c r="AK26" s="1079"/>
      <c r="AL26" s="214"/>
      <c r="AM26" s="214"/>
      <c r="AN26" s="214"/>
      <c r="AO26" s="214"/>
    </row>
    <row r="27" spans="1:41" x14ac:dyDescent="0.2">
      <c r="A27" s="2918" t="s">
        <v>259</v>
      </c>
      <c r="B27" s="2574"/>
      <c r="C27" s="138"/>
      <c r="D27" s="137"/>
      <c r="E27" s="138"/>
      <c r="F27" s="137"/>
      <c r="G27" s="138"/>
      <c r="H27" s="137"/>
      <c r="I27" s="138"/>
      <c r="J27" s="137"/>
      <c r="K27" s="138"/>
      <c r="L27" s="137"/>
      <c r="M27" s="138"/>
      <c r="N27" s="871">
        <f t="shared" si="2"/>
        <v>0</v>
      </c>
      <c r="O27" s="846">
        <f t="shared" si="3"/>
        <v>0</v>
      </c>
      <c r="P27" s="871">
        <f t="shared" si="4"/>
        <v>0</v>
      </c>
      <c r="Q27" s="846">
        <f t="shared" si="5"/>
        <v>0</v>
      </c>
      <c r="R27" s="577">
        <f t="shared" si="6"/>
        <v>0</v>
      </c>
      <c r="S27" s="1082">
        <f t="shared" si="7"/>
        <v>0</v>
      </c>
      <c r="T27" s="262"/>
      <c r="U27" s="550"/>
      <c r="V27" s="138"/>
      <c r="W27" s="2626"/>
      <c r="X27" s="2596"/>
      <c r="Y27" s="2852"/>
      <c r="Z27" s="138"/>
      <c r="AA27" s="137"/>
      <c r="AB27" s="260"/>
      <c r="AC27" s="262"/>
      <c r="AD27" s="550"/>
      <c r="AE27" s="138"/>
      <c r="AF27" s="1081"/>
      <c r="AG27" s="2812"/>
      <c r="AH27" s="2932"/>
      <c r="AI27" s="1079"/>
      <c r="AJ27" s="1080"/>
      <c r="AK27" s="1079"/>
      <c r="AL27" s="214"/>
      <c r="AM27" s="214"/>
      <c r="AN27" s="214"/>
      <c r="AO27" s="214"/>
    </row>
    <row r="28" spans="1:41" x14ac:dyDescent="0.2">
      <c r="A28" s="2918" t="s">
        <v>260</v>
      </c>
      <c r="B28" s="2574"/>
      <c r="C28" s="138"/>
      <c r="D28" s="137"/>
      <c r="E28" s="138"/>
      <c r="F28" s="137"/>
      <c r="G28" s="138"/>
      <c r="H28" s="137"/>
      <c r="I28" s="138"/>
      <c r="J28" s="137"/>
      <c r="K28" s="138"/>
      <c r="L28" s="137"/>
      <c r="M28" s="138"/>
      <c r="N28" s="871">
        <f t="shared" si="2"/>
        <v>0</v>
      </c>
      <c r="O28" s="846">
        <f t="shared" si="3"/>
        <v>0</v>
      </c>
      <c r="P28" s="871">
        <f t="shared" si="4"/>
        <v>0</v>
      </c>
      <c r="Q28" s="846">
        <f t="shared" si="5"/>
        <v>0</v>
      </c>
      <c r="R28" s="577">
        <f t="shared" si="6"/>
        <v>0</v>
      </c>
      <c r="S28" s="1082">
        <f t="shared" si="7"/>
        <v>0</v>
      </c>
      <c r="T28" s="262"/>
      <c r="U28" s="550"/>
      <c r="V28" s="138"/>
      <c r="W28" s="2626"/>
      <c r="X28" s="2596"/>
      <c r="Y28" s="2852"/>
      <c r="Z28" s="138"/>
      <c r="AA28" s="137"/>
      <c r="AB28" s="260"/>
      <c r="AC28" s="262"/>
      <c r="AD28" s="550"/>
      <c r="AE28" s="138"/>
      <c r="AF28" s="1081"/>
      <c r="AG28" s="2812"/>
      <c r="AH28" s="2932"/>
      <c r="AI28" s="1079"/>
      <c r="AJ28" s="1080"/>
      <c r="AK28" s="1079"/>
      <c r="AL28" s="214"/>
      <c r="AM28" s="214"/>
      <c r="AN28" s="214"/>
      <c r="AO28" s="214"/>
    </row>
    <row r="29" spans="1:41" x14ac:dyDescent="0.2">
      <c r="A29" s="2918" t="s">
        <v>261</v>
      </c>
      <c r="B29" s="2574"/>
      <c r="C29" s="138"/>
      <c r="D29" s="137"/>
      <c r="E29" s="138"/>
      <c r="F29" s="137"/>
      <c r="G29" s="138"/>
      <c r="H29" s="137"/>
      <c r="I29" s="138"/>
      <c r="J29" s="137"/>
      <c r="K29" s="138"/>
      <c r="L29" s="137"/>
      <c r="M29" s="138"/>
      <c r="N29" s="871">
        <f t="shared" si="2"/>
        <v>0</v>
      </c>
      <c r="O29" s="846">
        <f t="shared" si="3"/>
        <v>0</v>
      </c>
      <c r="P29" s="871">
        <f t="shared" si="4"/>
        <v>0</v>
      </c>
      <c r="Q29" s="846">
        <f t="shared" si="5"/>
        <v>0</v>
      </c>
      <c r="R29" s="577">
        <f t="shared" si="6"/>
        <v>0</v>
      </c>
      <c r="S29" s="1082">
        <f t="shared" si="7"/>
        <v>0</v>
      </c>
      <c r="T29" s="262"/>
      <c r="U29" s="550"/>
      <c r="V29" s="138"/>
      <c r="W29" s="2626"/>
      <c r="X29" s="2596"/>
      <c r="Y29" s="2852"/>
      <c r="Z29" s="138"/>
      <c r="AA29" s="137"/>
      <c r="AB29" s="260"/>
      <c r="AC29" s="262"/>
      <c r="AD29" s="550"/>
      <c r="AE29" s="138"/>
      <c r="AF29" s="1081"/>
      <c r="AG29" s="2812"/>
      <c r="AH29" s="2932"/>
      <c r="AI29" s="1079"/>
      <c r="AJ29" s="1080"/>
      <c r="AK29" s="1079"/>
      <c r="AL29" s="214"/>
      <c r="AM29" s="214"/>
      <c r="AN29" s="214"/>
      <c r="AO29" s="214"/>
    </row>
    <row r="30" spans="1:41" x14ac:dyDescent="0.2">
      <c r="A30" s="2918" t="s">
        <v>262</v>
      </c>
      <c r="B30" s="2574"/>
      <c r="C30" s="138"/>
      <c r="D30" s="137"/>
      <c r="E30" s="138"/>
      <c r="F30" s="137"/>
      <c r="G30" s="138"/>
      <c r="H30" s="137"/>
      <c r="I30" s="138"/>
      <c r="J30" s="137"/>
      <c r="K30" s="138"/>
      <c r="L30" s="137"/>
      <c r="M30" s="138"/>
      <c r="N30" s="871">
        <f t="shared" si="2"/>
        <v>0</v>
      </c>
      <c r="O30" s="846">
        <f t="shared" si="3"/>
        <v>0</v>
      </c>
      <c r="P30" s="871">
        <f t="shared" si="4"/>
        <v>0</v>
      </c>
      <c r="Q30" s="846">
        <f t="shared" si="5"/>
        <v>0</v>
      </c>
      <c r="R30" s="577">
        <f t="shared" si="6"/>
        <v>0</v>
      </c>
      <c r="S30" s="1082">
        <f t="shared" si="7"/>
        <v>0</v>
      </c>
      <c r="T30" s="262"/>
      <c r="U30" s="550"/>
      <c r="V30" s="138"/>
      <c r="W30" s="2626"/>
      <c r="X30" s="2596"/>
      <c r="Y30" s="2852"/>
      <c r="Z30" s="138"/>
      <c r="AA30" s="137"/>
      <c r="AB30" s="260"/>
      <c r="AC30" s="262"/>
      <c r="AD30" s="550"/>
      <c r="AE30" s="138"/>
      <c r="AF30" s="1081"/>
      <c r="AG30" s="2812"/>
      <c r="AH30" s="2932"/>
      <c r="AI30" s="1079"/>
      <c r="AJ30" s="1080"/>
      <c r="AK30" s="1079"/>
      <c r="AL30" s="214"/>
      <c r="AM30" s="214"/>
      <c r="AN30" s="214"/>
      <c r="AO30" s="214"/>
    </row>
    <row r="31" spans="1:41" x14ac:dyDescent="0.2">
      <c r="A31" s="2918" t="s">
        <v>454</v>
      </c>
      <c r="B31" s="2574"/>
      <c r="C31" s="138"/>
      <c r="D31" s="137"/>
      <c r="E31" s="138"/>
      <c r="F31" s="137"/>
      <c r="G31" s="138"/>
      <c r="H31" s="137"/>
      <c r="I31" s="138"/>
      <c r="J31" s="137"/>
      <c r="K31" s="138"/>
      <c r="L31" s="137"/>
      <c r="M31" s="138"/>
      <c r="N31" s="871">
        <f t="shared" si="2"/>
        <v>0</v>
      </c>
      <c r="O31" s="846">
        <f t="shared" si="3"/>
        <v>0</v>
      </c>
      <c r="P31" s="871">
        <f t="shared" si="4"/>
        <v>0</v>
      </c>
      <c r="Q31" s="846">
        <f t="shared" si="5"/>
        <v>0</v>
      </c>
      <c r="R31" s="577">
        <f t="shared" si="6"/>
        <v>0</v>
      </c>
      <c r="S31" s="1082">
        <f t="shared" si="7"/>
        <v>0</v>
      </c>
      <c r="T31" s="262"/>
      <c r="U31" s="550"/>
      <c r="V31" s="138"/>
      <c r="W31" s="2626"/>
      <c r="X31" s="2596"/>
      <c r="Y31" s="2852"/>
      <c r="Z31" s="138"/>
      <c r="AA31" s="137"/>
      <c r="AB31" s="260"/>
      <c r="AC31" s="262"/>
      <c r="AD31" s="550"/>
      <c r="AE31" s="138"/>
      <c r="AF31" s="1081"/>
      <c r="AG31" s="2812"/>
      <c r="AH31" s="2932"/>
      <c r="AI31" s="1079"/>
      <c r="AJ31" s="1080"/>
      <c r="AK31" s="1079"/>
      <c r="AL31" s="214"/>
      <c r="AM31" s="214"/>
      <c r="AN31" s="214"/>
      <c r="AO31" s="214"/>
    </row>
    <row r="32" spans="1:41" x14ac:dyDescent="0.2">
      <c r="A32" s="2918" t="s">
        <v>263</v>
      </c>
      <c r="B32" s="2574"/>
      <c r="C32" s="138"/>
      <c r="D32" s="137"/>
      <c r="E32" s="138"/>
      <c r="F32" s="137"/>
      <c r="G32" s="138"/>
      <c r="H32" s="137"/>
      <c r="I32" s="138"/>
      <c r="J32" s="137"/>
      <c r="K32" s="138"/>
      <c r="L32" s="137"/>
      <c r="M32" s="138"/>
      <c r="N32" s="871">
        <f t="shared" si="2"/>
        <v>0</v>
      </c>
      <c r="O32" s="846">
        <f t="shared" si="3"/>
        <v>0</v>
      </c>
      <c r="P32" s="871">
        <f t="shared" si="4"/>
        <v>0</v>
      </c>
      <c r="Q32" s="846">
        <f t="shared" si="5"/>
        <v>0</v>
      </c>
      <c r="R32" s="577">
        <f t="shared" si="6"/>
        <v>0</v>
      </c>
      <c r="S32" s="1082">
        <f t="shared" si="7"/>
        <v>0</v>
      </c>
      <c r="T32" s="262"/>
      <c r="U32" s="550"/>
      <c r="V32" s="138"/>
      <c r="W32" s="2626"/>
      <c r="X32" s="2596"/>
      <c r="Y32" s="2852"/>
      <c r="Z32" s="138"/>
      <c r="AA32" s="137"/>
      <c r="AB32" s="260"/>
      <c r="AC32" s="262"/>
      <c r="AD32" s="550"/>
      <c r="AE32" s="138"/>
      <c r="AF32" s="1081"/>
      <c r="AG32" s="2812"/>
      <c r="AH32" s="2932"/>
      <c r="AI32" s="1079"/>
      <c r="AJ32" s="1080"/>
      <c r="AK32" s="1079"/>
      <c r="AL32" s="214"/>
      <c r="AM32" s="214"/>
      <c r="AN32" s="214"/>
      <c r="AO32" s="214"/>
    </row>
    <row r="33" spans="1:41" x14ac:dyDescent="0.2">
      <c r="A33" s="2918" t="s">
        <v>264</v>
      </c>
      <c r="B33" s="2574"/>
      <c r="C33" s="138"/>
      <c r="D33" s="137"/>
      <c r="E33" s="138"/>
      <c r="F33" s="137"/>
      <c r="G33" s="138"/>
      <c r="H33" s="137"/>
      <c r="I33" s="138"/>
      <c r="J33" s="137"/>
      <c r="K33" s="138"/>
      <c r="L33" s="137"/>
      <c r="M33" s="138"/>
      <c r="N33" s="871">
        <f t="shared" si="2"/>
        <v>0</v>
      </c>
      <c r="O33" s="846">
        <f t="shared" si="3"/>
        <v>0</v>
      </c>
      <c r="P33" s="871">
        <f t="shared" si="4"/>
        <v>0</v>
      </c>
      <c r="Q33" s="846">
        <f t="shared" si="5"/>
        <v>0</v>
      </c>
      <c r="R33" s="577">
        <f t="shared" si="6"/>
        <v>0</v>
      </c>
      <c r="S33" s="1082">
        <f t="shared" si="7"/>
        <v>0</v>
      </c>
      <c r="T33" s="262"/>
      <c r="U33" s="550"/>
      <c r="V33" s="138"/>
      <c r="W33" s="2626"/>
      <c r="X33" s="2596"/>
      <c r="Y33" s="2852"/>
      <c r="Z33" s="138"/>
      <c r="AA33" s="137"/>
      <c r="AB33" s="260"/>
      <c r="AC33" s="262"/>
      <c r="AD33" s="550"/>
      <c r="AE33" s="138"/>
      <c r="AF33" s="1081"/>
      <c r="AG33" s="2812"/>
      <c r="AH33" s="2932"/>
      <c r="AI33" s="1079"/>
      <c r="AJ33" s="1080"/>
      <c r="AK33" s="1079"/>
      <c r="AL33" s="214"/>
      <c r="AM33" s="214"/>
      <c r="AN33" s="214"/>
      <c r="AO33" s="214"/>
    </row>
    <row r="34" spans="1:41" x14ac:dyDescent="0.2">
      <c r="A34" s="2918" t="s">
        <v>265</v>
      </c>
      <c r="B34" s="2574"/>
      <c r="C34" s="138"/>
      <c r="D34" s="137"/>
      <c r="E34" s="138"/>
      <c r="F34" s="137"/>
      <c r="G34" s="138"/>
      <c r="H34" s="137"/>
      <c r="I34" s="138"/>
      <c r="J34" s="137"/>
      <c r="K34" s="138"/>
      <c r="L34" s="137"/>
      <c r="M34" s="138"/>
      <c r="N34" s="871">
        <f t="shared" si="2"/>
        <v>0</v>
      </c>
      <c r="O34" s="846">
        <f t="shared" si="3"/>
        <v>0</v>
      </c>
      <c r="P34" s="871">
        <f t="shared" si="4"/>
        <v>0</v>
      </c>
      <c r="Q34" s="846">
        <f t="shared" si="5"/>
        <v>0</v>
      </c>
      <c r="R34" s="577">
        <f t="shared" si="6"/>
        <v>0</v>
      </c>
      <c r="S34" s="1082">
        <f>SUM(G34+M34)</f>
        <v>0</v>
      </c>
      <c r="T34" s="262"/>
      <c r="U34" s="550"/>
      <c r="V34" s="138"/>
      <c r="W34" s="2626"/>
      <c r="X34" s="2596"/>
      <c r="Y34" s="2852"/>
      <c r="Z34" s="138"/>
      <c r="AA34" s="137"/>
      <c r="AB34" s="260"/>
      <c r="AC34" s="262"/>
      <c r="AD34" s="550"/>
      <c r="AE34" s="138"/>
      <c r="AF34" s="1081"/>
      <c r="AG34" s="2812"/>
      <c r="AH34" s="2932"/>
      <c r="AI34" s="1079"/>
      <c r="AJ34" s="1080"/>
      <c r="AK34" s="1079"/>
      <c r="AL34" s="214"/>
      <c r="AM34" s="214"/>
      <c r="AN34" s="214"/>
      <c r="AO34" s="214"/>
    </row>
    <row r="35" spans="1:41" x14ac:dyDescent="0.2">
      <c r="A35" s="2918" t="s">
        <v>455</v>
      </c>
      <c r="B35" s="2574"/>
      <c r="C35" s="138"/>
      <c r="D35" s="137"/>
      <c r="E35" s="138"/>
      <c r="F35" s="137"/>
      <c r="G35" s="138"/>
      <c r="H35" s="137"/>
      <c r="I35" s="138"/>
      <c r="J35" s="137"/>
      <c r="K35" s="138"/>
      <c r="L35" s="137"/>
      <c r="M35" s="138"/>
      <c r="N35" s="871">
        <f t="shared" si="2"/>
        <v>0</v>
      </c>
      <c r="O35" s="846">
        <f t="shared" si="3"/>
        <v>0</v>
      </c>
      <c r="P35" s="871">
        <f t="shared" si="4"/>
        <v>0</v>
      </c>
      <c r="Q35" s="846">
        <f t="shared" si="5"/>
        <v>0</v>
      </c>
      <c r="R35" s="577">
        <f t="shared" si="6"/>
        <v>0</v>
      </c>
      <c r="S35" s="1082">
        <f t="shared" si="7"/>
        <v>0</v>
      </c>
      <c r="T35" s="262"/>
      <c r="U35" s="550"/>
      <c r="V35" s="138"/>
      <c r="W35" s="2626"/>
      <c r="X35" s="2596"/>
      <c r="Y35" s="2852"/>
      <c r="Z35" s="138"/>
      <c r="AA35" s="137"/>
      <c r="AB35" s="260"/>
      <c r="AC35" s="262"/>
      <c r="AD35" s="550"/>
      <c r="AE35" s="138"/>
      <c r="AF35" s="1081"/>
      <c r="AG35" s="2812"/>
      <c r="AH35" s="2932"/>
      <c r="AI35" s="1079"/>
      <c r="AJ35" s="1080"/>
      <c r="AK35" s="1079"/>
      <c r="AL35" s="214"/>
      <c r="AM35" s="214"/>
      <c r="AN35" s="214"/>
      <c r="AO35" s="214"/>
    </row>
    <row r="36" spans="1:41" x14ac:dyDescent="0.2">
      <c r="A36" s="2918" t="s">
        <v>266</v>
      </c>
      <c r="B36" s="2574"/>
      <c r="C36" s="138"/>
      <c r="D36" s="137"/>
      <c r="E36" s="138"/>
      <c r="F36" s="137"/>
      <c r="G36" s="138"/>
      <c r="H36" s="137"/>
      <c r="I36" s="138"/>
      <c r="J36" s="137"/>
      <c r="K36" s="138"/>
      <c r="L36" s="137"/>
      <c r="M36" s="138"/>
      <c r="N36" s="871">
        <f t="shared" si="2"/>
        <v>0</v>
      </c>
      <c r="O36" s="846">
        <f t="shared" si="3"/>
        <v>0</v>
      </c>
      <c r="P36" s="871">
        <f t="shared" si="4"/>
        <v>0</v>
      </c>
      <c r="Q36" s="846">
        <f t="shared" si="5"/>
        <v>0</v>
      </c>
      <c r="R36" s="577">
        <f t="shared" si="6"/>
        <v>0</v>
      </c>
      <c r="S36" s="1082">
        <f t="shared" si="7"/>
        <v>0</v>
      </c>
      <c r="T36" s="262"/>
      <c r="U36" s="550"/>
      <c r="V36" s="138"/>
      <c r="W36" s="2626"/>
      <c r="X36" s="2596"/>
      <c r="Y36" s="2852"/>
      <c r="Z36" s="138"/>
      <c r="AA36" s="137"/>
      <c r="AB36" s="260"/>
      <c r="AC36" s="262"/>
      <c r="AD36" s="550"/>
      <c r="AE36" s="138"/>
      <c r="AF36" s="1081"/>
      <c r="AG36" s="2812"/>
      <c r="AH36" s="2932"/>
      <c r="AI36" s="1079"/>
      <c r="AJ36" s="1080"/>
      <c r="AK36" s="1079"/>
      <c r="AL36" s="214"/>
      <c r="AM36" s="214"/>
      <c r="AN36" s="214"/>
      <c r="AO36" s="214"/>
    </row>
    <row r="37" spans="1:41" x14ac:dyDescent="0.2">
      <c r="A37" s="2918" t="s">
        <v>456</v>
      </c>
      <c r="B37" s="2574"/>
      <c r="C37" s="138"/>
      <c r="D37" s="137"/>
      <c r="E37" s="138"/>
      <c r="F37" s="137"/>
      <c r="G37" s="138"/>
      <c r="H37" s="137"/>
      <c r="I37" s="138"/>
      <c r="J37" s="137"/>
      <c r="K37" s="138"/>
      <c r="L37" s="137"/>
      <c r="M37" s="138"/>
      <c r="N37" s="871">
        <f t="shared" si="2"/>
        <v>0</v>
      </c>
      <c r="O37" s="846">
        <f t="shared" si="3"/>
        <v>0</v>
      </c>
      <c r="P37" s="871">
        <f t="shared" si="4"/>
        <v>0</v>
      </c>
      <c r="Q37" s="846">
        <f t="shared" si="5"/>
        <v>0</v>
      </c>
      <c r="R37" s="577">
        <f t="shared" si="6"/>
        <v>0</v>
      </c>
      <c r="S37" s="1082">
        <f t="shared" si="7"/>
        <v>0</v>
      </c>
      <c r="T37" s="262"/>
      <c r="U37" s="550"/>
      <c r="V37" s="138"/>
      <c r="W37" s="2626"/>
      <c r="X37" s="2596"/>
      <c r="Y37" s="2852"/>
      <c r="Z37" s="138"/>
      <c r="AA37" s="137"/>
      <c r="AB37" s="260"/>
      <c r="AC37" s="262"/>
      <c r="AD37" s="550"/>
      <c r="AE37" s="138"/>
      <c r="AF37" s="1081"/>
      <c r="AG37" s="2812"/>
      <c r="AH37" s="2932"/>
      <c r="AI37" s="1079"/>
      <c r="AJ37" s="1080"/>
      <c r="AK37" s="1079"/>
      <c r="AL37" s="214"/>
      <c r="AM37" s="214"/>
      <c r="AN37" s="214"/>
      <c r="AO37" s="214"/>
    </row>
    <row r="38" spans="1:41" x14ac:dyDescent="0.2">
      <c r="A38" s="2918" t="s">
        <v>267</v>
      </c>
      <c r="B38" s="2574"/>
      <c r="C38" s="138"/>
      <c r="D38" s="137"/>
      <c r="E38" s="138"/>
      <c r="F38" s="137"/>
      <c r="G38" s="138"/>
      <c r="H38" s="137"/>
      <c r="I38" s="138"/>
      <c r="J38" s="137"/>
      <c r="K38" s="138"/>
      <c r="L38" s="137"/>
      <c r="M38" s="138"/>
      <c r="N38" s="871">
        <f t="shared" si="2"/>
        <v>0</v>
      </c>
      <c r="O38" s="846">
        <f t="shared" si="3"/>
        <v>0</v>
      </c>
      <c r="P38" s="871">
        <f t="shared" si="4"/>
        <v>0</v>
      </c>
      <c r="Q38" s="846">
        <f t="shared" si="5"/>
        <v>0</v>
      </c>
      <c r="R38" s="577">
        <f t="shared" si="6"/>
        <v>0</v>
      </c>
      <c r="S38" s="1082">
        <f t="shared" si="7"/>
        <v>0</v>
      </c>
      <c r="T38" s="262"/>
      <c r="U38" s="550"/>
      <c r="V38" s="138"/>
      <c r="W38" s="2626"/>
      <c r="X38" s="2596"/>
      <c r="Y38" s="2852"/>
      <c r="Z38" s="138"/>
      <c r="AA38" s="137"/>
      <c r="AB38" s="260"/>
      <c r="AC38" s="262"/>
      <c r="AD38" s="550"/>
      <c r="AE38" s="138"/>
      <c r="AF38" s="1081"/>
      <c r="AG38" s="2812"/>
      <c r="AH38" s="2932"/>
      <c r="AI38" s="1079"/>
      <c r="AJ38" s="1080"/>
      <c r="AK38" s="1079"/>
      <c r="AL38" s="214"/>
      <c r="AM38" s="214"/>
      <c r="AN38" s="214"/>
      <c r="AO38" s="214"/>
    </row>
    <row r="39" spans="1:41" x14ac:dyDescent="0.2">
      <c r="A39" s="2918" t="s">
        <v>268</v>
      </c>
      <c r="B39" s="2574"/>
      <c r="C39" s="138"/>
      <c r="D39" s="137"/>
      <c r="E39" s="138"/>
      <c r="F39" s="137"/>
      <c r="G39" s="138"/>
      <c r="H39" s="137"/>
      <c r="I39" s="138"/>
      <c r="J39" s="137"/>
      <c r="K39" s="138"/>
      <c r="L39" s="137"/>
      <c r="M39" s="138"/>
      <c r="N39" s="871">
        <f t="shared" si="2"/>
        <v>0</v>
      </c>
      <c r="O39" s="846">
        <f t="shared" si="3"/>
        <v>0</v>
      </c>
      <c r="P39" s="871">
        <f t="shared" si="4"/>
        <v>0</v>
      </c>
      <c r="Q39" s="846">
        <f t="shared" si="5"/>
        <v>0</v>
      </c>
      <c r="R39" s="577">
        <f t="shared" si="6"/>
        <v>0</v>
      </c>
      <c r="S39" s="1082">
        <f t="shared" si="7"/>
        <v>0</v>
      </c>
      <c r="T39" s="262"/>
      <c r="U39" s="550"/>
      <c r="V39" s="138"/>
      <c r="W39" s="2626"/>
      <c r="X39" s="2596"/>
      <c r="Y39" s="2852"/>
      <c r="Z39" s="138"/>
      <c r="AA39" s="137"/>
      <c r="AB39" s="260"/>
      <c r="AC39" s="262"/>
      <c r="AD39" s="550"/>
      <c r="AE39" s="138"/>
      <c r="AF39" s="1081"/>
      <c r="AG39" s="2812"/>
      <c r="AH39" s="2932"/>
      <c r="AI39" s="1079"/>
      <c r="AJ39" s="1080"/>
      <c r="AK39" s="1079"/>
      <c r="AL39" s="214"/>
      <c r="AM39" s="214"/>
      <c r="AN39" s="214"/>
      <c r="AO39" s="214"/>
    </row>
    <row r="40" spans="1:41" x14ac:dyDescent="0.2">
      <c r="A40" s="2918" t="s">
        <v>457</v>
      </c>
      <c r="B40" s="2574"/>
      <c r="C40" s="138"/>
      <c r="D40" s="137"/>
      <c r="E40" s="138"/>
      <c r="F40" s="137"/>
      <c r="G40" s="138"/>
      <c r="H40" s="137"/>
      <c r="I40" s="138"/>
      <c r="J40" s="137"/>
      <c r="K40" s="138"/>
      <c r="L40" s="137"/>
      <c r="M40" s="138"/>
      <c r="N40" s="871">
        <f t="shared" si="2"/>
        <v>0</v>
      </c>
      <c r="O40" s="846">
        <f t="shared" si="3"/>
        <v>0</v>
      </c>
      <c r="P40" s="871">
        <f t="shared" si="4"/>
        <v>0</v>
      </c>
      <c r="Q40" s="846">
        <f t="shared" si="5"/>
        <v>0</v>
      </c>
      <c r="R40" s="577">
        <f t="shared" si="6"/>
        <v>0</v>
      </c>
      <c r="S40" s="1082">
        <f t="shared" si="7"/>
        <v>0</v>
      </c>
      <c r="T40" s="262"/>
      <c r="U40" s="550"/>
      <c r="V40" s="138"/>
      <c r="W40" s="2626"/>
      <c r="X40" s="2596"/>
      <c r="Y40" s="2852"/>
      <c r="Z40" s="138"/>
      <c r="AA40" s="137"/>
      <c r="AB40" s="260"/>
      <c r="AC40" s="262"/>
      <c r="AD40" s="550"/>
      <c r="AE40" s="138"/>
      <c r="AF40" s="1081"/>
      <c r="AG40" s="2812"/>
      <c r="AH40" s="2932"/>
      <c r="AI40" s="1079"/>
      <c r="AJ40" s="1080"/>
      <c r="AK40" s="1079"/>
      <c r="AL40" s="214"/>
      <c r="AM40" s="214"/>
      <c r="AN40" s="214"/>
      <c r="AO40" s="214"/>
    </row>
    <row r="41" spans="1:41" x14ac:dyDescent="0.2">
      <c r="A41" s="2918" t="s">
        <v>269</v>
      </c>
      <c r="B41" s="2574"/>
      <c r="C41" s="138"/>
      <c r="D41" s="137"/>
      <c r="E41" s="138"/>
      <c r="F41" s="137"/>
      <c r="G41" s="138"/>
      <c r="H41" s="137"/>
      <c r="I41" s="138"/>
      <c r="J41" s="137"/>
      <c r="K41" s="138"/>
      <c r="L41" s="137"/>
      <c r="M41" s="138"/>
      <c r="N41" s="871">
        <f t="shared" si="2"/>
        <v>0</v>
      </c>
      <c r="O41" s="846">
        <f t="shared" si="3"/>
        <v>0</v>
      </c>
      <c r="P41" s="871">
        <f t="shared" si="4"/>
        <v>0</v>
      </c>
      <c r="Q41" s="846">
        <f t="shared" si="5"/>
        <v>0</v>
      </c>
      <c r="R41" s="577">
        <f t="shared" si="6"/>
        <v>0</v>
      </c>
      <c r="S41" s="1082">
        <f t="shared" si="7"/>
        <v>0</v>
      </c>
      <c r="T41" s="262"/>
      <c r="U41" s="550"/>
      <c r="V41" s="138"/>
      <c r="W41" s="2626"/>
      <c r="X41" s="2596"/>
      <c r="Y41" s="2852"/>
      <c r="Z41" s="138"/>
      <c r="AA41" s="137"/>
      <c r="AB41" s="260"/>
      <c r="AC41" s="262"/>
      <c r="AD41" s="550"/>
      <c r="AE41" s="138"/>
      <c r="AF41" s="1081"/>
      <c r="AG41" s="2812"/>
      <c r="AH41" s="2932"/>
      <c r="AI41" s="1079"/>
      <c r="AJ41" s="1080"/>
      <c r="AK41" s="1079"/>
      <c r="AL41" s="214"/>
      <c r="AM41" s="214"/>
      <c r="AN41" s="214"/>
      <c r="AO41" s="214"/>
    </row>
    <row r="42" spans="1:41" x14ac:dyDescent="0.2">
      <c r="A42" s="2918" t="s">
        <v>270</v>
      </c>
      <c r="B42" s="2574"/>
      <c r="C42" s="138"/>
      <c r="D42" s="137"/>
      <c r="E42" s="138"/>
      <c r="F42" s="137"/>
      <c r="G42" s="138"/>
      <c r="H42" s="137"/>
      <c r="I42" s="138"/>
      <c r="J42" s="137"/>
      <c r="K42" s="138"/>
      <c r="L42" s="137"/>
      <c r="M42" s="138"/>
      <c r="N42" s="871">
        <f t="shared" si="2"/>
        <v>0</v>
      </c>
      <c r="O42" s="846">
        <f t="shared" si="3"/>
        <v>0</v>
      </c>
      <c r="P42" s="871">
        <f t="shared" si="4"/>
        <v>0</v>
      </c>
      <c r="Q42" s="846">
        <f t="shared" si="5"/>
        <v>0</v>
      </c>
      <c r="R42" s="577">
        <f t="shared" si="6"/>
        <v>0</v>
      </c>
      <c r="S42" s="1082">
        <f t="shared" si="7"/>
        <v>0</v>
      </c>
      <c r="T42" s="262"/>
      <c r="U42" s="550"/>
      <c r="V42" s="138"/>
      <c r="W42" s="2626"/>
      <c r="X42" s="2596"/>
      <c r="Y42" s="2852"/>
      <c r="Z42" s="138"/>
      <c r="AA42" s="137"/>
      <c r="AB42" s="260"/>
      <c r="AC42" s="262"/>
      <c r="AD42" s="550"/>
      <c r="AE42" s="138"/>
      <c r="AF42" s="1081"/>
      <c r="AG42" s="2812"/>
      <c r="AH42" s="2932"/>
      <c r="AI42" s="1079"/>
      <c r="AJ42" s="1080"/>
      <c r="AK42" s="1079"/>
      <c r="AL42" s="214"/>
      <c r="AM42" s="214"/>
      <c r="AN42" s="214"/>
      <c r="AO42" s="214"/>
    </row>
    <row r="43" spans="1:41" x14ac:dyDescent="0.2">
      <c r="A43" s="2918" t="s">
        <v>271</v>
      </c>
      <c r="B43" s="2574"/>
      <c r="C43" s="138"/>
      <c r="D43" s="137"/>
      <c r="E43" s="138"/>
      <c r="F43" s="137"/>
      <c r="G43" s="138"/>
      <c r="H43" s="137"/>
      <c r="I43" s="138"/>
      <c r="J43" s="137"/>
      <c r="K43" s="138"/>
      <c r="L43" s="137"/>
      <c r="M43" s="138"/>
      <c r="N43" s="871">
        <f t="shared" si="2"/>
        <v>0</v>
      </c>
      <c r="O43" s="846">
        <f t="shared" si="3"/>
        <v>0</v>
      </c>
      <c r="P43" s="871">
        <f t="shared" si="4"/>
        <v>0</v>
      </c>
      <c r="Q43" s="846">
        <f t="shared" si="5"/>
        <v>0</v>
      </c>
      <c r="R43" s="577">
        <f t="shared" si="6"/>
        <v>0</v>
      </c>
      <c r="S43" s="1082">
        <f t="shared" si="7"/>
        <v>0</v>
      </c>
      <c r="T43" s="262"/>
      <c r="U43" s="550"/>
      <c r="V43" s="138"/>
      <c r="W43" s="2626"/>
      <c r="X43" s="2596"/>
      <c r="Y43" s="2852"/>
      <c r="Z43" s="138"/>
      <c r="AA43" s="137"/>
      <c r="AB43" s="260"/>
      <c r="AC43" s="262"/>
      <c r="AD43" s="550"/>
      <c r="AE43" s="138"/>
      <c r="AF43" s="1081"/>
      <c r="AG43" s="2812"/>
      <c r="AH43" s="2932"/>
      <c r="AI43" s="1079"/>
      <c r="AJ43" s="1080"/>
      <c r="AK43" s="1079"/>
      <c r="AL43" s="214"/>
      <c r="AM43" s="214"/>
      <c r="AN43" s="214"/>
      <c r="AO43" s="214"/>
    </row>
    <row r="44" spans="1:41" x14ac:dyDescent="0.2">
      <c r="A44" s="2918" t="s">
        <v>272</v>
      </c>
      <c r="B44" s="2574"/>
      <c r="C44" s="138"/>
      <c r="D44" s="137"/>
      <c r="E44" s="138"/>
      <c r="F44" s="137"/>
      <c r="G44" s="138"/>
      <c r="H44" s="137"/>
      <c r="I44" s="138"/>
      <c r="J44" s="137"/>
      <c r="K44" s="138"/>
      <c r="L44" s="137"/>
      <c r="M44" s="138"/>
      <c r="N44" s="871">
        <f t="shared" si="2"/>
        <v>0</v>
      </c>
      <c r="O44" s="846">
        <f t="shared" si="3"/>
        <v>0</v>
      </c>
      <c r="P44" s="871">
        <f t="shared" si="4"/>
        <v>0</v>
      </c>
      <c r="Q44" s="846">
        <f t="shared" si="5"/>
        <v>0</v>
      </c>
      <c r="R44" s="577">
        <f t="shared" si="6"/>
        <v>0</v>
      </c>
      <c r="S44" s="1082">
        <f t="shared" si="7"/>
        <v>0</v>
      </c>
      <c r="T44" s="262"/>
      <c r="U44" s="550"/>
      <c r="V44" s="138"/>
      <c r="W44" s="2626"/>
      <c r="X44" s="2596"/>
      <c r="Y44" s="2852"/>
      <c r="Z44" s="138"/>
      <c r="AA44" s="137"/>
      <c r="AB44" s="260"/>
      <c r="AC44" s="262"/>
      <c r="AD44" s="550"/>
      <c r="AE44" s="138"/>
      <c r="AF44" s="1081"/>
      <c r="AG44" s="2812"/>
      <c r="AH44" s="2932"/>
      <c r="AI44" s="1079"/>
      <c r="AJ44" s="1080"/>
      <c r="AK44" s="1079"/>
      <c r="AL44" s="214"/>
      <c r="AM44" s="214"/>
      <c r="AN44" s="214"/>
      <c r="AO44" s="214"/>
    </row>
    <row r="45" spans="1:41" x14ac:dyDescent="0.2">
      <c r="A45" s="2918" t="s">
        <v>273</v>
      </c>
      <c r="B45" s="2574"/>
      <c r="C45" s="138"/>
      <c r="D45" s="137"/>
      <c r="E45" s="138"/>
      <c r="F45" s="137"/>
      <c r="G45" s="138"/>
      <c r="H45" s="137"/>
      <c r="I45" s="138"/>
      <c r="J45" s="137"/>
      <c r="K45" s="138"/>
      <c r="L45" s="137"/>
      <c r="M45" s="138"/>
      <c r="N45" s="871">
        <f t="shared" si="2"/>
        <v>0</v>
      </c>
      <c r="O45" s="846">
        <f t="shared" si="3"/>
        <v>0</v>
      </c>
      <c r="P45" s="871">
        <f t="shared" si="4"/>
        <v>0</v>
      </c>
      <c r="Q45" s="846">
        <f t="shared" si="5"/>
        <v>0</v>
      </c>
      <c r="R45" s="577">
        <f t="shared" si="6"/>
        <v>0</v>
      </c>
      <c r="S45" s="1082">
        <f t="shared" si="7"/>
        <v>0</v>
      </c>
      <c r="T45" s="262"/>
      <c r="U45" s="550"/>
      <c r="V45" s="138"/>
      <c r="W45" s="2626"/>
      <c r="X45" s="2596"/>
      <c r="Y45" s="2852"/>
      <c r="Z45" s="138"/>
      <c r="AA45" s="137"/>
      <c r="AB45" s="260"/>
      <c r="AC45" s="262"/>
      <c r="AD45" s="550"/>
      <c r="AE45" s="138"/>
      <c r="AF45" s="1081"/>
      <c r="AG45" s="2812"/>
      <c r="AH45" s="2932"/>
      <c r="AI45" s="1079"/>
      <c r="AJ45" s="1080"/>
      <c r="AK45" s="1079"/>
      <c r="AL45" s="214"/>
      <c r="AM45" s="214"/>
      <c r="AN45" s="214"/>
      <c r="AO45" s="214"/>
    </row>
    <row r="46" spans="1:41" x14ac:dyDescent="0.2">
      <c r="A46" s="2918" t="s">
        <v>458</v>
      </c>
      <c r="B46" s="2574"/>
      <c r="C46" s="138"/>
      <c r="D46" s="137"/>
      <c r="E46" s="138"/>
      <c r="F46" s="137"/>
      <c r="G46" s="138"/>
      <c r="H46" s="137"/>
      <c r="I46" s="138"/>
      <c r="J46" s="137"/>
      <c r="K46" s="138"/>
      <c r="L46" s="137"/>
      <c r="M46" s="138"/>
      <c r="N46" s="871">
        <f t="shared" si="2"/>
        <v>0</v>
      </c>
      <c r="O46" s="846">
        <f t="shared" si="3"/>
        <v>0</v>
      </c>
      <c r="P46" s="871">
        <f t="shared" si="4"/>
        <v>0</v>
      </c>
      <c r="Q46" s="846">
        <f t="shared" si="5"/>
        <v>0</v>
      </c>
      <c r="R46" s="577">
        <f t="shared" si="6"/>
        <v>0</v>
      </c>
      <c r="S46" s="1082">
        <f t="shared" si="7"/>
        <v>0</v>
      </c>
      <c r="T46" s="262"/>
      <c r="U46" s="550"/>
      <c r="V46" s="138"/>
      <c r="W46" s="2626"/>
      <c r="X46" s="2596"/>
      <c r="Y46" s="2852"/>
      <c r="Z46" s="138"/>
      <c r="AA46" s="137"/>
      <c r="AB46" s="260"/>
      <c r="AC46" s="262"/>
      <c r="AD46" s="550"/>
      <c r="AE46" s="138"/>
      <c r="AF46" s="1081"/>
      <c r="AG46" s="2812"/>
      <c r="AH46" s="2932"/>
      <c r="AI46" s="1079"/>
      <c r="AJ46" s="1080"/>
      <c r="AK46" s="1079"/>
      <c r="AL46" s="214"/>
      <c r="AM46" s="214"/>
      <c r="AN46" s="214"/>
      <c r="AO46" s="214"/>
    </row>
    <row r="47" spans="1:41" x14ac:dyDescent="0.2">
      <c r="A47" s="2918" t="s">
        <v>274</v>
      </c>
      <c r="B47" s="2574"/>
      <c r="C47" s="138"/>
      <c r="D47" s="137"/>
      <c r="E47" s="138"/>
      <c r="F47" s="137"/>
      <c r="G47" s="138"/>
      <c r="H47" s="137"/>
      <c r="I47" s="138"/>
      <c r="J47" s="137"/>
      <c r="K47" s="138"/>
      <c r="L47" s="137"/>
      <c r="M47" s="138"/>
      <c r="N47" s="871">
        <f t="shared" si="2"/>
        <v>0</v>
      </c>
      <c r="O47" s="846">
        <f t="shared" si="3"/>
        <v>0</v>
      </c>
      <c r="P47" s="871">
        <f t="shared" si="4"/>
        <v>0</v>
      </c>
      <c r="Q47" s="846">
        <f t="shared" si="5"/>
        <v>0</v>
      </c>
      <c r="R47" s="577">
        <f t="shared" si="6"/>
        <v>0</v>
      </c>
      <c r="S47" s="1082">
        <f t="shared" si="7"/>
        <v>0</v>
      </c>
      <c r="T47" s="262"/>
      <c r="U47" s="550"/>
      <c r="V47" s="138"/>
      <c r="W47" s="2626"/>
      <c r="X47" s="2596"/>
      <c r="Y47" s="2852"/>
      <c r="Z47" s="138"/>
      <c r="AA47" s="137"/>
      <c r="AB47" s="260"/>
      <c r="AC47" s="262"/>
      <c r="AD47" s="550"/>
      <c r="AE47" s="138"/>
      <c r="AF47" s="1081"/>
      <c r="AG47" s="2812"/>
      <c r="AH47" s="2932"/>
      <c r="AI47" s="1079"/>
      <c r="AJ47" s="1080"/>
      <c r="AK47" s="1079"/>
      <c r="AL47" s="214"/>
      <c r="AM47" s="214"/>
      <c r="AN47" s="214"/>
      <c r="AO47" s="214"/>
    </row>
    <row r="48" spans="1:41" x14ac:dyDescent="0.2">
      <c r="A48" s="2918" t="s">
        <v>275</v>
      </c>
      <c r="B48" s="2574"/>
      <c r="C48" s="138"/>
      <c r="D48" s="137"/>
      <c r="E48" s="138"/>
      <c r="F48" s="137"/>
      <c r="G48" s="138"/>
      <c r="H48" s="137"/>
      <c r="I48" s="138"/>
      <c r="J48" s="137"/>
      <c r="K48" s="138"/>
      <c r="L48" s="137"/>
      <c r="M48" s="138"/>
      <c r="N48" s="871">
        <f t="shared" si="2"/>
        <v>0</v>
      </c>
      <c r="O48" s="846">
        <f t="shared" si="3"/>
        <v>0</v>
      </c>
      <c r="P48" s="871">
        <f t="shared" si="4"/>
        <v>0</v>
      </c>
      <c r="Q48" s="846">
        <f t="shared" si="5"/>
        <v>0</v>
      </c>
      <c r="R48" s="577">
        <f t="shared" si="6"/>
        <v>0</v>
      </c>
      <c r="S48" s="1082">
        <f t="shared" si="7"/>
        <v>0</v>
      </c>
      <c r="T48" s="262"/>
      <c r="U48" s="550"/>
      <c r="V48" s="138"/>
      <c r="W48" s="2626"/>
      <c r="X48" s="2596"/>
      <c r="Y48" s="2852"/>
      <c r="Z48" s="138"/>
      <c r="AA48" s="137"/>
      <c r="AB48" s="260"/>
      <c r="AC48" s="262"/>
      <c r="AD48" s="550"/>
      <c r="AE48" s="138"/>
      <c r="AF48" s="1081"/>
      <c r="AG48" s="2812"/>
      <c r="AH48" s="2932"/>
      <c r="AI48" s="1079"/>
      <c r="AJ48" s="1080"/>
      <c r="AK48" s="1079"/>
      <c r="AL48" s="214"/>
      <c r="AM48" s="214"/>
      <c r="AN48" s="214"/>
      <c r="AO48" s="214"/>
    </row>
    <row r="49" spans="1:41" x14ac:dyDescent="0.2">
      <c r="A49" s="2918" t="s">
        <v>459</v>
      </c>
      <c r="B49" s="2574"/>
      <c r="C49" s="138"/>
      <c r="D49" s="137"/>
      <c r="E49" s="138"/>
      <c r="F49" s="137"/>
      <c r="G49" s="138"/>
      <c r="H49" s="137"/>
      <c r="I49" s="138"/>
      <c r="J49" s="137"/>
      <c r="K49" s="138"/>
      <c r="L49" s="137"/>
      <c r="M49" s="138"/>
      <c r="N49" s="871">
        <f t="shared" si="2"/>
        <v>0</v>
      </c>
      <c r="O49" s="846">
        <f t="shared" si="3"/>
        <v>0</v>
      </c>
      <c r="P49" s="871">
        <f t="shared" si="4"/>
        <v>0</v>
      </c>
      <c r="Q49" s="846">
        <f t="shared" si="5"/>
        <v>0</v>
      </c>
      <c r="R49" s="577">
        <f t="shared" si="6"/>
        <v>0</v>
      </c>
      <c r="S49" s="1082">
        <f t="shared" si="7"/>
        <v>0</v>
      </c>
      <c r="T49" s="262"/>
      <c r="U49" s="550"/>
      <c r="V49" s="138"/>
      <c r="W49" s="2626"/>
      <c r="X49" s="2596"/>
      <c r="Y49" s="2852"/>
      <c r="Z49" s="138"/>
      <c r="AA49" s="137"/>
      <c r="AB49" s="260"/>
      <c r="AC49" s="262"/>
      <c r="AD49" s="550"/>
      <c r="AE49" s="138"/>
      <c r="AF49" s="1081"/>
      <c r="AG49" s="2812"/>
      <c r="AH49" s="2932"/>
      <c r="AI49" s="1079"/>
      <c r="AJ49" s="1080"/>
      <c r="AK49" s="1079"/>
      <c r="AL49" s="214"/>
      <c r="AM49" s="214"/>
      <c r="AN49" s="214"/>
      <c r="AO49" s="214"/>
    </row>
    <row r="50" spans="1:41" x14ac:dyDescent="0.2">
      <c r="A50" s="2918" t="s">
        <v>276</v>
      </c>
      <c r="B50" s="2574"/>
      <c r="C50" s="138"/>
      <c r="D50" s="137"/>
      <c r="E50" s="138"/>
      <c r="F50" s="137"/>
      <c r="G50" s="138"/>
      <c r="H50" s="137"/>
      <c r="I50" s="138"/>
      <c r="J50" s="137"/>
      <c r="K50" s="138"/>
      <c r="L50" s="137"/>
      <c r="M50" s="138"/>
      <c r="N50" s="871">
        <f t="shared" si="2"/>
        <v>0</v>
      </c>
      <c r="O50" s="846">
        <f t="shared" si="3"/>
        <v>0</v>
      </c>
      <c r="P50" s="871">
        <f t="shared" si="4"/>
        <v>0</v>
      </c>
      <c r="Q50" s="846">
        <f t="shared" si="5"/>
        <v>0</v>
      </c>
      <c r="R50" s="577">
        <f t="shared" si="6"/>
        <v>0</v>
      </c>
      <c r="S50" s="1082">
        <f t="shared" si="7"/>
        <v>0</v>
      </c>
      <c r="T50" s="262"/>
      <c r="U50" s="550"/>
      <c r="V50" s="138"/>
      <c r="W50" s="2626"/>
      <c r="X50" s="2596"/>
      <c r="Y50" s="2852"/>
      <c r="Z50" s="138"/>
      <c r="AA50" s="137"/>
      <c r="AB50" s="260"/>
      <c r="AC50" s="262"/>
      <c r="AD50" s="550"/>
      <c r="AE50" s="138"/>
      <c r="AF50" s="1081"/>
      <c r="AG50" s="2812"/>
      <c r="AH50" s="2932"/>
      <c r="AI50" s="1079"/>
      <c r="AJ50" s="1080"/>
      <c r="AK50" s="1079"/>
      <c r="AL50" s="214"/>
      <c r="AM50" s="214"/>
      <c r="AN50" s="214"/>
      <c r="AO50" s="214"/>
    </row>
    <row r="51" spans="1:41" x14ac:dyDescent="0.2">
      <c r="A51" s="2918" t="s">
        <v>460</v>
      </c>
      <c r="B51" s="2574"/>
      <c r="C51" s="138"/>
      <c r="D51" s="137"/>
      <c r="E51" s="138"/>
      <c r="F51" s="137"/>
      <c r="G51" s="138"/>
      <c r="H51" s="137"/>
      <c r="I51" s="138"/>
      <c r="J51" s="137"/>
      <c r="K51" s="138"/>
      <c r="L51" s="137"/>
      <c r="M51" s="138"/>
      <c r="N51" s="871">
        <f t="shared" si="2"/>
        <v>0</v>
      </c>
      <c r="O51" s="846">
        <f t="shared" si="3"/>
        <v>0</v>
      </c>
      <c r="P51" s="871">
        <f t="shared" si="4"/>
        <v>0</v>
      </c>
      <c r="Q51" s="846">
        <f t="shared" si="5"/>
        <v>0</v>
      </c>
      <c r="R51" s="577">
        <f t="shared" si="6"/>
        <v>0</v>
      </c>
      <c r="S51" s="1082">
        <f t="shared" si="7"/>
        <v>0</v>
      </c>
      <c r="T51" s="262"/>
      <c r="U51" s="550"/>
      <c r="V51" s="138"/>
      <c r="W51" s="2626"/>
      <c r="X51" s="2596"/>
      <c r="Y51" s="2852"/>
      <c r="Z51" s="138"/>
      <c r="AA51" s="137"/>
      <c r="AB51" s="260"/>
      <c r="AC51" s="262"/>
      <c r="AD51" s="550"/>
      <c r="AE51" s="138"/>
      <c r="AF51" s="1081"/>
      <c r="AG51" s="2812"/>
      <c r="AH51" s="2932"/>
      <c r="AI51" s="1079"/>
      <c r="AJ51" s="1080"/>
      <c r="AK51" s="1079"/>
      <c r="AL51" s="214"/>
      <c r="AM51" s="214"/>
      <c r="AN51" s="214"/>
      <c r="AO51" s="214"/>
    </row>
    <row r="52" spans="1:41" x14ac:dyDescent="0.2">
      <c r="A52" s="153" t="s">
        <v>3575</v>
      </c>
      <c r="B52" s="2574"/>
      <c r="C52" s="138"/>
      <c r="D52" s="137"/>
      <c r="E52" s="138"/>
      <c r="F52" s="137"/>
      <c r="G52" s="138"/>
      <c r="H52" s="137"/>
      <c r="I52" s="138"/>
      <c r="J52" s="137"/>
      <c r="K52" s="138"/>
      <c r="L52" s="137"/>
      <c r="M52" s="138"/>
      <c r="N52" s="871">
        <f t="shared" si="2"/>
        <v>0</v>
      </c>
      <c r="O52" s="846">
        <f t="shared" si="3"/>
        <v>0</v>
      </c>
      <c r="P52" s="871">
        <f t="shared" si="4"/>
        <v>0</v>
      </c>
      <c r="Q52" s="846">
        <f t="shared" si="5"/>
        <v>0</v>
      </c>
      <c r="R52" s="577">
        <f t="shared" si="6"/>
        <v>0</v>
      </c>
      <c r="S52" s="1082">
        <f t="shared" si="7"/>
        <v>0</v>
      </c>
      <c r="T52" s="262"/>
      <c r="U52" s="550"/>
      <c r="V52" s="138"/>
      <c r="W52" s="2626"/>
      <c r="X52" s="2596"/>
      <c r="Y52" s="2852"/>
      <c r="Z52" s="138"/>
      <c r="AA52" s="137"/>
      <c r="AB52" s="260"/>
      <c r="AC52" s="262"/>
      <c r="AD52" s="550"/>
      <c r="AE52" s="138"/>
      <c r="AF52" s="1081"/>
      <c r="AG52" s="2812"/>
      <c r="AH52" s="2932"/>
      <c r="AI52" s="1079"/>
      <c r="AJ52" s="1080"/>
      <c r="AK52" s="1079"/>
      <c r="AL52" s="214"/>
      <c r="AM52" s="214"/>
      <c r="AN52" s="214"/>
      <c r="AO52" s="214"/>
    </row>
    <row r="53" spans="1:41" x14ac:dyDescent="0.2">
      <c r="A53" s="3492" t="s">
        <v>277</v>
      </c>
      <c r="B53" s="2574"/>
      <c r="C53" s="138"/>
      <c r="D53" s="137"/>
      <c r="E53" s="138"/>
      <c r="F53" s="137"/>
      <c r="G53" s="138"/>
      <c r="H53" s="137"/>
      <c r="I53" s="138"/>
      <c r="J53" s="137"/>
      <c r="K53" s="138"/>
      <c r="L53" s="137"/>
      <c r="M53" s="138"/>
      <c r="N53" s="871">
        <f t="shared" si="2"/>
        <v>0</v>
      </c>
      <c r="O53" s="846">
        <f t="shared" si="3"/>
        <v>0</v>
      </c>
      <c r="P53" s="871">
        <f t="shared" si="4"/>
        <v>0</v>
      </c>
      <c r="Q53" s="846">
        <f t="shared" si="5"/>
        <v>0</v>
      </c>
      <c r="R53" s="577">
        <f t="shared" si="6"/>
        <v>0</v>
      </c>
      <c r="S53" s="1082">
        <f t="shared" si="7"/>
        <v>0</v>
      </c>
      <c r="T53" s="262"/>
      <c r="U53" s="550"/>
      <c r="V53" s="138"/>
      <c r="W53" s="2626"/>
      <c r="X53" s="2596"/>
      <c r="Y53" s="2852"/>
      <c r="Z53" s="138"/>
      <c r="AA53" s="137"/>
      <c r="AB53" s="260"/>
      <c r="AC53" s="262"/>
      <c r="AD53" s="550"/>
      <c r="AE53" s="138"/>
      <c r="AF53" s="1081"/>
      <c r="AG53" s="2812"/>
      <c r="AH53" s="2932"/>
      <c r="AI53" s="1079"/>
      <c r="AJ53" s="1080"/>
      <c r="AK53" s="1079"/>
      <c r="AL53" s="214"/>
      <c r="AM53" s="214"/>
      <c r="AN53" s="214"/>
      <c r="AO53" s="214"/>
    </row>
    <row r="54" spans="1:41" x14ac:dyDescent="0.2">
      <c r="A54" s="2918" t="s">
        <v>278</v>
      </c>
      <c r="B54" s="2574"/>
      <c r="C54" s="138"/>
      <c r="D54" s="137"/>
      <c r="E54" s="138"/>
      <c r="F54" s="137"/>
      <c r="G54" s="138"/>
      <c r="H54" s="137"/>
      <c r="I54" s="138"/>
      <c r="J54" s="137"/>
      <c r="K54" s="138"/>
      <c r="L54" s="137"/>
      <c r="M54" s="138"/>
      <c r="N54" s="871">
        <f t="shared" si="2"/>
        <v>0</v>
      </c>
      <c r="O54" s="846">
        <f t="shared" si="3"/>
        <v>0</v>
      </c>
      <c r="P54" s="871">
        <f t="shared" si="4"/>
        <v>0</v>
      </c>
      <c r="Q54" s="846">
        <f t="shared" si="5"/>
        <v>0</v>
      </c>
      <c r="R54" s="577">
        <f t="shared" si="6"/>
        <v>0</v>
      </c>
      <c r="S54" s="1082">
        <f t="shared" si="7"/>
        <v>0</v>
      </c>
      <c r="T54" s="262"/>
      <c r="U54" s="550"/>
      <c r="V54" s="138"/>
      <c r="W54" s="2626"/>
      <c r="X54" s="2596"/>
      <c r="Y54" s="2852"/>
      <c r="Z54" s="138"/>
      <c r="AA54" s="137"/>
      <c r="AB54" s="260"/>
      <c r="AC54" s="262"/>
      <c r="AD54" s="550"/>
      <c r="AE54" s="138"/>
      <c r="AF54" s="1081"/>
      <c r="AG54" s="2812"/>
      <c r="AH54" s="2932"/>
      <c r="AI54" s="1079"/>
      <c r="AJ54" s="1080"/>
      <c r="AK54" s="1079"/>
      <c r="AL54" s="214"/>
      <c r="AM54" s="214"/>
      <c r="AN54" s="214"/>
      <c r="AO54" s="214"/>
    </row>
    <row r="55" spans="1:41" x14ac:dyDescent="0.2">
      <c r="A55" s="2918" t="s">
        <v>461</v>
      </c>
      <c r="B55" s="2574"/>
      <c r="C55" s="138"/>
      <c r="D55" s="137"/>
      <c r="E55" s="138"/>
      <c r="F55" s="137"/>
      <c r="G55" s="138"/>
      <c r="H55" s="137"/>
      <c r="I55" s="138"/>
      <c r="J55" s="137"/>
      <c r="K55" s="138"/>
      <c r="L55" s="137"/>
      <c r="M55" s="138"/>
      <c r="N55" s="871">
        <f t="shared" si="2"/>
        <v>0</v>
      </c>
      <c r="O55" s="846">
        <f t="shared" si="3"/>
        <v>0</v>
      </c>
      <c r="P55" s="871">
        <f t="shared" si="4"/>
        <v>0</v>
      </c>
      <c r="Q55" s="846">
        <f t="shared" si="5"/>
        <v>0</v>
      </c>
      <c r="R55" s="577">
        <f t="shared" si="6"/>
        <v>0</v>
      </c>
      <c r="S55" s="1082">
        <f t="shared" si="7"/>
        <v>0</v>
      </c>
      <c r="T55" s="262"/>
      <c r="U55" s="550"/>
      <c r="V55" s="138"/>
      <c r="W55" s="2626"/>
      <c r="X55" s="2596"/>
      <c r="Y55" s="2852"/>
      <c r="Z55" s="138"/>
      <c r="AA55" s="137"/>
      <c r="AB55" s="260"/>
      <c r="AC55" s="262"/>
      <c r="AD55" s="550"/>
      <c r="AE55" s="138"/>
      <c r="AF55" s="1081"/>
      <c r="AG55" s="2812"/>
      <c r="AH55" s="2932"/>
      <c r="AI55" s="1079"/>
      <c r="AJ55" s="1080"/>
      <c r="AK55" s="1079"/>
      <c r="AL55" s="214"/>
      <c r="AM55" s="214"/>
      <c r="AN55" s="214"/>
      <c r="AO55" s="214"/>
    </row>
    <row r="56" spans="1:41" x14ac:dyDescent="0.2">
      <c r="A56" s="2918" t="s">
        <v>3576</v>
      </c>
      <c r="B56" s="2574"/>
      <c r="C56" s="138"/>
      <c r="D56" s="137"/>
      <c r="E56" s="138"/>
      <c r="F56" s="137"/>
      <c r="G56" s="138"/>
      <c r="H56" s="137"/>
      <c r="I56" s="138"/>
      <c r="J56" s="137"/>
      <c r="K56" s="138"/>
      <c r="L56" s="137"/>
      <c r="M56" s="138"/>
      <c r="N56" s="871">
        <f t="shared" si="2"/>
        <v>0</v>
      </c>
      <c r="O56" s="846">
        <f t="shared" si="3"/>
        <v>0</v>
      </c>
      <c r="P56" s="871">
        <f t="shared" si="4"/>
        <v>0</v>
      </c>
      <c r="Q56" s="846">
        <f t="shared" si="5"/>
        <v>0</v>
      </c>
      <c r="R56" s="577">
        <f t="shared" si="6"/>
        <v>0</v>
      </c>
      <c r="S56" s="1082">
        <f t="shared" si="7"/>
        <v>0</v>
      </c>
      <c r="T56" s="262"/>
      <c r="U56" s="550"/>
      <c r="V56" s="138"/>
      <c r="W56" s="2626"/>
      <c r="X56" s="2596"/>
      <c r="Y56" s="2852"/>
      <c r="Z56" s="138"/>
      <c r="AA56" s="137"/>
      <c r="AB56" s="260"/>
      <c r="AC56" s="262"/>
      <c r="AD56" s="550"/>
      <c r="AE56" s="138"/>
      <c r="AF56" s="1081"/>
      <c r="AG56" s="2812"/>
      <c r="AH56" s="2932"/>
      <c r="AI56" s="1079"/>
      <c r="AJ56" s="1080"/>
      <c r="AK56" s="1079"/>
      <c r="AL56" s="214"/>
      <c r="AM56" s="214"/>
      <c r="AN56" s="214"/>
      <c r="AO56" s="214"/>
    </row>
    <row r="57" spans="1:41" x14ac:dyDescent="0.2">
      <c r="A57" s="2918" t="s">
        <v>35</v>
      </c>
      <c r="B57" s="2574"/>
      <c r="C57" s="138"/>
      <c r="D57" s="137"/>
      <c r="E57" s="138"/>
      <c r="F57" s="137"/>
      <c r="G57" s="138"/>
      <c r="H57" s="137"/>
      <c r="I57" s="138"/>
      <c r="J57" s="137"/>
      <c r="K57" s="138"/>
      <c r="L57" s="137"/>
      <c r="M57" s="138"/>
      <c r="N57" s="871">
        <f t="shared" si="2"/>
        <v>0</v>
      </c>
      <c r="O57" s="846">
        <f t="shared" si="3"/>
        <v>0</v>
      </c>
      <c r="P57" s="871">
        <f t="shared" si="4"/>
        <v>0</v>
      </c>
      <c r="Q57" s="846">
        <f t="shared" si="5"/>
        <v>0</v>
      </c>
      <c r="R57" s="577">
        <f t="shared" si="6"/>
        <v>0</v>
      </c>
      <c r="S57" s="1082">
        <f t="shared" si="7"/>
        <v>0</v>
      </c>
      <c r="T57" s="262"/>
      <c r="U57" s="550"/>
      <c r="V57" s="138"/>
      <c r="W57" s="2626"/>
      <c r="X57" s="2596"/>
      <c r="Y57" s="2852"/>
      <c r="Z57" s="138"/>
      <c r="AA57" s="137"/>
      <c r="AB57" s="260"/>
      <c r="AC57" s="262"/>
      <c r="AD57" s="550"/>
      <c r="AE57" s="138"/>
      <c r="AF57" s="1081"/>
      <c r="AG57" s="2812"/>
      <c r="AH57" s="2932"/>
      <c r="AI57" s="1079"/>
      <c r="AJ57" s="1080"/>
      <c r="AK57" s="1079"/>
      <c r="AL57" s="214"/>
      <c r="AM57" s="214"/>
      <c r="AN57" s="214"/>
      <c r="AO57" s="214"/>
    </row>
    <row r="58" spans="1:41" x14ac:dyDescent="0.2">
      <c r="A58" s="2918" t="s">
        <v>279</v>
      </c>
      <c r="B58" s="2574"/>
      <c r="C58" s="138"/>
      <c r="D58" s="137"/>
      <c r="E58" s="138"/>
      <c r="F58" s="137"/>
      <c r="G58" s="138"/>
      <c r="H58" s="137"/>
      <c r="I58" s="138"/>
      <c r="J58" s="137"/>
      <c r="K58" s="138"/>
      <c r="L58" s="137"/>
      <c r="M58" s="138"/>
      <c r="N58" s="871">
        <f t="shared" si="2"/>
        <v>0</v>
      </c>
      <c r="O58" s="846">
        <f t="shared" si="3"/>
        <v>0</v>
      </c>
      <c r="P58" s="871">
        <f t="shared" si="4"/>
        <v>0</v>
      </c>
      <c r="Q58" s="846">
        <f t="shared" si="5"/>
        <v>0</v>
      </c>
      <c r="R58" s="577">
        <f t="shared" si="6"/>
        <v>0</v>
      </c>
      <c r="S58" s="1082">
        <f t="shared" si="7"/>
        <v>0</v>
      </c>
      <c r="T58" s="262"/>
      <c r="U58" s="550"/>
      <c r="V58" s="138"/>
      <c r="W58" s="2626"/>
      <c r="X58" s="2596"/>
      <c r="Y58" s="2852"/>
      <c r="Z58" s="138"/>
      <c r="AA58" s="137"/>
      <c r="AB58" s="260"/>
      <c r="AC58" s="262"/>
      <c r="AD58" s="550"/>
      <c r="AE58" s="138"/>
      <c r="AF58" s="1081"/>
      <c r="AG58" s="2812"/>
      <c r="AH58" s="2932"/>
      <c r="AI58" s="1079"/>
      <c r="AJ58" s="1080"/>
      <c r="AK58" s="1079"/>
      <c r="AL58" s="214"/>
      <c r="AM58" s="214"/>
      <c r="AN58" s="214"/>
      <c r="AO58" s="214"/>
    </row>
    <row r="59" spans="1:41" x14ac:dyDescent="0.2">
      <c r="A59" s="2918" t="s">
        <v>36</v>
      </c>
      <c r="B59" s="2574"/>
      <c r="C59" s="138"/>
      <c r="D59" s="137"/>
      <c r="E59" s="138"/>
      <c r="F59" s="137"/>
      <c r="G59" s="138"/>
      <c r="H59" s="137"/>
      <c r="I59" s="138"/>
      <c r="J59" s="137"/>
      <c r="K59" s="138"/>
      <c r="L59" s="137"/>
      <c r="M59" s="138"/>
      <c r="N59" s="871">
        <f t="shared" si="2"/>
        <v>0</v>
      </c>
      <c r="O59" s="846">
        <f t="shared" si="3"/>
        <v>0</v>
      </c>
      <c r="P59" s="871">
        <f t="shared" si="4"/>
        <v>0</v>
      </c>
      <c r="Q59" s="846">
        <f t="shared" si="5"/>
        <v>0</v>
      </c>
      <c r="R59" s="577">
        <f t="shared" si="6"/>
        <v>0</v>
      </c>
      <c r="S59" s="1082">
        <f t="shared" si="7"/>
        <v>0</v>
      </c>
      <c r="T59" s="262"/>
      <c r="U59" s="550"/>
      <c r="V59" s="138"/>
      <c r="W59" s="2626"/>
      <c r="X59" s="2596"/>
      <c r="Y59" s="2852"/>
      <c r="Z59" s="138"/>
      <c r="AA59" s="137"/>
      <c r="AB59" s="260"/>
      <c r="AC59" s="262"/>
      <c r="AD59" s="550"/>
      <c r="AE59" s="138"/>
      <c r="AF59" s="1081"/>
      <c r="AG59" s="2812"/>
      <c r="AH59" s="2932"/>
      <c r="AI59" s="1079"/>
      <c r="AJ59" s="1080"/>
      <c r="AK59" s="1079"/>
      <c r="AL59" s="214"/>
      <c r="AM59" s="214"/>
      <c r="AN59" s="214"/>
      <c r="AO59" s="214"/>
    </row>
    <row r="60" spans="1:41" x14ac:dyDescent="0.2">
      <c r="A60" s="2918" t="s">
        <v>34</v>
      </c>
      <c r="B60" s="2574"/>
      <c r="C60" s="138"/>
      <c r="D60" s="137"/>
      <c r="E60" s="138"/>
      <c r="F60" s="137"/>
      <c r="G60" s="138"/>
      <c r="H60" s="137"/>
      <c r="I60" s="138"/>
      <c r="J60" s="137"/>
      <c r="K60" s="138"/>
      <c r="L60" s="137"/>
      <c r="M60" s="138"/>
      <c r="N60" s="871">
        <f t="shared" si="2"/>
        <v>0</v>
      </c>
      <c r="O60" s="846">
        <f t="shared" si="3"/>
        <v>0</v>
      </c>
      <c r="P60" s="871">
        <f t="shared" si="4"/>
        <v>0</v>
      </c>
      <c r="Q60" s="846">
        <f t="shared" si="5"/>
        <v>0</v>
      </c>
      <c r="R60" s="577">
        <f t="shared" si="6"/>
        <v>0</v>
      </c>
      <c r="S60" s="1082">
        <f t="shared" si="7"/>
        <v>0</v>
      </c>
      <c r="T60" s="262"/>
      <c r="U60" s="550"/>
      <c r="V60" s="138"/>
      <c r="W60" s="2626"/>
      <c r="X60" s="2596"/>
      <c r="Y60" s="2852"/>
      <c r="Z60" s="138"/>
      <c r="AA60" s="137"/>
      <c r="AB60" s="260"/>
      <c r="AC60" s="262"/>
      <c r="AD60" s="550"/>
      <c r="AE60" s="138"/>
      <c r="AF60" s="1081"/>
      <c r="AG60" s="2812"/>
      <c r="AH60" s="2932"/>
      <c r="AI60" s="1079"/>
      <c r="AJ60" s="1080"/>
      <c r="AK60" s="1079"/>
      <c r="AL60" s="214"/>
      <c r="AM60" s="214"/>
      <c r="AN60" s="214"/>
      <c r="AO60" s="214"/>
    </row>
    <row r="61" spans="1:41" x14ac:dyDescent="0.2">
      <c r="A61" s="3241" t="s">
        <v>280</v>
      </c>
      <c r="B61" s="2574"/>
      <c r="C61" s="138"/>
      <c r="D61" s="137"/>
      <c r="E61" s="138"/>
      <c r="F61" s="137"/>
      <c r="G61" s="138"/>
      <c r="H61" s="137"/>
      <c r="I61" s="138"/>
      <c r="J61" s="137"/>
      <c r="K61" s="138"/>
      <c r="L61" s="137"/>
      <c r="M61" s="138"/>
      <c r="N61" s="871">
        <f t="shared" si="2"/>
        <v>0</v>
      </c>
      <c r="O61" s="846">
        <f t="shared" si="3"/>
        <v>0</v>
      </c>
      <c r="P61" s="871">
        <f t="shared" si="4"/>
        <v>0</v>
      </c>
      <c r="Q61" s="846">
        <f t="shared" si="5"/>
        <v>0</v>
      </c>
      <c r="R61" s="577">
        <f t="shared" si="6"/>
        <v>0</v>
      </c>
      <c r="S61" s="1082">
        <f t="shared" si="7"/>
        <v>0</v>
      </c>
      <c r="T61" s="262"/>
      <c r="U61" s="550"/>
      <c r="V61" s="138"/>
      <c r="W61" s="2626"/>
      <c r="X61" s="2596"/>
      <c r="Y61" s="2852"/>
      <c r="Z61" s="138"/>
      <c r="AA61" s="137"/>
      <c r="AB61" s="260"/>
      <c r="AC61" s="262"/>
      <c r="AD61" s="550"/>
      <c r="AE61" s="138"/>
      <c r="AF61" s="1081"/>
      <c r="AG61" s="2812"/>
      <c r="AH61" s="2932"/>
      <c r="AI61" s="1079"/>
      <c r="AJ61" s="1080"/>
      <c r="AK61" s="1079"/>
      <c r="AL61" s="214"/>
      <c r="AM61" s="214"/>
      <c r="AN61" s="214"/>
      <c r="AO61" s="214"/>
    </row>
    <row r="62" spans="1:41" x14ac:dyDescent="0.2">
      <c r="A62" s="3492" t="s">
        <v>281</v>
      </c>
      <c r="B62" s="2574"/>
      <c r="C62" s="138"/>
      <c r="D62" s="137"/>
      <c r="E62" s="138"/>
      <c r="F62" s="137"/>
      <c r="G62" s="138"/>
      <c r="H62" s="137"/>
      <c r="I62" s="138"/>
      <c r="J62" s="137"/>
      <c r="K62" s="138"/>
      <c r="L62" s="137"/>
      <c r="M62" s="138"/>
      <c r="N62" s="871">
        <f t="shared" si="2"/>
        <v>0</v>
      </c>
      <c r="O62" s="846">
        <f t="shared" si="3"/>
        <v>0</v>
      </c>
      <c r="P62" s="871">
        <f t="shared" si="4"/>
        <v>0</v>
      </c>
      <c r="Q62" s="846">
        <f t="shared" si="5"/>
        <v>0</v>
      </c>
      <c r="R62" s="577">
        <f t="shared" si="6"/>
        <v>0</v>
      </c>
      <c r="S62" s="1082">
        <f t="shared" si="7"/>
        <v>0</v>
      </c>
      <c r="T62" s="262"/>
      <c r="U62" s="550"/>
      <c r="V62" s="138"/>
      <c r="W62" s="2626"/>
      <c r="X62" s="2596"/>
      <c r="Y62" s="2852"/>
      <c r="Z62" s="138"/>
      <c r="AA62" s="137"/>
      <c r="AB62" s="260"/>
      <c r="AC62" s="262"/>
      <c r="AD62" s="550"/>
      <c r="AE62" s="138"/>
      <c r="AF62" s="1081"/>
      <c r="AG62" s="2812"/>
      <c r="AH62" s="2932"/>
      <c r="AI62" s="1079"/>
      <c r="AJ62" s="1080"/>
      <c r="AK62" s="1079"/>
      <c r="AL62" s="214"/>
      <c r="AM62" s="214"/>
      <c r="AN62" s="214"/>
      <c r="AO62" s="214"/>
    </row>
    <row r="63" spans="1:41" x14ac:dyDescent="0.2">
      <c r="A63" s="3492" t="s">
        <v>282</v>
      </c>
      <c r="B63" s="2574"/>
      <c r="C63" s="138"/>
      <c r="D63" s="137"/>
      <c r="E63" s="138"/>
      <c r="F63" s="137"/>
      <c r="G63" s="138"/>
      <c r="H63" s="137"/>
      <c r="I63" s="138"/>
      <c r="J63" s="137"/>
      <c r="K63" s="138"/>
      <c r="L63" s="137"/>
      <c r="M63" s="138"/>
      <c r="N63" s="871">
        <f t="shared" si="2"/>
        <v>0</v>
      </c>
      <c r="O63" s="846">
        <f t="shared" si="3"/>
        <v>0</v>
      </c>
      <c r="P63" s="871">
        <f t="shared" si="4"/>
        <v>0</v>
      </c>
      <c r="Q63" s="846">
        <f t="shared" si="5"/>
        <v>0</v>
      </c>
      <c r="R63" s="577">
        <f t="shared" si="6"/>
        <v>0</v>
      </c>
      <c r="S63" s="1082">
        <f t="shared" si="7"/>
        <v>0</v>
      </c>
      <c r="T63" s="262"/>
      <c r="U63" s="550"/>
      <c r="V63" s="138"/>
      <c r="W63" s="2626"/>
      <c r="X63" s="2596"/>
      <c r="Y63" s="2852"/>
      <c r="Z63" s="138"/>
      <c r="AA63" s="137"/>
      <c r="AB63" s="260"/>
      <c r="AC63" s="262"/>
      <c r="AD63" s="550"/>
      <c r="AE63" s="138"/>
      <c r="AF63" s="1081"/>
      <c r="AG63" s="2812"/>
      <c r="AH63" s="2932"/>
      <c r="AI63" s="1079"/>
      <c r="AJ63" s="1080"/>
      <c r="AK63" s="1079"/>
      <c r="AL63" s="214"/>
      <c r="AM63" s="214"/>
      <c r="AN63" s="214"/>
      <c r="AO63" s="214"/>
    </row>
    <row r="64" spans="1:41" x14ac:dyDescent="0.2">
      <c r="A64" s="3492" t="s">
        <v>462</v>
      </c>
      <c r="B64" s="2574"/>
      <c r="C64" s="138"/>
      <c r="D64" s="137"/>
      <c r="E64" s="138"/>
      <c r="F64" s="137"/>
      <c r="G64" s="138"/>
      <c r="H64" s="137"/>
      <c r="I64" s="138"/>
      <c r="J64" s="137"/>
      <c r="K64" s="138"/>
      <c r="L64" s="137"/>
      <c r="M64" s="138"/>
      <c r="N64" s="871">
        <f t="shared" si="2"/>
        <v>0</v>
      </c>
      <c r="O64" s="846">
        <f t="shared" si="3"/>
        <v>0</v>
      </c>
      <c r="P64" s="871">
        <f t="shared" si="4"/>
        <v>0</v>
      </c>
      <c r="Q64" s="846">
        <f t="shared" si="5"/>
        <v>0</v>
      </c>
      <c r="R64" s="577">
        <f t="shared" si="6"/>
        <v>0</v>
      </c>
      <c r="S64" s="1082">
        <f t="shared" si="7"/>
        <v>0</v>
      </c>
      <c r="T64" s="262"/>
      <c r="U64" s="550"/>
      <c r="V64" s="138"/>
      <c r="W64" s="2626"/>
      <c r="X64" s="2596"/>
      <c r="Y64" s="2852"/>
      <c r="Z64" s="138"/>
      <c r="AA64" s="137"/>
      <c r="AB64" s="260"/>
      <c r="AC64" s="262"/>
      <c r="AD64" s="550"/>
      <c r="AE64" s="138"/>
      <c r="AF64" s="1081"/>
      <c r="AG64" s="2812"/>
      <c r="AH64" s="2932"/>
      <c r="AI64" s="1079"/>
      <c r="AJ64" s="1080"/>
      <c r="AK64" s="1079"/>
      <c r="AL64" s="214"/>
      <c r="AM64" s="214"/>
      <c r="AN64" s="214"/>
      <c r="AO64" s="214"/>
    </row>
    <row r="65" spans="1:41" x14ac:dyDescent="0.2">
      <c r="A65" s="2918" t="s">
        <v>38</v>
      </c>
      <c r="B65" s="2574"/>
      <c r="C65" s="138"/>
      <c r="D65" s="137"/>
      <c r="E65" s="138"/>
      <c r="F65" s="137"/>
      <c r="G65" s="138"/>
      <c r="H65" s="137"/>
      <c r="I65" s="138"/>
      <c r="J65" s="137"/>
      <c r="K65" s="138"/>
      <c r="L65" s="137"/>
      <c r="M65" s="138"/>
      <c r="N65" s="871">
        <f t="shared" si="2"/>
        <v>0</v>
      </c>
      <c r="O65" s="846">
        <f t="shared" si="3"/>
        <v>0</v>
      </c>
      <c r="P65" s="871">
        <f t="shared" si="4"/>
        <v>0</v>
      </c>
      <c r="Q65" s="846">
        <f t="shared" si="5"/>
        <v>0</v>
      </c>
      <c r="R65" s="577">
        <f t="shared" si="6"/>
        <v>0</v>
      </c>
      <c r="S65" s="1082">
        <f t="shared" si="7"/>
        <v>0</v>
      </c>
      <c r="T65" s="262"/>
      <c r="U65" s="550"/>
      <c r="V65" s="138"/>
      <c r="W65" s="2626"/>
      <c r="X65" s="2596"/>
      <c r="Y65" s="2852"/>
      <c r="Z65" s="138"/>
      <c r="AA65" s="137"/>
      <c r="AB65" s="260"/>
      <c r="AC65" s="262"/>
      <c r="AD65" s="550"/>
      <c r="AE65" s="138"/>
      <c r="AF65" s="1081"/>
      <c r="AG65" s="2812"/>
      <c r="AH65" s="2932"/>
      <c r="AI65" s="1079"/>
      <c r="AJ65" s="1080"/>
      <c r="AK65" s="1079"/>
      <c r="AL65" s="214"/>
      <c r="AM65" s="214"/>
      <c r="AN65" s="214"/>
      <c r="AO65" s="214"/>
    </row>
    <row r="66" spans="1:41" x14ac:dyDescent="0.2">
      <c r="A66" s="2918" t="s">
        <v>37</v>
      </c>
      <c r="B66" s="2574"/>
      <c r="C66" s="138"/>
      <c r="D66" s="137"/>
      <c r="E66" s="138"/>
      <c r="F66" s="137"/>
      <c r="G66" s="138"/>
      <c r="H66" s="137"/>
      <c r="I66" s="138"/>
      <c r="J66" s="137"/>
      <c r="K66" s="138"/>
      <c r="L66" s="137"/>
      <c r="M66" s="138"/>
      <c r="N66" s="871">
        <f t="shared" si="2"/>
        <v>0</v>
      </c>
      <c r="O66" s="846">
        <f t="shared" si="3"/>
        <v>0</v>
      </c>
      <c r="P66" s="871">
        <f t="shared" si="4"/>
        <v>0</v>
      </c>
      <c r="Q66" s="846">
        <f t="shared" si="5"/>
        <v>0</v>
      </c>
      <c r="R66" s="577">
        <f t="shared" si="6"/>
        <v>0</v>
      </c>
      <c r="S66" s="1082">
        <f t="shared" si="7"/>
        <v>0</v>
      </c>
      <c r="T66" s="262"/>
      <c r="U66" s="550"/>
      <c r="V66" s="138"/>
      <c r="W66" s="2626"/>
      <c r="X66" s="2596"/>
      <c r="Y66" s="2852"/>
      <c r="Z66" s="138"/>
      <c r="AA66" s="137"/>
      <c r="AB66" s="260"/>
      <c r="AC66" s="262"/>
      <c r="AD66" s="550"/>
      <c r="AE66" s="138"/>
      <c r="AF66" s="1081"/>
      <c r="AG66" s="2812"/>
      <c r="AH66" s="2932"/>
      <c r="AI66" s="1079"/>
      <c r="AJ66" s="1080"/>
      <c r="AK66" s="1079"/>
      <c r="AL66" s="214"/>
      <c r="AM66" s="214"/>
      <c r="AN66" s="214"/>
      <c r="AO66" s="214"/>
    </row>
    <row r="67" spans="1:41" x14ac:dyDescent="0.2">
      <c r="A67" s="2918" t="s">
        <v>283</v>
      </c>
      <c r="B67" s="2574"/>
      <c r="C67" s="138"/>
      <c r="D67" s="137"/>
      <c r="E67" s="138"/>
      <c r="F67" s="137"/>
      <c r="G67" s="138"/>
      <c r="H67" s="137"/>
      <c r="I67" s="138"/>
      <c r="J67" s="137"/>
      <c r="K67" s="138"/>
      <c r="L67" s="137"/>
      <c r="M67" s="138"/>
      <c r="N67" s="871">
        <f t="shared" si="2"/>
        <v>0</v>
      </c>
      <c r="O67" s="846">
        <f t="shared" si="3"/>
        <v>0</v>
      </c>
      <c r="P67" s="871">
        <f t="shared" si="4"/>
        <v>0</v>
      </c>
      <c r="Q67" s="846">
        <f t="shared" si="5"/>
        <v>0</v>
      </c>
      <c r="R67" s="577">
        <f t="shared" si="6"/>
        <v>0</v>
      </c>
      <c r="S67" s="1082">
        <f t="shared" si="7"/>
        <v>0</v>
      </c>
      <c r="T67" s="262"/>
      <c r="U67" s="550"/>
      <c r="V67" s="138"/>
      <c r="W67" s="2626"/>
      <c r="X67" s="2596"/>
      <c r="Y67" s="2852"/>
      <c r="Z67" s="138"/>
      <c r="AA67" s="137"/>
      <c r="AB67" s="260"/>
      <c r="AC67" s="262"/>
      <c r="AD67" s="550"/>
      <c r="AE67" s="138"/>
      <c r="AF67" s="1081"/>
      <c r="AG67" s="2812"/>
      <c r="AH67" s="2932"/>
      <c r="AI67" s="1079"/>
      <c r="AJ67" s="1080"/>
      <c r="AK67" s="1079"/>
      <c r="AL67" s="214"/>
      <c r="AM67" s="214"/>
      <c r="AN67" s="214"/>
      <c r="AO67" s="214"/>
    </row>
    <row r="68" spans="1:41" x14ac:dyDescent="0.2">
      <c r="A68" s="2918" t="s">
        <v>463</v>
      </c>
      <c r="B68" s="2574"/>
      <c r="C68" s="138"/>
      <c r="D68" s="137"/>
      <c r="E68" s="138"/>
      <c r="F68" s="137"/>
      <c r="G68" s="138"/>
      <c r="H68" s="137"/>
      <c r="I68" s="138"/>
      <c r="J68" s="137"/>
      <c r="K68" s="138"/>
      <c r="L68" s="137"/>
      <c r="M68" s="138"/>
      <c r="N68" s="871">
        <f t="shared" si="2"/>
        <v>0</v>
      </c>
      <c r="O68" s="846">
        <f t="shared" si="3"/>
        <v>0</v>
      </c>
      <c r="P68" s="871">
        <f t="shared" si="4"/>
        <v>0</v>
      </c>
      <c r="Q68" s="846">
        <f t="shared" si="5"/>
        <v>0</v>
      </c>
      <c r="R68" s="577">
        <f t="shared" si="6"/>
        <v>0</v>
      </c>
      <c r="S68" s="1082">
        <f t="shared" si="7"/>
        <v>0</v>
      </c>
      <c r="T68" s="262"/>
      <c r="U68" s="550"/>
      <c r="V68" s="138"/>
      <c r="W68" s="2626"/>
      <c r="X68" s="2596"/>
      <c r="Y68" s="2852"/>
      <c r="Z68" s="138"/>
      <c r="AA68" s="137"/>
      <c r="AB68" s="260"/>
      <c r="AC68" s="262"/>
      <c r="AD68" s="550"/>
      <c r="AE68" s="138"/>
      <c r="AF68" s="1081"/>
      <c r="AG68" s="2812"/>
      <c r="AH68" s="2932"/>
      <c r="AI68" s="1079"/>
      <c r="AJ68" s="1080"/>
      <c r="AK68" s="1079"/>
      <c r="AL68" s="214"/>
      <c r="AM68" s="214"/>
      <c r="AN68" s="214"/>
      <c r="AO68" s="214"/>
    </row>
    <row r="69" spans="1:41" x14ac:dyDescent="0.2">
      <c r="A69" s="2918" t="s">
        <v>284</v>
      </c>
      <c r="B69" s="2574"/>
      <c r="C69" s="138"/>
      <c r="D69" s="137"/>
      <c r="E69" s="138"/>
      <c r="F69" s="137"/>
      <c r="G69" s="138"/>
      <c r="H69" s="137"/>
      <c r="I69" s="138"/>
      <c r="J69" s="137"/>
      <c r="K69" s="138"/>
      <c r="L69" s="137"/>
      <c r="M69" s="138"/>
      <c r="N69" s="871">
        <f t="shared" si="2"/>
        <v>0</v>
      </c>
      <c r="O69" s="846">
        <f t="shared" si="3"/>
        <v>0</v>
      </c>
      <c r="P69" s="871">
        <f t="shared" si="4"/>
        <v>0</v>
      </c>
      <c r="Q69" s="846">
        <f t="shared" si="5"/>
        <v>0</v>
      </c>
      <c r="R69" s="577">
        <f t="shared" si="6"/>
        <v>0</v>
      </c>
      <c r="S69" s="1082">
        <f t="shared" si="7"/>
        <v>0</v>
      </c>
      <c r="T69" s="262"/>
      <c r="U69" s="550"/>
      <c r="V69" s="138"/>
      <c r="W69" s="2626"/>
      <c r="X69" s="2596"/>
      <c r="Y69" s="2852"/>
      <c r="Z69" s="138"/>
      <c r="AA69" s="137"/>
      <c r="AB69" s="260"/>
      <c r="AC69" s="262"/>
      <c r="AD69" s="550"/>
      <c r="AE69" s="138"/>
      <c r="AF69" s="1081"/>
      <c r="AG69" s="2812"/>
      <c r="AH69" s="2932"/>
      <c r="AI69" s="1079"/>
      <c r="AJ69" s="1080"/>
      <c r="AK69" s="1079"/>
      <c r="AL69" s="214"/>
      <c r="AM69" s="214"/>
      <c r="AN69" s="214"/>
      <c r="AO69" s="214"/>
    </row>
    <row r="70" spans="1:41" x14ac:dyDescent="0.2">
      <c r="A70" s="2918" t="s">
        <v>464</v>
      </c>
      <c r="B70" s="2574"/>
      <c r="C70" s="138"/>
      <c r="D70" s="137"/>
      <c r="E70" s="138"/>
      <c r="F70" s="137"/>
      <c r="G70" s="138"/>
      <c r="H70" s="137"/>
      <c r="I70" s="138"/>
      <c r="J70" s="137"/>
      <c r="K70" s="138"/>
      <c r="L70" s="137"/>
      <c r="M70" s="138"/>
      <c r="N70" s="871">
        <f t="shared" si="2"/>
        <v>0</v>
      </c>
      <c r="O70" s="846">
        <f t="shared" si="3"/>
        <v>0</v>
      </c>
      <c r="P70" s="871">
        <f t="shared" si="4"/>
        <v>0</v>
      </c>
      <c r="Q70" s="846">
        <f t="shared" si="5"/>
        <v>0</v>
      </c>
      <c r="R70" s="577">
        <f t="shared" si="6"/>
        <v>0</v>
      </c>
      <c r="S70" s="1082">
        <f t="shared" si="7"/>
        <v>0</v>
      </c>
      <c r="T70" s="262"/>
      <c r="U70" s="550"/>
      <c r="V70" s="138"/>
      <c r="W70" s="2626"/>
      <c r="X70" s="2596"/>
      <c r="Y70" s="2852"/>
      <c r="Z70" s="138"/>
      <c r="AA70" s="137"/>
      <c r="AB70" s="260"/>
      <c r="AC70" s="262"/>
      <c r="AD70" s="550"/>
      <c r="AE70" s="138"/>
      <c r="AF70" s="1081"/>
      <c r="AG70" s="2812"/>
      <c r="AH70" s="2932"/>
      <c r="AI70" s="1079"/>
      <c r="AJ70" s="1080"/>
      <c r="AK70" s="1079"/>
      <c r="AL70" s="214"/>
      <c r="AM70" s="214"/>
      <c r="AN70" s="214"/>
      <c r="AO70" s="214"/>
    </row>
    <row r="71" spans="1:41" x14ac:dyDescent="0.2">
      <c r="A71" s="2918" t="s">
        <v>3577</v>
      </c>
      <c r="B71" s="2574"/>
      <c r="C71" s="138"/>
      <c r="D71" s="137"/>
      <c r="E71" s="138"/>
      <c r="F71" s="137"/>
      <c r="G71" s="138"/>
      <c r="H71" s="137"/>
      <c r="I71" s="138"/>
      <c r="J71" s="137"/>
      <c r="K71" s="138"/>
      <c r="L71" s="137"/>
      <c r="M71" s="138"/>
      <c r="N71" s="871">
        <f t="shared" si="2"/>
        <v>0</v>
      </c>
      <c r="O71" s="846">
        <f t="shared" si="3"/>
        <v>0</v>
      </c>
      <c r="P71" s="871">
        <f t="shared" si="4"/>
        <v>0</v>
      </c>
      <c r="Q71" s="846">
        <f t="shared" si="5"/>
        <v>0</v>
      </c>
      <c r="R71" s="577">
        <f t="shared" si="6"/>
        <v>0</v>
      </c>
      <c r="S71" s="1082">
        <f t="shared" si="7"/>
        <v>0</v>
      </c>
      <c r="T71" s="262"/>
      <c r="U71" s="550"/>
      <c r="V71" s="138"/>
      <c r="W71" s="2626"/>
      <c r="X71" s="2596"/>
      <c r="Y71" s="2852"/>
      <c r="Z71" s="138"/>
      <c r="AA71" s="137"/>
      <c r="AB71" s="260"/>
      <c r="AC71" s="262"/>
      <c r="AD71" s="550"/>
      <c r="AE71" s="138"/>
      <c r="AF71" s="1081"/>
      <c r="AG71" s="2812"/>
      <c r="AH71" s="2932"/>
      <c r="AI71" s="1079"/>
      <c r="AJ71" s="1080"/>
      <c r="AK71" s="1079"/>
      <c r="AL71" s="214"/>
      <c r="AM71" s="214"/>
      <c r="AN71" s="214"/>
      <c r="AO71" s="214"/>
    </row>
    <row r="72" spans="1:41" x14ac:dyDescent="0.2">
      <c r="A72" s="2918" t="s">
        <v>285</v>
      </c>
      <c r="B72" s="2574"/>
      <c r="C72" s="138"/>
      <c r="D72" s="137"/>
      <c r="E72" s="138"/>
      <c r="F72" s="137"/>
      <c r="G72" s="138"/>
      <c r="H72" s="137"/>
      <c r="I72" s="138"/>
      <c r="J72" s="137"/>
      <c r="K72" s="138"/>
      <c r="L72" s="137"/>
      <c r="M72" s="138"/>
      <c r="N72" s="871">
        <f t="shared" si="2"/>
        <v>0</v>
      </c>
      <c r="O72" s="846">
        <f t="shared" si="3"/>
        <v>0</v>
      </c>
      <c r="P72" s="871">
        <f t="shared" si="4"/>
        <v>0</v>
      </c>
      <c r="Q72" s="846">
        <f t="shared" si="5"/>
        <v>0</v>
      </c>
      <c r="R72" s="577">
        <f t="shared" si="6"/>
        <v>0</v>
      </c>
      <c r="S72" s="1082">
        <f t="shared" si="7"/>
        <v>0</v>
      </c>
      <c r="T72" s="262"/>
      <c r="U72" s="550"/>
      <c r="V72" s="138"/>
      <c r="W72" s="2626"/>
      <c r="X72" s="2596"/>
      <c r="Y72" s="2852"/>
      <c r="Z72" s="138"/>
      <c r="AA72" s="137"/>
      <c r="AB72" s="260"/>
      <c r="AC72" s="262"/>
      <c r="AD72" s="550"/>
      <c r="AE72" s="138"/>
      <c r="AF72" s="1081"/>
      <c r="AG72" s="2812"/>
      <c r="AH72" s="2932"/>
      <c r="AI72" s="1079"/>
      <c r="AJ72" s="1080"/>
      <c r="AK72" s="1079"/>
      <c r="AL72" s="214"/>
      <c r="AM72" s="214"/>
      <c r="AN72" s="214"/>
      <c r="AO72" s="214"/>
    </row>
    <row r="73" spans="1:41" x14ac:dyDescent="0.2">
      <c r="A73" s="2918" t="s">
        <v>450</v>
      </c>
      <c r="B73" s="2574"/>
      <c r="C73" s="138"/>
      <c r="D73" s="137"/>
      <c r="E73" s="138"/>
      <c r="F73" s="137"/>
      <c r="G73" s="138"/>
      <c r="H73" s="137"/>
      <c r="I73" s="138"/>
      <c r="J73" s="137"/>
      <c r="K73" s="138"/>
      <c r="L73" s="137"/>
      <c r="M73" s="138"/>
      <c r="N73" s="871">
        <f t="shared" si="2"/>
        <v>0</v>
      </c>
      <c r="O73" s="846">
        <f t="shared" si="3"/>
        <v>0</v>
      </c>
      <c r="P73" s="871">
        <f t="shared" si="4"/>
        <v>0</v>
      </c>
      <c r="Q73" s="846">
        <f t="shared" si="5"/>
        <v>0</v>
      </c>
      <c r="R73" s="577">
        <f t="shared" si="6"/>
        <v>0</v>
      </c>
      <c r="S73" s="1082">
        <f t="shared" si="7"/>
        <v>0</v>
      </c>
      <c r="T73" s="262"/>
      <c r="U73" s="550"/>
      <c r="V73" s="138"/>
      <c r="W73" s="2626"/>
      <c r="X73" s="2596"/>
      <c r="Y73" s="2852"/>
      <c r="Z73" s="138"/>
      <c r="AA73" s="137"/>
      <c r="AB73" s="260"/>
      <c r="AC73" s="262"/>
      <c r="AD73" s="550"/>
      <c r="AE73" s="138"/>
      <c r="AF73" s="1081"/>
      <c r="AG73" s="2812"/>
      <c r="AH73" s="2932"/>
      <c r="AI73" s="1079"/>
      <c r="AJ73" s="1080"/>
      <c r="AK73" s="1079"/>
      <c r="AL73" s="214"/>
      <c r="AM73" s="214"/>
      <c r="AN73" s="214"/>
      <c r="AO73" s="214"/>
    </row>
    <row r="74" spans="1:41" x14ac:dyDescent="0.2">
      <c r="A74" s="2918" t="s">
        <v>286</v>
      </c>
      <c r="B74" s="2574"/>
      <c r="C74" s="138"/>
      <c r="D74" s="137"/>
      <c r="E74" s="138"/>
      <c r="F74" s="137"/>
      <c r="G74" s="138"/>
      <c r="H74" s="137"/>
      <c r="I74" s="138"/>
      <c r="J74" s="137"/>
      <c r="K74" s="138"/>
      <c r="L74" s="137"/>
      <c r="M74" s="138"/>
      <c r="N74" s="871">
        <f t="shared" si="2"/>
        <v>0</v>
      </c>
      <c r="O74" s="846">
        <f t="shared" si="3"/>
        <v>0</v>
      </c>
      <c r="P74" s="871">
        <f t="shared" si="4"/>
        <v>0</v>
      </c>
      <c r="Q74" s="846">
        <f t="shared" si="5"/>
        <v>0</v>
      </c>
      <c r="R74" s="577">
        <f t="shared" si="6"/>
        <v>0</v>
      </c>
      <c r="S74" s="1082">
        <f t="shared" si="7"/>
        <v>0</v>
      </c>
      <c r="T74" s="262"/>
      <c r="U74" s="550"/>
      <c r="V74" s="138"/>
      <c r="W74" s="2626"/>
      <c r="X74" s="2596"/>
      <c r="Y74" s="2852"/>
      <c r="Z74" s="138"/>
      <c r="AA74" s="137"/>
      <c r="AB74" s="260"/>
      <c r="AC74" s="262"/>
      <c r="AD74" s="550"/>
      <c r="AE74" s="138"/>
      <c r="AF74" s="1081"/>
      <c r="AG74" s="2812"/>
      <c r="AH74" s="2932"/>
      <c r="AI74" s="1079"/>
      <c r="AJ74" s="1080"/>
      <c r="AK74" s="1079"/>
      <c r="AL74" s="214"/>
      <c r="AM74" s="214"/>
      <c r="AN74" s="214"/>
      <c r="AO74" s="214"/>
    </row>
    <row r="75" spans="1:41" x14ac:dyDescent="0.2">
      <c r="A75" s="2984" t="s">
        <v>3817</v>
      </c>
      <c r="B75" s="1880"/>
      <c r="C75" s="122"/>
      <c r="D75" s="110"/>
      <c r="E75" s="122"/>
      <c r="F75" s="110"/>
      <c r="G75" s="122"/>
      <c r="H75" s="110"/>
      <c r="I75" s="122"/>
      <c r="J75" s="110"/>
      <c r="K75" s="122"/>
      <c r="L75" s="110"/>
      <c r="M75" s="122"/>
      <c r="N75" s="811">
        <f t="shared" si="2"/>
        <v>0</v>
      </c>
      <c r="O75" s="847">
        <f t="shared" si="3"/>
        <v>0</v>
      </c>
      <c r="P75" s="811">
        <f t="shared" si="4"/>
        <v>0</v>
      </c>
      <c r="Q75" s="847">
        <f t="shared" si="5"/>
        <v>0</v>
      </c>
      <c r="R75" s="323">
        <f t="shared" si="6"/>
        <v>0</v>
      </c>
      <c r="S75" s="1078">
        <f t="shared" si="7"/>
        <v>0</v>
      </c>
      <c r="T75" s="259"/>
      <c r="U75" s="112"/>
      <c r="V75" s="122"/>
      <c r="W75" s="2911"/>
      <c r="X75" s="2887"/>
      <c r="Y75" s="2915"/>
      <c r="Z75" s="122"/>
      <c r="AA75" s="110"/>
      <c r="AB75" s="197"/>
      <c r="AC75" s="259"/>
      <c r="AD75" s="112"/>
      <c r="AE75" s="122"/>
      <c r="AF75" s="1077"/>
      <c r="AG75" s="2914"/>
      <c r="AH75" s="2933"/>
      <c r="AI75" s="1075"/>
      <c r="AJ75" s="1076"/>
      <c r="AK75" s="1075"/>
      <c r="AL75" s="214"/>
      <c r="AM75" s="214"/>
      <c r="AN75" s="214"/>
      <c r="AO75" s="214"/>
    </row>
    <row r="76" spans="1:41" x14ac:dyDescent="0.2">
      <c r="A76" s="3241" t="s">
        <v>416</v>
      </c>
      <c r="B76" s="1880"/>
      <c r="C76" s="122"/>
      <c r="D76" s="110"/>
      <c r="E76" s="122"/>
      <c r="F76" s="110"/>
      <c r="G76" s="122"/>
      <c r="H76" s="110"/>
      <c r="I76" s="122"/>
      <c r="J76" s="110"/>
      <c r="K76" s="122"/>
      <c r="L76" s="110"/>
      <c r="M76" s="122"/>
      <c r="N76" s="811">
        <f t="shared" si="2"/>
        <v>0</v>
      </c>
      <c r="O76" s="847">
        <f t="shared" si="3"/>
        <v>0</v>
      </c>
      <c r="P76" s="811">
        <f t="shared" si="4"/>
        <v>0</v>
      </c>
      <c r="Q76" s="847">
        <f t="shared" si="5"/>
        <v>0</v>
      </c>
      <c r="R76" s="323">
        <f t="shared" si="6"/>
        <v>0</v>
      </c>
      <c r="S76" s="1078">
        <f t="shared" si="7"/>
        <v>0</v>
      </c>
      <c r="T76" s="259"/>
      <c r="U76" s="112"/>
      <c r="V76" s="122"/>
      <c r="W76" s="2911"/>
      <c r="X76" s="2887"/>
      <c r="Y76" s="2915"/>
      <c r="Z76" s="122"/>
      <c r="AA76" s="110"/>
      <c r="AB76" s="197"/>
      <c r="AC76" s="259"/>
      <c r="AD76" s="112"/>
      <c r="AE76" s="122"/>
      <c r="AF76" s="1077"/>
      <c r="AG76" s="2914"/>
      <c r="AH76" s="2933"/>
      <c r="AI76" s="1075"/>
      <c r="AJ76" s="1076"/>
      <c r="AK76" s="1075"/>
      <c r="AL76" s="214"/>
      <c r="AM76" s="214"/>
      <c r="AN76" s="214"/>
      <c r="AO76" s="214"/>
    </row>
    <row r="77" spans="1:41" x14ac:dyDescent="0.2">
      <c r="A77" s="2990" t="s">
        <v>417</v>
      </c>
      <c r="B77" s="2888"/>
      <c r="C77" s="101"/>
      <c r="D77" s="125"/>
      <c r="E77" s="101"/>
      <c r="F77" s="125"/>
      <c r="G77" s="101"/>
      <c r="H77" s="125"/>
      <c r="I77" s="101"/>
      <c r="J77" s="125"/>
      <c r="K77" s="101"/>
      <c r="L77" s="125"/>
      <c r="M77" s="101"/>
      <c r="N77" s="822">
        <f t="shared" si="2"/>
        <v>0</v>
      </c>
      <c r="O77" s="1359">
        <f t="shared" si="3"/>
        <v>0</v>
      </c>
      <c r="P77" s="822">
        <f t="shared" si="4"/>
        <v>0</v>
      </c>
      <c r="Q77" s="1359">
        <f t="shared" si="5"/>
        <v>0</v>
      </c>
      <c r="R77" s="1357">
        <f t="shared" si="6"/>
        <v>0</v>
      </c>
      <c r="S77" s="1074">
        <f t="shared" si="7"/>
        <v>0</v>
      </c>
      <c r="T77" s="264"/>
      <c r="U77" s="173"/>
      <c r="V77" s="101"/>
      <c r="W77" s="2892"/>
      <c r="X77" s="2884"/>
      <c r="Y77" s="2533"/>
      <c r="Z77" s="101"/>
      <c r="AA77" s="125"/>
      <c r="AB77" s="198"/>
      <c r="AC77" s="264"/>
      <c r="AD77" s="173"/>
      <c r="AE77" s="101"/>
      <c r="AF77" s="1073"/>
      <c r="AG77" s="2912"/>
      <c r="AH77" s="2934"/>
      <c r="AI77" s="1071"/>
      <c r="AJ77" s="1072"/>
      <c r="AK77" s="1071"/>
      <c r="AL77" s="214"/>
      <c r="AM77" s="214"/>
      <c r="AN77" s="214"/>
      <c r="AO77" s="214"/>
    </row>
    <row r="78" spans="1:41" ht="32.1" customHeight="1" x14ac:dyDescent="0.2">
      <c r="A78" s="798" t="s">
        <v>3686</v>
      </c>
      <c r="B78" s="739"/>
      <c r="C78" s="739"/>
      <c r="D78" s="153"/>
      <c r="E78" s="153"/>
      <c r="F78" s="153"/>
      <c r="G78" s="153"/>
      <c r="H78" s="288"/>
      <c r="I78" s="288"/>
      <c r="J78" s="288"/>
      <c r="K78" s="291"/>
      <c r="L78" s="291"/>
      <c r="M78" s="291"/>
      <c r="N78" s="288"/>
      <c r="O78" s="291"/>
      <c r="P78" s="291"/>
      <c r="Q78" s="291"/>
      <c r="R78" s="190"/>
      <c r="S78" s="190"/>
      <c r="T78" s="190"/>
      <c r="U78" s="190"/>
      <c r="V78" s="190"/>
      <c r="W78" s="190"/>
      <c r="X78" s="190"/>
      <c r="Y78" s="190"/>
      <c r="Z78" s="190"/>
      <c r="AA78" s="190"/>
      <c r="AB78" s="190"/>
      <c r="AC78" s="190"/>
      <c r="AD78" s="190"/>
      <c r="AE78" s="190"/>
      <c r="AF78" s="190"/>
      <c r="AG78" s="190"/>
    </row>
    <row r="79" spans="1:41" ht="47.25" customHeight="1" x14ac:dyDescent="0.2">
      <c r="A79" s="8186" t="s">
        <v>2666</v>
      </c>
      <c r="B79" s="10526" t="s">
        <v>2667</v>
      </c>
      <c r="C79" s="10527"/>
      <c r="D79" s="10527"/>
      <c r="E79" s="10527"/>
      <c r="F79" s="10527"/>
      <c r="G79" s="10529"/>
      <c r="H79" s="10579" t="s">
        <v>1349</v>
      </c>
      <c r="I79" s="8216"/>
      <c r="J79" s="10580"/>
      <c r="K79" s="10530" t="s">
        <v>2668</v>
      </c>
      <c r="L79" s="10527"/>
      <c r="M79" s="10527"/>
      <c r="N79" s="10527"/>
      <c r="O79" s="10527"/>
      <c r="P79" s="10528"/>
    </row>
    <row r="80" spans="1:41" ht="14.25" customHeight="1" x14ac:dyDescent="0.2">
      <c r="A80" s="8161"/>
      <c r="B80" s="10542" t="s">
        <v>2686</v>
      </c>
      <c r="C80" s="10521"/>
      <c r="D80" s="10543" t="s">
        <v>33</v>
      </c>
      <c r="E80" s="10521"/>
      <c r="F80" s="10290" t="s">
        <v>2687</v>
      </c>
      <c r="G80" s="10292"/>
      <c r="H80" s="1446" t="s">
        <v>1762</v>
      </c>
      <c r="I80" s="10526" t="s">
        <v>1735</v>
      </c>
      <c r="J80" s="10529"/>
      <c r="K80" s="10542" t="s">
        <v>2686</v>
      </c>
      <c r="L80" s="10521"/>
      <c r="M80" s="10543" t="s">
        <v>33</v>
      </c>
      <c r="N80" s="10521"/>
      <c r="O80" s="10543" t="s">
        <v>2687</v>
      </c>
      <c r="P80" s="10521"/>
    </row>
    <row r="81" spans="1:37" ht="24" customHeight="1" x14ac:dyDescent="0.2">
      <c r="A81" s="8187"/>
      <c r="B81" s="1067" t="s">
        <v>706</v>
      </c>
      <c r="C81" s="1064" t="s">
        <v>18</v>
      </c>
      <c r="D81" s="2923" t="s">
        <v>17</v>
      </c>
      <c r="E81" s="2924" t="s">
        <v>18</v>
      </c>
      <c r="F81" s="2926" t="s">
        <v>17</v>
      </c>
      <c r="G81" s="584" t="s">
        <v>18</v>
      </c>
      <c r="H81" s="1446" t="s">
        <v>1734</v>
      </c>
      <c r="I81" s="2133" t="s">
        <v>1733</v>
      </c>
      <c r="J81" s="1446" t="s">
        <v>1732</v>
      </c>
      <c r="K81" s="2928" t="s">
        <v>17</v>
      </c>
      <c r="L81" s="2924" t="s">
        <v>18</v>
      </c>
      <c r="M81" s="2926" t="s">
        <v>17</v>
      </c>
      <c r="N81" s="1064" t="s">
        <v>18</v>
      </c>
      <c r="O81" s="940" t="s">
        <v>17</v>
      </c>
      <c r="P81" s="1064" t="s">
        <v>18</v>
      </c>
    </row>
    <row r="82" spans="1:37" x14ac:dyDescent="0.2">
      <c r="A82" s="2940" t="s">
        <v>1761</v>
      </c>
      <c r="B82" s="1305"/>
      <c r="C82" s="1324"/>
      <c r="D82" s="2937"/>
      <c r="E82" s="2930"/>
      <c r="F82" s="2927"/>
      <c r="G82" s="1325"/>
      <c r="H82" s="1326"/>
      <c r="I82" s="1305"/>
      <c r="J82" s="1324"/>
      <c r="K82" s="2929"/>
      <c r="L82" s="2930"/>
      <c r="M82" s="2927"/>
      <c r="N82" s="1324"/>
      <c r="O82" s="1305"/>
      <c r="P82" s="1324"/>
    </row>
    <row r="83" spans="1:37" x14ac:dyDescent="0.2">
      <c r="A83" s="2941" t="s">
        <v>1760</v>
      </c>
      <c r="B83" s="1307"/>
      <c r="C83" s="1327"/>
      <c r="D83" s="2885"/>
      <c r="E83" s="2887"/>
      <c r="F83" s="2915"/>
      <c r="G83" s="1328"/>
      <c r="H83" s="1327"/>
      <c r="I83" s="1307"/>
      <c r="J83" s="1327"/>
      <c r="K83" s="2911"/>
      <c r="L83" s="2887"/>
      <c r="M83" s="2915"/>
      <c r="N83" s="1327"/>
      <c r="O83" s="1307"/>
      <c r="P83" s="1327"/>
    </row>
    <row r="84" spans="1:37" ht="18" customHeight="1" x14ac:dyDescent="0.2">
      <c r="A84" s="2942" t="s">
        <v>1759</v>
      </c>
      <c r="B84" s="1321"/>
      <c r="C84" s="1322"/>
      <c r="D84" s="2938"/>
      <c r="E84" s="1115"/>
      <c r="F84" s="2936"/>
      <c r="G84" s="1323"/>
      <c r="H84" s="1322"/>
      <c r="I84" s="1234"/>
      <c r="J84" s="1322"/>
      <c r="K84" s="2939"/>
      <c r="L84" s="1115"/>
      <c r="M84" s="2936"/>
      <c r="N84" s="1322"/>
      <c r="O84" s="1234"/>
      <c r="P84" s="1322"/>
    </row>
    <row r="85" spans="1:37" ht="32.1" customHeight="1" x14ac:dyDescent="0.2">
      <c r="A85" s="746" t="s">
        <v>1758</v>
      </c>
      <c r="B85" s="153"/>
      <c r="C85" s="153"/>
      <c r="D85" s="153"/>
      <c r="E85" s="153"/>
      <c r="F85" s="140"/>
      <c r="G85" s="153"/>
      <c r="H85" s="140"/>
      <c r="I85" s="140"/>
      <c r="J85" s="140"/>
      <c r="K85" s="190"/>
      <c r="L85" s="190"/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</row>
    <row r="86" spans="1:37" ht="24" customHeight="1" x14ac:dyDescent="0.2">
      <c r="A86" s="10562" t="s">
        <v>2669</v>
      </c>
      <c r="B86" s="10526" t="s">
        <v>1757</v>
      </c>
      <c r="C86" s="10527"/>
      <c r="D86" s="10527"/>
      <c r="E86" s="10527"/>
      <c r="F86" s="10527"/>
      <c r="G86" s="10527"/>
      <c r="H86" s="10527"/>
      <c r="I86" s="10527"/>
      <c r="J86" s="10529"/>
      <c r="K86" s="10530" t="s">
        <v>1741</v>
      </c>
      <c r="L86" s="10527"/>
      <c r="M86" s="10527"/>
      <c r="N86" s="10527"/>
      <c r="O86" s="10527"/>
      <c r="P86" s="10527"/>
      <c r="Q86" s="10527"/>
      <c r="R86" s="10527"/>
      <c r="S86" s="10529"/>
      <c r="T86" s="10584" t="s">
        <v>2670</v>
      </c>
      <c r="U86" s="10585"/>
      <c r="V86" s="190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  <c r="AG86" s="190"/>
      <c r="AH86" s="190"/>
      <c r="AI86" s="190"/>
      <c r="AJ86" s="190"/>
      <c r="AK86" s="190"/>
    </row>
    <row r="87" spans="1:37" ht="21" customHeight="1" x14ac:dyDescent="0.2">
      <c r="A87" s="10563"/>
      <c r="B87" s="10290" t="s">
        <v>2686</v>
      </c>
      <c r="C87" s="10525"/>
      <c r="D87" s="10290" t="s">
        <v>33</v>
      </c>
      <c r="E87" s="10525"/>
      <c r="F87" s="10291" t="s">
        <v>2687</v>
      </c>
      <c r="G87" s="10292"/>
      <c r="H87" s="10531" t="s">
        <v>1349</v>
      </c>
      <c r="I87" s="10291"/>
      <c r="J87" s="10292"/>
      <c r="K87" s="10531" t="s">
        <v>2686</v>
      </c>
      <c r="L87" s="10525"/>
      <c r="M87" s="10290" t="s">
        <v>33</v>
      </c>
      <c r="N87" s="10525"/>
      <c r="O87" s="10290" t="s">
        <v>2687</v>
      </c>
      <c r="P87" s="10292"/>
      <c r="Q87" s="10531" t="s">
        <v>1349</v>
      </c>
      <c r="R87" s="10291"/>
      <c r="S87" s="10292"/>
      <c r="T87" s="10584"/>
      <c r="U87" s="10585"/>
      <c r="V87" s="190"/>
      <c r="W87" s="190"/>
      <c r="X87" s="190"/>
      <c r="Y87" s="190"/>
      <c r="Z87" s="190"/>
      <c r="AA87" s="190"/>
      <c r="AB87" s="190"/>
      <c r="AC87" s="190"/>
      <c r="AD87" s="190"/>
      <c r="AE87" s="190"/>
      <c r="AF87" s="190"/>
      <c r="AG87" s="190"/>
      <c r="AH87" s="190"/>
      <c r="AI87" s="190"/>
      <c r="AJ87" s="190"/>
      <c r="AK87" s="190"/>
    </row>
    <row r="88" spans="1:37" ht="23.45" customHeight="1" x14ac:dyDescent="0.2">
      <c r="A88" s="10563"/>
      <c r="B88" s="9231" t="s">
        <v>17</v>
      </c>
      <c r="C88" s="9232" t="s">
        <v>18</v>
      </c>
      <c r="D88" s="9231" t="s">
        <v>17</v>
      </c>
      <c r="E88" s="9232" t="s">
        <v>18</v>
      </c>
      <c r="F88" s="8445" t="s">
        <v>17</v>
      </c>
      <c r="G88" s="10537" t="s">
        <v>18</v>
      </c>
      <c r="H88" s="10552" t="s">
        <v>1736</v>
      </c>
      <c r="I88" s="10554" t="s">
        <v>1735</v>
      </c>
      <c r="J88" s="10529"/>
      <c r="K88" s="10547" t="s">
        <v>17</v>
      </c>
      <c r="L88" s="9232" t="s">
        <v>18</v>
      </c>
      <c r="M88" s="8445" t="s">
        <v>17</v>
      </c>
      <c r="N88" s="9232" t="s">
        <v>18</v>
      </c>
      <c r="O88" s="9231" t="s">
        <v>17</v>
      </c>
      <c r="P88" s="10537" t="s">
        <v>18</v>
      </c>
      <c r="Q88" s="10552" t="s">
        <v>1736</v>
      </c>
      <c r="R88" s="10554" t="s">
        <v>1735</v>
      </c>
      <c r="S88" s="10529"/>
      <c r="T88" s="10551" t="s">
        <v>2681</v>
      </c>
      <c r="U88" s="10550" t="s">
        <v>2682</v>
      </c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</row>
    <row r="89" spans="1:37" ht="21" customHeight="1" x14ac:dyDescent="0.2">
      <c r="A89" s="10564"/>
      <c r="B89" s="10538"/>
      <c r="C89" s="10549"/>
      <c r="D89" s="10538"/>
      <c r="E89" s="10549"/>
      <c r="F89" s="9195"/>
      <c r="G89" s="10539"/>
      <c r="H89" s="10553"/>
      <c r="I89" s="2947" t="s">
        <v>1733</v>
      </c>
      <c r="J89" s="2959" t="s">
        <v>1732</v>
      </c>
      <c r="K89" s="10548"/>
      <c r="L89" s="10549"/>
      <c r="M89" s="9195"/>
      <c r="N89" s="10549"/>
      <c r="O89" s="10538"/>
      <c r="P89" s="10539"/>
      <c r="Q89" s="10553"/>
      <c r="R89" s="2947" t="s">
        <v>1733</v>
      </c>
      <c r="S89" s="2959" t="s">
        <v>1732</v>
      </c>
      <c r="T89" s="10551"/>
      <c r="U89" s="1055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</row>
    <row r="90" spans="1:37" ht="21" customHeight="1" x14ac:dyDescent="0.2">
      <c r="A90" s="2960" t="s">
        <v>1756</v>
      </c>
      <c r="B90" s="2943">
        <f>SUM(B91:B103)</f>
        <v>0</v>
      </c>
      <c r="C90" s="2944">
        <f t="shared" ref="C90:S90" si="8">SUM(C91:C103)</f>
        <v>0</v>
      </c>
      <c r="D90" s="2943">
        <f t="shared" si="8"/>
        <v>0</v>
      </c>
      <c r="E90" s="2944">
        <f t="shared" si="8"/>
        <v>0</v>
      </c>
      <c r="F90" s="2922">
        <f>SUM(F91:F103)</f>
        <v>0</v>
      </c>
      <c r="G90" s="2948">
        <f>SUM(G91:G103)</f>
        <v>0</v>
      </c>
      <c r="H90" s="2949">
        <f t="shared" si="8"/>
        <v>0</v>
      </c>
      <c r="I90" s="2950">
        <f t="shared" si="8"/>
        <v>0</v>
      </c>
      <c r="J90" s="2951">
        <f t="shared" si="8"/>
        <v>0</v>
      </c>
      <c r="K90" s="2949">
        <f>SUM(K91:K103)</f>
        <v>0</v>
      </c>
      <c r="L90" s="2956">
        <f>SUM(L91:L103)</f>
        <v>0</v>
      </c>
      <c r="M90" s="2957">
        <f t="shared" si="8"/>
        <v>0</v>
      </c>
      <c r="N90" s="2956">
        <f t="shared" si="8"/>
        <v>0</v>
      </c>
      <c r="O90" s="2922">
        <f t="shared" si="8"/>
        <v>0</v>
      </c>
      <c r="P90" s="2948">
        <f t="shared" si="8"/>
        <v>0</v>
      </c>
      <c r="Q90" s="2922">
        <f t="shared" si="8"/>
        <v>0</v>
      </c>
      <c r="R90" s="2922">
        <f t="shared" si="8"/>
        <v>0</v>
      </c>
      <c r="S90" s="2948">
        <f t="shared" si="8"/>
        <v>0</v>
      </c>
      <c r="T90" s="7154">
        <f>SUM(T91:T103)</f>
        <v>0</v>
      </c>
      <c r="U90" s="7155">
        <f>SUM(U91:U103)</f>
        <v>0</v>
      </c>
      <c r="V90" s="190"/>
      <c r="W90" s="190"/>
      <c r="X90" s="140"/>
      <c r="Y90" s="190"/>
      <c r="Z90" s="190"/>
      <c r="AA90" s="190"/>
      <c r="AB90" s="190"/>
      <c r="AC90" s="190"/>
      <c r="AD90" s="190"/>
      <c r="AE90" s="190"/>
      <c r="AF90" s="190"/>
      <c r="AG90" s="190"/>
      <c r="AH90" s="190"/>
      <c r="AI90" s="190"/>
      <c r="AJ90" s="190"/>
      <c r="AK90" s="190"/>
    </row>
    <row r="91" spans="1:37" ht="14.1" customHeight="1" x14ac:dyDescent="0.2">
      <c r="A91" s="317" t="s">
        <v>1755</v>
      </c>
      <c r="B91" s="824"/>
      <c r="C91" s="2496"/>
      <c r="D91" s="824"/>
      <c r="E91" s="2496"/>
      <c r="F91" s="1828"/>
      <c r="G91" s="2895"/>
      <c r="H91" s="824"/>
      <c r="I91" s="209"/>
      <c r="J91" s="2895"/>
      <c r="K91" s="562"/>
      <c r="L91" s="2496"/>
      <c r="M91" s="1828"/>
      <c r="N91" s="2496"/>
      <c r="O91" s="824"/>
      <c r="P91" s="2895"/>
      <c r="Q91" s="562"/>
      <c r="R91" s="2958"/>
      <c r="S91" s="711"/>
      <c r="T91" s="2955"/>
      <c r="U91" s="2791"/>
      <c r="V91" s="190"/>
      <c r="W91" s="190"/>
      <c r="X91" s="140"/>
      <c r="Y91" s="190"/>
      <c r="Z91" s="190"/>
      <c r="AA91" s="190"/>
      <c r="AB91" s="190"/>
      <c r="AC91" s="190"/>
      <c r="AD91" s="190"/>
      <c r="AE91" s="190"/>
      <c r="AF91" s="190"/>
      <c r="AG91" s="190"/>
      <c r="AH91" s="190"/>
      <c r="AI91" s="190"/>
      <c r="AJ91" s="190"/>
      <c r="AK91" s="190"/>
    </row>
    <row r="92" spans="1:37" ht="14.1" customHeight="1" x14ac:dyDescent="0.2">
      <c r="A92" s="317" t="s">
        <v>1754</v>
      </c>
      <c r="B92" s="2574"/>
      <c r="C92" s="2596"/>
      <c r="D92" s="2574"/>
      <c r="E92" s="2596"/>
      <c r="F92" s="2852"/>
      <c r="G92" s="2894"/>
      <c r="H92" s="2574"/>
      <c r="I92" s="550"/>
      <c r="J92" s="2894"/>
      <c r="K92" s="2626"/>
      <c r="L92" s="2596"/>
      <c r="M92" s="2852"/>
      <c r="N92" s="2596"/>
      <c r="O92" s="2574"/>
      <c r="P92" s="2894"/>
      <c r="Q92" s="2626"/>
      <c r="R92" s="2627"/>
      <c r="S92" s="2611"/>
      <c r="T92" s="2889"/>
      <c r="U92" s="2731"/>
      <c r="V92" s="190"/>
      <c r="W92" s="190"/>
      <c r="X92" s="140"/>
      <c r="Y92" s="190"/>
      <c r="Z92" s="190"/>
      <c r="AA92" s="190"/>
      <c r="AB92" s="190"/>
      <c r="AC92" s="190"/>
      <c r="AD92" s="190"/>
      <c r="AE92" s="190"/>
      <c r="AF92" s="190"/>
      <c r="AG92" s="190"/>
      <c r="AH92" s="190"/>
      <c r="AI92" s="190"/>
      <c r="AJ92" s="190"/>
      <c r="AK92" s="190"/>
    </row>
    <row r="93" spans="1:37" ht="14.1" customHeight="1" x14ac:dyDescent="0.2">
      <c r="A93" s="317" t="s">
        <v>1753</v>
      </c>
      <c r="B93" s="2574"/>
      <c r="C93" s="2596"/>
      <c r="D93" s="2574"/>
      <c r="E93" s="2596"/>
      <c r="F93" s="2852"/>
      <c r="G93" s="2894"/>
      <c r="H93" s="2574"/>
      <c r="I93" s="550"/>
      <c r="J93" s="2894"/>
      <c r="K93" s="2626"/>
      <c r="L93" s="2596"/>
      <c r="M93" s="2852"/>
      <c r="N93" s="2596"/>
      <c r="O93" s="2574"/>
      <c r="P93" s="2894"/>
      <c r="Q93" s="2626"/>
      <c r="R93" s="2627"/>
      <c r="S93" s="2611"/>
      <c r="T93" s="2889"/>
      <c r="U93" s="2731"/>
      <c r="V93" s="190"/>
      <c r="W93" s="190"/>
      <c r="X93" s="140"/>
      <c r="Y93" s="190"/>
      <c r="Z93" s="190"/>
      <c r="AA93" s="190"/>
      <c r="AB93" s="190"/>
      <c r="AC93" s="190"/>
      <c r="AD93" s="190"/>
      <c r="AE93" s="190"/>
      <c r="AF93" s="190"/>
      <c r="AG93" s="190"/>
      <c r="AH93" s="190"/>
      <c r="AI93" s="190"/>
      <c r="AJ93" s="190"/>
      <c r="AK93" s="190"/>
    </row>
    <row r="94" spans="1:37" ht="14.1" customHeight="1" x14ac:dyDescent="0.2">
      <c r="A94" s="317" t="s">
        <v>1752</v>
      </c>
      <c r="B94" s="2574"/>
      <c r="C94" s="2596"/>
      <c r="D94" s="2574"/>
      <c r="E94" s="2596"/>
      <c r="F94" s="2852"/>
      <c r="G94" s="2894"/>
      <c r="H94" s="2574"/>
      <c r="I94" s="550"/>
      <c r="J94" s="2894"/>
      <c r="K94" s="2626"/>
      <c r="L94" s="2596"/>
      <c r="M94" s="2852"/>
      <c r="N94" s="2596"/>
      <c r="O94" s="2574"/>
      <c r="P94" s="2894"/>
      <c r="Q94" s="2626"/>
      <c r="R94" s="2627"/>
      <c r="S94" s="2611"/>
      <c r="T94" s="2889"/>
      <c r="U94" s="2731"/>
      <c r="V94" s="190"/>
      <c r="W94" s="190"/>
      <c r="X94" s="140"/>
      <c r="Y94" s="190"/>
      <c r="Z94" s="190"/>
      <c r="AA94" s="190"/>
      <c r="AB94" s="190"/>
      <c r="AC94" s="190"/>
      <c r="AD94" s="190"/>
      <c r="AE94" s="190"/>
      <c r="AF94" s="190"/>
      <c r="AG94" s="190"/>
      <c r="AH94" s="190"/>
      <c r="AI94" s="190"/>
      <c r="AJ94" s="190"/>
      <c r="AK94" s="190"/>
    </row>
    <row r="95" spans="1:37" ht="14.1" customHeight="1" x14ac:dyDescent="0.2">
      <c r="A95" s="317" t="s">
        <v>3704</v>
      </c>
      <c r="B95" s="2574"/>
      <c r="C95" s="2596"/>
      <c r="D95" s="2574"/>
      <c r="E95" s="2596"/>
      <c r="F95" s="2852"/>
      <c r="G95" s="2894"/>
      <c r="H95" s="2574"/>
      <c r="I95" s="550"/>
      <c r="J95" s="2894"/>
      <c r="K95" s="2626"/>
      <c r="L95" s="2596"/>
      <c r="M95" s="2852"/>
      <c r="N95" s="2596"/>
      <c r="O95" s="2574"/>
      <c r="P95" s="2894"/>
      <c r="Q95" s="2626"/>
      <c r="R95" s="2627"/>
      <c r="S95" s="2611"/>
      <c r="T95" s="2889"/>
      <c r="U95" s="2731"/>
      <c r="V95" s="190"/>
      <c r="W95" s="190"/>
      <c r="X95" s="140"/>
      <c r="Y95" s="190"/>
      <c r="Z95" s="190"/>
      <c r="AA95" s="190"/>
      <c r="AB95" s="190"/>
      <c r="AC95" s="190"/>
      <c r="AD95" s="190"/>
      <c r="AE95" s="190"/>
      <c r="AF95" s="190"/>
      <c r="AG95" s="190"/>
      <c r="AH95" s="190"/>
      <c r="AI95" s="190"/>
      <c r="AJ95" s="190"/>
      <c r="AK95" s="190"/>
    </row>
    <row r="96" spans="1:37" ht="14.1" customHeight="1" x14ac:dyDescent="0.2">
      <c r="A96" s="317" t="s">
        <v>1751</v>
      </c>
      <c r="B96" s="2574"/>
      <c r="C96" s="2596"/>
      <c r="D96" s="2574"/>
      <c r="E96" s="2596"/>
      <c r="F96" s="2852"/>
      <c r="G96" s="2894"/>
      <c r="H96" s="2574"/>
      <c r="I96" s="550"/>
      <c r="J96" s="2894"/>
      <c r="K96" s="2626"/>
      <c r="L96" s="2596"/>
      <c r="M96" s="2852"/>
      <c r="N96" s="2596"/>
      <c r="O96" s="2574"/>
      <c r="P96" s="2894"/>
      <c r="Q96" s="2626"/>
      <c r="R96" s="2627"/>
      <c r="S96" s="2611"/>
      <c r="T96" s="2889"/>
      <c r="U96" s="2731"/>
      <c r="V96" s="190"/>
      <c r="W96" s="190"/>
      <c r="X96" s="140"/>
      <c r="Y96" s="190"/>
      <c r="Z96" s="190"/>
      <c r="AA96" s="190"/>
      <c r="AB96" s="190"/>
      <c r="AC96" s="190"/>
      <c r="AD96" s="190"/>
      <c r="AE96" s="190"/>
      <c r="AF96" s="190"/>
      <c r="AG96" s="190"/>
      <c r="AH96" s="190"/>
      <c r="AI96" s="190"/>
      <c r="AJ96" s="190"/>
      <c r="AK96" s="190"/>
    </row>
    <row r="97" spans="1:39" ht="14.1" customHeight="1" x14ac:dyDescent="0.2">
      <c r="A97" s="317" t="s">
        <v>1750</v>
      </c>
      <c r="B97" s="2574"/>
      <c r="C97" s="2596"/>
      <c r="D97" s="2574"/>
      <c r="E97" s="2596"/>
      <c r="F97" s="2852"/>
      <c r="G97" s="2894"/>
      <c r="H97" s="2574"/>
      <c r="I97" s="550"/>
      <c r="J97" s="2894"/>
      <c r="K97" s="2626"/>
      <c r="L97" s="2596"/>
      <c r="M97" s="2852"/>
      <c r="N97" s="2596"/>
      <c r="O97" s="2574"/>
      <c r="P97" s="2894"/>
      <c r="Q97" s="2626"/>
      <c r="R97" s="2627"/>
      <c r="S97" s="2611"/>
      <c r="T97" s="2889"/>
      <c r="U97" s="2731"/>
      <c r="V97" s="190"/>
      <c r="W97" s="190"/>
      <c r="X97" s="140"/>
      <c r="Y97" s="190"/>
      <c r="Z97" s="190"/>
      <c r="AA97" s="190"/>
      <c r="AB97" s="190"/>
      <c r="AC97" s="190"/>
      <c r="AD97" s="190"/>
      <c r="AE97" s="190"/>
      <c r="AF97" s="190"/>
      <c r="AG97" s="190"/>
      <c r="AH97" s="190"/>
      <c r="AI97" s="190"/>
      <c r="AJ97" s="190"/>
      <c r="AK97" s="190"/>
    </row>
    <row r="98" spans="1:39" ht="14.1" customHeight="1" x14ac:dyDescent="0.2">
      <c r="A98" s="317" t="s">
        <v>1749</v>
      </c>
      <c r="B98" s="2574"/>
      <c r="C98" s="2596"/>
      <c r="D98" s="2574"/>
      <c r="E98" s="2596"/>
      <c r="F98" s="2852"/>
      <c r="G98" s="2894"/>
      <c r="H98" s="2574"/>
      <c r="I98" s="550"/>
      <c r="J98" s="2894"/>
      <c r="K98" s="2626"/>
      <c r="L98" s="2596"/>
      <c r="M98" s="2852"/>
      <c r="N98" s="2596"/>
      <c r="O98" s="2574"/>
      <c r="P98" s="2894"/>
      <c r="Q98" s="2626"/>
      <c r="R98" s="2627"/>
      <c r="S98" s="2611"/>
      <c r="T98" s="2889"/>
      <c r="U98" s="2731"/>
      <c r="V98" s="190"/>
      <c r="W98" s="190"/>
      <c r="X98" s="140"/>
      <c r="Y98" s="190"/>
      <c r="Z98" s="190"/>
      <c r="AA98" s="190"/>
      <c r="AB98" s="190"/>
      <c r="AC98" s="190"/>
      <c r="AD98" s="190"/>
      <c r="AE98" s="190"/>
      <c r="AF98" s="190"/>
      <c r="AG98" s="190"/>
      <c r="AH98" s="190"/>
      <c r="AI98" s="190"/>
      <c r="AJ98" s="190"/>
      <c r="AK98" s="190"/>
    </row>
    <row r="99" spans="1:39" ht="14.1" customHeight="1" x14ac:dyDescent="0.2">
      <c r="A99" s="317" t="s">
        <v>1748</v>
      </c>
      <c r="B99" s="2574"/>
      <c r="C99" s="2596"/>
      <c r="D99" s="2574"/>
      <c r="E99" s="2596"/>
      <c r="F99" s="2852"/>
      <c r="G99" s="2894"/>
      <c r="H99" s="2885"/>
      <c r="I99" s="2886"/>
      <c r="J99" s="2952"/>
      <c r="K99" s="2626"/>
      <c r="L99" s="2596"/>
      <c r="M99" s="2852"/>
      <c r="N99" s="2596"/>
      <c r="O99" s="2574"/>
      <c r="P99" s="2894"/>
      <c r="Q99" s="2626"/>
      <c r="R99" s="2627"/>
      <c r="S99" s="2611"/>
      <c r="T99" s="2889"/>
      <c r="U99" s="2731"/>
      <c r="V99" s="190"/>
      <c r="W99" s="190"/>
      <c r="X99" s="140"/>
      <c r="Y99" s="190"/>
      <c r="Z99" s="190"/>
      <c r="AA99" s="190"/>
      <c r="AB99" s="190"/>
      <c r="AC99" s="190"/>
      <c r="AD99" s="190"/>
      <c r="AE99" s="190"/>
      <c r="AF99" s="190"/>
      <c r="AG99" s="190"/>
      <c r="AH99" s="190"/>
      <c r="AI99" s="190"/>
      <c r="AJ99" s="190"/>
      <c r="AK99" s="190"/>
    </row>
    <row r="100" spans="1:39" ht="14.1" customHeight="1" x14ac:dyDescent="0.2">
      <c r="A100" s="317" t="s">
        <v>1747</v>
      </c>
      <c r="B100" s="2909"/>
      <c r="C100" s="2906"/>
      <c r="D100" s="2909"/>
      <c r="E100" s="2921"/>
      <c r="F100" s="2910"/>
      <c r="G100" s="2953"/>
      <c r="H100" s="2908"/>
      <c r="I100" s="2907"/>
      <c r="J100" s="2954"/>
      <c r="K100" s="2626"/>
      <c r="L100" s="2596"/>
      <c r="M100" s="2852"/>
      <c r="N100" s="2596"/>
      <c r="O100" s="2574"/>
      <c r="P100" s="2894"/>
      <c r="Q100" s="2626"/>
      <c r="R100" s="2627"/>
      <c r="S100" s="2611"/>
      <c r="T100" s="2889"/>
      <c r="U100" s="2731"/>
      <c r="V100" s="190"/>
      <c r="W100" s="190"/>
      <c r="X100" s="140"/>
      <c r="Y100" s="190"/>
      <c r="Z100" s="190"/>
      <c r="AA100" s="190"/>
      <c r="AB100" s="190"/>
      <c r="AC100" s="190"/>
      <c r="AD100" s="190"/>
      <c r="AE100" s="190"/>
      <c r="AF100" s="190"/>
      <c r="AG100" s="190"/>
      <c r="AH100" s="190"/>
      <c r="AI100" s="190"/>
      <c r="AJ100" s="190"/>
      <c r="AK100" s="190"/>
    </row>
    <row r="101" spans="1:39" ht="14.1" customHeight="1" x14ac:dyDescent="0.2">
      <c r="A101" s="2961" t="s">
        <v>1746</v>
      </c>
      <c r="B101" s="2904"/>
      <c r="C101" s="2537"/>
      <c r="D101" s="2904"/>
      <c r="E101" s="2945"/>
      <c r="F101" s="2905"/>
      <c r="G101" s="2903"/>
      <c r="H101" s="2902"/>
      <c r="I101" s="2901"/>
      <c r="J101" s="2919"/>
      <c r="K101" s="2626"/>
      <c r="L101" s="2596"/>
      <c r="M101" s="2852"/>
      <c r="N101" s="2596"/>
      <c r="O101" s="2574"/>
      <c r="P101" s="2894"/>
      <c r="Q101" s="2626"/>
      <c r="R101" s="2627"/>
      <c r="S101" s="2611"/>
      <c r="T101" s="2889"/>
      <c r="U101" s="2731"/>
      <c r="V101" s="190"/>
      <c r="W101" s="190"/>
      <c r="X101" s="140"/>
      <c r="Y101" s="190"/>
      <c r="Z101" s="190"/>
      <c r="AA101" s="190"/>
      <c r="AB101" s="190"/>
      <c r="AC101" s="190"/>
      <c r="AD101" s="190"/>
      <c r="AE101" s="190"/>
      <c r="AF101" s="190"/>
      <c r="AG101" s="190"/>
      <c r="AH101" s="190"/>
      <c r="AI101" s="190"/>
      <c r="AJ101" s="190"/>
      <c r="AK101" s="190"/>
    </row>
    <row r="102" spans="1:39" ht="14.1" customHeight="1" x14ac:dyDescent="0.2">
      <c r="A102" s="2961" t="s">
        <v>1745</v>
      </c>
      <c r="B102" s="2574"/>
      <c r="C102" s="2596"/>
      <c r="D102" s="2574"/>
      <c r="E102" s="2596"/>
      <c r="F102" s="2852"/>
      <c r="G102" s="2894"/>
      <c r="H102" s="2574"/>
      <c r="I102" s="550"/>
      <c r="J102" s="2894"/>
      <c r="K102" s="2626"/>
      <c r="L102" s="2596"/>
      <c r="M102" s="2852"/>
      <c r="N102" s="2596"/>
      <c r="O102" s="2574"/>
      <c r="P102" s="2894"/>
      <c r="Q102" s="2626"/>
      <c r="R102" s="2627"/>
      <c r="S102" s="2611"/>
      <c r="T102" s="2889"/>
      <c r="U102" s="2731"/>
      <c r="V102" s="190"/>
      <c r="W102" s="190"/>
      <c r="X102" s="190"/>
      <c r="Y102" s="190"/>
      <c r="Z102" s="190"/>
      <c r="AA102" s="190"/>
      <c r="AB102" s="190"/>
      <c r="AC102" s="190"/>
      <c r="AD102" s="190"/>
      <c r="AE102" s="190"/>
      <c r="AF102" s="190"/>
      <c r="AG102" s="190"/>
      <c r="AH102" s="190"/>
      <c r="AI102" s="190"/>
    </row>
    <row r="103" spans="1:39" ht="14.1" customHeight="1" x14ac:dyDescent="0.2">
      <c r="A103" s="317" t="s">
        <v>1744</v>
      </c>
      <c r="B103" s="2888"/>
      <c r="C103" s="2884"/>
      <c r="D103" s="2888"/>
      <c r="E103" s="2884"/>
      <c r="F103" s="2533"/>
      <c r="G103" s="2893"/>
      <c r="H103" s="2888"/>
      <c r="I103" s="2536"/>
      <c r="J103" s="2893"/>
      <c r="K103" s="2892"/>
      <c r="L103" s="2884"/>
      <c r="M103" s="2533"/>
      <c r="N103" s="2884"/>
      <c r="O103" s="2888"/>
      <c r="P103" s="2893"/>
      <c r="Q103" s="2892"/>
      <c r="R103" s="2891"/>
      <c r="S103" s="2540"/>
      <c r="T103" s="2535"/>
      <c r="U103" s="2768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0"/>
      <c r="AG103" s="190"/>
      <c r="AH103" s="190"/>
      <c r="AI103" s="190"/>
    </row>
    <row r="104" spans="1:39" ht="22.5" customHeight="1" x14ac:dyDescent="0.25">
      <c r="A104" s="2820" t="s">
        <v>3660</v>
      </c>
      <c r="B104" s="190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0"/>
      <c r="AG104" s="190"/>
    </row>
    <row r="105" spans="1:39" ht="36.6" customHeight="1" x14ac:dyDescent="0.2">
      <c r="A105" s="10565" t="s">
        <v>2671</v>
      </c>
      <c r="B105" s="10526" t="s">
        <v>3661</v>
      </c>
      <c r="C105" s="10527"/>
      <c r="D105" s="10527"/>
      <c r="E105" s="10527"/>
      <c r="F105" s="10527"/>
      <c r="G105" s="10528"/>
      <c r="H105" s="10526" t="s">
        <v>3662</v>
      </c>
      <c r="I105" s="10527"/>
      <c r="J105" s="10527"/>
      <c r="K105" s="10527"/>
      <c r="L105" s="10527"/>
      <c r="M105" s="10529"/>
      <c r="N105" s="10530" t="s">
        <v>3663</v>
      </c>
      <c r="O105" s="10527"/>
      <c r="P105" s="10527"/>
      <c r="Q105" s="10527"/>
      <c r="R105" s="10527"/>
      <c r="S105" s="10529"/>
      <c r="T105" s="10545" t="s">
        <v>1349</v>
      </c>
      <c r="U105" s="10545"/>
      <c r="V105" s="10555"/>
      <c r="W105" s="10530" t="s">
        <v>3664</v>
      </c>
      <c r="X105" s="10527"/>
      <c r="Y105" s="10527"/>
      <c r="Z105" s="10527"/>
      <c r="AA105" s="10527"/>
      <c r="AB105" s="10528"/>
      <c r="AC105" s="190"/>
      <c r="AD105" s="190"/>
      <c r="AE105" s="190"/>
      <c r="AF105" s="190"/>
      <c r="AG105" s="190"/>
      <c r="AH105" s="190"/>
      <c r="AI105" s="190"/>
      <c r="AJ105" s="190"/>
      <c r="AK105" s="190"/>
      <c r="AL105" s="190"/>
      <c r="AM105" s="190"/>
    </row>
    <row r="106" spans="1:39" ht="22.5" customHeight="1" x14ac:dyDescent="0.2">
      <c r="A106" s="10566"/>
      <c r="B106" s="10542" t="s">
        <v>2686</v>
      </c>
      <c r="C106" s="10521"/>
      <c r="D106" s="10543" t="s">
        <v>33</v>
      </c>
      <c r="E106" s="10521"/>
      <c r="F106" s="10290" t="s">
        <v>2687</v>
      </c>
      <c r="G106" s="10525"/>
      <c r="H106" s="10542" t="s">
        <v>2686</v>
      </c>
      <c r="I106" s="10521"/>
      <c r="J106" s="10543" t="s">
        <v>33</v>
      </c>
      <c r="K106" s="10521"/>
      <c r="L106" s="10290" t="s">
        <v>2687</v>
      </c>
      <c r="M106" s="10292"/>
      <c r="N106" s="10542" t="s">
        <v>2686</v>
      </c>
      <c r="O106" s="10521"/>
      <c r="P106" s="10543" t="s">
        <v>33</v>
      </c>
      <c r="Q106" s="10521"/>
      <c r="R106" s="10290" t="s">
        <v>2687</v>
      </c>
      <c r="S106" s="10292"/>
      <c r="T106" s="2817" t="s">
        <v>1736</v>
      </c>
      <c r="U106" s="10519" t="s">
        <v>1735</v>
      </c>
      <c r="V106" s="10520"/>
      <c r="W106" s="10542" t="s">
        <v>2686</v>
      </c>
      <c r="X106" s="10521"/>
      <c r="Y106" s="10543" t="s">
        <v>33</v>
      </c>
      <c r="Z106" s="10521"/>
      <c r="AA106" s="10290" t="s">
        <v>2687</v>
      </c>
      <c r="AB106" s="10525"/>
      <c r="AC106" s="190"/>
      <c r="AD106" s="190"/>
      <c r="AE106" s="190"/>
      <c r="AF106" s="190"/>
      <c r="AG106" s="190"/>
      <c r="AH106" s="190"/>
      <c r="AI106" s="190"/>
      <c r="AJ106" s="190"/>
      <c r="AK106" s="190"/>
      <c r="AL106" s="190"/>
      <c r="AM106" s="190"/>
    </row>
    <row r="107" spans="1:39" ht="22.5" customHeight="1" x14ac:dyDescent="0.2">
      <c r="A107" s="10567"/>
      <c r="B107" s="2809" t="s">
        <v>17</v>
      </c>
      <c r="C107" s="2807" t="s">
        <v>18</v>
      </c>
      <c r="D107" s="2800" t="s">
        <v>17</v>
      </c>
      <c r="E107" s="2807" t="s">
        <v>18</v>
      </c>
      <c r="F107" s="2800" t="s">
        <v>17</v>
      </c>
      <c r="G107" s="2807" t="s">
        <v>18</v>
      </c>
      <c r="H107" s="2800" t="s">
        <v>17</v>
      </c>
      <c r="I107" s="2807" t="s">
        <v>18</v>
      </c>
      <c r="J107" s="2800" t="s">
        <v>17</v>
      </c>
      <c r="K107" s="2807" t="s">
        <v>18</v>
      </c>
      <c r="L107" s="2800" t="s">
        <v>17</v>
      </c>
      <c r="M107" s="2797" t="s">
        <v>18</v>
      </c>
      <c r="N107" s="2808" t="s">
        <v>17</v>
      </c>
      <c r="O107" s="2924" t="s">
        <v>18</v>
      </c>
      <c r="P107" s="2926" t="s">
        <v>17</v>
      </c>
      <c r="Q107" s="2807" t="s">
        <v>18</v>
      </c>
      <c r="R107" s="2800" t="s">
        <v>17</v>
      </c>
      <c r="S107" s="2797" t="s">
        <v>18</v>
      </c>
      <c r="T107" s="2819" t="s">
        <v>1734</v>
      </c>
      <c r="U107" s="2801" t="s">
        <v>1733</v>
      </c>
      <c r="V107" s="2816" t="s">
        <v>1732</v>
      </c>
      <c r="W107" s="2808" t="s">
        <v>17</v>
      </c>
      <c r="X107" s="2924" t="s">
        <v>18</v>
      </c>
      <c r="Y107" s="2926" t="s">
        <v>17</v>
      </c>
      <c r="Z107" s="2807" t="s">
        <v>18</v>
      </c>
      <c r="AA107" s="2800" t="s">
        <v>17</v>
      </c>
      <c r="AB107" s="2807" t="s">
        <v>18</v>
      </c>
      <c r="AC107" s="190"/>
      <c r="AD107" s="190"/>
      <c r="AE107" s="190"/>
      <c r="AF107" s="190"/>
      <c r="AG107" s="190"/>
      <c r="AH107" s="190"/>
      <c r="AI107" s="190"/>
      <c r="AJ107" s="190"/>
      <c r="AK107" s="190"/>
      <c r="AL107" s="190"/>
      <c r="AM107" s="190"/>
    </row>
    <row r="108" spans="1:39" ht="14.45" customHeight="1" x14ac:dyDescent="0.2">
      <c r="A108" s="2818" t="s">
        <v>24</v>
      </c>
      <c r="B108" s="2798">
        <f>SUM(B109:B119)</f>
        <v>0</v>
      </c>
      <c r="C108" s="2802">
        <f t="shared" ref="C108:M108" si="9">SUM(C109:C119)</f>
        <v>0</v>
      </c>
      <c r="D108" s="2798">
        <f t="shared" si="9"/>
        <v>0</v>
      </c>
      <c r="E108" s="2802">
        <f t="shared" si="9"/>
        <v>0</v>
      </c>
      <c r="F108" s="2798">
        <f t="shared" si="9"/>
        <v>0</v>
      </c>
      <c r="G108" s="2802">
        <f t="shared" si="9"/>
        <v>0</v>
      </c>
      <c r="H108" s="2798">
        <f t="shared" si="9"/>
        <v>0</v>
      </c>
      <c r="I108" s="2802">
        <f t="shared" si="9"/>
        <v>0</v>
      </c>
      <c r="J108" s="2798">
        <f t="shared" si="9"/>
        <v>0</v>
      </c>
      <c r="K108" s="2802">
        <f t="shared" si="9"/>
        <v>0</v>
      </c>
      <c r="L108" s="2798">
        <f t="shared" si="9"/>
        <v>0</v>
      </c>
      <c r="M108" s="2798">
        <f t="shared" si="9"/>
        <v>0</v>
      </c>
      <c r="N108" s="3769">
        <f t="shared" ref="N108:T108" si="10">SUM(N109:N119)</f>
        <v>0</v>
      </c>
      <c r="O108" s="3344">
        <f t="shared" si="10"/>
        <v>0</v>
      </c>
      <c r="P108" s="3769">
        <f t="shared" si="10"/>
        <v>0</v>
      </c>
      <c r="Q108" s="3344">
        <f t="shared" si="10"/>
        <v>0</v>
      </c>
      <c r="R108" s="3769">
        <f t="shared" si="10"/>
        <v>0</v>
      </c>
      <c r="S108" s="3344">
        <f t="shared" si="10"/>
        <v>0</v>
      </c>
      <c r="T108" s="2806">
        <f t="shared" si="10"/>
        <v>0</v>
      </c>
      <c r="U108" s="2805">
        <f t="shared" ref="U108:AB108" si="11">SUM(U109:U119)</f>
        <v>0</v>
      </c>
      <c r="V108" s="2766">
        <f t="shared" si="11"/>
        <v>0</v>
      </c>
      <c r="W108" s="2880">
        <f t="shared" si="11"/>
        <v>0</v>
      </c>
      <c r="X108" s="2898">
        <f t="shared" si="11"/>
        <v>0</v>
      </c>
      <c r="Y108" s="2798">
        <f t="shared" si="11"/>
        <v>0</v>
      </c>
      <c r="Z108" s="2815">
        <f t="shared" si="11"/>
        <v>0</v>
      </c>
      <c r="AA108" s="2814">
        <f>SUM(AA109:AA119)</f>
        <v>0</v>
      </c>
      <c r="AB108" s="2815">
        <f t="shared" si="11"/>
        <v>0</v>
      </c>
      <c r="AC108" s="190"/>
      <c r="AD108" s="190"/>
      <c r="AE108" s="190"/>
      <c r="AF108" s="190"/>
      <c r="AG108" s="190"/>
      <c r="AH108" s="190"/>
      <c r="AI108" s="190"/>
      <c r="AJ108" s="190"/>
      <c r="AK108" s="190"/>
      <c r="AL108" s="190"/>
      <c r="AM108" s="190"/>
    </row>
    <row r="109" spans="1:39" ht="14.1" customHeight="1" x14ac:dyDescent="0.2">
      <c r="A109" s="2879" t="s">
        <v>1057</v>
      </c>
      <c r="B109" s="2057"/>
      <c r="C109" s="2596"/>
      <c r="D109" s="2574"/>
      <c r="E109" s="2596"/>
      <c r="F109" s="2574"/>
      <c r="G109" s="2596"/>
      <c r="H109" s="2574"/>
      <c r="I109" s="2596"/>
      <c r="J109" s="2574"/>
      <c r="K109" s="2596"/>
      <c r="L109" s="2574"/>
      <c r="M109" s="1661"/>
      <c r="N109" s="2900">
        <f t="shared" ref="N109:S109" si="12">+B109+H109</f>
        <v>0</v>
      </c>
      <c r="O109" s="2799">
        <f t="shared" si="12"/>
        <v>0</v>
      </c>
      <c r="P109" s="2917">
        <f t="shared" si="12"/>
        <v>0</v>
      </c>
      <c r="Q109" s="2799">
        <f t="shared" si="12"/>
        <v>0</v>
      </c>
      <c r="R109" s="2767">
        <f t="shared" si="12"/>
        <v>0</v>
      </c>
      <c r="S109" s="2804">
        <f t="shared" si="12"/>
        <v>0</v>
      </c>
      <c r="T109" s="2057"/>
      <c r="U109" s="550"/>
      <c r="V109" s="1661"/>
      <c r="W109" s="2795"/>
      <c r="X109" s="2963"/>
      <c r="Y109" s="2962"/>
      <c r="Z109" s="2794"/>
      <c r="AA109" s="2793"/>
      <c r="AB109" s="2794"/>
      <c r="AC109" s="190"/>
      <c r="AD109" s="190"/>
      <c r="AE109" s="190"/>
      <c r="AF109" s="190"/>
      <c r="AG109" s="190"/>
      <c r="AH109" s="190"/>
      <c r="AI109" s="190"/>
      <c r="AJ109" s="190"/>
      <c r="AK109" s="190"/>
      <c r="AL109" s="190"/>
      <c r="AM109" s="190"/>
    </row>
    <row r="110" spans="1:39" ht="14.1" customHeight="1" x14ac:dyDescent="0.2">
      <c r="A110" s="2879" t="s">
        <v>1025</v>
      </c>
      <c r="B110" s="2057"/>
      <c r="C110" s="2596"/>
      <c r="D110" s="2574"/>
      <c r="E110" s="2596"/>
      <c r="F110" s="2574"/>
      <c r="G110" s="2596"/>
      <c r="H110" s="2574"/>
      <c r="I110" s="2596"/>
      <c r="J110" s="2574"/>
      <c r="K110" s="2596"/>
      <c r="L110" s="2574"/>
      <c r="M110" s="1661"/>
      <c r="N110" s="2900">
        <f t="shared" ref="N110:O119" si="13">+B110+H110</f>
        <v>0</v>
      </c>
      <c r="O110" s="2799">
        <f t="shared" si="13"/>
        <v>0</v>
      </c>
      <c r="P110" s="2917">
        <f t="shared" ref="P110:S111" si="14">+D110+J110</f>
        <v>0</v>
      </c>
      <c r="Q110" s="2799">
        <f t="shared" si="14"/>
        <v>0</v>
      </c>
      <c r="R110" s="2767">
        <f t="shared" si="14"/>
        <v>0</v>
      </c>
      <c r="S110" s="2804">
        <f t="shared" si="14"/>
        <v>0</v>
      </c>
      <c r="T110" s="2057"/>
      <c r="U110" s="550"/>
      <c r="V110" s="1661"/>
      <c r="W110" s="2916"/>
      <c r="X110" s="2812"/>
      <c r="Y110" s="2932"/>
      <c r="Z110" s="2812"/>
      <c r="AA110" s="2813"/>
      <c r="AB110" s="2812"/>
      <c r="AC110" s="190"/>
      <c r="AD110" s="190"/>
      <c r="AE110" s="190"/>
      <c r="AF110" s="190"/>
      <c r="AG110" s="190"/>
      <c r="AH110" s="190"/>
      <c r="AI110" s="190"/>
      <c r="AJ110" s="190"/>
      <c r="AK110" s="190"/>
      <c r="AL110" s="190"/>
      <c r="AM110" s="190"/>
    </row>
    <row r="111" spans="1:39" ht="14.1" customHeight="1" x14ac:dyDescent="0.2">
      <c r="A111" s="2879" t="s">
        <v>1034</v>
      </c>
      <c r="B111" s="2057"/>
      <c r="C111" s="2596"/>
      <c r="D111" s="2574"/>
      <c r="E111" s="2596"/>
      <c r="F111" s="2574"/>
      <c r="G111" s="2596"/>
      <c r="H111" s="2574"/>
      <c r="I111" s="2596"/>
      <c r="J111" s="2574"/>
      <c r="K111" s="2596"/>
      <c r="L111" s="2574"/>
      <c r="M111" s="1661"/>
      <c r="N111" s="2900">
        <f t="shared" si="13"/>
        <v>0</v>
      </c>
      <c r="O111" s="2799">
        <f t="shared" si="13"/>
        <v>0</v>
      </c>
      <c r="P111" s="2917">
        <f t="shared" si="14"/>
        <v>0</v>
      </c>
      <c r="Q111" s="2799">
        <f t="shared" si="14"/>
        <v>0</v>
      </c>
      <c r="R111" s="2767">
        <f t="shared" si="14"/>
        <v>0</v>
      </c>
      <c r="S111" s="2804">
        <f t="shared" si="14"/>
        <v>0</v>
      </c>
      <c r="T111" s="2057"/>
      <c r="U111" s="550"/>
      <c r="V111" s="1661"/>
      <c r="W111" s="2916"/>
      <c r="X111" s="2812"/>
      <c r="Y111" s="2932"/>
      <c r="Z111" s="2812"/>
      <c r="AA111" s="2813"/>
      <c r="AB111" s="2812"/>
      <c r="AC111" s="190"/>
      <c r="AD111" s="190"/>
      <c r="AE111" s="190"/>
      <c r="AF111" s="190"/>
      <c r="AG111" s="190"/>
      <c r="AH111" s="190"/>
      <c r="AI111" s="190"/>
      <c r="AJ111" s="190"/>
      <c r="AK111" s="190"/>
      <c r="AL111" s="190"/>
      <c r="AM111" s="190"/>
    </row>
    <row r="112" spans="1:39" ht="14.1" customHeight="1" x14ac:dyDescent="0.2">
      <c r="A112" s="2879" t="s">
        <v>1031</v>
      </c>
      <c r="B112" s="2057"/>
      <c r="C112" s="2596"/>
      <c r="D112" s="2574"/>
      <c r="E112" s="2596"/>
      <c r="F112" s="2574"/>
      <c r="G112" s="2596"/>
      <c r="H112" s="2574"/>
      <c r="I112" s="2596"/>
      <c r="J112" s="2574"/>
      <c r="K112" s="2596"/>
      <c r="L112" s="2574"/>
      <c r="M112" s="1661"/>
      <c r="N112" s="2900">
        <f t="shared" ref="N112:S112" si="15">+B112+H112</f>
        <v>0</v>
      </c>
      <c r="O112" s="2799">
        <f t="shared" si="15"/>
        <v>0</v>
      </c>
      <c r="P112" s="2917">
        <f t="shared" si="15"/>
        <v>0</v>
      </c>
      <c r="Q112" s="2799">
        <f t="shared" si="15"/>
        <v>0</v>
      </c>
      <c r="R112" s="2767">
        <f t="shared" si="15"/>
        <v>0</v>
      </c>
      <c r="S112" s="2804">
        <f t="shared" si="15"/>
        <v>0</v>
      </c>
      <c r="T112" s="2057"/>
      <c r="U112" s="550"/>
      <c r="V112" s="1661"/>
      <c r="W112" s="2916"/>
      <c r="X112" s="2812"/>
      <c r="Y112" s="2932"/>
      <c r="Z112" s="2812"/>
      <c r="AA112" s="2813"/>
      <c r="AB112" s="2812"/>
      <c r="AC112" s="190"/>
      <c r="AD112" s="190"/>
      <c r="AE112" s="190"/>
      <c r="AF112" s="190"/>
      <c r="AG112" s="190"/>
      <c r="AH112" s="190"/>
      <c r="AI112" s="190"/>
      <c r="AJ112" s="190"/>
      <c r="AK112" s="190"/>
      <c r="AL112" s="190"/>
      <c r="AM112" s="190"/>
    </row>
    <row r="113" spans="1:39" ht="14.1" customHeight="1" x14ac:dyDescent="0.2">
      <c r="A113" s="2879" t="s">
        <v>2672</v>
      </c>
      <c r="B113" s="2057"/>
      <c r="C113" s="2596"/>
      <c r="D113" s="2574"/>
      <c r="E113" s="2596"/>
      <c r="F113" s="2574"/>
      <c r="G113" s="2596"/>
      <c r="H113" s="2574"/>
      <c r="I113" s="2596"/>
      <c r="J113" s="2574"/>
      <c r="K113" s="2596"/>
      <c r="L113" s="2574"/>
      <c r="M113" s="1661"/>
      <c r="N113" s="2900">
        <f t="shared" si="13"/>
        <v>0</v>
      </c>
      <c r="O113" s="2799">
        <f t="shared" si="13"/>
        <v>0</v>
      </c>
      <c r="P113" s="2917">
        <f t="shared" ref="P113:P119" si="16">+D113+J113</f>
        <v>0</v>
      </c>
      <c r="Q113" s="2799">
        <f t="shared" ref="Q113:Q119" si="17">+E113+K113</f>
        <v>0</v>
      </c>
      <c r="R113" s="2767">
        <f t="shared" ref="R113:S119" si="18">+F113+L113</f>
        <v>0</v>
      </c>
      <c r="S113" s="2804">
        <f t="shared" si="18"/>
        <v>0</v>
      </c>
      <c r="T113" s="2057"/>
      <c r="U113" s="550"/>
      <c r="V113" s="1661"/>
      <c r="W113" s="2916"/>
      <c r="X113" s="2812"/>
      <c r="Y113" s="2932"/>
      <c r="Z113" s="2812"/>
      <c r="AA113" s="2813"/>
      <c r="AB113" s="2812"/>
      <c r="AC113" s="190"/>
      <c r="AD113" s="190"/>
      <c r="AE113" s="190"/>
      <c r="AF113" s="190"/>
      <c r="AG113" s="190"/>
      <c r="AH113" s="190"/>
      <c r="AI113" s="190"/>
      <c r="AJ113" s="190"/>
      <c r="AK113" s="190"/>
      <c r="AL113" s="190"/>
      <c r="AM113" s="190"/>
    </row>
    <row r="114" spans="1:39" ht="14.1" customHeight="1" x14ac:dyDescent="0.2">
      <c r="A114" s="2879" t="s">
        <v>1030</v>
      </c>
      <c r="B114" s="2057"/>
      <c r="C114" s="2596"/>
      <c r="D114" s="2574"/>
      <c r="E114" s="2596"/>
      <c r="F114" s="2574"/>
      <c r="G114" s="2596"/>
      <c r="H114" s="2574"/>
      <c r="I114" s="2596"/>
      <c r="J114" s="2574"/>
      <c r="K114" s="2596"/>
      <c r="L114" s="2574"/>
      <c r="M114" s="1661"/>
      <c r="N114" s="2900">
        <f t="shared" si="13"/>
        <v>0</v>
      </c>
      <c r="O114" s="2799">
        <f t="shared" si="13"/>
        <v>0</v>
      </c>
      <c r="P114" s="2917">
        <f t="shared" si="16"/>
        <v>0</v>
      </c>
      <c r="Q114" s="2799">
        <f t="shared" si="17"/>
        <v>0</v>
      </c>
      <c r="R114" s="2767">
        <f t="shared" si="18"/>
        <v>0</v>
      </c>
      <c r="S114" s="2804">
        <f t="shared" si="18"/>
        <v>0</v>
      </c>
      <c r="T114" s="2057"/>
      <c r="U114" s="550"/>
      <c r="V114" s="1661"/>
      <c r="W114" s="2916"/>
      <c r="X114" s="2812"/>
      <c r="Y114" s="2932"/>
      <c r="Z114" s="2812"/>
      <c r="AA114" s="2813"/>
      <c r="AB114" s="2812"/>
      <c r="AC114" s="190"/>
      <c r="AD114" s="190"/>
      <c r="AE114" s="190"/>
      <c r="AF114" s="190"/>
      <c r="AG114" s="190"/>
      <c r="AH114" s="190"/>
      <c r="AI114" s="190"/>
      <c r="AJ114" s="190"/>
      <c r="AK114" s="190"/>
      <c r="AL114" s="190"/>
      <c r="AM114" s="190"/>
    </row>
    <row r="115" spans="1:39" ht="14.1" customHeight="1" x14ac:dyDescent="0.2">
      <c r="A115" s="2879" t="s">
        <v>1055</v>
      </c>
      <c r="B115" s="2057"/>
      <c r="C115" s="2596"/>
      <c r="D115" s="2574"/>
      <c r="E115" s="2596"/>
      <c r="F115" s="2574"/>
      <c r="G115" s="2596"/>
      <c r="H115" s="2574"/>
      <c r="I115" s="2596"/>
      <c r="J115" s="2574"/>
      <c r="K115" s="2596"/>
      <c r="L115" s="2574"/>
      <c r="M115" s="1661"/>
      <c r="N115" s="2900">
        <f t="shared" si="13"/>
        <v>0</v>
      </c>
      <c r="O115" s="2799">
        <f t="shared" si="13"/>
        <v>0</v>
      </c>
      <c r="P115" s="2917">
        <f t="shared" si="16"/>
        <v>0</v>
      </c>
      <c r="Q115" s="2799">
        <f t="shared" si="17"/>
        <v>0</v>
      </c>
      <c r="R115" s="2767">
        <f t="shared" si="18"/>
        <v>0</v>
      </c>
      <c r="S115" s="2804">
        <f t="shared" si="18"/>
        <v>0</v>
      </c>
      <c r="T115" s="2057"/>
      <c r="U115" s="550"/>
      <c r="V115" s="1661"/>
      <c r="W115" s="2916"/>
      <c r="X115" s="2812"/>
      <c r="Y115" s="2932"/>
      <c r="Z115" s="2812"/>
      <c r="AA115" s="2813"/>
      <c r="AB115" s="2812"/>
      <c r="AC115" s="190"/>
      <c r="AD115" s="190"/>
      <c r="AE115" s="190"/>
      <c r="AF115" s="190"/>
      <c r="AG115" s="190"/>
      <c r="AH115" s="190"/>
      <c r="AI115" s="190"/>
      <c r="AJ115" s="190"/>
      <c r="AK115" s="190"/>
      <c r="AL115" s="190"/>
      <c r="AM115" s="190"/>
    </row>
    <row r="116" spans="1:39" ht="14.1" customHeight="1" x14ac:dyDescent="0.2">
      <c r="A116" s="2879" t="s">
        <v>1054</v>
      </c>
      <c r="B116" s="2057"/>
      <c r="C116" s="2596"/>
      <c r="D116" s="2574"/>
      <c r="E116" s="2596"/>
      <c r="F116" s="2574"/>
      <c r="G116" s="2596"/>
      <c r="H116" s="2574"/>
      <c r="I116" s="2596"/>
      <c r="J116" s="2574"/>
      <c r="K116" s="2596"/>
      <c r="L116" s="2574"/>
      <c r="M116" s="1661"/>
      <c r="N116" s="2900">
        <f t="shared" si="13"/>
        <v>0</v>
      </c>
      <c r="O116" s="2799">
        <f t="shared" si="13"/>
        <v>0</v>
      </c>
      <c r="P116" s="2917">
        <f t="shared" si="16"/>
        <v>0</v>
      </c>
      <c r="Q116" s="2799">
        <f t="shared" si="17"/>
        <v>0</v>
      </c>
      <c r="R116" s="2767">
        <f t="shared" si="18"/>
        <v>0</v>
      </c>
      <c r="S116" s="2804">
        <f t="shared" si="18"/>
        <v>0</v>
      </c>
      <c r="T116" s="2057"/>
      <c r="U116" s="550"/>
      <c r="V116" s="1661"/>
      <c r="W116" s="2916"/>
      <c r="X116" s="2812"/>
      <c r="Y116" s="2932"/>
      <c r="Z116" s="2812"/>
      <c r="AA116" s="2813"/>
      <c r="AB116" s="2812"/>
      <c r="AC116" s="190"/>
      <c r="AD116" s="190"/>
      <c r="AE116" s="190"/>
      <c r="AF116" s="190"/>
      <c r="AG116" s="190"/>
      <c r="AH116" s="190"/>
      <c r="AI116" s="190"/>
      <c r="AJ116" s="190"/>
      <c r="AK116" s="190"/>
      <c r="AL116" s="190"/>
      <c r="AM116" s="190"/>
    </row>
    <row r="117" spans="1:39" ht="14.1" customHeight="1" x14ac:dyDescent="0.2">
      <c r="A117" s="2879" t="s">
        <v>1026</v>
      </c>
      <c r="B117" s="2057"/>
      <c r="C117" s="2596"/>
      <c r="D117" s="2574"/>
      <c r="E117" s="2596"/>
      <c r="F117" s="2574"/>
      <c r="G117" s="2596"/>
      <c r="H117" s="2574"/>
      <c r="I117" s="2596"/>
      <c r="J117" s="2574"/>
      <c r="K117" s="2596"/>
      <c r="L117" s="2574"/>
      <c r="M117" s="1661"/>
      <c r="N117" s="2900">
        <f t="shared" si="13"/>
        <v>0</v>
      </c>
      <c r="O117" s="2799">
        <f t="shared" si="13"/>
        <v>0</v>
      </c>
      <c r="P117" s="2917">
        <f t="shared" si="16"/>
        <v>0</v>
      </c>
      <c r="Q117" s="2799">
        <f t="shared" si="17"/>
        <v>0</v>
      </c>
      <c r="R117" s="2767">
        <f t="shared" si="18"/>
        <v>0</v>
      </c>
      <c r="S117" s="2804">
        <f t="shared" si="18"/>
        <v>0</v>
      </c>
      <c r="T117" s="2057"/>
      <c r="U117" s="550"/>
      <c r="V117" s="1661"/>
      <c r="W117" s="2916"/>
      <c r="X117" s="2812"/>
      <c r="Y117" s="2932"/>
      <c r="Z117" s="2812"/>
      <c r="AA117" s="2813"/>
      <c r="AB117" s="2812"/>
      <c r="AC117" s="190"/>
      <c r="AD117" s="190"/>
      <c r="AE117" s="190"/>
      <c r="AF117" s="190"/>
      <c r="AG117" s="190"/>
      <c r="AH117" s="190"/>
      <c r="AI117" s="190"/>
      <c r="AJ117" s="190"/>
      <c r="AK117" s="190"/>
      <c r="AL117" s="190"/>
      <c r="AM117" s="190"/>
    </row>
    <row r="118" spans="1:39" ht="14.1" customHeight="1" x14ac:dyDescent="0.2">
      <c r="A118" s="2879" t="s">
        <v>1027</v>
      </c>
      <c r="B118" s="2057"/>
      <c r="C118" s="2596"/>
      <c r="D118" s="2574"/>
      <c r="E118" s="2596"/>
      <c r="F118" s="2574"/>
      <c r="G118" s="2596"/>
      <c r="H118" s="2574"/>
      <c r="I118" s="2596"/>
      <c r="J118" s="2574"/>
      <c r="K118" s="2596"/>
      <c r="L118" s="2574"/>
      <c r="M118" s="1661"/>
      <c r="N118" s="2900">
        <f t="shared" si="13"/>
        <v>0</v>
      </c>
      <c r="O118" s="2799">
        <f t="shared" si="13"/>
        <v>0</v>
      </c>
      <c r="P118" s="2917">
        <f>+D118+J118</f>
        <v>0</v>
      </c>
      <c r="Q118" s="2799">
        <f>+E118+K118</f>
        <v>0</v>
      </c>
      <c r="R118" s="2767">
        <f t="shared" si="18"/>
        <v>0</v>
      </c>
      <c r="S118" s="2804">
        <f t="shared" si="18"/>
        <v>0</v>
      </c>
      <c r="T118" s="2057"/>
      <c r="U118" s="550"/>
      <c r="V118" s="1661"/>
      <c r="W118" s="2916"/>
      <c r="X118" s="2812"/>
      <c r="Y118" s="2932"/>
      <c r="Z118" s="2812"/>
      <c r="AA118" s="2813"/>
      <c r="AB118" s="2812"/>
      <c r="AC118" s="190"/>
      <c r="AD118" s="190"/>
      <c r="AE118" s="190"/>
      <c r="AF118" s="190"/>
      <c r="AG118" s="190"/>
      <c r="AH118" s="190"/>
      <c r="AI118" s="190"/>
      <c r="AJ118" s="190"/>
      <c r="AK118" s="190"/>
      <c r="AL118" s="190"/>
      <c r="AM118" s="190"/>
    </row>
    <row r="119" spans="1:39" ht="14.1" customHeight="1" x14ac:dyDescent="0.2">
      <c r="A119" s="2882" t="s">
        <v>1028</v>
      </c>
      <c r="B119" s="2533"/>
      <c r="C119" s="2552"/>
      <c r="D119" s="2796"/>
      <c r="E119" s="2552"/>
      <c r="F119" s="2796"/>
      <c r="G119" s="2552"/>
      <c r="H119" s="2796"/>
      <c r="I119" s="2552"/>
      <c r="J119" s="2796"/>
      <c r="K119" s="2552"/>
      <c r="L119" s="2796"/>
      <c r="M119" s="2558"/>
      <c r="N119" s="2880">
        <f t="shared" si="13"/>
        <v>0</v>
      </c>
      <c r="O119" s="2898">
        <f t="shared" si="13"/>
        <v>0</v>
      </c>
      <c r="P119" s="2798">
        <f t="shared" si="16"/>
        <v>0</v>
      </c>
      <c r="Q119" s="2815">
        <f t="shared" si="17"/>
        <v>0</v>
      </c>
      <c r="R119" s="2814">
        <f t="shared" si="18"/>
        <v>0</v>
      </c>
      <c r="S119" s="2803">
        <f t="shared" si="18"/>
        <v>0</v>
      </c>
      <c r="T119" s="2533"/>
      <c r="U119" s="2536"/>
      <c r="V119" s="2558"/>
      <c r="W119" s="2881"/>
      <c r="X119" s="2912"/>
      <c r="Y119" s="2934"/>
      <c r="Z119" s="2810"/>
      <c r="AA119" s="2811"/>
      <c r="AB119" s="2810"/>
      <c r="AC119" s="190"/>
      <c r="AD119" s="190"/>
      <c r="AE119" s="190"/>
      <c r="AF119" s="190"/>
      <c r="AG119" s="190"/>
      <c r="AH119" s="190"/>
      <c r="AI119" s="190"/>
      <c r="AJ119" s="190"/>
      <c r="AK119" s="190"/>
      <c r="AL119" s="190"/>
      <c r="AM119" s="190"/>
    </row>
    <row r="120" spans="1:39" ht="24" customHeight="1" x14ac:dyDescent="0.2">
      <c r="A120" s="3546" t="s">
        <v>1743</v>
      </c>
    </row>
    <row r="121" spans="1:39" ht="15" customHeight="1" x14ac:dyDescent="0.2">
      <c r="A121" s="10581" t="s">
        <v>1742</v>
      </c>
      <c r="B121" s="10526" t="s">
        <v>1741</v>
      </c>
      <c r="C121" s="10527"/>
      <c r="D121" s="10527"/>
      <c r="E121" s="10527"/>
      <c r="F121" s="10527"/>
      <c r="G121" s="10527"/>
      <c r="H121" s="10527"/>
      <c r="I121" s="10527"/>
      <c r="J121" s="10529"/>
      <c r="K121" s="10532" t="s">
        <v>3703</v>
      </c>
      <c r="L121" s="8129"/>
      <c r="M121" s="8129"/>
      <c r="N121" s="8129"/>
      <c r="O121" s="8129"/>
      <c r="P121" s="8127"/>
    </row>
    <row r="122" spans="1:39" ht="23.25" customHeight="1" x14ac:dyDescent="0.2">
      <c r="A122" s="10582"/>
      <c r="B122" s="10542" t="s">
        <v>2686</v>
      </c>
      <c r="C122" s="10521"/>
      <c r="D122" s="10290" t="s">
        <v>33</v>
      </c>
      <c r="E122" s="10525"/>
      <c r="F122" s="10291" t="s">
        <v>2687</v>
      </c>
      <c r="G122" s="10525"/>
      <c r="H122" s="10544" t="s">
        <v>1349</v>
      </c>
      <c r="I122" s="10545"/>
      <c r="J122" s="10546"/>
      <c r="K122" s="10533"/>
      <c r="L122" s="8168"/>
      <c r="M122" s="8168"/>
      <c r="N122" s="8168"/>
      <c r="O122" s="8168"/>
      <c r="P122" s="10534"/>
    </row>
    <row r="123" spans="1:39" ht="13.9" customHeight="1" x14ac:dyDescent="0.2">
      <c r="A123" s="10582"/>
      <c r="B123" s="10556" t="s">
        <v>17</v>
      </c>
      <c r="C123" s="10558" t="s">
        <v>18</v>
      </c>
      <c r="D123" s="9231" t="s">
        <v>17</v>
      </c>
      <c r="E123" s="9232" t="s">
        <v>18</v>
      </c>
      <c r="F123" s="8445" t="s">
        <v>17</v>
      </c>
      <c r="G123" s="10540" t="s">
        <v>18</v>
      </c>
      <c r="H123" s="1446" t="s">
        <v>1736</v>
      </c>
      <c r="I123" s="10560" t="s">
        <v>1735</v>
      </c>
      <c r="J123" s="10561"/>
      <c r="K123" s="10531" t="s">
        <v>2686</v>
      </c>
      <c r="L123" s="10525"/>
      <c r="M123" s="10291" t="s">
        <v>33</v>
      </c>
      <c r="N123" s="10521"/>
      <c r="O123" s="10290" t="s">
        <v>2687</v>
      </c>
      <c r="P123" s="10525"/>
    </row>
    <row r="124" spans="1:39" ht="24.75" customHeight="1" x14ac:dyDescent="0.2">
      <c r="A124" s="10583"/>
      <c r="B124" s="10557"/>
      <c r="C124" s="10559"/>
      <c r="D124" s="10538"/>
      <c r="E124" s="10549"/>
      <c r="F124" s="9195"/>
      <c r="G124" s="10541"/>
      <c r="H124" s="1446" t="s">
        <v>1734</v>
      </c>
      <c r="I124" s="2162" t="s">
        <v>1733</v>
      </c>
      <c r="J124" s="1447" t="s">
        <v>1732</v>
      </c>
      <c r="K124" s="2928" t="s">
        <v>17</v>
      </c>
      <c r="L124" s="2924" t="s">
        <v>18</v>
      </c>
      <c r="M124" s="2926" t="s">
        <v>17</v>
      </c>
      <c r="N124" s="1064" t="s">
        <v>18</v>
      </c>
      <c r="O124" s="940" t="s">
        <v>17</v>
      </c>
      <c r="P124" s="1064" t="s">
        <v>18</v>
      </c>
    </row>
    <row r="125" spans="1:39" x14ac:dyDescent="0.2">
      <c r="A125" s="2769" t="s">
        <v>24</v>
      </c>
      <c r="B125" s="1068">
        <f>SUM(B126:B129)</f>
        <v>0</v>
      </c>
      <c r="C125" s="948">
        <f>SUM(C126:C129)</f>
        <v>0</v>
      </c>
      <c r="D125" s="2943">
        <f>SUM(D126:D129)</f>
        <v>0</v>
      </c>
      <c r="E125" s="2944">
        <f>SUM(E126:E129)</f>
        <v>0</v>
      </c>
      <c r="F125" s="2922">
        <f t="shared" ref="F125:P125" si="19">SUM(F126:F129)</f>
        <v>0</v>
      </c>
      <c r="G125" s="583">
        <f t="shared" si="19"/>
        <v>0</v>
      </c>
      <c r="H125" s="1448">
        <f t="shared" si="19"/>
        <v>0</v>
      </c>
      <c r="I125" s="1449">
        <f t="shared" si="19"/>
        <v>0</v>
      </c>
      <c r="J125" s="1450">
        <f t="shared" si="19"/>
        <v>0</v>
      </c>
      <c r="K125" s="2949">
        <f t="shared" si="19"/>
        <v>0</v>
      </c>
      <c r="L125" s="2964">
        <f t="shared" si="19"/>
        <v>0</v>
      </c>
      <c r="M125" s="2946">
        <f t="shared" si="19"/>
        <v>0</v>
      </c>
      <c r="N125" s="1070">
        <f t="shared" si="19"/>
        <v>0</v>
      </c>
      <c r="O125" s="1069">
        <f t="shared" si="19"/>
        <v>0</v>
      </c>
      <c r="P125" s="2792">
        <f t="shared" si="19"/>
        <v>0</v>
      </c>
    </row>
    <row r="126" spans="1:39" ht="14.1" customHeight="1" x14ac:dyDescent="0.2">
      <c r="A126" s="317" t="s">
        <v>1740</v>
      </c>
      <c r="B126" s="178"/>
      <c r="C126" s="179"/>
      <c r="D126" s="824"/>
      <c r="E126" s="2496"/>
      <c r="F126" s="1828"/>
      <c r="G126" s="708"/>
      <c r="H126" s="1145"/>
      <c r="I126" s="178"/>
      <c r="J126" s="711"/>
      <c r="K126" s="2965"/>
      <c r="L126" s="2963"/>
      <c r="M126" s="2962"/>
      <c r="N126" s="2794"/>
      <c r="O126" s="2793"/>
      <c r="P126" s="2812"/>
    </row>
    <row r="127" spans="1:39" ht="14.1" customHeight="1" x14ac:dyDescent="0.2">
      <c r="A127" s="317" t="s">
        <v>1739</v>
      </c>
      <c r="B127" s="113"/>
      <c r="C127" s="138"/>
      <c r="D127" s="2574"/>
      <c r="E127" s="2596"/>
      <c r="F127" s="2852"/>
      <c r="G127" s="260"/>
      <c r="H127" s="164"/>
      <c r="I127" s="113"/>
      <c r="J127" s="578"/>
      <c r="K127" s="2916"/>
      <c r="L127" s="2812"/>
      <c r="M127" s="2932"/>
      <c r="N127" s="2812"/>
      <c r="O127" s="2813"/>
      <c r="P127" s="2812"/>
    </row>
    <row r="128" spans="1:39" ht="14.1" customHeight="1" x14ac:dyDescent="0.2">
      <c r="A128" s="317" t="s">
        <v>1738</v>
      </c>
      <c r="B128" s="113"/>
      <c r="C128" s="138"/>
      <c r="D128" s="2574"/>
      <c r="E128" s="2596"/>
      <c r="F128" s="2852"/>
      <c r="G128" s="260"/>
      <c r="H128" s="164"/>
      <c r="I128" s="113"/>
      <c r="J128" s="578"/>
      <c r="K128" s="2916"/>
      <c r="L128" s="2812"/>
      <c r="M128" s="2932"/>
      <c r="N128" s="2812"/>
      <c r="O128" s="2813"/>
      <c r="P128" s="2812"/>
    </row>
    <row r="129" spans="1:16" ht="14.1" customHeight="1" x14ac:dyDescent="0.2">
      <c r="A129" s="318" t="s">
        <v>1737</v>
      </c>
      <c r="B129" s="102"/>
      <c r="C129" s="101"/>
      <c r="D129" s="2888"/>
      <c r="E129" s="2884"/>
      <c r="F129" s="2533"/>
      <c r="G129" s="1303"/>
      <c r="H129" s="1302"/>
      <c r="I129" s="102"/>
      <c r="J129" s="254"/>
      <c r="K129" s="2913"/>
      <c r="L129" s="2912"/>
      <c r="M129" s="2934"/>
      <c r="N129" s="2810"/>
      <c r="O129" s="2811"/>
      <c r="P129" s="2810"/>
    </row>
    <row r="130" spans="1:16" ht="22.15" customHeight="1" x14ac:dyDescent="0.2">
      <c r="A130" s="3770" t="s">
        <v>3517</v>
      </c>
    </row>
    <row r="131" spans="1:16" ht="25.9" customHeight="1" x14ac:dyDescent="0.2">
      <c r="A131" s="10522" t="s">
        <v>41</v>
      </c>
      <c r="B131" s="10523" t="s">
        <v>3656</v>
      </c>
      <c r="C131" s="10535" t="s">
        <v>3654</v>
      </c>
      <c r="D131" s="8129"/>
      <c r="E131" s="8127"/>
      <c r="F131" s="9231" t="s">
        <v>1584</v>
      </c>
      <c r="G131" s="8445"/>
      <c r="H131" s="10537"/>
      <c r="I131" s="10530" t="s">
        <v>3655</v>
      </c>
      <c r="J131" s="10527"/>
      <c r="K131" s="10527"/>
      <c r="L131" s="10527"/>
      <c r="M131" s="10527"/>
      <c r="N131" s="10528"/>
    </row>
    <row r="132" spans="1:16" ht="19.899999999999999" customHeight="1" x14ac:dyDescent="0.2">
      <c r="A132" s="10522"/>
      <c r="B132" s="8190"/>
      <c r="C132" s="10536"/>
      <c r="D132" s="8168"/>
      <c r="E132" s="10534"/>
      <c r="F132" s="10538"/>
      <c r="G132" s="9195"/>
      <c r="H132" s="10539"/>
      <c r="I132" s="10531" t="s">
        <v>2686</v>
      </c>
      <c r="J132" s="10525"/>
      <c r="K132" s="10291" t="s">
        <v>33</v>
      </c>
      <c r="L132" s="10521"/>
      <c r="M132" s="10290" t="s">
        <v>2687</v>
      </c>
      <c r="N132" s="10525"/>
    </row>
    <row r="133" spans="1:16" ht="25.15" customHeight="1" x14ac:dyDescent="0.2">
      <c r="A133" s="10522" t="s">
        <v>3653</v>
      </c>
      <c r="B133" s="10524"/>
      <c r="C133" s="2967" t="s">
        <v>2686</v>
      </c>
      <c r="D133" s="3771" t="s">
        <v>33</v>
      </c>
      <c r="E133" s="2824" t="s">
        <v>2687</v>
      </c>
      <c r="F133" s="2923" t="s">
        <v>42</v>
      </c>
      <c r="G133" s="2926" t="s">
        <v>17</v>
      </c>
      <c r="H133" s="3772" t="s">
        <v>18</v>
      </c>
      <c r="I133" s="2928" t="s">
        <v>17</v>
      </c>
      <c r="J133" s="3384" t="s">
        <v>18</v>
      </c>
      <c r="K133" s="2926" t="s">
        <v>17</v>
      </c>
      <c r="L133" s="3773" t="s">
        <v>18</v>
      </c>
      <c r="M133" s="3774" t="s">
        <v>17</v>
      </c>
      <c r="N133" s="3775" t="s">
        <v>18</v>
      </c>
    </row>
    <row r="134" spans="1:16" ht="18" customHeight="1" x14ac:dyDescent="0.2">
      <c r="A134" s="8197"/>
      <c r="B134" s="3776">
        <f>SUM(B135:B140)</f>
        <v>0</v>
      </c>
      <c r="C134" s="2943">
        <f t="shared" ref="C134:H134" si="20">SUM(C135:C140)</f>
        <v>0</v>
      </c>
      <c r="D134" s="2922">
        <f t="shared" si="20"/>
        <v>0</v>
      </c>
      <c r="E134" s="3777">
        <f t="shared" si="20"/>
        <v>0</v>
      </c>
      <c r="F134" s="2943">
        <f t="shared" si="20"/>
        <v>0</v>
      </c>
      <c r="G134" s="2922">
        <f t="shared" si="20"/>
        <v>0</v>
      </c>
      <c r="H134" s="3778">
        <f t="shared" si="20"/>
        <v>0</v>
      </c>
      <c r="I134" s="2949">
        <f t="shared" ref="I134:N134" si="21">SUM(I135:I140)</f>
        <v>0</v>
      </c>
      <c r="J134" s="2956">
        <f t="shared" si="21"/>
        <v>0</v>
      </c>
      <c r="K134" s="2946">
        <f t="shared" si="21"/>
        <v>0</v>
      </c>
      <c r="L134" s="3779">
        <f t="shared" si="21"/>
        <v>0</v>
      </c>
      <c r="M134" s="3780">
        <f t="shared" si="21"/>
        <v>0</v>
      </c>
      <c r="N134" s="3779">
        <f t="shared" si="21"/>
        <v>0</v>
      </c>
    </row>
    <row r="135" spans="1:16" ht="14.1" customHeight="1" x14ac:dyDescent="0.2">
      <c r="A135" s="3781" t="s">
        <v>817</v>
      </c>
      <c r="B135" s="164"/>
      <c r="C135" s="2574"/>
      <c r="D135" s="2852"/>
      <c r="E135" s="2575"/>
      <c r="F135" s="2574"/>
      <c r="G135" s="2852"/>
      <c r="H135" s="2611"/>
      <c r="I135" s="2916"/>
      <c r="J135" s="2822"/>
      <c r="K135" s="2932"/>
      <c r="L135" s="2822"/>
      <c r="M135" s="2813"/>
      <c r="N135" s="2822"/>
    </row>
    <row r="136" spans="1:16" ht="14.1" customHeight="1" x14ac:dyDescent="0.2">
      <c r="A136" s="3782" t="s">
        <v>3657</v>
      </c>
      <c r="B136" s="164"/>
      <c r="C136" s="2574"/>
      <c r="D136" s="2852"/>
      <c r="E136" s="2575"/>
      <c r="F136" s="2574"/>
      <c r="G136" s="2852"/>
      <c r="H136" s="2611"/>
      <c r="I136" s="2916"/>
      <c r="J136" s="2822"/>
      <c r="K136" s="2932"/>
      <c r="L136" s="2822"/>
      <c r="M136" s="2813"/>
      <c r="N136" s="2822"/>
    </row>
    <row r="137" spans="1:16" ht="14.1" customHeight="1" x14ac:dyDescent="0.2">
      <c r="A137" s="3782" t="s">
        <v>3658</v>
      </c>
      <c r="B137" s="164"/>
      <c r="C137" s="2574"/>
      <c r="D137" s="2852"/>
      <c r="E137" s="2575"/>
      <c r="F137" s="2574"/>
      <c r="G137" s="2852"/>
      <c r="H137" s="2611"/>
      <c r="I137" s="2916"/>
      <c r="J137" s="2822"/>
      <c r="K137" s="2932"/>
      <c r="L137" s="2822"/>
      <c r="M137" s="2813"/>
      <c r="N137" s="2822"/>
    </row>
    <row r="138" spans="1:16" ht="14.1" customHeight="1" x14ac:dyDescent="0.2">
      <c r="A138" s="3782" t="s">
        <v>878</v>
      </c>
      <c r="B138" s="164"/>
      <c r="C138" s="2574"/>
      <c r="D138" s="2852"/>
      <c r="E138" s="2575"/>
      <c r="F138" s="2574"/>
      <c r="G138" s="2852"/>
      <c r="H138" s="2611"/>
      <c r="I138" s="2916"/>
      <c r="J138" s="2822"/>
      <c r="K138" s="2932"/>
      <c r="L138" s="2822"/>
      <c r="M138" s="2813"/>
      <c r="N138" s="2822"/>
    </row>
    <row r="139" spans="1:16" ht="14.1" customHeight="1" x14ac:dyDescent="0.2">
      <c r="A139" s="3782" t="s">
        <v>3659</v>
      </c>
      <c r="B139" s="164"/>
      <c r="C139" s="2574"/>
      <c r="D139" s="2852"/>
      <c r="E139" s="2575"/>
      <c r="F139" s="2574"/>
      <c r="G139" s="2852"/>
      <c r="H139" s="2611"/>
      <c r="I139" s="2916"/>
      <c r="J139" s="2822"/>
      <c r="K139" s="2932"/>
      <c r="L139" s="2822"/>
      <c r="M139" s="2813"/>
      <c r="N139" s="2822"/>
    </row>
    <row r="140" spans="1:16" ht="14.1" customHeight="1" x14ac:dyDescent="0.2">
      <c r="A140" s="3783" t="s">
        <v>70</v>
      </c>
      <c r="B140" s="2535"/>
      <c r="C140" s="2888"/>
      <c r="D140" s="2533"/>
      <c r="E140" s="2535"/>
      <c r="F140" s="2888"/>
      <c r="G140" s="2533"/>
      <c r="H140" s="2540"/>
      <c r="I140" s="2913"/>
      <c r="J140" s="2823"/>
      <c r="K140" s="2934"/>
      <c r="L140" s="2823"/>
      <c r="M140" s="2811"/>
      <c r="N140" s="2823"/>
    </row>
    <row r="141" spans="1:16" x14ac:dyDescent="0.2">
      <c r="A141" s="4437" t="s">
        <v>3746</v>
      </c>
      <c r="B141" s="4328"/>
      <c r="C141" s="4328"/>
      <c r="D141" s="4302"/>
    </row>
    <row r="142" spans="1:16" x14ac:dyDescent="0.2">
      <c r="A142" s="10570" t="s">
        <v>2559</v>
      </c>
      <c r="B142" s="10572" t="s">
        <v>1349</v>
      </c>
      <c r="C142" s="10573"/>
      <c r="D142" s="10574"/>
    </row>
    <row r="143" spans="1:16" ht="19.5" customHeight="1" x14ac:dyDescent="0.2">
      <c r="A143" s="10495"/>
      <c r="B143" s="4639" t="s">
        <v>1736</v>
      </c>
      <c r="C143" s="10575" t="s">
        <v>1735</v>
      </c>
      <c r="D143" s="10576"/>
    </row>
    <row r="144" spans="1:16" ht="24" customHeight="1" x14ac:dyDescent="0.2">
      <c r="A144" s="10571"/>
      <c r="B144" s="4640" t="s">
        <v>1734</v>
      </c>
      <c r="C144" s="4641" t="s">
        <v>1733</v>
      </c>
      <c r="D144" s="4642" t="s">
        <v>1732</v>
      </c>
    </row>
    <row r="145" spans="1:4" ht="14.1" customHeight="1" x14ac:dyDescent="0.2">
      <c r="A145" s="4643" t="s">
        <v>1731</v>
      </c>
      <c r="B145" s="4644"/>
      <c r="C145" s="4645"/>
      <c r="D145" s="4646"/>
    </row>
    <row r="172" spans="1:1" x14ac:dyDescent="0.2">
      <c r="A172" s="290"/>
    </row>
    <row r="180" spans="1:2" s="1440" customFormat="1" hidden="1" x14ac:dyDescent="0.2">
      <c r="A180" s="1440">
        <f>SUM(B17:AK17,B82:P84,B90:U90,B125:P125,B134:N134,B108:AB108,B145:D145)</f>
        <v>0</v>
      </c>
      <c r="B180" s="1440">
        <v>0</v>
      </c>
    </row>
  </sheetData>
  <sheetProtection algorithmName="SHA-512" hashValue="WCNQEiEz+rBaFpXUG96xmjdS9J30NJR+90iHxzJPsXaaTHf1OhtWA5bPAbhoAuJa74oRvnr+RLdveJXO+ZK3kw==" saltValue="ZbC8CNZak6JpvvW78Cn1ig==" spinCount="100000" sheet="1" objects="1" scenarios="1"/>
  <dataConsolidate link="1"/>
  <mergeCells count="117">
    <mergeCell ref="T86:U87"/>
    <mergeCell ref="A6:AE6"/>
    <mergeCell ref="Y15:Z15"/>
    <mergeCell ref="AF15:AG15"/>
    <mergeCell ref="AF14:AK14"/>
    <mergeCell ref="N15:O15"/>
    <mergeCell ref="N14:S14"/>
    <mergeCell ref="B14:G14"/>
    <mergeCell ref="F15:G15"/>
    <mergeCell ref="F80:G80"/>
    <mergeCell ref="B80:C80"/>
    <mergeCell ref="B79:G79"/>
    <mergeCell ref="AH15:AI15"/>
    <mergeCell ref="AJ15:AK15"/>
    <mergeCell ref="AC14:AE14"/>
    <mergeCell ref="AC15:AC16"/>
    <mergeCell ref="T14:V14"/>
    <mergeCell ref="H14:M14"/>
    <mergeCell ref="W14:AB14"/>
    <mergeCell ref="AD15:AE15"/>
    <mergeCell ref="AA15:AB15"/>
    <mergeCell ref="D80:E80"/>
    <mergeCell ref="I80:J80"/>
    <mergeCell ref="M80:N80"/>
    <mergeCell ref="O80:P80"/>
    <mergeCell ref="K80:L80"/>
    <mergeCell ref="K79:P79"/>
    <mergeCell ref="H15:I15"/>
    <mergeCell ref="W15:X15"/>
    <mergeCell ref="R15:S15"/>
    <mergeCell ref="T15:T16"/>
    <mergeCell ref="A142:A144"/>
    <mergeCell ref="B142:D142"/>
    <mergeCell ref="C143:D143"/>
    <mergeCell ref="B106:C106"/>
    <mergeCell ref="D106:E106"/>
    <mergeCell ref="P106:Q106"/>
    <mergeCell ref="L15:M15"/>
    <mergeCell ref="P15:Q15"/>
    <mergeCell ref="U15:V15"/>
    <mergeCell ref="A79:A81"/>
    <mergeCell ref="H79:J79"/>
    <mergeCell ref="A14:A16"/>
    <mergeCell ref="B15:C15"/>
    <mergeCell ref="D15:E15"/>
    <mergeCell ref="J15:K15"/>
    <mergeCell ref="O123:P123"/>
    <mergeCell ref="A121:A124"/>
    <mergeCell ref="B123:B124"/>
    <mergeCell ref="C123:C124"/>
    <mergeCell ref="D123:D124"/>
    <mergeCell ref="E123:E124"/>
    <mergeCell ref="I123:J123"/>
    <mergeCell ref="A86:A89"/>
    <mergeCell ref="B86:J86"/>
    <mergeCell ref="B87:C87"/>
    <mergeCell ref="D87:E87"/>
    <mergeCell ref="H87:J87"/>
    <mergeCell ref="A105:A107"/>
    <mergeCell ref="M87:N87"/>
    <mergeCell ref="O87:P87"/>
    <mergeCell ref="Q87:S87"/>
    <mergeCell ref="B88:B89"/>
    <mergeCell ref="C88:C89"/>
    <mergeCell ref="D88:D89"/>
    <mergeCell ref="E88:E89"/>
    <mergeCell ref="H88:H89"/>
    <mergeCell ref="I88:J88"/>
    <mergeCell ref="M88:M89"/>
    <mergeCell ref="K86:S86"/>
    <mergeCell ref="F88:F89"/>
    <mergeCell ref="F87:G87"/>
    <mergeCell ref="K87:L87"/>
    <mergeCell ref="F122:G122"/>
    <mergeCell ref="B122:C122"/>
    <mergeCell ref="D122:E122"/>
    <mergeCell ref="Y106:Z106"/>
    <mergeCell ref="AA106:AB106"/>
    <mergeCell ref="W106:X106"/>
    <mergeCell ref="W105:AB105"/>
    <mergeCell ref="G88:G89"/>
    <mergeCell ref="K88:K89"/>
    <mergeCell ref="L88:L89"/>
    <mergeCell ref="U88:U89"/>
    <mergeCell ref="N88:N89"/>
    <mergeCell ref="O88:O89"/>
    <mergeCell ref="P88:P89"/>
    <mergeCell ref="T88:T89"/>
    <mergeCell ref="Q88:Q89"/>
    <mergeCell ref="R88:S88"/>
    <mergeCell ref="F106:G106"/>
    <mergeCell ref="H106:I106"/>
    <mergeCell ref="T105:V105"/>
    <mergeCell ref="U106:V106"/>
    <mergeCell ref="M123:N123"/>
    <mergeCell ref="A131:A132"/>
    <mergeCell ref="B131:B133"/>
    <mergeCell ref="A133:A134"/>
    <mergeCell ref="K132:L132"/>
    <mergeCell ref="M132:N132"/>
    <mergeCell ref="B105:G105"/>
    <mergeCell ref="H105:M105"/>
    <mergeCell ref="N105:S105"/>
    <mergeCell ref="K123:L123"/>
    <mergeCell ref="K121:P122"/>
    <mergeCell ref="C131:E132"/>
    <mergeCell ref="F131:H132"/>
    <mergeCell ref="I132:J132"/>
    <mergeCell ref="I131:N131"/>
    <mergeCell ref="F123:F124"/>
    <mergeCell ref="G123:G124"/>
    <mergeCell ref="N106:O106"/>
    <mergeCell ref="J106:K106"/>
    <mergeCell ref="L106:M106"/>
    <mergeCell ref="R106:S106"/>
    <mergeCell ref="B121:J121"/>
    <mergeCell ref="H122:J122"/>
  </mergeCells>
  <dataValidations count="1">
    <dataValidation type="whole" operator="greaterThanOrEqual" allowBlank="1" showInputMessage="1" showErrorMessage="1" sqref="B18:M77 T18:AJ77 B82:P84 B91:U103 B109:M119 T109:AB119 B126:P129 B135:N140 B145:D145" xr:uid="{4B4E038C-BA89-4B3B-A9CF-3842894A9745}">
      <formula1>0</formula1>
    </dataValidation>
  </dataValidation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5F36A-A811-4FCC-988C-911BD5620DAF}">
  <sheetPr codeName="Hoja29"/>
  <dimension ref="A1:CX170"/>
  <sheetViews>
    <sheetView showGridLines="0" zoomScaleNormal="100" workbookViewId="0">
      <selection activeCell="K8" sqref="B8:K8"/>
    </sheetView>
  </sheetViews>
  <sheetFormatPr baseColWidth="10" defaultColWidth="11.42578125" defaultRowHeight="14.25" x14ac:dyDescent="0.2"/>
  <cols>
    <col min="1" max="1" width="57.42578125" style="165" customWidth="1"/>
    <col min="2" max="2" width="11.28515625" style="165" customWidth="1"/>
    <col min="3" max="3" width="12.85546875" style="165" customWidth="1"/>
    <col min="4" max="4" width="14.28515625" style="165" customWidth="1"/>
    <col min="5" max="5" width="14.7109375" style="165" customWidth="1"/>
    <col min="6" max="6" width="12.28515625" style="165" customWidth="1"/>
    <col min="7" max="7" width="13.28515625" style="165" customWidth="1"/>
    <col min="8" max="8" width="12" style="165" customWidth="1"/>
    <col min="9" max="9" width="11.7109375" style="165" customWidth="1"/>
    <col min="10" max="10" width="12" style="165" customWidth="1"/>
    <col min="11" max="11" width="11.7109375" style="165" customWidth="1"/>
    <col min="12" max="12" width="11.42578125" style="165"/>
    <col min="13" max="13" width="12.42578125" style="165" customWidth="1"/>
    <col min="14" max="14" width="11.42578125" style="165"/>
    <col min="15" max="15" width="12.28515625" style="165" customWidth="1"/>
    <col min="16" max="16" width="11.42578125" style="165"/>
    <col min="17" max="17" width="11.28515625" style="165" customWidth="1"/>
    <col min="18" max="18" width="11.42578125" style="165"/>
    <col min="19" max="19" width="10.28515625" style="165" customWidth="1"/>
    <col min="20" max="20" width="11.42578125" style="165"/>
    <col min="21" max="21" width="8.7109375" style="165" customWidth="1"/>
    <col min="22" max="22" width="13.42578125" style="165" customWidth="1"/>
    <col min="23" max="23" width="11.28515625" style="165" customWidth="1"/>
    <col min="24" max="24" width="12" style="165" customWidth="1"/>
    <col min="25" max="25" width="13.42578125" style="165" customWidth="1"/>
    <col min="26" max="27" width="11.42578125" style="165"/>
    <col min="28" max="28" width="12.7109375" style="165" customWidth="1"/>
    <col min="29" max="72" width="11.42578125" style="165"/>
    <col min="73" max="76" width="11.7109375" style="165" customWidth="1"/>
    <col min="77" max="95" width="11.7109375" style="1452" customWidth="1"/>
    <col min="96" max="96" width="11.7109375" style="165" customWidth="1"/>
    <col min="97" max="16384" width="11.42578125" style="165"/>
  </cols>
  <sheetData>
    <row r="1" spans="1:95" x14ac:dyDescent="0.2">
      <c r="A1" s="150" t="s">
        <v>206</v>
      </c>
    </row>
    <row r="2" spans="1:95" x14ac:dyDescent="0.2">
      <c r="A2" s="150" t="str">
        <f>CONCATENATE("COMUNA: ",NOMBRE!B2," - ","( ",NOMBRE!C2,NOMBRE!D2,NOMBRE!E2,NOMBRE!F2,NOMBRE!G2," )")</f>
        <v>COMUNA:  - (  )</v>
      </c>
    </row>
    <row r="3" spans="1:95" x14ac:dyDescent="0.2">
      <c r="A3" s="150" t="str">
        <f>CONCATENATE("ESTABLECIMIENTO/ESTRATEGIA: ",NOMBRE!B3," - ","( ",NOMBRE!C3,NOMBRE!D3,NOMBRE!E3,NOMBRE!F3,NOMBRE!G3,NOMBRE!H3," )")</f>
        <v>ESTABLECIMIENTO/ESTRATEGIA:  - (  )</v>
      </c>
    </row>
    <row r="4" spans="1:95" x14ac:dyDescent="0.2">
      <c r="A4" s="150" t="str">
        <f>CONCATENATE("MES: ",NOMBRE!B6," - ","( ",NOMBRE!C6,NOMBRE!D6," )")</f>
        <v>MES:  - (  )</v>
      </c>
    </row>
    <row r="5" spans="1:95" x14ac:dyDescent="0.2">
      <c r="A5" s="150" t="str">
        <f>CONCATENATE("AÑO: ",NOMBRE!B7)</f>
        <v>AÑO: 2023</v>
      </c>
    </row>
    <row r="7" spans="1:95" ht="19.5" customHeight="1" x14ac:dyDescent="0.2">
      <c r="B7" s="1060" t="s">
        <v>3916</v>
      </c>
      <c r="C7" s="1060"/>
      <c r="D7" s="1060"/>
      <c r="E7" s="1060"/>
      <c r="F7" s="1060"/>
      <c r="G7" s="1060"/>
      <c r="H7" s="1060"/>
      <c r="I7" s="1060"/>
      <c r="J7" s="1060"/>
      <c r="K7" s="684"/>
      <c r="L7" s="684"/>
      <c r="M7" s="684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BY7" s="165"/>
      <c r="BZ7" s="165"/>
      <c r="CA7" s="165"/>
      <c r="CB7" s="165"/>
      <c r="CC7" s="165"/>
      <c r="CD7" s="165"/>
      <c r="CE7" s="165"/>
      <c r="CF7" s="165"/>
      <c r="CG7" s="165"/>
      <c r="CH7" s="165"/>
      <c r="CI7" s="165"/>
      <c r="CJ7" s="165"/>
      <c r="CK7" s="165"/>
      <c r="CL7" s="165"/>
      <c r="CM7" s="165"/>
      <c r="CN7" s="165"/>
      <c r="CO7" s="165"/>
      <c r="CP7" s="165"/>
      <c r="CQ7" s="165"/>
    </row>
    <row r="8" spans="1:95" ht="16.149999999999999" customHeight="1" x14ac:dyDescent="0.25">
      <c r="A8" s="946"/>
      <c r="B8" s="13"/>
      <c r="C8" s="140"/>
      <c r="D8" s="140"/>
      <c r="E8" s="140"/>
      <c r="F8" s="7225" t="s">
        <v>3821</v>
      </c>
      <c r="G8" s="7226"/>
      <c r="H8" s="7226"/>
      <c r="I8" s="7226"/>
      <c r="J8" s="7226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BY8" s="165"/>
      <c r="BZ8" s="165"/>
      <c r="CA8" s="165"/>
      <c r="CB8" s="165"/>
      <c r="CC8" s="165"/>
      <c r="CD8" s="165"/>
      <c r="CE8" s="165"/>
      <c r="CF8" s="165"/>
      <c r="CG8" s="165"/>
      <c r="CH8" s="165"/>
      <c r="CI8" s="165"/>
      <c r="CJ8" s="165"/>
      <c r="CK8" s="165"/>
      <c r="CL8" s="165"/>
      <c r="CM8" s="165"/>
      <c r="CN8" s="165"/>
      <c r="CO8" s="165"/>
      <c r="CP8" s="165"/>
      <c r="CQ8" s="165"/>
    </row>
    <row r="9" spans="1:95" ht="16.149999999999999" customHeight="1" x14ac:dyDescent="0.2">
      <c r="A9" s="946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BY9" s="165"/>
      <c r="BZ9" s="165"/>
      <c r="CA9" s="165"/>
      <c r="CB9" s="165"/>
      <c r="CC9" s="165"/>
      <c r="CD9" s="165"/>
      <c r="CE9" s="165"/>
      <c r="CF9" s="165"/>
      <c r="CG9" s="165"/>
      <c r="CH9" s="165"/>
      <c r="CI9" s="165"/>
      <c r="CJ9" s="165"/>
      <c r="CK9" s="165"/>
      <c r="CL9" s="165"/>
      <c r="CM9" s="165"/>
      <c r="CN9" s="165"/>
      <c r="CO9" s="165"/>
      <c r="CP9" s="165"/>
      <c r="CQ9" s="165"/>
    </row>
    <row r="10" spans="1:95" ht="16.149999999999999" customHeight="1" x14ac:dyDescent="0.2">
      <c r="A10" s="670"/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65"/>
      <c r="CK10" s="165"/>
      <c r="CL10" s="165"/>
      <c r="CM10" s="165"/>
      <c r="CN10" s="165"/>
      <c r="CO10" s="165"/>
      <c r="CP10" s="165"/>
      <c r="CQ10" s="165"/>
    </row>
    <row r="11" spans="1:95" ht="18.75" customHeight="1" x14ac:dyDescent="0.2">
      <c r="A11" s="4661" t="s">
        <v>3822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BY11" s="165"/>
      <c r="BZ11" s="165"/>
      <c r="CA11" s="165"/>
      <c r="CB11" s="165"/>
      <c r="CC11" s="165"/>
      <c r="CD11" s="165"/>
      <c r="CE11" s="165"/>
      <c r="CF11" s="165"/>
      <c r="CG11" s="165"/>
      <c r="CH11" s="165"/>
      <c r="CI11" s="165"/>
      <c r="CJ11" s="165"/>
      <c r="CK11" s="165"/>
      <c r="CL11" s="165"/>
      <c r="CM11" s="165"/>
      <c r="CN11" s="165"/>
      <c r="CO11" s="165"/>
      <c r="CP11" s="165"/>
      <c r="CQ11" s="165"/>
    </row>
    <row r="12" spans="1:95" ht="20.25" customHeight="1" x14ac:dyDescent="0.2">
      <c r="A12" s="72" t="s">
        <v>3823</v>
      </c>
      <c r="B12" s="72"/>
      <c r="C12" s="72"/>
      <c r="D12" s="72"/>
      <c r="E12" s="72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BY12" s="165"/>
      <c r="BZ12" s="165"/>
      <c r="CA12" s="165"/>
      <c r="CB12" s="165"/>
      <c r="CC12" s="165"/>
      <c r="CD12" s="165"/>
      <c r="CE12" s="165"/>
      <c r="CF12" s="165"/>
      <c r="CG12" s="165"/>
      <c r="CH12" s="165"/>
      <c r="CI12" s="165"/>
      <c r="CJ12" s="165"/>
      <c r="CK12" s="165"/>
      <c r="CL12" s="165"/>
      <c r="CM12" s="165"/>
      <c r="CN12" s="165"/>
      <c r="CO12" s="165"/>
      <c r="CP12" s="165"/>
      <c r="CQ12" s="165"/>
    </row>
    <row r="13" spans="1:95" ht="37.5" customHeight="1" x14ac:dyDescent="0.2">
      <c r="A13" s="10589" t="s">
        <v>1763</v>
      </c>
      <c r="B13" s="9056" t="s">
        <v>3824</v>
      </c>
      <c r="C13" s="9057"/>
      <c r="D13" s="9057"/>
      <c r="E13" s="9068"/>
      <c r="F13" s="10446" t="s">
        <v>3825</v>
      </c>
      <c r="G13" s="10446"/>
      <c r="H13" s="10446"/>
      <c r="I13" s="9056"/>
      <c r="J13" s="9056" t="s">
        <v>3826</v>
      </c>
      <c r="K13" s="9057"/>
      <c r="L13" s="9057"/>
      <c r="M13" s="9068"/>
      <c r="N13" s="9056" t="s">
        <v>3827</v>
      </c>
      <c r="O13" s="9057"/>
      <c r="P13" s="9057"/>
      <c r="Q13" s="9068"/>
      <c r="BY13" s="165"/>
      <c r="BZ13" s="165"/>
      <c r="CA13" s="165"/>
      <c r="CB13" s="165"/>
      <c r="CC13" s="165"/>
      <c r="CD13" s="165"/>
      <c r="CE13" s="165"/>
      <c r="CF13" s="165"/>
      <c r="CG13" s="165"/>
      <c r="CH13" s="165"/>
      <c r="CI13" s="165"/>
      <c r="CJ13" s="165"/>
      <c r="CK13" s="165"/>
      <c r="CL13" s="165"/>
      <c r="CM13" s="165"/>
      <c r="CN13" s="165"/>
      <c r="CO13" s="165"/>
      <c r="CP13" s="165"/>
      <c r="CQ13" s="165"/>
    </row>
    <row r="14" spans="1:95" ht="33.75" customHeight="1" x14ac:dyDescent="0.2">
      <c r="A14" s="10590"/>
      <c r="B14" s="9069" t="s">
        <v>3828</v>
      </c>
      <c r="C14" s="9070"/>
      <c r="D14" s="9069" t="s">
        <v>3829</v>
      </c>
      <c r="E14" s="9070"/>
      <c r="F14" s="10592" t="s">
        <v>3828</v>
      </c>
      <c r="G14" s="10592"/>
      <c r="H14" s="10592" t="s">
        <v>3829</v>
      </c>
      <c r="I14" s="9069"/>
      <c r="J14" s="9069" t="s">
        <v>3828</v>
      </c>
      <c r="K14" s="9070"/>
      <c r="L14" s="9069" t="s">
        <v>3829</v>
      </c>
      <c r="M14" s="9070"/>
      <c r="N14" s="9069" t="s">
        <v>3828</v>
      </c>
      <c r="O14" s="9070"/>
      <c r="P14" s="9069" t="s">
        <v>3829</v>
      </c>
      <c r="Q14" s="9070"/>
      <c r="BY14" s="165"/>
      <c r="BZ14" s="165"/>
      <c r="CA14" s="165"/>
      <c r="CB14" s="165"/>
      <c r="CC14" s="165"/>
      <c r="CD14" s="165"/>
      <c r="CE14" s="165"/>
      <c r="CF14" s="165"/>
      <c r="CG14" s="165"/>
      <c r="CH14" s="165"/>
      <c r="CI14" s="165"/>
      <c r="CJ14" s="165"/>
      <c r="CK14" s="165"/>
      <c r="CL14" s="165"/>
      <c r="CM14" s="165"/>
      <c r="CN14" s="165"/>
      <c r="CO14" s="165"/>
      <c r="CP14" s="165"/>
      <c r="CQ14" s="165"/>
    </row>
    <row r="15" spans="1:95" ht="27.75" customHeight="1" x14ac:dyDescent="0.2">
      <c r="A15" s="10591"/>
      <c r="B15" s="7247" t="s">
        <v>17</v>
      </c>
      <c r="C15" s="7313" t="s">
        <v>18</v>
      </c>
      <c r="D15" s="7247" t="s">
        <v>17</v>
      </c>
      <c r="E15" s="7313" t="s">
        <v>18</v>
      </c>
      <c r="F15" s="7247" t="s">
        <v>17</v>
      </c>
      <c r="G15" s="7313" t="s">
        <v>18</v>
      </c>
      <c r="H15" s="7247" t="s">
        <v>17</v>
      </c>
      <c r="I15" s="7273" t="s">
        <v>18</v>
      </c>
      <c r="J15" s="7247" t="s">
        <v>17</v>
      </c>
      <c r="K15" s="7227" t="s">
        <v>18</v>
      </c>
      <c r="L15" s="7314" t="s">
        <v>17</v>
      </c>
      <c r="M15" s="7315" t="s">
        <v>18</v>
      </c>
      <c r="N15" s="7247" t="s">
        <v>17</v>
      </c>
      <c r="O15" s="7313" t="s">
        <v>18</v>
      </c>
      <c r="P15" s="7247" t="s">
        <v>17</v>
      </c>
      <c r="Q15" s="7313" t="s">
        <v>18</v>
      </c>
      <c r="BY15" s="165"/>
      <c r="BZ15" s="165"/>
      <c r="CA15" s="165"/>
      <c r="CB15" s="165"/>
      <c r="CC15" s="165"/>
      <c r="CD15" s="165"/>
      <c r="CE15" s="165"/>
      <c r="CF15" s="165"/>
      <c r="CG15" s="165"/>
      <c r="CH15" s="165"/>
      <c r="CI15" s="165"/>
      <c r="CJ15" s="165"/>
      <c r="CK15" s="165"/>
      <c r="CL15" s="165"/>
      <c r="CM15" s="165"/>
      <c r="CN15" s="165"/>
      <c r="CO15" s="165"/>
      <c r="CP15" s="165"/>
      <c r="CQ15" s="165"/>
    </row>
    <row r="16" spans="1:95" ht="16.149999999999999" customHeight="1" x14ac:dyDescent="0.2">
      <c r="A16" s="7228" t="s">
        <v>24</v>
      </c>
      <c r="B16" s="10940">
        <f>SUM(B17:B25)</f>
        <v>0</v>
      </c>
      <c r="C16" s="10941">
        <f>SUM(C17:C25)</f>
        <v>0</v>
      </c>
      <c r="D16" s="10940">
        <f>SUM(D17:D25)</f>
        <v>0</v>
      </c>
      <c r="E16" s="10941">
        <f>SUM(E17:E25)</f>
        <v>0</v>
      </c>
      <c r="F16" s="7230">
        <f>SUM(F17:F25)</f>
        <v>0</v>
      </c>
      <c r="G16" s="7229">
        <f t="shared" ref="G16:Q16" si="0">SUM(G17:G25)</f>
        <v>0</v>
      </c>
      <c r="H16" s="7230">
        <f t="shared" si="0"/>
        <v>0</v>
      </c>
      <c r="I16" s="7229">
        <f t="shared" si="0"/>
        <v>0</v>
      </c>
      <c r="J16" s="7230">
        <f t="shared" si="0"/>
        <v>0</v>
      </c>
      <c r="K16" s="7229">
        <f t="shared" si="0"/>
        <v>0</v>
      </c>
      <c r="L16" s="7248">
        <f t="shared" si="0"/>
        <v>0</v>
      </c>
      <c r="M16" s="7312">
        <f t="shared" si="0"/>
        <v>0</v>
      </c>
      <c r="N16" s="7230">
        <f>SUM(N17:N25)</f>
        <v>0</v>
      </c>
      <c r="O16" s="7229">
        <f>SUM(O17:O25)</f>
        <v>0</v>
      </c>
      <c r="P16" s="7230">
        <f t="shared" si="0"/>
        <v>0</v>
      </c>
      <c r="Q16" s="7231">
        <f t="shared" si="0"/>
        <v>0</v>
      </c>
      <c r="R16" s="7232"/>
      <c r="BY16" s="165"/>
      <c r="BZ16" s="165"/>
      <c r="CA16" s="165"/>
      <c r="CB16" s="165"/>
      <c r="CC16" s="165"/>
      <c r="CD16" s="165"/>
      <c r="CE16" s="165"/>
      <c r="CF16" s="165"/>
      <c r="CG16" s="165"/>
      <c r="CH16" s="165"/>
      <c r="CI16" s="165"/>
      <c r="CJ16" s="165"/>
      <c r="CK16" s="165"/>
      <c r="CL16" s="165"/>
      <c r="CM16" s="165"/>
      <c r="CN16" s="165"/>
      <c r="CO16" s="165"/>
      <c r="CP16" s="165"/>
      <c r="CQ16" s="165"/>
    </row>
    <row r="17" spans="1:95" ht="16.149999999999999" customHeight="1" x14ac:dyDescent="0.2">
      <c r="A17" s="7233" t="s">
        <v>264</v>
      </c>
      <c r="B17" s="10942"/>
      <c r="C17" s="10943"/>
      <c r="D17" s="10944">
        <f t="shared" ref="D17:E25" si="1">SUM(H17+L17)</f>
        <v>0</v>
      </c>
      <c r="E17" s="10945">
        <f t="shared" si="1"/>
        <v>0</v>
      </c>
      <c r="F17" s="5083"/>
      <c r="G17" s="7234"/>
      <c r="H17" s="2885"/>
      <c r="I17" s="7235"/>
      <c r="J17" s="5083"/>
      <c r="K17" s="7234"/>
      <c r="L17" s="7236"/>
      <c r="M17" s="7237"/>
      <c r="N17" s="5083"/>
      <c r="O17" s="7234"/>
      <c r="P17" s="7238"/>
      <c r="Q17" s="7239"/>
      <c r="BY17" s="165"/>
      <c r="BZ17" s="165"/>
      <c r="CA17" s="165"/>
      <c r="CB17" s="165"/>
      <c r="CC17" s="165"/>
      <c r="CD17" s="165"/>
      <c r="CE17" s="165"/>
      <c r="CF17" s="165"/>
      <c r="CG17" s="165"/>
      <c r="CH17" s="165"/>
      <c r="CI17" s="165"/>
      <c r="CJ17" s="165"/>
      <c r="CK17" s="165"/>
      <c r="CL17" s="165"/>
      <c r="CM17" s="165"/>
      <c r="CN17" s="165"/>
      <c r="CO17" s="165"/>
      <c r="CP17" s="165"/>
      <c r="CQ17" s="165"/>
    </row>
    <row r="18" spans="1:95" ht="16.149999999999999" customHeight="1" x14ac:dyDescent="0.2">
      <c r="A18" s="7233" t="s">
        <v>267</v>
      </c>
      <c r="B18" s="10946">
        <f>SUM(F18+J18)</f>
        <v>0</v>
      </c>
      <c r="C18" s="10945">
        <f>SUM(G18+K18)</f>
        <v>0</v>
      </c>
      <c r="D18" s="10947">
        <f t="shared" si="1"/>
        <v>0</v>
      </c>
      <c r="E18" s="10945">
        <f t="shared" si="1"/>
        <v>0</v>
      </c>
      <c r="F18" s="2885"/>
      <c r="G18" s="4956"/>
      <c r="H18" s="2885"/>
      <c r="I18" s="7235"/>
      <c r="J18" s="2885"/>
      <c r="K18" s="4956"/>
      <c r="L18" s="2915"/>
      <c r="M18" s="2889"/>
      <c r="N18" s="7238"/>
      <c r="O18" s="7239"/>
      <c r="P18" s="7238"/>
      <c r="Q18" s="7239"/>
      <c r="BY18" s="165"/>
      <c r="BZ18" s="165"/>
      <c r="CA18" s="165"/>
      <c r="CB18" s="165"/>
      <c r="CC18" s="165"/>
      <c r="CD18" s="165"/>
      <c r="CE18" s="165"/>
      <c r="CF18" s="165"/>
      <c r="CG18" s="165"/>
      <c r="CH18" s="165"/>
      <c r="CI18" s="165"/>
      <c r="CJ18" s="165"/>
      <c r="CK18" s="165"/>
      <c r="CL18" s="165"/>
      <c r="CM18" s="165"/>
      <c r="CN18" s="165"/>
      <c r="CO18" s="165"/>
      <c r="CP18" s="165"/>
      <c r="CQ18" s="165"/>
    </row>
    <row r="19" spans="1:95" ht="16.149999999999999" customHeight="1" x14ac:dyDescent="0.2">
      <c r="A19" s="7233" t="s">
        <v>270</v>
      </c>
      <c r="B19" s="10948"/>
      <c r="C19" s="10949"/>
      <c r="D19" s="10947">
        <f t="shared" si="1"/>
        <v>0</v>
      </c>
      <c r="E19" s="10945">
        <f t="shared" si="1"/>
        <v>0</v>
      </c>
      <c r="F19" s="5083"/>
      <c r="G19" s="7234"/>
      <c r="H19" s="2885"/>
      <c r="I19" s="7235"/>
      <c r="J19" s="5083"/>
      <c r="K19" s="7234"/>
      <c r="L19" s="2915"/>
      <c r="M19" s="4956"/>
      <c r="N19" s="5083"/>
      <c r="O19" s="7234"/>
      <c r="P19" s="7238"/>
      <c r="Q19" s="7239"/>
      <c r="BY19" s="165"/>
      <c r="BZ19" s="165"/>
      <c r="CA19" s="165"/>
      <c r="CB19" s="165"/>
      <c r="CC19" s="165"/>
      <c r="CD19" s="165"/>
      <c r="CE19" s="165"/>
      <c r="CF19" s="165"/>
      <c r="CG19" s="165"/>
      <c r="CH19" s="165"/>
      <c r="CI19" s="165"/>
      <c r="CJ19" s="165"/>
      <c r="CK19" s="165"/>
      <c r="CL19" s="165"/>
      <c r="CM19" s="165"/>
      <c r="CN19" s="165"/>
      <c r="CO19" s="165"/>
      <c r="CP19" s="165"/>
      <c r="CQ19" s="165"/>
    </row>
    <row r="20" spans="1:95" ht="16.149999999999999" customHeight="1" x14ac:dyDescent="0.2">
      <c r="A20" s="7233" t="s">
        <v>286</v>
      </c>
      <c r="B20" s="10948"/>
      <c r="C20" s="10949"/>
      <c r="D20" s="10947">
        <f t="shared" si="1"/>
        <v>0</v>
      </c>
      <c r="E20" s="10945">
        <f t="shared" si="1"/>
        <v>0</v>
      </c>
      <c r="F20" s="3828"/>
      <c r="G20" s="3895"/>
      <c r="H20" s="2885"/>
      <c r="I20" s="7235"/>
      <c r="J20" s="3828"/>
      <c r="K20" s="3895"/>
      <c r="L20" s="2915"/>
      <c r="M20" s="4956"/>
      <c r="N20" s="5150"/>
      <c r="O20" s="2608"/>
      <c r="P20" s="7240"/>
      <c r="Q20" s="2812"/>
      <c r="BY20" s="165"/>
      <c r="BZ20" s="165"/>
      <c r="CA20" s="165"/>
      <c r="CB20" s="165"/>
      <c r="CC20" s="165"/>
      <c r="CD20" s="165"/>
      <c r="CE20" s="165"/>
      <c r="CF20" s="165"/>
      <c r="CG20" s="165"/>
      <c r="CH20" s="165"/>
      <c r="CI20" s="165"/>
      <c r="CJ20" s="165"/>
      <c r="CK20" s="165"/>
      <c r="CL20" s="165"/>
      <c r="CM20" s="165"/>
      <c r="CN20" s="165"/>
      <c r="CO20" s="165"/>
      <c r="CP20" s="165"/>
      <c r="CQ20" s="165"/>
    </row>
    <row r="21" spans="1:95" ht="16.149999999999999" customHeight="1" x14ac:dyDescent="0.2">
      <c r="A21" s="7233" t="s">
        <v>3830</v>
      </c>
      <c r="B21" s="10946">
        <f>SUM(F21+J21)</f>
        <v>0</v>
      </c>
      <c r="C21" s="10945">
        <f>SUM(G21+K21)</f>
        <v>0</v>
      </c>
      <c r="D21" s="10947">
        <f t="shared" si="1"/>
        <v>0</v>
      </c>
      <c r="E21" s="10945">
        <f t="shared" si="1"/>
        <v>0</v>
      </c>
      <c r="F21" s="3399"/>
      <c r="G21" s="3331"/>
      <c r="H21" s="2885"/>
      <c r="I21" s="7235"/>
      <c r="J21" s="3399"/>
      <c r="K21" s="3331"/>
      <c r="L21" s="2886"/>
      <c r="M21" s="4956"/>
      <c r="N21" s="7238"/>
      <c r="O21" s="7239"/>
      <c r="P21" s="7240"/>
      <c r="Q21" s="2812"/>
      <c r="BY21" s="165"/>
      <c r="BZ21" s="165"/>
      <c r="CA21" s="165"/>
      <c r="CB21" s="165"/>
      <c r="CC21" s="165"/>
      <c r="CD21" s="165"/>
      <c r="CE21" s="165"/>
      <c r="CF21" s="165"/>
      <c r="CG21" s="165"/>
      <c r="CH21" s="165"/>
      <c r="CI21" s="165"/>
      <c r="CJ21" s="165"/>
      <c r="CK21" s="165"/>
      <c r="CL21" s="165"/>
      <c r="CM21" s="165"/>
      <c r="CN21" s="165"/>
      <c r="CO21" s="165"/>
      <c r="CP21" s="165"/>
      <c r="CQ21" s="165"/>
    </row>
    <row r="22" spans="1:95" ht="16.149999999999999" customHeight="1" x14ac:dyDescent="0.2">
      <c r="A22" s="7233" t="s">
        <v>3831</v>
      </c>
      <c r="B22" s="10948"/>
      <c r="C22" s="10949"/>
      <c r="D22" s="10947">
        <f t="shared" si="1"/>
        <v>0</v>
      </c>
      <c r="E22" s="10945">
        <f t="shared" si="1"/>
        <v>0</v>
      </c>
      <c r="F22" s="3828"/>
      <c r="G22" s="3895"/>
      <c r="H22" s="2885"/>
      <c r="I22" s="7235"/>
      <c r="J22" s="3828"/>
      <c r="K22" s="3895"/>
      <c r="L22" s="2915"/>
      <c r="M22" s="4956"/>
      <c r="N22" s="5150"/>
      <c r="O22" s="2608"/>
      <c r="P22" s="7240"/>
      <c r="Q22" s="2812"/>
      <c r="BY22" s="165"/>
      <c r="BZ22" s="165"/>
      <c r="CA22" s="165"/>
      <c r="CB22" s="165"/>
      <c r="CC22" s="165"/>
      <c r="CD22" s="165"/>
      <c r="CE22" s="165"/>
      <c r="CF22" s="165"/>
      <c r="CG22" s="165"/>
      <c r="CH22" s="165"/>
      <c r="CI22" s="165"/>
      <c r="CJ22" s="165"/>
      <c r="CK22" s="165"/>
      <c r="CL22" s="165"/>
      <c r="CM22" s="165"/>
      <c r="CN22" s="165"/>
      <c r="CO22" s="165"/>
      <c r="CP22" s="165"/>
      <c r="CQ22" s="165"/>
    </row>
    <row r="23" spans="1:95" ht="16.149999999999999" customHeight="1" x14ac:dyDescent="0.2">
      <c r="A23" s="7241" t="s">
        <v>3832</v>
      </c>
      <c r="B23" s="10948"/>
      <c r="C23" s="10949"/>
      <c r="D23" s="10947">
        <f t="shared" si="1"/>
        <v>0</v>
      </c>
      <c r="E23" s="10945">
        <f t="shared" si="1"/>
        <v>0</v>
      </c>
      <c r="F23" s="3828"/>
      <c r="G23" s="3895"/>
      <c r="H23" s="2885"/>
      <c r="I23" s="7235"/>
      <c r="J23" s="3828"/>
      <c r="K23" s="3895"/>
      <c r="L23" s="2915"/>
      <c r="M23" s="2889"/>
      <c r="N23" s="5150"/>
      <c r="O23" s="2608"/>
      <c r="P23" s="7240"/>
      <c r="Q23" s="2812"/>
      <c r="BY23" s="165"/>
      <c r="BZ23" s="165"/>
      <c r="CA23" s="165"/>
      <c r="CB23" s="165"/>
      <c r="CC23" s="165"/>
      <c r="CD23" s="165"/>
      <c r="CE23" s="165"/>
      <c r="CF23" s="165"/>
      <c r="CG23" s="165"/>
      <c r="CH23" s="165"/>
      <c r="CI23" s="165"/>
      <c r="CJ23" s="165"/>
      <c r="CK23" s="165"/>
      <c r="CL23" s="165"/>
      <c r="CM23" s="165"/>
      <c r="CN23" s="165"/>
      <c r="CO23" s="165"/>
      <c r="CP23" s="165"/>
      <c r="CQ23" s="165"/>
    </row>
    <row r="24" spans="1:95" ht="16.149999999999999" customHeight="1" x14ac:dyDescent="0.2">
      <c r="A24" s="7241" t="s">
        <v>3833</v>
      </c>
      <c r="B24" s="10946">
        <f>SUM(F24+J24)</f>
        <v>0</v>
      </c>
      <c r="C24" s="10945">
        <f>SUM(G24+K24)</f>
        <v>0</v>
      </c>
      <c r="D24" s="10947">
        <f t="shared" si="1"/>
        <v>0</v>
      </c>
      <c r="E24" s="10945">
        <f t="shared" si="1"/>
        <v>0</v>
      </c>
      <c r="F24" s="3278"/>
      <c r="G24" s="2596"/>
      <c r="H24" s="3278"/>
      <c r="I24" s="3319"/>
      <c r="J24" s="3278"/>
      <c r="K24" s="2596"/>
      <c r="L24" s="2886"/>
      <c r="M24" s="4956"/>
      <c r="N24" s="7240"/>
      <c r="O24" s="2812"/>
      <c r="P24" s="7240"/>
      <c r="Q24" s="2812"/>
      <c r="BY24" s="165"/>
      <c r="BZ24" s="165"/>
      <c r="CA24" s="165"/>
      <c r="CB24" s="165"/>
      <c r="CC24" s="165"/>
      <c r="CD24" s="165"/>
      <c r="CE24" s="165"/>
      <c r="CF24" s="165"/>
      <c r="CG24" s="165"/>
      <c r="CH24" s="165"/>
      <c r="CI24" s="165"/>
      <c r="CJ24" s="165"/>
      <c r="CK24" s="165"/>
      <c r="CL24" s="165"/>
      <c r="CM24" s="165"/>
      <c r="CN24" s="165"/>
      <c r="CO24" s="165"/>
      <c r="CP24" s="165"/>
      <c r="CQ24" s="165"/>
    </row>
    <row r="25" spans="1:95" ht="16.149999999999999" customHeight="1" x14ac:dyDescent="0.2">
      <c r="A25" s="7242" t="s">
        <v>3834</v>
      </c>
      <c r="B25" s="10950">
        <f>SUM(F25+J25)</f>
        <v>0</v>
      </c>
      <c r="C25" s="10951">
        <f>SUM(G25+K25)</f>
        <v>0</v>
      </c>
      <c r="D25" s="10950">
        <f t="shared" si="1"/>
        <v>0</v>
      </c>
      <c r="E25" s="10951">
        <f t="shared" si="1"/>
        <v>0</v>
      </c>
      <c r="F25" s="3248"/>
      <c r="G25" s="2884"/>
      <c r="H25" s="3248"/>
      <c r="I25" s="2711"/>
      <c r="J25" s="3248"/>
      <c r="K25" s="2884"/>
      <c r="L25" s="2533"/>
      <c r="M25" s="3249"/>
      <c r="N25" s="7243"/>
      <c r="O25" s="2912"/>
      <c r="P25" s="7243"/>
      <c r="Q25" s="2912"/>
      <c r="BY25" s="165"/>
      <c r="BZ25" s="165"/>
      <c r="CA25" s="165"/>
      <c r="CB25" s="165"/>
      <c r="CC25" s="165"/>
      <c r="CD25" s="165"/>
      <c r="CE25" s="165"/>
      <c r="CF25" s="165"/>
      <c r="CG25" s="165"/>
      <c r="CH25" s="165"/>
      <c r="CI25" s="165"/>
      <c r="CJ25" s="165"/>
      <c r="CK25" s="165"/>
      <c r="CL25" s="165"/>
      <c r="CM25" s="165"/>
      <c r="CN25" s="165"/>
      <c r="CO25" s="165"/>
      <c r="CP25" s="165"/>
      <c r="CQ25" s="165"/>
    </row>
    <row r="26" spans="1:95" ht="21" customHeight="1" x14ac:dyDescent="0.2">
      <c r="A26" s="10593" t="s">
        <v>3835</v>
      </c>
      <c r="B26" s="10593"/>
      <c r="C26" s="10593"/>
      <c r="D26" s="10593"/>
      <c r="E26" s="10593"/>
      <c r="F26" s="10593"/>
      <c r="G26" s="7317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BY26" s="165"/>
      <c r="BZ26" s="165"/>
      <c r="CA26" s="165"/>
      <c r="CB26" s="165"/>
      <c r="CC26" s="165"/>
      <c r="CD26" s="165"/>
      <c r="CE26" s="165"/>
      <c r="CF26" s="165"/>
      <c r="CG26" s="165"/>
      <c r="CH26" s="165"/>
      <c r="CI26" s="165"/>
      <c r="CJ26" s="165"/>
      <c r="CK26" s="165"/>
      <c r="CL26" s="165"/>
      <c r="CM26" s="165"/>
      <c r="CN26" s="165"/>
      <c r="CO26" s="165"/>
      <c r="CP26" s="165"/>
      <c r="CQ26" s="165"/>
    </row>
    <row r="27" spans="1:95" ht="37.5" customHeight="1" x14ac:dyDescent="0.2">
      <c r="A27" s="10594" t="s">
        <v>1763</v>
      </c>
      <c r="B27" s="10446" t="s">
        <v>3836</v>
      </c>
      <c r="C27" s="10446"/>
      <c r="D27" s="10446"/>
      <c r="E27" s="10446"/>
      <c r="F27" s="10446" t="s">
        <v>3837</v>
      </c>
      <c r="G27" s="10446"/>
      <c r="H27" s="10446"/>
      <c r="I27" s="10446"/>
      <c r="J27" s="10446" t="s">
        <v>3838</v>
      </c>
      <c r="K27" s="10446"/>
      <c r="L27" s="10446"/>
      <c r="M27" s="10446"/>
      <c r="N27" s="9056" t="s">
        <v>3839</v>
      </c>
      <c r="O27" s="10597"/>
      <c r="P27" s="10597"/>
      <c r="Q27" s="9068"/>
      <c r="BY27" s="165"/>
      <c r="BZ27" s="165"/>
      <c r="CA27" s="165"/>
      <c r="CB27" s="165"/>
      <c r="CC27" s="165"/>
      <c r="CD27" s="165"/>
      <c r="CE27" s="165"/>
      <c r="CF27" s="165"/>
      <c r="CG27" s="165"/>
      <c r="CH27" s="165"/>
      <c r="CI27" s="165"/>
      <c r="CJ27" s="165"/>
      <c r="CK27" s="165"/>
      <c r="CL27" s="165"/>
      <c r="CM27" s="165"/>
      <c r="CN27" s="165"/>
      <c r="CO27" s="165"/>
      <c r="CP27" s="165"/>
      <c r="CQ27" s="165"/>
    </row>
    <row r="28" spans="1:95" ht="33.75" customHeight="1" x14ac:dyDescent="0.2">
      <c r="A28" s="10595"/>
      <c r="B28" s="10592" t="s">
        <v>3828</v>
      </c>
      <c r="C28" s="10592"/>
      <c r="D28" s="10592" t="s">
        <v>3829</v>
      </c>
      <c r="E28" s="10592"/>
      <c r="F28" s="9069" t="s">
        <v>3828</v>
      </c>
      <c r="G28" s="9070"/>
      <c r="H28" s="9069" t="s">
        <v>3829</v>
      </c>
      <c r="I28" s="9070"/>
      <c r="J28" s="10592" t="s">
        <v>3828</v>
      </c>
      <c r="K28" s="10592"/>
      <c r="L28" s="10592" t="s">
        <v>3829</v>
      </c>
      <c r="M28" s="10592"/>
      <c r="N28" s="9069" t="s">
        <v>3828</v>
      </c>
      <c r="O28" s="9070"/>
      <c r="P28" s="9069" t="s">
        <v>3829</v>
      </c>
      <c r="Q28" s="9070"/>
      <c r="BY28" s="165"/>
      <c r="BZ28" s="165"/>
      <c r="CA28" s="165"/>
      <c r="CB28" s="165"/>
      <c r="CC28" s="165"/>
      <c r="CD28" s="165"/>
      <c r="CE28" s="165"/>
      <c r="CF28" s="165"/>
      <c r="CG28" s="165"/>
      <c r="CH28" s="165"/>
      <c r="CI28" s="165"/>
      <c r="CJ28" s="165"/>
      <c r="CK28" s="165"/>
      <c r="CL28" s="165"/>
      <c r="CM28" s="165"/>
      <c r="CN28" s="165"/>
      <c r="CO28" s="165"/>
      <c r="CP28" s="165"/>
      <c r="CQ28" s="165"/>
    </row>
    <row r="29" spans="1:95" ht="27.75" customHeight="1" x14ac:dyDescent="0.2">
      <c r="A29" s="10596"/>
      <c r="B29" s="7247" t="s">
        <v>17</v>
      </c>
      <c r="C29" s="7313" t="s">
        <v>18</v>
      </c>
      <c r="D29" s="7247" t="s">
        <v>17</v>
      </c>
      <c r="E29" s="7313" t="s">
        <v>18</v>
      </c>
      <c r="F29" s="7247" t="s">
        <v>17</v>
      </c>
      <c r="G29" s="7313" t="s">
        <v>18</v>
      </c>
      <c r="H29" s="7247" t="s">
        <v>17</v>
      </c>
      <c r="I29" s="7313" t="s">
        <v>18</v>
      </c>
      <c r="J29" s="7247" t="s">
        <v>17</v>
      </c>
      <c r="K29" s="7313" t="s">
        <v>18</v>
      </c>
      <c r="L29" s="7247" t="s">
        <v>17</v>
      </c>
      <c r="M29" s="7313" t="s">
        <v>18</v>
      </c>
      <c r="N29" s="7247" t="s">
        <v>17</v>
      </c>
      <c r="O29" s="7313" t="s">
        <v>18</v>
      </c>
      <c r="P29" s="7247" t="s">
        <v>17</v>
      </c>
      <c r="Q29" s="7313" t="s">
        <v>18</v>
      </c>
      <c r="BY29" s="165"/>
      <c r="BZ29" s="165"/>
      <c r="CA29" s="165"/>
      <c r="CB29" s="165"/>
      <c r="CC29" s="165"/>
      <c r="CD29" s="165"/>
      <c r="CE29" s="165"/>
      <c r="CF29" s="165"/>
      <c r="CG29" s="165"/>
      <c r="CH29" s="165"/>
      <c r="CI29" s="165"/>
      <c r="CJ29" s="165"/>
      <c r="CK29" s="165"/>
      <c r="CL29" s="165"/>
      <c r="CM29" s="165"/>
      <c r="CN29" s="165"/>
      <c r="CO29" s="165"/>
      <c r="CP29" s="165"/>
      <c r="CQ29" s="165"/>
    </row>
    <row r="30" spans="1:95" ht="16.149999999999999" customHeight="1" x14ac:dyDescent="0.2">
      <c r="A30" s="7228" t="s">
        <v>24</v>
      </c>
      <c r="B30" s="7248">
        <f>SUM(B31+B34+B36+B37+B38)</f>
        <v>0</v>
      </c>
      <c r="C30" s="7318">
        <f>SUM(C31+C34+C36+C37+C38)</f>
        <v>0</v>
      </c>
      <c r="D30" s="7248">
        <f>SUM(D31:D38)</f>
        <v>0</v>
      </c>
      <c r="E30" s="7318">
        <f>SUM(E31:E38)</f>
        <v>0</v>
      </c>
      <c r="F30" s="7248">
        <f>SUM(F31+F34+F36+F37+F38)</f>
        <v>0</v>
      </c>
      <c r="G30" s="7248">
        <f>SUM(G31+G34+G36+G37+G38)</f>
        <v>0</v>
      </c>
      <c r="H30" s="7248">
        <f>SUM(H31:H38)</f>
        <v>0</v>
      </c>
      <c r="I30" s="7248">
        <f>SUM(I31:I38)</f>
        <v>0</v>
      </c>
      <c r="J30" s="7248">
        <f>SUM(J31+J34+J36+J37+J38)</f>
        <v>0</v>
      </c>
      <c r="K30" s="7248">
        <f>SUM(K31+K34+K36+K37+K38)</f>
        <v>0</v>
      </c>
      <c r="L30" s="7248">
        <f>SUM(L31:L38)</f>
        <v>0</v>
      </c>
      <c r="M30" s="7248">
        <f>SUM(M31:M38)</f>
        <v>0</v>
      </c>
      <c r="N30" s="7248">
        <f>SUM(N31+N34+N36+N37+N38)</f>
        <v>0</v>
      </c>
      <c r="O30" s="7248">
        <f>SUM(O31+O34+O36+O37+O38)</f>
        <v>0</v>
      </c>
      <c r="P30" s="7248">
        <f>SUM(P31:P38)</f>
        <v>0</v>
      </c>
      <c r="Q30" s="7249">
        <f>SUM(Q31:Q38)</f>
        <v>0</v>
      </c>
      <c r="BY30" s="165"/>
      <c r="BZ30" s="165"/>
      <c r="CA30" s="165"/>
      <c r="CB30" s="165"/>
      <c r="CC30" s="165"/>
      <c r="CD30" s="165"/>
      <c r="CE30" s="165"/>
      <c r="CF30" s="165"/>
      <c r="CG30" s="165"/>
      <c r="CH30" s="165"/>
      <c r="CI30" s="165"/>
      <c r="CJ30" s="165"/>
      <c r="CK30" s="165"/>
      <c r="CL30" s="165"/>
      <c r="CM30" s="165"/>
      <c r="CN30" s="165"/>
      <c r="CO30" s="165"/>
      <c r="CP30" s="165"/>
      <c r="CQ30" s="165"/>
    </row>
    <row r="31" spans="1:95" s="290" customFormat="1" ht="16.149999999999999" customHeight="1" x14ac:dyDescent="0.2">
      <c r="A31" s="7233" t="s">
        <v>267</v>
      </c>
      <c r="B31" s="7250">
        <f>SUM(F31+J31)</f>
        <v>0</v>
      </c>
      <c r="C31" s="7251">
        <f>SUM(G31+K31)</f>
        <v>0</v>
      </c>
      <c r="D31" s="7250">
        <f>SUM(H31+L31)</f>
        <v>0</v>
      </c>
      <c r="E31" s="7251">
        <f>SUM(I31+M31)</f>
        <v>0</v>
      </c>
      <c r="F31" s="7252"/>
      <c r="G31" s="7237"/>
      <c r="H31" s="7252"/>
      <c r="I31" s="7237"/>
      <c r="J31" s="7252"/>
      <c r="K31" s="7237"/>
      <c r="L31" s="7252"/>
      <c r="M31" s="7237"/>
      <c r="N31" s="7253"/>
      <c r="O31" s="7254"/>
      <c r="P31" s="7253"/>
      <c r="Q31" s="7254"/>
    </row>
    <row r="32" spans="1:95" ht="16.149999999999999" customHeight="1" x14ac:dyDescent="0.2">
      <c r="A32" s="7233" t="s">
        <v>3840</v>
      </c>
      <c r="B32" s="5083"/>
      <c r="C32" s="7234"/>
      <c r="D32" s="7255">
        <f t="shared" ref="D32:E38" si="2">SUM(H32+L32)</f>
        <v>0</v>
      </c>
      <c r="E32" s="7256">
        <f t="shared" si="2"/>
        <v>0</v>
      </c>
      <c r="F32" s="5083"/>
      <c r="G32" s="7234"/>
      <c r="H32" s="2885"/>
      <c r="I32" s="4956"/>
      <c r="J32" s="5083"/>
      <c r="K32" s="7234"/>
      <c r="L32" s="2885"/>
      <c r="M32" s="4956"/>
      <c r="N32" s="5083"/>
      <c r="O32" s="7234"/>
      <c r="P32" s="7238"/>
      <c r="Q32" s="7239"/>
      <c r="R32" s="214"/>
      <c r="S32" s="214"/>
      <c r="T32" s="214"/>
      <c r="BY32" s="165"/>
      <c r="BZ32" s="165"/>
      <c r="CA32" s="165"/>
      <c r="CB32" s="165"/>
      <c r="CC32" s="165"/>
      <c r="CD32" s="165"/>
      <c r="CE32" s="165"/>
      <c r="CF32" s="165"/>
      <c r="CG32" s="165"/>
      <c r="CH32" s="165"/>
      <c r="CI32" s="165"/>
      <c r="CJ32" s="165"/>
      <c r="CK32" s="165"/>
      <c r="CL32" s="165"/>
      <c r="CM32" s="165"/>
      <c r="CN32" s="165"/>
      <c r="CO32" s="165"/>
      <c r="CP32" s="165"/>
      <c r="CQ32" s="165"/>
    </row>
    <row r="33" spans="1:102" ht="16.149999999999999" customHeight="1" x14ac:dyDescent="0.2">
      <c r="A33" s="7233" t="s">
        <v>3830</v>
      </c>
      <c r="B33" s="5083"/>
      <c r="C33" s="7234"/>
      <c r="D33" s="7255">
        <f t="shared" si="2"/>
        <v>0</v>
      </c>
      <c r="E33" s="7256">
        <f t="shared" si="2"/>
        <v>0</v>
      </c>
      <c r="F33" s="5083"/>
      <c r="G33" s="7234"/>
      <c r="H33" s="2885"/>
      <c r="I33" s="4956"/>
      <c r="J33" s="5083"/>
      <c r="K33" s="7234"/>
      <c r="L33" s="2885"/>
      <c r="M33" s="4956"/>
      <c r="N33" s="5083"/>
      <c r="O33" s="7234"/>
      <c r="P33" s="7238"/>
      <c r="Q33" s="7239"/>
      <c r="R33" s="214"/>
      <c r="S33" s="214"/>
      <c r="T33" s="214"/>
      <c r="BY33" s="165"/>
      <c r="BZ33" s="165"/>
      <c r="CA33" s="165"/>
      <c r="CB33" s="165"/>
      <c r="CC33" s="165"/>
      <c r="CD33" s="165"/>
      <c r="CE33" s="165"/>
      <c r="CF33" s="165"/>
      <c r="CG33" s="165"/>
      <c r="CH33" s="165"/>
      <c r="CI33" s="165"/>
      <c r="CJ33" s="165"/>
      <c r="CK33" s="165"/>
      <c r="CL33" s="165"/>
      <c r="CM33" s="165"/>
      <c r="CN33" s="165"/>
      <c r="CO33" s="165"/>
      <c r="CP33" s="165"/>
      <c r="CQ33" s="165"/>
    </row>
    <row r="34" spans="1:102" ht="16.149999999999999" customHeight="1" x14ac:dyDescent="0.2">
      <c r="A34" s="7233" t="s">
        <v>3917</v>
      </c>
      <c r="B34" s="7255">
        <f>SUM(F34+J34)</f>
        <v>0</v>
      </c>
      <c r="C34" s="7256">
        <f>SUM(G34+K34)</f>
        <v>0</v>
      </c>
      <c r="D34" s="7255">
        <f t="shared" si="2"/>
        <v>0</v>
      </c>
      <c r="E34" s="7256">
        <f t="shared" si="2"/>
        <v>0</v>
      </c>
      <c r="F34" s="2885"/>
      <c r="G34" s="4956"/>
      <c r="H34" s="2885"/>
      <c r="I34" s="4956"/>
      <c r="J34" s="2885"/>
      <c r="K34" s="4956"/>
      <c r="L34" s="2885"/>
      <c r="M34" s="4956"/>
      <c r="N34" s="7238"/>
      <c r="O34" s="7239"/>
      <c r="P34" s="7238"/>
      <c r="Q34" s="7239"/>
      <c r="R34" s="214"/>
      <c r="S34" s="214"/>
      <c r="T34" s="214"/>
      <c r="BY34" s="165"/>
      <c r="BZ34" s="165"/>
      <c r="CA34" s="165"/>
      <c r="CB34" s="165"/>
      <c r="CC34" s="165"/>
      <c r="CD34" s="165"/>
      <c r="CE34" s="165"/>
      <c r="CF34" s="165"/>
      <c r="CG34" s="165"/>
      <c r="CH34" s="165"/>
      <c r="CI34" s="165"/>
      <c r="CJ34" s="165"/>
      <c r="CK34" s="165"/>
      <c r="CL34" s="165"/>
      <c r="CM34" s="165"/>
      <c r="CN34" s="165"/>
      <c r="CO34" s="165"/>
      <c r="CP34" s="165"/>
      <c r="CQ34" s="165"/>
    </row>
    <row r="35" spans="1:102" ht="16.149999999999999" customHeight="1" x14ac:dyDescent="0.2">
      <c r="A35" s="7233" t="s">
        <v>110</v>
      </c>
      <c r="B35" s="5083"/>
      <c r="C35" s="7234"/>
      <c r="D35" s="7255">
        <f t="shared" si="2"/>
        <v>0</v>
      </c>
      <c r="E35" s="7256">
        <f t="shared" si="2"/>
        <v>0</v>
      </c>
      <c r="F35" s="5083"/>
      <c r="G35" s="7234"/>
      <c r="H35" s="2885"/>
      <c r="I35" s="4956"/>
      <c r="J35" s="5083"/>
      <c r="K35" s="7234"/>
      <c r="L35" s="2885"/>
      <c r="M35" s="4956"/>
      <c r="N35" s="5083"/>
      <c r="O35" s="7234"/>
      <c r="P35" s="7238"/>
      <c r="Q35" s="7239"/>
      <c r="R35" s="214"/>
      <c r="S35" s="214"/>
      <c r="T35" s="214"/>
      <c r="BY35" s="165"/>
      <c r="BZ35" s="165"/>
      <c r="CA35" s="165"/>
      <c r="CB35" s="165"/>
      <c r="CC35" s="165"/>
      <c r="CD35" s="165"/>
      <c r="CE35" s="165"/>
      <c r="CF35" s="165"/>
      <c r="CG35" s="165"/>
      <c r="CH35" s="165"/>
      <c r="CI35" s="165"/>
      <c r="CJ35" s="165"/>
      <c r="CK35" s="165"/>
      <c r="CL35" s="165"/>
      <c r="CM35" s="165"/>
      <c r="CN35" s="165"/>
      <c r="CO35" s="165"/>
      <c r="CP35" s="165"/>
      <c r="CQ35" s="165"/>
    </row>
    <row r="36" spans="1:102" ht="16.149999999999999" customHeight="1" x14ac:dyDescent="0.2">
      <c r="A36" s="7233" t="s">
        <v>3841</v>
      </c>
      <c r="B36" s="7255">
        <f t="shared" ref="B36:C38" si="3">SUM(F36+J36)</f>
        <v>0</v>
      </c>
      <c r="C36" s="7256">
        <f t="shared" si="3"/>
        <v>0</v>
      </c>
      <c r="D36" s="7255">
        <f t="shared" si="2"/>
        <v>0</v>
      </c>
      <c r="E36" s="7256">
        <f t="shared" si="2"/>
        <v>0</v>
      </c>
      <c r="F36" s="3399"/>
      <c r="G36" s="3331"/>
      <c r="H36" s="3399"/>
      <c r="I36" s="3331"/>
      <c r="J36" s="3399"/>
      <c r="K36" s="3331"/>
      <c r="L36" s="3399"/>
      <c r="M36" s="3331"/>
      <c r="N36" s="7240"/>
      <c r="O36" s="7239"/>
      <c r="P36" s="7238"/>
      <c r="Q36" s="2812"/>
      <c r="R36" s="214"/>
      <c r="S36" s="214"/>
      <c r="T36" s="214"/>
      <c r="BY36" s="165"/>
      <c r="BZ36" s="165"/>
      <c r="CA36" s="165"/>
      <c r="CB36" s="165"/>
      <c r="CC36" s="165"/>
      <c r="CD36" s="165"/>
      <c r="CE36" s="165"/>
      <c r="CF36" s="165"/>
      <c r="CG36" s="165"/>
      <c r="CH36" s="165"/>
      <c r="CI36" s="165"/>
      <c r="CJ36" s="165"/>
      <c r="CK36" s="165"/>
      <c r="CL36" s="165"/>
      <c r="CM36" s="165"/>
      <c r="CN36" s="165"/>
      <c r="CO36" s="165"/>
      <c r="CP36" s="165"/>
      <c r="CQ36" s="165"/>
    </row>
    <row r="37" spans="1:102" ht="16.149999999999999" customHeight="1" x14ac:dyDescent="0.2">
      <c r="A37" s="7233" t="s">
        <v>3834</v>
      </c>
      <c r="B37" s="7255">
        <f t="shared" si="3"/>
        <v>0</v>
      </c>
      <c r="C37" s="7256">
        <f t="shared" si="3"/>
        <v>0</v>
      </c>
      <c r="D37" s="7255">
        <f t="shared" si="2"/>
        <v>0</v>
      </c>
      <c r="E37" s="7256">
        <f t="shared" si="2"/>
        <v>0</v>
      </c>
      <c r="F37" s="3278"/>
      <c r="G37" s="2596"/>
      <c r="H37" s="3278"/>
      <c r="I37" s="2596"/>
      <c r="J37" s="3278"/>
      <c r="K37" s="2596"/>
      <c r="L37" s="3278"/>
      <c r="M37" s="2596"/>
      <c r="N37" s="7240"/>
      <c r="O37" s="7239"/>
      <c r="P37" s="7257"/>
      <c r="Q37" s="7239"/>
      <c r="R37" s="214"/>
      <c r="S37" s="214"/>
      <c r="T37" s="214"/>
      <c r="BY37" s="165"/>
      <c r="BZ37" s="165"/>
      <c r="CA37" s="165"/>
      <c r="CB37" s="165"/>
      <c r="CC37" s="165"/>
      <c r="CD37" s="165"/>
      <c r="CE37" s="165"/>
      <c r="CF37" s="165"/>
      <c r="CG37" s="165"/>
      <c r="CH37" s="165"/>
      <c r="CI37" s="165"/>
      <c r="CJ37" s="165"/>
      <c r="CK37" s="165"/>
      <c r="CL37" s="165"/>
      <c r="CM37" s="165"/>
      <c r="CN37" s="165"/>
      <c r="CO37" s="165"/>
      <c r="CP37" s="165"/>
      <c r="CQ37" s="165"/>
    </row>
    <row r="38" spans="1:102" ht="16.149999999999999" customHeight="1" x14ac:dyDescent="0.2">
      <c r="A38" s="7242" t="s">
        <v>3842</v>
      </c>
      <c r="B38" s="7258">
        <f t="shared" si="3"/>
        <v>0</v>
      </c>
      <c r="C38" s="7259">
        <f t="shared" si="3"/>
        <v>0</v>
      </c>
      <c r="D38" s="7258">
        <f t="shared" si="2"/>
        <v>0</v>
      </c>
      <c r="E38" s="7259">
        <f t="shared" si="2"/>
        <v>0</v>
      </c>
      <c r="F38" s="3248"/>
      <c r="G38" s="2884"/>
      <c r="H38" s="3248"/>
      <c r="I38" s="2884"/>
      <c r="J38" s="3248"/>
      <c r="K38" s="2884"/>
      <c r="L38" s="3248"/>
      <c r="M38" s="2884"/>
      <c r="N38" s="7243"/>
      <c r="O38" s="7319"/>
      <c r="P38" s="7243"/>
      <c r="Q38" s="7319"/>
      <c r="R38" s="214"/>
      <c r="S38" s="214"/>
      <c r="T38" s="214"/>
      <c r="BY38" s="165"/>
      <c r="BZ38" s="165"/>
      <c r="CA38" s="165"/>
      <c r="CB38" s="165"/>
      <c r="CC38" s="165"/>
      <c r="CD38" s="165"/>
      <c r="CE38" s="165"/>
      <c r="CF38" s="165"/>
      <c r="CG38" s="165"/>
      <c r="CH38" s="165"/>
      <c r="CI38" s="165"/>
      <c r="CJ38" s="165"/>
      <c r="CK38" s="165"/>
      <c r="CL38" s="165"/>
      <c r="CM38" s="165"/>
      <c r="CN38" s="165"/>
      <c r="CO38" s="165"/>
      <c r="CP38" s="165"/>
      <c r="CQ38" s="165"/>
    </row>
    <row r="39" spans="1:102" ht="24.4" customHeight="1" x14ac:dyDescent="0.2">
      <c r="A39" s="746" t="s">
        <v>3843</v>
      </c>
      <c r="B39" s="153"/>
      <c r="C39" s="153"/>
      <c r="D39" s="153"/>
      <c r="E39" s="153"/>
      <c r="F39" s="140"/>
      <c r="G39" s="140"/>
      <c r="H39" s="140"/>
      <c r="I39" s="14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BY39" s="165"/>
      <c r="BZ39" s="165"/>
      <c r="CA39" s="165"/>
      <c r="CB39" s="165"/>
      <c r="CC39" s="165"/>
      <c r="CD39" s="165"/>
      <c r="CE39" s="165"/>
      <c r="CF39" s="165"/>
      <c r="CG39" s="165"/>
      <c r="CH39" s="165"/>
      <c r="CI39" s="165"/>
      <c r="CJ39" s="165"/>
      <c r="CK39" s="165"/>
      <c r="CL39" s="165"/>
      <c r="CM39" s="165"/>
      <c r="CN39" s="165"/>
      <c r="CO39" s="165"/>
      <c r="CP39" s="165"/>
      <c r="CQ39" s="165"/>
    </row>
    <row r="40" spans="1:102" ht="30" customHeight="1" x14ac:dyDescent="0.2">
      <c r="A40" s="10598" t="s">
        <v>3844</v>
      </c>
      <c r="B40" s="10446" t="s">
        <v>3845</v>
      </c>
      <c r="C40" s="10446"/>
      <c r="D40" s="10446"/>
      <c r="E40" s="10446"/>
      <c r="F40" s="10446" t="s">
        <v>3846</v>
      </c>
      <c r="G40" s="10446"/>
      <c r="H40" s="10446"/>
      <c r="I40" s="10446"/>
      <c r="J40" s="10446" t="s">
        <v>3847</v>
      </c>
      <c r="K40" s="10446"/>
      <c r="L40" s="10446"/>
      <c r="M40" s="9056"/>
      <c r="N40" s="10446" t="s">
        <v>3848</v>
      </c>
      <c r="O40" s="10446"/>
      <c r="P40" s="10446"/>
      <c r="Q40" s="10446"/>
      <c r="R40" s="9068" t="s">
        <v>3849</v>
      </c>
      <c r="S40" s="10446"/>
      <c r="T40" s="10446"/>
      <c r="U40" s="10446"/>
      <c r="V40" s="9068" t="s">
        <v>3850</v>
      </c>
      <c r="W40" s="10446"/>
      <c r="X40" s="10446"/>
      <c r="Y40" s="10446"/>
      <c r="Z40" s="190"/>
      <c r="AA40" s="190"/>
      <c r="AB40" s="190"/>
      <c r="AC40" s="190"/>
      <c r="AD40" s="190"/>
      <c r="AE40" s="190"/>
      <c r="AF40" s="190"/>
      <c r="AG40" s="190"/>
      <c r="AH40" s="190"/>
      <c r="AI40" s="190"/>
      <c r="AJ40" s="190"/>
      <c r="AK40" s="190"/>
      <c r="AL40" s="190"/>
      <c r="AM40" s="190"/>
      <c r="AN40" s="190"/>
      <c r="BY40" s="165"/>
      <c r="BZ40" s="165"/>
      <c r="CA40" s="165"/>
      <c r="CB40" s="165"/>
      <c r="CC40" s="165"/>
      <c r="CD40" s="165"/>
      <c r="CE40" s="165"/>
      <c r="CF40" s="165"/>
      <c r="CG40" s="165"/>
      <c r="CH40" s="165"/>
      <c r="CI40" s="165"/>
      <c r="CJ40" s="165"/>
      <c r="CK40" s="165"/>
      <c r="CL40" s="165"/>
      <c r="CM40" s="165"/>
      <c r="CN40" s="165"/>
      <c r="CO40" s="165"/>
      <c r="CP40" s="165"/>
      <c r="CQ40" s="165"/>
    </row>
    <row r="41" spans="1:102" ht="16.149999999999999" customHeight="1" x14ac:dyDescent="0.2">
      <c r="A41" s="10598"/>
      <c r="B41" s="10592" t="s">
        <v>3828</v>
      </c>
      <c r="C41" s="10592"/>
      <c r="D41" s="10592" t="s">
        <v>3829</v>
      </c>
      <c r="E41" s="10592"/>
      <c r="F41" s="10592" t="s">
        <v>3828</v>
      </c>
      <c r="G41" s="10592"/>
      <c r="H41" s="10592" t="s">
        <v>3829</v>
      </c>
      <c r="I41" s="10592"/>
      <c r="J41" s="10592" t="s">
        <v>3828</v>
      </c>
      <c r="K41" s="10592"/>
      <c r="L41" s="10592" t="s">
        <v>3829</v>
      </c>
      <c r="M41" s="9069"/>
      <c r="N41" s="10592" t="s">
        <v>3828</v>
      </c>
      <c r="O41" s="10592"/>
      <c r="P41" s="10592" t="s">
        <v>3829</v>
      </c>
      <c r="Q41" s="10592"/>
      <c r="R41" s="9070" t="s">
        <v>3828</v>
      </c>
      <c r="S41" s="10592"/>
      <c r="T41" s="10592" t="s">
        <v>3829</v>
      </c>
      <c r="U41" s="10592"/>
      <c r="V41" s="10599" t="s">
        <v>3828</v>
      </c>
      <c r="W41" s="9070"/>
      <c r="X41" s="9069" t="s">
        <v>3829</v>
      </c>
      <c r="Y41" s="9070"/>
      <c r="Z41" s="190"/>
      <c r="AA41" s="190"/>
      <c r="AB41" s="190"/>
      <c r="AC41" s="190"/>
      <c r="AD41" s="190"/>
      <c r="AE41" s="190"/>
      <c r="AF41" s="190"/>
      <c r="AG41" s="190"/>
      <c r="AH41" s="190"/>
      <c r="BY41" s="165"/>
      <c r="BZ41" s="165"/>
      <c r="CA41" s="165"/>
      <c r="CB41" s="165"/>
      <c r="CC41" s="165"/>
      <c r="CD41" s="165"/>
      <c r="CE41" s="165"/>
      <c r="CR41" s="1452"/>
      <c r="CS41" s="1452"/>
      <c r="CT41" s="1452"/>
      <c r="CU41" s="1452"/>
      <c r="CV41" s="1452"/>
      <c r="CW41" s="1452"/>
      <c r="CX41" s="1452"/>
    </row>
    <row r="42" spans="1:102" ht="16.149999999999999" customHeight="1" x14ac:dyDescent="0.2">
      <c r="A42" s="10598"/>
      <c r="B42" s="7245" t="s">
        <v>17</v>
      </c>
      <c r="C42" s="7245" t="s">
        <v>18</v>
      </c>
      <c r="D42" s="7245" t="s">
        <v>17</v>
      </c>
      <c r="E42" s="7245" t="s">
        <v>18</v>
      </c>
      <c r="F42" s="7245" t="s">
        <v>17</v>
      </c>
      <c r="G42" s="7245" t="s">
        <v>18</v>
      </c>
      <c r="H42" s="7245" t="s">
        <v>17</v>
      </c>
      <c r="I42" s="7245" t="s">
        <v>18</v>
      </c>
      <c r="J42" s="7247" t="s">
        <v>17</v>
      </c>
      <c r="K42" s="7313" t="s">
        <v>18</v>
      </c>
      <c r="L42" s="7247" t="s">
        <v>17</v>
      </c>
      <c r="M42" s="7273" t="s">
        <v>18</v>
      </c>
      <c r="N42" s="7247" t="s">
        <v>17</v>
      </c>
      <c r="O42" s="7313" t="s">
        <v>18</v>
      </c>
      <c r="P42" s="7247" t="s">
        <v>17</v>
      </c>
      <c r="Q42" s="7313" t="s">
        <v>18</v>
      </c>
      <c r="R42" s="7279" t="s">
        <v>17</v>
      </c>
      <c r="S42" s="7313" t="s">
        <v>18</v>
      </c>
      <c r="T42" s="7247" t="s">
        <v>17</v>
      </c>
      <c r="U42" s="7313" t="s">
        <v>18</v>
      </c>
      <c r="V42" s="7260" t="s">
        <v>17</v>
      </c>
      <c r="W42" s="7261" t="s">
        <v>18</v>
      </c>
      <c r="X42" s="7262" t="s">
        <v>17</v>
      </c>
      <c r="Y42" s="7263" t="s">
        <v>18</v>
      </c>
      <c r="Z42" s="190"/>
      <c r="AA42" s="190"/>
      <c r="AB42" s="190"/>
      <c r="AC42" s="190"/>
      <c r="AD42" s="190"/>
      <c r="AE42" s="190"/>
      <c r="AF42" s="190"/>
      <c r="BY42" s="165"/>
      <c r="BZ42" s="165"/>
      <c r="CA42" s="165"/>
      <c r="CB42" s="165"/>
      <c r="CC42" s="165"/>
      <c r="CR42" s="1452"/>
      <c r="CS42" s="1452"/>
      <c r="CT42" s="1452"/>
      <c r="CU42" s="1452"/>
      <c r="CV42" s="1452"/>
    </row>
    <row r="43" spans="1:102" ht="16.149999999999999" customHeight="1" x14ac:dyDescent="0.2">
      <c r="A43" s="7274" t="s">
        <v>24</v>
      </c>
      <c r="B43" s="7264">
        <f>SUM(B44:B47)</f>
        <v>0</v>
      </c>
      <c r="C43" s="7320">
        <f>SUM(C44:C47)</f>
        <v>0</v>
      </c>
      <c r="D43" s="7265">
        <f>SUM(D44:D47)</f>
        <v>0</v>
      </c>
      <c r="E43" s="7320">
        <f>SUM(E44:E47)</f>
        <v>0</v>
      </c>
      <c r="F43" s="7265">
        <f>SUM(F44:F47)</f>
        <v>0</v>
      </c>
      <c r="G43" s="7264">
        <f t="shared" ref="G43:M43" si="4">SUM(G44:G47)</f>
        <v>0</v>
      </c>
      <c r="H43" s="7264">
        <f t="shared" si="4"/>
        <v>0</v>
      </c>
      <c r="I43" s="7264">
        <f t="shared" si="4"/>
        <v>0</v>
      </c>
      <c r="J43" s="7264">
        <f t="shared" si="4"/>
        <v>0</v>
      </c>
      <c r="K43" s="7264">
        <f t="shared" si="4"/>
        <v>0</v>
      </c>
      <c r="L43" s="7264">
        <f t="shared" si="4"/>
        <v>0</v>
      </c>
      <c r="M43" s="7266">
        <f t="shared" si="4"/>
        <v>0</v>
      </c>
      <c r="N43" s="7264">
        <f>SUM(N44)</f>
        <v>0</v>
      </c>
      <c r="O43" s="7320">
        <f>SUM(O44)</f>
        <v>0</v>
      </c>
      <c r="P43" s="7265">
        <f>SUM(P44)</f>
        <v>0</v>
      </c>
      <c r="Q43" s="7267">
        <f>SUM(Q44)</f>
        <v>0</v>
      </c>
      <c r="R43" s="7265">
        <f t="shared" ref="R43:Y43" si="5">SUM(R44:R47)</f>
        <v>0</v>
      </c>
      <c r="S43" s="7320">
        <f t="shared" si="5"/>
        <v>0</v>
      </c>
      <c r="T43" s="7264">
        <f t="shared" si="5"/>
        <v>0</v>
      </c>
      <c r="U43" s="7320">
        <f t="shared" si="5"/>
        <v>0</v>
      </c>
      <c r="V43" s="7265">
        <f t="shared" si="5"/>
        <v>0</v>
      </c>
      <c r="W43" s="7320">
        <f t="shared" si="5"/>
        <v>0</v>
      </c>
      <c r="X43" s="7264">
        <f t="shared" si="5"/>
        <v>0</v>
      </c>
      <c r="Y43" s="7320">
        <f t="shared" si="5"/>
        <v>0</v>
      </c>
      <c r="Z43" s="190"/>
      <c r="AA43" s="190"/>
      <c r="AB43" s="190"/>
      <c r="AC43" s="190"/>
      <c r="AD43" s="190"/>
      <c r="AE43" s="190"/>
      <c r="AF43" s="190"/>
      <c r="BY43" s="165"/>
      <c r="BZ43" s="165"/>
      <c r="CA43" s="165"/>
      <c r="CB43" s="165"/>
      <c r="CC43" s="165"/>
      <c r="CR43" s="1452"/>
      <c r="CS43" s="1452"/>
      <c r="CT43" s="1452"/>
      <c r="CU43" s="1452"/>
      <c r="CV43" s="1452"/>
    </row>
    <row r="44" spans="1:102" ht="16.149999999999999" customHeight="1" x14ac:dyDescent="0.2">
      <c r="A44" s="7268" t="s">
        <v>3851</v>
      </c>
      <c r="B44" s="7340">
        <f>SUM(F44+J44)</f>
        <v>0</v>
      </c>
      <c r="C44" s="7341">
        <f>SUM(G44+K44)</f>
        <v>0</v>
      </c>
      <c r="D44" s="7340">
        <f>SUM(H44+L44)</f>
        <v>0</v>
      </c>
      <c r="E44" s="7341">
        <f>SUM(I44+M44)</f>
        <v>0</v>
      </c>
      <c r="F44" s="7269"/>
      <c r="G44" s="7237"/>
      <c r="H44" s="7252"/>
      <c r="I44" s="7237"/>
      <c r="J44" s="7252"/>
      <c r="K44" s="7237"/>
      <c r="L44" s="7252"/>
      <c r="M44" s="7270"/>
      <c r="N44" s="7252"/>
      <c r="O44" s="7237"/>
      <c r="P44" s="7252"/>
      <c r="Q44" s="7237"/>
      <c r="R44" s="7269"/>
      <c r="S44" s="7237"/>
      <c r="T44" s="7252"/>
      <c r="U44" s="7237"/>
      <c r="V44" s="7271"/>
      <c r="W44" s="7254"/>
      <c r="X44" s="7253"/>
      <c r="Y44" s="7254"/>
      <c r="Z44" s="190"/>
      <c r="AA44" s="190"/>
      <c r="AB44" s="190"/>
      <c r="AC44" s="190"/>
      <c r="AD44" s="190"/>
      <c r="AE44" s="190"/>
      <c r="AF44" s="190"/>
      <c r="AG44" s="190"/>
      <c r="BY44" s="165"/>
      <c r="BZ44" s="165"/>
      <c r="CA44" s="165"/>
      <c r="CB44" s="165"/>
      <c r="CC44" s="165"/>
      <c r="CD44" s="165"/>
      <c r="CR44" s="1452"/>
      <c r="CS44" s="1452"/>
      <c r="CT44" s="1452"/>
      <c r="CU44" s="1452"/>
      <c r="CV44" s="1452"/>
      <c r="CW44" s="1452"/>
    </row>
    <row r="45" spans="1:102" ht="19.5" customHeight="1" x14ac:dyDescent="0.2">
      <c r="A45" s="7272" t="s">
        <v>3918</v>
      </c>
      <c r="B45" s="7359">
        <f t="shared" ref="B45:E47" si="6">SUM(F45+J45)</f>
        <v>0</v>
      </c>
      <c r="C45" s="3026">
        <f t="shared" si="6"/>
        <v>0</v>
      </c>
      <c r="D45" s="7359">
        <f t="shared" si="6"/>
        <v>0</v>
      </c>
      <c r="E45" s="3026">
        <f t="shared" si="6"/>
        <v>0</v>
      </c>
      <c r="F45" s="2915"/>
      <c r="G45" s="4956"/>
      <c r="H45" s="2885"/>
      <c r="I45" s="4956"/>
      <c r="J45" s="2885"/>
      <c r="K45" s="4956"/>
      <c r="L45" s="2885"/>
      <c r="M45" s="7235"/>
      <c r="N45" s="5083"/>
      <c r="O45" s="3019"/>
      <c r="P45" s="5083"/>
      <c r="Q45" s="3019"/>
      <c r="R45" s="2915"/>
      <c r="S45" s="4956"/>
      <c r="T45" s="2885"/>
      <c r="U45" s="4956"/>
      <c r="V45" s="2933"/>
      <c r="W45" s="7239"/>
      <c r="X45" s="7238"/>
      <c r="Y45" s="7239"/>
      <c r="Z45" s="190"/>
      <c r="AA45" s="190"/>
      <c r="AB45" s="190"/>
      <c r="AC45" s="190"/>
      <c r="AD45" s="190"/>
      <c r="AE45" s="190"/>
      <c r="AF45" s="190"/>
      <c r="AG45" s="190"/>
      <c r="BY45" s="165"/>
      <c r="BZ45" s="165"/>
      <c r="CA45" s="165"/>
      <c r="CB45" s="165"/>
      <c r="CC45" s="165"/>
      <c r="CD45" s="165"/>
      <c r="CR45" s="1452"/>
      <c r="CS45" s="1452"/>
      <c r="CT45" s="1452"/>
      <c r="CU45" s="1452"/>
      <c r="CV45" s="1452"/>
      <c r="CW45" s="1452"/>
    </row>
    <row r="46" spans="1:102" ht="16.149999999999999" customHeight="1" x14ac:dyDescent="0.2">
      <c r="A46" s="7272" t="s">
        <v>3852</v>
      </c>
      <c r="B46" s="7359">
        <f t="shared" si="6"/>
        <v>0</v>
      </c>
      <c r="C46" s="3026">
        <f t="shared" si="6"/>
        <v>0</v>
      </c>
      <c r="D46" s="7359">
        <f t="shared" si="6"/>
        <v>0</v>
      </c>
      <c r="E46" s="3026">
        <f t="shared" si="6"/>
        <v>0</v>
      </c>
      <c r="F46" s="2915"/>
      <c r="G46" s="4956"/>
      <c r="H46" s="2885"/>
      <c r="I46" s="4956"/>
      <c r="J46" s="2885"/>
      <c r="K46" s="4956"/>
      <c r="L46" s="2885"/>
      <c r="M46" s="7235"/>
      <c r="N46" s="7369"/>
      <c r="O46" s="7234"/>
      <c r="P46" s="7370"/>
      <c r="Q46" s="7234"/>
      <c r="R46" s="2915"/>
      <c r="S46" s="4956"/>
      <c r="T46" s="2885"/>
      <c r="U46" s="4956"/>
      <c r="V46" s="2933"/>
      <c r="W46" s="7239"/>
      <c r="X46" s="7238"/>
      <c r="Y46" s="7239"/>
      <c r="Z46" s="190"/>
      <c r="AA46" s="190"/>
      <c r="AB46" s="190"/>
      <c r="AC46" s="190"/>
      <c r="AD46" s="190"/>
      <c r="AE46" s="190"/>
      <c r="AF46" s="190"/>
      <c r="AG46" s="190"/>
      <c r="BY46" s="165"/>
      <c r="BZ46" s="165"/>
      <c r="CA46" s="165"/>
      <c r="CB46" s="165"/>
      <c r="CC46" s="165"/>
      <c r="CD46" s="165"/>
      <c r="CR46" s="1452"/>
      <c r="CS46" s="1452"/>
      <c r="CT46" s="1452"/>
      <c r="CU46" s="1452"/>
      <c r="CV46" s="1452"/>
      <c r="CW46" s="1452"/>
    </row>
    <row r="47" spans="1:102" ht="16.149999999999999" customHeight="1" x14ac:dyDescent="0.2">
      <c r="A47" s="7332" t="s">
        <v>3853</v>
      </c>
      <c r="B47" s="7360">
        <f t="shared" si="6"/>
        <v>0</v>
      </c>
      <c r="C47" s="7361">
        <f t="shared" si="6"/>
        <v>0</v>
      </c>
      <c r="D47" s="7360">
        <f t="shared" si="6"/>
        <v>0</v>
      </c>
      <c r="E47" s="7361">
        <f t="shared" si="6"/>
        <v>0</v>
      </c>
      <c r="F47" s="7321"/>
      <c r="G47" s="7322"/>
      <c r="H47" s="7323"/>
      <c r="I47" s="7322"/>
      <c r="J47" s="7323"/>
      <c r="K47" s="7322"/>
      <c r="L47" s="7323"/>
      <c r="M47" s="7324"/>
      <c r="N47" s="7371"/>
      <c r="O47" s="3822"/>
      <c r="P47" s="5154"/>
      <c r="Q47" s="7372"/>
      <c r="R47" s="7321"/>
      <c r="S47" s="7322"/>
      <c r="T47" s="7323"/>
      <c r="U47" s="7322"/>
      <c r="V47" s="2934"/>
      <c r="W47" s="2912"/>
      <c r="X47" s="7243"/>
      <c r="Y47" s="2912"/>
      <c r="Z47" s="190"/>
      <c r="AA47" s="190"/>
      <c r="AB47" s="190"/>
      <c r="AC47" s="190"/>
      <c r="AD47" s="190"/>
      <c r="AE47" s="190"/>
      <c r="AF47" s="190"/>
      <c r="AG47" s="190"/>
      <c r="BY47" s="165"/>
      <c r="BZ47" s="165"/>
      <c r="CA47" s="165"/>
      <c r="CB47" s="165"/>
      <c r="CC47" s="165"/>
      <c r="CD47" s="165"/>
      <c r="CE47" s="165"/>
      <c r="CF47" s="165"/>
      <c r="CG47" s="165"/>
      <c r="CH47" s="165"/>
      <c r="CI47" s="165"/>
      <c r="CJ47" s="165"/>
      <c r="CK47" s="165"/>
      <c r="CL47" s="165"/>
      <c r="CM47" s="165"/>
      <c r="CN47" s="165"/>
      <c r="CO47" s="165"/>
      <c r="CP47" s="165"/>
      <c r="CQ47" s="165"/>
    </row>
    <row r="48" spans="1:102" ht="24.75" customHeight="1" x14ac:dyDescent="0.2">
      <c r="A48" s="7316" t="s">
        <v>3854</v>
      </c>
      <c r="U48" s="199"/>
      <c r="V48" s="199"/>
      <c r="W48" s="199"/>
      <c r="X48" s="199"/>
      <c r="Y48" s="199"/>
      <c r="BY48" s="165"/>
      <c r="BZ48" s="165"/>
      <c r="CA48" s="165"/>
      <c r="CB48" s="165"/>
      <c r="CC48" s="165"/>
      <c r="CD48" s="165"/>
      <c r="CE48" s="165"/>
      <c r="CF48" s="165"/>
      <c r="CG48" s="165"/>
      <c r="CH48" s="165"/>
      <c r="CI48" s="165"/>
      <c r="CJ48" s="165"/>
      <c r="CK48" s="165"/>
      <c r="CL48" s="165"/>
      <c r="CM48" s="165"/>
      <c r="CN48" s="165"/>
      <c r="CO48" s="165"/>
      <c r="CP48" s="165"/>
      <c r="CQ48" s="165"/>
    </row>
    <row r="49" spans="1:95" ht="34.5" customHeight="1" x14ac:dyDescent="0.2">
      <c r="A49" s="10598" t="s">
        <v>3855</v>
      </c>
      <c r="B49" s="9056" t="s">
        <v>3856</v>
      </c>
      <c r="C49" s="10597"/>
      <c r="D49" s="10597"/>
      <c r="E49" s="9068"/>
      <c r="F49" s="9056" t="s">
        <v>3857</v>
      </c>
      <c r="G49" s="10597"/>
      <c r="H49" s="10597"/>
      <c r="I49" s="9068"/>
      <c r="J49" s="9056" t="s">
        <v>3858</v>
      </c>
      <c r="K49" s="10597"/>
      <c r="L49" s="10597"/>
      <c r="M49" s="9068"/>
      <c r="N49" s="9068" t="s">
        <v>3859</v>
      </c>
      <c r="O49" s="10446"/>
      <c r="P49" s="10446"/>
      <c r="Q49" s="10446"/>
      <c r="R49" s="199"/>
      <c r="S49" s="199"/>
      <c r="T49" s="199"/>
      <c r="U49" s="199"/>
      <c r="BY49" s="165"/>
      <c r="BZ49" s="165"/>
      <c r="CA49" s="165"/>
      <c r="CB49" s="165"/>
      <c r="CC49" s="165"/>
      <c r="CD49" s="165"/>
      <c r="CE49" s="165"/>
      <c r="CF49" s="165"/>
      <c r="CG49" s="165"/>
      <c r="CH49" s="165"/>
      <c r="CI49" s="165"/>
      <c r="CJ49" s="165"/>
      <c r="CK49" s="165"/>
      <c r="CL49" s="165"/>
      <c r="CM49" s="165"/>
      <c r="CN49" s="165"/>
      <c r="CO49" s="165"/>
      <c r="CP49" s="165"/>
      <c r="CQ49" s="165"/>
    </row>
    <row r="50" spans="1:95" ht="16.149999999999999" customHeight="1" x14ac:dyDescent="0.2">
      <c r="A50" s="10598"/>
      <c r="B50" s="9069" t="s">
        <v>3828</v>
      </c>
      <c r="C50" s="9070"/>
      <c r="D50" s="10599" t="s">
        <v>3829</v>
      </c>
      <c r="E50" s="9070"/>
      <c r="F50" s="9069" t="s">
        <v>3828</v>
      </c>
      <c r="G50" s="9070"/>
      <c r="H50" s="10599" t="s">
        <v>3829</v>
      </c>
      <c r="I50" s="9070"/>
      <c r="J50" s="9069" t="s">
        <v>3828</v>
      </c>
      <c r="K50" s="9070"/>
      <c r="L50" s="9069" t="s">
        <v>3829</v>
      </c>
      <c r="M50" s="9070"/>
      <c r="N50" s="9070" t="s">
        <v>3828</v>
      </c>
      <c r="O50" s="10592"/>
      <c r="P50" s="10592" t="s">
        <v>3829</v>
      </c>
      <c r="Q50" s="10592"/>
      <c r="R50" s="199"/>
      <c r="S50" s="199"/>
      <c r="T50" s="199"/>
      <c r="U50" s="199"/>
      <c r="BY50" s="165"/>
      <c r="BZ50" s="165"/>
      <c r="CA50" s="165"/>
      <c r="CB50" s="165"/>
      <c r="CC50" s="165"/>
      <c r="CD50" s="165"/>
      <c r="CE50" s="165"/>
      <c r="CF50" s="165"/>
      <c r="CG50" s="165"/>
      <c r="CH50" s="165"/>
      <c r="CI50" s="165"/>
      <c r="CJ50" s="165"/>
      <c r="CK50" s="165"/>
      <c r="CL50" s="165"/>
      <c r="CM50" s="165"/>
      <c r="CN50" s="165"/>
      <c r="CO50" s="165"/>
      <c r="CP50" s="165"/>
      <c r="CQ50" s="165"/>
    </row>
    <row r="51" spans="1:95" ht="16.149999999999999" customHeight="1" x14ac:dyDescent="0.2">
      <c r="A51" s="10598"/>
      <c r="B51" s="7262" t="s">
        <v>17</v>
      </c>
      <c r="C51" s="7263" t="s">
        <v>18</v>
      </c>
      <c r="D51" s="7260" t="s">
        <v>17</v>
      </c>
      <c r="E51" s="7263" t="s">
        <v>18</v>
      </c>
      <c r="F51" s="7262" t="s">
        <v>17</v>
      </c>
      <c r="G51" s="7263" t="s">
        <v>18</v>
      </c>
      <c r="H51" s="7260" t="s">
        <v>17</v>
      </c>
      <c r="I51" s="7263" t="s">
        <v>18</v>
      </c>
      <c r="J51" s="7247" t="s">
        <v>17</v>
      </c>
      <c r="K51" s="7313" t="s">
        <v>18</v>
      </c>
      <c r="L51" s="7247" t="s">
        <v>17</v>
      </c>
      <c r="M51" s="7313" t="s">
        <v>18</v>
      </c>
      <c r="N51" s="7260" t="s">
        <v>17</v>
      </c>
      <c r="O51" s="7263" t="s">
        <v>18</v>
      </c>
      <c r="P51" s="7262" t="s">
        <v>17</v>
      </c>
      <c r="Q51" s="7263" t="s">
        <v>18</v>
      </c>
      <c r="R51" s="199"/>
      <c r="S51" s="199"/>
      <c r="T51" s="199"/>
      <c r="U51" s="199"/>
      <c r="BY51" s="165"/>
      <c r="BZ51" s="165"/>
      <c r="CA51" s="165"/>
      <c r="CB51" s="165"/>
      <c r="CC51" s="165"/>
      <c r="CD51" s="165"/>
      <c r="CE51" s="165"/>
      <c r="CF51" s="165"/>
      <c r="CG51" s="165"/>
      <c r="CH51" s="165"/>
      <c r="CI51" s="165"/>
      <c r="CJ51" s="165"/>
      <c r="CK51" s="165"/>
      <c r="CL51" s="165"/>
      <c r="CM51" s="165"/>
      <c r="CN51" s="165"/>
      <c r="CO51" s="165"/>
      <c r="CP51" s="165"/>
      <c r="CQ51" s="165"/>
    </row>
    <row r="52" spans="1:95" ht="16.149999999999999" customHeight="1" x14ac:dyDescent="0.2">
      <c r="A52" s="7274" t="s">
        <v>24</v>
      </c>
      <c r="B52" s="7275">
        <f>SUM(B53:B57)</f>
        <v>0</v>
      </c>
      <c r="C52" s="7276">
        <f>SUM(C53:C57)</f>
        <v>0</v>
      </c>
      <c r="D52" s="7277">
        <f>SUM(D53:D57)</f>
        <v>0</v>
      </c>
      <c r="E52" s="7276">
        <f>SUM(E53:E57)</f>
        <v>0</v>
      </c>
      <c r="F52" s="7262">
        <f>SUM(F53:F57)</f>
        <v>0</v>
      </c>
      <c r="G52" s="7263">
        <f t="shared" ref="G52:Q52" si="7">SUM(G53:G57)</f>
        <v>0</v>
      </c>
      <c r="H52" s="7260">
        <f t="shared" si="7"/>
        <v>0</v>
      </c>
      <c r="I52" s="7263">
        <f t="shared" si="7"/>
        <v>0</v>
      </c>
      <c r="J52" s="7278">
        <f t="shared" si="7"/>
        <v>0</v>
      </c>
      <c r="K52" s="2136">
        <f t="shared" si="7"/>
        <v>0</v>
      </c>
      <c r="L52" s="7247">
        <f t="shared" si="7"/>
        <v>0</v>
      </c>
      <c r="M52" s="7313">
        <f t="shared" si="7"/>
        <v>0</v>
      </c>
      <c r="N52" s="7279">
        <f t="shared" si="7"/>
        <v>0</v>
      </c>
      <c r="O52" s="7313">
        <f t="shared" si="7"/>
        <v>0</v>
      </c>
      <c r="P52" s="7260">
        <f t="shared" si="7"/>
        <v>0</v>
      </c>
      <c r="Q52" s="7227">
        <f t="shared" si="7"/>
        <v>0</v>
      </c>
      <c r="R52" s="199"/>
      <c r="S52" s="199"/>
      <c r="T52" s="199"/>
      <c r="U52" s="199"/>
      <c r="BY52" s="165"/>
      <c r="BZ52" s="165"/>
      <c r="CA52" s="165"/>
      <c r="CB52" s="165"/>
      <c r="CC52" s="165"/>
      <c r="CD52" s="165"/>
      <c r="CE52" s="165"/>
      <c r="CF52" s="165"/>
      <c r="CG52" s="165"/>
      <c r="CH52" s="165"/>
      <c r="CI52" s="165"/>
      <c r="CJ52" s="165"/>
      <c r="CK52" s="165"/>
      <c r="CL52" s="165"/>
      <c r="CM52" s="165"/>
      <c r="CN52" s="165"/>
      <c r="CO52" s="165"/>
      <c r="CP52" s="165"/>
      <c r="CQ52" s="165"/>
    </row>
    <row r="53" spans="1:95" x14ac:dyDescent="0.2">
      <c r="A53" s="7280" t="s">
        <v>3860</v>
      </c>
      <c r="B53" s="7340">
        <f>SUM(F53+J53)</f>
        <v>0</v>
      </c>
      <c r="C53" s="7356">
        <f>SUM(G53+K53)</f>
        <v>0</v>
      </c>
      <c r="D53" s="7357">
        <f>SUM(H53+L53)</f>
        <v>0</v>
      </c>
      <c r="E53" s="7356">
        <f>SUM(I53+M53)</f>
        <v>0</v>
      </c>
      <c r="F53" s="7252"/>
      <c r="G53" s="7214"/>
      <c r="H53" s="7269"/>
      <c r="I53" s="7214"/>
      <c r="J53" s="7269"/>
      <c r="K53" s="7214"/>
      <c r="L53" s="7252"/>
      <c r="M53" s="7214"/>
      <c r="N53" s="7253"/>
      <c r="O53" s="7254"/>
      <c r="P53" s="7253"/>
      <c r="Q53" s="7254"/>
      <c r="R53" s="7205"/>
      <c r="S53" s="7205"/>
      <c r="T53" s="7205"/>
      <c r="U53" s="199"/>
      <c r="BY53" s="165"/>
      <c r="BZ53" s="165"/>
      <c r="CA53" s="165"/>
      <c r="CB53" s="165"/>
      <c r="CC53" s="165"/>
      <c r="CD53" s="165"/>
      <c r="CE53" s="165"/>
      <c r="CF53" s="165"/>
      <c r="CG53" s="165"/>
      <c r="CH53" s="165"/>
      <c r="CI53" s="165"/>
      <c r="CJ53" s="165"/>
      <c r="CK53" s="165"/>
      <c r="CL53" s="165"/>
      <c r="CM53" s="165"/>
      <c r="CN53" s="165"/>
      <c r="CO53" s="165"/>
      <c r="CP53" s="165"/>
      <c r="CQ53" s="165"/>
    </row>
    <row r="54" spans="1:95" ht="16.149999999999999" customHeight="1" x14ac:dyDescent="0.2">
      <c r="A54" s="7272" t="s">
        <v>1034</v>
      </c>
      <c r="B54" s="4980">
        <f t="shared" ref="B54:E57" si="8">SUM(F54+J54)</f>
        <v>0</v>
      </c>
      <c r="C54" s="7358">
        <f t="shared" si="8"/>
        <v>0</v>
      </c>
      <c r="D54" s="2985">
        <f t="shared" si="8"/>
        <v>0</v>
      </c>
      <c r="E54" s="7358">
        <f t="shared" si="8"/>
        <v>0</v>
      </c>
      <c r="F54" s="2885"/>
      <c r="G54" s="4956"/>
      <c r="H54" s="2915"/>
      <c r="I54" s="4956"/>
      <c r="J54" s="2915"/>
      <c r="K54" s="4956"/>
      <c r="L54" s="2885"/>
      <c r="M54" s="4956"/>
      <c r="N54" s="7238"/>
      <c r="O54" s="7239"/>
      <c r="P54" s="7238"/>
      <c r="Q54" s="7239"/>
      <c r="R54" s="199"/>
      <c r="S54" s="199"/>
      <c r="T54" s="199"/>
      <c r="U54" s="199"/>
      <c r="BY54" s="165"/>
      <c r="BZ54" s="165"/>
      <c r="CA54" s="165"/>
      <c r="CB54" s="165"/>
      <c r="CC54" s="165"/>
      <c r="CD54" s="165"/>
      <c r="CE54" s="165"/>
      <c r="CF54" s="165"/>
      <c r="CG54" s="165"/>
      <c r="CH54" s="165"/>
      <c r="CI54" s="165"/>
      <c r="CJ54" s="165"/>
      <c r="CK54" s="165"/>
      <c r="CL54" s="165"/>
      <c r="CM54" s="165"/>
      <c r="CN54" s="165"/>
      <c r="CO54" s="165"/>
      <c r="CP54" s="165"/>
      <c r="CQ54" s="165"/>
    </row>
    <row r="55" spans="1:95" ht="16.149999999999999" customHeight="1" x14ac:dyDescent="0.2">
      <c r="A55" s="7281" t="s">
        <v>1028</v>
      </c>
      <c r="B55" s="4980">
        <f t="shared" si="8"/>
        <v>0</v>
      </c>
      <c r="C55" s="7358">
        <f t="shared" si="8"/>
        <v>0</v>
      </c>
      <c r="D55" s="2985">
        <f t="shared" si="8"/>
        <v>0</v>
      </c>
      <c r="E55" s="7358">
        <f t="shared" si="8"/>
        <v>0</v>
      </c>
      <c r="F55" s="2885"/>
      <c r="G55" s="2889"/>
      <c r="H55" s="2915"/>
      <c r="I55" s="2889"/>
      <c r="J55" s="2915"/>
      <c r="K55" s="2889"/>
      <c r="L55" s="2885"/>
      <c r="M55" s="2889"/>
      <c r="N55" s="7238"/>
      <c r="O55" s="7239"/>
      <c r="P55" s="7238"/>
      <c r="Q55" s="7239"/>
      <c r="R55" s="199"/>
      <c r="S55" s="199"/>
      <c r="T55" s="199"/>
      <c r="U55" s="199"/>
      <c r="BY55" s="165"/>
      <c r="BZ55" s="165"/>
      <c r="CA55" s="165"/>
      <c r="CB55" s="165"/>
      <c r="CC55" s="165"/>
      <c r="CD55" s="165"/>
      <c r="CE55" s="165"/>
      <c r="CF55" s="165"/>
      <c r="CG55" s="165"/>
      <c r="CH55" s="165"/>
      <c r="CI55" s="165"/>
      <c r="CJ55" s="165"/>
      <c r="CK55" s="165"/>
      <c r="CL55" s="165"/>
      <c r="CM55" s="165"/>
      <c r="CN55" s="165"/>
      <c r="CO55" s="165"/>
      <c r="CP55" s="165"/>
      <c r="CQ55" s="165"/>
    </row>
    <row r="56" spans="1:95" ht="16.149999999999999" customHeight="1" x14ac:dyDescent="0.2">
      <c r="A56" s="7281" t="s">
        <v>1032</v>
      </c>
      <c r="B56" s="4980">
        <f t="shared" si="8"/>
        <v>0</v>
      </c>
      <c r="C56" s="7358">
        <f t="shared" si="8"/>
        <v>0</v>
      </c>
      <c r="D56" s="2985">
        <f t="shared" si="8"/>
        <v>0</v>
      </c>
      <c r="E56" s="7358">
        <f t="shared" si="8"/>
        <v>0</v>
      </c>
      <c r="F56" s="2885"/>
      <c r="G56" s="2889"/>
      <c r="H56" s="2915"/>
      <c r="I56" s="2889"/>
      <c r="J56" s="2915"/>
      <c r="K56" s="2889"/>
      <c r="L56" s="2885"/>
      <c r="M56" s="2889"/>
      <c r="N56" s="7238"/>
      <c r="O56" s="7239"/>
      <c r="P56" s="7238"/>
      <c r="Q56" s="7239"/>
      <c r="BY56" s="165"/>
      <c r="BZ56" s="165"/>
      <c r="CA56" s="165"/>
      <c r="CB56" s="165"/>
      <c r="CC56" s="165"/>
      <c r="CD56" s="165"/>
      <c r="CE56" s="165"/>
      <c r="CF56" s="165"/>
      <c r="CG56" s="165"/>
      <c r="CH56" s="165"/>
      <c r="CI56" s="165"/>
      <c r="CJ56" s="165"/>
      <c r="CK56" s="165"/>
      <c r="CL56" s="165"/>
      <c r="CM56" s="165"/>
      <c r="CN56" s="165"/>
      <c r="CO56" s="165"/>
      <c r="CP56" s="165"/>
      <c r="CQ56" s="165"/>
    </row>
    <row r="57" spans="1:95" s="199" customFormat="1" ht="16.149999999999999" customHeight="1" x14ac:dyDescent="0.2">
      <c r="A57" s="7282" t="s">
        <v>1027</v>
      </c>
      <c r="B57" s="3252">
        <f t="shared" si="8"/>
        <v>0</v>
      </c>
      <c r="C57" s="2898">
        <f t="shared" si="8"/>
        <v>0</v>
      </c>
      <c r="D57" s="2798">
        <f t="shared" si="8"/>
        <v>0</v>
      </c>
      <c r="E57" s="2898">
        <f t="shared" si="8"/>
        <v>0</v>
      </c>
      <c r="F57" s="3248"/>
      <c r="G57" s="3249"/>
      <c r="H57" s="2533"/>
      <c r="I57" s="3249"/>
      <c r="J57" s="2533"/>
      <c r="K57" s="3249"/>
      <c r="L57" s="3248"/>
      <c r="M57" s="3249"/>
      <c r="N57" s="7243"/>
      <c r="O57" s="2912"/>
      <c r="P57" s="7243"/>
      <c r="Q57" s="2912"/>
    </row>
    <row r="58" spans="1:95" ht="33" customHeight="1" x14ac:dyDescent="0.2">
      <c r="A58" s="133" t="s">
        <v>3861</v>
      </c>
      <c r="B58" s="7205"/>
      <c r="C58" s="7205"/>
      <c r="D58" s="7205"/>
      <c r="E58" s="7205"/>
      <c r="F58" s="7205"/>
      <c r="G58" s="7205"/>
      <c r="H58" s="7205"/>
      <c r="I58" s="7205"/>
      <c r="J58" s="153"/>
      <c r="K58" s="153"/>
      <c r="L58" s="153"/>
      <c r="M58" s="153"/>
      <c r="N58" s="7205"/>
      <c r="O58" s="7205"/>
      <c r="P58" s="7205"/>
      <c r="Q58" s="7205"/>
      <c r="BY58" s="165"/>
      <c r="BZ58" s="165"/>
      <c r="CA58" s="165"/>
      <c r="CB58" s="165"/>
      <c r="CC58" s="165"/>
      <c r="CD58" s="165"/>
      <c r="CE58" s="165"/>
      <c r="CF58" s="165"/>
      <c r="CG58" s="165"/>
      <c r="CH58" s="165"/>
      <c r="CI58" s="165"/>
      <c r="CJ58" s="165"/>
      <c r="CK58" s="165"/>
      <c r="CL58" s="165"/>
      <c r="CM58" s="165"/>
      <c r="CN58" s="165"/>
      <c r="CO58" s="165"/>
      <c r="CP58" s="165"/>
      <c r="CQ58" s="165"/>
    </row>
    <row r="59" spans="1:95" ht="19.5" customHeight="1" x14ac:dyDescent="0.2">
      <c r="A59" s="7316" t="s">
        <v>3862</v>
      </c>
      <c r="BY59" s="165"/>
      <c r="BZ59" s="165"/>
      <c r="CA59" s="165"/>
      <c r="CB59" s="165"/>
      <c r="CC59" s="165"/>
      <c r="CD59" s="165"/>
      <c r="CE59" s="165"/>
      <c r="CF59" s="165"/>
      <c r="CG59" s="165"/>
      <c r="CH59" s="165"/>
      <c r="CI59" s="165"/>
      <c r="CJ59" s="165"/>
      <c r="CK59" s="165"/>
      <c r="CL59" s="165"/>
      <c r="CM59" s="165"/>
      <c r="CN59" s="165"/>
      <c r="CO59" s="165"/>
      <c r="CP59" s="165"/>
      <c r="CQ59" s="165"/>
    </row>
    <row r="60" spans="1:95" ht="33" customHeight="1" x14ac:dyDescent="0.2">
      <c r="A60" s="10598" t="s">
        <v>3863</v>
      </c>
      <c r="B60" s="10446" t="s">
        <v>3864</v>
      </c>
      <c r="C60" s="10446"/>
      <c r="D60" s="10446"/>
      <c r="E60" s="10446"/>
      <c r="F60" s="10446" t="s">
        <v>3865</v>
      </c>
      <c r="G60" s="10446"/>
      <c r="H60" s="10446"/>
      <c r="I60" s="10446"/>
      <c r="J60" s="10446" t="s">
        <v>3866</v>
      </c>
      <c r="K60" s="10446"/>
      <c r="L60" s="10446"/>
      <c r="M60" s="10446"/>
      <c r="N60" s="10446" t="s">
        <v>3867</v>
      </c>
      <c r="O60" s="10446"/>
      <c r="P60" s="10446"/>
      <c r="Q60" s="10446"/>
      <c r="BY60" s="165"/>
      <c r="BZ60" s="165"/>
      <c r="CA60" s="165"/>
      <c r="CB60" s="165"/>
      <c r="CC60" s="165"/>
      <c r="CD60" s="165"/>
      <c r="CE60" s="165"/>
      <c r="CF60" s="165"/>
      <c r="CG60" s="165"/>
      <c r="CH60" s="165"/>
      <c r="CI60" s="165"/>
      <c r="CJ60" s="165"/>
      <c r="CK60" s="165"/>
      <c r="CL60" s="165"/>
      <c r="CM60" s="165"/>
      <c r="CN60" s="165"/>
      <c r="CO60" s="165"/>
      <c r="CP60" s="165"/>
      <c r="CQ60" s="165"/>
    </row>
    <row r="61" spans="1:95" ht="16.149999999999999" customHeight="1" x14ac:dyDescent="0.2">
      <c r="A61" s="10598"/>
      <c r="B61" s="10592" t="s">
        <v>3828</v>
      </c>
      <c r="C61" s="10592"/>
      <c r="D61" s="10592" t="s">
        <v>3829</v>
      </c>
      <c r="E61" s="10592"/>
      <c r="F61" s="10592" t="s">
        <v>3828</v>
      </c>
      <c r="G61" s="10592"/>
      <c r="H61" s="10592" t="s">
        <v>3829</v>
      </c>
      <c r="I61" s="10592"/>
      <c r="J61" s="9069" t="s">
        <v>3828</v>
      </c>
      <c r="K61" s="9070"/>
      <c r="L61" s="9069" t="s">
        <v>3829</v>
      </c>
      <c r="M61" s="9070"/>
      <c r="N61" s="9069" t="s">
        <v>3828</v>
      </c>
      <c r="O61" s="9070"/>
      <c r="P61" s="9070" t="s">
        <v>3829</v>
      </c>
      <c r="Q61" s="10592"/>
      <c r="BY61" s="165"/>
      <c r="BZ61" s="165"/>
      <c r="CA61" s="165"/>
      <c r="CB61" s="165"/>
      <c r="CC61" s="165"/>
      <c r="CD61" s="165"/>
      <c r="CE61" s="165"/>
      <c r="CF61" s="165"/>
      <c r="CG61" s="165"/>
      <c r="CH61" s="165"/>
      <c r="CI61" s="165"/>
      <c r="CJ61" s="165"/>
      <c r="CK61" s="165"/>
      <c r="CL61" s="165"/>
      <c r="CM61" s="165"/>
      <c r="CN61" s="165"/>
      <c r="CO61" s="165"/>
      <c r="CP61" s="165"/>
      <c r="CQ61" s="165"/>
    </row>
    <row r="62" spans="1:95" ht="16.149999999999999" customHeight="1" x14ac:dyDescent="0.2">
      <c r="A62" s="10598"/>
      <c r="B62" s="7247" t="s">
        <v>17</v>
      </c>
      <c r="C62" s="7313" t="s">
        <v>18</v>
      </c>
      <c r="D62" s="7247" t="s">
        <v>17</v>
      </c>
      <c r="E62" s="7313" t="s">
        <v>18</v>
      </c>
      <c r="F62" s="7247" t="s">
        <v>17</v>
      </c>
      <c r="G62" s="7313" t="s">
        <v>18</v>
      </c>
      <c r="H62" s="7247" t="s">
        <v>17</v>
      </c>
      <c r="I62" s="7313" t="s">
        <v>18</v>
      </c>
      <c r="J62" s="7247" t="s">
        <v>17</v>
      </c>
      <c r="K62" s="7313" t="s">
        <v>18</v>
      </c>
      <c r="L62" s="7247" t="s">
        <v>17</v>
      </c>
      <c r="M62" s="7313" t="s">
        <v>18</v>
      </c>
      <c r="N62" s="7247" t="s">
        <v>17</v>
      </c>
      <c r="O62" s="7313" t="s">
        <v>18</v>
      </c>
      <c r="P62" s="7279" t="s">
        <v>17</v>
      </c>
      <c r="Q62" s="7313" t="s">
        <v>18</v>
      </c>
      <c r="BY62" s="165"/>
      <c r="BZ62" s="165"/>
      <c r="CA62" s="165"/>
      <c r="CB62" s="165"/>
      <c r="CC62" s="165"/>
      <c r="CD62" s="165"/>
      <c r="CE62" s="165"/>
      <c r="CF62" s="165"/>
      <c r="CG62" s="165"/>
      <c r="CH62" s="165"/>
      <c r="CI62" s="165"/>
      <c r="CJ62" s="165"/>
      <c r="CK62" s="165"/>
      <c r="CL62" s="165"/>
      <c r="CM62" s="165"/>
      <c r="CN62" s="165"/>
      <c r="CO62" s="165"/>
      <c r="CP62" s="165"/>
      <c r="CQ62" s="165"/>
    </row>
    <row r="63" spans="1:95" ht="16.149999999999999" customHeight="1" x14ac:dyDescent="0.2">
      <c r="A63" s="7283" t="s">
        <v>24</v>
      </c>
      <c r="B63" s="7264">
        <f>SUM(B64:B67)</f>
        <v>0</v>
      </c>
      <c r="C63" s="7264">
        <f t="shared" ref="C63:Q63" si="9">SUM(C64:C67)</f>
        <v>0</v>
      </c>
      <c r="D63" s="7264">
        <f t="shared" si="9"/>
        <v>0</v>
      </c>
      <c r="E63" s="7264">
        <f t="shared" si="9"/>
        <v>0</v>
      </c>
      <c r="F63" s="7264">
        <f t="shared" si="9"/>
        <v>0</v>
      </c>
      <c r="G63" s="7264">
        <f t="shared" si="9"/>
        <v>0</v>
      </c>
      <c r="H63" s="7264">
        <f t="shared" si="9"/>
        <v>0</v>
      </c>
      <c r="I63" s="7264">
        <f t="shared" si="9"/>
        <v>0</v>
      </c>
      <c r="J63" s="7264">
        <f t="shared" si="9"/>
        <v>0</v>
      </c>
      <c r="K63" s="7264">
        <f t="shared" si="9"/>
        <v>0</v>
      </c>
      <c r="L63" s="7264">
        <f t="shared" si="9"/>
        <v>0</v>
      </c>
      <c r="M63" s="7264">
        <f t="shared" si="9"/>
        <v>0</v>
      </c>
      <c r="N63" s="7264">
        <f t="shared" si="9"/>
        <v>0</v>
      </c>
      <c r="O63" s="7264">
        <f t="shared" si="9"/>
        <v>0</v>
      </c>
      <c r="P63" s="7264">
        <f t="shared" si="9"/>
        <v>0</v>
      </c>
      <c r="Q63" s="7284">
        <f t="shared" si="9"/>
        <v>0</v>
      </c>
      <c r="BY63" s="165"/>
      <c r="BZ63" s="165"/>
      <c r="CA63" s="165"/>
      <c r="CB63" s="165"/>
      <c r="CC63" s="165"/>
      <c r="CD63" s="165"/>
      <c r="CE63" s="165"/>
      <c r="CF63" s="165"/>
      <c r="CG63" s="165"/>
      <c r="CH63" s="165"/>
      <c r="CI63" s="165"/>
      <c r="CJ63" s="165"/>
      <c r="CK63" s="165"/>
      <c r="CL63" s="165"/>
      <c r="CM63" s="165"/>
      <c r="CN63" s="165"/>
      <c r="CO63" s="165"/>
      <c r="CP63" s="165"/>
      <c r="CQ63" s="165"/>
    </row>
    <row r="64" spans="1:95" ht="16.149999999999999" customHeight="1" x14ac:dyDescent="0.2">
      <c r="A64" s="7268" t="s">
        <v>2585</v>
      </c>
      <c r="B64" s="7340">
        <f>SUM(F64+J64)</f>
        <v>0</v>
      </c>
      <c r="C64" s="7356">
        <f>SUM(G64+K64)</f>
        <v>0</v>
      </c>
      <c r="D64" s="7357">
        <f>SUM(H64+L64)</f>
        <v>0</v>
      </c>
      <c r="E64" s="7356">
        <f>SUM(I64+M64)</f>
        <v>0</v>
      </c>
      <c r="F64" s="4025"/>
      <c r="G64" s="4966"/>
      <c r="H64" s="4024"/>
      <c r="I64" s="4966"/>
      <c r="J64" s="4025"/>
      <c r="K64" s="4966"/>
      <c r="L64" s="4024"/>
      <c r="M64" s="4966"/>
      <c r="N64" s="7238"/>
      <c r="O64" s="7239"/>
      <c r="P64" s="7238"/>
      <c r="Q64" s="7239"/>
      <c r="BY64" s="165"/>
      <c r="BZ64" s="165"/>
      <c r="CA64" s="165"/>
      <c r="CB64" s="165"/>
      <c r="CC64" s="165"/>
      <c r="CD64" s="165"/>
      <c r="CE64" s="165"/>
      <c r="CF64" s="165"/>
      <c r="CG64" s="165"/>
      <c r="CH64" s="165"/>
      <c r="CI64" s="165"/>
      <c r="CJ64" s="165"/>
      <c r="CK64" s="165"/>
      <c r="CL64" s="165"/>
      <c r="CM64" s="165"/>
      <c r="CN64" s="165"/>
      <c r="CO64" s="165"/>
      <c r="CP64" s="165"/>
      <c r="CQ64" s="165"/>
    </row>
    <row r="65" spans="1:95" ht="16.149999999999999" customHeight="1" x14ac:dyDescent="0.2">
      <c r="A65" s="7285" t="s">
        <v>3868</v>
      </c>
      <c r="B65" s="4980">
        <f t="shared" ref="B65:E67" si="10">SUM(F65+J65)</f>
        <v>0</v>
      </c>
      <c r="C65" s="7358">
        <f t="shared" si="10"/>
        <v>0</v>
      </c>
      <c r="D65" s="2985">
        <f t="shared" si="10"/>
        <v>0</v>
      </c>
      <c r="E65" s="7358">
        <f t="shared" si="10"/>
        <v>0</v>
      </c>
      <c r="F65" s="2885"/>
      <c r="G65" s="4956"/>
      <c r="H65" s="2915"/>
      <c r="I65" s="4956"/>
      <c r="J65" s="2885"/>
      <c r="K65" s="4956"/>
      <c r="L65" s="2915"/>
      <c r="M65" s="4956"/>
      <c r="N65" s="7238"/>
      <c r="O65" s="7239"/>
      <c r="P65" s="7238"/>
      <c r="Q65" s="7239"/>
      <c r="BY65" s="165"/>
      <c r="BZ65" s="165"/>
      <c r="CA65" s="165"/>
      <c r="CB65" s="165"/>
      <c r="CC65" s="165"/>
      <c r="CD65" s="165"/>
      <c r="CE65" s="165"/>
      <c r="CF65" s="165"/>
      <c r="CG65" s="165"/>
      <c r="CH65" s="165"/>
      <c r="CI65" s="165"/>
      <c r="CJ65" s="165"/>
      <c r="CK65" s="165"/>
      <c r="CL65" s="165"/>
      <c r="CM65" s="165"/>
      <c r="CN65" s="165"/>
      <c r="CO65" s="165"/>
      <c r="CP65" s="165"/>
      <c r="CQ65" s="165"/>
    </row>
    <row r="66" spans="1:95" ht="16.149999999999999" customHeight="1" x14ac:dyDescent="0.2">
      <c r="A66" s="7285" t="s">
        <v>3869</v>
      </c>
      <c r="B66" s="4980">
        <f t="shared" si="10"/>
        <v>0</v>
      </c>
      <c r="C66" s="7358">
        <f t="shared" si="10"/>
        <v>0</v>
      </c>
      <c r="D66" s="2985">
        <f t="shared" si="10"/>
        <v>0</v>
      </c>
      <c r="E66" s="7358">
        <f t="shared" si="10"/>
        <v>0</v>
      </c>
      <c r="F66" s="2885"/>
      <c r="G66" s="4956"/>
      <c r="H66" s="2915"/>
      <c r="I66" s="4956"/>
      <c r="J66" s="2885"/>
      <c r="K66" s="4956"/>
      <c r="L66" s="2915"/>
      <c r="M66" s="4956"/>
      <c r="N66" s="7238"/>
      <c r="O66" s="7239"/>
      <c r="P66" s="7238"/>
      <c r="Q66" s="7239"/>
      <c r="BY66" s="165"/>
      <c r="BZ66" s="165"/>
      <c r="CA66" s="165"/>
      <c r="CB66" s="165"/>
      <c r="CC66" s="165"/>
      <c r="CD66" s="165"/>
      <c r="CE66" s="165"/>
      <c r="CF66" s="165"/>
      <c r="CG66" s="165"/>
      <c r="CH66" s="165"/>
      <c r="CI66" s="165"/>
      <c r="CJ66" s="165"/>
      <c r="CK66" s="165"/>
      <c r="CL66" s="165"/>
      <c r="CM66" s="165"/>
      <c r="CN66" s="165"/>
      <c r="CO66" s="165"/>
      <c r="CP66" s="165"/>
      <c r="CQ66" s="165"/>
    </row>
    <row r="67" spans="1:95" s="199" customFormat="1" ht="16.149999999999999" customHeight="1" x14ac:dyDescent="0.2">
      <c r="A67" s="7286" t="s">
        <v>3870</v>
      </c>
      <c r="B67" s="3252">
        <f t="shared" si="10"/>
        <v>0</v>
      </c>
      <c r="C67" s="2898">
        <f t="shared" si="10"/>
        <v>0</v>
      </c>
      <c r="D67" s="2798">
        <f t="shared" si="10"/>
        <v>0</v>
      </c>
      <c r="E67" s="2898">
        <f t="shared" si="10"/>
        <v>0</v>
      </c>
      <c r="F67" s="3248"/>
      <c r="G67" s="2884"/>
      <c r="H67" s="2533"/>
      <c r="I67" s="2884"/>
      <c r="J67" s="3248"/>
      <c r="K67" s="2884"/>
      <c r="L67" s="2533"/>
      <c r="M67" s="2884"/>
      <c r="N67" s="7325"/>
      <c r="O67" s="7319"/>
      <c r="P67" s="7326"/>
      <c r="Q67" s="7327"/>
    </row>
    <row r="68" spans="1:95" ht="23.25" customHeight="1" x14ac:dyDescent="0.2">
      <c r="A68" s="7316" t="s">
        <v>3871</v>
      </c>
      <c r="BY68" s="165"/>
      <c r="BZ68" s="165"/>
      <c r="CA68" s="165"/>
      <c r="CB68" s="165"/>
      <c r="CC68" s="165"/>
      <c r="CD68" s="165"/>
      <c r="CE68" s="165"/>
      <c r="CF68" s="165"/>
      <c r="CG68" s="165"/>
      <c r="CH68" s="165"/>
      <c r="CI68" s="165"/>
      <c r="CJ68" s="165"/>
      <c r="CK68" s="165"/>
      <c r="CL68" s="165"/>
      <c r="CM68" s="165"/>
      <c r="CN68" s="165"/>
      <c r="CO68" s="165"/>
      <c r="CP68" s="165"/>
      <c r="CQ68" s="165"/>
    </row>
    <row r="69" spans="1:95" ht="31.5" customHeight="1" x14ac:dyDescent="0.2">
      <c r="A69" s="10598" t="s">
        <v>3872</v>
      </c>
      <c r="B69" s="10446" t="s">
        <v>3873</v>
      </c>
      <c r="C69" s="10446"/>
      <c r="D69" s="10446"/>
      <c r="E69" s="10446"/>
      <c r="F69" s="10446" t="s">
        <v>3874</v>
      </c>
      <c r="G69" s="10446"/>
      <c r="H69" s="10446"/>
      <c r="I69" s="10446"/>
      <c r="J69" s="10446" t="s">
        <v>3875</v>
      </c>
      <c r="K69" s="10446"/>
      <c r="L69" s="10446"/>
      <c r="M69" s="10446"/>
      <c r="N69" s="10446" t="s">
        <v>3876</v>
      </c>
      <c r="O69" s="10446"/>
      <c r="P69" s="10446"/>
      <c r="Q69" s="10446"/>
      <c r="BY69" s="165"/>
      <c r="BZ69" s="165"/>
      <c r="CA69" s="165"/>
      <c r="CB69" s="165"/>
      <c r="CC69" s="165"/>
      <c r="CD69" s="165"/>
      <c r="CE69" s="165"/>
      <c r="CF69" s="165"/>
      <c r="CG69" s="165"/>
      <c r="CH69" s="165"/>
      <c r="CI69" s="165"/>
      <c r="CJ69" s="165"/>
      <c r="CK69" s="165"/>
      <c r="CL69" s="165"/>
      <c r="CM69" s="165"/>
      <c r="CN69" s="165"/>
      <c r="CO69" s="165"/>
      <c r="CP69" s="165"/>
      <c r="CQ69" s="165"/>
    </row>
    <row r="70" spans="1:95" ht="16.149999999999999" customHeight="1" x14ac:dyDescent="0.2">
      <c r="A70" s="10598"/>
      <c r="B70" s="10592" t="s">
        <v>3828</v>
      </c>
      <c r="C70" s="10592"/>
      <c r="D70" s="10592" t="s">
        <v>3829</v>
      </c>
      <c r="E70" s="10592"/>
      <c r="F70" s="10592" t="s">
        <v>3828</v>
      </c>
      <c r="G70" s="10592"/>
      <c r="H70" s="10592" t="s">
        <v>3829</v>
      </c>
      <c r="I70" s="10592"/>
      <c r="J70" s="9069" t="s">
        <v>3828</v>
      </c>
      <c r="K70" s="9070"/>
      <c r="L70" s="9069" t="s">
        <v>3829</v>
      </c>
      <c r="M70" s="9070"/>
      <c r="N70" s="9069" t="s">
        <v>3828</v>
      </c>
      <c r="O70" s="9070"/>
      <c r="P70" s="9070" t="s">
        <v>3829</v>
      </c>
      <c r="Q70" s="10592"/>
      <c r="BY70" s="165"/>
      <c r="BZ70" s="165"/>
      <c r="CA70" s="165"/>
      <c r="CB70" s="165"/>
      <c r="CC70" s="165"/>
      <c r="CD70" s="165"/>
      <c r="CE70" s="165"/>
      <c r="CF70" s="165"/>
      <c r="CG70" s="165"/>
      <c r="CH70" s="165"/>
      <c r="CI70" s="165"/>
      <c r="CJ70" s="165"/>
      <c r="CK70" s="165"/>
      <c r="CL70" s="165"/>
      <c r="CM70" s="165"/>
      <c r="CN70" s="165"/>
      <c r="CO70" s="165"/>
      <c r="CP70" s="165"/>
      <c r="CQ70" s="165"/>
    </row>
    <row r="71" spans="1:95" ht="16.149999999999999" customHeight="1" x14ac:dyDescent="0.2">
      <c r="A71" s="10598"/>
      <c r="B71" s="7247" t="s">
        <v>17</v>
      </c>
      <c r="C71" s="7313" t="s">
        <v>18</v>
      </c>
      <c r="D71" s="7247" t="s">
        <v>17</v>
      </c>
      <c r="E71" s="7313" t="s">
        <v>18</v>
      </c>
      <c r="F71" s="7247" t="s">
        <v>17</v>
      </c>
      <c r="G71" s="7313" t="s">
        <v>18</v>
      </c>
      <c r="H71" s="7247" t="s">
        <v>17</v>
      </c>
      <c r="I71" s="7313" t="s">
        <v>18</v>
      </c>
      <c r="J71" s="7247" t="s">
        <v>17</v>
      </c>
      <c r="K71" s="7313" t="s">
        <v>18</v>
      </c>
      <c r="L71" s="7247" t="s">
        <v>17</v>
      </c>
      <c r="M71" s="7313" t="s">
        <v>18</v>
      </c>
      <c r="N71" s="7247" t="s">
        <v>17</v>
      </c>
      <c r="O71" s="7313" t="s">
        <v>18</v>
      </c>
      <c r="P71" s="7279" t="s">
        <v>17</v>
      </c>
      <c r="Q71" s="7313" t="s">
        <v>18</v>
      </c>
      <c r="BY71" s="165"/>
      <c r="BZ71" s="165"/>
      <c r="CA71" s="165"/>
      <c r="CB71" s="165"/>
      <c r="CC71" s="165"/>
      <c r="CD71" s="165"/>
      <c r="CE71" s="165"/>
      <c r="CF71" s="165"/>
      <c r="CG71" s="165"/>
      <c r="CH71" s="165"/>
      <c r="CI71" s="165"/>
      <c r="CJ71" s="165"/>
      <c r="CK71" s="165"/>
      <c r="CL71" s="165"/>
      <c r="CM71" s="165"/>
      <c r="CN71" s="165"/>
      <c r="CO71" s="165"/>
      <c r="CP71" s="165"/>
      <c r="CQ71" s="165"/>
    </row>
    <row r="72" spans="1:95" ht="16.149999999999999" customHeight="1" x14ac:dyDescent="0.2">
      <c r="A72" s="7283" t="s">
        <v>24</v>
      </c>
      <c r="B72" s="7264">
        <f>SUM(B73:B76)</f>
        <v>0</v>
      </c>
      <c r="C72" s="7267">
        <f>SUM(C73:C76)</f>
        <v>0</v>
      </c>
      <c r="D72" s="7265">
        <f>SUM(D73:D76)</f>
        <v>0</v>
      </c>
      <c r="E72" s="7267">
        <f>SUM(E73:E76)</f>
        <v>0</v>
      </c>
      <c r="F72" s="7264">
        <f t="shared" ref="F72:Q72" si="11">SUM(F73:F76)</f>
        <v>0</v>
      </c>
      <c r="G72" s="7320">
        <f t="shared" si="11"/>
        <v>0</v>
      </c>
      <c r="H72" s="7264">
        <f t="shared" si="11"/>
        <v>0</v>
      </c>
      <c r="I72" s="7320">
        <f t="shared" si="11"/>
        <v>0</v>
      </c>
      <c r="J72" s="7264">
        <f t="shared" si="11"/>
        <v>0</v>
      </c>
      <c r="K72" s="7320">
        <f t="shared" si="11"/>
        <v>0</v>
      </c>
      <c r="L72" s="7264">
        <f t="shared" si="11"/>
        <v>0</v>
      </c>
      <c r="M72" s="7320">
        <f t="shared" si="11"/>
        <v>0</v>
      </c>
      <c r="N72" s="7264">
        <f t="shared" si="11"/>
        <v>0</v>
      </c>
      <c r="O72" s="7320">
        <f t="shared" si="11"/>
        <v>0</v>
      </c>
      <c r="P72" s="7265">
        <f t="shared" si="11"/>
        <v>0</v>
      </c>
      <c r="Q72" s="7320">
        <f t="shared" si="11"/>
        <v>0</v>
      </c>
      <c r="BY72" s="165"/>
      <c r="BZ72" s="165"/>
      <c r="CA72" s="165"/>
      <c r="CB72" s="165"/>
      <c r="CC72" s="165"/>
      <c r="CD72" s="165"/>
      <c r="CE72" s="165"/>
      <c r="CF72" s="165"/>
      <c r="CG72" s="165"/>
      <c r="CH72" s="165"/>
      <c r="CI72" s="165"/>
      <c r="CJ72" s="165"/>
      <c r="CK72" s="165"/>
      <c r="CL72" s="165"/>
      <c r="CM72" s="165"/>
      <c r="CN72" s="165"/>
      <c r="CO72" s="165"/>
      <c r="CP72" s="165"/>
      <c r="CQ72" s="165"/>
    </row>
    <row r="73" spans="1:95" ht="16.149999999999999" customHeight="1" x14ac:dyDescent="0.2">
      <c r="A73" s="7268" t="s">
        <v>2585</v>
      </c>
      <c r="B73" s="7340">
        <f>SUM(F73+J73)</f>
        <v>0</v>
      </c>
      <c r="C73" s="7356">
        <f>SUM(G73+K73)</f>
        <v>0</v>
      </c>
      <c r="D73" s="7357">
        <f>SUM(H73+L73)</f>
        <v>0</v>
      </c>
      <c r="E73" s="7356">
        <f>SUM(I73+M73)</f>
        <v>0</v>
      </c>
      <c r="F73" s="4025"/>
      <c r="G73" s="4966"/>
      <c r="H73" s="4024"/>
      <c r="I73" s="4966"/>
      <c r="J73" s="4025"/>
      <c r="K73" s="4966"/>
      <c r="L73" s="4024"/>
      <c r="M73" s="4966"/>
      <c r="N73" s="7238"/>
      <c r="O73" s="7239"/>
      <c r="P73" s="7238"/>
      <c r="Q73" s="7239"/>
      <c r="BY73" s="165"/>
      <c r="BZ73" s="165"/>
      <c r="CA73" s="165"/>
      <c r="CB73" s="165"/>
      <c r="CC73" s="165"/>
      <c r="CD73" s="165"/>
      <c r="CE73" s="165"/>
      <c r="CF73" s="165"/>
      <c r="CG73" s="165"/>
      <c r="CH73" s="165"/>
      <c r="CI73" s="165"/>
      <c r="CJ73" s="165"/>
      <c r="CK73" s="165"/>
      <c r="CL73" s="165"/>
      <c r="CM73" s="165"/>
      <c r="CN73" s="165"/>
      <c r="CO73" s="165"/>
      <c r="CP73" s="165"/>
      <c r="CQ73" s="165"/>
    </row>
    <row r="74" spans="1:95" ht="16.149999999999999" customHeight="1" x14ac:dyDescent="0.2">
      <c r="A74" s="7285" t="s">
        <v>3868</v>
      </c>
      <c r="B74" s="4980">
        <f t="shared" ref="B74:E76" si="12">SUM(F74+J74)</f>
        <v>0</v>
      </c>
      <c r="C74" s="7358">
        <f t="shared" si="12"/>
        <v>0</v>
      </c>
      <c r="D74" s="2985">
        <f t="shared" si="12"/>
        <v>0</v>
      </c>
      <c r="E74" s="7358">
        <f t="shared" si="12"/>
        <v>0</v>
      </c>
      <c r="F74" s="2885"/>
      <c r="G74" s="4956"/>
      <c r="H74" s="2915"/>
      <c r="I74" s="4956"/>
      <c r="J74" s="2885"/>
      <c r="K74" s="4956"/>
      <c r="L74" s="2915"/>
      <c r="M74" s="4956"/>
      <c r="N74" s="7238"/>
      <c r="O74" s="7239"/>
      <c r="P74" s="7238"/>
      <c r="Q74" s="7239"/>
      <c r="BY74" s="165"/>
      <c r="BZ74" s="165"/>
      <c r="CA74" s="165"/>
      <c r="CB74" s="165"/>
      <c r="CC74" s="165"/>
      <c r="CD74" s="165"/>
      <c r="CE74" s="165"/>
      <c r="CF74" s="165"/>
      <c r="CG74" s="165"/>
      <c r="CH74" s="165"/>
      <c r="CI74" s="165"/>
      <c r="CJ74" s="165"/>
      <c r="CK74" s="165"/>
      <c r="CL74" s="165"/>
      <c r="CM74" s="165"/>
      <c r="CN74" s="165"/>
      <c r="CO74" s="165"/>
      <c r="CP74" s="165"/>
      <c r="CQ74" s="165"/>
    </row>
    <row r="75" spans="1:95" ht="16.149999999999999" customHeight="1" x14ac:dyDescent="0.2">
      <c r="A75" s="7285" t="s">
        <v>3869</v>
      </c>
      <c r="B75" s="4980">
        <f t="shared" si="12"/>
        <v>0</v>
      </c>
      <c r="C75" s="7358">
        <f t="shared" si="12"/>
        <v>0</v>
      </c>
      <c r="D75" s="2985">
        <f t="shared" si="12"/>
        <v>0</v>
      </c>
      <c r="E75" s="7358">
        <f t="shared" si="12"/>
        <v>0</v>
      </c>
      <c r="F75" s="2885"/>
      <c r="G75" s="4956"/>
      <c r="H75" s="2915"/>
      <c r="I75" s="4956"/>
      <c r="J75" s="2885"/>
      <c r="K75" s="4956"/>
      <c r="L75" s="2915"/>
      <c r="M75" s="4956"/>
      <c r="N75" s="7238"/>
      <c r="O75" s="7239"/>
      <c r="P75" s="7238"/>
      <c r="Q75" s="7239"/>
      <c r="BY75" s="165"/>
      <c r="BZ75" s="165"/>
      <c r="CA75" s="165"/>
      <c r="CB75" s="165"/>
      <c r="CC75" s="165"/>
      <c r="CD75" s="165"/>
      <c r="CE75" s="165"/>
      <c r="CF75" s="165"/>
      <c r="CG75" s="165"/>
      <c r="CH75" s="165"/>
      <c r="CI75" s="165"/>
      <c r="CJ75" s="165"/>
      <c r="CK75" s="165"/>
      <c r="CL75" s="165"/>
      <c r="CM75" s="165"/>
      <c r="CN75" s="165"/>
      <c r="CO75" s="165"/>
      <c r="CP75" s="165"/>
      <c r="CQ75" s="165"/>
    </row>
    <row r="76" spans="1:95" s="290" customFormat="1" ht="16.149999999999999" customHeight="1" x14ac:dyDescent="0.2">
      <c r="A76" s="7286" t="s">
        <v>3870</v>
      </c>
      <c r="B76" s="3252">
        <f t="shared" si="12"/>
        <v>0</v>
      </c>
      <c r="C76" s="2898">
        <f t="shared" si="12"/>
        <v>0</v>
      </c>
      <c r="D76" s="2798">
        <f t="shared" si="12"/>
        <v>0</v>
      </c>
      <c r="E76" s="2898">
        <f t="shared" si="12"/>
        <v>0</v>
      </c>
      <c r="F76" s="3248"/>
      <c r="G76" s="2884"/>
      <c r="H76" s="2533"/>
      <c r="I76" s="2884"/>
      <c r="J76" s="3248"/>
      <c r="K76" s="2884"/>
      <c r="L76" s="2533"/>
      <c r="M76" s="2884"/>
      <c r="N76" s="7325"/>
      <c r="O76" s="7319"/>
      <c r="P76" s="7326"/>
      <c r="Q76" s="7327"/>
    </row>
    <row r="77" spans="1:95" ht="23.25" customHeight="1" x14ac:dyDescent="0.2">
      <c r="A77" s="7316" t="s">
        <v>3919</v>
      </c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BY77" s="165"/>
      <c r="BZ77" s="165"/>
      <c r="CA77" s="165"/>
      <c r="CB77" s="165"/>
      <c r="CC77" s="165"/>
      <c r="CD77" s="165"/>
      <c r="CE77" s="165"/>
      <c r="CF77" s="165"/>
      <c r="CG77" s="165"/>
      <c r="CH77" s="165"/>
      <c r="CI77" s="165"/>
      <c r="CJ77" s="165"/>
      <c r="CK77" s="165"/>
      <c r="CL77" s="165"/>
      <c r="CM77" s="165"/>
      <c r="CN77" s="165"/>
      <c r="CO77" s="165"/>
      <c r="CP77" s="165"/>
      <c r="CQ77" s="165"/>
    </row>
    <row r="78" spans="1:95" ht="22.5" customHeight="1" x14ac:dyDescent="0.2">
      <c r="A78" s="10601" t="s">
        <v>3872</v>
      </c>
      <c r="B78" s="10446" t="s">
        <v>3920</v>
      </c>
      <c r="C78" s="10446"/>
      <c r="D78" s="10446"/>
      <c r="E78" s="10446"/>
      <c r="F78" s="10446" t="s">
        <v>3921</v>
      </c>
      <c r="G78" s="10446"/>
      <c r="H78" s="10446"/>
      <c r="I78" s="10446"/>
      <c r="BY78" s="165"/>
      <c r="BZ78" s="165"/>
      <c r="CA78" s="165"/>
      <c r="CB78" s="165"/>
      <c r="CC78" s="165"/>
      <c r="CD78" s="165"/>
      <c r="CE78" s="165"/>
      <c r="CF78" s="165"/>
      <c r="CG78" s="165"/>
      <c r="CH78" s="165"/>
      <c r="CI78" s="165"/>
      <c r="CJ78" s="165"/>
      <c r="CK78" s="165"/>
      <c r="CL78" s="165"/>
      <c r="CM78" s="165"/>
      <c r="CN78" s="165"/>
      <c r="CO78" s="165"/>
      <c r="CP78" s="165"/>
      <c r="CQ78" s="165"/>
    </row>
    <row r="79" spans="1:95" x14ac:dyDescent="0.2">
      <c r="A79" s="10602"/>
      <c r="B79" s="10592" t="s">
        <v>3828</v>
      </c>
      <c r="C79" s="10592"/>
      <c r="D79" s="10592" t="s">
        <v>3829</v>
      </c>
      <c r="E79" s="10592"/>
      <c r="F79" s="9069" t="s">
        <v>3828</v>
      </c>
      <c r="G79" s="9070"/>
      <c r="H79" s="10592" t="s">
        <v>3829</v>
      </c>
      <c r="I79" s="10592"/>
      <c r="BY79" s="165"/>
      <c r="BZ79" s="165"/>
      <c r="CA79" s="165"/>
      <c r="CB79" s="165"/>
      <c r="CC79" s="165"/>
      <c r="CD79" s="165"/>
      <c r="CE79" s="165"/>
      <c r="CF79" s="165"/>
      <c r="CG79" s="165"/>
      <c r="CH79" s="165"/>
      <c r="CI79" s="165"/>
      <c r="CJ79" s="165"/>
      <c r="CK79" s="165"/>
      <c r="CL79" s="165"/>
      <c r="CM79" s="165"/>
      <c r="CN79" s="165"/>
      <c r="CO79" s="165"/>
      <c r="CP79" s="165"/>
      <c r="CQ79" s="165"/>
    </row>
    <row r="80" spans="1:95" ht="19.5" customHeight="1" x14ac:dyDescent="0.2">
      <c r="A80" s="10603"/>
      <c r="B80" s="7247" t="s">
        <v>17</v>
      </c>
      <c r="C80" s="7227" t="s">
        <v>18</v>
      </c>
      <c r="D80" s="7279" t="s">
        <v>17</v>
      </c>
      <c r="E80" s="7313" t="s">
        <v>18</v>
      </c>
      <c r="F80" s="7247" t="s">
        <v>17</v>
      </c>
      <c r="G80" s="7313" t="s">
        <v>18</v>
      </c>
      <c r="H80" s="7247" t="s">
        <v>17</v>
      </c>
      <c r="I80" s="7227" t="s">
        <v>18</v>
      </c>
      <c r="BY80" s="165"/>
      <c r="BZ80" s="165"/>
      <c r="CA80" s="165"/>
      <c r="CB80" s="165"/>
      <c r="CC80" s="165"/>
      <c r="CD80" s="165"/>
      <c r="CE80" s="165"/>
      <c r="CF80" s="165"/>
      <c r="CG80" s="165"/>
      <c r="CH80" s="165"/>
      <c r="CI80" s="165"/>
      <c r="CJ80" s="165"/>
      <c r="CK80" s="165"/>
      <c r="CL80" s="165"/>
      <c r="CM80" s="165"/>
      <c r="CN80" s="165"/>
      <c r="CO80" s="165"/>
      <c r="CP80" s="165"/>
      <c r="CQ80" s="165"/>
    </row>
    <row r="81" spans="1:95" x14ac:dyDescent="0.2">
      <c r="A81" s="7283" t="s">
        <v>24</v>
      </c>
      <c r="B81" s="7247">
        <f>SUM(B82:B83)</f>
        <v>0</v>
      </c>
      <c r="C81" s="7279">
        <f t="shared" ref="C81:I81" si="13">SUM(C82:C83)</f>
        <v>0</v>
      </c>
      <c r="D81" s="7247">
        <f t="shared" si="13"/>
        <v>0</v>
      </c>
      <c r="E81" s="7279">
        <f t="shared" si="13"/>
        <v>0</v>
      </c>
      <c r="F81" s="7246">
        <f t="shared" si="13"/>
        <v>0</v>
      </c>
      <c r="G81" s="7227">
        <f t="shared" si="13"/>
        <v>0</v>
      </c>
      <c r="H81" s="7246">
        <f t="shared" si="13"/>
        <v>0</v>
      </c>
      <c r="I81" s="7287">
        <f t="shared" si="13"/>
        <v>0</v>
      </c>
      <c r="J81" s="7232"/>
      <c r="BY81" s="165"/>
      <c r="BZ81" s="165"/>
      <c r="CA81" s="165"/>
      <c r="CB81" s="165"/>
      <c r="CC81" s="165"/>
      <c r="CD81" s="165"/>
      <c r="CE81" s="165"/>
      <c r="CF81" s="165"/>
      <c r="CG81" s="165"/>
      <c r="CH81" s="165"/>
      <c r="CI81" s="165"/>
      <c r="CJ81" s="165"/>
      <c r="CK81" s="165"/>
      <c r="CL81" s="165"/>
      <c r="CM81" s="165"/>
      <c r="CN81" s="165"/>
      <c r="CO81" s="165"/>
      <c r="CP81" s="165"/>
      <c r="CQ81" s="165"/>
    </row>
    <row r="82" spans="1:95" ht="15" x14ac:dyDescent="0.2">
      <c r="A82" s="7288" t="s">
        <v>3877</v>
      </c>
      <c r="B82" s="7289"/>
      <c r="C82" s="7290"/>
      <c r="D82" s="7291"/>
      <c r="E82" s="7328"/>
      <c r="F82" s="7292"/>
      <c r="G82" s="7293"/>
      <c r="H82" s="7292"/>
      <c r="I82" s="7293"/>
      <c r="BY82" s="165"/>
      <c r="BZ82" s="165"/>
      <c r="CA82" s="165"/>
      <c r="CB82" s="165"/>
      <c r="CC82" s="165"/>
      <c r="CD82" s="165"/>
      <c r="CE82" s="165"/>
      <c r="CF82" s="165"/>
      <c r="CG82" s="165"/>
      <c r="CH82" s="165"/>
      <c r="CI82" s="165"/>
      <c r="CJ82" s="165"/>
      <c r="CK82" s="165"/>
      <c r="CL82" s="165"/>
      <c r="CM82" s="165"/>
      <c r="CN82" s="165"/>
      <c r="CO82" s="165"/>
      <c r="CP82" s="165"/>
      <c r="CQ82" s="165"/>
    </row>
    <row r="83" spans="1:95" ht="15" x14ac:dyDescent="0.2">
      <c r="A83" s="7329" t="s">
        <v>3878</v>
      </c>
      <c r="B83" s="7289"/>
      <c r="C83" s="7290"/>
      <c r="D83" s="7321"/>
      <c r="E83" s="7322"/>
      <c r="F83" s="7292"/>
      <c r="G83" s="7293"/>
      <c r="H83" s="7292"/>
      <c r="I83" s="7293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/>
      <c r="CL83" s="165"/>
      <c r="CM83" s="165"/>
      <c r="CN83" s="165"/>
      <c r="CO83" s="165"/>
      <c r="CP83" s="165"/>
      <c r="CQ83" s="165"/>
    </row>
    <row r="84" spans="1:95" s="1188" customFormat="1" ht="19.5" customHeight="1" x14ac:dyDescent="0.25">
      <c r="A84" s="746" t="s">
        <v>3879</v>
      </c>
      <c r="B84" s="7205"/>
      <c r="C84" s="7205"/>
      <c r="D84" s="7205"/>
      <c r="E84" s="7205"/>
      <c r="F84" s="7205"/>
      <c r="G84" s="7205"/>
      <c r="H84" s="7205"/>
      <c r="I84" s="7205"/>
    </row>
    <row r="85" spans="1:95" customFormat="1" ht="18" customHeight="1" x14ac:dyDescent="0.25">
      <c r="A85" s="72" t="s">
        <v>3880</v>
      </c>
      <c r="B85" s="746"/>
      <c r="C85" s="7294"/>
      <c r="D85" s="7294"/>
      <c r="E85" s="7294"/>
      <c r="F85" s="7294"/>
      <c r="G85" s="165"/>
      <c r="H85" s="1188"/>
      <c r="I85" s="1188"/>
      <c r="J85" s="1188"/>
    </row>
    <row r="86" spans="1:95" customFormat="1" ht="23.25" customHeight="1" x14ac:dyDescent="0.25">
      <c r="A86" s="10600" t="s">
        <v>3881</v>
      </c>
      <c r="B86" s="9068" t="s">
        <v>24</v>
      </c>
      <c r="C86" s="10597" t="s">
        <v>3882</v>
      </c>
      <c r="D86" s="10597"/>
      <c r="E86" s="10597"/>
      <c r="F86" s="10597"/>
      <c r="G86" s="10597"/>
      <c r="H86" s="9068"/>
      <c r="I86" s="9052" t="s">
        <v>3883</v>
      </c>
      <c r="J86" s="9049"/>
    </row>
    <row r="87" spans="1:95" customFormat="1" ht="23.25" customHeight="1" x14ac:dyDescent="0.25">
      <c r="A87" s="10600"/>
      <c r="B87" s="9068"/>
      <c r="C87" s="10599" t="s">
        <v>3828</v>
      </c>
      <c r="D87" s="9070"/>
      <c r="E87" s="9069" t="s">
        <v>3829</v>
      </c>
      <c r="F87" s="9070"/>
      <c r="G87" s="9056" t="s">
        <v>3884</v>
      </c>
      <c r="H87" s="9068"/>
      <c r="I87" s="9054"/>
      <c r="J87" s="8328"/>
    </row>
    <row r="88" spans="1:95" customFormat="1" ht="41.25" customHeight="1" x14ac:dyDescent="0.25">
      <c r="A88" s="10600"/>
      <c r="B88" s="9049"/>
      <c r="C88" s="7279" t="s">
        <v>17</v>
      </c>
      <c r="D88" s="7313" t="s">
        <v>18</v>
      </c>
      <c r="E88" s="7279" t="s">
        <v>17</v>
      </c>
      <c r="F88" s="7313" t="s">
        <v>18</v>
      </c>
      <c r="G88" s="7221" t="s">
        <v>3885</v>
      </c>
      <c r="H88" s="7221" t="s">
        <v>3886</v>
      </c>
      <c r="I88" s="7221" t="s">
        <v>3887</v>
      </c>
      <c r="J88" s="7244" t="s">
        <v>3888</v>
      </c>
    </row>
    <row r="89" spans="1:95" customFormat="1" ht="16.5" customHeight="1" x14ac:dyDescent="0.25">
      <c r="A89" s="7295" t="s">
        <v>3889</v>
      </c>
      <c r="B89" s="7296">
        <f>SUM(C89:H89)</f>
        <v>0</v>
      </c>
      <c r="C89" s="7297"/>
      <c r="D89" s="3331"/>
      <c r="E89" s="2852"/>
      <c r="F89" s="2596"/>
      <c r="G89" s="3213"/>
      <c r="H89" s="3213"/>
      <c r="I89" s="7298"/>
      <c r="J89" s="3279"/>
    </row>
    <row r="90" spans="1:95" customFormat="1" ht="16.5" customHeight="1" x14ac:dyDescent="0.25">
      <c r="A90" s="7299" t="s">
        <v>3890</v>
      </c>
      <c r="B90" s="7284">
        <f>SUM(C90:H90)</f>
        <v>0</v>
      </c>
      <c r="C90" s="7291"/>
      <c r="D90" s="7290"/>
      <c r="E90" s="7291"/>
      <c r="F90" s="7290"/>
      <c r="G90" s="7373"/>
      <c r="H90" s="7373"/>
      <c r="I90" s="7300"/>
      <c r="J90" s="7328"/>
    </row>
    <row r="91" spans="1:95" customFormat="1" ht="24" customHeight="1" x14ac:dyDescent="0.25">
      <c r="A91" s="7301" t="s">
        <v>3891</v>
      </c>
      <c r="B91" s="7302"/>
      <c r="C91" s="7303"/>
      <c r="D91" s="7303"/>
      <c r="E91" s="7303"/>
      <c r="F91" s="7304"/>
      <c r="G91" s="165"/>
    </row>
    <row r="92" spans="1:95" customFormat="1" ht="28.5" customHeight="1" x14ac:dyDescent="0.25">
      <c r="A92" s="10600" t="s">
        <v>3892</v>
      </c>
      <c r="B92" s="10604" t="s">
        <v>24</v>
      </c>
      <c r="C92" s="9056" t="s">
        <v>3893</v>
      </c>
      <c r="D92" s="9068"/>
      <c r="E92" s="9052" t="s">
        <v>3894</v>
      </c>
      <c r="F92" s="9049"/>
    </row>
    <row r="93" spans="1:95" customFormat="1" ht="12.75" customHeight="1" x14ac:dyDescent="0.25">
      <c r="A93" s="10600"/>
      <c r="B93" s="10605"/>
      <c r="C93" s="9069" t="s">
        <v>3829</v>
      </c>
      <c r="D93" s="9070"/>
      <c r="E93" s="9054"/>
      <c r="F93" s="8328"/>
    </row>
    <row r="94" spans="1:95" customFormat="1" ht="31.5" x14ac:dyDescent="0.25">
      <c r="A94" s="10600"/>
      <c r="B94" s="10606"/>
      <c r="C94" s="7244" t="s">
        <v>17</v>
      </c>
      <c r="D94" s="7244" t="s">
        <v>18</v>
      </c>
      <c r="E94" s="7195" t="s">
        <v>3887</v>
      </c>
      <c r="F94" s="7221" t="s">
        <v>3888</v>
      </c>
      <c r="H94" s="165"/>
      <c r="I94" s="165"/>
    </row>
    <row r="95" spans="1:95" customFormat="1" ht="15" x14ac:dyDescent="0.25">
      <c r="A95" s="7299" t="s">
        <v>3889</v>
      </c>
      <c r="B95" s="7305">
        <f>SUM(C95:D95)</f>
        <v>0</v>
      </c>
      <c r="C95" s="7300"/>
      <c r="D95" s="7300"/>
      <c r="E95" s="7328"/>
      <c r="F95" s="7300"/>
      <c r="H95" s="165"/>
      <c r="I95" s="165"/>
    </row>
    <row r="96" spans="1:95" s="1188" customFormat="1" ht="15" x14ac:dyDescent="0.25">
      <c r="A96" s="7330" t="s">
        <v>3890</v>
      </c>
      <c r="B96" s="7305">
        <f>SUM(C96:D96)</f>
        <v>0</v>
      </c>
      <c r="C96" s="7331"/>
      <c r="D96" s="7331"/>
      <c r="E96" s="7331"/>
      <c r="F96" s="7331"/>
      <c r="G96"/>
      <c r="J96"/>
      <c r="K96"/>
      <c r="L96"/>
      <c r="M96"/>
      <c r="N96"/>
      <c r="O96"/>
    </row>
    <row r="97" spans="1:95" s="1188" customFormat="1" ht="21.75" customHeight="1" x14ac:dyDescent="0.25">
      <c r="A97" s="746" t="s">
        <v>3895</v>
      </c>
      <c r="B97" s="746"/>
      <c r="C97" s="7294"/>
      <c r="D97" s="7294"/>
      <c r="E97" s="7294"/>
      <c r="F97" s="7294"/>
      <c r="G97" s="165"/>
    </row>
    <row r="98" spans="1:95" s="1188" customFormat="1" ht="26.25" customHeight="1" x14ac:dyDescent="0.25">
      <c r="A98" s="10607" t="s">
        <v>3896</v>
      </c>
      <c r="B98" s="10446" t="s">
        <v>24</v>
      </c>
      <c r="C98" s="10597" t="s">
        <v>3897</v>
      </c>
      <c r="D98" s="10597"/>
      <c r="E98" s="10597"/>
      <c r="F98" s="9068"/>
    </row>
    <row r="99" spans="1:95" s="1188" customFormat="1" ht="15" x14ac:dyDescent="0.25">
      <c r="A99" s="10607"/>
      <c r="B99" s="10446"/>
      <c r="C99" s="10599" t="s">
        <v>3828</v>
      </c>
      <c r="D99" s="9070"/>
      <c r="E99" s="9070" t="s">
        <v>3829</v>
      </c>
      <c r="F99" s="10592"/>
    </row>
    <row r="100" spans="1:95" s="1188" customFormat="1" ht="15" x14ac:dyDescent="0.25">
      <c r="A100" s="10607"/>
      <c r="B100" s="10446"/>
      <c r="C100" s="7279" t="s">
        <v>17</v>
      </c>
      <c r="D100" s="7313" t="s">
        <v>18</v>
      </c>
      <c r="E100" s="7279" t="s">
        <v>17</v>
      </c>
      <c r="F100" s="7313" t="s">
        <v>18</v>
      </c>
    </row>
    <row r="101" spans="1:95" s="1188" customFormat="1" ht="15" x14ac:dyDescent="0.25">
      <c r="A101" s="7330" t="s">
        <v>3898</v>
      </c>
      <c r="B101" s="7305">
        <f>SUM(C101:F101)</f>
        <v>0</v>
      </c>
      <c r="C101" s="7321"/>
      <c r="D101" s="7322"/>
      <c r="E101" s="2533"/>
      <c r="F101" s="2884"/>
      <c r="K101" s="199"/>
      <c r="L101" s="199"/>
      <c r="M101" s="199"/>
      <c r="N101" s="199"/>
      <c r="O101" s="199"/>
      <c r="P101" s="199"/>
      <c r="Q101" s="199"/>
    </row>
    <row r="102" spans="1:95" s="1188" customFormat="1" ht="26.25" customHeight="1" x14ac:dyDescent="0.25">
      <c r="A102" s="746" t="s">
        <v>3899</v>
      </c>
      <c r="B102" s="746"/>
      <c r="C102" s="7294"/>
      <c r="D102" s="7294"/>
      <c r="E102" s="7294"/>
      <c r="F102" s="7294"/>
      <c r="G102" s="165"/>
    </row>
    <row r="103" spans="1:95" s="1188" customFormat="1" ht="23.25" customHeight="1" x14ac:dyDescent="0.25">
      <c r="A103" s="10607" t="s">
        <v>3896</v>
      </c>
      <c r="B103" s="9062" t="s">
        <v>24</v>
      </c>
      <c r="C103" s="10597" t="s">
        <v>3900</v>
      </c>
      <c r="D103" s="10597"/>
      <c r="E103" s="10597"/>
      <c r="F103" s="9068"/>
    </row>
    <row r="104" spans="1:95" s="1188" customFormat="1" ht="15" x14ac:dyDescent="0.25">
      <c r="A104" s="10607"/>
      <c r="B104" s="8274"/>
      <c r="C104" s="9070" t="s">
        <v>3828</v>
      </c>
      <c r="D104" s="10592"/>
      <c r="E104" s="9070" t="s">
        <v>3829</v>
      </c>
      <c r="F104" s="10592"/>
    </row>
    <row r="105" spans="1:95" s="1188" customFormat="1" ht="15" x14ac:dyDescent="0.25">
      <c r="A105" s="10607"/>
      <c r="B105" s="9063"/>
      <c r="C105" s="7279" t="s">
        <v>17</v>
      </c>
      <c r="D105" s="7313" t="s">
        <v>18</v>
      </c>
      <c r="E105" s="7279" t="s">
        <v>17</v>
      </c>
      <c r="F105" s="7313" t="s">
        <v>18</v>
      </c>
    </row>
    <row r="106" spans="1:95" ht="14.25" customHeight="1" x14ac:dyDescent="0.25">
      <c r="A106" s="7299" t="s">
        <v>3898</v>
      </c>
      <c r="B106" s="7305">
        <f>SUM(C106:F106)</f>
        <v>0</v>
      </c>
      <c r="C106" s="7291"/>
      <c r="D106" s="7290"/>
      <c r="E106" s="7291"/>
      <c r="F106" s="7290"/>
      <c r="G106" s="1188"/>
      <c r="H106" s="1188"/>
      <c r="I106" s="1188"/>
      <c r="J106" s="1188"/>
      <c r="K106" s="1152"/>
      <c r="L106" s="1152"/>
      <c r="M106" s="1152"/>
      <c r="N106" s="1152"/>
      <c r="O106" s="1152"/>
      <c r="P106" s="1152"/>
      <c r="Q106" s="1152"/>
      <c r="BY106" s="165"/>
      <c r="BZ106" s="165"/>
      <c r="CA106" s="165"/>
      <c r="CB106" s="165"/>
      <c r="CC106" s="165"/>
      <c r="CD106" s="165"/>
      <c r="CE106" s="165"/>
      <c r="CF106" s="165"/>
      <c r="CG106" s="165"/>
      <c r="CH106" s="165"/>
      <c r="CI106" s="165"/>
      <c r="CJ106" s="165"/>
      <c r="CK106" s="165"/>
      <c r="CL106" s="165"/>
      <c r="CM106" s="165"/>
      <c r="CN106" s="165"/>
      <c r="CO106" s="165"/>
      <c r="CP106" s="165"/>
      <c r="CQ106" s="165"/>
    </row>
    <row r="107" spans="1:95" ht="24" customHeight="1" x14ac:dyDescent="0.2">
      <c r="A107" s="7316" t="s">
        <v>3901</v>
      </c>
      <c r="B107" s="7294"/>
      <c r="C107" s="7294"/>
      <c r="D107" s="7294"/>
      <c r="E107" s="7294"/>
    </row>
    <row r="108" spans="1:95" ht="27" customHeight="1" x14ac:dyDescent="0.2">
      <c r="A108" s="10600" t="s">
        <v>3902</v>
      </c>
      <c r="B108" s="10446" t="s">
        <v>3903</v>
      </c>
      <c r="C108" s="10446"/>
      <c r="D108" s="10446"/>
      <c r="E108" s="10446"/>
      <c r="F108" s="10446" t="s">
        <v>3904</v>
      </c>
      <c r="G108" s="10446"/>
      <c r="H108" s="10446"/>
      <c r="I108" s="10446"/>
    </row>
    <row r="109" spans="1:95" x14ac:dyDescent="0.2">
      <c r="A109" s="10600"/>
      <c r="B109" s="10592" t="s">
        <v>3828</v>
      </c>
      <c r="C109" s="10592"/>
      <c r="D109" s="10592" t="s">
        <v>3829</v>
      </c>
      <c r="E109" s="10592"/>
      <c r="F109" s="10592" t="s">
        <v>3828</v>
      </c>
      <c r="G109" s="10592"/>
      <c r="H109" s="10592" t="s">
        <v>3829</v>
      </c>
      <c r="I109" s="10592"/>
    </row>
    <row r="110" spans="1:95" x14ac:dyDescent="0.2">
      <c r="A110" s="10600"/>
      <c r="B110" s="7245" t="s">
        <v>17</v>
      </c>
      <c r="C110" s="7245" t="s">
        <v>18</v>
      </c>
      <c r="D110" s="7245" t="s">
        <v>17</v>
      </c>
      <c r="E110" s="7245" t="s">
        <v>18</v>
      </c>
      <c r="F110" s="7245" t="s">
        <v>17</v>
      </c>
      <c r="G110" s="7245" t="s">
        <v>18</v>
      </c>
      <c r="H110" s="7245" t="s">
        <v>17</v>
      </c>
      <c r="I110" s="7245" t="s">
        <v>18</v>
      </c>
    </row>
    <row r="111" spans="1:95" ht="15" x14ac:dyDescent="0.2">
      <c r="A111" s="7306" t="s">
        <v>24</v>
      </c>
      <c r="B111" s="7249">
        <f>SUM(B112:B116)</f>
        <v>0</v>
      </c>
      <c r="C111" s="7249">
        <f>SUM(C112:C116)</f>
        <v>0</v>
      </c>
      <c r="D111" s="7249">
        <f t="shared" ref="D111:I111" si="14">SUM(D112:D116)</f>
        <v>0</v>
      </c>
      <c r="E111" s="7249">
        <f t="shared" si="14"/>
        <v>0</v>
      </c>
      <c r="F111" s="7249">
        <f t="shared" si="14"/>
        <v>0</v>
      </c>
      <c r="G111" s="7249">
        <f t="shared" si="14"/>
        <v>0</v>
      </c>
      <c r="H111" s="7249">
        <f t="shared" si="14"/>
        <v>0</v>
      </c>
      <c r="I111" s="7249">
        <f t="shared" si="14"/>
        <v>0</v>
      </c>
    </row>
    <row r="112" spans="1:95" ht="15" x14ac:dyDescent="0.2">
      <c r="A112" s="7307" t="s">
        <v>3905</v>
      </c>
      <c r="B112" s="7300"/>
      <c r="C112" s="7300"/>
      <c r="D112" s="7300"/>
      <c r="E112" s="7300"/>
      <c r="F112" s="7308"/>
      <c r="G112" s="7308"/>
      <c r="H112" s="7308"/>
      <c r="I112" s="7308"/>
      <c r="BY112" s="165"/>
      <c r="BZ112" s="165"/>
      <c r="CA112" s="165"/>
      <c r="CB112" s="165"/>
      <c r="CC112" s="165"/>
      <c r="CD112" s="165"/>
      <c r="CE112" s="165"/>
      <c r="CF112" s="165"/>
      <c r="CG112" s="165"/>
      <c r="CH112" s="165"/>
      <c r="CI112" s="165"/>
      <c r="CJ112" s="165"/>
      <c r="CK112" s="165"/>
      <c r="CL112" s="165"/>
      <c r="CM112" s="165"/>
      <c r="CN112" s="165"/>
      <c r="CO112" s="165"/>
      <c r="CP112" s="165"/>
      <c r="CQ112" s="165"/>
    </row>
    <row r="113" spans="1:95" ht="15" x14ac:dyDescent="0.2">
      <c r="A113" s="7307" t="s">
        <v>3906</v>
      </c>
      <c r="B113" s="7300"/>
      <c r="C113" s="7300"/>
      <c r="D113" s="7300"/>
      <c r="E113" s="7300"/>
      <c r="F113" s="7308"/>
      <c r="G113" s="7308"/>
      <c r="H113" s="7308"/>
      <c r="I113" s="7308"/>
      <c r="BY113" s="165"/>
      <c r="BZ113" s="165"/>
      <c r="CA113" s="165"/>
      <c r="CB113" s="165"/>
      <c r="CC113" s="165"/>
      <c r="CD113" s="165"/>
      <c r="CE113" s="165"/>
      <c r="CF113" s="165"/>
      <c r="CG113" s="165"/>
      <c r="CH113" s="165"/>
      <c r="CI113" s="165"/>
      <c r="CJ113" s="165"/>
      <c r="CK113" s="165"/>
      <c r="CL113" s="165"/>
      <c r="CM113" s="165"/>
      <c r="CN113" s="165"/>
      <c r="CO113" s="165"/>
      <c r="CP113" s="165"/>
      <c r="CQ113" s="165"/>
    </row>
    <row r="114" spans="1:95" ht="15" x14ac:dyDescent="0.2">
      <c r="A114" s="7307" t="s">
        <v>3907</v>
      </c>
      <c r="B114" s="7300"/>
      <c r="C114" s="7300"/>
      <c r="D114" s="7300"/>
      <c r="E114" s="7300"/>
      <c r="F114" s="7308"/>
      <c r="G114" s="7308"/>
      <c r="H114" s="7308"/>
      <c r="I114" s="7308"/>
      <c r="BY114" s="165"/>
      <c r="BZ114" s="165"/>
      <c r="CA114" s="165"/>
      <c r="CB114" s="165"/>
      <c r="CC114" s="165"/>
      <c r="CD114" s="165"/>
      <c r="CE114" s="165"/>
      <c r="CF114" s="165"/>
      <c r="CG114" s="165"/>
      <c r="CH114" s="165"/>
      <c r="CI114" s="165"/>
      <c r="CJ114" s="165"/>
      <c r="CK114" s="165"/>
      <c r="CL114" s="165"/>
      <c r="CM114" s="165"/>
      <c r="CN114" s="165"/>
      <c r="CO114" s="165"/>
      <c r="CP114" s="165"/>
      <c r="CQ114" s="165"/>
    </row>
    <row r="115" spans="1:95" ht="15" x14ac:dyDescent="0.2">
      <c r="A115" s="7309" t="s">
        <v>3908</v>
      </c>
      <c r="B115" s="7300"/>
      <c r="C115" s="7300"/>
      <c r="D115" s="7300"/>
      <c r="E115" s="7300"/>
      <c r="F115" s="7308"/>
      <c r="G115" s="7308"/>
      <c r="H115" s="7308"/>
      <c r="I115" s="7308"/>
      <c r="BY115" s="165"/>
      <c r="BZ115" s="165"/>
      <c r="CA115" s="165"/>
      <c r="CB115" s="165"/>
      <c r="CC115" s="165"/>
      <c r="CD115" s="165"/>
      <c r="CE115" s="165"/>
      <c r="CF115" s="165"/>
      <c r="CG115" s="165"/>
      <c r="CH115" s="165"/>
      <c r="CI115" s="165"/>
      <c r="CJ115" s="165"/>
      <c r="CK115" s="165"/>
      <c r="CL115" s="165"/>
      <c r="CM115" s="165"/>
      <c r="CN115" s="165"/>
      <c r="CO115" s="165"/>
      <c r="CP115" s="165"/>
      <c r="CQ115" s="165"/>
    </row>
    <row r="116" spans="1:95" ht="15" x14ac:dyDescent="0.2">
      <c r="A116" s="7309" t="s">
        <v>70</v>
      </c>
      <c r="B116" s="7300"/>
      <c r="C116" s="7300"/>
      <c r="D116" s="7300"/>
      <c r="E116" s="7300"/>
      <c r="F116" s="7308"/>
      <c r="G116" s="7308"/>
      <c r="H116" s="7308"/>
      <c r="I116" s="7308"/>
      <c r="BY116" s="165"/>
      <c r="BZ116" s="165"/>
      <c r="CA116" s="165"/>
      <c r="CB116" s="165"/>
      <c r="CC116" s="165"/>
      <c r="CD116" s="165"/>
      <c r="CE116" s="165"/>
      <c r="CF116" s="165"/>
      <c r="CG116" s="165"/>
      <c r="CH116" s="165"/>
      <c r="CI116" s="165"/>
      <c r="CJ116" s="165"/>
      <c r="CK116" s="165"/>
      <c r="CL116" s="165"/>
      <c r="CM116" s="165"/>
      <c r="CN116" s="165"/>
      <c r="CO116" s="165"/>
      <c r="CP116" s="165"/>
      <c r="CQ116" s="165"/>
    </row>
    <row r="117" spans="1:95" ht="13.5" customHeight="1" x14ac:dyDescent="0.2">
      <c r="BY117" s="165"/>
      <c r="BZ117" s="165"/>
      <c r="CA117" s="165"/>
      <c r="CB117" s="165"/>
      <c r="CC117" s="165"/>
      <c r="CD117" s="165"/>
      <c r="CE117" s="165"/>
      <c r="CF117" s="165"/>
      <c r="CG117" s="165"/>
      <c r="CH117" s="165"/>
      <c r="CI117" s="165"/>
      <c r="CJ117" s="165"/>
      <c r="CK117" s="165"/>
      <c r="CL117" s="165"/>
      <c r="CM117" s="165"/>
      <c r="CN117" s="165"/>
      <c r="CO117" s="165"/>
      <c r="CP117" s="165"/>
      <c r="CQ117" s="165"/>
    </row>
    <row r="118" spans="1:95" ht="14.65" customHeight="1" x14ac:dyDescent="0.2">
      <c r="A118" s="7316" t="s">
        <v>3909</v>
      </c>
      <c r="B118" s="7294"/>
      <c r="C118" s="7294"/>
      <c r="D118" s="7294"/>
      <c r="E118" s="7294"/>
      <c r="BY118" s="165"/>
      <c r="BZ118" s="165"/>
      <c r="CA118" s="165"/>
      <c r="CB118" s="165"/>
      <c r="CC118" s="165"/>
      <c r="CD118" s="165"/>
      <c r="CE118" s="165"/>
      <c r="CF118" s="165"/>
      <c r="CG118" s="165"/>
      <c r="CH118" s="165"/>
      <c r="CI118" s="165"/>
      <c r="CJ118" s="165"/>
      <c r="CK118" s="165"/>
      <c r="CL118" s="165"/>
      <c r="CM118" s="165"/>
      <c r="CN118" s="165"/>
      <c r="CO118" s="165"/>
      <c r="CP118" s="165"/>
      <c r="CQ118" s="165"/>
    </row>
    <row r="119" spans="1:95" ht="14.65" customHeight="1" x14ac:dyDescent="0.2">
      <c r="A119" s="10607" t="s">
        <v>3910</v>
      </c>
      <c r="B119" s="9050" t="s">
        <v>39</v>
      </c>
      <c r="C119" s="9068" t="s">
        <v>3911</v>
      </c>
      <c r="D119" s="10446"/>
      <c r="E119" s="10446"/>
      <c r="F119" s="10446"/>
      <c r="G119" s="10446"/>
      <c r="BY119" s="165"/>
      <c r="BZ119" s="165"/>
      <c r="CA119" s="165"/>
      <c r="CB119" s="165"/>
      <c r="CC119" s="165"/>
      <c r="CD119" s="165"/>
      <c r="CE119" s="165"/>
      <c r="CF119" s="165"/>
      <c r="CG119" s="165"/>
      <c r="CH119" s="165"/>
      <c r="CI119" s="165"/>
      <c r="CJ119" s="165"/>
      <c r="CK119" s="165"/>
      <c r="CL119" s="165"/>
      <c r="CM119" s="165"/>
      <c r="CN119" s="165"/>
      <c r="CO119" s="165"/>
      <c r="CP119" s="165"/>
      <c r="CQ119" s="165"/>
    </row>
    <row r="120" spans="1:95" x14ac:dyDescent="0.2">
      <c r="A120" s="10607"/>
      <c r="B120" s="8161"/>
      <c r="C120" s="9070" t="s">
        <v>3828</v>
      </c>
      <c r="D120" s="10592"/>
      <c r="E120" s="9070" t="s">
        <v>3829</v>
      </c>
      <c r="F120" s="10592"/>
      <c r="G120" s="9062" t="s">
        <v>3912</v>
      </c>
      <c r="BY120" s="165"/>
      <c r="BZ120" s="165"/>
      <c r="CA120" s="165"/>
      <c r="CB120" s="165"/>
      <c r="CC120" s="165"/>
      <c r="CD120" s="165"/>
      <c r="CE120" s="165"/>
      <c r="CF120" s="165"/>
      <c r="CG120" s="165"/>
      <c r="CH120" s="165"/>
      <c r="CI120" s="165"/>
      <c r="CJ120" s="165"/>
      <c r="CK120" s="165"/>
      <c r="CL120" s="165"/>
      <c r="CM120" s="165"/>
      <c r="CN120" s="165"/>
      <c r="CO120" s="165"/>
      <c r="CP120" s="165"/>
      <c r="CQ120" s="165"/>
    </row>
    <row r="121" spans="1:95" x14ac:dyDescent="0.2">
      <c r="A121" s="10607"/>
      <c r="B121" s="9051"/>
      <c r="C121" s="7279" t="s">
        <v>17</v>
      </c>
      <c r="D121" s="7313" t="s">
        <v>18</v>
      </c>
      <c r="E121" s="7279" t="s">
        <v>17</v>
      </c>
      <c r="F121" s="7313" t="s">
        <v>18</v>
      </c>
      <c r="G121" s="9063"/>
      <c r="BY121" s="165"/>
      <c r="BZ121" s="165"/>
      <c r="CA121" s="165"/>
      <c r="CB121" s="165"/>
      <c r="CC121" s="165"/>
      <c r="CD121" s="165"/>
      <c r="CE121" s="165"/>
      <c r="CF121" s="165"/>
      <c r="CG121" s="165"/>
      <c r="CH121" s="165"/>
      <c r="CI121" s="165"/>
      <c r="CJ121" s="165"/>
      <c r="CK121" s="165"/>
      <c r="CL121" s="165"/>
      <c r="CM121" s="165"/>
      <c r="CN121" s="165"/>
      <c r="CO121" s="165"/>
      <c r="CP121" s="165"/>
      <c r="CQ121" s="165"/>
    </row>
    <row r="122" spans="1:95" s="7311" customFormat="1" ht="15" x14ac:dyDescent="0.2">
      <c r="A122" s="7310" t="s">
        <v>3913</v>
      </c>
      <c r="B122" s="7305">
        <f>SUM(C122:G122)</f>
        <v>0</v>
      </c>
      <c r="C122" s="7291"/>
      <c r="D122" s="7290"/>
      <c r="E122" s="7291"/>
      <c r="F122" s="7291"/>
      <c r="G122" s="7300"/>
      <c r="H122" s="165"/>
      <c r="I122" s="165"/>
      <c r="J122" s="165"/>
    </row>
    <row r="123" spans="1:95" ht="15" x14ac:dyDescent="0.2">
      <c r="A123" s="7310" t="s">
        <v>3914</v>
      </c>
      <c r="B123" s="7305">
        <f>SUM(C123:G123)</f>
        <v>0</v>
      </c>
      <c r="C123" s="7291"/>
      <c r="D123" s="7290"/>
      <c r="E123" s="7291"/>
      <c r="F123" s="7291"/>
      <c r="G123" s="7300"/>
      <c r="H123" s="7311"/>
      <c r="I123" s="7311"/>
      <c r="J123" s="7311"/>
      <c r="K123" s="7311"/>
      <c r="L123" s="7311"/>
      <c r="M123" s="7311"/>
      <c r="N123" s="7311"/>
      <c r="O123" s="7311"/>
      <c r="P123" s="7311"/>
      <c r="Q123" s="7311"/>
      <c r="BY123" s="165"/>
      <c r="BZ123" s="165"/>
      <c r="CA123" s="165"/>
      <c r="CB123" s="165"/>
      <c r="CC123" s="165"/>
      <c r="CD123" s="165"/>
      <c r="CE123" s="165"/>
      <c r="CF123" s="165"/>
      <c r="CG123" s="165"/>
      <c r="CH123" s="165"/>
      <c r="CI123" s="165"/>
      <c r="CJ123" s="165"/>
      <c r="CK123" s="165"/>
      <c r="CL123" s="165"/>
      <c r="CM123" s="165"/>
      <c r="CN123" s="165"/>
      <c r="CO123" s="165"/>
      <c r="CP123" s="165"/>
      <c r="CQ123" s="165"/>
    </row>
    <row r="124" spans="1:95" ht="15" x14ac:dyDescent="0.2">
      <c r="A124" s="7310" t="s">
        <v>3915</v>
      </c>
      <c r="B124" s="7305">
        <f>SUM(C124:G124)</f>
        <v>0</v>
      </c>
      <c r="C124" s="7291"/>
      <c r="D124" s="7290"/>
      <c r="E124" s="7291"/>
      <c r="F124" s="7291"/>
      <c r="G124" s="7300"/>
      <c r="H124" s="7311"/>
      <c r="I124" s="7311"/>
      <c r="J124" s="7311"/>
    </row>
    <row r="130" spans="1:95" s="1440" customFormat="1" hidden="1" x14ac:dyDescent="0.2">
      <c r="A130" s="1440">
        <f>SUM(B16:E16,B30:E30,B43:E43,B52:E52,B63:E63,B72:E72,B81:I81,B89:B90,B95:B96,B101,B106,B111:I111,B122:B124)</f>
        <v>0</v>
      </c>
      <c r="B130" s="1440">
        <v>0</v>
      </c>
    </row>
    <row r="133" spans="1:95" x14ac:dyDescent="0.2">
      <c r="BY133" s="165"/>
      <c r="BZ133" s="165"/>
      <c r="CA133" s="165"/>
      <c r="CB133" s="165"/>
      <c r="CC133" s="165"/>
      <c r="CD133" s="165"/>
      <c r="CE133" s="165"/>
      <c r="CF133" s="165"/>
      <c r="CG133" s="165"/>
      <c r="CH133" s="165"/>
      <c r="CI133" s="165"/>
      <c r="CJ133" s="165"/>
      <c r="CK133" s="165"/>
      <c r="CL133" s="165"/>
      <c r="CM133" s="165"/>
      <c r="CN133" s="165"/>
      <c r="CO133" s="165"/>
      <c r="CP133" s="165"/>
      <c r="CQ133" s="165"/>
    </row>
    <row r="134" spans="1:95" x14ac:dyDescent="0.2">
      <c r="BY134" s="165"/>
      <c r="BZ134" s="165"/>
      <c r="CA134" s="165"/>
      <c r="CB134" s="165"/>
      <c r="CC134" s="165"/>
      <c r="CD134" s="165"/>
      <c r="CE134" s="165"/>
      <c r="CF134" s="165"/>
      <c r="CG134" s="165"/>
      <c r="CH134" s="165"/>
      <c r="CI134" s="165"/>
      <c r="CJ134" s="165"/>
      <c r="CK134" s="165"/>
      <c r="CL134" s="165"/>
      <c r="CM134" s="165"/>
      <c r="CN134" s="165"/>
      <c r="CO134" s="165"/>
      <c r="CP134" s="165"/>
      <c r="CQ134" s="165"/>
    </row>
    <row r="135" spans="1:95" x14ac:dyDescent="0.2">
      <c r="BY135" s="165"/>
      <c r="BZ135" s="165"/>
      <c r="CA135" s="165"/>
      <c r="CB135" s="165"/>
      <c r="CC135" s="165"/>
      <c r="CD135" s="165"/>
      <c r="CE135" s="165"/>
      <c r="CF135" s="165"/>
      <c r="CG135" s="165"/>
      <c r="CH135" s="165"/>
      <c r="CI135" s="165"/>
      <c r="CJ135" s="165"/>
      <c r="CK135" s="165"/>
      <c r="CL135" s="165"/>
      <c r="CM135" s="165"/>
      <c r="CN135" s="165"/>
      <c r="CO135" s="165"/>
      <c r="CP135" s="165"/>
      <c r="CQ135" s="165"/>
    </row>
    <row r="136" spans="1:95" x14ac:dyDescent="0.2">
      <c r="BY136" s="165"/>
      <c r="BZ136" s="165"/>
      <c r="CA136" s="165"/>
      <c r="CB136" s="165"/>
      <c r="CC136" s="165"/>
      <c r="CD136" s="165"/>
      <c r="CE136" s="165"/>
      <c r="CF136" s="165"/>
      <c r="CG136" s="165"/>
      <c r="CH136" s="165"/>
      <c r="CI136" s="165"/>
      <c r="CJ136" s="165"/>
      <c r="CK136" s="165"/>
      <c r="CL136" s="165"/>
      <c r="CM136" s="165"/>
      <c r="CN136" s="165"/>
      <c r="CO136" s="165"/>
      <c r="CP136" s="165"/>
      <c r="CQ136" s="165"/>
    </row>
    <row r="137" spans="1:95" x14ac:dyDescent="0.2">
      <c r="BY137" s="165"/>
      <c r="BZ137" s="165"/>
      <c r="CA137" s="165"/>
      <c r="CB137" s="165"/>
      <c r="CC137" s="165"/>
      <c r="CD137" s="165"/>
      <c r="CE137" s="165"/>
      <c r="CF137" s="165"/>
      <c r="CG137" s="165"/>
      <c r="CH137" s="165"/>
      <c r="CI137" s="165"/>
      <c r="CJ137" s="165"/>
      <c r="CK137" s="165"/>
      <c r="CL137" s="165"/>
      <c r="CM137" s="165"/>
      <c r="CN137" s="165"/>
      <c r="CO137" s="165"/>
      <c r="CP137" s="165"/>
      <c r="CQ137" s="165"/>
    </row>
    <row r="138" spans="1:95" ht="17.25" customHeight="1" x14ac:dyDescent="0.2">
      <c r="BY138" s="165"/>
      <c r="BZ138" s="165"/>
      <c r="CA138" s="165"/>
      <c r="CB138" s="165"/>
      <c r="CC138" s="165"/>
      <c r="CD138" s="165"/>
      <c r="CE138" s="165"/>
      <c r="CF138" s="165"/>
      <c r="CG138" s="165"/>
      <c r="CH138" s="165"/>
      <c r="CI138" s="165"/>
      <c r="CJ138" s="165"/>
      <c r="CK138" s="165"/>
      <c r="CL138" s="165"/>
      <c r="CM138" s="165"/>
      <c r="CN138" s="165"/>
      <c r="CO138" s="165"/>
      <c r="CP138" s="165"/>
      <c r="CQ138" s="165"/>
    </row>
    <row r="139" spans="1:95" x14ac:dyDescent="0.2">
      <c r="BY139" s="165"/>
      <c r="BZ139" s="165"/>
      <c r="CA139" s="165"/>
      <c r="CB139" s="165"/>
      <c r="CC139" s="165"/>
      <c r="CD139" s="165"/>
      <c r="CE139" s="165"/>
      <c r="CF139" s="165"/>
      <c r="CG139" s="165"/>
      <c r="CH139" s="165"/>
      <c r="CI139" s="165"/>
      <c r="CJ139" s="165"/>
      <c r="CK139" s="165"/>
      <c r="CL139" s="165"/>
      <c r="CM139" s="165"/>
      <c r="CN139" s="165"/>
      <c r="CO139" s="165"/>
      <c r="CP139" s="165"/>
      <c r="CQ139" s="165"/>
    </row>
    <row r="140" spans="1:95" x14ac:dyDescent="0.2">
      <c r="BY140" s="165"/>
      <c r="BZ140" s="165"/>
      <c r="CA140" s="165"/>
      <c r="CB140" s="165"/>
      <c r="CC140" s="165"/>
      <c r="CD140" s="165"/>
      <c r="CE140" s="165"/>
      <c r="CF140" s="165"/>
      <c r="CG140" s="165"/>
      <c r="CH140" s="165"/>
      <c r="CI140" s="165"/>
      <c r="CJ140" s="165"/>
      <c r="CK140" s="165"/>
      <c r="CL140" s="165"/>
      <c r="CM140" s="165"/>
      <c r="CN140" s="165"/>
      <c r="CO140" s="165"/>
      <c r="CP140" s="165"/>
      <c r="CQ140" s="165"/>
    </row>
    <row r="141" spans="1:95" x14ac:dyDescent="0.2">
      <c r="BY141" s="165"/>
      <c r="BZ141" s="165"/>
      <c r="CA141" s="165"/>
      <c r="CB141" s="165"/>
      <c r="CC141" s="165"/>
      <c r="CD141" s="165"/>
      <c r="CE141" s="165"/>
      <c r="CF141" s="165"/>
      <c r="CG141" s="165"/>
      <c r="CH141" s="165"/>
      <c r="CI141" s="165"/>
      <c r="CJ141" s="165"/>
      <c r="CK141" s="165"/>
      <c r="CL141" s="165"/>
      <c r="CM141" s="165"/>
      <c r="CN141" s="165"/>
      <c r="CO141" s="165"/>
      <c r="CP141" s="165"/>
      <c r="CQ141" s="165"/>
    </row>
    <row r="142" spans="1:95" x14ac:dyDescent="0.2">
      <c r="BY142" s="165"/>
      <c r="BZ142" s="165"/>
      <c r="CA142" s="165"/>
      <c r="CB142" s="165"/>
      <c r="CC142" s="165"/>
      <c r="CD142" s="165"/>
      <c r="CE142" s="165"/>
      <c r="CF142" s="165"/>
      <c r="CG142" s="165"/>
      <c r="CH142" s="165"/>
      <c r="CI142" s="165"/>
      <c r="CJ142" s="165"/>
      <c r="CK142" s="165"/>
      <c r="CL142" s="165"/>
      <c r="CM142" s="165"/>
      <c r="CN142" s="165"/>
      <c r="CO142" s="165"/>
      <c r="CP142" s="165"/>
      <c r="CQ142" s="165"/>
    </row>
    <row r="143" spans="1:95" x14ac:dyDescent="0.2">
      <c r="BY143" s="165"/>
      <c r="BZ143" s="165"/>
      <c r="CA143" s="165"/>
      <c r="CB143" s="165"/>
      <c r="CC143" s="165"/>
      <c r="CD143" s="165"/>
      <c r="CE143" s="165"/>
      <c r="CF143" s="165"/>
      <c r="CG143" s="165"/>
      <c r="CH143" s="165"/>
      <c r="CI143" s="165"/>
      <c r="CJ143" s="165"/>
      <c r="CK143" s="165"/>
      <c r="CL143" s="165"/>
      <c r="CM143" s="165"/>
      <c r="CN143" s="165"/>
      <c r="CO143" s="165"/>
      <c r="CP143" s="165"/>
      <c r="CQ143" s="165"/>
    </row>
    <row r="144" spans="1:95" x14ac:dyDescent="0.2">
      <c r="BY144" s="165"/>
      <c r="BZ144" s="165"/>
      <c r="CA144" s="165"/>
      <c r="CB144" s="165"/>
      <c r="CC144" s="165"/>
      <c r="CD144" s="165"/>
      <c r="CE144" s="165"/>
      <c r="CF144" s="165"/>
      <c r="CG144" s="165"/>
      <c r="CH144" s="165"/>
      <c r="CI144" s="165"/>
      <c r="CJ144" s="165"/>
      <c r="CK144" s="165"/>
      <c r="CL144" s="165"/>
      <c r="CM144" s="165"/>
      <c r="CN144" s="165"/>
      <c r="CO144" s="165"/>
      <c r="CP144" s="165"/>
      <c r="CQ144" s="165"/>
    </row>
    <row r="145" s="165" customFormat="1" x14ac:dyDescent="0.2"/>
    <row r="146" s="165" customFormat="1" x14ac:dyDescent="0.2"/>
    <row r="147" s="165" customFormat="1" x14ac:dyDescent="0.2"/>
    <row r="148" s="165" customFormat="1" x14ac:dyDescent="0.2"/>
    <row r="149" s="165" customFormat="1" x14ac:dyDescent="0.2"/>
    <row r="150" s="165" customFormat="1" x14ac:dyDescent="0.2"/>
    <row r="151" s="165" customFormat="1" x14ac:dyDescent="0.2"/>
    <row r="152" s="165" customFormat="1" x14ac:dyDescent="0.2"/>
    <row r="153" s="165" customFormat="1" x14ac:dyDescent="0.2"/>
    <row r="154" s="165" customFormat="1" x14ac:dyDescent="0.2"/>
    <row r="155" s="165" customFormat="1" x14ac:dyDescent="0.2"/>
    <row r="156" s="165" customFormat="1" x14ac:dyDescent="0.2"/>
    <row r="157" s="165" customFormat="1" x14ac:dyDescent="0.2"/>
    <row r="158" s="165" customFormat="1" x14ac:dyDescent="0.2"/>
    <row r="159" s="165" customFormat="1" x14ac:dyDescent="0.2"/>
    <row r="160" s="165" customFormat="1" x14ac:dyDescent="0.2"/>
    <row r="161" s="165" customFormat="1" x14ac:dyDescent="0.2"/>
    <row r="162" s="165" customFormat="1" x14ac:dyDescent="0.2"/>
    <row r="163" s="165" customFormat="1" x14ac:dyDescent="0.2"/>
    <row r="164" s="165" customFormat="1" x14ac:dyDescent="0.2"/>
    <row r="165" s="165" customFormat="1" x14ac:dyDescent="0.2"/>
    <row r="166" s="165" customFormat="1" x14ac:dyDescent="0.2"/>
    <row r="167" s="165" customFormat="1" x14ac:dyDescent="0.2"/>
    <row r="168" s="165" customFormat="1" x14ac:dyDescent="0.2"/>
    <row r="169" s="165" customFormat="1" x14ac:dyDescent="0.2"/>
    <row r="170" s="165" customFormat="1" x14ac:dyDescent="0.2"/>
  </sheetData>
  <sheetProtection algorithmName="SHA-512" hashValue="6tqotADxD5yXuL1JGrZFzYiJv0rfJ4BndE+CoINEcMxN4RduhxOGsUXOr4u1dvgrwLttAwfnLQiLt0BjleC7Bg==" saltValue="NT9VTgqhyYGmsnF3nh9e2w==" spinCount="100000" sheet="1" objects="1" scenarios="1"/>
  <mergeCells count="127">
    <mergeCell ref="A98:A100"/>
    <mergeCell ref="B98:B100"/>
    <mergeCell ref="C98:F98"/>
    <mergeCell ref="C99:D99"/>
    <mergeCell ref="E99:F99"/>
    <mergeCell ref="F109:G109"/>
    <mergeCell ref="H109:I109"/>
    <mergeCell ref="A119:A121"/>
    <mergeCell ref="B119:B121"/>
    <mergeCell ref="C119:G119"/>
    <mergeCell ref="C120:D120"/>
    <mergeCell ref="E120:F120"/>
    <mergeCell ref="G120:G121"/>
    <mergeCell ref="A103:A105"/>
    <mergeCell ref="B103:B105"/>
    <mergeCell ref="C103:F103"/>
    <mergeCell ref="C104:D104"/>
    <mergeCell ref="E104:F104"/>
    <mergeCell ref="A108:A110"/>
    <mergeCell ref="B108:E108"/>
    <mergeCell ref="F108:I108"/>
    <mergeCell ref="B109:C109"/>
    <mergeCell ref="D109:E109"/>
    <mergeCell ref="F70:G70"/>
    <mergeCell ref="H70:I70"/>
    <mergeCell ref="J70:K70"/>
    <mergeCell ref="L70:M70"/>
    <mergeCell ref="N70:O70"/>
    <mergeCell ref="A92:A94"/>
    <mergeCell ref="B92:B94"/>
    <mergeCell ref="C92:D92"/>
    <mergeCell ref="E92:F93"/>
    <mergeCell ref="C93:D93"/>
    <mergeCell ref="N61:O61"/>
    <mergeCell ref="P61:Q61"/>
    <mergeCell ref="A69:A71"/>
    <mergeCell ref="B69:E69"/>
    <mergeCell ref="F69:I69"/>
    <mergeCell ref="J69:M69"/>
    <mergeCell ref="N69:Q69"/>
    <mergeCell ref="B70:C70"/>
    <mergeCell ref="A86:A88"/>
    <mergeCell ref="B86:B88"/>
    <mergeCell ref="C86:H86"/>
    <mergeCell ref="I86:J87"/>
    <mergeCell ref="C87:D87"/>
    <mergeCell ref="E87:F87"/>
    <mergeCell ref="G87:H87"/>
    <mergeCell ref="P70:Q70"/>
    <mergeCell ref="A78:A80"/>
    <mergeCell ref="B78:E78"/>
    <mergeCell ref="F78:I78"/>
    <mergeCell ref="B79:C79"/>
    <mergeCell ref="D79:E79"/>
    <mergeCell ref="F79:G79"/>
    <mergeCell ref="H79:I79"/>
    <mergeCell ref="D70:E70"/>
    <mergeCell ref="A49:A51"/>
    <mergeCell ref="B49:E49"/>
    <mergeCell ref="F49:I49"/>
    <mergeCell ref="J49:M49"/>
    <mergeCell ref="N49:Q49"/>
    <mergeCell ref="B50:C50"/>
    <mergeCell ref="P50:Q50"/>
    <mergeCell ref="A60:A62"/>
    <mergeCell ref="B60:E60"/>
    <mergeCell ref="F60:I60"/>
    <mergeCell ref="J60:M60"/>
    <mergeCell ref="N60:Q60"/>
    <mergeCell ref="B61:C61"/>
    <mergeCell ref="D61:E61"/>
    <mergeCell ref="F61:G61"/>
    <mergeCell ref="H61:I61"/>
    <mergeCell ref="D50:E50"/>
    <mergeCell ref="F50:G50"/>
    <mergeCell ref="H50:I50"/>
    <mergeCell ref="J50:K50"/>
    <mergeCell ref="L50:M50"/>
    <mergeCell ref="N50:O50"/>
    <mergeCell ref="J61:K61"/>
    <mergeCell ref="L61:M61"/>
    <mergeCell ref="R40:U40"/>
    <mergeCell ref="V40:Y40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A26:F26"/>
    <mergeCell ref="A27:A29"/>
    <mergeCell ref="B27:E27"/>
    <mergeCell ref="F27:I27"/>
    <mergeCell ref="J27:M27"/>
    <mergeCell ref="N27:Q27"/>
    <mergeCell ref="N28:O28"/>
    <mergeCell ref="P28:Q28"/>
    <mergeCell ref="A40:A42"/>
    <mergeCell ref="B40:E40"/>
    <mergeCell ref="F40:I40"/>
    <mergeCell ref="J40:M40"/>
    <mergeCell ref="N40:Q40"/>
    <mergeCell ref="B28:C28"/>
    <mergeCell ref="D28:E28"/>
    <mergeCell ref="F28:G28"/>
    <mergeCell ref="H28:I28"/>
    <mergeCell ref="J28:K28"/>
    <mergeCell ref="L28:M28"/>
    <mergeCell ref="A13:A15"/>
    <mergeCell ref="B13:E13"/>
    <mergeCell ref="F13:I13"/>
    <mergeCell ref="J13:M13"/>
    <mergeCell ref="N13:Q13"/>
    <mergeCell ref="B14:C14"/>
    <mergeCell ref="D14:E14"/>
    <mergeCell ref="F14:G14"/>
    <mergeCell ref="H14:I14"/>
    <mergeCell ref="J14:K14"/>
    <mergeCell ref="L14:M14"/>
    <mergeCell ref="N14:O14"/>
    <mergeCell ref="P14:Q14"/>
  </mergeCells>
  <dataValidations count="2">
    <dataValidation type="whole" allowBlank="1" showInputMessage="1" showErrorMessage="1" errorTitle="Error de ingreso" error="Debe ingresar sólo números." sqref="B58:I58 B73:Q76 I17:I19 H17:H20 N31:Q38 D17:G25 H24:I25 J17:Q25 B31:I38 N58:Q58 C95:D96 C101:F101 C106:F106 B44:Y47 B64:Q67 B112:I115 C89:F90 B53:E53 B54:D57 E54:E56 B82:I84 E57" xr:uid="{659514FD-4980-43E3-A1C5-BEEBF0515B3F}">
      <formula1>0</formula1>
      <formula2>99999</formula2>
    </dataValidation>
    <dataValidation type="whole" operator="greaterThanOrEqual" allowBlank="1" showInputMessage="1" showErrorMessage="1" errorTitle="Error de ingreso" error="Debe ingresar sólo números." sqref="C122:G124 F53:Q57" xr:uid="{53539D30-83FF-4C8C-9676-E18B68256776}">
      <formula1>0</formula1>
    </dataValidation>
  </dataValidations>
  <pageMargins left="0.7" right="0.7" top="0.75" bottom="0.75" header="0.3" footer="0.3"/>
  <ignoredErrors>
    <ignoredError sqref="B18:C25 D17:E25" unlockedFormula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"/>
  <dimension ref="A1:CZ176"/>
  <sheetViews>
    <sheetView showGridLines="0" zoomScaleNormal="100" workbookViewId="0">
      <selection activeCell="A7" sqref="A7:T7"/>
    </sheetView>
  </sheetViews>
  <sheetFormatPr baseColWidth="10" defaultColWidth="11.42578125" defaultRowHeight="15" x14ac:dyDescent="0.25"/>
  <cols>
    <col min="1" max="1" width="27.85546875" style="1188" customWidth="1"/>
    <col min="2" max="2" width="17.42578125" style="1188" customWidth="1"/>
    <col min="3" max="3" width="14.140625" style="1188" customWidth="1"/>
    <col min="4" max="4" width="11.42578125" style="1188" customWidth="1"/>
    <col min="5" max="5" width="11.42578125" style="1188"/>
    <col min="6" max="6" width="11.140625" style="1188" customWidth="1"/>
    <col min="7" max="7" width="10.28515625" style="1188" customWidth="1"/>
    <col min="8" max="8" width="9.42578125" style="1188" customWidth="1"/>
    <col min="9" max="9" width="9" style="1188" customWidth="1"/>
    <col min="10" max="11" width="9.140625" style="1188" customWidth="1"/>
    <col min="12" max="12" width="12.42578125" style="1188" customWidth="1"/>
    <col min="13" max="13" width="12.28515625" style="1188" customWidth="1"/>
    <col min="14" max="14" width="12.85546875" style="1188" customWidth="1"/>
    <col min="15" max="15" width="12.140625" style="1188" customWidth="1"/>
    <col min="16" max="16" width="12" style="1188" customWidth="1"/>
    <col min="17" max="17" width="13.7109375" style="1188" customWidth="1"/>
    <col min="18" max="18" width="12.42578125" style="1188" customWidth="1"/>
    <col min="19" max="19" width="11.140625" style="1188" customWidth="1"/>
    <col min="20" max="21" width="12.42578125" style="1188" customWidth="1"/>
    <col min="22" max="22" width="11" style="1188" customWidth="1"/>
    <col min="23" max="23" width="10.7109375" style="1188" customWidth="1"/>
    <col min="24" max="24" width="11.42578125" style="1188" customWidth="1"/>
    <col min="25" max="25" width="12.28515625" style="1188" customWidth="1"/>
    <col min="26" max="26" width="13.140625" style="1188" customWidth="1"/>
    <col min="27" max="27" width="10.28515625" style="1188" customWidth="1"/>
    <col min="28" max="28" width="12.140625" style="1188" customWidth="1"/>
    <col min="29" max="29" width="12.42578125" style="1188" customWidth="1"/>
    <col min="30" max="30" width="12" style="1188" customWidth="1"/>
    <col min="31" max="31" width="12.7109375" style="1188" customWidth="1"/>
    <col min="32" max="32" width="11" style="1188" customWidth="1"/>
    <col min="33" max="34" width="11.7109375" style="1188" customWidth="1"/>
    <col min="35" max="35" width="10.42578125" style="1188" customWidth="1"/>
    <col min="36" max="36" width="11.85546875" style="1188" customWidth="1"/>
    <col min="37" max="37" width="11.42578125" style="1188" customWidth="1"/>
    <col min="38" max="38" width="10.85546875" style="1188" customWidth="1"/>
    <col min="39" max="39" width="11.42578125" style="1188" customWidth="1"/>
    <col min="40" max="40" width="11.7109375" style="1188" customWidth="1"/>
    <col min="41" max="41" width="11.42578125" style="1188" customWidth="1"/>
    <col min="42" max="44" width="11.42578125" style="1188"/>
    <col min="45" max="45" width="14.42578125" style="1188" customWidth="1"/>
    <col min="46" max="77" width="11.42578125" style="1188"/>
    <col min="78" max="78" width="12.140625" style="1188" customWidth="1"/>
    <col min="79" max="104" width="12.140625" style="1365" hidden="1" customWidth="1"/>
    <col min="105" max="105" width="12.140625" style="1188" customWidth="1"/>
    <col min="106" max="16384" width="11.42578125" style="1188"/>
  </cols>
  <sheetData>
    <row r="1" spans="1:104" s="1361" customFormat="1" ht="16.350000000000001" customHeight="1" x14ac:dyDescent="0.2">
      <c r="A1" s="150" t="s">
        <v>206</v>
      </c>
      <c r="CA1" s="1362"/>
      <c r="CB1" s="1362"/>
      <c r="CC1" s="1362"/>
      <c r="CD1" s="1362"/>
      <c r="CE1" s="1362"/>
      <c r="CF1" s="1362"/>
      <c r="CG1" s="1362"/>
      <c r="CH1" s="1362"/>
      <c r="CI1" s="1362"/>
      <c r="CJ1" s="1362"/>
      <c r="CK1" s="1362"/>
      <c r="CL1" s="1362"/>
      <c r="CM1" s="1362"/>
      <c r="CN1" s="1362"/>
      <c r="CO1" s="1362"/>
      <c r="CP1" s="1362"/>
      <c r="CQ1" s="1362"/>
      <c r="CR1" s="1362"/>
      <c r="CS1" s="1362"/>
      <c r="CT1" s="1362"/>
      <c r="CU1" s="1362"/>
      <c r="CV1" s="1362"/>
      <c r="CW1" s="1362"/>
      <c r="CX1" s="1362"/>
      <c r="CY1" s="1362"/>
      <c r="CZ1" s="1362"/>
    </row>
    <row r="2" spans="1:104" s="1361" customFormat="1" ht="16.350000000000001" customHeight="1" x14ac:dyDescent="0.2">
      <c r="A2" s="150" t="str">
        <f>CONCATENATE("COMUNA: ",NOMBRE!B2," - ","( ",NOMBRE!C2,NOMBRE!D2,NOMBRE!E2,NOMBRE!F2,NOMBRE!G2," )")</f>
        <v>COMUNA:  - (  )</v>
      </c>
      <c r="CA2" s="1362"/>
      <c r="CB2" s="1362"/>
      <c r="CC2" s="1362"/>
      <c r="CD2" s="1362"/>
      <c r="CE2" s="1362"/>
      <c r="CF2" s="1362"/>
      <c r="CG2" s="1362"/>
      <c r="CH2" s="1362"/>
      <c r="CI2" s="1362"/>
      <c r="CJ2" s="1362"/>
      <c r="CK2" s="1362"/>
      <c r="CL2" s="1362"/>
      <c r="CM2" s="1362"/>
      <c r="CN2" s="1362"/>
      <c r="CO2" s="1362"/>
      <c r="CP2" s="1362"/>
      <c r="CQ2" s="1362"/>
      <c r="CR2" s="1362"/>
      <c r="CS2" s="1362"/>
      <c r="CT2" s="1362"/>
      <c r="CU2" s="1362"/>
      <c r="CV2" s="1362"/>
      <c r="CW2" s="1362"/>
      <c r="CX2" s="1362"/>
      <c r="CY2" s="1362"/>
      <c r="CZ2" s="1362"/>
    </row>
    <row r="3" spans="1:104" s="1361" customFormat="1" ht="16.350000000000001" customHeight="1" x14ac:dyDescent="0.2">
      <c r="A3" s="150" t="str">
        <f>CONCATENATE("ESTABLECIMIENTO/ESTRATEGIA: ",NOMBRE!B3," - ","( ",NOMBRE!C3,NOMBRE!D3,NOMBRE!E3,NOMBRE!F3,NOMBRE!G3,NOMBRE!H3," )")</f>
        <v>ESTABLECIMIENTO/ESTRATEGIA:  - (  )</v>
      </c>
      <c r="CA3" s="1362"/>
      <c r="CB3" s="1362"/>
      <c r="CC3" s="1362"/>
      <c r="CD3" s="1362"/>
      <c r="CE3" s="1362"/>
      <c r="CF3" s="1362"/>
      <c r="CG3" s="1362"/>
      <c r="CH3" s="1362"/>
      <c r="CI3" s="1362"/>
      <c r="CJ3" s="1362"/>
      <c r="CK3" s="1362"/>
      <c r="CL3" s="1362"/>
      <c r="CM3" s="1362"/>
      <c r="CN3" s="1362"/>
      <c r="CO3" s="1362"/>
      <c r="CP3" s="1362"/>
      <c r="CQ3" s="1362"/>
      <c r="CR3" s="1362"/>
      <c r="CS3" s="1362"/>
      <c r="CT3" s="1362"/>
      <c r="CU3" s="1362"/>
      <c r="CV3" s="1362"/>
      <c r="CW3" s="1362"/>
      <c r="CX3" s="1362"/>
      <c r="CY3" s="1362"/>
      <c r="CZ3" s="1362"/>
    </row>
    <row r="4" spans="1:104" s="1361" customFormat="1" ht="16.350000000000001" customHeight="1" x14ac:dyDescent="0.2">
      <c r="A4" s="150" t="str">
        <f>CONCATENATE("MES: ",NOMBRE!B6," - ","( ",NOMBRE!C6,NOMBRE!D6," )")</f>
        <v>MES:  - (  )</v>
      </c>
      <c r="G4" s="1363"/>
      <c r="H4" s="1363"/>
      <c r="I4" s="1363"/>
      <c r="J4" s="1363"/>
      <c r="K4" s="1363"/>
      <c r="L4" s="1363"/>
      <c r="CA4" s="1362"/>
      <c r="CB4" s="1362"/>
      <c r="CC4" s="1362"/>
      <c r="CD4" s="1362"/>
      <c r="CE4" s="1362"/>
      <c r="CF4" s="1362"/>
      <c r="CG4" s="1362"/>
      <c r="CH4" s="1362"/>
      <c r="CI4" s="1362"/>
      <c r="CJ4" s="1362"/>
      <c r="CK4" s="1362"/>
      <c r="CL4" s="1362"/>
      <c r="CM4" s="1362"/>
      <c r="CN4" s="1362"/>
      <c r="CO4" s="1362"/>
      <c r="CP4" s="1362"/>
      <c r="CQ4" s="1362"/>
      <c r="CR4" s="1362"/>
      <c r="CS4" s="1362"/>
      <c r="CT4" s="1362"/>
      <c r="CU4" s="1362"/>
      <c r="CV4" s="1362"/>
      <c r="CW4" s="1362"/>
      <c r="CX4" s="1362"/>
      <c r="CY4" s="1362"/>
      <c r="CZ4" s="1362"/>
    </row>
    <row r="5" spans="1:104" s="1361" customFormat="1" ht="16.350000000000001" customHeight="1" x14ac:dyDescent="0.2">
      <c r="A5" s="150" t="str">
        <f>CONCATENATE("AÑO: ",NOMBRE!B7)</f>
        <v>AÑO: 2023</v>
      </c>
      <c r="E5" s="1364"/>
      <c r="CA5" s="1362"/>
      <c r="CB5" s="1362"/>
      <c r="CC5" s="1362"/>
      <c r="CD5" s="1362"/>
      <c r="CE5" s="1362"/>
      <c r="CF5" s="1362"/>
      <c r="CG5" s="1362"/>
      <c r="CH5" s="1362"/>
      <c r="CI5" s="1362"/>
      <c r="CJ5" s="1362"/>
      <c r="CK5" s="1362"/>
      <c r="CL5" s="1362"/>
      <c r="CM5" s="1362"/>
      <c r="CN5" s="1362"/>
      <c r="CO5" s="1362"/>
      <c r="CP5" s="1362"/>
      <c r="CQ5" s="1362"/>
      <c r="CR5" s="1362"/>
      <c r="CS5" s="1362"/>
      <c r="CT5" s="1362"/>
      <c r="CU5" s="1362"/>
      <c r="CV5" s="1362"/>
      <c r="CW5" s="1362"/>
      <c r="CX5" s="1362"/>
      <c r="CY5" s="1362"/>
      <c r="CZ5" s="1362"/>
    </row>
    <row r="6" spans="1:104" x14ac:dyDescent="0.25">
      <c r="A6" s="1363"/>
      <c r="B6" s="1363"/>
      <c r="C6" s="1363"/>
      <c r="D6" s="1363"/>
      <c r="E6" s="1363"/>
      <c r="F6" s="1363"/>
      <c r="G6" s="1363"/>
      <c r="H6" s="1363"/>
      <c r="I6" s="1363"/>
      <c r="J6" s="1363"/>
      <c r="K6" s="1363"/>
      <c r="L6" s="1363"/>
      <c r="M6" s="1363"/>
      <c r="N6" s="1363"/>
      <c r="O6" s="1363"/>
      <c r="P6" s="1363"/>
      <c r="Q6" s="1363"/>
      <c r="R6" s="1363"/>
      <c r="S6" s="1363"/>
      <c r="T6" s="1363"/>
      <c r="U6" s="1363"/>
      <c r="V6" s="1363"/>
      <c r="W6" s="1363"/>
      <c r="X6" s="1363"/>
      <c r="Y6" s="1363"/>
      <c r="Z6" s="1363"/>
      <c r="AA6" s="1363"/>
      <c r="AB6" s="1363"/>
      <c r="AC6" s="1363"/>
      <c r="AD6" s="1363"/>
      <c r="AE6" s="1363"/>
      <c r="AF6" s="1363"/>
      <c r="AG6" s="1363"/>
      <c r="AH6" s="1363"/>
      <c r="AI6" s="1363"/>
      <c r="AJ6" s="1363"/>
      <c r="AK6" s="1363"/>
      <c r="AL6" s="1363"/>
      <c r="AM6" s="1361"/>
      <c r="AN6" s="1361"/>
      <c r="AO6" s="1361"/>
      <c r="AP6" s="1361"/>
      <c r="AQ6" s="1361"/>
      <c r="AR6" s="1361"/>
      <c r="AS6" s="1363"/>
      <c r="AT6" s="1363"/>
      <c r="AU6" s="1363"/>
      <c r="AV6" s="1363"/>
      <c r="AW6" s="1363"/>
      <c r="AX6" s="1363"/>
      <c r="AY6" s="1363"/>
      <c r="AZ6" s="1363"/>
      <c r="BA6" s="1363"/>
      <c r="BB6" s="1363"/>
      <c r="BC6" s="1363"/>
      <c r="BD6" s="1363"/>
      <c r="BE6" s="1363"/>
      <c r="BF6" s="1363"/>
      <c r="BG6" s="1363"/>
      <c r="BH6" s="1363"/>
      <c r="BI6" s="1363"/>
      <c r="BJ6" s="1363"/>
      <c r="BK6" s="1363"/>
      <c r="BL6" s="1363"/>
      <c r="BM6" s="1363"/>
      <c r="BN6" s="1363"/>
      <c r="BO6" s="1363"/>
      <c r="BP6" s="1363"/>
      <c r="BQ6" s="1363"/>
      <c r="BR6" s="1363"/>
      <c r="BS6" s="1363"/>
      <c r="BT6" s="1363"/>
      <c r="BU6" s="1363"/>
      <c r="BV6" s="1363"/>
      <c r="BW6" s="1363"/>
      <c r="BX6" s="1363"/>
      <c r="BY6" s="1363"/>
      <c r="BZ6" s="1363"/>
      <c r="CA6" s="1362"/>
      <c r="CB6" s="1362"/>
      <c r="CC6" s="1362"/>
      <c r="CD6" s="1362"/>
      <c r="CE6" s="1362"/>
      <c r="CF6" s="1362"/>
      <c r="CG6" s="1362"/>
      <c r="CH6" s="1362"/>
      <c r="CI6" s="1362"/>
      <c r="CJ6" s="1362"/>
      <c r="CK6" s="1362"/>
      <c r="CL6" s="1362"/>
      <c r="CM6" s="1362"/>
      <c r="CN6" s="1362"/>
      <c r="CO6" s="1362"/>
    </row>
    <row r="7" spans="1:104" x14ac:dyDescent="0.25">
      <c r="A7" s="8199" t="s">
        <v>2066</v>
      </c>
      <c r="B7" s="8199"/>
      <c r="C7" s="8199"/>
      <c r="D7" s="8199"/>
      <c r="E7" s="8199"/>
      <c r="F7" s="8199"/>
      <c r="G7" s="8199"/>
      <c r="H7" s="8199"/>
      <c r="I7" s="8199"/>
      <c r="J7" s="8199"/>
      <c r="K7" s="8199"/>
      <c r="L7" s="8199"/>
      <c r="M7" s="8199"/>
      <c r="N7" s="8199"/>
      <c r="O7" s="8199"/>
      <c r="P7" s="8199"/>
      <c r="Q7" s="8199"/>
      <c r="R7" s="8199"/>
      <c r="S7" s="8199"/>
      <c r="T7" s="8199"/>
      <c r="U7" s="1363"/>
      <c r="V7" s="1363"/>
      <c r="W7" s="1363"/>
      <c r="X7" s="1363"/>
      <c r="Y7" s="1363"/>
      <c r="Z7" s="1363"/>
      <c r="AA7" s="1363"/>
      <c r="AB7" s="1363"/>
      <c r="AC7" s="1363"/>
      <c r="AD7" s="1363"/>
      <c r="AE7" s="1363"/>
      <c r="AF7" s="1363"/>
      <c r="AG7" s="1363"/>
      <c r="AH7" s="1363"/>
      <c r="AI7" s="1363"/>
      <c r="AJ7" s="1363"/>
      <c r="AK7" s="1363"/>
      <c r="AL7" s="1363"/>
      <c r="AM7" s="1361"/>
      <c r="AN7" s="1361"/>
      <c r="AO7" s="1361"/>
      <c r="AP7" s="1361"/>
      <c r="AQ7" s="1361"/>
      <c r="AR7" s="1361"/>
      <c r="AS7" s="1363"/>
      <c r="AT7" s="1363"/>
      <c r="AU7" s="1363"/>
      <c r="AV7" s="1363"/>
      <c r="AW7" s="1363"/>
      <c r="AX7" s="1363"/>
      <c r="AY7" s="1363"/>
      <c r="AZ7" s="1363"/>
      <c r="BA7" s="1363"/>
      <c r="BB7" s="1363"/>
      <c r="BC7" s="1363"/>
      <c r="BD7" s="1363"/>
      <c r="BE7" s="1363"/>
      <c r="BF7" s="1363"/>
      <c r="BG7" s="1363"/>
      <c r="BH7" s="1363"/>
      <c r="BI7" s="1363"/>
      <c r="BJ7" s="1363"/>
      <c r="BK7" s="1363"/>
      <c r="BL7" s="1363"/>
      <c r="BM7" s="1363"/>
      <c r="BN7" s="1363"/>
      <c r="BO7" s="1363"/>
      <c r="BP7" s="1363"/>
      <c r="BQ7" s="1363"/>
      <c r="BR7" s="1363"/>
      <c r="BS7" s="1363"/>
      <c r="BT7" s="1363"/>
      <c r="BU7" s="1363"/>
      <c r="BV7" s="1363"/>
      <c r="BW7" s="1363"/>
      <c r="BX7" s="1363"/>
      <c r="BY7" s="1363"/>
      <c r="BZ7" s="1363"/>
      <c r="CA7" s="1362"/>
      <c r="CB7" s="1362"/>
      <c r="CC7" s="1362"/>
      <c r="CD7" s="1362"/>
      <c r="CE7" s="1362"/>
      <c r="CF7" s="1362"/>
      <c r="CG7" s="1362"/>
      <c r="CH7" s="1362"/>
      <c r="CI7" s="1362"/>
      <c r="CJ7" s="1362"/>
      <c r="CK7" s="1362"/>
      <c r="CL7" s="1362"/>
      <c r="CM7" s="1362"/>
      <c r="CN7" s="1362"/>
      <c r="CO7" s="1362"/>
    </row>
    <row r="8" spans="1:104" x14ac:dyDescent="0.25">
      <c r="A8" s="1091"/>
      <c r="B8" s="1091"/>
      <c r="C8" s="1091"/>
      <c r="D8" s="1091"/>
      <c r="E8" s="1091"/>
      <c r="F8" s="1091"/>
      <c r="G8" s="1091"/>
      <c r="H8" s="1091"/>
      <c r="I8" s="1091"/>
      <c r="J8" s="1091"/>
      <c r="K8" s="1091"/>
      <c r="L8" s="1091"/>
      <c r="M8" s="1091"/>
      <c r="N8" s="1091"/>
      <c r="O8" s="1091"/>
      <c r="P8" s="1091"/>
      <c r="Q8" s="1091"/>
      <c r="R8" s="1091"/>
      <c r="S8" s="1091"/>
      <c r="T8" s="1091"/>
      <c r="U8" s="1363"/>
      <c r="V8" s="1363"/>
      <c r="W8" s="1363"/>
      <c r="X8" s="1363"/>
      <c r="Y8" s="1363"/>
      <c r="Z8" s="1363"/>
      <c r="AA8" s="1363"/>
      <c r="AB8" s="1363"/>
      <c r="AC8" s="1363"/>
      <c r="AD8" s="1363"/>
      <c r="AE8" s="1363"/>
      <c r="AF8" s="1363"/>
      <c r="AG8" s="1363"/>
      <c r="AH8" s="1363"/>
      <c r="AI8" s="1363"/>
      <c r="AJ8" s="1363"/>
      <c r="AK8" s="1363"/>
      <c r="AL8" s="1363"/>
      <c r="AM8" s="1361"/>
      <c r="AN8" s="1361"/>
      <c r="AO8" s="1361"/>
      <c r="AP8" s="1361"/>
      <c r="AQ8" s="1361"/>
      <c r="AR8" s="1361"/>
      <c r="AS8" s="1363"/>
      <c r="AT8" s="1363"/>
      <c r="AU8" s="1363"/>
      <c r="AV8" s="1363"/>
      <c r="AW8" s="1363"/>
      <c r="AX8" s="1363"/>
      <c r="AY8" s="1363"/>
      <c r="AZ8" s="1363"/>
      <c r="BA8" s="1363"/>
      <c r="BB8" s="1363"/>
      <c r="BC8" s="1363"/>
      <c r="BD8" s="1363"/>
      <c r="BE8" s="1363"/>
      <c r="BF8" s="1363"/>
      <c r="BG8" s="1363"/>
      <c r="BH8" s="1363"/>
      <c r="BI8" s="1363"/>
      <c r="BJ8" s="1363"/>
      <c r="BK8" s="1363"/>
      <c r="BL8" s="1363"/>
      <c r="BM8" s="1363"/>
      <c r="BN8" s="1363"/>
      <c r="BO8" s="1363"/>
      <c r="BP8" s="1363"/>
      <c r="BQ8" s="1363"/>
      <c r="BR8" s="1363"/>
      <c r="BS8" s="1363"/>
      <c r="BT8" s="1363"/>
      <c r="BU8" s="1363"/>
      <c r="BV8" s="1363"/>
      <c r="BW8" s="1363"/>
      <c r="BX8" s="1363"/>
      <c r="BY8" s="1363"/>
      <c r="BZ8" s="1363"/>
      <c r="CA8" s="1362"/>
      <c r="CB8" s="1362"/>
      <c r="CC8" s="1362"/>
      <c r="CD8" s="1362"/>
      <c r="CE8" s="1362"/>
      <c r="CF8" s="1362"/>
      <c r="CG8" s="1362"/>
      <c r="CH8" s="1362"/>
      <c r="CI8" s="1362"/>
      <c r="CJ8" s="1362"/>
      <c r="CK8" s="1362"/>
      <c r="CL8" s="1362"/>
      <c r="CM8" s="1362"/>
      <c r="CN8" s="1362"/>
      <c r="CO8" s="1362"/>
    </row>
    <row r="9" spans="1:104" x14ac:dyDescent="0.25">
      <c r="A9" s="1363"/>
      <c r="B9" s="1363"/>
      <c r="C9" s="1363"/>
      <c r="D9" s="1363"/>
      <c r="E9" s="1363"/>
      <c r="F9" s="1363"/>
      <c r="G9" s="1363"/>
      <c r="H9" s="1363"/>
      <c r="I9" s="1363"/>
      <c r="J9" s="1363"/>
      <c r="K9" s="1363"/>
      <c r="L9" s="1363"/>
      <c r="M9" s="1363"/>
      <c r="N9" s="1363"/>
      <c r="O9" s="1363"/>
      <c r="P9" s="1363"/>
      <c r="Q9" s="1363"/>
      <c r="R9" s="1363"/>
      <c r="S9" s="1363"/>
      <c r="T9" s="1363"/>
      <c r="U9" s="1363"/>
      <c r="V9" s="1363"/>
      <c r="W9" s="1363"/>
      <c r="X9" s="1363"/>
      <c r="Y9" s="1363"/>
      <c r="Z9" s="1363"/>
      <c r="AA9" s="1363"/>
      <c r="AB9" s="1363"/>
      <c r="AC9" s="1363"/>
      <c r="AD9" s="1363"/>
      <c r="AE9" s="1363"/>
      <c r="AF9" s="1363"/>
      <c r="AG9" s="1363"/>
      <c r="AH9" s="1363"/>
      <c r="AI9" s="1363"/>
      <c r="AJ9" s="1363"/>
      <c r="AK9" s="1363"/>
      <c r="AL9" s="1363"/>
      <c r="AM9" s="1361"/>
      <c r="AN9" s="1361"/>
      <c r="AO9" s="1361"/>
      <c r="AP9" s="1361"/>
      <c r="AQ9" s="1361"/>
      <c r="AR9" s="1361"/>
      <c r="AS9" s="1363"/>
      <c r="AT9" s="1363"/>
      <c r="AU9" s="1363"/>
      <c r="AV9" s="1363"/>
      <c r="AW9" s="1363"/>
      <c r="AX9" s="1363"/>
      <c r="AY9" s="1363"/>
      <c r="AZ9" s="1363"/>
      <c r="BA9" s="1363"/>
      <c r="BB9" s="1363"/>
      <c r="BC9" s="1363"/>
      <c r="BD9" s="1363"/>
      <c r="BE9" s="1363"/>
      <c r="BF9" s="1363"/>
      <c r="BG9" s="1363"/>
      <c r="BH9" s="1363"/>
      <c r="BI9" s="1363"/>
      <c r="BJ9" s="1363"/>
      <c r="BK9" s="1363"/>
      <c r="BL9" s="1363"/>
      <c r="BM9" s="1363"/>
      <c r="BN9" s="1363"/>
      <c r="BO9" s="1363"/>
      <c r="BP9" s="1363"/>
      <c r="BQ9" s="1363"/>
      <c r="BR9" s="1363"/>
      <c r="BS9" s="1363"/>
      <c r="BT9" s="1363"/>
      <c r="BU9" s="1363"/>
      <c r="BV9" s="1363"/>
      <c r="BW9" s="1363"/>
      <c r="BX9" s="1363"/>
      <c r="BY9" s="1363"/>
      <c r="BZ9" s="1363"/>
      <c r="CA9" s="1362"/>
      <c r="CB9" s="1362"/>
      <c r="CC9" s="1362"/>
      <c r="CD9" s="1362"/>
      <c r="CE9" s="1362"/>
      <c r="CF9" s="1362"/>
      <c r="CG9" s="1362"/>
      <c r="CH9" s="1362"/>
      <c r="CI9" s="1362"/>
      <c r="CJ9" s="1362"/>
      <c r="CK9" s="1362"/>
      <c r="CL9" s="1362"/>
      <c r="CM9" s="1362"/>
      <c r="CN9" s="1362"/>
      <c r="CO9" s="1362"/>
    </row>
    <row r="10" spans="1:104" ht="32.1" customHeight="1" x14ac:dyDescent="0.25">
      <c r="A10" s="1366" t="s">
        <v>2067</v>
      </c>
      <c r="B10" s="1363"/>
      <c r="C10" s="1363"/>
      <c r="D10" s="1363"/>
      <c r="E10" s="1363"/>
      <c r="F10" s="1363"/>
      <c r="G10" s="1363"/>
      <c r="H10" s="1363"/>
      <c r="I10" s="1363"/>
      <c r="J10" s="1363"/>
      <c r="K10" s="1363"/>
      <c r="L10" s="1363"/>
      <c r="M10" s="1363"/>
      <c r="N10" s="1363"/>
      <c r="O10" s="1363"/>
      <c r="P10" s="1363"/>
      <c r="Q10" s="1363"/>
      <c r="R10" s="1363"/>
      <c r="S10" s="1363"/>
      <c r="T10" s="1363"/>
      <c r="U10" s="1363"/>
      <c r="V10" s="1363"/>
      <c r="W10" s="1363"/>
      <c r="X10" s="1363"/>
      <c r="Y10" s="1363"/>
      <c r="Z10" s="1363"/>
      <c r="AA10" s="1363"/>
      <c r="AB10" s="1363"/>
      <c r="AC10" s="1363"/>
      <c r="AD10" s="1363"/>
      <c r="AE10" s="1363"/>
      <c r="AF10" s="1363"/>
      <c r="AG10" s="1363"/>
      <c r="AH10" s="1363"/>
      <c r="AI10" s="1363"/>
      <c r="AJ10" s="1363"/>
      <c r="AK10" s="1363"/>
      <c r="AL10" s="1363"/>
      <c r="AM10" s="1363"/>
      <c r="AN10" s="1363"/>
      <c r="AO10" s="1363"/>
      <c r="AP10" s="1363"/>
      <c r="AQ10" s="1363"/>
      <c r="AR10" s="1363"/>
      <c r="AS10" s="1363"/>
      <c r="AT10" s="1363"/>
      <c r="AU10" s="1363"/>
      <c r="AV10" s="1363"/>
      <c r="AW10" s="1363"/>
      <c r="AX10" s="1363"/>
      <c r="AY10" s="1363"/>
      <c r="AZ10" s="1363"/>
      <c r="BA10" s="1363"/>
      <c r="BB10" s="1363"/>
      <c r="BC10" s="1363"/>
      <c r="BD10" s="1363"/>
      <c r="BE10" s="1363"/>
      <c r="BF10" s="1363"/>
      <c r="BG10" s="1363"/>
      <c r="BH10" s="1363"/>
      <c r="BI10" s="1363"/>
      <c r="BJ10" s="1363"/>
      <c r="BK10" s="1363"/>
      <c r="BL10" s="1363"/>
      <c r="BM10" s="1363"/>
      <c r="BN10" s="1363"/>
      <c r="BO10" s="1363"/>
      <c r="BP10" s="1363"/>
      <c r="BQ10" s="1363"/>
      <c r="BR10" s="1363"/>
      <c r="BS10" s="1363"/>
      <c r="BT10" s="1363"/>
      <c r="BU10" s="1363"/>
      <c r="BV10" s="1363"/>
      <c r="BW10" s="1363"/>
      <c r="BX10" s="1363"/>
      <c r="BY10" s="1363"/>
      <c r="BZ10" s="1363"/>
      <c r="CA10" s="1362"/>
      <c r="CB10" s="1362"/>
      <c r="CC10" s="1362"/>
      <c r="CD10" s="1362"/>
      <c r="CE10" s="1362"/>
      <c r="CF10" s="1362"/>
      <c r="CG10" s="1362"/>
      <c r="CH10" s="1362"/>
      <c r="CI10" s="1362"/>
      <c r="CJ10" s="1362"/>
      <c r="CK10" s="1362"/>
      <c r="CL10" s="1362"/>
      <c r="CM10" s="1362"/>
      <c r="CN10" s="1362"/>
      <c r="CO10" s="1362"/>
    </row>
    <row r="11" spans="1:104" s="1370" customFormat="1" ht="16.350000000000001" customHeight="1" x14ac:dyDescent="0.2">
      <c r="A11" s="10608" t="s">
        <v>612</v>
      </c>
      <c r="B11" s="10609"/>
      <c r="C11" s="10608" t="s">
        <v>44</v>
      </c>
      <c r="D11" s="10608"/>
      <c r="E11" s="10609"/>
      <c r="F11" s="10614" t="s">
        <v>25</v>
      </c>
      <c r="G11" s="10615"/>
      <c r="H11" s="10615"/>
      <c r="I11" s="10615"/>
      <c r="J11" s="10615"/>
      <c r="K11" s="10615"/>
      <c r="L11" s="10615"/>
      <c r="M11" s="10615"/>
      <c r="N11" s="10615"/>
      <c r="O11" s="10615"/>
      <c r="P11" s="10615"/>
      <c r="Q11" s="10615"/>
      <c r="R11" s="10615"/>
      <c r="S11" s="10615"/>
      <c r="T11" s="10615"/>
      <c r="U11" s="10615"/>
      <c r="V11" s="10615"/>
      <c r="W11" s="10615"/>
      <c r="X11" s="10615"/>
      <c r="Y11" s="10615"/>
      <c r="Z11" s="10615"/>
      <c r="AA11" s="10615"/>
      <c r="AB11" s="10615"/>
      <c r="AC11" s="10615"/>
      <c r="AD11" s="10615"/>
      <c r="AE11" s="10615"/>
      <c r="AF11" s="10615"/>
      <c r="AG11" s="10615"/>
      <c r="AH11" s="10615"/>
      <c r="AI11" s="10615"/>
      <c r="AJ11" s="10615"/>
      <c r="AK11" s="10615"/>
      <c r="AL11" s="10615"/>
      <c r="AM11" s="10616"/>
      <c r="AN11" s="10617" t="s">
        <v>394</v>
      </c>
      <c r="AO11" s="10622" t="s">
        <v>358</v>
      </c>
      <c r="AP11" s="10609" t="s">
        <v>360</v>
      </c>
      <c r="AQ11" s="10622" t="s">
        <v>359</v>
      </c>
      <c r="AR11" s="10626" t="s">
        <v>427</v>
      </c>
      <c r="AS11" s="10609" t="s">
        <v>2063</v>
      </c>
      <c r="AT11" s="10629" t="s">
        <v>426</v>
      </c>
      <c r="AU11" s="10609" t="s">
        <v>372</v>
      </c>
      <c r="AV11" s="10622" t="s">
        <v>428</v>
      </c>
      <c r="AW11" s="10622" t="s">
        <v>373</v>
      </c>
      <c r="AX11" s="1367"/>
      <c r="AY11" s="1367"/>
      <c r="AZ11" s="1367"/>
      <c r="BA11" s="1367"/>
      <c r="BB11" s="1367"/>
      <c r="BC11" s="1367"/>
      <c r="BD11" s="1367"/>
      <c r="BE11" s="1367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1368"/>
      <c r="CB11" s="1368"/>
      <c r="CC11" s="1368"/>
      <c r="CD11" s="1368"/>
      <c r="CE11" s="1368"/>
      <c r="CF11" s="1368"/>
      <c r="CG11" s="1368"/>
      <c r="CH11" s="1368"/>
      <c r="CI11" s="1368"/>
      <c r="CJ11" s="1368"/>
      <c r="CK11" s="1368"/>
      <c r="CL11" s="1368"/>
      <c r="CM11" s="1368"/>
      <c r="CN11" s="1368"/>
      <c r="CO11" s="1368"/>
      <c r="CP11" s="1369"/>
      <c r="CQ11" s="1369"/>
      <c r="CR11" s="1369"/>
      <c r="CS11" s="1369"/>
      <c r="CT11" s="1369"/>
      <c r="CU11" s="1369"/>
      <c r="CV11" s="1369"/>
      <c r="CW11" s="1369"/>
      <c r="CX11" s="1369"/>
      <c r="CY11" s="1369"/>
      <c r="CZ11" s="1369"/>
    </row>
    <row r="12" spans="1:104" s="1370" customFormat="1" ht="16.350000000000001" customHeight="1" x14ac:dyDescent="0.2">
      <c r="A12" s="10610"/>
      <c r="B12" s="10611"/>
      <c r="C12" s="10612"/>
      <c r="D12" s="10612"/>
      <c r="E12" s="10613"/>
      <c r="F12" s="10614" t="s">
        <v>3443</v>
      </c>
      <c r="G12" s="10625"/>
      <c r="H12" s="10615" t="s">
        <v>3444</v>
      </c>
      <c r="I12" s="10625"/>
      <c r="J12" s="10615" t="s">
        <v>3531</v>
      </c>
      <c r="K12" s="10625"/>
      <c r="L12" s="10614" t="s">
        <v>33</v>
      </c>
      <c r="M12" s="10625"/>
      <c r="N12" s="10620" t="s">
        <v>81</v>
      </c>
      <c r="O12" s="10621"/>
      <c r="P12" s="10620" t="s">
        <v>82</v>
      </c>
      <c r="Q12" s="10621"/>
      <c r="R12" s="10620" t="s">
        <v>83</v>
      </c>
      <c r="S12" s="10621"/>
      <c r="T12" s="10620" t="s">
        <v>398</v>
      </c>
      <c r="U12" s="10621"/>
      <c r="V12" s="10620" t="s">
        <v>124</v>
      </c>
      <c r="W12" s="10621"/>
      <c r="X12" s="10620" t="s">
        <v>125</v>
      </c>
      <c r="Y12" s="10621"/>
      <c r="Z12" s="10620" t="s">
        <v>126</v>
      </c>
      <c r="AA12" s="10621"/>
      <c r="AB12" s="10620" t="s">
        <v>127</v>
      </c>
      <c r="AC12" s="10621"/>
      <c r="AD12" s="10620" t="s">
        <v>128</v>
      </c>
      <c r="AE12" s="10621"/>
      <c r="AF12" s="10620" t="s">
        <v>129</v>
      </c>
      <c r="AG12" s="10621"/>
      <c r="AH12" s="10620" t="s">
        <v>130</v>
      </c>
      <c r="AI12" s="10621"/>
      <c r="AJ12" s="10620" t="s">
        <v>131</v>
      </c>
      <c r="AK12" s="10621"/>
      <c r="AL12" s="10620" t="s">
        <v>1916</v>
      </c>
      <c r="AM12" s="10628"/>
      <c r="AN12" s="10618"/>
      <c r="AO12" s="10623"/>
      <c r="AP12" s="10611"/>
      <c r="AQ12" s="10623"/>
      <c r="AR12" s="10627"/>
      <c r="AS12" s="10611"/>
      <c r="AT12" s="10630"/>
      <c r="AU12" s="10611"/>
      <c r="AV12" s="10623"/>
      <c r="AW12" s="10623"/>
      <c r="AX12" s="1367"/>
      <c r="AY12" s="1367"/>
      <c r="AZ12" s="1367"/>
      <c r="BA12" s="1367"/>
      <c r="BB12" s="1367"/>
      <c r="BC12" s="1367"/>
      <c r="BD12" s="1367"/>
      <c r="BE12" s="1367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I12" s="1368"/>
      <c r="CJ12" s="1368"/>
      <c r="CK12" s="1368"/>
      <c r="CL12" s="1368"/>
      <c r="CM12" s="1368"/>
      <c r="CN12" s="1368"/>
      <c r="CO12" s="1368"/>
      <c r="CP12" s="1369"/>
      <c r="CQ12" s="1369"/>
      <c r="CR12" s="1369"/>
      <c r="CS12" s="1369"/>
      <c r="CT12" s="1369"/>
      <c r="CU12" s="1369"/>
      <c r="CV12" s="1369"/>
      <c r="CW12" s="1369"/>
      <c r="CX12" s="1369"/>
      <c r="CY12" s="1369"/>
      <c r="CZ12" s="1369"/>
    </row>
    <row r="13" spans="1:104" s="1370" customFormat="1" ht="31.5" customHeight="1" x14ac:dyDescent="0.2">
      <c r="A13" s="10612"/>
      <c r="B13" s="10613"/>
      <c r="C13" s="1371" t="s">
        <v>42</v>
      </c>
      <c r="D13" s="1968" t="s">
        <v>17</v>
      </c>
      <c r="E13" s="1372" t="s">
        <v>18</v>
      </c>
      <c r="F13" s="1373" t="s">
        <v>17</v>
      </c>
      <c r="G13" s="1374" t="s">
        <v>18</v>
      </c>
      <c r="H13" s="1375" t="s">
        <v>17</v>
      </c>
      <c r="I13" s="1374" t="s">
        <v>18</v>
      </c>
      <c r="J13" s="1375" t="s">
        <v>17</v>
      </c>
      <c r="K13" s="1374" t="s">
        <v>18</v>
      </c>
      <c r="L13" s="1373" t="s">
        <v>17</v>
      </c>
      <c r="M13" s="1374" t="s">
        <v>18</v>
      </c>
      <c r="N13" s="1373" t="s">
        <v>17</v>
      </c>
      <c r="O13" s="1374" t="s">
        <v>18</v>
      </c>
      <c r="P13" s="1373" t="s">
        <v>17</v>
      </c>
      <c r="Q13" s="1374" t="s">
        <v>18</v>
      </c>
      <c r="R13" s="1373" t="s">
        <v>17</v>
      </c>
      <c r="S13" s="1374" t="s">
        <v>18</v>
      </c>
      <c r="T13" s="1373" t="s">
        <v>17</v>
      </c>
      <c r="U13" s="1374" t="s">
        <v>18</v>
      </c>
      <c r="V13" s="1373" t="s">
        <v>17</v>
      </c>
      <c r="W13" s="1374" t="s">
        <v>18</v>
      </c>
      <c r="X13" s="1373" t="s">
        <v>17</v>
      </c>
      <c r="Y13" s="1374" t="s">
        <v>18</v>
      </c>
      <c r="Z13" s="1373" t="s">
        <v>17</v>
      </c>
      <c r="AA13" s="1374" t="s">
        <v>18</v>
      </c>
      <c r="AB13" s="1373" t="s">
        <v>17</v>
      </c>
      <c r="AC13" s="1374" t="s">
        <v>18</v>
      </c>
      <c r="AD13" s="1373" t="s">
        <v>17</v>
      </c>
      <c r="AE13" s="1374" t="s">
        <v>18</v>
      </c>
      <c r="AF13" s="1373" t="s">
        <v>17</v>
      </c>
      <c r="AG13" s="1374" t="s">
        <v>18</v>
      </c>
      <c r="AH13" s="1373" t="s">
        <v>17</v>
      </c>
      <c r="AI13" s="1374" t="s">
        <v>18</v>
      </c>
      <c r="AJ13" s="1373" t="s">
        <v>17</v>
      </c>
      <c r="AK13" s="1374" t="s">
        <v>18</v>
      </c>
      <c r="AL13" s="1373" t="s">
        <v>17</v>
      </c>
      <c r="AM13" s="1376" t="s">
        <v>18</v>
      </c>
      <c r="AN13" s="10619"/>
      <c r="AO13" s="10624"/>
      <c r="AP13" s="10613"/>
      <c r="AQ13" s="10624"/>
      <c r="AR13" s="10362"/>
      <c r="AS13" s="10613"/>
      <c r="AT13" s="10631"/>
      <c r="AU13" s="10613"/>
      <c r="AV13" s="10624"/>
      <c r="AW13" s="10624"/>
      <c r="AX13" s="1367"/>
      <c r="AY13" s="1367"/>
      <c r="AZ13" s="1367"/>
      <c r="BA13" s="1367"/>
      <c r="BB13" s="1367"/>
      <c r="BC13" s="1367"/>
      <c r="BD13" s="1367"/>
      <c r="BE13" s="1367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1368"/>
      <c r="CB13" s="1368"/>
      <c r="CC13" s="1368"/>
      <c r="CD13" s="1368"/>
      <c r="CE13" s="1368"/>
      <c r="CF13" s="1368"/>
      <c r="CG13" s="1377"/>
      <c r="CH13" s="1377"/>
      <c r="CI13" s="1368"/>
      <c r="CJ13" s="1368"/>
      <c r="CK13" s="1368"/>
      <c r="CL13" s="1368"/>
      <c r="CM13" s="1368"/>
      <c r="CN13" s="1368"/>
      <c r="CO13" s="1368"/>
      <c r="CP13" s="1369"/>
      <c r="CQ13" s="1369"/>
      <c r="CR13" s="1369"/>
      <c r="CS13" s="1369"/>
      <c r="CT13" s="1369"/>
      <c r="CU13" s="1369"/>
      <c r="CV13" s="1369"/>
      <c r="CW13" s="1369"/>
      <c r="CX13" s="1369"/>
      <c r="CY13" s="1369"/>
      <c r="CZ13" s="1369"/>
    </row>
    <row r="14" spans="1:104" s="1370" customFormat="1" ht="16.350000000000001" customHeight="1" x14ac:dyDescent="0.2">
      <c r="A14" s="10636" t="s">
        <v>444</v>
      </c>
      <c r="B14" s="1378" t="s">
        <v>368</v>
      </c>
      <c r="C14" s="468">
        <f>+D14+E14</f>
        <v>0</v>
      </c>
      <c r="D14" s="1884">
        <f>+F14+H14+J14+L14+N14+P14+R14+T14+V14+X14+Z14+AB14+AD14+AF14+AH14+AJ14+AL14</f>
        <v>0</v>
      </c>
      <c r="E14" s="1379">
        <f>+G14+I14+K14+M14+O14+Q14+S14+U14+W14+Y14+AA14+AC14+AE14+AG14+AI14+AK14+AM14</f>
        <v>0</v>
      </c>
      <c r="F14" s="177"/>
      <c r="G14" s="179"/>
      <c r="H14" s="178"/>
      <c r="I14" s="179"/>
      <c r="J14" s="178"/>
      <c r="K14" s="179"/>
      <c r="L14" s="178"/>
      <c r="M14" s="179"/>
      <c r="N14" s="178"/>
      <c r="O14" s="179"/>
      <c r="P14" s="178"/>
      <c r="Q14" s="179"/>
      <c r="R14" s="178"/>
      <c r="S14" s="179"/>
      <c r="T14" s="178"/>
      <c r="U14" s="179"/>
      <c r="V14" s="178"/>
      <c r="W14" s="179"/>
      <c r="X14" s="178"/>
      <c r="Y14" s="179"/>
      <c r="Z14" s="178"/>
      <c r="AA14" s="179"/>
      <c r="AB14" s="178"/>
      <c r="AC14" s="179"/>
      <c r="AD14" s="178"/>
      <c r="AE14" s="179"/>
      <c r="AF14" s="178"/>
      <c r="AG14" s="179"/>
      <c r="AH14" s="178"/>
      <c r="AI14" s="179"/>
      <c r="AJ14" s="178"/>
      <c r="AK14" s="179"/>
      <c r="AL14" s="178"/>
      <c r="AM14" s="247"/>
      <c r="AN14" s="1380"/>
      <c r="AO14" s="521"/>
      <c r="AP14" s="228"/>
      <c r="AQ14" s="202"/>
      <c r="AR14" s="253"/>
      <c r="AS14" s="228"/>
      <c r="AT14" s="253"/>
      <c r="AU14" s="228"/>
      <c r="AV14" s="202"/>
      <c r="AW14" s="202"/>
      <c r="AX14" s="1381" t="str">
        <f>CA14&amp;CB14&amp;CC14</f>
        <v/>
      </c>
      <c r="AY14" s="802"/>
      <c r="AZ14" s="802"/>
      <c r="BA14" s="802"/>
      <c r="BB14" s="802"/>
      <c r="BC14" s="802"/>
      <c r="BD14" s="1367"/>
      <c r="BE14" s="1367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1382" t="str">
        <f>IF(CG14=1,"* No olvide digitar la columna Beneficiarios y/o Pueblos Originario y/o Migrantes y/o Población SENAME (Digite Cero si no tiene). ","")</f>
        <v/>
      </c>
      <c r="CB14" s="1382" t="str">
        <f>IF(CH14=1,"* El número de Beneficiarios y/o Pueblos Originarios y/o Migrantes y/o Población SENAME NO DEBE ser mayor que el Total.","")</f>
        <v/>
      </c>
      <c r="CC14" s="1382"/>
      <c r="CD14" s="1382"/>
      <c r="CE14" s="1382"/>
      <c r="CF14" s="1382"/>
      <c r="CG14" s="1383">
        <f>IF(AND(C14&lt;&gt;0,OR(AO14="",AP14="",AQ14="",AR14="")),1,0)</f>
        <v>0</v>
      </c>
      <c r="CH14" s="1383">
        <f>IF(OR(C14&lt;AO14,C14&lt;AP14,C14&lt;AQ14,C14&lt;AR14),1,0)</f>
        <v>0</v>
      </c>
      <c r="CI14" s="1383"/>
      <c r="CJ14" s="1368"/>
      <c r="CK14" s="1368"/>
      <c r="CL14" s="1368"/>
      <c r="CM14" s="1368"/>
      <c r="CN14" s="1368"/>
      <c r="CO14" s="1368"/>
      <c r="CP14" s="1369"/>
      <c r="CQ14" s="1369"/>
      <c r="CR14" s="1369"/>
      <c r="CS14" s="1369"/>
      <c r="CT14" s="1369"/>
      <c r="CU14" s="1369"/>
      <c r="CV14" s="1369"/>
      <c r="CW14" s="1369"/>
      <c r="CX14" s="1369"/>
      <c r="CY14" s="1369"/>
      <c r="CZ14" s="1369"/>
    </row>
    <row r="15" spans="1:104" s="1370" customFormat="1" ht="16.350000000000001" customHeight="1" x14ac:dyDescent="0.2">
      <c r="A15" s="10637"/>
      <c r="B15" s="1384" t="s">
        <v>369</v>
      </c>
      <c r="C15" s="109">
        <f t="shared" ref="C15:C30" si="0">+D15+E15</f>
        <v>0</v>
      </c>
      <c r="D15" s="1887">
        <f t="shared" ref="D15:E29" si="1">+F15+H15+J15+L15+N15+P15+R15+T15+V15+X15+Z15+AB15+AD15+AF15+AH15+AJ15+AL15</f>
        <v>0</v>
      </c>
      <c r="E15" s="145">
        <f t="shared" si="1"/>
        <v>0</v>
      </c>
      <c r="F15" s="137"/>
      <c r="G15" s="138"/>
      <c r="H15" s="113"/>
      <c r="I15" s="138"/>
      <c r="J15" s="113"/>
      <c r="K15" s="138"/>
      <c r="L15" s="113"/>
      <c r="M15" s="138"/>
      <c r="N15" s="113"/>
      <c r="O15" s="138"/>
      <c r="P15" s="113"/>
      <c r="Q15" s="138"/>
      <c r="R15" s="113"/>
      <c r="S15" s="138"/>
      <c r="T15" s="113"/>
      <c r="U15" s="138"/>
      <c r="V15" s="113"/>
      <c r="W15" s="138"/>
      <c r="X15" s="113"/>
      <c r="Y15" s="138"/>
      <c r="Z15" s="113"/>
      <c r="AA15" s="138"/>
      <c r="AB15" s="113"/>
      <c r="AC15" s="138"/>
      <c r="AD15" s="113"/>
      <c r="AE15" s="138"/>
      <c r="AF15" s="113"/>
      <c r="AG15" s="138"/>
      <c r="AH15" s="113"/>
      <c r="AI15" s="138"/>
      <c r="AJ15" s="113"/>
      <c r="AK15" s="138"/>
      <c r="AL15" s="113"/>
      <c r="AM15" s="260"/>
      <c r="AN15" s="1385"/>
      <c r="AO15" s="97"/>
      <c r="AP15" s="164"/>
      <c r="AQ15" s="97"/>
      <c r="AR15" s="242"/>
      <c r="AS15" s="164"/>
      <c r="AT15" s="242"/>
      <c r="AU15" s="164"/>
      <c r="AV15" s="97"/>
      <c r="AW15" s="97"/>
      <c r="AX15" s="1381" t="str">
        <f t="shared" ref="AX15:AX29" si="2">CA15&amp;CB15&amp;CC15</f>
        <v/>
      </c>
      <c r="AY15" s="802"/>
      <c r="AZ15" s="802"/>
      <c r="BA15" s="802"/>
      <c r="BB15" s="802"/>
      <c r="BC15" s="802"/>
      <c r="BD15" s="1367"/>
      <c r="BE15" s="1367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1382" t="str">
        <f t="shared" ref="CA15:CA28" si="3">IF(CG15=1,"* No olvide digitar la columna Beneficiarios y/o Pueblos Originario y/o Migrantes y/o Población SENAME (Digite Cero si no tiene). ","")</f>
        <v/>
      </c>
      <c r="CB15" s="1382" t="str">
        <f t="shared" ref="CB15:CB28" si="4">IF(CH15=1,"* El número de Beneficiarios y/o Pueblos Originarios y/o Migrantes y/o Población SENAME NO DEBE ser mayor que el Total.","")</f>
        <v/>
      </c>
      <c r="CC15" s="1382"/>
      <c r="CD15" s="1382"/>
      <c r="CE15" s="1382"/>
      <c r="CF15" s="1382"/>
      <c r="CG15" s="1383">
        <f t="shared" ref="CG15:CG28" si="5">IF(AND(C15&lt;&gt;0,OR(AO15="",AP15="",AQ15="",AR15="")),1,0)</f>
        <v>0</v>
      </c>
      <c r="CH15" s="1383">
        <f t="shared" ref="CH15:CH28" si="6">IF(OR(C15&lt;AO15,C15&lt;AP15,C15&lt;AQ15,C15&lt;AR15),1,0)</f>
        <v>0</v>
      </c>
      <c r="CI15" s="1383"/>
      <c r="CJ15" s="1368"/>
      <c r="CK15" s="1368"/>
      <c r="CL15" s="1368"/>
      <c r="CM15" s="1368"/>
      <c r="CN15" s="1368"/>
      <c r="CO15" s="1368"/>
      <c r="CP15" s="1369"/>
      <c r="CQ15" s="1369"/>
      <c r="CR15" s="1369"/>
      <c r="CS15" s="1369"/>
      <c r="CT15" s="1369"/>
      <c r="CU15" s="1369"/>
      <c r="CV15" s="1369"/>
      <c r="CW15" s="1369"/>
      <c r="CX15" s="1369"/>
      <c r="CY15" s="1369"/>
      <c r="CZ15" s="1369"/>
    </row>
    <row r="16" spans="1:104" s="1370" customFormat="1" ht="16.350000000000001" customHeight="1" x14ac:dyDescent="0.2">
      <c r="A16" s="10638"/>
      <c r="B16" s="1386" t="s">
        <v>370</v>
      </c>
      <c r="C16" s="81">
        <f t="shared" si="0"/>
        <v>0</v>
      </c>
      <c r="D16" s="1691">
        <f t="shared" si="1"/>
        <v>0</v>
      </c>
      <c r="E16" s="147">
        <f t="shared" si="1"/>
        <v>0</v>
      </c>
      <c r="F16" s="125"/>
      <c r="G16" s="101"/>
      <c r="H16" s="102"/>
      <c r="I16" s="101"/>
      <c r="J16" s="102"/>
      <c r="K16" s="101"/>
      <c r="L16" s="102"/>
      <c r="M16" s="101"/>
      <c r="N16" s="102"/>
      <c r="O16" s="101"/>
      <c r="P16" s="102"/>
      <c r="Q16" s="101"/>
      <c r="R16" s="102"/>
      <c r="S16" s="101"/>
      <c r="T16" s="102"/>
      <c r="U16" s="101"/>
      <c r="V16" s="102"/>
      <c r="W16" s="101"/>
      <c r="X16" s="102"/>
      <c r="Y16" s="101"/>
      <c r="Z16" s="102"/>
      <c r="AA16" s="101"/>
      <c r="AB16" s="102"/>
      <c r="AC16" s="101"/>
      <c r="AD16" s="102"/>
      <c r="AE16" s="101"/>
      <c r="AF16" s="102"/>
      <c r="AG16" s="101"/>
      <c r="AH16" s="102"/>
      <c r="AI16" s="101"/>
      <c r="AJ16" s="102"/>
      <c r="AK16" s="101"/>
      <c r="AL16" s="102"/>
      <c r="AM16" s="198"/>
      <c r="AN16" s="549"/>
      <c r="AO16" s="86"/>
      <c r="AP16" s="127"/>
      <c r="AQ16" s="86"/>
      <c r="AR16" s="212"/>
      <c r="AS16" s="127"/>
      <c r="AT16" s="212"/>
      <c r="AU16" s="127"/>
      <c r="AV16" s="86"/>
      <c r="AW16" s="86"/>
      <c r="AX16" s="1381" t="str">
        <f t="shared" si="2"/>
        <v/>
      </c>
      <c r="AY16" s="802"/>
      <c r="AZ16" s="802"/>
      <c r="BA16" s="802"/>
      <c r="BB16" s="802"/>
      <c r="BC16" s="802"/>
      <c r="BD16" s="1367"/>
      <c r="BE16" s="1367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1382" t="str">
        <f t="shared" si="3"/>
        <v/>
      </c>
      <c r="CB16" s="1382" t="str">
        <f t="shared" si="4"/>
        <v/>
      </c>
      <c r="CC16" s="1382"/>
      <c r="CD16" s="1382"/>
      <c r="CE16" s="1382"/>
      <c r="CF16" s="1382"/>
      <c r="CG16" s="1383">
        <f t="shared" si="5"/>
        <v>0</v>
      </c>
      <c r="CH16" s="1383">
        <f t="shared" si="6"/>
        <v>0</v>
      </c>
      <c r="CI16" s="1383"/>
      <c r="CJ16" s="1368"/>
      <c r="CK16" s="1368"/>
      <c r="CL16" s="1368"/>
      <c r="CM16" s="1368"/>
      <c r="CN16" s="1368"/>
      <c r="CO16" s="1368"/>
      <c r="CP16" s="1369"/>
      <c r="CQ16" s="1369"/>
      <c r="CR16" s="1369"/>
      <c r="CS16" s="1369"/>
      <c r="CT16" s="1369"/>
      <c r="CU16" s="1369"/>
      <c r="CV16" s="1369"/>
      <c r="CW16" s="1369"/>
      <c r="CX16" s="1369"/>
      <c r="CY16" s="1369"/>
      <c r="CZ16" s="1369"/>
    </row>
    <row r="17" spans="1:104" s="1370" customFormat="1" ht="16.350000000000001" customHeight="1" x14ac:dyDescent="0.2">
      <c r="A17" s="10611" t="s">
        <v>383</v>
      </c>
      <c r="B17" s="1387" t="s">
        <v>420</v>
      </c>
      <c r="C17" s="1388">
        <f t="shared" si="0"/>
        <v>0</v>
      </c>
      <c r="D17" s="1969">
        <f t="shared" si="1"/>
        <v>0</v>
      </c>
      <c r="E17" s="1389">
        <f t="shared" si="1"/>
        <v>0</v>
      </c>
      <c r="F17" s="129"/>
      <c r="G17" s="130"/>
      <c r="H17" s="100"/>
      <c r="I17" s="130"/>
      <c r="J17" s="100"/>
      <c r="K17" s="143"/>
      <c r="L17" s="100"/>
      <c r="M17" s="143"/>
      <c r="N17" s="100"/>
      <c r="O17" s="143"/>
      <c r="P17" s="100"/>
      <c r="Q17" s="143"/>
      <c r="R17" s="100"/>
      <c r="S17" s="143"/>
      <c r="T17" s="100"/>
      <c r="U17" s="143"/>
      <c r="V17" s="100"/>
      <c r="W17" s="143"/>
      <c r="X17" s="100"/>
      <c r="Y17" s="143"/>
      <c r="Z17" s="100"/>
      <c r="AA17" s="143"/>
      <c r="AB17" s="100"/>
      <c r="AC17" s="143"/>
      <c r="AD17" s="100"/>
      <c r="AE17" s="143"/>
      <c r="AF17" s="100"/>
      <c r="AG17" s="143"/>
      <c r="AH17" s="100"/>
      <c r="AI17" s="143"/>
      <c r="AJ17" s="100"/>
      <c r="AK17" s="143"/>
      <c r="AL17" s="100"/>
      <c r="AM17" s="237"/>
      <c r="AN17" s="1390"/>
      <c r="AO17" s="91"/>
      <c r="AP17" s="143"/>
      <c r="AQ17" s="91"/>
      <c r="AR17" s="213"/>
      <c r="AS17" s="143"/>
      <c r="AT17" s="213"/>
      <c r="AU17" s="143"/>
      <c r="AV17" s="91"/>
      <c r="AW17" s="91"/>
      <c r="AX17" s="1381" t="str">
        <f t="shared" si="2"/>
        <v/>
      </c>
      <c r="AY17" s="802"/>
      <c r="AZ17" s="802"/>
      <c r="BA17" s="802"/>
      <c r="BB17" s="802"/>
      <c r="BC17" s="802"/>
      <c r="BD17" s="1367"/>
      <c r="BE17" s="1367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1382" t="str">
        <f t="shared" si="3"/>
        <v/>
      </c>
      <c r="CB17" s="1382" t="str">
        <f t="shared" si="4"/>
        <v/>
      </c>
      <c r="CC17" s="1382"/>
      <c r="CD17" s="1382"/>
      <c r="CE17" s="1382"/>
      <c r="CF17" s="1382"/>
      <c r="CG17" s="1383">
        <f t="shared" si="5"/>
        <v>0</v>
      </c>
      <c r="CH17" s="1383">
        <f t="shared" si="6"/>
        <v>0</v>
      </c>
      <c r="CI17" s="1383"/>
      <c r="CJ17" s="1368"/>
      <c r="CK17" s="1368"/>
      <c r="CL17" s="1368"/>
      <c r="CM17" s="1368"/>
      <c r="CN17" s="1368"/>
      <c r="CO17" s="1368"/>
      <c r="CP17" s="1369"/>
      <c r="CQ17" s="1369"/>
      <c r="CR17" s="1369"/>
      <c r="CS17" s="1369"/>
      <c r="CT17" s="1369"/>
      <c r="CU17" s="1369"/>
      <c r="CV17" s="1369"/>
      <c r="CW17" s="1369"/>
      <c r="CX17" s="1369"/>
      <c r="CY17" s="1369"/>
      <c r="CZ17" s="1369"/>
    </row>
    <row r="18" spans="1:104" s="1370" customFormat="1" ht="16.350000000000001" customHeight="1" x14ac:dyDescent="0.2">
      <c r="A18" s="10611"/>
      <c r="B18" s="1391" t="s">
        <v>421</v>
      </c>
      <c r="C18" s="1388">
        <f t="shared" si="0"/>
        <v>0</v>
      </c>
      <c r="D18" s="1969">
        <f t="shared" si="1"/>
        <v>0</v>
      </c>
      <c r="E18" s="1392">
        <f t="shared" si="1"/>
        <v>0</v>
      </c>
      <c r="F18" s="129"/>
      <c r="G18" s="130"/>
      <c r="H18" s="100"/>
      <c r="I18" s="130"/>
      <c r="J18" s="100"/>
      <c r="K18" s="143"/>
      <c r="L18" s="100"/>
      <c r="M18" s="143"/>
      <c r="N18" s="100"/>
      <c r="O18" s="143"/>
      <c r="P18" s="100"/>
      <c r="Q18" s="143"/>
      <c r="R18" s="100"/>
      <c r="S18" s="143"/>
      <c r="T18" s="100"/>
      <c r="U18" s="143"/>
      <c r="V18" s="100"/>
      <c r="W18" s="143"/>
      <c r="X18" s="100"/>
      <c r="Y18" s="143"/>
      <c r="Z18" s="100"/>
      <c r="AA18" s="143"/>
      <c r="AB18" s="100"/>
      <c r="AC18" s="143"/>
      <c r="AD18" s="100"/>
      <c r="AE18" s="143"/>
      <c r="AF18" s="100"/>
      <c r="AG18" s="143"/>
      <c r="AH18" s="100"/>
      <c r="AI18" s="143"/>
      <c r="AJ18" s="100"/>
      <c r="AK18" s="143"/>
      <c r="AL18" s="100"/>
      <c r="AM18" s="237"/>
      <c r="AN18" s="1390"/>
      <c r="AO18" s="91"/>
      <c r="AP18" s="143"/>
      <c r="AQ18" s="91"/>
      <c r="AR18" s="213"/>
      <c r="AS18" s="143"/>
      <c r="AT18" s="213"/>
      <c r="AU18" s="143"/>
      <c r="AV18" s="91"/>
      <c r="AW18" s="91"/>
      <c r="AX18" s="1381" t="str">
        <f t="shared" si="2"/>
        <v/>
      </c>
      <c r="AY18" s="802"/>
      <c r="AZ18" s="802"/>
      <c r="BA18" s="802"/>
      <c r="BB18" s="802"/>
      <c r="BC18" s="802"/>
      <c r="BD18" s="1367"/>
      <c r="BE18" s="1367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1382" t="str">
        <f t="shared" si="3"/>
        <v/>
      </c>
      <c r="CB18" s="1382" t="str">
        <f t="shared" si="4"/>
        <v/>
      </c>
      <c r="CC18" s="1382"/>
      <c r="CD18" s="1382"/>
      <c r="CE18" s="1382"/>
      <c r="CF18" s="1382"/>
      <c r="CG18" s="1383">
        <f t="shared" si="5"/>
        <v>0</v>
      </c>
      <c r="CH18" s="1383">
        <f t="shared" si="6"/>
        <v>0</v>
      </c>
      <c r="CI18" s="1383"/>
      <c r="CJ18" s="1368"/>
      <c r="CK18" s="1368"/>
      <c r="CL18" s="1368"/>
      <c r="CM18" s="1368"/>
      <c r="CN18" s="1368"/>
      <c r="CO18" s="1368"/>
      <c r="CP18" s="1369"/>
      <c r="CQ18" s="1369"/>
      <c r="CR18" s="1369"/>
      <c r="CS18" s="1369"/>
      <c r="CT18" s="1369"/>
      <c r="CU18" s="1369"/>
      <c r="CV18" s="1369"/>
      <c r="CW18" s="1369"/>
      <c r="CX18" s="1369"/>
      <c r="CY18" s="1369"/>
      <c r="CZ18" s="1369"/>
    </row>
    <row r="19" spans="1:104" s="1370" customFormat="1" ht="16.350000000000001" customHeight="1" x14ac:dyDescent="0.2">
      <c r="A19" s="10611"/>
      <c r="B19" s="1391" t="s">
        <v>388</v>
      </c>
      <c r="C19" s="1388">
        <f t="shared" si="0"/>
        <v>0</v>
      </c>
      <c r="D19" s="1970">
        <f>+F19+H19+J19+L19+N19+P19+R19+T19+V19+X19+Z19+AB19+AD19+AF19+AH19+AJ19+AL19</f>
        <v>0</v>
      </c>
      <c r="E19" s="1392">
        <f t="shared" si="1"/>
        <v>0</v>
      </c>
      <c r="F19" s="129"/>
      <c r="G19" s="130"/>
      <c r="H19" s="100"/>
      <c r="I19" s="130"/>
      <c r="J19" s="100"/>
      <c r="K19" s="143"/>
      <c r="L19" s="100"/>
      <c r="M19" s="143"/>
      <c r="N19" s="100"/>
      <c r="O19" s="143"/>
      <c r="P19" s="100"/>
      <c r="Q19" s="143"/>
      <c r="R19" s="100"/>
      <c r="S19" s="143"/>
      <c r="T19" s="100"/>
      <c r="U19" s="143"/>
      <c r="V19" s="100"/>
      <c r="W19" s="143"/>
      <c r="X19" s="100"/>
      <c r="Y19" s="143"/>
      <c r="Z19" s="100"/>
      <c r="AA19" s="143"/>
      <c r="AB19" s="100"/>
      <c r="AC19" s="143"/>
      <c r="AD19" s="100"/>
      <c r="AE19" s="143"/>
      <c r="AF19" s="100"/>
      <c r="AG19" s="143"/>
      <c r="AH19" s="100"/>
      <c r="AI19" s="143"/>
      <c r="AJ19" s="100"/>
      <c r="AK19" s="143"/>
      <c r="AL19" s="100"/>
      <c r="AM19" s="237"/>
      <c r="AN19" s="1390"/>
      <c r="AO19" s="91"/>
      <c r="AP19" s="143"/>
      <c r="AQ19" s="91"/>
      <c r="AR19" s="213"/>
      <c r="AS19" s="143"/>
      <c r="AT19" s="213"/>
      <c r="AU19" s="143"/>
      <c r="AV19" s="91"/>
      <c r="AW19" s="91"/>
      <c r="AX19" s="1381" t="str">
        <f t="shared" si="2"/>
        <v/>
      </c>
      <c r="AY19" s="802"/>
      <c r="AZ19" s="802"/>
      <c r="BA19" s="802"/>
      <c r="BB19" s="802"/>
      <c r="BC19" s="802"/>
      <c r="BD19" s="1367"/>
      <c r="BE19" s="1367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1382" t="str">
        <f t="shared" si="3"/>
        <v/>
      </c>
      <c r="CB19" s="1382" t="str">
        <f t="shared" si="4"/>
        <v/>
      </c>
      <c r="CC19" s="1382"/>
      <c r="CD19" s="1382"/>
      <c r="CE19" s="1382"/>
      <c r="CF19" s="1382"/>
      <c r="CG19" s="1383">
        <f t="shared" si="5"/>
        <v>0</v>
      </c>
      <c r="CH19" s="1383">
        <f t="shared" si="6"/>
        <v>0</v>
      </c>
      <c r="CI19" s="1383"/>
      <c r="CJ19" s="1368"/>
      <c r="CK19" s="1368"/>
      <c r="CL19" s="1368"/>
      <c r="CM19" s="1368"/>
      <c r="CN19" s="1368"/>
      <c r="CO19" s="1368"/>
      <c r="CP19" s="1369"/>
      <c r="CQ19" s="1369"/>
      <c r="CR19" s="1369"/>
      <c r="CS19" s="1369"/>
      <c r="CT19" s="1369"/>
      <c r="CU19" s="1369"/>
      <c r="CV19" s="1369"/>
      <c r="CW19" s="1369"/>
      <c r="CX19" s="1369"/>
      <c r="CY19" s="1369"/>
      <c r="CZ19" s="1369"/>
    </row>
    <row r="20" spans="1:104" s="1370" customFormat="1" ht="16.350000000000001" customHeight="1" x14ac:dyDescent="0.2">
      <c r="A20" s="10611"/>
      <c r="B20" s="1391" t="s">
        <v>422</v>
      </c>
      <c r="C20" s="1388">
        <f t="shared" si="0"/>
        <v>0</v>
      </c>
      <c r="D20" s="1969">
        <f t="shared" si="1"/>
        <v>0</v>
      </c>
      <c r="E20" s="1392">
        <f t="shared" si="1"/>
        <v>0</v>
      </c>
      <c r="F20" s="129"/>
      <c r="G20" s="130"/>
      <c r="H20" s="100"/>
      <c r="I20" s="130"/>
      <c r="J20" s="100"/>
      <c r="K20" s="143"/>
      <c r="L20" s="100"/>
      <c r="M20" s="143"/>
      <c r="N20" s="100"/>
      <c r="O20" s="143"/>
      <c r="P20" s="100"/>
      <c r="Q20" s="143"/>
      <c r="R20" s="100"/>
      <c r="S20" s="143"/>
      <c r="T20" s="100"/>
      <c r="U20" s="143"/>
      <c r="V20" s="100"/>
      <c r="W20" s="143"/>
      <c r="X20" s="100"/>
      <c r="Y20" s="143"/>
      <c r="Z20" s="100"/>
      <c r="AA20" s="143"/>
      <c r="AB20" s="100"/>
      <c r="AC20" s="143"/>
      <c r="AD20" s="100"/>
      <c r="AE20" s="143"/>
      <c r="AF20" s="100"/>
      <c r="AG20" s="143"/>
      <c r="AH20" s="100"/>
      <c r="AI20" s="143"/>
      <c r="AJ20" s="100"/>
      <c r="AK20" s="143"/>
      <c r="AL20" s="100"/>
      <c r="AM20" s="237"/>
      <c r="AN20" s="1390"/>
      <c r="AO20" s="91"/>
      <c r="AP20" s="143"/>
      <c r="AQ20" s="91"/>
      <c r="AR20" s="213"/>
      <c r="AS20" s="143"/>
      <c r="AT20" s="213"/>
      <c r="AU20" s="143"/>
      <c r="AV20" s="91"/>
      <c r="AW20" s="91"/>
      <c r="AX20" s="1381" t="str">
        <f t="shared" si="2"/>
        <v/>
      </c>
      <c r="AY20" s="802"/>
      <c r="AZ20" s="802"/>
      <c r="BA20" s="802"/>
      <c r="BB20" s="802"/>
      <c r="BC20" s="802"/>
      <c r="BD20" s="1367"/>
      <c r="BE20" s="1367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1382" t="str">
        <f t="shared" si="3"/>
        <v/>
      </c>
      <c r="CB20" s="1382" t="str">
        <f t="shared" si="4"/>
        <v/>
      </c>
      <c r="CC20" s="1382"/>
      <c r="CD20" s="1382"/>
      <c r="CE20" s="1382"/>
      <c r="CF20" s="1382"/>
      <c r="CG20" s="1383">
        <f t="shared" si="5"/>
        <v>0</v>
      </c>
      <c r="CH20" s="1383">
        <f t="shared" si="6"/>
        <v>0</v>
      </c>
      <c r="CI20" s="1383"/>
      <c r="CJ20" s="1368"/>
      <c r="CK20" s="1368"/>
      <c r="CL20" s="1368"/>
      <c r="CM20" s="1368"/>
      <c r="CN20" s="1368"/>
      <c r="CO20" s="1368"/>
      <c r="CP20" s="1369"/>
      <c r="CQ20" s="1369"/>
      <c r="CR20" s="1369"/>
      <c r="CS20" s="1369"/>
      <c r="CT20" s="1369"/>
      <c r="CU20" s="1369"/>
      <c r="CV20" s="1369"/>
      <c r="CW20" s="1369"/>
      <c r="CX20" s="1369"/>
      <c r="CY20" s="1369"/>
      <c r="CZ20" s="1369"/>
    </row>
    <row r="21" spans="1:104" s="1370" customFormat="1" ht="16.350000000000001" customHeight="1" x14ac:dyDescent="0.2">
      <c r="A21" s="10611"/>
      <c r="B21" s="1391" t="s">
        <v>423</v>
      </c>
      <c r="C21" s="1388">
        <f t="shared" si="0"/>
        <v>0</v>
      </c>
      <c r="D21" s="1969">
        <f t="shared" si="1"/>
        <v>0</v>
      </c>
      <c r="E21" s="1392">
        <f t="shared" si="1"/>
        <v>0</v>
      </c>
      <c r="F21" s="129"/>
      <c r="G21" s="130"/>
      <c r="H21" s="100"/>
      <c r="I21" s="130"/>
      <c r="J21" s="100"/>
      <c r="K21" s="143"/>
      <c r="L21" s="100"/>
      <c r="M21" s="143"/>
      <c r="N21" s="100"/>
      <c r="O21" s="143"/>
      <c r="P21" s="100"/>
      <c r="Q21" s="143"/>
      <c r="R21" s="100"/>
      <c r="S21" s="143"/>
      <c r="T21" s="100"/>
      <c r="U21" s="143"/>
      <c r="V21" s="100"/>
      <c r="W21" s="143"/>
      <c r="X21" s="100"/>
      <c r="Y21" s="143"/>
      <c r="Z21" s="100"/>
      <c r="AA21" s="143"/>
      <c r="AB21" s="100"/>
      <c r="AC21" s="143"/>
      <c r="AD21" s="100"/>
      <c r="AE21" s="143"/>
      <c r="AF21" s="100"/>
      <c r="AG21" s="143"/>
      <c r="AH21" s="100"/>
      <c r="AI21" s="143"/>
      <c r="AJ21" s="100"/>
      <c r="AK21" s="143"/>
      <c r="AL21" s="100"/>
      <c r="AM21" s="237"/>
      <c r="AN21" s="1390"/>
      <c r="AO21" s="91"/>
      <c r="AP21" s="143"/>
      <c r="AQ21" s="91"/>
      <c r="AR21" s="213"/>
      <c r="AS21" s="143"/>
      <c r="AT21" s="213"/>
      <c r="AU21" s="143"/>
      <c r="AV21" s="91"/>
      <c r="AW21" s="91"/>
      <c r="AX21" s="1381" t="str">
        <f t="shared" si="2"/>
        <v/>
      </c>
      <c r="AY21" s="802"/>
      <c r="AZ21" s="802"/>
      <c r="BA21" s="802"/>
      <c r="BB21" s="802"/>
      <c r="BC21" s="802"/>
      <c r="BD21" s="1367"/>
      <c r="BE21" s="1367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1382" t="str">
        <f t="shared" si="3"/>
        <v/>
      </c>
      <c r="CB21" s="1382" t="str">
        <f t="shared" si="4"/>
        <v/>
      </c>
      <c r="CC21" s="1382"/>
      <c r="CD21" s="1382"/>
      <c r="CE21" s="1382"/>
      <c r="CF21" s="1382"/>
      <c r="CG21" s="1383">
        <f t="shared" si="5"/>
        <v>0</v>
      </c>
      <c r="CH21" s="1383">
        <f t="shared" si="6"/>
        <v>0</v>
      </c>
      <c r="CI21" s="1383"/>
      <c r="CJ21" s="1368"/>
      <c r="CK21" s="1368"/>
      <c r="CL21" s="1368"/>
      <c r="CM21" s="1368"/>
      <c r="CN21" s="1368"/>
      <c r="CO21" s="1368"/>
      <c r="CP21" s="1369"/>
      <c r="CQ21" s="1369"/>
      <c r="CR21" s="1369"/>
      <c r="CS21" s="1369"/>
      <c r="CT21" s="1369"/>
      <c r="CU21" s="1369"/>
      <c r="CV21" s="1369"/>
      <c r="CW21" s="1369"/>
      <c r="CX21" s="1369"/>
      <c r="CY21" s="1369"/>
      <c r="CZ21" s="1369"/>
    </row>
    <row r="22" spans="1:104" s="1370" customFormat="1" ht="24" customHeight="1" x14ac:dyDescent="0.2">
      <c r="A22" s="10611"/>
      <c r="B22" s="1391" t="s">
        <v>424</v>
      </c>
      <c r="C22" s="1388">
        <f t="shared" si="0"/>
        <v>0</v>
      </c>
      <c r="D22" s="1969">
        <f t="shared" si="1"/>
        <v>0</v>
      </c>
      <c r="E22" s="1392">
        <f t="shared" si="1"/>
        <v>0</v>
      </c>
      <c r="F22" s="129"/>
      <c r="G22" s="130"/>
      <c r="H22" s="100"/>
      <c r="I22" s="130"/>
      <c r="J22" s="100"/>
      <c r="K22" s="143"/>
      <c r="L22" s="100"/>
      <c r="M22" s="143"/>
      <c r="N22" s="100"/>
      <c r="O22" s="143"/>
      <c r="P22" s="100"/>
      <c r="Q22" s="143"/>
      <c r="R22" s="100"/>
      <c r="S22" s="143"/>
      <c r="T22" s="100"/>
      <c r="U22" s="143"/>
      <c r="V22" s="100"/>
      <c r="W22" s="143"/>
      <c r="X22" s="100"/>
      <c r="Y22" s="143"/>
      <c r="Z22" s="100"/>
      <c r="AA22" s="143"/>
      <c r="AB22" s="100"/>
      <c r="AC22" s="143"/>
      <c r="AD22" s="100"/>
      <c r="AE22" s="143"/>
      <c r="AF22" s="100"/>
      <c r="AG22" s="143"/>
      <c r="AH22" s="100"/>
      <c r="AI22" s="143"/>
      <c r="AJ22" s="100"/>
      <c r="AK22" s="143"/>
      <c r="AL22" s="100"/>
      <c r="AM22" s="237"/>
      <c r="AN22" s="1390"/>
      <c r="AO22" s="91"/>
      <c r="AP22" s="143"/>
      <c r="AQ22" s="91"/>
      <c r="AR22" s="213"/>
      <c r="AS22" s="143"/>
      <c r="AT22" s="213"/>
      <c r="AU22" s="143"/>
      <c r="AV22" s="91"/>
      <c r="AW22" s="91"/>
      <c r="AX22" s="1381" t="str">
        <f t="shared" si="2"/>
        <v/>
      </c>
      <c r="AY22" s="802"/>
      <c r="AZ22" s="802"/>
      <c r="BA22" s="802"/>
      <c r="BB22" s="802"/>
      <c r="BC22" s="802"/>
      <c r="BD22" s="1367"/>
      <c r="BE22" s="1367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1382" t="str">
        <f t="shared" si="3"/>
        <v/>
      </c>
      <c r="CB22" s="1382" t="str">
        <f t="shared" si="4"/>
        <v/>
      </c>
      <c r="CC22" s="1382"/>
      <c r="CD22" s="1382"/>
      <c r="CE22" s="1382"/>
      <c r="CF22" s="1382"/>
      <c r="CG22" s="1383">
        <f t="shared" si="5"/>
        <v>0</v>
      </c>
      <c r="CH22" s="1383">
        <f t="shared" si="6"/>
        <v>0</v>
      </c>
      <c r="CI22" s="1383"/>
      <c r="CJ22" s="1368"/>
      <c r="CK22" s="1368"/>
      <c r="CL22" s="1368"/>
      <c r="CM22" s="1368"/>
      <c r="CN22" s="1368"/>
      <c r="CO22" s="1368"/>
      <c r="CP22" s="1369"/>
      <c r="CQ22" s="1369"/>
      <c r="CR22" s="1369"/>
      <c r="CS22" s="1369"/>
      <c r="CT22" s="1369"/>
      <c r="CU22" s="1369"/>
      <c r="CV22" s="1369"/>
      <c r="CW22" s="1369"/>
      <c r="CX22" s="1369"/>
      <c r="CY22" s="1369"/>
      <c r="CZ22" s="1369"/>
    </row>
    <row r="23" spans="1:104" s="1370" customFormat="1" ht="16.350000000000001" customHeight="1" x14ac:dyDescent="0.2">
      <c r="A23" s="10611"/>
      <c r="B23" s="1391" t="s">
        <v>425</v>
      </c>
      <c r="C23" s="1388">
        <f t="shared" si="0"/>
        <v>0</v>
      </c>
      <c r="D23" s="1969">
        <f t="shared" si="1"/>
        <v>0</v>
      </c>
      <c r="E23" s="1392">
        <f t="shared" si="1"/>
        <v>0</v>
      </c>
      <c r="F23" s="129"/>
      <c r="G23" s="130"/>
      <c r="H23" s="100"/>
      <c r="I23" s="130"/>
      <c r="J23" s="100"/>
      <c r="K23" s="143"/>
      <c r="L23" s="100"/>
      <c r="M23" s="143"/>
      <c r="N23" s="100"/>
      <c r="O23" s="143"/>
      <c r="P23" s="100"/>
      <c r="Q23" s="143"/>
      <c r="R23" s="100"/>
      <c r="S23" s="143"/>
      <c r="T23" s="100"/>
      <c r="U23" s="143"/>
      <c r="V23" s="100"/>
      <c r="W23" s="143"/>
      <c r="X23" s="100"/>
      <c r="Y23" s="143"/>
      <c r="Z23" s="100"/>
      <c r="AA23" s="143"/>
      <c r="AB23" s="100"/>
      <c r="AC23" s="143"/>
      <c r="AD23" s="100"/>
      <c r="AE23" s="143"/>
      <c r="AF23" s="100"/>
      <c r="AG23" s="143"/>
      <c r="AH23" s="100"/>
      <c r="AI23" s="143"/>
      <c r="AJ23" s="100"/>
      <c r="AK23" s="143"/>
      <c r="AL23" s="100"/>
      <c r="AM23" s="237"/>
      <c r="AN23" s="1390"/>
      <c r="AO23" s="91"/>
      <c r="AP23" s="143"/>
      <c r="AQ23" s="91"/>
      <c r="AR23" s="213"/>
      <c r="AS23" s="143"/>
      <c r="AT23" s="213"/>
      <c r="AU23" s="143"/>
      <c r="AV23" s="91"/>
      <c r="AW23" s="91"/>
      <c r="AX23" s="1381" t="str">
        <f t="shared" si="2"/>
        <v/>
      </c>
      <c r="AY23" s="802"/>
      <c r="AZ23" s="802"/>
      <c r="BA23" s="802"/>
      <c r="BB23" s="802"/>
      <c r="BC23" s="802"/>
      <c r="BD23" s="1367"/>
      <c r="BE23" s="1367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1382" t="str">
        <f t="shared" si="3"/>
        <v/>
      </c>
      <c r="CB23" s="1382" t="str">
        <f t="shared" si="4"/>
        <v/>
      </c>
      <c r="CC23" s="1382"/>
      <c r="CD23" s="1382"/>
      <c r="CE23" s="1382"/>
      <c r="CF23" s="1382"/>
      <c r="CG23" s="1383">
        <f t="shared" si="5"/>
        <v>0</v>
      </c>
      <c r="CH23" s="1383">
        <f t="shared" si="6"/>
        <v>0</v>
      </c>
      <c r="CI23" s="1383"/>
      <c r="CJ23" s="1368"/>
      <c r="CK23" s="1368"/>
      <c r="CL23" s="1368"/>
      <c r="CM23" s="1368"/>
      <c r="CN23" s="1368"/>
      <c r="CO23" s="1368"/>
      <c r="CP23" s="1369"/>
      <c r="CQ23" s="1369"/>
      <c r="CR23" s="1369"/>
      <c r="CS23" s="1369"/>
      <c r="CT23" s="1369"/>
      <c r="CU23" s="1369"/>
      <c r="CV23" s="1369"/>
      <c r="CW23" s="1369"/>
      <c r="CX23" s="1369"/>
      <c r="CY23" s="1369"/>
      <c r="CZ23" s="1369"/>
    </row>
    <row r="24" spans="1:104" s="1370" customFormat="1" ht="16.350000000000001" customHeight="1" x14ac:dyDescent="0.2">
      <c r="A24" s="10611"/>
      <c r="B24" s="1391" t="s">
        <v>386</v>
      </c>
      <c r="C24" s="1388">
        <f t="shared" si="0"/>
        <v>0</v>
      </c>
      <c r="D24" s="1969">
        <f t="shared" si="1"/>
        <v>0</v>
      </c>
      <c r="E24" s="1392">
        <f t="shared" si="1"/>
        <v>0</v>
      </c>
      <c r="F24" s="129"/>
      <c r="G24" s="130"/>
      <c r="H24" s="100"/>
      <c r="I24" s="130"/>
      <c r="J24" s="100"/>
      <c r="K24" s="143"/>
      <c r="L24" s="100"/>
      <c r="M24" s="143"/>
      <c r="N24" s="100"/>
      <c r="O24" s="143"/>
      <c r="P24" s="100"/>
      <c r="Q24" s="143"/>
      <c r="R24" s="100"/>
      <c r="S24" s="143"/>
      <c r="T24" s="100"/>
      <c r="U24" s="143"/>
      <c r="V24" s="100"/>
      <c r="W24" s="143"/>
      <c r="X24" s="100"/>
      <c r="Y24" s="143"/>
      <c r="Z24" s="100"/>
      <c r="AA24" s="143"/>
      <c r="AB24" s="100"/>
      <c r="AC24" s="143"/>
      <c r="AD24" s="100"/>
      <c r="AE24" s="143"/>
      <c r="AF24" s="100"/>
      <c r="AG24" s="143"/>
      <c r="AH24" s="100"/>
      <c r="AI24" s="143"/>
      <c r="AJ24" s="100"/>
      <c r="AK24" s="143"/>
      <c r="AL24" s="100"/>
      <c r="AM24" s="237"/>
      <c r="AN24" s="1390"/>
      <c r="AO24" s="91"/>
      <c r="AP24" s="143"/>
      <c r="AQ24" s="91"/>
      <c r="AR24" s="213"/>
      <c r="AS24" s="143"/>
      <c r="AT24" s="213"/>
      <c r="AU24" s="143"/>
      <c r="AV24" s="91"/>
      <c r="AW24" s="91"/>
      <c r="AX24" s="1381" t="str">
        <f t="shared" si="2"/>
        <v/>
      </c>
      <c r="AY24" s="802"/>
      <c r="AZ24" s="802"/>
      <c r="BA24" s="802"/>
      <c r="BB24" s="802"/>
      <c r="BC24" s="802"/>
      <c r="BD24" s="1367"/>
      <c r="BE24" s="1367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1382" t="str">
        <f t="shared" si="3"/>
        <v/>
      </c>
      <c r="CB24" s="1382" t="str">
        <f t="shared" si="4"/>
        <v/>
      </c>
      <c r="CC24" s="1382"/>
      <c r="CD24" s="1382"/>
      <c r="CE24" s="1382"/>
      <c r="CF24" s="1382"/>
      <c r="CG24" s="1383">
        <f t="shared" si="5"/>
        <v>0</v>
      </c>
      <c r="CH24" s="1383">
        <f t="shared" si="6"/>
        <v>0</v>
      </c>
      <c r="CI24" s="1383"/>
      <c r="CJ24" s="1368"/>
      <c r="CK24" s="1368"/>
      <c r="CL24" s="1368"/>
      <c r="CM24" s="1368"/>
      <c r="CN24" s="1368"/>
      <c r="CO24" s="1368"/>
      <c r="CP24" s="1369"/>
      <c r="CQ24" s="1369"/>
      <c r="CR24" s="1369"/>
      <c r="CS24" s="1369"/>
      <c r="CT24" s="1369"/>
      <c r="CU24" s="1369"/>
      <c r="CV24" s="1369"/>
      <c r="CW24" s="1369"/>
      <c r="CX24" s="1369"/>
      <c r="CY24" s="1369"/>
      <c r="CZ24" s="1369"/>
    </row>
    <row r="25" spans="1:104" s="1370" customFormat="1" ht="16.350000000000001" customHeight="1" x14ac:dyDescent="0.2">
      <c r="A25" s="10611"/>
      <c r="B25" s="1391" t="s">
        <v>451</v>
      </c>
      <c r="C25" s="1388">
        <f t="shared" si="0"/>
        <v>0</v>
      </c>
      <c r="D25" s="1971">
        <f t="shared" si="1"/>
        <v>0</v>
      </c>
      <c r="E25" s="1394">
        <f t="shared" si="1"/>
        <v>0</v>
      </c>
      <c r="F25" s="110"/>
      <c r="G25" s="122"/>
      <c r="H25" s="136"/>
      <c r="I25" s="122"/>
      <c r="J25" s="136"/>
      <c r="K25" s="144"/>
      <c r="L25" s="136"/>
      <c r="M25" s="144"/>
      <c r="N25" s="136"/>
      <c r="O25" s="144"/>
      <c r="P25" s="136"/>
      <c r="Q25" s="144"/>
      <c r="R25" s="136"/>
      <c r="S25" s="144"/>
      <c r="T25" s="136"/>
      <c r="U25" s="144"/>
      <c r="V25" s="136"/>
      <c r="W25" s="144"/>
      <c r="X25" s="136"/>
      <c r="Y25" s="144"/>
      <c r="Z25" s="136"/>
      <c r="AA25" s="144"/>
      <c r="AB25" s="136"/>
      <c r="AC25" s="144"/>
      <c r="AD25" s="136"/>
      <c r="AE25" s="144"/>
      <c r="AF25" s="136"/>
      <c r="AG25" s="144"/>
      <c r="AH25" s="136"/>
      <c r="AI25" s="144"/>
      <c r="AJ25" s="136"/>
      <c r="AK25" s="144"/>
      <c r="AL25" s="136"/>
      <c r="AM25" s="236"/>
      <c r="AN25" s="1395"/>
      <c r="AO25" s="123"/>
      <c r="AP25" s="144"/>
      <c r="AQ25" s="123"/>
      <c r="AR25" s="241"/>
      <c r="AS25" s="144"/>
      <c r="AT25" s="241"/>
      <c r="AU25" s="144"/>
      <c r="AV25" s="123"/>
      <c r="AW25" s="123"/>
      <c r="AX25" s="1381" t="str">
        <f t="shared" si="2"/>
        <v/>
      </c>
      <c r="AY25" s="802"/>
      <c r="AZ25" s="802"/>
      <c r="BA25" s="802"/>
      <c r="BB25" s="802"/>
      <c r="BC25" s="802"/>
      <c r="BD25" s="1367"/>
      <c r="BE25" s="1367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1382" t="str">
        <f t="shared" si="3"/>
        <v/>
      </c>
      <c r="CB25" s="1382" t="str">
        <f t="shared" si="4"/>
        <v/>
      </c>
      <c r="CC25" s="1382"/>
      <c r="CD25" s="1382"/>
      <c r="CE25" s="1382"/>
      <c r="CF25" s="1382"/>
      <c r="CG25" s="1383">
        <f t="shared" si="5"/>
        <v>0</v>
      </c>
      <c r="CH25" s="1383">
        <f t="shared" si="6"/>
        <v>0</v>
      </c>
      <c r="CI25" s="1383"/>
      <c r="CJ25" s="1368"/>
      <c r="CK25" s="1368"/>
      <c r="CL25" s="1368"/>
      <c r="CM25" s="1368"/>
      <c r="CN25" s="1368"/>
      <c r="CO25" s="1368"/>
      <c r="CP25" s="1369"/>
      <c r="CQ25" s="1369"/>
      <c r="CR25" s="1369"/>
      <c r="CS25" s="1369"/>
      <c r="CT25" s="1369"/>
      <c r="CU25" s="1369"/>
      <c r="CV25" s="1369"/>
      <c r="CW25" s="1369"/>
      <c r="CX25" s="1369"/>
      <c r="CY25" s="1369"/>
      <c r="CZ25" s="1369"/>
    </row>
    <row r="26" spans="1:104" s="1370" customFormat="1" ht="16.350000000000001" customHeight="1" x14ac:dyDescent="0.2">
      <c r="A26" s="10611"/>
      <c r="B26" s="1396" t="s">
        <v>434</v>
      </c>
      <c r="C26" s="1388">
        <f t="shared" si="0"/>
        <v>0</v>
      </c>
      <c r="D26" s="1971">
        <f t="shared" si="1"/>
        <v>0</v>
      </c>
      <c r="E26" s="1394">
        <f t="shared" si="1"/>
        <v>0</v>
      </c>
      <c r="F26" s="110"/>
      <c r="G26" s="122"/>
      <c r="H26" s="136"/>
      <c r="I26" s="122"/>
      <c r="J26" s="136"/>
      <c r="K26" s="144"/>
      <c r="L26" s="136"/>
      <c r="M26" s="144"/>
      <c r="N26" s="136"/>
      <c r="O26" s="144"/>
      <c r="P26" s="136"/>
      <c r="Q26" s="144"/>
      <c r="R26" s="136"/>
      <c r="S26" s="144"/>
      <c r="T26" s="136"/>
      <c r="U26" s="144"/>
      <c r="V26" s="136"/>
      <c r="W26" s="144"/>
      <c r="X26" s="136"/>
      <c r="Y26" s="144"/>
      <c r="Z26" s="136"/>
      <c r="AA26" s="144"/>
      <c r="AB26" s="136"/>
      <c r="AC26" s="144"/>
      <c r="AD26" s="136"/>
      <c r="AE26" s="144"/>
      <c r="AF26" s="136"/>
      <c r="AG26" s="144"/>
      <c r="AH26" s="136"/>
      <c r="AI26" s="144"/>
      <c r="AJ26" s="136"/>
      <c r="AK26" s="144"/>
      <c r="AL26" s="136"/>
      <c r="AM26" s="236"/>
      <c r="AN26" s="1395"/>
      <c r="AO26" s="123"/>
      <c r="AP26" s="144"/>
      <c r="AQ26" s="123"/>
      <c r="AR26" s="241"/>
      <c r="AS26" s="144"/>
      <c r="AT26" s="241"/>
      <c r="AU26" s="144"/>
      <c r="AV26" s="123"/>
      <c r="AW26" s="123"/>
      <c r="AX26" s="1381" t="str">
        <f t="shared" si="2"/>
        <v/>
      </c>
      <c r="AY26" s="802"/>
      <c r="AZ26" s="802"/>
      <c r="BA26" s="802"/>
      <c r="BB26" s="802"/>
      <c r="BC26" s="802"/>
      <c r="BD26" s="1367"/>
      <c r="BE26" s="1367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1382" t="str">
        <f t="shared" si="3"/>
        <v/>
      </c>
      <c r="CB26" s="1382" t="str">
        <f t="shared" si="4"/>
        <v/>
      </c>
      <c r="CC26" s="1382"/>
      <c r="CD26" s="1382"/>
      <c r="CE26" s="1382"/>
      <c r="CF26" s="1382"/>
      <c r="CG26" s="1383">
        <f t="shared" si="5"/>
        <v>0</v>
      </c>
      <c r="CH26" s="1383">
        <f t="shared" si="6"/>
        <v>0</v>
      </c>
      <c r="CI26" s="1383"/>
      <c r="CJ26" s="1368"/>
      <c r="CK26" s="1368"/>
      <c r="CL26" s="1368"/>
      <c r="CM26" s="1368"/>
      <c r="CN26" s="1368"/>
      <c r="CO26" s="1368"/>
      <c r="CP26" s="1369"/>
      <c r="CQ26" s="1369"/>
      <c r="CR26" s="1369"/>
      <c r="CS26" s="1369"/>
      <c r="CT26" s="1369"/>
      <c r="CU26" s="1369"/>
      <c r="CV26" s="1369"/>
      <c r="CW26" s="1369"/>
      <c r="CX26" s="1369"/>
      <c r="CY26" s="1369"/>
      <c r="CZ26" s="1369"/>
    </row>
    <row r="27" spans="1:104" s="1370" customFormat="1" ht="16.350000000000001" customHeight="1" x14ac:dyDescent="0.2">
      <c r="A27" s="10611"/>
      <c r="B27" s="1384" t="s">
        <v>385</v>
      </c>
      <c r="C27" s="1388">
        <f t="shared" si="0"/>
        <v>0</v>
      </c>
      <c r="D27" s="1971">
        <f t="shared" si="1"/>
        <v>0</v>
      </c>
      <c r="E27" s="1394">
        <f t="shared" si="1"/>
        <v>0</v>
      </c>
      <c r="F27" s="110"/>
      <c r="G27" s="122"/>
      <c r="H27" s="136"/>
      <c r="I27" s="122"/>
      <c r="J27" s="136"/>
      <c r="K27" s="144"/>
      <c r="L27" s="136"/>
      <c r="M27" s="144"/>
      <c r="N27" s="136"/>
      <c r="O27" s="144"/>
      <c r="P27" s="136"/>
      <c r="Q27" s="144"/>
      <c r="R27" s="136"/>
      <c r="S27" s="144"/>
      <c r="T27" s="136"/>
      <c r="U27" s="144"/>
      <c r="V27" s="136"/>
      <c r="W27" s="144"/>
      <c r="X27" s="136"/>
      <c r="Y27" s="144"/>
      <c r="Z27" s="136"/>
      <c r="AA27" s="144"/>
      <c r="AB27" s="136"/>
      <c r="AC27" s="144"/>
      <c r="AD27" s="136"/>
      <c r="AE27" s="144"/>
      <c r="AF27" s="136"/>
      <c r="AG27" s="144"/>
      <c r="AH27" s="136"/>
      <c r="AI27" s="144"/>
      <c r="AJ27" s="136"/>
      <c r="AK27" s="144"/>
      <c r="AL27" s="136"/>
      <c r="AM27" s="236"/>
      <c r="AN27" s="1395"/>
      <c r="AO27" s="123"/>
      <c r="AP27" s="144"/>
      <c r="AQ27" s="123"/>
      <c r="AR27" s="241"/>
      <c r="AS27" s="144"/>
      <c r="AT27" s="241"/>
      <c r="AU27" s="144"/>
      <c r="AV27" s="123"/>
      <c r="AW27" s="123"/>
      <c r="AX27" s="1381" t="str">
        <f t="shared" si="2"/>
        <v/>
      </c>
      <c r="AY27" s="802"/>
      <c r="AZ27" s="802"/>
      <c r="BA27" s="802"/>
      <c r="BB27" s="802"/>
      <c r="BC27" s="802"/>
      <c r="BD27" s="1367"/>
      <c r="BE27" s="1367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1382" t="str">
        <f t="shared" si="3"/>
        <v/>
      </c>
      <c r="CB27" s="1382" t="str">
        <f t="shared" si="4"/>
        <v/>
      </c>
      <c r="CC27" s="1382"/>
      <c r="CD27" s="1382"/>
      <c r="CE27" s="1382"/>
      <c r="CF27" s="1382"/>
      <c r="CG27" s="1383">
        <f t="shared" si="5"/>
        <v>0</v>
      </c>
      <c r="CH27" s="1383">
        <f t="shared" si="6"/>
        <v>0</v>
      </c>
      <c r="CI27" s="1383"/>
      <c r="CJ27" s="1368"/>
      <c r="CK27" s="1368"/>
      <c r="CL27" s="1368"/>
      <c r="CM27" s="1368"/>
      <c r="CN27" s="1368"/>
      <c r="CO27" s="1368"/>
      <c r="CP27" s="1369"/>
      <c r="CQ27" s="1369"/>
      <c r="CR27" s="1369"/>
      <c r="CS27" s="1369"/>
      <c r="CT27" s="1369"/>
      <c r="CU27" s="1369"/>
      <c r="CV27" s="1369"/>
      <c r="CW27" s="1369"/>
      <c r="CX27" s="1369"/>
      <c r="CY27" s="1369"/>
      <c r="CZ27" s="1369"/>
    </row>
    <row r="28" spans="1:104" s="1370" customFormat="1" ht="16.350000000000001" customHeight="1" x14ac:dyDescent="0.2">
      <c r="A28" s="10611"/>
      <c r="B28" s="1397" t="s">
        <v>384</v>
      </c>
      <c r="C28" s="1388">
        <f t="shared" si="0"/>
        <v>0</v>
      </c>
      <c r="D28" s="1971">
        <f t="shared" si="1"/>
        <v>0</v>
      </c>
      <c r="E28" s="1394">
        <f t="shared" si="1"/>
        <v>0</v>
      </c>
      <c r="F28" s="110"/>
      <c r="G28" s="122"/>
      <c r="H28" s="136"/>
      <c r="I28" s="122"/>
      <c r="J28" s="136"/>
      <c r="K28" s="144"/>
      <c r="L28" s="136"/>
      <c r="M28" s="144"/>
      <c r="N28" s="136"/>
      <c r="O28" s="144"/>
      <c r="P28" s="136"/>
      <c r="Q28" s="144"/>
      <c r="R28" s="136"/>
      <c r="S28" s="144"/>
      <c r="T28" s="136"/>
      <c r="U28" s="144"/>
      <c r="V28" s="136"/>
      <c r="W28" s="144"/>
      <c r="X28" s="136"/>
      <c r="Y28" s="144"/>
      <c r="Z28" s="136"/>
      <c r="AA28" s="144"/>
      <c r="AB28" s="136"/>
      <c r="AC28" s="144"/>
      <c r="AD28" s="136"/>
      <c r="AE28" s="144"/>
      <c r="AF28" s="136"/>
      <c r="AG28" s="144"/>
      <c r="AH28" s="136"/>
      <c r="AI28" s="144"/>
      <c r="AJ28" s="136"/>
      <c r="AK28" s="144"/>
      <c r="AL28" s="136"/>
      <c r="AM28" s="236"/>
      <c r="AN28" s="1395"/>
      <c r="AO28" s="123"/>
      <c r="AP28" s="144"/>
      <c r="AQ28" s="123"/>
      <c r="AR28" s="241"/>
      <c r="AS28" s="144"/>
      <c r="AT28" s="241"/>
      <c r="AU28" s="144"/>
      <c r="AV28" s="123"/>
      <c r="AW28" s="123"/>
      <c r="AX28" s="1381" t="str">
        <f t="shared" si="2"/>
        <v/>
      </c>
      <c r="AY28" s="802"/>
      <c r="AZ28" s="802"/>
      <c r="BA28" s="802"/>
      <c r="BB28" s="802"/>
      <c r="BC28" s="802"/>
      <c r="BD28" s="1367"/>
      <c r="BE28" s="1367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1382" t="str">
        <f t="shared" si="3"/>
        <v/>
      </c>
      <c r="CB28" s="1382" t="str">
        <f t="shared" si="4"/>
        <v/>
      </c>
      <c r="CC28" s="1382"/>
      <c r="CD28" s="1382"/>
      <c r="CE28" s="1382"/>
      <c r="CF28" s="1382"/>
      <c r="CG28" s="1383">
        <f t="shared" si="5"/>
        <v>0</v>
      </c>
      <c r="CH28" s="1383">
        <f t="shared" si="6"/>
        <v>0</v>
      </c>
      <c r="CI28" s="1383"/>
      <c r="CJ28" s="1368"/>
      <c r="CK28" s="1368"/>
      <c r="CL28" s="1368"/>
      <c r="CM28" s="1368"/>
      <c r="CN28" s="1368"/>
      <c r="CO28" s="1368"/>
      <c r="CP28" s="1369"/>
      <c r="CQ28" s="1369"/>
      <c r="CR28" s="1369"/>
      <c r="CS28" s="1369"/>
      <c r="CT28" s="1369"/>
      <c r="CU28" s="1369"/>
      <c r="CV28" s="1369"/>
      <c r="CW28" s="1369"/>
      <c r="CX28" s="1369"/>
      <c r="CY28" s="1369"/>
      <c r="CZ28" s="1369"/>
    </row>
    <row r="29" spans="1:104" s="1370" customFormat="1" ht="16.350000000000001" customHeight="1" x14ac:dyDescent="0.2">
      <c r="A29" s="10613"/>
      <c r="B29" s="1384" t="s">
        <v>371</v>
      </c>
      <c r="C29" s="3785">
        <f t="shared" si="0"/>
        <v>0</v>
      </c>
      <c r="D29" s="1971">
        <f t="shared" si="1"/>
        <v>0</v>
      </c>
      <c r="E29" s="1398">
        <f t="shared" si="1"/>
        <v>0</v>
      </c>
      <c r="F29" s="110"/>
      <c r="G29" s="122"/>
      <c r="H29" s="136"/>
      <c r="I29" s="122"/>
      <c r="J29" s="136"/>
      <c r="K29" s="144"/>
      <c r="L29" s="136"/>
      <c r="M29" s="144"/>
      <c r="N29" s="136"/>
      <c r="O29" s="144"/>
      <c r="P29" s="136"/>
      <c r="Q29" s="144"/>
      <c r="R29" s="136"/>
      <c r="S29" s="144"/>
      <c r="T29" s="136"/>
      <c r="U29" s="144"/>
      <c r="V29" s="136"/>
      <c r="W29" s="144"/>
      <c r="X29" s="136"/>
      <c r="Y29" s="144"/>
      <c r="Z29" s="136"/>
      <c r="AA29" s="144"/>
      <c r="AB29" s="136"/>
      <c r="AC29" s="144"/>
      <c r="AD29" s="136"/>
      <c r="AE29" s="144"/>
      <c r="AF29" s="136"/>
      <c r="AG29" s="144"/>
      <c r="AH29" s="136"/>
      <c r="AI29" s="144"/>
      <c r="AJ29" s="136"/>
      <c r="AK29" s="144"/>
      <c r="AL29" s="136"/>
      <c r="AM29" s="254"/>
      <c r="AN29" s="1395"/>
      <c r="AO29" s="123"/>
      <c r="AP29" s="144"/>
      <c r="AQ29" s="123"/>
      <c r="AR29" s="241"/>
      <c r="AS29" s="144"/>
      <c r="AT29" s="241"/>
      <c r="AU29" s="144"/>
      <c r="AV29" s="123"/>
      <c r="AW29" s="123"/>
      <c r="AX29" s="1381" t="str">
        <f t="shared" si="2"/>
        <v/>
      </c>
      <c r="AY29" s="802"/>
      <c r="AZ29" s="802"/>
      <c r="BA29" s="802"/>
      <c r="BB29" s="802"/>
      <c r="BC29" s="802"/>
      <c r="BD29" s="1367"/>
      <c r="BE29" s="1367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1382" t="str">
        <f>IF(CG29=1,"* No olvide digitar la columna Beneficiarios y/o Pueblos Originario y/o Migrantes y/o Población SENAME (Digite Cero si no tiene). ","")</f>
        <v/>
      </c>
      <c r="CB29" s="1382" t="str">
        <f>IF(CH29=1,"* El número de Beneficiarios y/o Pueblos Originarios y/o Migrantes y/o Población SENAME NO DEBE ser mayor que el Total.","")</f>
        <v/>
      </c>
      <c r="CC29" s="1382"/>
      <c r="CD29" s="1382"/>
      <c r="CE29" s="1382"/>
      <c r="CF29" s="1382"/>
      <c r="CG29" s="1383">
        <f>IF(AND(C29&lt;&gt;0,OR(AO29="",AP29="",AQ29="",AR29="")),1,0)</f>
        <v>0</v>
      </c>
      <c r="CH29" s="1383">
        <f>IF(OR(C29&lt;AO29,C29&lt;AP29,C29&lt;AQ29,C29&lt;AR29),1,0)</f>
        <v>0</v>
      </c>
      <c r="CI29" s="1383"/>
      <c r="CJ29" s="1368"/>
      <c r="CK29" s="1368"/>
      <c r="CL29" s="1368"/>
      <c r="CM29" s="1368"/>
      <c r="CN29" s="1368"/>
      <c r="CO29" s="1368"/>
      <c r="CP29" s="1369"/>
      <c r="CQ29" s="1369"/>
      <c r="CR29" s="1369"/>
      <c r="CS29" s="1369"/>
      <c r="CT29" s="1369"/>
      <c r="CU29" s="1369"/>
      <c r="CV29" s="1369"/>
      <c r="CW29" s="1369"/>
      <c r="CX29" s="1369"/>
      <c r="CY29" s="1369"/>
      <c r="CZ29" s="1369"/>
    </row>
    <row r="30" spans="1:104" s="1370" customFormat="1" ht="21.75" customHeight="1" x14ac:dyDescent="0.2">
      <c r="A30" s="10614" t="s">
        <v>44</v>
      </c>
      <c r="B30" s="10625"/>
      <c r="C30" s="3786">
        <f t="shared" si="0"/>
        <v>0</v>
      </c>
      <c r="D30" s="1967">
        <f>+F30+H30+J30+L30+N30+P30+R30+T30+V30+X30+Z30+AB30+AD30+AF30+AH30+AJ30+AL30</f>
        <v>0</v>
      </c>
      <c r="E30" s="1360">
        <f>+G30+I30+K30+M30+O30+Q30+S30+U30+W30+Y30+AA30+AC30+AE30+AG30+AI30+AK30+AM30</f>
        <v>0</v>
      </c>
      <c r="F30" s="482">
        <f>SUM(F14:F29)</f>
        <v>0</v>
      </c>
      <c r="G30" s="492">
        <f>SUM(G14:G29)</f>
        <v>0</v>
      </c>
      <c r="H30" s="482">
        <f t="shared" ref="H30:AW30" si="7">SUM(H14:H29)</f>
        <v>0</v>
      </c>
      <c r="I30" s="492">
        <f t="shared" si="7"/>
        <v>0</v>
      </c>
      <c r="J30" s="482">
        <f t="shared" si="7"/>
        <v>0</v>
      </c>
      <c r="K30" s="492">
        <f t="shared" si="7"/>
        <v>0</v>
      </c>
      <c r="L30" s="482">
        <f t="shared" si="7"/>
        <v>0</v>
      </c>
      <c r="M30" s="492">
        <f t="shared" si="7"/>
        <v>0</v>
      </c>
      <c r="N30" s="482">
        <f t="shared" si="7"/>
        <v>0</v>
      </c>
      <c r="O30" s="492">
        <f t="shared" si="7"/>
        <v>0</v>
      </c>
      <c r="P30" s="482">
        <f t="shared" si="7"/>
        <v>0</v>
      </c>
      <c r="Q30" s="492">
        <f t="shared" si="7"/>
        <v>0</v>
      </c>
      <c r="R30" s="482">
        <f t="shared" si="7"/>
        <v>0</v>
      </c>
      <c r="S30" s="492">
        <f t="shared" si="7"/>
        <v>0</v>
      </c>
      <c r="T30" s="482">
        <f t="shared" si="7"/>
        <v>0</v>
      </c>
      <c r="U30" s="492">
        <f t="shared" si="7"/>
        <v>0</v>
      </c>
      <c r="V30" s="482">
        <f t="shared" si="7"/>
        <v>0</v>
      </c>
      <c r="W30" s="492">
        <f t="shared" si="7"/>
        <v>0</v>
      </c>
      <c r="X30" s="482">
        <f t="shared" si="7"/>
        <v>0</v>
      </c>
      <c r="Y30" s="492">
        <f t="shared" si="7"/>
        <v>0</v>
      </c>
      <c r="Z30" s="482">
        <f t="shared" si="7"/>
        <v>0</v>
      </c>
      <c r="AA30" s="492">
        <f t="shared" si="7"/>
        <v>0</v>
      </c>
      <c r="AB30" s="482">
        <f t="shared" si="7"/>
        <v>0</v>
      </c>
      <c r="AC30" s="492">
        <f t="shared" si="7"/>
        <v>0</v>
      </c>
      <c r="AD30" s="482">
        <f t="shared" si="7"/>
        <v>0</v>
      </c>
      <c r="AE30" s="492">
        <f t="shared" si="7"/>
        <v>0</v>
      </c>
      <c r="AF30" s="482">
        <f t="shared" si="7"/>
        <v>0</v>
      </c>
      <c r="AG30" s="492">
        <f t="shared" si="7"/>
        <v>0</v>
      </c>
      <c r="AH30" s="482">
        <f t="shared" si="7"/>
        <v>0</v>
      </c>
      <c r="AI30" s="492">
        <f t="shared" si="7"/>
        <v>0</v>
      </c>
      <c r="AJ30" s="482">
        <f t="shared" si="7"/>
        <v>0</v>
      </c>
      <c r="AK30" s="492">
        <f t="shared" si="7"/>
        <v>0</v>
      </c>
      <c r="AL30" s="482">
        <f>SUM(AL14:AL29)</f>
        <v>0</v>
      </c>
      <c r="AM30" s="246">
        <f t="shared" si="7"/>
        <v>0</v>
      </c>
      <c r="AN30" s="1399">
        <f t="shared" si="7"/>
        <v>0</v>
      </c>
      <c r="AO30" s="480">
        <f t="shared" si="7"/>
        <v>0</v>
      </c>
      <c r="AP30" s="1360">
        <f t="shared" si="7"/>
        <v>0</v>
      </c>
      <c r="AQ30" s="480">
        <f t="shared" si="7"/>
        <v>0</v>
      </c>
      <c r="AR30" s="1400">
        <f t="shared" si="7"/>
        <v>0</v>
      </c>
      <c r="AS30" s="1360">
        <f t="shared" si="7"/>
        <v>0</v>
      </c>
      <c r="AT30" s="1400">
        <f t="shared" si="7"/>
        <v>0</v>
      </c>
      <c r="AU30" s="1360">
        <f t="shared" si="7"/>
        <v>0</v>
      </c>
      <c r="AV30" s="480">
        <f>SUM(AV14:AV29)</f>
        <v>0</v>
      </c>
      <c r="AW30" s="480">
        <f t="shared" si="7"/>
        <v>0</v>
      </c>
      <c r="AX30" s="1367"/>
      <c r="AY30" s="1367"/>
      <c r="AZ30" s="1367"/>
      <c r="BA30" s="1367"/>
      <c r="BB30" s="1367"/>
      <c r="BC30" s="1367"/>
      <c r="BD30" s="1367"/>
      <c r="BE30" s="1367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1368"/>
      <c r="CB30" s="1368"/>
      <c r="CC30" s="1368"/>
      <c r="CD30" s="1368"/>
      <c r="CE30" s="1368"/>
      <c r="CF30" s="1368"/>
      <c r="CG30" s="1377"/>
      <c r="CH30" s="1377"/>
      <c r="CI30" s="1368"/>
      <c r="CJ30" s="1368"/>
      <c r="CK30" s="1368"/>
      <c r="CL30" s="1368"/>
      <c r="CM30" s="1368"/>
      <c r="CN30" s="1368"/>
      <c r="CO30" s="1368"/>
      <c r="CP30" s="1369"/>
      <c r="CQ30" s="1369"/>
      <c r="CR30" s="1369"/>
      <c r="CS30" s="1369"/>
      <c r="CT30" s="1369"/>
      <c r="CU30" s="1369"/>
      <c r="CV30" s="1369"/>
      <c r="CW30" s="1369"/>
      <c r="CX30" s="1369"/>
      <c r="CY30" s="1369"/>
      <c r="CZ30" s="1369"/>
    </row>
    <row r="31" spans="1:104" ht="32.1" customHeight="1" x14ac:dyDescent="0.25">
      <c r="A31" s="1366" t="s">
        <v>2068</v>
      </c>
      <c r="B31" s="1363"/>
      <c r="C31" s="1363"/>
      <c r="D31" s="1363"/>
      <c r="E31" s="1363"/>
      <c r="F31" s="1363"/>
      <c r="G31" s="1363"/>
      <c r="H31" s="1363"/>
      <c r="I31" s="1363"/>
      <c r="J31" s="1363"/>
      <c r="K31" s="1363"/>
      <c r="L31" s="1363"/>
      <c r="M31" s="1363"/>
      <c r="N31" s="1363"/>
      <c r="O31" s="1363"/>
      <c r="P31" s="1363"/>
      <c r="Q31" s="1363"/>
      <c r="R31" s="1363"/>
      <c r="S31" s="1363"/>
      <c r="T31" s="1363"/>
      <c r="U31" s="1363"/>
      <c r="V31" s="1363"/>
      <c r="W31" s="1363"/>
      <c r="X31" s="1363"/>
      <c r="Y31" s="1363"/>
      <c r="Z31" s="1363"/>
      <c r="AA31" s="1363"/>
      <c r="AB31" s="1363"/>
      <c r="AC31" s="1363"/>
      <c r="AD31" s="1363"/>
      <c r="AE31" s="1363"/>
      <c r="AF31" s="1363"/>
      <c r="AG31" s="1363"/>
      <c r="AH31" s="1363"/>
      <c r="AI31" s="1363"/>
      <c r="AJ31" s="1363"/>
      <c r="AK31" s="1363"/>
      <c r="AL31" s="1363"/>
      <c r="AM31" s="1363"/>
      <c r="AN31" s="1363"/>
      <c r="AO31" s="1363"/>
      <c r="AP31" s="1401"/>
      <c r="AQ31" s="1401"/>
      <c r="AR31" s="1401"/>
      <c r="AS31" s="1401"/>
      <c r="AT31" s="1401"/>
      <c r="AU31" s="1401"/>
      <c r="AV31" s="1401"/>
      <c r="AW31" s="1401"/>
      <c r="AX31" s="1401"/>
      <c r="AY31" s="1401"/>
      <c r="AZ31" s="1401"/>
      <c r="BA31" s="1401"/>
      <c r="BB31" s="1401"/>
      <c r="BC31" s="1401"/>
      <c r="BD31" s="1401"/>
      <c r="BE31" s="1401"/>
      <c r="BF31" s="1363"/>
      <c r="BG31" s="1363"/>
      <c r="BH31" s="1363"/>
      <c r="BI31" s="1363"/>
      <c r="BJ31" s="1363"/>
      <c r="BK31" s="1363"/>
      <c r="BL31" s="1363"/>
      <c r="BM31" s="1363"/>
      <c r="BN31" s="1363"/>
      <c r="BO31" s="1363"/>
      <c r="BP31" s="1363"/>
      <c r="BQ31" s="1363"/>
      <c r="BR31" s="1363"/>
      <c r="BS31" s="1363"/>
      <c r="BT31" s="1363"/>
      <c r="BU31" s="1363"/>
      <c r="BV31" s="1363"/>
      <c r="BW31" s="1363"/>
      <c r="BX31" s="1363"/>
      <c r="BY31" s="1363"/>
      <c r="BZ31" s="1363"/>
      <c r="CA31" s="1362"/>
      <c r="CB31" s="1362"/>
      <c r="CC31" s="1362"/>
      <c r="CD31" s="1362"/>
      <c r="CE31" s="1362"/>
      <c r="CF31" s="1362"/>
      <c r="CG31" s="1402"/>
      <c r="CH31" s="1402"/>
      <c r="CI31" s="1362"/>
      <c r="CJ31" s="1362"/>
      <c r="CK31" s="1362"/>
      <c r="CL31" s="1362"/>
      <c r="CM31" s="1362"/>
      <c r="CN31" s="1362"/>
      <c r="CO31" s="1362"/>
    </row>
    <row r="32" spans="1:104" ht="16.350000000000001" customHeight="1" x14ac:dyDescent="0.25">
      <c r="A32" s="10622" t="s">
        <v>367</v>
      </c>
      <c r="B32" s="10622" t="s">
        <v>44</v>
      </c>
      <c r="C32" s="10634" t="s">
        <v>368</v>
      </c>
      <c r="D32" s="10643" t="s">
        <v>369</v>
      </c>
      <c r="E32" s="10639" t="s">
        <v>370</v>
      </c>
      <c r="F32" s="10641" t="s">
        <v>383</v>
      </c>
      <c r="G32" s="10615"/>
      <c r="H32" s="10615"/>
      <c r="I32" s="10615"/>
      <c r="J32" s="10615"/>
      <c r="K32" s="10615"/>
      <c r="L32" s="10615"/>
      <c r="M32" s="10615"/>
      <c r="N32" s="10615"/>
      <c r="O32" s="10615"/>
      <c r="P32" s="10615"/>
      <c r="Q32" s="10615"/>
      <c r="R32" s="10615"/>
      <c r="S32" s="10615"/>
      <c r="T32" s="10615"/>
      <c r="U32" s="10615"/>
      <c r="V32" s="10615"/>
      <c r="W32" s="10615"/>
      <c r="X32" s="10615"/>
      <c r="Y32" s="10615"/>
      <c r="Z32" s="10615"/>
      <c r="AA32" s="10615"/>
      <c r="AB32" s="10615"/>
      <c r="AC32" s="10615"/>
      <c r="AD32" s="10615"/>
      <c r="AE32" s="10615"/>
      <c r="AF32" s="10642"/>
      <c r="AG32" s="1401"/>
      <c r="AH32" s="1401"/>
      <c r="AI32" s="1401"/>
      <c r="AJ32" s="1401"/>
      <c r="AK32" s="1401"/>
      <c r="AL32" s="1401"/>
      <c r="AM32" s="1401"/>
      <c r="AN32" s="1401"/>
      <c r="AO32" s="1401"/>
      <c r="AP32" s="1401"/>
      <c r="AQ32" s="1401"/>
      <c r="AR32" s="1401"/>
      <c r="AS32" s="1401"/>
      <c r="AT32" s="1401"/>
      <c r="AU32" s="1401"/>
      <c r="AV32" s="1401"/>
      <c r="AW32" s="1363"/>
      <c r="AX32" s="1363"/>
      <c r="AY32" s="1363"/>
      <c r="AZ32" s="1363"/>
      <c r="BA32" s="1363"/>
      <c r="BB32" s="1363"/>
      <c r="BC32" s="1363"/>
      <c r="BD32" s="1363"/>
      <c r="BE32" s="1363"/>
      <c r="BF32" s="1363"/>
      <c r="BG32" s="1363"/>
      <c r="BH32" s="1363"/>
      <c r="BI32" s="1363"/>
      <c r="BJ32" s="1363"/>
      <c r="BK32" s="1363"/>
      <c r="BL32" s="1363"/>
      <c r="BR32" s="1363"/>
      <c r="BS32" s="1363"/>
      <c r="BT32" s="1363"/>
      <c r="BU32" s="1363"/>
      <c r="BV32" s="1363"/>
      <c r="CA32" s="1362"/>
      <c r="CB32" s="1362"/>
      <c r="CC32" s="1362"/>
      <c r="CD32" s="1362"/>
      <c r="CE32" s="1362"/>
      <c r="CF32" s="1362"/>
      <c r="CG32" s="1402"/>
      <c r="CH32" s="1402"/>
      <c r="CI32" s="1362"/>
      <c r="CJ32" s="1362"/>
      <c r="CK32" s="1362"/>
      <c r="CL32" s="1362"/>
      <c r="CM32" s="1362"/>
      <c r="CN32" s="1362"/>
      <c r="CO32" s="1362"/>
    </row>
    <row r="33" spans="1:93" ht="44.25" customHeight="1" x14ac:dyDescent="0.25">
      <c r="A33" s="10624"/>
      <c r="B33" s="10624"/>
      <c r="C33" s="10635"/>
      <c r="D33" s="10644"/>
      <c r="E33" s="10640"/>
      <c r="F33" s="1403" t="s">
        <v>420</v>
      </c>
      <c r="G33" s="1404" t="s">
        <v>429</v>
      </c>
      <c r="H33" s="1404" t="s">
        <v>421</v>
      </c>
      <c r="I33" s="1404" t="s">
        <v>430</v>
      </c>
      <c r="J33" s="1405" t="s">
        <v>388</v>
      </c>
      <c r="K33" s="1404" t="s">
        <v>599</v>
      </c>
      <c r="L33" s="1406" t="s">
        <v>431</v>
      </c>
      <c r="M33" s="1404" t="s">
        <v>645</v>
      </c>
      <c r="N33" s="1404" t="s">
        <v>423</v>
      </c>
      <c r="O33" s="1404" t="s">
        <v>424</v>
      </c>
      <c r="P33" s="1407" t="s">
        <v>432</v>
      </c>
      <c r="Q33" s="1408" t="s">
        <v>425</v>
      </c>
      <c r="R33" s="1404" t="s">
        <v>386</v>
      </c>
      <c r="S33" s="1406" t="s">
        <v>433</v>
      </c>
      <c r="T33" s="1409" t="s">
        <v>434</v>
      </c>
      <c r="U33" s="1375" t="s">
        <v>435</v>
      </c>
      <c r="V33" s="1409" t="s">
        <v>609</v>
      </c>
      <c r="W33" s="1409" t="s">
        <v>385</v>
      </c>
      <c r="X33" s="1406" t="s">
        <v>384</v>
      </c>
      <c r="Y33" s="1409" t="s">
        <v>387</v>
      </c>
      <c r="Z33" s="1375" t="s">
        <v>447</v>
      </c>
      <c r="AA33" s="1409" t="s">
        <v>436</v>
      </c>
      <c r="AB33" s="1404" t="s">
        <v>442</v>
      </c>
      <c r="AC33" s="1409" t="s">
        <v>445</v>
      </c>
      <c r="AD33" s="1409" t="s">
        <v>443</v>
      </c>
      <c r="AE33" s="1409" t="s">
        <v>446</v>
      </c>
      <c r="AF33" s="1410" t="s">
        <v>448</v>
      </c>
      <c r="AG33" s="1401"/>
      <c r="AH33" s="1401"/>
      <c r="AI33" s="1401"/>
      <c r="AJ33" s="1401"/>
      <c r="AK33" s="1401"/>
      <c r="AL33" s="1401"/>
      <c r="AM33" s="1401"/>
      <c r="AN33" s="1401"/>
      <c r="AO33" s="1401"/>
      <c r="AP33" s="1401"/>
      <c r="AQ33" s="1401"/>
      <c r="AR33" s="1401"/>
      <c r="AS33" s="1401"/>
      <c r="AT33" s="1401"/>
      <c r="AU33" s="1401"/>
      <c r="AV33" s="1401"/>
      <c r="AW33" s="1363"/>
      <c r="AX33" s="1363"/>
      <c r="AY33" s="1363"/>
      <c r="AZ33" s="1363"/>
      <c r="BA33" s="1363"/>
      <c r="BB33" s="1363"/>
      <c r="BC33" s="1363"/>
      <c r="BD33" s="1363"/>
      <c r="BE33" s="1363"/>
      <c r="BF33" s="1363"/>
      <c r="BG33" s="1363"/>
      <c r="BH33" s="1363"/>
      <c r="BI33" s="1363"/>
      <c r="BJ33" s="1363"/>
      <c r="BK33" s="1363"/>
      <c r="BL33" s="1363"/>
      <c r="BR33" s="1363"/>
      <c r="BS33" s="1363"/>
      <c r="BT33" s="1363"/>
      <c r="BU33" s="1363"/>
      <c r="BV33" s="1363"/>
      <c r="CA33" s="1362"/>
      <c r="CB33" s="1362"/>
      <c r="CC33" s="1362"/>
      <c r="CD33" s="1362"/>
      <c r="CE33" s="1362"/>
      <c r="CF33" s="1362"/>
      <c r="CG33" s="1402"/>
      <c r="CH33" s="1402"/>
      <c r="CI33" s="1362"/>
      <c r="CJ33" s="1362"/>
      <c r="CK33" s="1362"/>
      <c r="CL33" s="1362"/>
      <c r="CM33" s="1362"/>
      <c r="CN33" s="1362"/>
      <c r="CO33" s="1362"/>
    </row>
    <row r="34" spans="1:93" ht="19.5" customHeight="1" x14ac:dyDescent="0.25">
      <c r="A34" s="1387" t="s">
        <v>66</v>
      </c>
      <c r="B34" s="468">
        <f>SUM(C34:AF34)</f>
        <v>0</v>
      </c>
      <c r="C34" s="178"/>
      <c r="D34" s="178"/>
      <c r="E34" s="179"/>
      <c r="F34" s="1301"/>
      <c r="G34" s="78"/>
      <c r="H34" s="78"/>
      <c r="I34" s="78"/>
      <c r="J34" s="166"/>
      <c r="K34" s="1411"/>
      <c r="L34" s="1411"/>
      <c r="M34" s="1411"/>
      <c r="N34" s="1411"/>
      <c r="O34" s="1411"/>
      <c r="P34" s="1411"/>
      <c r="Q34" s="1411"/>
      <c r="R34" s="1411"/>
      <c r="S34" s="1411"/>
      <c r="T34" s="1171"/>
      <c r="U34" s="1411"/>
      <c r="V34" s="1411"/>
      <c r="W34" s="1411"/>
      <c r="X34" s="1411"/>
      <c r="Y34" s="1411"/>
      <c r="Z34" s="1411"/>
      <c r="AA34" s="1411"/>
      <c r="AB34" s="1411"/>
      <c r="AC34" s="1411"/>
      <c r="AD34" s="1411"/>
      <c r="AE34" s="1411"/>
      <c r="AF34" s="1326"/>
      <c r="AG34" s="1381"/>
      <c r="AH34" s="1401"/>
      <c r="AI34" s="1401"/>
      <c r="AJ34" s="1401"/>
      <c r="AK34" s="1401"/>
      <c r="AL34" s="1401"/>
      <c r="AM34" s="1401"/>
      <c r="AN34" s="1401"/>
      <c r="AO34" s="1401"/>
      <c r="AP34" s="1401"/>
      <c r="AQ34" s="1401"/>
      <c r="AR34" s="1401"/>
      <c r="AS34" s="1401"/>
      <c r="AT34" s="1401"/>
      <c r="AU34" s="1401"/>
      <c r="AV34" s="1401"/>
      <c r="AW34" s="1363"/>
      <c r="AX34" s="1363"/>
      <c r="AY34" s="1363"/>
      <c r="AZ34" s="1363"/>
      <c r="BA34" s="1363"/>
      <c r="BB34" s="1363"/>
      <c r="BC34" s="1363"/>
      <c r="BD34" s="1363"/>
      <c r="BE34" s="1363"/>
      <c r="BF34" s="1363"/>
      <c r="BG34" s="1363"/>
      <c r="BH34" s="1363"/>
      <c r="BI34" s="1363"/>
      <c r="BJ34" s="1363"/>
      <c r="BK34" s="1363"/>
      <c r="BL34" s="1363"/>
      <c r="BR34" s="1363"/>
      <c r="BS34" s="1363"/>
      <c r="BT34" s="1363"/>
      <c r="BU34" s="1363"/>
      <c r="BV34" s="1363"/>
      <c r="CA34" s="1382"/>
      <c r="CB34" s="1382"/>
      <c r="CC34" s="1382"/>
      <c r="CD34" s="1382"/>
      <c r="CE34" s="1382"/>
      <c r="CF34" s="1382"/>
      <c r="CG34" s="1383"/>
      <c r="CH34" s="1383"/>
      <c r="CI34" s="1362"/>
      <c r="CJ34" s="1362"/>
      <c r="CK34" s="1362"/>
      <c r="CL34" s="1362"/>
      <c r="CM34" s="1362"/>
      <c r="CN34" s="1362"/>
      <c r="CO34" s="1362"/>
    </row>
    <row r="35" spans="1:93" ht="19.5" customHeight="1" x14ac:dyDescent="0.25">
      <c r="A35" s="1391" t="s">
        <v>374</v>
      </c>
      <c r="B35" s="109">
        <f>SUM(C35:AF35)</f>
        <v>0</v>
      </c>
      <c r="C35" s="113"/>
      <c r="D35" s="113"/>
      <c r="E35" s="138"/>
      <c r="F35" s="1304"/>
      <c r="G35" s="1316"/>
      <c r="H35" s="1316"/>
      <c r="I35" s="1316"/>
      <c r="J35" s="116"/>
      <c r="K35" s="1412"/>
      <c r="L35" s="1412"/>
      <c r="M35" s="1412"/>
      <c r="N35" s="1412"/>
      <c r="O35" s="1412"/>
      <c r="P35" s="1412"/>
      <c r="Q35" s="1412"/>
      <c r="R35" s="1412"/>
      <c r="S35" s="1412"/>
      <c r="T35" s="1336"/>
      <c r="U35" s="1412"/>
      <c r="V35" s="1412"/>
      <c r="W35" s="1412"/>
      <c r="X35" s="1412"/>
      <c r="Y35" s="1412"/>
      <c r="Z35" s="1412"/>
      <c r="AA35" s="1412"/>
      <c r="AB35" s="1412"/>
      <c r="AC35" s="1412"/>
      <c r="AD35" s="1412"/>
      <c r="AE35" s="1412"/>
      <c r="AF35" s="1308"/>
      <c r="AG35" s="1381"/>
      <c r="AH35" s="1401"/>
      <c r="AI35" s="1401"/>
      <c r="AJ35" s="1401"/>
      <c r="AK35" s="1401"/>
      <c r="AL35" s="1401"/>
      <c r="AM35" s="1401"/>
      <c r="AN35" s="1401"/>
      <c r="AO35" s="1401"/>
      <c r="AP35" s="1401"/>
      <c r="AQ35" s="1401"/>
      <c r="AR35" s="1401"/>
      <c r="AS35" s="1401"/>
      <c r="AT35" s="1401"/>
      <c r="AU35" s="1401"/>
      <c r="AV35" s="1401"/>
      <c r="AW35" s="1363"/>
      <c r="AX35" s="1363"/>
      <c r="AY35" s="1363"/>
      <c r="AZ35" s="1363"/>
      <c r="BA35" s="1363"/>
      <c r="BB35" s="1363"/>
      <c r="BC35" s="1363"/>
      <c r="BD35" s="1363"/>
      <c r="BE35" s="1363"/>
      <c r="BF35" s="1363"/>
      <c r="BG35" s="1363"/>
      <c r="BH35" s="1363"/>
      <c r="BI35" s="1363"/>
      <c r="BJ35" s="1363"/>
      <c r="BK35" s="1363"/>
      <c r="BL35" s="1363"/>
      <c r="BR35" s="1363"/>
      <c r="BS35" s="1363"/>
      <c r="BT35" s="1363"/>
      <c r="BU35" s="1363"/>
      <c r="BV35" s="1363"/>
      <c r="CA35" s="1382"/>
      <c r="CB35" s="1382"/>
      <c r="CC35" s="1382"/>
      <c r="CD35" s="1382"/>
      <c r="CE35" s="1382"/>
      <c r="CF35" s="1382"/>
      <c r="CG35" s="1383"/>
      <c r="CH35" s="1383"/>
      <c r="CI35" s="1362"/>
      <c r="CJ35" s="1362"/>
      <c r="CK35" s="1362"/>
      <c r="CL35" s="1362"/>
      <c r="CM35" s="1362"/>
      <c r="CN35" s="1362"/>
      <c r="CO35" s="1362"/>
    </row>
    <row r="36" spans="1:93" ht="19.5" customHeight="1" x14ac:dyDescent="0.25">
      <c r="A36" s="1391" t="s">
        <v>390</v>
      </c>
      <c r="B36" s="109">
        <f t="shared" ref="B36:B47" si="8">SUM(C36:AF36)</f>
        <v>0</v>
      </c>
      <c r="C36" s="113"/>
      <c r="D36" s="113"/>
      <c r="E36" s="138"/>
      <c r="F36" s="1304"/>
      <c r="G36" s="1316"/>
      <c r="H36" s="1316"/>
      <c r="I36" s="1316"/>
      <c r="J36" s="116"/>
      <c r="K36" s="1412"/>
      <c r="L36" s="1412"/>
      <c r="M36" s="1412"/>
      <c r="N36" s="1412"/>
      <c r="O36" s="1412"/>
      <c r="P36" s="1412"/>
      <c r="Q36" s="1412"/>
      <c r="R36" s="1412"/>
      <c r="S36" s="1412"/>
      <c r="T36" s="1336"/>
      <c r="U36" s="1412"/>
      <c r="V36" s="1412"/>
      <c r="W36" s="1412"/>
      <c r="X36" s="1412"/>
      <c r="Y36" s="1412"/>
      <c r="Z36" s="1412"/>
      <c r="AA36" s="1412"/>
      <c r="AB36" s="1412"/>
      <c r="AC36" s="1412"/>
      <c r="AD36" s="1412"/>
      <c r="AE36" s="1412"/>
      <c r="AF36" s="1308"/>
      <c r="AG36" s="1381"/>
      <c r="AH36" s="1363"/>
      <c r="AI36" s="1363"/>
      <c r="AJ36" s="1363"/>
      <c r="AK36" s="1363"/>
      <c r="AL36" s="1363"/>
      <c r="AM36" s="1363"/>
      <c r="AN36" s="1363"/>
      <c r="AO36" s="1363"/>
      <c r="AP36" s="1363"/>
      <c r="AQ36" s="1363"/>
      <c r="AR36" s="1363"/>
      <c r="AS36" s="1363"/>
      <c r="AT36" s="1363"/>
      <c r="AU36" s="1363"/>
      <c r="AV36" s="1363"/>
      <c r="AW36" s="1363"/>
      <c r="AX36" s="1363"/>
      <c r="AY36" s="1363"/>
      <c r="AZ36" s="1363"/>
      <c r="BA36" s="1363"/>
      <c r="BB36" s="1363"/>
      <c r="BC36" s="1363"/>
      <c r="BD36" s="1363"/>
      <c r="BE36" s="1363"/>
      <c r="BF36" s="1363"/>
      <c r="BG36" s="1363"/>
      <c r="BH36" s="1363"/>
      <c r="BI36" s="1363"/>
      <c r="BJ36" s="1363"/>
      <c r="BK36" s="1363"/>
      <c r="BL36" s="1363"/>
      <c r="BR36" s="1363"/>
      <c r="BS36" s="1363"/>
      <c r="BT36" s="1363"/>
      <c r="BU36" s="1363"/>
      <c r="BV36" s="1363"/>
      <c r="CA36" s="1382"/>
      <c r="CB36" s="1382"/>
      <c r="CC36" s="1382"/>
      <c r="CD36" s="1382"/>
      <c r="CE36" s="1382"/>
      <c r="CF36" s="1382"/>
      <c r="CG36" s="1383"/>
      <c r="CH36" s="1383"/>
      <c r="CI36" s="1362"/>
      <c r="CJ36" s="1362"/>
      <c r="CK36" s="1362"/>
      <c r="CL36" s="1362"/>
      <c r="CM36" s="1362"/>
      <c r="CN36" s="1362"/>
      <c r="CO36" s="1362"/>
    </row>
    <row r="37" spans="1:93" ht="19.5" customHeight="1" x14ac:dyDescent="0.25">
      <c r="A37" s="1391" t="s">
        <v>389</v>
      </c>
      <c r="B37" s="109">
        <f t="shared" si="8"/>
        <v>0</v>
      </c>
      <c r="C37" s="113"/>
      <c r="D37" s="113"/>
      <c r="E37" s="138"/>
      <c r="F37" s="1304"/>
      <c r="G37" s="1316"/>
      <c r="H37" s="1316"/>
      <c r="I37" s="1316"/>
      <c r="J37" s="116"/>
      <c r="K37" s="1412"/>
      <c r="L37" s="1412"/>
      <c r="M37" s="1412"/>
      <c r="N37" s="1412"/>
      <c r="O37" s="1412"/>
      <c r="P37" s="1412"/>
      <c r="Q37" s="1412"/>
      <c r="R37" s="1412"/>
      <c r="S37" s="1412"/>
      <c r="T37" s="1336"/>
      <c r="U37" s="1412"/>
      <c r="V37" s="1412"/>
      <c r="W37" s="1412"/>
      <c r="X37" s="1412"/>
      <c r="Y37" s="1412"/>
      <c r="Z37" s="1412"/>
      <c r="AA37" s="1412"/>
      <c r="AB37" s="1412"/>
      <c r="AC37" s="1412"/>
      <c r="AD37" s="1412"/>
      <c r="AE37" s="1412"/>
      <c r="AF37" s="1308"/>
      <c r="AG37" s="1381"/>
      <c r="AH37" s="1363"/>
      <c r="AI37" s="1363"/>
      <c r="AJ37" s="1363"/>
      <c r="AK37" s="1363"/>
      <c r="AL37" s="1363"/>
      <c r="AM37" s="1363"/>
      <c r="AN37" s="1363"/>
      <c r="AO37" s="1363"/>
      <c r="AP37" s="1363"/>
      <c r="AQ37" s="1363"/>
      <c r="AR37" s="1363"/>
      <c r="AS37" s="1363"/>
      <c r="AT37" s="1363"/>
      <c r="AU37" s="1363"/>
      <c r="AV37" s="1363"/>
      <c r="AW37" s="1363"/>
      <c r="AX37" s="1363"/>
      <c r="AY37" s="1363"/>
      <c r="AZ37" s="1363"/>
      <c r="BA37" s="1363"/>
      <c r="BB37" s="1363"/>
      <c r="BC37" s="1363"/>
      <c r="BD37" s="1363"/>
      <c r="BE37" s="1363"/>
      <c r="BF37" s="1363"/>
      <c r="BG37" s="1363"/>
      <c r="BH37" s="1363"/>
      <c r="BI37" s="1363"/>
      <c r="BJ37" s="1363"/>
      <c r="BK37" s="1363"/>
      <c r="BL37" s="1363"/>
      <c r="BR37" s="1363"/>
      <c r="BS37" s="1363"/>
      <c r="BT37" s="1363"/>
      <c r="BU37" s="1363"/>
      <c r="BV37" s="1363"/>
      <c r="CA37" s="1382"/>
      <c r="CB37" s="1382"/>
      <c r="CC37" s="1382"/>
      <c r="CD37" s="1382"/>
      <c r="CE37" s="1382"/>
      <c r="CF37" s="1382"/>
      <c r="CG37" s="1383"/>
      <c r="CH37" s="1383"/>
      <c r="CI37" s="1362"/>
      <c r="CJ37" s="1362"/>
      <c r="CK37" s="1362"/>
      <c r="CL37" s="1362"/>
      <c r="CM37" s="1362"/>
      <c r="CN37" s="1362"/>
      <c r="CO37" s="1362"/>
    </row>
    <row r="38" spans="1:93" ht="19.5" customHeight="1" x14ac:dyDescent="0.25">
      <c r="A38" s="1391" t="s">
        <v>67</v>
      </c>
      <c r="B38" s="109">
        <f t="shared" si="8"/>
        <v>0</v>
      </c>
      <c r="C38" s="113"/>
      <c r="D38" s="113"/>
      <c r="E38" s="138"/>
      <c r="F38" s="1304"/>
      <c r="G38" s="1316"/>
      <c r="H38" s="1316"/>
      <c r="I38" s="1316"/>
      <c r="J38" s="116"/>
      <c r="K38" s="1412"/>
      <c r="L38" s="1412"/>
      <c r="M38" s="1412"/>
      <c r="N38" s="1412"/>
      <c r="O38" s="1412"/>
      <c r="P38" s="1412"/>
      <c r="Q38" s="1412"/>
      <c r="R38" s="1412"/>
      <c r="S38" s="1412"/>
      <c r="T38" s="1336"/>
      <c r="U38" s="1412"/>
      <c r="V38" s="1412"/>
      <c r="W38" s="1412"/>
      <c r="X38" s="1412"/>
      <c r="Y38" s="1412"/>
      <c r="Z38" s="1412"/>
      <c r="AA38" s="1412"/>
      <c r="AB38" s="1412"/>
      <c r="AC38" s="1412"/>
      <c r="AD38" s="1412"/>
      <c r="AE38" s="1412"/>
      <c r="AF38" s="1308"/>
      <c r="AG38" s="1381"/>
      <c r="AH38" s="1363"/>
      <c r="AI38" s="1363"/>
      <c r="AJ38" s="1363"/>
      <c r="AK38" s="1363"/>
      <c r="AL38" s="1363"/>
      <c r="AM38" s="1363"/>
      <c r="AN38" s="1363"/>
      <c r="AO38" s="1363"/>
      <c r="AP38" s="1363"/>
      <c r="AQ38" s="1363"/>
      <c r="AR38" s="1363"/>
      <c r="AS38" s="1363"/>
      <c r="AT38" s="1363"/>
      <c r="AU38" s="1363"/>
      <c r="AV38" s="1363"/>
      <c r="AW38" s="1363"/>
      <c r="AX38" s="1363"/>
      <c r="AY38" s="1363"/>
      <c r="AZ38" s="1363"/>
      <c r="BA38" s="1363"/>
      <c r="BB38" s="1363"/>
      <c r="BC38" s="1363"/>
      <c r="BD38" s="1363"/>
      <c r="BE38" s="1363"/>
      <c r="BF38" s="1363"/>
      <c r="BG38" s="1363"/>
      <c r="BH38" s="1363"/>
      <c r="BI38" s="1363"/>
      <c r="BJ38" s="1363"/>
      <c r="BK38" s="1363"/>
      <c r="BL38" s="1363"/>
      <c r="BR38" s="1363"/>
      <c r="BS38" s="1363"/>
      <c r="BT38" s="1363"/>
      <c r="BU38" s="1363"/>
      <c r="BV38" s="1363"/>
      <c r="CA38" s="1382"/>
      <c r="CB38" s="1382"/>
      <c r="CC38" s="1382"/>
      <c r="CD38" s="1382"/>
      <c r="CE38" s="1382"/>
      <c r="CF38" s="1382"/>
      <c r="CG38" s="1383"/>
      <c r="CH38" s="1383"/>
      <c r="CI38" s="1362"/>
      <c r="CJ38" s="1362"/>
      <c r="CK38" s="1362"/>
      <c r="CL38" s="1362"/>
      <c r="CM38" s="1362"/>
      <c r="CN38" s="1362"/>
      <c r="CO38" s="1362"/>
    </row>
    <row r="39" spans="1:93" ht="19.5" customHeight="1" x14ac:dyDescent="0.25">
      <c r="A39" s="1391" t="s">
        <v>391</v>
      </c>
      <c r="B39" s="109">
        <f t="shared" si="8"/>
        <v>0</v>
      </c>
      <c r="C39" s="113"/>
      <c r="D39" s="113"/>
      <c r="E39" s="138"/>
      <c r="F39" s="1304"/>
      <c r="G39" s="1316"/>
      <c r="H39" s="1316"/>
      <c r="I39" s="1316"/>
      <c r="J39" s="116"/>
      <c r="K39" s="1412"/>
      <c r="L39" s="1412"/>
      <c r="M39" s="1412"/>
      <c r="N39" s="1412"/>
      <c r="O39" s="1412"/>
      <c r="P39" s="1412"/>
      <c r="Q39" s="1412"/>
      <c r="R39" s="1412"/>
      <c r="S39" s="1412"/>
      <c r="T39" s="1336"/>
      <c r="U39" s="1412"/>
      <c r="V39" s="1412"/>
      <c r="W39" s="1412"/>
      <c r="X39" s="1412"/>
      <c r="Y39" s="1412"/>
      <c r="Z39" s="1412"/>
      <c r="AA39" s="1412"/>
      <c r="AB39" s="1412"/>
      <c r="AC39" s="1412"/>
      <c r="AD39" s="1412"/>
      <c r="AE39" s="1412"/>
      <c r="AF39" s="1308"/>
      <c r="AG39" s="1381"/>
      <c r="AH39" s="1363"/>
      <c r="AI39" s="1363"/>
      <c r="AJ39" s="1363"/>
      <c r="AK39" s="1363"/>
      <c r="AL39" s="1363"/>
      <c r="AM39" s="1363"/>
      <c r="AN39" s="1363"/>
      <c r="AO39" s="1363"/>
      <c r="AP39" s="1363"/>
      <c r="AQ39" s="1363"/>
      <c r="AR39" s="1363"/>
      <c r="AS39" s="1363"/>
      <c r="AT39" s="1363"/>
      <c r="AU39" s="1363"/>
      <c r="AV39" s="1363"/>
      <c r="AW39" s="1363"/>
      <c r="AX39" s="1363"/>
      <c r="AY39" s="1363"/>
      <c r="AZ39" s="1363"/>
      <c r="BA39" s="1363"/>
      <c r="BB39" s="1363"/>
      <c r="BC39" s="1363"/>
      <c r="BD39" s="1363"/>
      <c r="BE39" s="1363"/>
      <c r="BF39" s="1363"/>
      <c r="BG39" s="1363"/>
      <c r="BH39" s="1363"/>
      <c r="BI39" s="1363"/>
      <c r="BJ39" s="1363"/>
      <c r="BK39" s="1363"/>
      <c r="BL39" s="1363"/>
      <c r="BR39" s="1363"/>
      <c r="BS39" s="1363"/>
      <c r="BT39" s="1363"/>
      <c r="BU39" s="1363"/>
      <c r="BV39" s="1363"/>
      <c r="CA39" s="1382"/>
      <c r="CB39" s="1382"/>
      <c r="CC39" s="1382"/>
      <c r="CD39" s="1382"/>
      <c r="CE39" s="1382"/>
      <c r="CF39" s="1382"/>
      <c r="CG39" s="1383"/>
      <c r="CH39" s="1383"/>
      <c r="CI39" s="1362"/>
      <c r="CJ39" s="1362"/>
      <c r="CK39" s="1362"/>
      <c r="CL39" s="1362"/>
      <c r="CM39" s="1362"/>
      <c r="CN39" s="1362"/>
      <c r="CO39" s="1362"/>
    </row>
    <row r="40" spans="1:93" ht="19.5" customHeight="1" x14ac:dyDescent="0.25">
      <c r="A40" s="1391" t="s">
        <v>377</v>
      </c>
      <c r="B40" s="109">
        <f t="shared" si="8"/>
        <v>0</v>
      </c>
      <c r="C40" s="113"/>
      <c r="D40" s="113"/>
      <c r="E40" s="138"/>
      <c r="F40" s="1304"/>
      <c r="G40" s="1316"/>
      <c r="H40" s="1316"/>
      <c r="I40" s="1316"/>
      <c r="J40" s="116"/>
      <c r="K40" s="1412"/>
      <c r="L40" s="1412"/>
      <c r="M40" s="1412"/>
      <c r="N40" s="1412"/>
      <c r="O40" s="1412"/>
      <c r="P40" s="1412"/>
      <c r="Q40" s="1412"/>
      <c r="R40" s="1412"/>
      <c r="S40" s="1412"/>
      <c r="T40" s="1336"/>
      <c r="U40" s="1412"/>
      <c r="V40" s="1412"/>
      <c r="W40" s="1412"/>
      <c r="X40" s="1412"/>
      <c r="Y40" s="1412"/>
      <c r="Z40" s="1412"/>
      <c r="AA40" s="1412"/>
      <c r="AB40" s="1412"/>
      <c r="AC40" s="1412"/>
      <c r="AD40" s="1412"/>
      <c r="AE40" s="1412"/>
      <c r="AF40" s="1308"/>
      <c r="AG40" s="1381"/>
      <c r="AH40" s="1363"/>
      <c r="AI40" s="1363"/>
      <c r="AJ40" s="1363"/>
      <c r="AK40" s="1363"/>
      <c r="AL40" s="1363"/>
      <c r="AM40" s="1363"/>
      <c r="AN40" s="1363"/>
      <c r="AO40" s="1363"/>
      <c r="AP40" s="1363"/>
      <c r="AQ40" s="1363"/>
      <c r="AR40" s="1363"/>
      <c r="AS40" s="1363"/>
      <c r="AT40" s="1363"/>
      <c r="AU40" s="1363"/>
      <c r="AV40" s="1363"/>
      <c r="AW40" s="1363"/>
      <c r="AX40" s="1363"/>
      <c r="AY40" s="1363"/>
      <c r="AZ40" s="1363"/>
      <c r="BA40" s="1363"/>
      <c r="BB40" s="1363"/>
      <c r="BC40" s="1363"/>
      <c r="BD40" s="1363"/>
      <c r="BE40" s="1363"/>
      <c r="BF40" s="1363"/>
      <c r="BG40" s="1363"/>
      <c r="BH40" s="1363"/>
      <c r="BI40" s="1363"/>
      <c r="BJ40" s="1363"/>
      <c r="BK40" s="1363"/>
      <c r="BL40" s="1363"/>
      <c r="BR40" s="1363"/>
      <c r="BS40" s="1363"/>
      <c r="BT40" s="1363"/>
      <c r="BU40" s="1363"/>
      <c r="BV40" s="1363"/>
      <c r="CA40" s="1382"/>
      <c r="CB40" s="1382"/>
      <c r="CC40" s="1382"/>
      <c r="CD40" s="1382"/>
      <c r="CE40" s="1382"/>
      <c r="CF40" s="1382"/>
      <c r="CG40" s="1383"/>
      <c r="CH40" s="1383"/>
      <c r="CI40" s="1362"/>
      <c r="CJ40" s="1362"/>
      <c r="CK40" s="1362"/>
      <c r="CL40" s="1362"/>
      <c r="CM40" s="1362"/>
      <c r="CN40" s="1362"/>
      <c r="CO40" s="1362"/>
    </row>
    <row r="41" spans="1:93" ht="19.5" customHeight="1" x14ac:dyDescent="0.25">
      <c r="A41" s="1391" t="s">
        <v>2069</v>
      </c>
      <c r="B41" s="109">
        <f t="shared" si="8"/>
        <v>0</v>
      </c>
      <c r="C41" s="113"/>
      <c r="D41" s="113"/>
      <c r="E41" s="138"/>
      <c r="F41" s="1304"/>
      <c r="G41" s="1316"/>
      <c r="H41" s="1316"/>
      <c r="I41" s="1316"/>
      <c r="J41" s="116"/>
      <c r="K41" s="1412"/>
      <c r="L41" s="1412"/>
      <c r="M41" s="1412"/>
      <c r="N41" s="1412"/>
      <c r="O41" s="1412"/>
      <c r="P41" s="1412"/>
      <c r="Q41" s="1412"/>
      <c r="R41" s="1412"/>
      <c r="S41" s="1412"/>
      <c r="T41" s="1336"/>
      <c r="U41" s="1412"/>
      <c r="V41" s="1412"/>
      <c r="W41" s="1412"/>
      <c r="X41" s="1412"/>
      <c r="Y41" s="1412"/>
      <c r="Z41" s="1412"/>
      <c r="AA41" s="1412"/>
      <c r="AB41" s="1412"/>
      <c r="AC41" s="1412"/>
      <c r="AD41" s="1412"/>
      <c r="AE41" s="1412"/>
      <c r="AF41" s="1308"/>
      <c r="AG41" s="1381"/>
      <c r="AH41" s="1363"/>
      <c r="AI41" s="1363"/>
      <c r="AJ41" s="1363"/>
      <c r="AK41" s="1363"/>
      <c r="AL41" s="1363"/>
      <c r="AM41" s="1363"/>
      <c r="AN41" s="1363"/>
      <c r="AO41" s="1363"/>
      <c r="AP41" s="1363"/>
      <c r="AQ41" s="1363"/>
      <c r="AR41" s="1363"/>
      <c r="AS41" s="1363"/>
      <c r="AT41" s="1363"/>
      <c r="AU41" s="1363"/>
      <c r="AV41" s="1363"/>
      <c r="AW41" s="1363"/>
      <c r="AX41" s="1363"/>
      <c r="AY41" s="1363"/>
      <c r="AZ41" s="1363"/>
      <c r="BA41" s="1363"/>
      <c r="BB41" s="1363"/>
      <c r="BC41" s="1363"/>
      <c r="BD41" s="1363"/>
      <c r="BE41" s="1363"/>
      <c r="BF41" s="1363"/>
      <c r="BG41" s="1363"/>
      <c r="BH41" s="1363"/>
      <c r="BI41" s="1363"/>
      <c r="BJ41" s="1363"/>
      <c r="BK41" s="1363"/>
      <c r="BL41" s="1363"/>
      <c r="BR41" s="1363"/>
      <c r="BS41" s="1363"/>
      <c r="BT41" s="1363"/>
      <c r="BU41" s="1363"/>
      <c r="BV41" s="1363"/>
      <c r="CA41" s="1382"/>
      <c r="CB41" s="1382"/>
      <c r="CC41" s="1382"/>
      <c r="CD41" s="1382"/>
      <c r="CE41" s="1382"/>
      <c r="CF41" s="1382"/>
      <c r="CG41" s="1383"/>
      <c r="CH41" s="1383"/>
      <c r="CI41" s="1362"/>
      <c r="CJ41" s="1362"/>
      <c r="CK41" s="1362"/>
      <c r="CL41" s="1362"/>
      <c r="CM41" s="1362"/>
      <c r="CN41" s="1362"/>
      <c r="CO41" s="1362"/>
    </row>
    <row r="42" spans="1:93" ht="19.5" customHeight="1" x14ac:dyDescent="0.25">
      <c r="A42" s="1391" t="s">
        <v>375</v>
      </c>
      <c r="B42" s="109">
        <f t="shared" si="8"/>
        <v>0</v>
      </c>
      <c r="C42" s="113"/>
      <c r="D42" s="113"/>
      <c r="E42" s="138"/>
      <c r="F42" s="1304"/>
      <c r="G42" s="1316"/>
      <c r="H42" s="1316"/>
      <c r="I42" s="1316"/>
      <c r="J42" s="116"/>
      <c r="K42" s="1412"/>
      <c r="L42" s="1412"/>
      <c r="M42" s="1412"/>
      <c r="N42" s="1412"/>
      <c r="O42" s="1412"/>
      <c r="P42" s="1412"/>
      <c r="Q42" s="1412"/>
      <c r="R42" s="1412"/>
      <c r="S42" s="1412"/>
      <c r="T42" s="1336"/>
      <c r="U42" s="1412"/>
      <c r="V42" s="1412"/>
      <c r="W42" s="1412"/>
      <c r="X42" s="1412"/>
      <c r="Y42" s="1412"/>
      <c r="Z42" s="1412"/>
      <c r="AA42" s="1412"/>
      <c r="AB42" s="1412"/>
      <c r="AC42" s="1412"/>
      <c r="AD42" s="1412"/>
      <c r="AE42" s="1412"/>
      <c r="AF42" s="1308"/>
      <c r="AG42" s="1381"/>
      <c r="AH42" s="1363"/>
      <c r="AI42" s="1363"/>
      <c r="AJ42" s="1363"/>
      <c r="AK42" s="1363"/>
      <c r="AL42" s="1363"/>
      <c r="AM42" s="1363"/>
      <c r="AN42" s="1363"/>
      <c r="AO42" s="1363"/>
      <c r="AP42" s="1363"/>
      <c r="AQ42" s="1363"/>
      <c r="AR42" s="1363"/>
      <c r="AS42" s="1363"/>
      <c r="AT42" s="1363"/>
      <c r="AU42" s="1363"/>
      <c r="AV42" s="1363"/>
      <c r="AW42" s="1363"/>
      <c r="AX42" s="1363"/>
      <c r="AY42" s="1363"/>
      <c r="AZ42" s="1363"/>
      <c r="BA42" s="1363"/>
      <c r="BB42" s="1363"/>
      <c r="BC42" s="1363"/>
      <c r="BD42" s="1363"/>
      <c r="BE42" s="1363"/>
      <c r="BF42" s="1363"/>
      <c r="BG42" s="1363"/>
      <c r="BH42" s="1363"/>
      <c r="BI42" s="1363"/>
      <c r="BJ42" s="1363"/>
      <c r="BK42" s="1363"/>
      <c r="BL42" s="1363"/>
      <c r="BR42" s="1363"/>
      <c r="BS42" s="1363"/>
      <c r="BT42" s="1363"/>
      <c r="BU42" s="1363"/>
      <c r="BV42" s="1363"/>
      <c r="CA42" s="1382"/>
      <c r="CB42" s="1382"/>
      <c r="CC42" s="1382"/>
      <c r="CD42" s="1382"/>
      <c r="CE42" s="1382"/>
      <c r="CF42" s="1382"/>
      <c r="CG42" s="1383"/>
      <c r="CH42" s="1383"/>
      <c r="CI42" s="1362"/>
      <c r="CJ42" s="1362"/>
      <c r="CK42" s="1362"/>
      <c r="CL42" s="1362"/>
      <c r="CM42" s="1362"/>
      <c r="CN42" s="1362"/>
      <c r="CO42" s="1362"/>
    </row>
    <row r="43" spans="1:93" ht="19.5" customHeight="1" x14ac:dyDescent="0.25">
      <c r="A43" s="1391" t="s">
        <v>46</v>
      </c>
      <c r="B43" s="109">
        <f t="shared" si="8"/>
        <v>0</v>
      </c>
      <c r="C43" s="113"/>
      <c r="D43" s="113"/>
      <c r="E43" s="138"/>
      <c r="F43" s="1304"/>
      <c r="G43" s="1316"/>
      <c r="H43" s="1316"/>
      <c r="I43" s="1316"/>
      <c r="J43" s="116"/>
      <c r="K43" s="1412"/>
      <c r="L43" s="1412"/>
      <c r="M43" s="1412"/>
      <c r="N43" s="1412"/>
      <c r="O43" s="1412"/>
      <c r="P43" s="1412"/>
      <c r="Q43" s="1412"/>
      <c r="R43" s="1412"/>
      <c r="S43" s="1412"/>
      <c r="T43" s="1336"/>
      <c r="U43" s="1412"/>
      <c r="V43" s="1412"/>
      <c r="W43" s="1412"/>
      <c r="X43" s="1412"/>
      <c r="Y43" s="1412"/>
      <c r="Z43" s="1412"/>
      <c r="AA43" s="1412"/>
      <c r="AB43" s="1412"/>
      <c r="AC43" s="1412"/>
      <c r="AD43" s="1412"/>
      <c r="AE43" s="1412"/>
      <c r="AF43" s="1308"/>
      <c r="AG43" s="1381"/>
      <c r="AH43" s="1363"/>
      <c r="AI43" s="1363"/>
      <c r="AJ43" s="1363"/>
      <c r="AK43" s="1363"/>
      <c r="AL43" s="1363"/>
      <c r="AM43" s="1363"/>
      <c r="AN43" s="1363"/>
      <c r="AO43" s="1363"/>
      <c r="AP43" s="1363"/>
      <c r="AQ43" s="1363"/>
      <c r="AR43" s="1363"/>
      <c r="AS43" s="1363"/>
      <c r="AT43" s="1363"/>
      <c r="AU43" s="1363"/>
      <c r="AV43" s="1363"/>
      <c r="AW43" s="1363"/>
      <c r="AX43" s="1363"/>
      <c r="AY43" s="1363"/>
      <c r="AZ43" s="1363"/>
      <c r="BA43" s="1363"/>
      <c r="BB43" s="1363"/>
      <c r="BC43" s="1363"/>
      <c r="BD43" s="1363"/>
      <c r="BE43" s="1363"/>
      <c r="BF43" s="1363"/>
      <c r="BG43" s="1363"/>
      <c r="BH43" s="1363"/>
      <c r="BI43" s="1363"/>
      <c r="BJ43" s="1363"/>
      <c r="BK43" s="1363"/>
      <c r="BL43" s="1363"/>
      <c r="BR43" s="1363"/>
      <c r="BS43" s="1363"/>
      <c r="BT43" s="1363"/>
      <c r="BU43" s="1363"/>
      <c r="BV43" s="1363"/>
      <c r="CA43" s="1382"/>
      <c r="CB43" s="1382"/>
      <c r="CC43" s="1382"/>
      <c r="CD43" s="1382"/>
      <c r="CE43" s="1382"/>
      <c r="CF43" s="1382"/>
      <c r="CG43" s="1383"/>
      <c r="CH43" s="1383"/>
      <c r="CI43" s="1362"/>
      <c r="CJ43" s="1362"/>
      <c r="CK43" s="1362"/>
      <c r="CL43" s="1362"/>
      <c r="CM43" s="1362"/>
      <c r="CN43" s="1362"/>
      <c r="CO43" s="1362"/>
    </row>
    <row r="44" spans="1:93" ht="19.5" customHeight="1" x14ac:dyDescent="0.25">
      <c r="A44" s="1391" t="s">
        <v>393</v>
      </c>
      <c r="B44" s="109">
        <f t="shared" si="8"/>
        <v>0</v>
      </c>
      <c r="C44" s="113"/>
      <c r="D44" s="113"/>
      <c r="E44" s="138"/>
      <c r="F44" s="1304"/>
      <c r="G44" s="1316"/>
      <c r="H44" s="1316"/>
      <c r="I44" s="1316"/>
      <c r="J44" s="116"/>
      <c r="K44" s="1412"/>
      <c r="L44" s="1412"/>
      <c r="M44" s="1412"/>
      <c r="N44" s="1412"/>
      <c r="O44" s="1412"/>
      <c r="P44" s="1412"/>
      <c r="Q44" s="1412"/>
      <c r="R44" s="1412"/>
      <c r="S44" s="1412"/>
      <c r="T44" s="1336"/>
      <c r="U44" s="1412"/>
      <c r="V44" s="1412"/>
      <c r="W44" s="1412"/>
      <c r="X44" s="1412"/>
      <c r="Y44" s="1412"/>
      <c r="Z44" s="1412"/>
      <c r="AA44" s="1412"/>
      <c r="AB44" s="1412"/>
      <c r="AC44" s="1412"/>
      <c r="AD44" s="1412"/>
      <c r="AE44" s="1412"/>
      <c r="AF44" s="1308"/>
      <c r="AG44" s="1381"/>
      <c r="AH44" s="1363"/>
      <c r="AI44" s="1363"/>
      <c r="AJ44" s="1363"/>
      <c r="AK44" s="1363"/>
      <c r="AL44" s="1363"/>
      <c r="AM44" s="1363"/>
      <c r="AN44" s="1363"/>
      <c r="AO44" s="1363"/>
      <c r="AP44" s="1363"/>
      <c r="AQ44" s="1363"/>
      <c r="AR44" s="1363"/>
      <c r="AS44" s="1363"/>
      <c r="AT44" s="1363"/>
      <c r="AU44" s="1363"/>
      <c r="AV44" s="1363"/>
      <c r="AW44" s="1363"/>
      <c r="AX44" s="1363"/>
      <c r="AY44" s="1363"/>
      <c r="AZ44" s="1363"/>
      <c r="BA44" s="1363"/>
      <c r="BB44" s="1363"/>
      <c r="BC44" s="1363"/>
      <c r="BD44" s="1363"/>
      <c r="BE44" s="1363"/>
      <c r="BF44" s="1363"/>
      <c r="BG44" s="1363"/>
      <c r="BH44" s="1363"/>
      <c r="BI44" s="1363"/>
      <c r="BJ44" s="1363"/>
      <c r="BK44" s="1363"/>
      <c r="BL44" s="1363"/>
      <c r="BR44" s="1363"/>
      <c r="BS44" s="1363"/>
      <c r="BT44" s="1363"/>
      <c r="BU44" s="1363"/>
      <c r="BV44" s="1363"/>
      <c r="CA44" s="1382"/>
      <c r="CB44" s="1382"/>
      <c r="CC44" s="1382"/>
      <c r="CD44" s="1382"/>
      <c r="CE44" s="1382"/>
      <c r="CF44" s="1382"/>
      <c r="CG44" s="1383"/>
      <c r="CH44" s="1383"/>
      <c r="CI44" s="1362"/>
      <c r="CJ44" s="1362"/>
      <c r="CK44" s="1362"/>
      <c r="CL44" s="1362"/>
      <c r="CM44" s="1362"/>
      <c r="CN44" s="1362"/>
      <c r="CO44" s="1362"/>
    </row>
    <row r="45" spans="1:93" ht="19.5" customHeight="1" x14ac:dyDescent="0.25">
      <c r="A45" s="1391" t="s">
        <v>376</v>
      </c>
      <c r="B45" s="109">
        <f t="shared" si="8"/>
        <v>0</v>
      </c>
      <c r="C45" s="113"/>
      <c r="D45" s="113"/>
      <c r="E45" s="138"/>
      <c r="F45" s="1304"/>
      <c r="G45" s="1316"/>
      <c r="H45" s="1316"/>
      <c r="I45" s="1316"/>
      <c r="J45" s="116"/>
      <c r="K45" s="1412"/>
      <c r="L45" s="1412"/>
      <c r="M45" s="1412"/>
      <c r="N45" s="1412"/>
      <c r="O45" s="1412"/>
      <c r="P45" s="1412"/>
      <c r="Q45" s="1412"/>
      <c r="R45" s="1412"/>
      <c r="S45" s="1412"/>
      <c r="T45" s="1336"/>
      <c r="U45" s="1412"/>
      <c r="V45" s="1412"/>
      <c r="W45" s="1412"/>
      <c r="X45" s="1412"/>
      <c r="Y45" s="1412"/>
      <c r="Z45" s="1412"/>
      <c r="AA45" s="1412"/>
      <c r="AB45" s="1412"/>
      <c r="AC45" s="1412"/>
      <c r="AD45" s="1412"/>
      <c r="AE45" s="1412"/>
      <c r="AF45" s="1308"/>
      <c r="AG45" s="1381"/>
      <c r="AH45" s="1363"/>
      <c r="AI45" s="1363"/>
      <c r="AJ45" s="1363"/>
      <c r="AK45" s="1363"/>
      <c r="AL45" s="1363"/>
      <c r="AM45" s="1363"/>
      <c r="AN45" s="1363"/>
      <c r="AO45" s="1363"/>
      <c r="AP45" s="1363"/>
      <c r="AQ45" s="1363"/>
      <c r="AR45" s="1363"/>
      <c r="AS45" s="1363"/>
      <c r="AT45" s="1363"/>
      <c r="AU45" s="1363"/>
      <c r="AV45" s="1363"/>
      <c r="AW45" s="1363"/>
      <c r="AX45" s="1363"/>
      <c r="AY45" s="1363"/>
      <c r="AZ45" s="1363"/>
      <c r="BA45" s="1363"/>
      <c r="BB45" s="1363"/>
      <c r="BC45" s="1363"/>
      <c r="BD45" s="1363"/>
      <c r="BE45" s="1363"/>
      <c r="BF45" s="1363"/>
      <c r="BG45" s="1363"/>
      <c r="BH45" s="1363"/>
      <c r="BI45" s="1363"/>
      <c r="BJ45" s="1363"/>
      <c r="BK45" s="1363"/>
      <c r="BL45" s="1363"/>
      <c r="BR45" s="1363"/>
      <c r="BS45" s="1363"/>
      <c r="BT45" s="1363"/>
      <c r="BU45" s="1363"/>
      <c r="BV45" s="1363"/>
      <c r="CA45" s="1382"/>
      <c r="CB45" s="1382"/>
      <c r="CC45" s="1382"/>
      <c r="CD45" s="1382"/>
      <c r="CE45" s="1382"/>
      <c r="CF45" s="1382"/>
      <c r="CG45" s="1383"/>
      <c r="CH45" s="1383"/>
      <c r="CI45" s="1362"/>
      <c r="CJ45" s="1362"/>
      <c r="CK45" s="1362"/>
      <c r="CL45" s="1362"/>
      <c r="CM45" s="1362"/>
      <c r="CN45" s="1362"/>
      <c r="CO45" s="1362"/>
    </row>
    <row r="46" spans="1:93" ht="19.5" customHeight="1" x14ac:dyDescent="0.25">
      <c r="A46" s="1413" t="s">
        <v>392</v>
      </c>
      <c r="B46" s="145">
        <f t="shared" si="8"/>
        <v>0</v>
      </c>
      <c r="C46" s="113"/>
      <c r="D46" s="113"/>
      <c r="E46" s="138"/>
      <c r="F46" s="1304"/>
      <c r="G46" s="1316"/>
      <c r="H46" s="1316"/>
      <c r="I46" s="1316"/>
      <c r="J46" s="116"/>
      <c r="K46" s="1412"/>
      <c r="L46" s="1412"/>
      <c r="M46" s="1412"/>
      <c r="N46" s="1412"/>
      <c r="O46" s="1412"/>
      <c r="P46" s="1412"/>
      <c r="Q46" s="1412"/>
      <c r="R46" s="1412"/>
      <c r="S46" s="1412"/>
      <c r="T46" s="1336"/>
      <c r="U46" s="1412"/>
      <c r="V46" s="1412"/>
      <c r="W46" s="1412"/>
      <c r="X46" s="1412"/>
      <c r="Y46" s="1412"/>
      <c r="Z46" s="1412"/>
      <c r="AA46" s="1412"/>
      <c r="AB46" s="1412"/>
      <c r="AC46" s="1412"/>
      <c r="AD46" s="1412"/>
      <c r="AE46" s="1412"/>
      <c r="AF46" s="1308"/>
      <c r="AG46" s="1381"/>
      <c r="AH46" s="1363"/>
      <c r="AI46" s="1363"/>
      <c r="AJ46" s="1363"/>
      <c r="AK46" s="1363"/>
      <c r="AL46" s="1363"/>
      <c r="AM46" s="1363"/>
      <c r="AN46" s="1363"/>
      <c r="AO46" s="1363"/>
      <c r="AP46" s="1363"/>
      <c r="AQ46" s="1363"/>
      <c r="AR46" s="1363"/>
      <c r="AS46" s="1363"/>
      <c r="AT46" s="1363"/>
      <c r="AU46" s="1363"/>
      <c r="AV46" s="1363"/>
      <c r="AW46" s="1363"/>
      <c r="AX46" s="1363"/>
      <c r="AY46" s="1363"/>
      <c r="AZ46" s="1363"/>
      <c r="BA46" s="1363"/>
      <c r="BB46" s="1363"/>
      <c r="BC46" s="1363"/>
      <c r="BD46" s="1363"/>
      <c r="BE46" s="1363"/>
      <c r="BF46" s="1363"/>
      <c r="BG46" s="1363"/>
      <c r="BH46" s="1363"/>
      <c r="BI46" s="1363"/>
      <c r="BJ46" s="1363"/>
      <c r="BK46" s="1363"/>
      <c r="BL46" s="1363"/>
      <c r="BR46" s="1363"/>
      <c r="BS46" s="1363"/>
      <c r="BT46" s="1363"/>
      <c r="BU46" s="1363"/>
      <c r="BV46" s="1363"/>
      <c r="CA46" s="1382"/>
      <c r="CB46" s="1382"/>
      <c r="CC46" s="1382"/>
      <c r="CD46" s="1382"/>
      <c r="CE46" s="1382"/>
      <c r="CF46" s="1382"/>
      <c r="CG46" s="1383"/>
      <c r="CH46" s="1383"/>
      <c r="CI46" s="1362"/>
      <c r="CJ46" s="1362"/>
      <c r="CK46" s="1362"/>
      <c r="CL46" s="1362"/>
      <c r="CM46" s="1362"/>
      <c r="CN46" s="1362"/>
      <c r="CO46" s="1362"/>
    </row>
    <row r="47" spans="1:93" ht="19.5" customHeight="1" x14ac:dyDescent="0.25">
      <c r="A47" s="1414" t="s">
        <v>378</v>
      </c>
      <c r="B47" s="147">
        <f t="shared" si="8"/>
        <v>0</v>
      </c>
      <c r="C47" s="102"/>
      <c r="D47" s="102"/>
      <c r="E47" s="101"/>
      <c r="F47" s="1309"/>
      <c r="G47" s="1341"/>
      <c r="H47" s="1341"/>
      <c r="I47" s="1341"/>
      <c r="J47" s="175"/>
      <c r="K47" s="1341"/>
      <c r="L47" s="1341"/>
      <c r="M47" s="1341"/>
      <c r="N47" s="1341"/>
      <c r="O47" s="1341"/>
      <c r="P47" s="1341"/>
      <c r="Q47" s="1341"/>
      <c r="R47" s="1341"/>
      <c r="S47" s="1341"/>
      <c r="T47" s="102"/>
      <c r="U47" s="1341"/>
      <c r="V47" s="1341"/>
      <c r="W47" s="1341"/>
      <c r="X47" s="1341"/>
      <c r="Y47" s="1341"/>
      <c r="Z47" s="1341"/>
      <c r="AA47" s="1341"/>
      <c r="AB47" s="1341"/>
      <c r="AC47" s="1341"/>
      <c r="AD47" s="1341"/>
      <c r="AE47" s="1341"/>
      <c r="AF47" s="1302"/>
      <c r="AG47" s="1381"/>
      <c r="AH47" s="1363"/>
      <c r="AI47" s="1363"/>
      <c r="AJ47" s="1363"/>
      <c r="AK47" s="1363"/>
      <c r="AL47" s="1363"/>
      <c r="AM47" s="1363"/>
      <c r="AN47" s="1363"/>
      <c r="AO47" s="1363"/>
      <c r="AP47" s="1363"/>
      <c r="AQ47" s="1363"/>
      <c r="AR47" s="1363"/>
      <c r="AS47" s="1363"/>
      <c r="AT47" s="1363"/>
      <c r="AU47" s="1363"/>
      <c r="AV47" s="1363"/>
      <c r="AW47" s="1363"/>
      <c r="AX47" s="1363"/>
      <c r="AY47" s="1363"/>
      <c r="AZ47" s="1363"/>
      <c r="BA47" s="1363"/>
      <c r="BB47" s="1363"/>
      <c r="BC47" s="1363"/>
      <c r="BD47" s="1363"/>
      <c r="BE47" s="1363"/>
      <c r="BF47" s="1363"/>
      <c r="BG47" s="1363"/>
      <c r="BH47" s="1363"/>
      <c r="BI47" s="1363"/>
      <c r="BJ47" s="1363"/>
      <c r="BK47" s="1363"/>
      <c r="BL47" s="1363"/>
      <c r="BR47" s="1363"/>
      <c r="BS47" s="1363"/>
      <c r="BT47" s="1363"/>
      <c r="BU47" s="1363"/>
      <c r="BV47" s="1363"/>
      <c r="CA47" s="1382"/>
      <c r="CB47" s="1382"/>
      <c r="CC47" s="1382"/>
      <c r="CD47" s="1382"/>
      <c r="CE47" s="1382"/>
      <c r="CF47" s="1382"/>
      <c r="CG47" s="1383"/>
      <c r="CH47" s="1383"/>
      <c r="CI47" s="1362"/>
      <c r="CJ47" s="1362"/>
      <c r="CK47" s="1362"/>
      <c r="CL47" s="1362"/>
      <c r="CM47" s="1362"/>
      <c r="CN47" s="1362"/>
      <c r="CO47" s="1362"/>
    </row>
    <row r="48" spans="1:93" ht="18.75" customHeight="1" x14ac:dyDescent="0.25">
      <c r="A48" s="1415" t="s">
        <v>44</v>
      </c>
      <c r="B48" s="1347">
        <f>SUM(B34:B47)</f>
        <v>0</v>
      </c>
      <c r="C48" s="492">
        <f>SUM(C34:C47)</f>
        <v>0</v>
      </c>
      <c r="D48" s="492">
        <f t="shared" ref="D48:AE48" si="9">SUM(D34:D47)</f>
        <v>0</v>
      </c>
      <c r="E48" s="475">
        <f t="shared" si="9"/>
        <v>0</v>
      </c>
      <c r="F48" s="561">
        <f t="shared" si="9"/>
        <v>0</v>
      </c>
      <c r="G48" s="492">
        <f t="shared" si="9"/>
        <v>0</v>
      </c>
      <c r="H48" s="492">
        <f t="shared" si="9"/>
        <v>0</v>
      </c>
      <c r="I48" s="492">
        <f>SUM(I34:I47)</f>
        <v>0</v>
      </c>
      <c r="J48" s="560">
        <f t="shared" si="9"/>
        <v>0</v>
      </c>
      <c r="K48" s="560">
        <f t="shared" si="9"/>
        <v>0</v>
      </c>
      <c r="L48" s="560">
        <f t="shared" si="9"/>
        <v>0</v>
      </c>
      <c r="M48" s="560">
        <f t="shared" si="9"/>
        <v>0</v>
      </c>
      <c r="N48" s="560">
        <f t="shared" si="9"/>
        <v>0</v>
      </c>
      <c r="O48" s="560">
        <f t="shared" si="9"/>
        <v>0</v>
      </c>
      <c r="P48" s="560">
        <f t="shared" si="9"/>
        <v>0</v>
      </c>
      <c r="Q48" s="560">
        <f t="shared" si="9"/>
        <v>0</v>
      </c>
      <c r="R48" s="560">
        <f t="shared" si="9"/>
        <v>0</v>
      </c>
      <c r="S48" s="560">
        <f t="shared" si="9"/>
        <v>0</v>
      </c>
      <c r="T48" s="560">
        <f t="shared" si="9"/>
        <v>0</v>
      </c>
      <c r="U48" s="560">
        <f t="shared" si="9"/>
        <v>0</v>
      </c>
      <c r="V48" s="560">
        <f t="shared" si="9"/>
        <v>0</v>
      </c>
      <c r="W48" s="560">
        <f t="shared" si="9"/>
        <v>0</v>
      </c>
      <c r="X48" s="560">
        <f t="shared" si="9"/>
        <v>0</v>
      </c>
      <c r="Y48" s="560">
        <f t="shared" si="9"/>
        <v>0</v>
      </c>
      <c r="Z48" s="560">
        <f t="shared" si="9"/>
        <v>0</v>
      </c>
      <c r="AA48" s="560">
        <f t="shared" si="9"/>
        <v>0</v>
      </c>
      <c r="AB48" s="560">
        <f t="shared" si="9"/>
        <v>0</v>
      </c>
      <c r="AC48" s="560">
        <f t="shared" si="9"/>
        <v>0</v>
      </c>
      <c r="AD48" s="560">
        <f t="shared" si="9"/>
        <v>0</v>
      </c>
      <c r="AE48" s="560">
        <f t="shared" si="9"/>
        <v>0</v>
      </c>
      <c r="AF48" s="1416">
        <f>SUM(AF34:AF47)</f>
        <v>0</v>
      </c>
      <c r="AG48" s="1363"/>
      <c r="AH48" s="1363"/>
      <c r="AI48" s="1363"/>
      <c r="AJ48" s="1363"/>
      <c r="AK48" s="1363"/>
      <c r="AL48" s="1363"/>
      <c r="AM48" s="1363"/>
      <c r="AN48" s="1363"/>
      <c r="AO48" s="1363"/>
      <c r="AP48" s="1363"/>
      <c r="AQ48" s="1363"/>
      <c r="AR48" s="1363"/>
      <c r="AS48" s="1363"/>
      <c r="AT48" s="1363"/>
      <c r="AU48" s="1363"/>
      <c r="AV48" s="1363"/>
      <c r="AW48" s="1363"/>
      <c r="AX48" s="1363"/>
      <c r="AY48" s="1363"/>
      <c r="AZ48" s="1363"/>
      <c r="BA48" s="1363"/>
      <c r="BB48" s="1363"/>
      <c r="BC48" s="1363"/>
      <c r="BD48" s="1363"/>
      <c r="BE48" s="1363"/>
      <c r="BF48" s="1363"/>
      <c r="BG48" s="1363"/>
      <c r="BH48" s="1363"/>
      <c r="BI48" s="1363"/>
      <c r="BJ48" s="1363"/>
      <c r="BK48" s="1363"/>
      <c r="BL48" s="1363"/>
      <c r="BR48" s="1363"/>
      <c r="BS48" s="1363"/>
      <c r="BT48" s="1363"/>
      <c r="BU48" s="1363"/>
      <c r="BV48" s="1363"/>
      <c r="CA48" s="1362"/>
      <c r="CB48" s="1362"/>
      <c r="CC48" s="1362"/>
      <c r="CD48" s="1362"/>
      <c r="CE48" s="1362"/>
      <c r="CF48" s="1362"/>
      <c r="CG48" s="1402"/>
      <c r="CH48" s="1402"/>
      <c r="CI48" s="1362"/>
      <c r="CJ48" s="1362"/>
      <c r="CK48" s="1362"/>
      <c r="CL48" s="1362"/>
      <c r="CM48" s="1362"/>
      <c r="CN48" s="1362"/>
      <c r="CO48" s="1362"/>
    </row>
    <row r="49" spans="1:104" ht="32.1" customHeight="1" x14ac:dyDescent="0.25">
      <c r="A49" s="1366" t="s">
        <v>2070</v>
      </c>
      <c r="B49" s="1363"/>
      <c r="C49" s="1363"/>
      <c r="D49" s="1363"/>
      <c r="E49" s="1363"/>
      <c r="F49" s="1363"/>
      <c r="G49" s="1363"/>
      <c r="H49" s="1363"/>
      <c r="I49" s="1363"/>
      <c r="J49" s="1363"/>
      <c r="K49" s="1363"/>
      <c r="L49" s="1363"/>
      <c r="M49" s="1363"/>
      <c r="N49" s="1363"/>
      <c r="O49" s="1363"/>
      <c r="P49" s="1363"/>
      <c r="Q49" s="1363"/>
      <c r="R49" s="1363"/>
      <c r="S49" s="1363"/>
      <c r="T49" s="1363"/>
      <c r="U49" s="1363"/>
      <c r="V49" s="1363"/>
      <c r="W49" s="1363"/>
      <c r="X49" s="1363"/>
      <c r="Y49" s="1363"/>
      <c r="Z49" s="1363"/>
      <c r="AA49" s="1363"/>
      <c r="AB49" s="1363"/>
      <c r="AC49" s="1363"/>
      <c r="AD49" s="1363"/>
      <c r="AE49" s="1363"/>
      <c r="AF49" s="1363"/>
      <c r="AG49" s="1363"/>
      <c r="AH49" s="1363"/>
      <c r="AI49" s="1363"/>
      <c r="AJ49" s="1363"/>
      <c r="AK49" s="1363"/>
      <c r="AL49" s="1363"/>
      <c r="AM49" s="1363"/>
      <c r="AN49" s="1363"/>
      <c r="AO49" s="1363"/>
      <c r="AP49" s="1363"/>
      <c r="AQ49" s="1363"/>
      <c r="AR49" s="1363"/>
      <c r="AS49" s="1363"/>
      <c r="AT49" s="1363"/>
      <c r="AU49" s="1363"/>
      <c r="AV49" s="1363"/>
      <c r="AW49" s="1363"/>
      <c r="AX49" s="1363"/>
      <c r="AY49" s="1363"/>
      <c r="AZ49" s="1363"/>
      <c r="BA49" s="1363"/>
      <c r="BB49" s="1363"/>
      <c r="BC49" s="1363"/>
      <c r="BD49" s="1363"/>
      <c r="BE49" s="1363"/>
      <c r="BF49" s="1363"/>
      <c r="BG49" s="1363"/>
      <c r="BH49" s="1363"/>
      <c r="BI49" s="1363"/>
      <c r="BJ49" s="1363"/>
      <c r="BK49" s="1363"/>
      <c r="BL49" s="1363"/>
      <c r="BM49" s="1363"/>
      <c r="BN49" s="1363"/>
      <c r="BO49" s="1363"/>
      <c r="BP49" s="1363"/>
      <c r="BQ49" s="1363"/>
      <c r="BR49" s="1363"/>
      <c r="BS49" s="1363"/>
      <c r="BT49" s="1363"/>
      <c r="BU49" s="1363"/>
      <c r="BV49" s="1363"/>
      <c r="BW49" s="1363"/>
      <c r="BX49" s="1363"/>
      <c r="BY49" s="1363"/>
      <c r="BZ49" s="1363"/>
      <c r="CA49" s="1362"/>
      <c r="CB49" s="1362"/>
      <c r="CC49" s="1362"/>
      <c r="CD49" s="1362"/>
      <c r="CE49" s="1362"/>
      <c r="CF49" s="1362"/>
      <c r="CG49" s="1402"/>
      <c r="CH49" s="1402"/>
      <c r="CI49" s="1362"/>
      <c r="CJ49" s="1362"/>
      <c r="CK49" s="1362"/>
      <c r="CL49" s="1362"/>
      <c r="CM49" s="1362"/>
      <c r="CN49" s="1362"/>
      <c r="CO49" s="1362"/>
    </row>
    <row r="50" spans="1:104" s="1370" customFormat="1" ht="21" customHeight="1" x14ac:dyDescent="0.2">
      <c r="A50" s="10608" t="s">
        <v>437</v>
      </c>
      <c r="B50" s="10609"/>
      <c r="C50" s="10622" t="s">
        <v>44</v>
      </c>
      <c r="D50" s="10634" t="s">
        <v>368</v>
      </c>
      <c r="E50" s="10643" t="s">
        <v>369</v>
      </c>
      <c r="F50" s="10639" t="s">
        <v>370</v>
      </c>
      <c r="G50" s="10641" t="s">
        <v>383</v>
      </c>
      <c r="H50" s="10615"/>
      <c r="I50" s="10615"/>
      <c r="J50" s="10615"/>
      <c r="K50" s="10615"/>
      <c r="L50" s="10615"/>
      <c r="M50" s="10615"/>
      <c r="N50" s="10615"/>
      <c r="O50" s="10615"/>
      <c r="P50" s="10615"/>
      <c r="Q50" s="10615"/>
      <c r="R50" s="10615"/>
      <c r="S50" s="10615"/>
      <c r="T50" s="10615"/>
      <c r="U50" s="10615"/>
      <c r="V50" s="10615"/>
      <c r="W50" s="10615"/>
      <c r="X50" s="10615"/>
      <c r="Y50" s="10615"/>
      <c r="Z50" s="10615"/>
      <c r="AA50" s="10615"/>
      <c r="AB50" s="10615"/>
      <c r="AC50" s="10615"/>
      <c r="AD50" s="10615"/>
      <c r="AE50" s="10615"/>
      <c r="AF50" s="10615"/>
      <c r="AG50" s="10642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CA50" s="1368"/>
      <c r="CB50" s="1368"/>
      <c r="CC50" s="1368"/>
      <c r="CD50" s="1368"/>
      <c r="CE50" s="1368"/>
      <c r="CF50" s="1368"/>
      <c r="CG50" s="1377"/>
      <c r="CH50" s="1377"/>
      <c r="CI50" s="1368"/>
      <c r="CJ50" s="1368"/>
      <c r="CK50" s="1368"/>
      <c r="CL50" s="1368"/>
      <c r="CM50" s="1368"/>
      <c r="CN50" s="1368"/>
      <c r="CO50" s="1368"/>
      <c r="CP50" s="1369"/>
      <c r="CQ50" s="1369"/>
      <c r="CR50" s="1369"/>
      <c r="CS50" s="1369"/>
      <c r="CT50" s="1369"/>
      <c r="CU50" s="1369"/>
      <c r="CV50" s="1369"/>
      <c r="CW50" s="1369"/>
      <c r="CX50" s="1369"/>
      <c r="CY50" s="1369"/>
      <c r="CZ50" s="1369"/>
    </row>
    <row r="51" spans="1:104" s="1370" customFormat="1" ht="66.75" customHeight="1" x14ac:dyDescent="0.2">
      <c r="A51" s="10612"/>
      <c r="B51" s="10613"/>
      <c r="C51" s="10624"/>
      <c r="D51" s="10635"/>
      <c r="E51" s="10644"/>
      <c r="F51" s="10640"/>
      <c r="G51" s="1403" t="s">
        <v>420</v>
      </c>
      <c r="H51" s="1404" t="s">
        <v>429</v>
      </c>
      <c r="I51" s="1404" t="s">
        <v>421</v>
      </c>
      <c r="J51" s="1404" t="s">
        <v>430</v>
      </c>
      <c r="K51" s="1405" t="s">
        <v>388</v>
      </c>
      <c r="L51" s="1404" t="s">
        <v>599</v>
      </c>
      <c r="M51" s="1406" t="s">
        <v>431</v>
      </c>
      <c r="N51" s="1404" t="s">
        <v>438</v>
      </c>
      <c r="O51" s="1404" t="s">
        <v>423</v>
      </c>
      <c r="P51" s="1404" t="s">
        <v>424</v>
      </c>
      <c r="Q51" s="1409" t="s">
        <v>432</v>
      </c>
      <c r="R51" s="1408" t="s">
        <v>425</v>
      </c>
      <c r="S51" s="1404" t="s">
        <v>386</v>
      </c>
      <c r="T51" s="1406" t="s">
        <v>433</v>
      </c>
      <c r="U51" s="1417" t="s">
        <v>434</v>
      </c>
      <c r="V51" s="1375" t="s">
        <v>435</v>
      </c>
      <c r="W51" s="1417" t="s">
        <v>609</v>
      </c>
      <c r="X51" s="1417" t="s">
        <v>385</v>
      </c>
      <c r="Y51" s="1406" t="s">
        <v>384</v>
      </c>
      <c r="Z51" s="1417" t="s">
        <v>387</v>
      </c>
      <c r="AA51" s="1375" t="s">
        <v>447</v>
      </c>
      <c r="AB51" s="1417" t="s">
        <v>436</v>
      </c>
      <c r="AC51" s="1404" t="s">
        <v>442</v>
      </c>
      <c r="AD51" s="1417" t="s">
        <v>445</v>
      </c>
      <c r="AE51" s="1417" t="s">
        <v>443</v>
      </c>
      <c r="AF51" s="1417" t="s">
        <v>446</v>
      </c>
      <c r="AG51" s="1418" t="s">
        <v>448</v>
      </c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CA51" s="1368"/>
      <c r="CB51" s="1368"/>
      <c r="CC51" s="1368"/>
      <c r="CD51" s="1368"/>
      <c r="CE51" s="1368"/>
      <c r="CF51" s="1368"/>
      <c r="CG51" s="1377"/>
      <c r="CH51" s="1377"/>
      <c r="CI51" s="1368"/>
      <c r="CJ51" s="1368"/>
      <c r="CK51" s="1368"/>
      <c r="CL51" s="1368"/>
      <c r="CM51" s="1368"/>
      <c r="CN51" s="1368"/>
      <c r="CO51" s="1368"/>
      <c r="CP51" s="1369"/>
      <c r="CQ51" s="1369"/>
      <c r="CR51" s="1369"/>
      <c r="CS51" s="1369"/>
      <c r="CT51" s="1369"/>
      <c r="CU51" s="1369"/>
      <c r="CV51" s="1369"/>
      <c r="CW51" s="1369"/>
      <c r="CX51" s="1369"/>
      <c r="CY51" s="1369"/>
      <c r="CZ51" s="1369"/>
    </row>
    <row r="52" spans="1:104" s="1370" customFormat="1" ht="18.75" customHeight="1" x14ac:dyDescent="0.2">
      <c r="A52" s="10645" t="s">
        <v>380</v>
      </c>
      <c r="B52" s="10646"/>
      <c r="C52" s="1419">
        <f>SUM(D52:AG52)</f>
        <v>0</v>
      </c>
      <c r="D52" s="110"/>
      <c r="E52" s="89"/>
      <c r="F52" s="144"/>
      <c r="G52" s="1420"/>
      <c r="H52" s="1421"/>
      <c r="I52" s="1421"/>
      <c r="J52" s="1421"/>
      <c r="K52" s="1422"/>
      <c r="L52" s="1423"/>
      <c r="M52" s="1423"/>
      <c r="N52" s="1423"/>
      <c r="O52" s="1424"/>
      <c r="P52" s="1421"/>
      <c r="Q52" s="1421"/>
      <c r="R52" s="1421"/>
      <c r="S52" s="1421"/>
      <c r="T52" s="1421"/>
      <c r="U52" s="1421"/>
      <c r="V52" s="1421"/>
      <c r="W52" s="1421"/>
      <c r="X52" s="1421"/>
      <c r="Y52" s="1421"/>
      <c r="Z52" s="1421"/>
      <c r="AA52" s="1422"/>
      <c r="AB52" s="1422"/>
      <c r="AC52" s="1422"/>
      <c r="AD52" s="1422"/>
      <c r="AE52" s="1423"/>
      <c r="AF52" s="1425"/>
      <c r="AG52" s="838"/>
      <c r="AH52" s="1381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CA52" s="1382"/>
      <c r="CB52" s="1382"/>
      <c r="CC52" s="1382"/>
      <c r="CD52" s="1382"/>
      <c r="CE52" s="1382"/>
      <c r="CF52" s="1382"/>
      <c r="CG52" s="1383"/>
      <c r="CH52" s="1383"/>
      <c r="CI52" s="1368"/>
      <c r="CJ52" s="1368"/>
      <c r="CK52" s="1368"/>
      <c r="CL52" s="1368"/>
      <c r="CM52" s="1368"/>
      <c r="CN52" s="1368"/>
      <c r="CO52" s="1368"/>
      <c r="CP52" s="1369"/>
      <c r="CQ52" s="1369"/>
      <c r="CR52" s="1369"/>
      <c r="CS52" s="1369"/>
      <c r="CT52" s="1369"/>
      <c r="CU52" s="1369"/>
      <c r="CV52" s="1369"/>
      <c r="CW52" s="1369"/>
      <c r="CX52" s="1369"/>
      <c r="CY52" s="1369"/>
      <c r="CZ52" s="1369"/>
    </row>
    <row r="53" spans="1:104" s="1370" customFormat="1" ht="18.75" customHeight="1" x14ac:dyDescent="0.2">
      <c r="A53" s="10632" t="s">
        <v>381</v>
      </c>
      <c r="B53" s="10633"/>
      <c r="C53" s="258">
        <f t="shared" ref="C53:C67" si="10">SUM(D53:AG53)</f>
        <v>0</v>
      </c>
      <c r="D53" s="110"/>
      <c r="E53" s="111"/>
      <c r="F53" s="144"/>
      <c r="G53" s="1304"/>
      <c r="H53" s="1316"/>
      <c r="I53" s="1316"/>
      <c r="J53" s="1316"/>
      <c r="K53" s="116"/>
      <c r="L53" s="1316"/>
      <c r="M53" s="1316"/>
      <c r="N53" s="1316"/>
      <c r="O53" s="113"/>
      <c r="P53" s="1316"/>
      <c r="Q53" s="1316"/>
      <c r="R53" s="1316"/>
      <c r="S53" s="1316"/>
      <c r="T53" s="1316"/>
      <c r="U53" s="1316"/>
      <c r="V53" s="1316"/>
      <c r="W53" s="1316"/>
      <c r="X53" s="1316"/>
      <c r="Y53" s="1316"/>
      <c r="Z53" s="1316"/>
      <c r="AA53" s="116"/>
      <c r="AB53" s="116"/>
      <c r="AC53" s="116"/>
      <c r="AD53" s="116"/>
      <c r="AE53" s="1316"/>
      <c r="AF53" s="113"/>
      <c r="AG53" s="138"/>
      <c r="AH53" s="1381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CA53" s="1382"/>
      <c r="CB53" s="1382"/>
      <c r="CC53" s="1382"/>
      <c r="CD53" s="1382"/>
      <c r="CE53" s="1382"/>
      <c r="CF53" s="1382"/>
      <c r="CG53" s="1383"/>
      <c r="CH53" s="1383"/>
      <c r="CI53" s="1368"/>
      <c r="CJ53" s="1368"/>
      <c r="CK53" s="1368"/>
      <c r="CL53" s="1368"/>
      <c r="CM53" s="1368"/>
      <c r="CN53" s="1368"/>
      <c r="CO53" s="1368"/>
      <c r="CP53" s="1369"/>
      <c r="CQ53" s="1369"/>
      <c r="CR53" s="1369"/>
      <c r="CS53" s="1369"/>
      <c r="CT53" s="1369"/>
      <c r="CU53" s="1369"/>
      <c r="CV53" s="1369"/>
      <c r="CW53" s="1369"/>
      <c r="CX53" s="1369"/>
      <c r="CY53" s="1369"/>
      <c r="CZ53" s="1369"/>
    </row>
    <row r="54" spans="1:104" s="1370" customFormat="1" ht="18.75" customHeight="1" x14ac:dyDescent="0.2">
      <c r="A54" s="10632" t="s">
        <v>382</v>
      </c>
      <c r="B54" s="10633"/>
      <c r="C54" s="258">
        <f t="shared" si="10"/>
        <v>0</v>
      </c>
      <c r="D54" s="110"/>
      <c r="E54" s="111"/>
      <c r="F54" s="144"/>
      <c r="G54" s="1307"/>
      <c r="H54" s="1412"/>
      <c r="I54" s="1412"/>
      <c r="J54" s="1412"/>
      <c r="K54" s="1426"/>
      <c r="L54" s="1412"/>
      <c r="M54" s="1412"/>
      <c r="N54" s="1412"/>
      <c r="O54" s="1336"/>
      <c r="P54" s="1412"/>
      <c r="Q54" s="1412"/>
      <c r="R54" s="1412"/>
      <c r="S54" s="1412"/>
      <c r="T54" s="1412"/>
      <c r="U54" s="1412"/>
      <c r="V54" s="1412"/>
      <c r="W54" s="1412"/>
      <c r="X54" s="1412"/>
      <c r="Y54" s="1412"/>
      <c r="Z54" s="1412"/>
      <c r="AA54" s="1426"/>
      <c r="AB54" s="1426"/>
      <c r="AC54" s="1426"/>
      <c r="AD54" s="1426"/>
      <c r="AE54" s="1412"/>
      <c r="AF54" s="1336"/>
      <c r="AG54" s="1327"/>
      <c r="AH54" s="1381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CA54" s="1382"/>
      <c r="CB54" s="1382"/>
      <c r="CC54" s="1382"/>
      <c r="CD54" s="1382"/>
      <c r="CE54" s="1382"/>
      <c r="CF54" s="1382"/>
      <c r="CG54" s="1383"/>
      <c r="CH54" s="1383"/>
      <c r="CI54" s="1368"/>
      <c r="CJ54" s="1368"/>
      <c r="CK54" s="1368"/>
      <c r="CL54" s="1368"/>
      <c r="CM54" s="1368"/>
      <c r="CN54" s="1368"/>
      <c r="CO54" s="1368"/>
      <c r="CP54" s="1369"/>
      <c r="CQ54" s="1369"/>
      <c r="CR54" s="1369"/>
      <c r="CS54" s="1369"/>
      <c r="CT54" s="1369"/>
      <c r="CU54" s="1369"/>
      <c r="CV54" s="1369"/>
      <c r="CW54" s="1369"/>
      <c r="CX54" s="1369"/>
      <c r="CY54" s="1369"/>
      <c r="CZ54" s="1369"/>
    </row>
    <row r="55" spans="1:104" s="1370" customFormat="1" ht="18.75" customHeight="1" x14ac:dyDescent="0.2">
      <c r="A55" s="10632" t="s">
        <v>379</v>
      </c>
      <c r="B55" s="10633"/>
      <c r="C55" s="258">
        <f t="shared" si="10"/>
        <v>0</v>
      </c>
      <c r="D55" s="110"/>
      <c r="E55" s="111"/>
      <c r="F55" s="144"/>
      <c r="G55" s="1307"/>
      <c r="H55" s="1412"/>
      <c r="I55" s="1412"/>
      <c r="J55" s="1412"/>
      <c r="K55" s="1426"/>
      <c r="L55" s="1412"/>
      <c r="M55" s="1412"/>
      <c r="N55" s="1412"/>
      <c r="O55" s="1336"/>
      <c r="P55" s="1412"/>
      <c r="Q55" s="1412"/>
      <c r="R55" s="1412"/>
      <c r="S55" s="1412"/>
      <c r="T55" s="1412"/>
      <c r="U55" s="1412"/>
      <c r="V55" s="1412"/>
      <c r="W55" s="1412"/>
      <c r="X55" s="1412"/>
      <c r="Y55" s="1412"/>
      <c r="Z55" s="1412"/>
      <c r="AA55" s="1426"/>
      <c r="AB55" s="1426"/>
      <c r="AC55" s="1426"/>
      <c r="AD55" s="1426"/>
      <c r="AE55" s="1412"/>
      <c r="AF55" s="1336"/>
      <c r="AG55" s="1327"/>
      <c r="AH55" s="1381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CA55" s="1382"/>
      <c r="CB55" s="1382"/>
      <c r="CC55" s="1382"/>
      <c r="CD55" s="1382"/>
      <c r="CE55" s="1382"/>
      <c r="CF55" s="1382"/>
      <c r="CG55" s="1383"/>
      <c r="CH55" s="1383"/>
      <c r="CI55" s="1368"/>
      <c r="CJ55" s="1368"/>
      <c r="CK55" s="1368"/>
      <c r="CL55" s="1368"/>
      <c r="CM55" s="1368"/>
      <c r="CN55" s="1368"/>
      <c r="CO55" s="1368"/>
      <c r="CP55" s="1369"/>
      <c r="CQ55" s="1369"/>
      <c r="CR55" s="1369"/>
      <c r="CS55" s="1369"/>
      <c r="CT55" s="1369"/>
      <c r="CU55" s="1369"/>
      <c r="CV55" s="1369"/>
      <c r="CW55" s="1369"/>
      <c r="CX55" s="1369"/>
      <c r="CY55" s="1369"/>
      <c r="CZ55" s="1369"/>
    </row>
    <row r="56" spans="1:104" s="1370" customFormat="1" ht="18.75" customHeight="1" x14ac:dyDescent="0.2">
      <c r="A56" s="1384" t="s">
        <v>2071</v>
      </c>
      <c r="B56" s="1427"/>
      <c r="C56" s="258">
        <f t="shared" si="10"/>
        <v>0</v>
      </c>
      <c r="D56" s="110"/>
      <c r="E56" s="111"/>
      <c r="F56" s="144"/>
      <c r="G56" s="1301"/>
      <c r="H56" s="78"/>
      <c r="I56" s="78"/>
      <c r="J56" s="78"/>
      <c r="K56" s="166"/>
      <c r="L56" s="78"/>
      <c r="M56" s="78"/>
      <c r="N56" s="78"/>
      <c r="O56" s="11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166"/>
      <c r="AB56" s="166"/>
      <c r="AC56" s="166"/>
      <c r="AD56" s="166"/>
      <c r="AE56" s="78"/>
      <c r="AF56" s="1178"/>
      <c r="AG56" s="130"/>
      <c r="AH56" s="1381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CA56" s="1382"/>
      <c r="CB56" s="1382"/>
      <c r="CC56" s="1382"/>
      <c r="CD56" s="1382"/>
      <c r="CE56" s="1382"/>
      <c r="CF56" s="1382"/>
      <c r="CG56" s="1383"/>
      <c r="CH56" s="1383"/>
      <c r="CI56" s="1368"/>
      <c r="CJ56" s="1368"/>
      <c r="CK56" s="1368"/>
      <c r="CL56" s="1368"/>
      <c r="CM56" s="1368"/>
      <c r="CN56" s="1368"/>
      <c r="CO56" s="1368"/>
      <c r="CP56" s="1369"/>
      <c r="CQ56" s="1369"/>
      <c r="CR56" s="1369"/>
      <c r="CS56" s="1369"/>
      <c r="CT56" s="1369"/>
      <c r="CU56" s="1369"/>
      <c r="CV56" s="1369"/>
      <c r="CW56" s="1369"/>
      <c r="CX56" s="1369"/>
      <c r="CY56" s="1369"/>
      <c r="CZ56" s="1369"/>
    </row>
    <row r="57" spans="1:104" s="1370" customFormat="1" ht="18.75" customHeight="1" x14ac:dyDescent="0.2">
      <c r="A57" s="1384" t="s">
        <v>608</v>
      </c>
      <c r="B57" s="1427"/>
      <c r="C57" s="258">
        <f t="shared" si="10"/>
        <v>0</v>
      </c>
      <c r="D57" s="110"/>
      <c r="E57" s="111"/>
      <c r="F57" s="144"/>
      <c r="G57" s="1301"/>
      <c r="H57" s="78"/>
      <c r="I57" s="78"/>
      <c r="J57" s="78"/>
      <c r="K57" s="166"/>
      <c r="L57" s="78"/>
      <c r="M57" s="1412"/>
      <c r="N57" s="1412"/>
      <c r="O57" s="11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166"/>
      <c r="AB57" s="166"/>
      <c r="AC57" s="166"/>
      <c r="AD57" s="166"/>
      <c r="AE57" s="78"/>
      <c r="AF57" s="1336"/>
      <c r="AG57" s="1327"/>
      <c r="AH57" s="1381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CA57" s="1382"/>
      <c r="CB57" s="1382"/>
      <c r="CC57" s="1382"/>
      <c r="CD57" s="1382"/>
      <c r="CE57" s="1382"/>
      <c r="CF57" s="1382"/>
      <c r="CG57" s="1383"/>
      <c r="CH57" s="1383"/>
      <c r="CI57" s="1368"/>
      <c r="CJ57" s="1368"/>
      <c r="CK57" s="1368"/>
      <c r="CL57" s="1368"/>
      <c r="CM57" s="1368"/>
      <c r="CN57" s="1368"/>
      <c r="CO57" s="1368"/>
      <c r="CP57" s="1369"/>
      <c r="CQ57" s="1369"/>
      <c r="CR57" s="1369"/>
      <c r="CS57" s="1369"/>
      <c r="CT57" s="1369"/>
      <c r="CU57" s="1369"/>
      <c r="CV57" s="1369"/>
      <c r="CW57" s="1369"/>
      <c r="CX57" s="1369"/>
      <c r="CY57" s="1369"/>
      <c r="CZ57" s="1369"/>
    </row>
    <row r="58" spans="1:104" s="1370" customFormat="1" ht="18.75" customHeight="1" x14ac:dyDescent="0.2">
      <c r="A58" s="1384" t="s">
        <v>607</v>
      </c>
      <c r="B58" s="1427"/>
      <c r="C58" s="258">
        <f t="shared" si="10"/>
        <v>0</v>
      </c>
      <c r="D58" s="110"/>
      <c r="E58" s="111"/>
      <c r="F58" s="144"/>
      <c r="G58" s="1307"/>
      <c r="H58" s="1412"/>
      <c r="I58" s="1412"/>
      <c r="J58" s="1412"/>
      <c r="K58" s="1426"/>
      <c r="L58" s="1412"/>
      <c r="M58" s="1412"/>
      <c r="N58" s="1412"/>
      <c r="O58" s="1336"/>
      <c r="P58" s="1412"/>
      <c r="Q58" s="1412"/>
      <c r="R58" s="1412"/>
      <c r="S58" s="1412"/>
      <c r="T58" s="1412"/>
      <c r="U58" s="1412"/>
      <c r="V58" s="1412"/>
      <c r="W58" s="1412"/>
      <c r="X58" s="1412"/>
      <c r="Y58" s="1412"/>
      <c r="Z58" s="1412"/>
      <c r="AA58" s="1426"/>
      <c r="AB58" s="1426"/>
      <c r="AC58" s="1426"/>
      <c r="AD58" s="1426"/>
      <c r="AE58" s="1412"/>
      <c r="AF58" s="1336"/>
      <c r="AG58" s="1327"/>
      <c r="AH58" s="1381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CA58" s="1382"/>
      <c r="CB58" s="1382"/>
      <c r="CC58" s="1382"/>
      <c r="CD58" s="1382"/>
      <c r="CE58" s="1382"/>
      <c r="CF58" s="1382"/>
      <c r="CG58" s="1383"/>
      <c r="CH58" s="1383"/>
      <c r="CI58" s="1368"/>
      <c r="CJ58" s="1368"/>
      <c r="CK58" s="1368"/>
      <c r="CL58" s="1368"/>
      <c r="CM58" s="1368"/>
      <c r="CN58" s="1368"/>
      <c r="CO58" s="1368"/>
      <c r="CP58" s="1369"/>
      <c r="CQ58" s="1369"/>
      <c r="CR58" s="1369"/>
      <c r="CS58" s="1369"/>
      <c r="CT58" s="1369"/>
      <c r="CU58" s="1369"/>
      <c r="CV58" s="1369"/>
      <c r="CW58" s="1369"/>
      <c r="CX58" s="1369"/>
      <c r="CY58" s="1369"/>
      <c r="CZ58" s="1369"/>
    </row>
    <row r="59" spans="1:104" s="1370" customFormat="1" ht="18.75" customHeight="1" x14ac:dyDescent="0.2">
      <c r="A59" s="1384" t="s">
        <v>606</v>
      </c>
      <c r="B59" s="1427"/>
      <c r="C59" s="258">
        <f t="shared" si="10"/>
        <v>0</v>
      </c>
      <c r="D59" s="110"/>
      <c r="E59" s="111"/>
      <c r="F59" s="144"/>
      <c r="G59" s="1307"/>
      <c r="H59" s="1412"/>
      <c r="I59" s="1412"/>
      <c r="J59" s="1412"/>
      <c r="K59" s="1426"/>
      <c r="L59" s="1412"/>
      <c r="M59" s="1412"/>
      <c r="N59" s="1412"/>
      <c r="O59" s="1336"/>
      <c r="P59" s="1412"/>
      <c r="Q59" s="1412"/>
      <c r="R59" s="1412"/>
      <c r="S59" s="1412"/>
      <c r="T59" s="1412"/>
      <c r="U59" s="1412"/>
      <c r="V59" s="1412"/>
      <c r="W59" s="1412"/>
      <c r="X59" s="1412"/>
      <c r="Y59" s="1412"/>
      <c r="Z59" s="1412"/>
      <c r="AA59" s="1426"/>
      <c r="AB59" s="1426"/>
      <c r="AC59" s="1426"/>
      <c r="AD59" s="1426"/>
      <c r="AE59" s="1412"/>
      <c r="AF59" s="1336"/>
      <c r="AG59" s="1327"/>
      <c r="AH59" s="1381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CA59" s="1382"/>
      <c r="CB59" s="1382"/>
      <c r="CC59" s="1382"/>
      <c r="CD59" s="1382"/>
      <c r="CE59" s="1382"/>
      <c r="CF59" s="1382"/>
      <c r="CG59" s="1383"/>
      <c r="CH59" s="1383"/>
      <c r="CI59" s="1368"/>
      <c r="CJ59" s="1368"/>
      <c r="CK59" s="1368"/>
      <c r="CL59" s="1368"/>
      <c r="CM59" s="1368"/>
      <c r="CN59" s="1368"/>
      <c r="CO59" s="1368"/>
      <c r="CP59" s="1369"/>
      <c r="CQ59" s="1369"/>
      <c r="CR59" s="1369"/>
      <c r="CS59" s="1369"/>
      <c r="CT59" s="1369"/>
      <c r="CU59" s="1369"/>
      <c r="CV59" s="1369"/>
      <c r="CW59" s="1369"/>
      <c r="CX59" s="1369"/>
      <c r="CY59" s="1369"/>
      <c r="CZ59" s="1369"/>
    </row>
    <row r="60" spans="1:104" s="1370" customFormat="1" ht="22.5" customHeight="1" x14ac:dyDescent="0.2">
      <c r="A60" s="1384" t="s">
        <v>2072</v>
      </c>
      <c r="B60" s="1427"/>
      <c r="C60" s="258">
        <f t="shared" si="10"/>
        <v>0</v>
      </c>
      <c r="D60" s="110"/>
      <c r="E60" s="111"/>
      <c r="F60" s="144"/>
      <c r="G60" s="1304"/>
      <c r="H60" s="1316"/>
      <c r="I60" s="1316"/>
      <c r="J60" s="1316"/>
      <c r="K60" s="1316"/>
      <c r="L60" s="113"/>
      <c r="M60" s="113"/>
      <c r="N60" s="113"/>
      <c r="O60" s="113"/>
      <c r="P60" s="1316"/>
      <c r="Q60" s="113"/>
      <c r="R60" s="1316"/>
      <c r="S60" s="113"/>
      <c r="T60" s="1316"/>
      <c r="U60" s="113"/>
      <c r="V60" s="1316"/>
      <c r="W60" s="113"/>
      <c r="X60" s="1316"/>
      <c r="Y60" s="113"/>
      <c r="Z60" s="1316"/>
      <c r="AA60" s="113"/>
      <c r="AB60" s="1316"/>
      <c r="AC60" s="113"/>
      <c r="AD60" s="1316"/>
      <c r="AE60" s="1316"/>
      <c r="AF60" s="113"/>
      <c r="AG60" s="138"/>
      <c r="AH60" s="1381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CA60" s="1382"/>
      <c r="CB60" s="1382"/>
      <c r="CC60" s="1382"/>
      <c r="CD60" s="1382"/>
      <c r="CE60" s="1382"/>
      <c r="CF60" s="1382"/>
      <c r="CG60" s="1383"/>
      <c r="CH60" s="1383"/>
      <c r="CI60" s="1368"/>
      <c r="CJ60" s="1368"/>
      <c r="CK60" s="1368"/>
      <c r="CL60" s="1368"/>
      <c r="CM60" s="1368"/>
      <c r="CN60" s="1368"/>
      <c r="CO60" s="1368"/>
      <c r="CP60" s="1369"/>
      <c r="CQ60" s="1369"/>
      <c r="CR60" s="1369"/>
      <c r="CS60" s="1369"/>
      <c r="CT60" s="1369"/>
      <c r="CU60" s="1369"/>
      <c r="CV60" s="1369"/>
      <c r="CW60" s="1369"/>
      <c r="CX60" s="1369"/>
      <c r="CY60" s="1369"/>
      <c r="CZ60" s="1369"/>
    </row>
    <row r="61" spans="1:104" s="1370" customFormat="1" ht="18.75" customHeight="1" x14ac:dyDescent="0.2">
      <c r="A61" s="10632" t="s">
        <v>452</v>
      </c>
      <c r="B61" s="10633"/>
      <c r="C61" s="1393">
        <f t="shared" si="10"/>
        <v>0</v>
      </c>
      <c r="D61" s="129"/>
      <c r="E61" s="78"/>
      <c r="F61" s="143"/>
      <c r="G61" s="1304"/>
      <c r="H61" s="1316"/>
      <c r="I61" s="1316"/>
      <c r="J61" s="1316"/>
      <c r="K61" s="1412"/>
      <c r="L61" s="1336"/>
      <c r="M61" s="113"/>
      <c r="N61" s="1336"/>
      <c r="O61" s="113"/>
      <c r="P61" s="1412"/>
      <c r="Q61" s="113"/>
      <c r="R61" s="1412"/>
      <c r="S61" s="113"/>
      <c r="T61" s="1412"/>
      <c r="U61" s="113"/>
      <c r="V61" s="1316"/>
      <c r="W61" s="113"/>
      <c r="X61" s="1412"/>
      <c r="Y61" s="113"/>
      <c r="Z61" s="1412"/>
      <c r="AA61" s="113"/>
      <c r="AB61" s="1316"/>
      <c r="AC61" s="113"/>
      <c r="AD61" s="1412"/>
      <c r="AE61" s="1412"/>
      <c r="AF61" s="1336"/>
      <c r="AG61" s="1327"/>
      <c r="AH61" s="1381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CA61" s="1382"/>
      <c r="CB61" s="1382"/>
      <c r="CC61" s="1382"/>
      <c r="CD61" s="1382"/>
      <c r="CE61" s="1382"/>
      <c r="CF61" s="1382"/>
      <c r="CG61" s="1383"/>
      <c r="CH61" s="1383"/>
      <c r="CI61" s="1368"/>
      <c r="CJ61" s="1368"/>
      <c r="CK61" s="1368"/>
      <c r="CL61" s="1368"/>
      <c r="CM61" s="1368"/>
      <c r="CN61" s="1368"/>
      <c r="CO61" s="1368"/>
      <c r="CP61" s="1369"/>
      <c r="CQ61" s="1369"/>
      <c r="CR61" s="1369"/>
      <c r="CS61" s="1369"/>
      <c r="CT61" s="1369"/>
      <c r="CU61" s="1369"/>
      <c r="CV61" s="1369"/>
      <c r="CW61" s="1369"/>
      <c r="CX61" s="1369"/>
      <c r="CY61" s="1369"/>
      <c r="CZ61" s="1369"/>
    </row>
    <row r="62" spans="1:104" s="1370" customFormat="1" ht="18.75" customHeight="1" x14ac:dyDescent="0.2">
      <c r="A62" s="1384" t="s">
        <v>2073</v>
      </c>
      <c r="B62" s="1427"/>
      <c r="C62" s="258">
        <f t="shared" si="10"/>
        <v>0</v>
      </c>
      <c r="D62" s="137"/>
      <c r="E62" s="115"/>
      <c r="F62" s="164"/>
      <c r="G62" s="1307"/>
      <c r="H62" s="1412"/>
      <c r="I62" s="1412"/>
      <c r="J62" s="1412"/>
      <c r="K62" s="1426"/>
      <c r="L62" s="1412"/>
      <c r="M62" s="1412"/>
      <c r="N62" s="1412"/>
      <c r="O62" s="1336"/>
      <c r="P62" s="1412"/>
      <c r="Q62" s="1412"/>
      <c r="R62" s="1412"/>
      <c r="S62" s="1412"/>
      <c r="T62" s="1412"/>
      <c r="U62" s="1412"/>
      <c r="V62" s="1412"/>
      <c r="W62" s="1336"/>
      <c r="X62" s="1412"/>
      <c r="Y62" s="1412"/>
      <c r="Z62" s="1412"/>
      <c r="AA62" s="1426"/>
      <c r="AB62" s="1412"/>
      <c r="AC62" s="1311"/>
      <c r="AD62" s="1426"/>
      <c r="AE62" s="1412"/>
      <c r="AF62" s="1336"/>
      <c r="AG62" s="1327"/>
      <c r="AH62" s="1381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CA62" s="1382"/>
      <c r="CB62" s="1382"/>
      <c r="CC62" s="1382"/>
      <c r="CD62" s="1382"/>
      <c r="CE62" s="1382"/>
      <c r="CF62" s="1382"/>
      <c r="CG62" s="1383"/>
      <c r="CH62" s="1383"/>
      <c r="CI62" s="1368"/>
      <c r="CJ62" s="1368"/>
      <c r="CK62" s="1368"/>
      <c r="CL62" s="1368"/>
      <c r="CM62" s="1368"/>
      <c r="CN62" s="1368"/>
      <c r="CO62" s="1368"/>
      <c r="CP62" s="1369"/>
      <c r="CQ62" s="1369"/>
      <c r="CR62" s="1369"/>
      <c r="CS62" s="1369"/>
      <c r="CT62" s="1369"/>
      <c r="CU62" s="1369"/>
      <c r="CV62" s="1369"/>
      <c r="CW62" s="1369"/>
      <c r="CX62" s="1369"/>
      <c r="CY62" s="1369"/>
      <c r="CZ62" s="1369"/>
    </row>
    <row r="63" spans="1:104" s="1370" customFormat="1" ht="20.25" customHeight="1" x14ac:dyDescent="0.2">
      <c r="A63" s="1384" t="s">
        <v>2074</v>
      </c>
      <c r="B63" s="1427"/>
      <c r="C63" s="258">
        <f t="shared" si="10"/>
        <v>0</v>
      </c>
      <c r="D63" s="110"/>
      <c r="E63" s="111"/>
      <c r="F63" s="144"/>
      <c r="G63" s="1307"/>
      <c r="H63" s="1412"/>
      <c r="I63" s="1412"/>
      <c r="J63" s="1412"/>
      <c r="K63" s="1426"/>
      <c r="L63" s="1412"/>
      <c r="M63" s="1412"/>
      <c r="N63" s="1412"/>
      <c r="O63" s="1336"/>
      <c r="P63" s="1412"/>
      <c r="Q63" s="1412"/>
      <c r="R63" s="1412"/>
      <c r="S63" s="1412"/>
      <c r="T63" s="1412"/>
      <c r="U63" s="1412"/>
      <c r="V63" s="1412"/>
      <c r="W63" s="1412"/>
      <c r="X63" s="1412"/>
      <c r="Y63" s="1412"/>
      <c r="Z63" s="1412"/>
      <c r="AA63" s="1426"/>
      <c r="AB63" s="1426"/>
      <c r="AC63" s="1426"/>
      <c r="AD63" s="1426"/>
      <c r="AE63" s="1412"/>
      <c r="AF63" s="1336"/>
      <c r="AG63" s="1327"/>
      <c r="AH63" s="1381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CA63" s="1382"/>
      <c r="CB63" s="1382"/>
      <c r="CC63" s="1382"/>
      <c r="CD63" s="1382"/>
      <c r="CE63" s="1382"/>
      <c r="CF63" s="1382"/>
      <c r="CG63" s="1383"/>
      <c r="CH63" s="1383"/>
      <c r="CI63" s="1368"/>
      <c r="CJ63" s="1368"/>
      <c r="CK63" s="1368"/>
      <c r="CL63" s="1368"/>
      <c r="CM63" s="1368"/>
      <c r="CN63" s="1368"/>
      <c r="CO63" s="1368"/>
      <c r="CP63" s="1369"/>
      <c r="CQ63" s="1369"/>
      <c r="CR63" s="1369"/>
      <c r="CS63" s="1369"/>
      <c r="CT63" s="1369"/>
      <c r="CU63" s="1369"/>
      <c r="CV63" s="1369"/>
      <c r="CW63" s="1369"/>
      <c r="CX63" s="1369"/>
      <c r="CY63" s="1369"/>
      <c r="CZ63" s="1369"/>
    </row>
    <row r="64" spans="1:104" s="1370" customFormat="1" ht="22.5" customHeight="1" x14ac:dyDescent="0.2">
      <c r="A64" s="1384" t="s">
        <v>2075</v>
      </c>
      <c r="B64" s="1427"/>
      <c r="C64" s="258">
        <f t="shared" si="10"/>
        <v>0</v>
      </c>
      <c r="D64" s="110"/>
      <c r="E64" s="111"/>
      <c r="F64" s="144"/>
      <c r="G64" s="1307"/>
      <c r="H64" s="1412"/>
      <c r="I64" s="1412"/>
      <c r="J64" s="1412"/>
      <c r="K64" s="1426"/>
      <c r="L64" s="1412"/>
      <c r="M64" s="1412"/>
      <c r="N64" s="1412"/>
      <c r="O64" s="1336"/>
      <c r="P64" s="1412"/>
      <c r="Q64" s="1412"/>
      <c r="R64" s="1412"/>
      <c r="S64" s="1412"/>
      <c r="T64" s="1412"/>
      <c r="U64" s="1412"/>
      <c r="V64" s="1412"/>
      <c r="W64" s="1412"/>
      <c r="X64" s="1412"/>
      <c r="Y64" s="1412"/>
      <c r="Z64" s="1412"/>
      <c r="AA64" s="1426"/>
      <c r="AB64" s="1426"/>
      <c r="AC64" s="1426"/>
      <c r="AD64" s="1426"/>
      <c r="AE64" s="1412"/>
      <c r="AF64" s="1336"/>
      <c r="AG64" s="1327"/>
      <c r="AH64" s="1381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CA64" s="1382"/>
      <c r="CB64" s="1382"/>
      <c r="CC64" s="1382"/>
      <c r="CD64" s="1382"/>
      <c r="CE64" s="1382"/>
      <c r="CF64" s="1382"/>
      <c r="CG64" s="1383"/>
      <c r="CH64" s="1383"/>
      <c r="CI64" s="1368"/>
      <c r="CJ64" s="1368"/>
      <c r="CK64" s="1368"/>
      <c r="CL64" s="1368"/>
      <c r="CM64" s="1368"/>
      <c r="CN64" s="1368"/>
      <c r="CO64" s="1368"/>
      <c r="CP64" s="1369"/>
      <c r="CQ64" s="1369"/>
      <c r="CR64" s="1369"/>
      <c r="CS64" s="1369"/>
      <c r="CT64" s="1369"/>
      <c r="CU64" s="1369"/>
      <c r="CV64" s="1369"/>
      <c r="CW64" s="1369"/>
      <c r="CX64" s="1369"/>
      <c r="CY64" s="1369"/>
      <c r="CZ64" s="1369"/>
    </row>
    <row r="65" spans="1:104" s="1370" customFormat="1" ht="18.75" customHeight="1" x14ac:dyDescent="0.2">
      <c r="A65" s="1384" t="s">
        <v>2076</v>
      </c>
      <c r="B65" s="1427"/>
      <c r="C65" s="258">
        <f t="shared" si="10"/>
        <v>0</v>
      </c>
      <c r="D65" s="110"/>
      <c r="E65" s="111"/>
      <c r="F65" s="144"/>
      <c r="G65" s="1307"/>
      <c r="H65" s="1412"/>
      <c r="I65" s="1412"/>
      <c r="J65" s="1412"/>
      <c r="K65" s="1426"/>
      <c r="L65" s="1412"/>
      <c r="M65" s="1412"/>
      <c r="N65" s="1412"/>
      <c r="O65" s="1336"/>
      <c r="P65" s="1412"/>
      <c r="Q65" s="1412"/>
      <c r="R65" s="1412"/>
      <c r="S65" s="1412"/>
      <c r="T65" s="1412"/>
      <c r="U65" s="1412"/>
      <c r="V65" s="1412"/>
      <c r="W65" s="1412"/>
      <c r="X65" s="1412"/>
      <c r="Y65" s="1412"/>
      <c r="Z65" s="1412"/>
      <c r="AA65" s="1426"/>
      <c r="AB65" s="1426"/>
      <c r="AC65" s="1426"/>
      <c r="AD65" s="1426"/>
      <c r="AE65" s="1412"/>
      <c r="AF65" s="1336"/>
      <c r="AG65" s="1327"/>
      <c r="AH65" s="1381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CA65" s="1382"/>
      <c r="CB65" s="1382"/>
      <c r="CC65" s="1382"/>
      <c r="CD65" s="1382"/>
      <c r="CE65" s="1382"/>
      <c r="CF65" s="1382"/>
      <c r="CG65" s="1383"/>
      <c r="CH65" s="1383"/>
      <c r="CI65" s="1368"/>
      <c r="CJ65" s="1368"/>
      <c r="CK65" s="1368"/>
      <c r="CL65" s="1368"/>
      <c r="CM65" s="1368"/>
      <c r="CN65" s="1368"/>
      <c r="CO65" s="1368"/>
      <c r="CP65" s="1369"/>
      <c r="CQ65" s="1369"/>
      <c r="CR65" s="1369"/>
      <c r="CS65" s="1369"/>
      <c r="CT65" s="1369"/>
      <c r="CU65" s="1369"/>
      <c r="CV65" s="1369"/>
      <c r="CW65" s="1369"/>
      <c r="CX65" s="1369"/>
      <c r="CY65" s="1369"/>
      <c r="CZ65" s="1369"/>
    </row>
    <row r="66" spans="1:104" s="1370" customFormat="1" ht="21" customHeight="1" x14ac:dyDescent="0.2">
      <c r="A66" s="10632" t="s">
        <v>605</v>
      </c>
      <c r="B66" s="10633"/>
      <c r="C66" s="258">
        <f t="shared" si="10"/>
        <v>0</v>
      </c>
      <c r="D66" s="110"/>
      <c r="E66" s="111"/>
      <c r="F66" s="144"/>
      <c r="G66" s="1307"/>
      <c r="H66" s="1412"/>
      <c r="I66" s="1412"/>
      <c r="J66" s="1412"/>
      <c r="K66" s="1426"/>
      <c r="L66" s="1412"/>
      <c r="M66" s="1412"/>
      <c r="N66" s="1412"/>
      <c r="O66" s="1336"/>
      <c r="P66" s="1412"/>
      <c r="Q66" s="1412"/>
      <c r="R66" s="1412"/>
      <c r="S66" s="1412"/>
      <c r="T66" s="1412"/>
      <c r="U66" s="1412"/>
      <c r="V66" s="1412"/>
      <c r="W66" s="1412"/>
      <c r="X66" s="1412"/>
      <c r="Y66" s="1412"/>
      <c r="Z66" s="1412"/>
      <c r="AA66" s="1426"/>
      <c r="AB66" s="1426"/>
      <c r="AC66" s="1426"/>
      <c r="AD66" s="1426"/>
      <c r="AE66" s="1412"/>
      <c r="AF66" s="1336"/>
      <c r="AG66" s="1327"/>
      <c r="AH66" s="1381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CA66" s="1382"/>
      <c r="CB66" s="1382"/>
      <c r="CC66" s="1382"/>
      <c r="CD66" s="1382"/>
      <c r="CE66" s="1382"/>
      <c r="CF66" s="1382"/>
      <c r="CG66" s="1383"/>
      <c r="CH66" s="1383"/>
      <c r="CI66" s="1368"/>
      <c r="CJ66" s="1368"/>
      <c r="CK66" s="1368"/>
      <c r="CL66" s="1368"/>
      <c r="CM66" s="1368"/>
      <c r="CN66" s="1368"/>
      <c r="CO66" s="1368"/>
      <c r="CP66" s="1369"/>
      <c r="CQ66" s="1369"/>
      <c r="CR66" s="1369"/>
      <c r="CS66" s="1369"/>
      <c r="CT66" s="1369"/>
      <c r="CU66" s="1369"/>
      <c r="CV66" s="1369"/>
      <c r="CW66" s="1369"/>
      <c r="CX66" s="1369"/>
      <c r="CY66" s="1369"/>
      <c r="CZ66" s="1369"/>
    </row>
    <row r="67" spans="1:104" s="1370" customFormat="1" ht="18.75" customHeight="1" x14ac:dyDescent="0.2">
      <c r="A67" s="1428" t="s">
        <v>2077</v>
      </c>
      <c r="C67" s="1429">
        <f t="shared" si="10"/>
        <v>0</v>
      </c>
      <c r="D67" s="148"/>
      <c r="E67" s="95"/>
      <c r="F67" s="1430"/>
      <c r="G67" s="1309"/>
      <c r="H67" s="1341"/>
      <c r="I67" s="1341"/>
      <c r="J67" s="1341"/>
      <c r="K67" s="175"/>
      <c r="L67" s="1341"/>
      <c r="M67" s="1341"/>
      <c r="N67" s="1341"/>
      <c r="O67" s="102"/>
      <c r="P67" s="1341"/>
      <c r="Q67" s="1341"/>
      <c r="R67" s="1341"/>
      <c r="S67" s="1341"/>
      <c r="T67" s="1341"/>
      <c r="U67" s="1341"/>
      <c r="V67" s="1341"/>
      <c r="W67" s="1341"/>
      <c r="X67" s="1341"/>
      <c r="Y67" s="1341"/>
      <c r="Z67" s="1341"/>
      <c r="AA67" s="175"/>
      <c r="AB67" s="175"/>
      <c r="AC67" s="175"/>
      <c r="AD67" s="175"/>
      <c r="AE67" s="1341"/>
      <c r="AF67" s="102"/>
      <c r="AG67" s="1337"/>
      <c r="AH67" s="1381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CA67" s="1382"/>
      <c r="CB67" s="1382"/>
      <c r="CC67" s="1382"/>
      <c r="CD67" s="1382"/>
      <c r="CE67" s="1382"/>
      <c r="CF67" s="1382"/>
      <c r="CG67" s="1383"/>
      <c r="CH67" s="1383"/>
      <c r="CI67" s="1368"/>
      <c r="CJ67" s="1368"/>
      <c r="CK67" s="1368"/>
      <c r="CL67" s="1368"/>
      <c r="CM67" s="1368"/>
      <c r="CN67" s="1368"/>
      <c r="CO67" s="1368"/>
      <c r="CP67" s="1369"/>
      <c r="CQ67" s="1369"/>
      <c r="CR67" s="1369"/>
      <c r="CS67" s="1369"/>
      <c r="CT67" s="1369"/>
      <c r="CU67" s="1369"/>
      <c r="CV67" s="1369"/>
      <c r="CW67" s="1369"/>
      <c r="CX67" s="1369"/>
      <c r="CY67" s="1369"/>
      <c r="CZ67" s="1369"/>
    </row>
    <row r="68" spans="1:104" ht="21" customHeight="1" x14ac:dyDescent="0.25">
      <c r="A68" s="10651" t="s">
        <v>44</v>
      </c>
      <c r="B68" s="10652"/>
      <c r="C68" s="478">
        <f>SUM(C52:C67)</f>
        <v>0</v>
      </c>
      <c r="D68" s="482">
        <f>SUM(D52:D67)</f>
        <v>0</v>
      </c>
      <c r="E68" s="491">
        <f>SUM(E52:E67)</f>
        <v>0</v>
      </c>
      <c r="F68" s="1360">
        <f t="shared" ref="F68:AF68" si="11">SUM(F52:F67)</f>
        <v>0</v>
      </c>
      <c r="G68" s="561">
        <f t="shared" si="11"/>
        <v>0</v>
      </c>
      <c r="H68" s="1431">
        <f t="shared" si="11"/>
        <v>0</v>
      </c>
      <c r="I68" s="1431">
        <f t="shared" si="11"/>
        <v>0</v>
      </c>
      <c r="J68" s="1431">
        <f t="shared" si="11"/>
        <v>0</v>
      </c>
      <c r="K68" s="676">
        <f t="shared" si="11"/>
        <v>0</v>
      </c>
      <c r="L68" s="1431">
        <f t="shared" si="11"/>
        <v>0</v>
      </c>
      <c r="M68" s="1431">
        <f t="shared" si="11"/>
        <v>0</v>
      </c>
      <c r="N68" s="1431">
        <f t="shared" si="11"/>
        <v>0</v>
      </c>
      <c r="O68" s="492">
        <f t="shared" si="11"/>
        <v>0</v>
      </c>
      <c r="P68" s="1431">
        <f t="shared" si="11"/>
        <v>0</v>
      </c>
      <c r="Q68" s="1431">
        <f t="shared" si="11"/>
        <v>0</v>
      </c>
      <c r="R68" s="1431">
        <f t="shared" si="11"/>
        <v>0</v>
      </c>
      <c r="S68" s="1431">
        <f t="shared" si="11"/>
        <v>0</v>
      </c>
      <c r="T68" s="1431">
        <f t="shared" si="11"/>
        <v>0</v>
      </c>
      <c r="U68" s="1431">
        <f t="shared" si="11"/>
        <v>0</v>
      </c>
      <c r="V68" s="1431">
        <f t="shared" si="11"/>
        <v>0</v>
      </c>
      <c r="W68" s="1431">
        <f t="shared" si="11"/>
        <v>0</v>
      </c>
      <c r="X68" s="1431">
        <f t="shared" si="11"/>
        <v>0</v>
      </c>
      <c r="Y68" s="1431">
        <f t="shared" si="11"/>
        <v>0</v>
      </c>
      <c r="Z68" s="1431">
        <f t="shared" si="11"/>
        <v>0</v>
      </c>
      <c r="AA68" s="676">
        <f t="shared" si="11"/>
        <v>0</v>
      </c>
      <c r="AB68" s="676">
        <f t="shared" si="11"/>
        <v>0</v>
      </c>
      <c r="AC68" s="676">
        <f t="shared" si="11"/>
        <v>0</v>
      </c>
      <c r="AD68" s="676">
        <f>SUM(AD52:AD67)</f>
        <v>0</v>
      </c>
      <c r="AE68" s="1431">
        <f t="shared" si="11"/>
        <v>0</v>
      </c>
      <c r="AF68" s="492">
        <f t="shared" si="11"/>
        <v>0</v>
      </c>
      <c r="AG68" s="675">
        <f>SUM(AG52:AG67)</f>
        <v>0</v>
      </c>
      <c r="CG68" s="1383"/>
      <c r="CH68" s="1383"/>
    </row>
    <row r="69" spans="1:104" ht="25.5" customHeight="1" x14ac:dyDescent="0.25">
      <c r="A69" s="1366" t="s">
        <v>2078</v>
      </c>
      <c r="B69" s="1363"/>
      <c r="C69" s="1363"/>
      <c r="D69" s="1363"/>
      <c r="E69" s="1363"/>
      <c r="F69" s="1363"/>
      <c r="G69" s="1363"/>
      <c r="H69" s="1363"/>
      <c r="I69" s="1363"/>
      <c r="J69" s="1363"/>
      <c r="K69" s="1363"/>
      <c r="L69" s="1363"/>
      <c r="M69" s="1363"/>
      <c r="N69" s="1363"/>
      <c r="O69" s="1363"/>
      <c r="P69" s="1363"/>
      <c r="Q69" s="1363"/>
      <c r="R69" s="1363"/>
      <c r="S69" s="1363"/>
      <c r="T69" s="1363"/>
      <c r="U69" s="1363"/>
      <c r="V69" s="1363"/>
      <c r="W69" s="1363"/>
      <c r="X69" s="1363"/>
      <c r="Y69" s="1363"/>
      <c r="Z69" s="1363"/>
      <c r="AA69" s="1363"/>
      <c r="AB69" s="1363"/>
      <c r="AC69" s="1363"/>
      <c r="AD69" s="1363"/>
      <c r="AE69" s="1363"/>
      <c r="AF69" s="1363"/>
      <c r="AG69" s="1363"/>
      <c r="AH69" s="1363"/>
      <c r="AI69" s="1363"/>
      <c r="AJ69" s="1363"/>
      <c r="AK69" s="1363"/>
      <c r="AL69" s="1363"/>
      <c r="AM69" s="1363"/>
      <c r="AN69" s="1363"/>
      <c r="AO69" s="1363"/>
      <c r="AP69" s="1363"/>
      <c r="AQ69" s="1363"/>
      <c r="AR69" s="1363"/>
      <c r="CG69" s="1383"/>
      <c r="CH69" s="1383"/>
    </row>
    <row r="70" spans="1:104" ht="21" customHeight="1" x14ac:dyDescent="0.25">
      <c r="A70" s="10608" t="s">
        <v>2054</v>
      </c>
      <c r="B70" s="10609"/>
      <c r="C70" s="10629" t="s">
        <v>2361</v>
      </c>
      <c r="D70" s="10608" t="s">
        <v>604</v>
      </c>
      <c r="E70" s="10608"/>
      <c r="F70" s="10609"/>
      <c r="G70" s="10653" t="s">
        <v>603</v>
      </c>
      <c r="H70" s="10654"/>
      <c r="I70" s="10654"/>
      <c r="J70" s="10654"/>
      <c r="K70" s="10654"/>
      <c r="L70" s="10654"/>
      <c r="M70" s="10654"/>
      <c r="N70" s="10655"/>
      <c r="O70" s="10656" t="s">
        <v>372</v>
      </c>
      <c r="P70" s="10609" t="s">
        <v>428</v>
      </c>
      <c r="Q70" s="10622" t="s">
        <v>373</v>
      </c>
      <c r="R70" s="10622" t="s">
        <v>358</v>
      </c>
      <c r="S70" s="10609" t="s">
        <v>360</v>
      </c>
      <c r="T70" s="10622" t="s">
        <v>359</v>
      </c>
      <c r="U70" s="10622" t="s">
        <v>427</v>
      </c>
      <c r="CG70" s="1383"/>
      <c r="CH70" s="1383"/>
    </row>
    <row r="71" spans="1:104" ht="18.75" customHeight="1" x14ac:dyDescent="0.25">
      <c r="A71" s="10610"/>
      <c r="B71" s="10611"/>
      <c r="C71" s="10630"/>
      <c r="D71" s="10610"/>
      <c r="E71" s="10610"/>
      <c r="F71" s="10611"/>
      <c r="G71" s="10653" t="s">
        <v>602</v>
      </c>
      <c r="H71" s="10658"/>
      <c r="I71" s="10653" t="s">
        <v>601</v>
      </c>
      <c r="J71" s="10658"/>
      <c r="K71" s="10653" t="s">
        <v>114</v>
      </c>
      <c r="L71" s="10658"/>
      <c r="M71" s="10653" t="s">
        <v>600</v>
      </c>
      <c r="N71" s="10655"/>
      <c r="O71" s="10657"/>
      <c r="P71" s="10611"/>
      <c r="Q71" s="10623"/>
      <c r="R71" s="10623"/>
      <c r="S71" s="10611"/>
      <c r="T71" s="10623"/>
      <c r="U71" s="10623"/>
      <c r="CG71" s="1383"/>
      <c r="CH71" s="1383"/>
    </row>
    <row r="72" spans="1:104" ht="22.5" customHeight="1" x14ac:dyDescent="0.25">
      <c r="A72" s="10612"/>
      <c r="B72" s="10613"/>
      <c r="C72" s="10631"/>
      <c r="D72" s="1432" t="s">
        <v>42</v>
      </c>
      <c r="E72" s="1965" t="s">
        <v>17</v>
      </c>
      <c r="F72" s="1963" t="s">
        <v>18</v>
      </c>
      <c r="G72" s="2093" t="s">
        <v>17</v>
      </c>
      <c r="H72" s="2094" t="s">
        <v>18</v>
      </c>
      <c r="I72" s="2093" t="s">
        <v>17</v>
      </c>
      <c r="J72" s="2094" t="s">
        <v>18</v>
      </c>
      <c r="K72" s="2093" t="s">
        <v>17</v>
      </c>
      <c r="L72" s="2094" t="s">
        <v>18</v>
      </c>
      <c r="M72" s="2093" t="s">
        <v>17</v>
      </c>
      <c r="N72" s="2095" t="s">
        <v>18</v>
      </c>
      <c r="O72" s="9667"/>
      <c r="P72" s="10613"/>
      <c r="Q72" s="10624"/>
      <c r="R72" s="10624"/>
      <c r="S72" s="10613"/>
      <c r="T72" s="10624"/>
      <c r="U72" s="10624"/>
      <c r="CG72" s="1383"/>
      <c r="CH72" s="1383"/>
    </row>
    <row r="73" spans="1:104" ht="20.25" customHeight="1" x14ac:dyDescent="0.25">
      <c r="A73" s="10659" t="s">
        <v>429</v>
      </c>
      <c r="B73" s="10660"/>
      <c r="C73" s="1330"/>
      <c r="D73" s="163">
        <f>SUM(E73:F73)</f>
        <v>0</v>
      </c>
      <c r="E73" s="1966">
        <f>SUM(G73+I73+K73+M73)</f>
        <v>0</v>
      </c>
      <c r="F73" s="920">
        <f>SUM(H73+J73+L73+N73)</f>
        <v>0</v>
      </c>
      <c r="G73" s="1332"/>
      <c r="H73" s="1338"/>
      <c r="I73" s="1618"/>
      <c r="J73" s="1338"/>
      <c r="K73" s="1618"/>
      <c r="L73" s="1338"/>
      <c r="M73" s="1618"/>
      <c r="N73" s="1339"/>
      <c r="O73" s="1985"/>
      <c r="P73" s="465"/>
      <c r="Q73" s="466"/>
      <c r="R73" s="466"/>
      <c r="S73" s="466"/>
      <c r="T73" s="466"/>
      <c r="U73" s="466"/>
      <c r="V73" s="1381" t="str">
        <f>CA73&amp;CC73&amp;CB73</f>
        <v/>
      </c>
      <c r="CA73" s="1382" t="str">
        <f>IF(CG73=1,"* No olvide digitar la columna Pacientes y/o Familiares y/o Funcionarios y/o Beneficiarios y/o Pueblos Originario y/o Migrantes y/o Población SENAME (Digite Cero si no tiene). ","")</f>
        <v/>
      </c>
      <c r="CB73" s="1382" t="str">
        <f>IF(CH73=1,"* El número de Beneficiarios y/o Pueblos Originarios y/o Migrantes y/o Población SENAME NO DEBE ser mayor que el Total. ","")</f>
        <v/>
      </c>
      <c r="CC73" s="1382" t="str">
        <f>IF(CI73=1,"* La suma de Pacientes, Familiares/Cuidadores de los pacientes y Funcionarios debe ser mayor o igual al Total de Participantes.","")</f>
        <v/>
      </c>
      <c r="CD73" s="1382"/>
      <c r="CE73" s="1382"/>
      <c r="CF73" s="1382"/>
      <c r="CG73" s="1383">
        <f>IF(AND(D73&lt;&gt;0,OR(R73="",O73="",P73="",Q73="",R73="",S73="",T73="")),1,0)</f>
        <v>0</v>
      </c>
      <c r="CH73" s="1383">
        <f>IF(OR(D73&lt;R73,D73&lt;S73,D73&lt;T73),1,0)</f>
        <v>0</v>
      </c>
      <c r="CI73" s="1383">
        <f>IF(D73&gt;(O73+P73+Q73),1,0)</f>
        <v>0</v>
      </c>
    </row>
    <row r="74" spans="1:104" ht="20.25" customHeight="1" x14ac:dyDescent="0.25">
      <c r="A74" s="10647" t="s">
        <v>430</v>
      </c>
      <c r="B74" s="10648"/>
      <c r="C74" s="1331"/>
      <c r="D74" s="163">
        <f t="shared" ref="D74:D86" si="12">SUM(E74:F74)</f>
        <v>0</v>
      </c>
      <c r="E74" s="1966">
        <f t="shared" ref="E74:E86" si="13">SUM(G74+I74+K74+M74)</f>
        <v>0</v>
      </c>
      <c r="F74" s="920">
        <f t="shared" ref="F74:F86" si="14">SUM(H74+J74+L74+N74)</f>
        <v>0</v>
      </c>
      <c r="G74" s="1332"/>
      <c r="H74" s="1338"/>
      <c r="I74" s="1618"/>
      <c r="J74" s="1338"/>
      <c r="K74" s="1618"/>
      <c r="L74" s="1338"/>
      <c r="M74" s="1618"/>
      <c r="N74" s="1339"/>
      <c r="O74" s="1988"/>
      <c r="P74" s="144"/>
      <c r="Q74" s="123"/>
      <c r="R74" s="123"/>
      <c r="S74" s="123"/>
      <c r="T74" s="123"/>
      <c r="U74" s="123"/>
      <c r="V74" s="1381" t="str">
        <f t="shared" ref="V74:V86" si="15">CA74&amp;CC74&amp;CB74</f>
        <v/>
      </c>
      <c r="CA74" s="1382" t="str">
        <f>IF(CG74=1,"* No olvide digitar la columna Pacientes y/o Familiares y/o Funcionarios y/o Beneficiarios y/o Pueblos Originario y/o Migrantes y/o Población SENAME (Digite Cero si no tiene). ","")</f>
        <v/>
      </c>
      <c r="CB74" s="1382" t="str">
        <f>IF(CH74=1,"* El número de Beneficiarios y/o Pueblos Originarios y/o Migrantes y/o Población SENAME NO DEBE ser mayor que el Total. ","")</f>
        <v/>
      </c>
      <c r="CC74" s="1382" t="str">
        <f t="shared" ref="CC74:CC86" si="16">IF(CI74=1,"* La suma de Pacientes, Familiares/Cuidadores de los pacientes y Funcionarios debe ser mayor o igual al Total de Participantes.","")</f>
        <v/>
      </c>
      <c r="CD74" s="1382"/>
      <c r="CE74" s="1382"/>
      <c r="CF74" s="1382"/>
      <c r="CG74" s="1383">
        <f t="shared" ref="CG74:CG86" si="17">IF(AND(D74&lt;&gt;0,OR(R74="",O74="",P74="",Q74="",R74="",S74="",T74="")),1,0)</f>
        <v>0</v>
      </c>
      <c r="CH74" s="1383">
        <f t="shared" ref="CH74:CH86" si="18">IF(OR(D74&lt;R74,D74&lt;S74,D74&lt;T74),1,0)</f>
        <v>0</v>
      </c>
      <c r="CI74" s="1383">
        <f t="shared" ref="CI74:CI86" si="19">IF(D74&gt;(O74+P74+Q74),1,0)</f>
        <v>0</v>
      </c>
    </row>
    <row r="75" spans="1:104" ht="20.25" customHeight="1" x14ac:dyDescent="0.25">
      <c r="A75" s="10647" t="s">
        <v>438</v>
      </c>
      <c r="B75" s="10648"/>
      <c r="C75" s="1331"/>
      <c r="D75" s="163">
        <f t="shared" si="12"/>
        <v>0</v>
      </c>
      <c r="E75" s="1966">
        <f t="shared" si="13"/>
        <v>0</v>
      </c>
      <c r="F75" s="920">
        <f t="shared" si="14"/>
        <v>0</v>
      </c>
      <c r="G75" s="1332"/>
      <c r="H75" s="1338"/>
      <c r="I75" s="1618"/>
      <c r="J75" s="1338"/>
      <c r="K75" s="1618"/>
      <c r="L75" s="1338"/>
      <c r="M75" s="1618"/>
      <c r="N75" s="1339"/>
      <c r="O75" s="1988"/>
      <c r="P75" s="144"/>
      <c r="Q75" s="123"/>
      <c r="R75" s="123"/>
      <c r="S75" s="123"/>
      <c r="T75" s="123"/>
      <c r="U75" s="123"/>
      <c r="V75" s="1381" t="str">
        <f t="shared" si="15"/>
        <v/>
      </c>
      <c r="CA75" s="1382" t="str">
        <f t="shared" ref="CA75:CA86" si="20">IF(CG75=1,"* No olvide digitar la columna Pacientes y/o Familiares y/o Funcionarios y/o Beneficiarios y/o Pueblos Originario y/o Migrantes y/o Población SENAME (Digite Cero si no tiene). ","")</f>
        <v/>
      </c>
      <c r="CB75" s="1382" t="str">
        <f t="shared" ref="CB75:CB86" si="21">IF(CH75=1,"* El número de Beneficiarios y/o Pueblos Originarios y/o Migrantes y/o Población SENAME NO DEBE ser mayor que el Total. ","")</f>
        <v/>
      </c>
      <c r="CC75" s="1382" t="str">
        <f t="shared" si="16"/>
        <v/>
      </c>
      <c r="CD75" s="1382"/>
      <c r="CE75" s="1382"/>
      <c r="CF75" s="1382"/>
      <c r="CG75" s="1383">
        <f t="shared" si="17"/>
        <v>0</v>
      </c>
      <c r="CH75" s="1383">
        <f t="shared" si="18"/>
        <v>0</v>
      </c>
      <c r="CI75" s="1383">
        <f t="shared" si="19"/>
        <v>0</v>
      </c>
    </row>
    <row r="76" spans="1:104" ht="20.25" customHeight="1" x14ac:dyDescent="0.25">
      <c r="A76" s="10647" t="s">
        <v>439</v>
      </c>
      <c r="B76" s="10648"/>
      <c r="C76" s="1331"/>
      <c r="D76" s="163">
        <f t="shared" si="12"/>
        <v>0</v>
      </c>
      <c r="E76" s="1966">
        <f t="shared" si="13"/>
        <v>0</v>
      </c>
      <c r="F76" s="920">
        <f t="shared" si="14"/>
        <v>0</v>
      </c>
      <c r="G76" s="1332"/>
      <c r="H76" s="1338"/>
      <c r="I76" s="1618"/>
      <c r="J76" s="1338"/>
      <c r="K76" s="1618"/>
      <c r="L76" s="1338"/>
      <c r="M76" s="1618"/>
      <c r="N76" s="1339"/>
      <c r="O76" s="1988"/>
      <c r="P76" s="144"/>
      <c r="Q76" s="123"/>
      <c r="R76" s="123"/>
      <c r="S76" s="123"/>
      <c r="T76" s="123"/>
      <c r="U76" s="123"/>
      <c r="V76" s="1381" t="str">
        <f t="shared" si="15"/>
        <v/>
      </c>
      <c r="CA76" s="1382" t="str">
        <f t="shared" si="20"/>
        <v/>
      </c>
      <c r="CB76" s="1382" t="str">
        <f t="shared" si="21"/>
        <v/>
      </c>
      <c r="CC76" s="1382" t="str">
        <f t="shared" si="16"/>
        <v/>
      </c>
      <c r="CD76" s="1382"/>
      <c r="CE76" s="1382"/>
      <c r="CF76" s="1382"/>
      <c r="CG76" s="1383">
        <f t="shared" si="17"/>
        <v>0</v>
      </c>
      <c r="CH76" s="1383">
        <f t="shared" si="18"/>
        <v>0</v>
      </c>
      <c r="CI76" s="1383">
        <f t="shared" si="19"/>
        <v>0</v>
      </c>
    </row>
    <row r="77" spans="1:104" ht="20.25" customHeight="1" x14ac:dyDescent="0.25">
      <c r="A77" s="10647" t="s">
        <v>435</v>
      </c>
      <c r="B77" s="10648"/>
      <c r="C77" s="1331"/>
      <c r="D77" s="163">
        <f>SUM(E77:F77)</f>
        <v>0</v>
      </c>
      <c r="E77" s="1966">
        <f t="shared" si="13"/>
        <v>0</v>
      </c>
      <c r="F77" s="920">
        <f t="shared" si="14"/>
        <v>0</v>
      </c>
      <c r="G77" s="1332"/>
      <c r="H77" s="1338"/>
      <c r="I77" s="1618"/>
      <c r="J77" s="1338"/>
      <c r="K77" s="1618"/>
      <c r="L77" s="1338"/>
      <c r="M77" s="1618"/>
      <c r="N77" s="1339"/>
      <c r="O77" s="1988"/>
      <c r="P77" s="144"/>
      <c r="Q77" s="123"/>
      <c r="R77" s="123"/>
      <c r="S77" s="123"/>
      <c r="T77" s="123"/>
      <c r="U77" s="123"/>
      <c r="V77" s="1381" t="str">
        <f t="shared" si="15"/>
        <v/>
      </c>
      <c r="CA77" s="1382" t="str">
        <f t="shared" si="20"/>
        <v/>
      </c>
      <c r="CB77" s="1382" t="str">
        <f t="shared" si="21"/>
        <v/>
      </c>
      <c r="CC77" s="1382" t="str">
        <f t="shared" si="16"/>
        <v/>
      </c>
      <c r="CD77" s="1382"/>
      <c r="CE77" s="1382"/>
      <c r="CF77" s="1382"/>
      <c r="CG77" s="1383">
        <f t="shared" si="17"/>
        <v>0</v>
      </c>
      <c r="CH77" s="1383">
        <f t="shared" si="18"/>
        <v>0</v>
      </c>
      <c r="CI77" s="1383">
        <f t="shared" si="19"/>
        <v>0</v>
      </c>
    </row>
    <row r="78" spans="1:104" ht="20.25" customHeight="1" x14ac:dyDescent="0.25">
      <c r="A78" s="10647" t="s">
        <v>440</v>
      </c>
      <c r="B78" s="10648"/>
      <c r="C78" s="1331"/>
      <c r="D78" s="1433">
        <f>SUM(E78:F78)</f>
        <v>0</v>
      </c>
      <c r="E78" s="1966">
        <f t="shared" si="13"/>
        <v>0</v>
      </c>
      <c r="F78" s="920">
        <f t="shared" si="14"/>
        <v>0</v>
      </c>
      <c r="G78" s="1332"/>
      <c r="H78" s="1338"/>
      <c r="I78" s="1618"/>
      <c r="J78" s="1338"/>
      <c r="K78" s="1618"/>
      <c r="L78" s="1338"/>
      <c r="M78" s="1618"/>
      <c r="N78" s="1339"/>
      <c r="O78" s="1988"/>
      <c r="P78" s="144"/>
      <c r="Q78" s="123"/>
      <c r="R78" s="123"/>
      <c r="S78" s="123"/>
      <c r="T78" s="123"/>
      <c r="U78" s="123"/>
      <c r="V78" s="1381" t="str">
        <f t="shared" si="15"/>
        <v/>
      </c>
      <c r="CA78" s="1382" t="str">
        <f t="shared" si="20"/>
        <v/>
      </c>
      <c r="CB78" s="1382" t="str">
        <f t="shared" si="21"/>
        <v/>
      </c>
      <c r="CC78" s="1382" t="str">
        <f t="shared" si="16"/>
        <v/>
      </c>
      <c r="CD78" s="1382"/>
      <c r="CE78" s="1382"/>
      <c r="CF78" s="1382"/>
      <c r="CG78" s="1383">
        <f t="shared" si="17"/>
        <v>0</v>
      </c>
      <c r="CH78" s="1383">
        <f t="shared" si="18"/>
        <v>0</v>
      </c>
      <c r="CI78" s="1383">
        <f t="shared" si="19"/>
        <v>0</v>
      </c>
    </row>
    <row r="79" spans="1:104" ht="20.25" customHeight="1" x14ac:dyDescent="0.25">
      <c r="A79" s="10649" t="s">
        <v>387</v>
      </c>
      <c r="B79" s="10650"/>
      <c r="C79" s="1331"/>
      <c r="D79" s="163">
        <f t="shared" si="12"/>
        <v>0</v>
      </c>
      <c r="E79" s="1966">
        <f t="shared" si="13"/>
        <v>0</v>
      </c>
      <c r="F79" s="920">
        <f t="shared" si="14"/>
        <v>0</v>
      </c>
      <c r="G79" s="1332"/>
      <c r="H79" s="1338"/>
      <c r="I79" s="1618"/>
      <c r="J79" s="1338"/>
      <c r="K79" s="1618"/>
      <c r="L79" s="1338"/>
      <c r="M79" s="1618"/>
      <c r="N79" s="1339"/>
      <c r="O79" s="1988"/>
      <c r="P79" s="144"/>
      <c r="Q79" s="123"/>
      <c r="R79" s="123"/>
      <c r="S79" s="123"/>
      <c r="T79" s="123"/>
      <c r="U79" s="123"/>
      <c r="V79" s="1381" t="str">
        <f t="shared" si="15"/>
        <v/>
      </c>
      <c r="CA79" s="1382" t="str">
        <f t="shared" si="20"/>
        <v/>
      </c>
      <c r="CB79" s="1382" t="str">
        <f t="shared" si="21"/>
        <v/>
      </c>
      <c r="CC79" s="1382" t="str">
        <f t="shared" si="16"/>
        <v/>
      </c>
      <c r="CD79" s="1382"/>
      <c r="CE79" s="1382"/>
      <c r="CF79" s="1382"/>
      <c r="CG79" s="1383">
        <f t="shared" si="17"/>
        <v>0</v>
      </c>
      <c r="CH79" s="1383">
        <f t="shared" si="18"/>
        <v>0</v>
      </c>
      <c r="CI79" s="1383">
        <f t="shared" si="19"/>
        <v>0</v>
      </c>
    </row>
    <row r="80" spans="1:104" ht="20.25" customHeight="1" x14ac:dyDescent="0.25">
      <c r="A80" s="10649" t="s">
        <v>441</v>
      </c>
      <c r="B80" s="10650"/>
      <c r="C80" s="1331"/>
      <c r="D80" s="163">
        <f t="shared" si="12"/>
        <v>0</v>
      </c>
      <c r="E80" s="1966">
        <f t="shared" si="13"/>
        <v>0</v>
      </c>
      <c r="F80" s="920">
        <f t="shared" si="14"/>
        <v>0</v>
      </c>
      <c r="G80" s="1332"/>
      <c r="H80" s="1338"/>
      <c r="I80" s="1618"/>
      <c r="J80" s="1338"/>
      <c r="K80" s="1618"/>
      <c r="L80" s="1338"/>
      <c r="M80" s="1618"/>
      <c r="N80" s="1339"/>
      <c r="O80" s="1988"/>
      <c r="P80" s="144"/>
      <c r="Q80" s="123"/>
      <c r="R80" s="123"/>
      <c r="S80" s="123"/>
      <c r="T80" s="123"/>
      <c r="U80" s="123"/>
      <c r="V80" s="1381" t="str">
        <f t="shared" si="15"/>
        <v/>
      </c>
      <c r="CA80" s="1382" t="str">
        <f t="shared" si="20"/>
        <v/>
      </c>
      <c r="CB80" s="1382" t="str">
        <f t="shared" si="21"/>
        <v/>
      </c>
      <c r="CC80" s="1382" t="str">
        <f t="shared" si="16"/>
        <v/>
      </c>
      <c r="CD80" s="1382"/>
      <c r="CE80" s="1382"/>
      <c r="CF80" s="1382"/>
      <c r="CG80" s="1383">
        <f t="shared" si="17"/>
        <v>0</v>
      </c>
      <c r="CH80" s="1383">
        <f t="shared" si="18"/>
        <v>0</v>
      </c>
      <c r="CI80" s="1383">
        <f t="shared" si="19"/>
        <v>0</v>
      </c>
    </row>
    <row r="81" spans="1:102" ht="20.25" customHeight="1" x14ac:dyDescent="0.25">
      <c r="A81" s="1434" t="s">
        <v>2064</v>
      </c>
      <c r="B81" s="1435"/>
      <c r="C81" s="1331"/>
      <c r="D81" s="1433">
        <f>SUM(E81:F81)</f>
        <v>0</v>
      </c>
      <c r="E81" s="1966">
        <f t="shared" si="13"/>
        <v>0</v>
      </c>
      <c r="F81" s="920">
        <f t="shared" si="14"/>
        <v>0</v>
      </c>
      <c r="G81" s="1332"/>
      <c r="H81" s="1338"/>
      <c r="I81" s="1618"/>
      <c r="J81" s="1338"/>
      <c r="K81" s="1618"/>
      <c r="L81" s="1338"/>
      <c r="M81" s="1618"/>
      <c r="N81" s="1339"/>
      <c r="O81" s="1988"/>
      <c r="P81" s="144"/>
      <c r="Q81" s="123"/>
      <c r="R81" s="123"/>
      <c r="S81" s="123"/>
      <c r="T81" s="123"/>
      <c r="U81" s="123"/>
      <c r="V81" s="1381" t="str">
        <f t="shared" si="15"/>
        <v/>
      </c>
      <c r="CA81" s="1382" t="str">
        <f t="shared" si="20"/>
        <v/>
      </c>
      <c r="CB81" s="1382" t="str">
        <f t="shared" si="21"/>
        <v/>
      </c>
      <c r="CC81" s="1382" t="str">
        <f t="shared" si="16"/>
        <v/>
      </c>
      <c r="CD81" s="1382"/>
      <c r="CE81" s="1382"/>
      <c r="CF81" s="1382"/>
      <c r="CG81" s="1383">
        <f t="shared" si="17"/>
        <v>0</v>
      </c>
      <c r="CH81" s="1383">
        <f t="shared" si="18"/>
        <v>0</v>
      </c>
      <c r="CI81" s="1383">
        <f t="shared" si="19"/>
        <v>0</v>
      </c>
    </row>
    <row r="82" spans="1:102" ht="20.25" customHeight="1" x14ac:dyDescent="0.25">
      <c r="A82" s="10647" t="s">
        <v>599</v>
      </c>
      <c r="B82" s="10648"/>
      <c r="C82" s="1331"/>
      <c r="D82" s="163">
        <f>SUM(E82:F82)</f>
        <v>0</v>
      </c>
      <c r="E82" s="1966">
        <f t="shared" si="13"/>
        <v>0</v>
      </c>
      <c r="F82" s="920">
        <f t="shared" si="14"/>
        <v>0</v>
      </c>
      <c r="G82" s="1332"/>
      <c r="H82" s="1338"/>
      <c r="I82" s="1618"/>
      <c r="J82" s="1338"/>
      <c r="K82" s="1618"/>
      <c r="L82" s="1338"/>
      <c r="M82" s="1618"/>
      <c r="N82" s="1339"/>
      <c r="O82" s="1988"/>
      <c r="P82" s="144"/>
      <c r="Q82" s="123"/>
      <c r="R82" s="123"/>
      <c r="S82" s="123"/>
      <c r="T82" s="123"/>
      <c r="U82" s="123"/>
      <c r="V82" s="1381" t="str">
        <f t="shared" si="15"/>
        <v/>
      </c>
      <c r="CA82" s="1382" t="str">
        <f t="shared" si="20"/>
        <v/>
      </c>
      <c r="CB82" s="1382" t="str">
        <f t="shared" si="21"/>
        <v/>
      </c>
      <c r="CC82" s="1382" t="str">
        <f t="shared" si="16"/>
        <v/>
      </c>
      <c r="CD82" s="1382"/>
      <c r="CE82" s="1382"/>
      <c r="CF82" s="1382"/>
      <c r="CG82" s="1383">
        <f t="shared" si="17"/>
        <v>0</v>
      </c>
      <c r="CH82" s="1383">
        <f t="shared" si="18"/>
        <v>0</v>
      </c>
      <c r="CI82" s="1383">
        <f t="shared" si="19"/>
        <v>0</v>
      </c>
    </row>
    <row r="83" spans="1:102" ht="20.25" customHeight="1" x14ac:dyDescent="0.25">
      <c r="A83" s="10647" t="s">
        <v>445</v>
      </c>
      <c r="B83" s="10648"/>
      <c r="C83" s="1331"/>
      <c r="D83" s="163">
        <f t="shared" si="12"/>
        <v>0</v>
      </c>
      <c r="E83" s="1966">
        <f t="shared" si="13"/>
        <v>0</v>
      </c>
      <c r="F83" s="920">
        <f t="shared" si="14"/>
        <v>0</v>
      </c>
      <c r="G83" s="1332"/>
      <c r="H83" s="1338"/>
      <c r="I83" s="1618"/>
      <c r="J83" s="1338"/>
      <c r="K83" s="1618"/>
      <c r="L83" s="1338"/>
      <c r="M83" s="1618"/>
      <c r="N83" s="1339"/>
      <c r="O83" s="1988"/>
      <c r="P83" s="144"/>
      <c r="Q83" s="123"/>
      <c r="R83" s="123"/>
      <c r="S83" s="123"/>
      <c r="T83" s="123"/>
      <c r="U83" s="123"/>
      <c r="V83" s="1381" t="str">
        <f t="shared" si="15"/>
        <v/>
      </c>
      <c r="CA83" s="1382" t="str">
        <f t="shared" si="20"/>
        <v/>
      </c>
      <c r="CB83" s="1382" t="str">
        <f t="shared" si="21"/>
        <v/>
      </c>
      <c r="CC83" s="1382" t="str">
        <f t="shared" si="16"/>
        <v/>
      </c>
      <c r="CD83" s="1382"/>
      <c r="CE83" s="1382"/>
      <c r="CF83" s="1382"/>
      <c r="CG83" s="1383">
        <f t="shared" si="17"/>
        <v>0</v>
      </c>
      <c r="CH83" s="1383">
        <f t="shared" si="18"/>
        <v>0</v>
      </c>
      <c r="CI83" s="1383">
        <f t="shared" si="19"/>
        <v>0</v>
      </c>
    </row>
    <row r="84" spans="1:102" ht="20.25" customHeight="1" x14ac:dyDescent="0.25">
      <c r="A84" s="10649" t="s">
        <v>442</v>
      </c>
      <c r="B84" s="10650"/>
      <c r="C84" s="1331"/>
      <c r="D84" s="145">
        <f t="shared" si="12"/>
        <v>0</v>
      </c>
      <c r="E84" s="1966">
        <f t="shared" si="13"/>
        <v>0</v>
      </c>
      <c r="F84" s="920">
        <f t="shared" si="14"/>
        <v>0</v>
      </c>
      <c r="G84" s="1332"/>
      <c r="H84" s="1338"/>
      <c r="I84" s="1618"/>
      <c r="J84" s="1338"/>
      <c r="K84" s="1618"/>
      <c r="L84" s="1338"/>
      <c r="M84" s="1618"/>
      <c r="N84" s="1339"/>
      <c r="O84" s="1988"/>
      <c r="P84" s="144"/>
      <c r="Q84" s="123"/>
      <c r="R84" s="123"/>
      <c r="S84" s="123"/>
      <c r="T84" s="123"/>
      <c r="U84" s="123"/>
      <c r="V84" s="1381" t="str">
        <f t="shared" si="15"/>
        <v/>
      </c>
      <c r="CA84" s="1382" t="str">
        <f t="shared" si="20"/>
        <v/>
      </c>
      <c r="CB84" s="1382" t="str">
        <f t="shared" si="21"/>
        <v/>
      </c>
      <c r="CC84" s="1382" t="str">
        <f t="shared" si="16"/>
        <v/>
      </c>
      <c r="CD84" s="1382"/>
      <c r="CE84" s="1382"/>
      <c r="CF84" s="1382"/>
      <c r="CG84" s="1383">
        <f t="shared" si="17"/>
        <v>0</v>
      </c>
      <c r="CH84" s="1383">
        <f t="shared" si="18"/>
        <v>0</v>
      </c>
      <c r="CI84" s="1383">
        <f t="shared" si="19"/>
        <v>0</v>
      </c>
    </row>
    <row r="85" spans="1:102" ht="20.25" customHeight="1" x14ac:dyDescent="0.25">
      <c r="A85" s="10649" t="s">
        <v>443</v>
      </c>
      <c r="B85" s="10650"/>
      <c r="C85" s="1331"/>
      <c r="D85" s="1433">
        <f t="shared" si="12"/>
        <v>0</v>
      </c>
      <c r="E85" s="1966">
        <f t="shared" si="13"/>
        <v>0</v>
      </c>
      <c r="F85" s="920">
        <f t="shared" si="14"/>
        <v>0</v>
      </c>
      <c r="G85" s="2096"/>
      <c r="H85" s="2074"/>
      <c r="I85" s="2060"/>
      <c r="J85" s="2074"/>
      <c r="K85" s="2060"/>
      <c r="L85" s="2074"/>
      <c r="M85" s="1618"/>
      <c r="N85" s="1339"/>
      <c r="O85" s="2092"/>
      <c r="P85" s="143"/>
      <c r="Q85" s="91"/>
      <c r="R85" s="91"/>
      <c r="S85" s="91"/>
      <c r="T85" s="91"/>
      <c r="U85" s="91"/>
      <c r="V85" s="1381" t="str">
        <f t="shared" si="15"/>
        <v/>
      </c>
      <c r="CA85" s="1382" t="str">
        <f t="shared" si="20"/>
        <v/>
      </c>
      <c r="CB85" s="1382" t="str">
        <f t="shared" si="21"/>
        <v/>
      </c>
      <c r="CC85" s="1382" t="str">
        <f t="shared" si="16"/>
        <v/>
      </c>
      <c r="CD85" s="1382"/>
      <c r="CE85" s="1382"/>
      <c r="CF85" s="1382"/>
      <c r="CG85" s="1383">
        <f t="shared" si="17"/>
        <v>0</v>
      </c>
      <c r="CH85" s="1383">
        <f t="shared" si="18"/>
        <v>0</v>
      </c>
      <c r="CI85" s="1383">
        <f t="shared" si="19"/>
        <v>0</v>
      </c>
    </row>
    <row r="86" spans="1:102" ht="20.25" customHeight="1" x14ac:dyDescent="0.25">
      <c r="A86" s="10668" t="s">
        <v>371</v>
      </c>
      <c r="B86" s="10669"/>
      <c r="C86" s="1331"/>
      <c r="D86" s="1433">
        <f t="shared" si="12"/>
        <v>0</v>
      </c>
      <c r="E86" s="1966">
        <f t="shared" si="13"/>
        <v>0</v>
      </c>
      <c r="F86" s="920">
        <f t="shared" si="14"/>
        <v>0</v>
      </c>
      <c r="G86" s="1332"/>
      <c r="H86" s="1338"/>
      <c r="I86" s="1618"/>
      <c r="J86" s="1338"/>
      <c r="K86" s="1618"/>
      <c r="L86" s="1338"/>
      <c r="M86" s="2060"/>
      <c r="N86" s="2033"/>
      <c r="O86" s="2092"/>
      <c r="P86" s="143"/>
      <c r="Q86" s="91"/>
      <c r="R86" s="91"/>
      <c r="S86" s="91"/>
      <c r="T86" s="91"/>
      <c r="U86" s="91"/>
      <c r="V86" s="1381" t="str">
        <f t="shared" si="15"/>
        <v/>
      </c>
      <c r="CA86" s="1382" t="str">
        <f t="shared" si="20"/>
        <v/>
      </c>
      <c r="CB86" s="1382" t="str">
        <f t="shared" si="21"/>
        <v/>
      </c>
      <c r="CC86" s="1382" t="str">
        <f t="shared" si="16"/>
        <v/>
      </c>
      <c r="CD86" s="1382"/>
      <c r="CE86" s="1382"/>
      <c r="CF86" s="1382"/>
      <c r="CG86" s="1383">
        <f t="shared" si="17"/>
        <v>0</v>
      </c>
      <c r="CH86" s="1383">
        <f t="shared" si="18"/>
        <v>0</v>
      </c>
      <c r="CI86" s="1383">
        <f t="shared" si="19"/>
        <v>0</v>
      </c>
    </row>
    <row r="87" spans="1:102" ht="20.25" customHeight="1" x14ac:dyDescent="0.25">
      <c r="A87" s="1436" t="s">
        <v>44</v>
      </c>
      <c r="B87" s="1437"/>
      <c r="C87" s="1438">
        <f>SUM(C73:C86)</f>
        <v>0</v>
      </c>
      <c r="D87" s="1360">
        <f>SUM(E87:F87)</f>
        <v>0</v>
      </c>
      <c r="E87" s="1967">
        <f t="shared" ref="E87:T87" si="22">SUM(E73:E86)</f>
        <v>0</v>
      </c>
      <c r="F87" s="1964">
        <f t="shared" si="22"/>
        <v>0</v>
      </c>
      <c r="G87" s="2097">
        <f>SUM(G73:G86)</f>
        <v>0</v>
      </c>
      <c r="H87" s="2000">
        <f t="shared" si="22"/>
        <v>0</v>
      </c>
      <c r="I87" s="2058">
        <f t="shared" si="22"/>
        <v>0</v>
      </c>
      <c r="J87" s="2000">
        <f t="shared" si="22"/>
        <v>0</v>
      </c>
      <c r="K87" s="2058">
        <f t="shared" si="22"/>
        <v>0</v>
      </c>
      <c r="L87" s="2000">
        <f t="shared" si="22"/>
        <v>0</v>
      </c>
      <c r="M87" s="2058">
        <f t="shared" si="22"/>
        <v>0</v>
      </c>
      <c r="N87" s="2059">
        <f t="shared" si="22"/>
        <v>0</v>
      </c>
      <c r="O87" s="2056">
        <f t="shared" si="22"/>
        <v>0</v>
      </c>
      <c r="P87" s="1439">
        <f t="shared" si="22"/>
        <v>0</v>
      </c>
      <c r="Q87" s="1439">
        <f t="shared" si="22"/>
        <v>0</v>
      </c>
      <c r="R87" s="1439">
        <f t="shared" si="22"/>
        <v>0</v>
      </c>
      <c r="S87" s="1439">
        <f t="shared" si="22"/>
        <v>0</v>
      </c>
      <c r="T87" s="1439">
        <f t="shared" si="22"/>
        <v>0</v>
      </c>
      <c r="U87" s="1439">
        <f>SUM(U73:U86)</f>
        <v>0</v>
      </c>
    </row>
    <row r="88" spans="1:102" s="1981" customFormat="1" ht="24" customHeight="1" x14ac:dyDescent="0.25">
      <c r="A88" s="1366" t="s">
        <v>3956</v>
      </c>
      <c r="B88" s="2010"/>
      <c r="AG88" s="1982"/>
      <c r="AH88" s="1982"/>
      <c r="AI88" s="1982"/>
      <c r="AJ88" s="1982"/>
      <c r="AK88" s="1982"/>
      <c r="AL88" s="1982"/>
      <c r="AM88" s="1982"/>
      <c r="AN88" s="1982"/>
      <c r="AO88" s="1982"/>
      <c r="AP88" s="1982"/>
      <c r="AQ88" s="1982"/>
      <c r="AR88" s="1982"/>
      <c r="AS88" s="1982"/>
      <c r="AT88" s="1982"/>
      <c r="AU88" s="1982"/>
      <c r="AV88" s="1982"/>
      <c r="AW88" s="1982"/>
      <c r="AX88" s="1982"/>
      <c r="AY88" s="1982"/>
      <c r="AZ88" s="1982"/>
      <c r="BA88" s="1983"/>
      <c r="BB88" s="1983"/>
      <c r="BC88" s="1983"/>
      <c r="BD88" s="1983"/>
      <c r="BE88" s="1983"/>
      <c r="BF88" s="1983"/>
      <c r="BG88" s="1983"/>
      <c r="BH88" s="1983"/>
      <c r="BI88" s="1983"/>
      <c r="BJ88" s="1983"/>
      <c r="BK88" s="1983"/>
      <c r="BL88" s="1983"/>
      <c r="BM88" s="1983"/>
      <c r="BN88" s="1983"/>
      <c r="BO88" s="1983"/>
      <c r="BP88" s="1983"/>
      <c r="BQ88" s="1983"/>
      <c r="BR88" s="1983"/>
      <c r="BS88" s="1983"/>
      <c r="BT88" s="1983"/>
      <c r="BU88" s="1983"/>
      <c r="BV88" s="1983"/>
      <c r="BW88" s="1983"/>
      <c r="BX88" s="1983"/>
      <c r="BY88" s="1983"/>
      <c r="BZ88" s="1983"/>
      <c r="CA88" s="1983"/>
      <c r="CB88" s="1983"/>
      <c r="CC88" s="1983"/>
      <c r="CD88" s="1983"/>
      <c r="CE88" s="1983"/>
      <c r="CF88" s="1983"/>
      <c r="CG88" s="1983"/>
      <c r="CH88" s="1983"/>
      <c r="CI88" s="1983"/>
      <c r="CJ88" s="1983"/>
      <c r="CK88" s="1983"/>
      <c r="CL88" s="1982"/>
      <c r="CM88" s="1982"/>
      <c r="CN88" s="1982"/>
      <c r="CO88" s="1982"/>
      <c r="CP88" s="1982"/>
      <c r="CQ88" s="1982"/>
      <c r="CR88" s="1982"/>
      <c r="CS88" s="1982"/>
      <c r="CT88" s="1982"/>
      <c r="CU88" s="1982"/>
      <c r="CV88" s="1982"/>
      <c r="CW88" s="1982"/>
      <c r="CX88" s="1982"/>
    </row>
    <row r="89" spans="1:102" s="1981" customFormat="1" ht="14.25" x14ac:dyDescent="0.2">
      <c r="A89" s="10661" t="s">
        <v>170</v>
      </c>
      <c r="B89" s="10663" t="s">
        <v>39</v>
      </c>
      <c r="C89" s="10665" t="s">
        <v>2414</v>
      </c>
      <c r="D89" s="10666"/>
      <c r="E89" s="10666"/>
      <c r="F89" s="10666"/>
      <c r="G89" s="10666"/>
      <c r="H89" s="10666"/>
      <c r="I89" s="10666"/>
      <c r="J89" s="10666"/>
      <c r="K89" s="10666"/>
      <c r="L89" s="10666"/>
      <c r="M89" s="10666"/>
      <c r="N89" s="10666"/>
      <c r="O89" s="10666"/>
      <c r="P89" s="10666"/>
      <c r="Q89" s="10666"/>
      <c r="R89" s="10666"/>
      <c r="S89" s="10667"/>
      <c r="AG89" s="1982"/>
      <c r="AH89" s="1982"/>
      <c r="AI89" s="1982"/>
      <c r="AJ89" s="1982"/>
      <c r="AK89" s="1982"/>
      <c r="AL89" s="1982"/>
      <c r="AM89" s="1982"/>
      <c r="AN89" s="1982"/>
      <c r="AO89" s="1982"/>
      <c r="AP89" s="1982"/>
      <c r="AQ89" s="1982"/>
      <c r="AR89" s="1982"/>
      <c r="AS89" s="1982"/>
      <c r="AT89" s="1982"/>
      <c r="AU89" s="1982"/>
      <c r="AV89" s="1982"/>
      <c r="AW89" s="1982"/>
      <c r="AX89" s="1982"/>
      <c r="AY89" s="1982"/>
      <c r="AZ89" s="1982"/>
      <c r="BA89" s="1983"/>
      <c r="BB89" s="1983"/>
      <c r="BC89" s="1983"/>
      <c r="BD89" s="1983"/>
      <c r="BE89" s="1983"/>
      <c r="BF89" s="1983"/>
      <c r="BG89" s="1983"/>
      <c r="BH89" s="1983"/>
      <c r="BI89" s="1983"/>
      <c r="BJ89" s="1983"/>
      <c r="BK89" s="1983"/>
      <c r="BL89" s="1983"/>
      <c r="BM89" s="1983"/>
      <c r="BN89" s="1983"/>
      <c r="BO89" s="1983"/>
      <c r="BP89" s="1983"/>
      <c r="BQ89" s="1983"/>
      <c r="BR89" s="1983"/>
      <c r="BS89" s="1983"/>
      <c r="BT89" s="1983"/>
      <c r="BU89" s="1983"/>
      <c r="BV89" s="1983"/>
      <c r="BW89" s="1983"/>
      <c r="BX89" s="1983"/>
      <c r="BY89" s="1983"/>
      <c r="BZ89" s="1983"/>
      <c r="CA89" s="1983"/>
      <c r="CB89" s="1983"/>
      <c r="CC89" s="1983"/>
      <c r="CD89" s="1983"/>
      <c r="CE89" s="1983"/>
      <c r="CF89" s="1983"/>
      <c r="CG89" s="1983"/>
      <c r="CH89" s="1983"/>
      <c r="CI89" s="1983"/>
      <c r="CJ89" s="1983"/>
      <c r="CK89" s="1983"/>
      <c r="CL89" s="1982"/>
      <c r="CM89" s="1982"/>
      <c r="CN89" s="1982"/>
      <c r="CO89" s="1982"/>
      <c r="CP89" s="1982"/>
      <c r="CQ89" s="1982"/>
      <c r="CR89" s="1982"/>
      <c r="CS89" s="1982"/>
      <c r="CT89" s="1982"/>
      <c r="CU89" s="1982"/>
      <c r="CV89" s="1982"/>
      <c r="CW89" s="1982"/>
      <c r="CX89" s="1982"/>
    </row>
    <row r="90" spans="1:102" s="1981" customFormat="1" ht="37.9" customHeight="1" x14ac:dyDescent="0.2">
      <c r="A90" s="10662"/>
      <c r="B90" s="10664"/>
      <c r="C90" s="1986" t="s">
        <v>397</v>
      </c>
      <c r="D90" s="2008" t="s">
        <v>54</v>
      </c>
      <c r="E90" s="2008" t="s">
        <v>79</v>
      </c>
      <c r="F90" s="2008" t="s">
        <v>80</v>
      </c>
      <c r="G90" s="2008" t="s">
        <v>81</v>
      </c>
      <c r="H90" s="2008" t="s">
        <v>82</v>
      </c>
      <c r="I90" s="2008" t="s">
        <v>83</v>
      </c>
      <c r="J90" s="2008" t="s">
        <v>398</v>
      </c>
      <c r="K90" s="2008" t="s">
        <v>124</v>
      </c>
      <c r="L90" s="2008" t="s">
        <v>125</v>
      </c>
      <c r="M90" s="2008" t="s">
        <v>126</v>
      </c>
      <c r="N90" s="2008" t="s">
        <v>127</v>
      </c>
      <c r="O90" s="2008" t="s">
        <v>128</v>
      </c>
      <c r="P90" s="2008" t="s">
        <v>129</v>
      </c>
      <c r="Q90" s="2008" t="s">
        <v>130</v>
      </c>
      <c r="R90" s="2008" t="s">
        <v>131</v>
      </c>
      <c r="S90" s="3395" t="s">
        <v>1916</v>
      </c>
      <c r="AG90" s="1982"/>
      <c r="AH90" s="1982"/>
      <c r="AI90" s="1982"/>
      <c r="AJ90" s="1982"/>
      <c r="AK90" s="1982"/>
      <c r="AL90" s="1982"/>
      <c r="AM90" s="1982"/>
      <c r="AN90" s="1982"/>
      <c r="AO90" s="1982"/>
      <c r="AP90" s="1982"/>
      <c r="AQ90" s="1982"/>
      <c r="AR90" s="1982"/>
      <c r="AS90" s="1982"/>
      <c r="AT90" s="1982"/>
      <c r="AU90" s="1982"/>
      <c r="AV90" s="1982"/>
      <c r="AW90" s="1982"/>
      <c r="AX90" s="1982"/>
      <c r="AY90" s="1982"/>
      <c r="AZ90" s="1982"/>
      <c r="BA90" s="1983"/>
      <c r="BB90" s="1983"/>
      <c r="BC90" s="1983"/>
      <c r="BD90" s="1983"/>
      <c r="BE90" s="1983"/>
      <c r="BF90" s="1983"/>
      <c r="BG90" s="1983"/>
      <c r="BH90" s="1983"/>
      <c r="BI90" s="1983"/>
      <c r="BJ90" s="1983"/>
      <c r="BK90" s="1983"/>
      <c r="BL90" s="1983"/>
      <c r="BM90" s="1983"/>
      <c r="BN90" s="1983"/>
      <c r="BO90" s="1983"/>
      <c r="BP90" s="1983"/>
      <c r="BQ90" s="1983"/>
      <c r="BR90" s="1983"/>
      <c r="BS90" s="1983"/>
      <c r="BT90" s="1983"/>
      <c r="BU90" s="1983"/>
      <c r="BV90" s="1983"/>
      <c r="BW90" s="1983"/>
      <c r="BX90" s="1983"/>
      <c r="BY90" s="1983"/>
      <c r="BZ90" s="1983"/>
      <c r="CA90" s="1983"/>
      <c r="CB90" s="1983"/>
      <c r="CC90" s="1983"/>
      <c r="CD90" s="1983"/>
      <c r="CE90" s="1983"/>
      <c r="CF90" s="1983"/>
      <c r="CG90" s="1983"/>
      <c r="CH90" s="1983"/>
      <c r="CI90" s="1983"/>
      <c r="CJ90" s="1983"/>
      <c r="CK90" s="1983"/>
      <c r="CL90" s="1982"/>
      <c r="CM90" s="1982"/>
      <c r="CN90" s="1982"/>
      <c r="CO90" s="1982"/>
      <c r="CP90" s="1982"/>
      <c r="CQ90" s="1982"/>
      <c r="CR90" s="1982"/>
      <c r="CS90" s="1982"/>
      <c r="CT90" s="1982"/>
      <c r="CU90" s="1982"/>
      <c r="CV90" s="1982"/>
      <c r="CW90" s="1982"/>
      <c r="CX90" s="1982"/>
    </row>
    <row r="91" spans="1:102" s="1981" customFormat="1" ht="19.899999999999999" customHeight="1" x14ac:dyDescent="0.2">
      <c r="A91" s="3394" t="s">
        <v>372</v>
      </c>
      <c r="B91" s="1878">
        <f>SUM(C91:S91)</f>
        <v>0</v>
      </c>
      <c r="C91" s="1892"/>
      <c r="D91" s="2003"/>
      <c r="E91" s="2003"/>
      <c r="F91" s="2003"/>
      <c r="G91" s="2003"/>
      <c r="H91" s="2003"/>
      <c r="I91" s="2003"/>
      <c r="J91" s="2003"/>
      <c r="K91" s="2003"/>
      <c r="L91" s="2003"/>
      <c r="M91" s="2003"/>
      <c r="N91" s="2003"/>
      <c r="O91" s="2003"/>
      <c r="P91" s="2003"/>
      <c r="Q91" s="2003"/>
      <c r="R91" s="2003"/>
      <c r="S91" s="2004"/>
      <c r="AG91" s="1982"/>
      <c r="AH91" s="1982"/>
      <c r="AI91" s="1982"/>
      <c r="AJ91" s="1982"/>
      <c r="AK91" s="1982"/>
      <c r="AL91" s="1982"/>
      <c r="AM91" s="1982"/>
      <c r="AN91" s="1982"/>
      <c r="AO91" s="1982"/>
      <c r="AP91" s="1982"/>
      <c r="AQ91" s="1982"/>
      <c r="AR91" s="1982"/>
      <c r="AS91" s="1982"/>
      <c r="AT91" s="1982"/>
      <c r="AU91" s="1982"/>
      <c r="AV91" s="1982"/>
      <c r="AW91" s="1982"/>
      <c r="AX91" s="1982"/>
      <c r="AY91" s="1982"/>
      <c r="AZ91" s="1982"/>
      <c r="BA91" s="1983"/>
      <c r="BB91" s="1983"/>
      <c r="BC91" s="1983"/>
      <c r="BD91" s="1983"/>
      <c r="BE91" s="1983"/>
      <c r="BF91" s="1983"/>
      <c r="BG91" s="1983"/>
      <c r="BH91" s="1983"/>
      <c r="BI91" s="1983"/>
      <c r="BJ91" s="1983"/>
      <c r="BK91" s="1983"/>
      <c r="BL91" s="1983"/>
      <c r="BM91" s="1983"/>
      <c r="BN91" s="1983"/>
      <c r="BO91" s="1983"/>
      <c r="BP91" s="1983"/>
      <c r="BQ91" s="1983"/>
      <c r="BR91" s="1983"/>
      <c r="BS91" s="1983"/>
      <c r="BT91" s="1983"/>
      <c r="BU91" s="1983"/>
      <c r="BV91" s="1983"/>
      <c r="BW91" s="1983"/>
      <c r="BX91" s="1983"/>
      <c r="BY91" s="1983"/>
      <c r="BZ91" s="1983"/>
      <c r="CA91" s="1983"/>
      <c r="CB91" s="1983"/>
      <c r="CC91" s="1983"/>
      <c r="CD91" s="1983"/>
      <c r="CE91" s="1983"/>
      <c r="CF91" s="1983"/>
      <c r="CG91" s="1983"/>
      <c r="CH91" s="1983"/>
      <c r="CI91" s="1983"/>
      <c r="CJ91" s="1983"/>
      <c r="CK91" s="1983"/>
      <c r="CL91" s="1982"/>
      <c r="CM91" s="1982"/>
      <c r="CN91" s="1982"/>
      <c r="CO91" s="1982"/>
      <c r="CP91" s="1982"/>
      <c r="CQ91" s="1982"/>
      <c r="CR91" s="1982"/>
      <c r="CS91" s="1982"/>
      <c r="CT91" s="1982"/>
      <c r="CU91" s="1982"/>
      <c r="CV91" s="1982"/>
      <c r="CW91" s="1982"/>
      <c r="CX91" s="1982"/>
    </row>
    <row r="92" spans="1:102" s="1981" customFormat="1" ht="24.6" customHeight="1" x14ac:dyDescent="0.2">
      <c r="A92" s="3394" t="s">
        <v>2427</v>
      </c>
      <c r="B92" s="1878">
        <f>SUM(C92:S92)</f>
        <v>0</v>
      </c>
      <c r="C92" s="1892"/>
      <c r="D92" s="2003"/>
      <c r="E92" s="2003"/>
      <c r="F92" s="2003"/>
      <c r="G92" s="2003"/>
      <c r="H92" s="2003"/>
      <c r="I92" s="2003"/>
      <c r="J92" s="2003"/>
      <c r="K92" s="2003"/>
      <c r="L92" s="2003"/>
      <c r="M92" s="2003"/>
      <c r="N92" s="2003"/>
      <c r="O92" s="2003"/>
      <c r="P92" s="2003"/>
      <c r="Q92" s="2003"/>
      <c r="R92" s="2003"/>
      <c r="S92" s="2004"/>
      <c r="T92" s="2009"/>
      <c r="AG92" s="1982"/>
      <c r="AH92" s="1982"/>
      <c r="AI92" s="1982"/>
      <c r="AJ92" s="1982"/>
      <c r="AK92" s="1982"/>
      <c r="AL92" s="1982"/>
      <c r="AM92" s="1982"/>
      <c r="AN92" s="1982"/>
      <c r="AO92" s="1982"/>
      <c r="AP92" s="1982"/>
      <c r="AQ92" s="1982"/>
      <c r="AR92" s="1982"/>
      <c r="AS92" s="1982"/>
      <c r="AT92" s="1982"/>
      <c r="AU92" s="1982"/>
      <c r="AV92" s="1982"/>
      <c r="AW92" s="1982"/>
      <c r="AX92" s="1982"/>
      <c r="AY92" s="1982"/>
      <c r="AZ92" s="1982"/>
      <c r="BA92" s="1983"/>
      <c r="BB92" s="1983"/>
      <c r="BC92" s="1983"/>
      <c r="BD92" s="1983"/>
      <c r="BE92" s="1983"/>
      <c r="BF92" s="1983"/>
      <c r="BG92" s="1983"/>
      <c r="BH92" s="1983"/>
      <c r="BI92" s="1983"/>
      <c r="BJ92" s="1983"/>
      <c r="BK92" s="1983"/>
      <c r="BL92" s="1983"/>
      <c r="BM92" s="1983"/>
      <c r="BN92" s="1983"/>
      <c r="BO92" s="1983"/>
      <c r="BP92" s="1983"/>
      <c r="BQ92" s="1983"/>
      <c r="BR92" s="1983"/>
      <c r="BS92" s="1983"/>
      <c r="BT92" s="1983"/>
      <c r="BU92" s="1983"/>
      <c r="BV92" s="1983"/>
      <c r="BW92" s="1983"/>
      <c r="BX92" s="1983"/>
      <c r="BY92" s="1983"/>
      <c r="BZ92" s="1983"/>
      <c r="CA92" s="1983"/>
      <c r="CB92" s="1983"/>
      <c r="CC92" s="1983"/>
      <c r="CD92" s="1983"/>
      <c r="CE92" s="1983"/>
      <c r="CF92" s="1983"/>
      <c r="CG92" s="1983"/>
      <c r="CH92" s="1983"/>
      <c r="CI92" s="1983"/>
      <c r="CJ92" s="1983"/>
      <c r="CK92" s="1983"/>
      <c r="CL92" s="1982"/>
      <c r="CM92" s="1982"/>
      <c r="CN92" s="1982"/>
      <c r="CO92" s="1982"/>
      <c r="CP92" s="1982"/>
      <c r="CQ92" s="1982"/>
      <c r="CR92" s="1982"/>
      <c r="CS92" s="1982"/>
      <c r="CT92" s="1982"/>
      <c r="CU92" s="1982"/>
      <c r="CV92" s="1982"/>
      <c r="CW92" s="1982"/>
      <c r="CX92" s="1982"/>
    </row>
    <row r="93" spans="1:102" s="1981" customFormat="1" ht="19.899999999999999" customHeight="1" x14ac:dyDescent="0.2">
      <c r="A93" s="3784" t="s">
        <v>373</v>
      </c>
      <c r="B93" s="2001">
        <f>SUM(C93:S93)</f>
        <v>0</v>
      </c>
      <c r="C93" s="2005"/>
      <c r="D93" s="2006"/>
      <c r="E93" s="2006"/>
      <c r="F93" s="2006"/>
      <c r="G93" s="2006"/>
      <c r="H93" s="2006"/>
      <c r="I93" s="2006"/>
      <c r="J93" s="2006"/>
      <c r="K93" s="2006"/>
      <c r="L93" s="2006"/>
      <c r="M93" s="2006"/>
      <c r="N93" s="2006"/>
      <c r="O93" s="2006"/>
      <c r="P93" s="2006"/>
      <c r="Q93" s="2006"/>
      <c r="R93" s="2006"/>
      <c r="S93" s="2007"/>
      <c r="T93" s="72"/>
      <c r="U93" s="72"/>
      <c r="V93" s="72"/>
      <c r="W93" s="72"/>
      <c r="X93" s="72"/>
      <c r="Y93" s="140"/>
      <c r="Z93" s="140"/>
      <c r="AA93" s="140"/>
      <c r="AB93" s="140"/>
      <c r="AC93" s="140"/>
      <c r="AD93" s="140"/>
      <c r="AE93" s="140"/>
      <c r="AF93" s="140"/>
      <c r="AG93" s="153"/>
      <c r="AH93" s="153"/>
      <c r="AI93" s="153"/>
      <c r="AJ93" s="153"/>
      <c r="AK93" s="153"/>
      <c r="AL93" s="153"/>
      <c r="AM93" s="153"/>
      <c r="AN93" s="153"/>
      <c r="AO93" s="153"/>
      <c r="AP93" s="153"/>
      <c r="AQ93" s="153"/>
      <c r="AR93" s="153"/>
      <c r="AS93" s="199"/>
      <c r="AT93" s="1982"/>
      <c r="AU93" s="1982"/>
      <c r="AV93" s="1982"/>
      <c r="AW93" s="1982"/>
      <c r="AX93" s="1982"/>
      <c r="AY93" s="1982"/>
      <c r="AZ93" s="1982"/>
      <c r="BA93" s="1983"/>
      <c r="BB93" s="1983"/>
      <c r="BC93" s="1983"/>
      <c r="BD93" s="1983"/>
      <c r="BE93" s="1983"/>
      <c r="BF93" s="1983"/>
      <c r="BG93" s="1983"/>
      <c r="BH93" s="1983"/>
      <c r="BI93" s="1983"/>
      <c r="BJ93" s="1983"/>
      <c r="BK93" s="1983"/>
      <c r="BL93" s="1983"/>
      <c r="BM93" s="1983"/>
      <c r="BN93" s="1983"/>
      <c r="BO93" s="1983"/>
      <c r="BP93" s="1983"/>
      <c r="BQ93" s="1983"/>
      <c r="BR93" s="1983"/>
      <c r="BS93" s="1983"/>
      <c r="BT93" s="1983"/>
      <c r="BU93" s="1983"/>
      <c r="BV93" s="1983"/>
      <c r="BW93" s="1983"/>
      <c r="BX93" s="1983"/>
      <c r="BY93" s="1983"/>
      <c r="BZ93" s="1983"/>
      <c r="CA93" s="1983"/>
      <c r="CB93" s="1983"/>
      <c r="CC93" s="1983"/>
      <c r="CD93" s="1983"/>
      <c r="CE93" s="1983"/>
      <c r="CF93" s="1983"/>
      <c r="CG93" s="1983"/>
      <c r="CH93" s="1983"/>
      <c r="CI93" s="1983"/>
      <c r="CJ93" s="1983"/>
      <c r="CK93" s="1983"/>
      <c r="CL93" s="1982"/>
      <c r="CM93" s="1982"/>
      <c r="CN93" s="1982"/>
      <c r="CO93" s="1982"/>
      <c r="CP93" s="1982"/>
      <c r="CQ93" s="1982"/>
      <c r="CR93" s="1982"/>
      <c r="CS93" s="1982"/>
      <c r="CT93" s="1982"/>
      <c r="CU93" s="1982"/>
      <c r="CV93" s="1982"/>
      <c r="CW93" s="1982"/>
      <c r="CX93" s="1982"/>
    </row>
    <row r="175" spans="1:99" ht="11.25" customHeight="1" x14ac:dyDescent="0.25"/>
    <row r="176" spans="1:99" s="1440" customFormat="1" ht="14.25" hidden="1" x14ac:dyDescent="0.2">
      <c r="A176" s="1440">
        <f>SUM(C30:AW30,B34:B48, C52:C68,D73:D87,C87,B91:B93)</f>
        <v>0</v>
      </c>
      <c r="B176" s="1440">
        <f>SUM(CG13:CH69)</f>
        <v>0</v>
      </c>
      <c r="CC176" s="1441"/>
      <c r="CD176" s="1441"/>
      <c r="CE176" s="1441"/>
      <c r="CF176" s="1441"/>
      <c r="CG176" s="1441"/>
      <c r="CH176" s="1441"/>
      <c r="CI176" s="1441"/>
      <c r="CJ176" s="1441"/>
      <c r="CK176" s="1441"/>
      <c r="CL176" s="1441"/>
      <c r="CM176" s="1441"/>
      <c r="CN176" s="1441"/>
      <c r="CO176" s="1441"/>
      <c r="CP176" s="1441"/>
      <c r="CQ176" s="1441"/>
      <c r="CR176" s="1441"/>
      <c r="CS176" s="1441"/>
      <c r="CT176" s="1441"/>
      <c r="CU176" s="1441"/>
    </row>
  </sheetData>
  <sheetProtection algorithmName="SHA-512" hashValue="TixHfMD/qdhRrt1Uk1hOHG/zBB/2oKWJ2+Piy6sIdCtbVL5vrfcfDVSJFe7+BPQidFedUyAosqWRidrlPqEszQ==" saltValue="27GxjW0rZXy25cpm8O5SHQ==" spinCount="100000" sheet="1" objects="1" scenarios="1"/>
  <mergeCells count="84">
    <mergeCell ref="A89:A90"/>
    <mergeCell ref="B89:B90"/>
    <mergeCell ref="C89:S89"/>
    <mergeCell ref="A82:B82"/>
    <mergeCell ref="A83:B83"/>
    <mergeCell ref="A84:B84"/>
    <mergeCell ref="A85:B85"/>
    <mergeCell ref="A86:B86"/>
    <mergeCell ref="A73:B73"/>
    <mergeCell ref="A74:B74"/>
    <mergeCell ref="A76:B76"/>
    <mergeCell ref="A77:B77"/>
    <mergeCell ref="A75:B75"/>
    <mergeCell ref="A78:B78"/>
    <mergeCell ref="A79:B79"/>
    <mergeCell ref="A80:B80"/>
    <mergeCell ref="U70:U72"/>
    <mergeCell ref="A68:B68"/>
    <mergeCell ref="A70:B72"/>
    <mergeCell ref="C70:C72"/>
    <mergeCell ref="D70:F71"/>
    <mergeCell ref="G70:N70"/>
    <mergeCell ref="O70:O72"/>
    <mergeCell ref="G71:H71"/>
    <mergeCell ref="I71:J71"/>
    <mergeCell ref="K71:L71"/>
    <mergeCell ref="M71:N71"/>
    <mergeCell ref="P70:P72"/>
    <mergeCell ref="Q70:Q72"/>
    <mergeCell ref="R70:R72"/>
    <mergeCell ref="S70:S72"/>
    <mergeCell ref="T70:T72"/>
    <mergeCell ref="A66:B66"/>
    <mergeCell ref="E32:E33"/>
    <mergeCell ref="F32:AF32"/>
    <mergeCell ref="A50:B51"/>
    <mergeCell ref="C50:C51"/>
    <mergeCell ref="D50:D51"/>
    <mergeCell ref="E50:E51"/>
    <mergeCell ref="F50:F51"/>
    <mergeCell ref="G50:AG50"/>
    <mergeCell ref="D32:D33"/>
    <mergeCell ref="A52:B52"/>
    <mergeCell ref="A53:B53"/>
    <mergeCell ref="A54:B54"/>
    <mergeCell ref="AS11:AS13"/>
    <mergeCell ref="A55:B55"/>
    <mergeCell ref="A61:B61"/>
    <mergeCell ref="A17:A29"/>
    <mergeCell ref="A30:B30"/>
    <mergeCell ref="A32:A33"/>
    <mergeCell ref="B32:B33"/>
    <mergeCell ref="AJ12:AK12"/>
    <mergeCell ref="C32:C33"/>
    <mergeCell ref="A14:A16"/>
    <mergeCell ref="AO11:AO13"/>
    <mergeCell ref="AV11:AV13"/>
    <mergeCell ref="AW11:AW13"/>
    <mergeCell ref="F12:G12"/>
    <mergeCell ref="H12:I12"/>
    <mergeCell ref="J12:K12"/>
    <mergeCell ref="L12:M12"/>
    <mergeCell ref="N12:O12"/>
    <mergeCell ref="P12:Q12"/>
    <mergeCell ref="R12:S12"/>
    <mergeCell ref="T12:U12"/>
    <mergeCell ref="AP11:AP13"/>
    <mergeCell ref="AQ11:AQ13"/>
    <mergeCell ref="AR11:AR13"/>
    <mergeCell ref="AL12:AM12"/>
    <mergeCell ref="AT11:AT13"/>
    <mergeCell ref="AU11:AU13"/>
    <mergeCell ref="A7:T7"/>
    <mergeCell ref="A11:B13"/>
    <mergeCell ref="C11:E12"/>
    <mergeCell ref="F11:AM11"/>
    <mergeCell ref="AN11:AN13"/>
    <mergeCell ref="V12:W12"/>
    <mergeCell ref="X12:Y12"/>
    <mergeCell ref="Z12:AA12"/>
    <mergeCell ref="AB12:AC12"/>
    <mergeCell ref="AD12:AE12"/>
    <mergeCell ref="AF12:AG12"/>
    <mergeCell ref="AH12:AI12"/>
  </mergeCells>
  <dataValidations count="2">
    <dataValidation allowBlank="1" showInputMessage="1" showErrorMessage="1" error="Valor no Permitido" sqref="A1:B1048576 G87:S90 C94:S1048576 T87:U1048576 V68:AG1048576 T68:U72 D68:F90 C87:C90 D48:F51 T48:U51 V48:AF51 G30:S33 G48:S51 G68:S72 AG30:AG51 V30:AF33 T30:U33 F30:F33 C48:C72 C1:C33 D1:E33 F1:F13 T1:U13 V1:AF13 AG1:AG13 G1:S13 AX1:XFD1048576 AH1:AW13 AH30:AW1048576" xr:uid="{D6CE8A9F-173C-4E55-94EB-51880AEC41F8}"/>
    <dataValidation type="whole" operator="greaterThanOrEqual" allowBlank="1" showInputMessage="1" showErrorMessage="1" error="Valor no Permitido" sqref="G73:U86 F14:AW29 C34:AF47 D52:AG67 C73:C86 C91:S93" xr:uid="{39EEE7B6-415E-44CF-AF24-B3B504686A8D}">
      <formula1>0</formula1>
    </dataValidation>
  </dataValidations>
  <pageMargins left="0.7" right="0.7" top="0.75" bottom="0.75" header="0.3" footer="0.3"/>
  <ignoredErrors>
    <ignoredError sqref="D87" formula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8"/>
  <dimension ref="A1:DB256"/>
  <sheetViews>
    <sheetView showGridLines="0" zoomScaleNormal="100" workbookViewId="0">
      <selection activeCell="A7" sqref="A7:S7"/>
    </sheetView>
  </sheetViews>
  <sheetFormatPr baseColWidth="10" defaultColWidth="11.42578125" defaultRowHeight="11.25" x14ac:dyDescent="0.2"/>
  <cols>
    <col min="1" max="1" width="67.28515625" style="4176" customWidth="1"/>
    <col min="2" max="2" width="25.42578125" style="4176" customWidth="1"/>
    <col min="3" max="3" width="16" style="4176" customWidth="1"/>
    <col min="4" max="4" width="14.5703125" style="4176" customWidth="1"/>
    <col min="5" max="5" width="14.42578125" style="4176" bestFit="1" customWidth="1"/>
    <col min="6" max="6" width="12.7109375" style="4176" customWidth="1"/>
    <col min="7" max="7" width="12.140625" style="4176" customWidth="1"/>
    <col min="8" max="9" width="11.42578125" style="4176"/>
    <col min="10" max="10" width="12.85546875" style="4176" customWidth="1"/>
    <col min="11" max="12" width="11.42578125" style="4176"/>
    <col min="13" max="13" width="12.85546875" style="4176" customWidth="1"/>
    <col min="14" max="14" width="12.7109375" style="4176" customWidth="1"/>
    <col min="15" max="15" width="11.42578125" style="4176"/>
    <col min="16" max="16" width="12.28515625" style="4176" customWidth="1"/>
    <col min="17" max="17" width="16.7109375" style="4176" customWidth="1"/>
    <col min="18" max="18" width="15.5703125" style="4176" customWidth="1"/>
    <col min="19" max="19" width="14.5703125" style="4176" customWidth="1"/>
    <col min="20" max="20" width="13.140625" style="4176" customWidth="1"/>
    <col min="21" max="21" width="12.85546875" style="4176" customWidth="1"/>
    <col min="22" max="26" width="12.5703125" style="4176" customWidth="1"/>
    <col min="27" max="27" width="11.42578125" style="4176" customWidth="1"/>
    <col min="28" max="28" width="13.140625" style="4176" customWidth="1"/>
    <col min="29" max="29" width="11.140625" style="4176" customWidth="1"/>
    <col min="30" max="30" width="16.28515625" style="4176" customWidth="1"/>
    <col min="31" max="32" width="11.140625" style="4176" customWidth="1"/>
    <col min="33" max="33" width="12.7109375" style="4177" customWidth="1"/>
    <col min="34" max="34" width="13.28515625" style="4177" customWidth="1"/>
    <col min="35" max="35" width="16.5703125" style="4177" customWidth="1"/>
    <col min="36" max="40" width="16.140625" style="4177" customWidth="1"/>
    <col min="41" max="41" width="14.28515625" style="4177" customWidth="1"/>
    <col min="42" max="42" width="16.140625" style="4177" customWidth="1"/>
    <col min="43" max="43" width="14.85546875" style="4177" customWidth="1"/>
    <col min="44" max="44" width="15.140625" style="4177" customWidth="1"/>
    <col min="45" max="45" width="16.140625" style="4177" customWidth="1"/>
    <col min="46" max="46" width="15.7109375" style="4177" customWidth="1"/>
    <col min="47" max="52" width="11.42578125" style="4177" customWidth="1"/>
    <col min="53" max="54" width="10.7109375" style="4177" customWidth="1"/>
    <col min="55" max="56" width="11.42578125" style="4177" customWidth="1"/>
    <col min="57" max="57" width="16.7109375" style="4177" customWidth="1"/>
    <col min="58" max="59" width="11.42578125" style="4177" customWidth="1"/>
    <col min="60" max="62" width="10.7109375" style="4177" customWidth="1"/>
    <col min="63" max="64" width="11.42578125" style="4177" customWidth="1"/>
    <col min="65" max="65" width="13.7109375" style="4177" customWidth="1"/>
    <col min="66" max="66" width="22.28515625" style="4177" customWidth="1"/>
    <col min="67" max="78" width="11.42578125" style="4177" customWidth="1"/>
    <col min="79" max="97" width="11.42578125" style="4177" hidden="1" customWidth="1"/>
    <col min="98" max="103" width="11.42578125" style="4177" customWidth="1"/>
    <col min="104" max="105" width="11.42578125" style="4176" customWidth="1"/>
    <col min="106" max="16384" width="11.42578125" style="4176"/>
  </cols>
  <sheetData>
    <row r="1" spans="1:93" s="4177" customFormat="1" ht="15.6" customHeight="1" x14ac:dyDescent="0.2">
      <c r="A1" s="4173" t="s">
        <v>206</v>
      </c>
      <c r="B1" s="4174"/>
      <c r="C1" s="4175"/>
      <c r="D1" s="4175"/>
      <c r="E1" s="4175"/>
      <c r="F1" s="4175"/>
      <c r="G1" s="4175"/>
      <c r="H1" s="4175"/>
      <c r="I1" s="4175"/>
      <c r="J1" s="4175"/>
      <c r="K1" s="4176"/>
      <c r="L1" s="4176"/>
      <c r="M1" s="4176"/>
      <c r="N1" s="4176"/>
      <c r="O1" s="4176"/>
      <c r="P1" s="4176"/>
      <c r="Q1" s="4176"/>
      <c r="R1" s="4176"/>
      <c r="S1" s="4176"/>
      <c r="T1" s="4176"/>
      <c r="U1" s="4176"/>
      <c r="V1" s="4176"/>
      <c r="W1" s="4176"/>
      <c r="X1" s="4176"/>
      <c r="Y1" s="4176"/>
      <c r="Z1" s="4176"/>
      <c r="AA1" s="4176"/>
      <c r="AB1" s="4176"/>
      <c r="AC1" s="4176"/>
      <c r="AD1" s="4176"/>
      <c r="AE1" s="4176"/>
      <c r="AF1" s="4176"/>
    </row>
    <row r="2" spans="1:93" s="4177" customFormat="1" ht="15" customHeight="1" x14ac:dyDescent="0.2">
      <c r="A2" s="4173" t="str">
        <f>CONCATENATE("COMUNA: ",NOMBRE!B2," - ","( ",NOMBRE!C2,NOMBRE!D2,NOMBRE!E2,NOMBRE!F2,NOMBRE!G2," )")</f>
        <v>COMUNA:  - (  )</v>
      </c>
      <c r="B2" s="4174"/>
      <c r="C2" s="4175"/>
      <c r="D2" s="4175"/>
      <c r="E2" s="4175"/>
      <c r="F2" s="4175"/>
      <c r="G2" s="4175"/>
      <c r="H2" s="4175"/>
      <c r="I2" s="4175"/>
      <c r="J2" s="4175"/>
      <c r="K2" s="4176"/>
      <c r="L2" s="4176"/>
      <c r="M2" s="4176"/>
      <c r="N2" s="4176"/>
      <c r="O2" s="4176"/>
      <c r="P2" s="4176"/>
      <c r="Q2" s="4176"/>
      <c r="R2" s="4176"/>
      <c r="S2" s="4176"/>
      <c r="T2" s="4176"/>
      <c r="U2" s="4176"/>
      <c r="V2" s="4176"/>
      <c r="W2" s="4176"/>
      <c r="X2" s="4176"/>
      <c r="Y2" s="4176"/>
      <c r="Z2" s="4176"/>
      <c r="AA2" s="4176"/>
      <c r="AB2" s="4176"/>
      <c r="AC2" s="4176"/>
      <c r="AD2" s="4176"/>
      <c r="AE2" s="4176"/>
      <c r="AF2" s="4176"/>
    </row>
    <row r="3" spans="1:93" s="4177" customFormat="1" ht="13.9" customHeight="1" x14ac:dyDescent="0.2">
      <c r="A3" s="4173" t="str">
        <f>CONCATENATE("ESTABLECIMIENTO/ESTRATEGIA: ",NOMBRE!B3," - ","( ",NOMBRE!C3,NOMBRE!D3,NOMBRE!E3,NOMBRE!F3,NOMBRE!G3,NOMBRE!H3," )")</f>
        <v>ESTABLECIMIENTO/ESTRATEGIA:  - (  )</v>
      </c>
      <c r="B3" s="4178"/>
      <c r="C3" s="4179"/>
      <c r="D3" s="4179"/>
      <c r="E3" s="4179"/>
      <c r="F3" s="4179"/>
      <c r="G3" s="4179"/>
      <c r="H3" s="4179"/>
      <c r="I3" s="4179"/>
      <c r="J3" s="4179"/>
      <c r="K3" s="4176"/>
      <c r="L3" s="4176"/>
      <c r="M3" s="4176"/>
      <c r="N3" s="4176"/>
      <c r="O3" s="4176"/>
      <c r="P3" s="4176"/>
      <c r="Q3" s="4176"/>
      <c r="R3" s="4176"/>
      <c r="S3" s="4176"/>
      <c r="T3" s="4176"/>
      <c r="U3" s="4176"/>
      <c r="V3" s="4176"/>
      <c r="W3" s="4176"/>
      <c r="X3" s="4176"/>
      <c r="Y3" s="4176"/>
      <c r="Z3" s="4176"/>
      <c r="AA3" s="4176"/>
      <c r="AB3" s="4176"/>
      <c r="AC3" s="4176"/>
      <c r="AD3" s="4176"/>
      <c r="AE3" s="4176"/>
      <c r="AF3" s="4176"/>
    </row>
    <row r="4" spans="1:93" s="4177" customFormat="1" ht="12" customHeight="1" x14ac:dyDescent="0.2">
      <c r="A4" s="4173" t="str">
        <f>CONCATENATE("MES: ",NOMBRE!B6," - ","( ",NOMBRE!C6,NOMBRE!D6," )")</f>
        <v>MES:  - (  )</v>
      </c>
      <c r="B4" s="4178"/>
      <c r="C4" s="4175"/>
      <c r="D4" s="4180"/>
      <c r="E4" s="4175"/>
      <c r="F4" s="4175"/>
      <c r="G4" s="4175"/>
      <c r="H4" s="4175"/>
      <c r="I4" s="4175"/>
      <c r="J4" s="4175"/>
      <c r="K4" s="4176"/>
      <c r="L4" s="4176"/>
      <c r="M4" s="4176"/>
      <c r="N4" s="4176"/>
      <c r="O4" s="4176"/>
      <c r="P4" s="4176"/>
      <c r="Q4" s="4176"/>
      <c r="R4" s="4176"/>
      <c r="S4" s="4176"/>
      <c r="T4" s="4176"/>
      <c r="U4" s="4176"/>
      <c r="V4" s="4176"/>
      <c r="W4" s="4176"/>
      <c r="X4" s="4176"/>
      <c r="Y4" s="4176"/>
      <c r="Z4" s="4176"/>
      <c r="AA4" s="4176"/>
      <c r="AB4" s="4176"/>
      <c r="AC4" s="4176"/>
      <c r="AD4" s="4176"/>
      <c r="AE4" s="4176"/>
      <c r="AF4" s="4176"/>
    </row>
    <row r="5" spans="1:93" s="4177" customFormat="1" ht="12.6" customHeight="1" x14ac:dyDescent="0.2">
      <c r="A5" s="4173" t="str">
        <f>CONCATENATE("AÑO: ",NOMBRE!B7)</f>
        <v>AÑO: 2023</v>
      </c>
      <c r="B5" s="4178"/>
      <c r="C5" s="4175"/>
      <c r="D5" s="4175"/>
      <c r="E5" s="4175"/>
      <c r="F5" s="4175"/>
      <c r="G5" s="4175"/>
      <c r="H5" s="4175"/>
      <c r="I5" s="4175"/>
      <c r="J5" s="4175"/>
      <c r="K5" s="4176"/>
      <c r="L5" s="4176"/>
      <c r="M5" s="4176"/>
      <c r="N5" s="4176"/>
      <c r="O5" s="4176"/>
      <c r="P5" s="4176"/>
      <c r="Q5" s="4176"/>
      <c r="R5" s="4176"/>
      <c r="S5" s="4176"/>
      <c r="T5" s="4176"/>
      <c r="U5" s="4176"/>
      <c r="V5" s="4176"/>
      <c r="W5" s="4176"/>
      <c r="X5" s="4176"/>
      <c r="Y5" s="4176"/>
      <c r="Z5" s="4176"/>
      <c r="AA5" s="4176"/>
      <c r="AB5" s="4176"/>
      <c r="AC5" s="4176"/>
      <c r="AD5" s="4176"/>
      <c r="AE5" s="4176"/>
      <c r="AF5" s="4176"/>
    </row>
    <row r="6" spans="1:93" s="4177" customFormat="1" x14ac:dyDescent="0.2">
      <c r="A6" s="4178"/>
      <c r="B6" s="4178"/>
      <c r="C6" s="4175"/>
      <c r="D6" s="4175"/>
      <c r="E6" s="4175"/>
      <c r="F6" s="4175"/>
      <c r="G6" s="4175"/>
      <c r="H6" s="4175"/>
      <c r="I6" s="4175"/>
      <c r="J6" s="4175"/>
      <c r="K6" s="4176"/>
      <c r="L6" s="4176"/>
      <c r="M6" s="4176"/>
      <c r="N6" s="4176"/>
      <c r="O6" s="4176"/>
      <c r="P6" s="4176"/>
      <c r="Q6" s="4176"/>
      <c r="R6" s="4176"/>
      <c r="S6" s="4176"/>
      <c r="T6" s="4176"/>
      <c r="U6" s="4176"/>
      <c r="V6" s="4176"/>
      <c r="W6" s="4176"/>
      <c r="X6" s="4176"/>
      <c r="Y6" s="4176"/>
      <c r="Z6" s="4176"/>
      <c r="AA6" s="4176"/>
      <c r="AB6" s="4176"/>
      <c r="AC6" s="4176"/>
      <c r="AD6" s="4176"/>
      <c r="AE6" s="4176"/>
      <c r="AF6" s="4176"/>
    </row>
    <row r="7" spans="1:93" s="4177" customFormat="1" ht="15.75" customHeight="1" x14ac:dyDescent="0.2">
      <c r="A7" s="8835" t="s">
        <v>2683</v>
      </c>
      <c r="B7" s="8835"/>
      <c r="C7" s="8835"/>
      <c r="D7" s="8835"/>
      <c r="E7" s="8835"/>
      <c r="F7" s="8835"/>
      <c r="G7" s="8835"/>
      <c r="H7" s="8835"/>
      <c r="I7" s="8835"/>
      <c r="J7" s="8835"/>
      <c r="K7" s="8835"/>
      <c r="L7" s="8835"/>
      <c r="M7" s="8835"/>
      <c r="N7" s="8835"/>
      <c r="O7" s="8835"/>
      <c r="P7" s="8835"/>
      <c r="Q7" s="8835"/>
      <c r="R7" s="8835"/>
      <c r="S7" s="8835"/>
      <c r="T7" s="4176"/>
      <c r="U7" s="4176"/>
      <c r="V7" s="4176"/>
      <c r="W7" s="4176"/>
      <c r="X7" s="4176"/>
      <c r="Y7" s="4176"/>
      <c r="Z7" s="4176"/>
      <c r="AA7" s="4176"/>
      <c r="AB7" s="4176"/>
      <c r="AC7" s="4176"/>
      <c r="AD7" s="4176"/>
      <c r="AE7" s="4176"/>
      <c r="AF7" s="4176"/>
    </row>
    <row r="8" spans="1:93" s="4177" customFormat="1" x14ac:dyDescent="0.2">
      <c r="A8" s="4176"/>
      <c r="B8" s="10808" t="s">
        <v>2684</v>
      </c>
      <c r="C8" s="10808"/>
      <c r="D8" s="10808"/>
      <c r="E8" s="10808"/>
      <c r="F8" s="10808"/>
      <c r="G8" s="10808"/>
      <c r="H8" s="10808"/>
      <c r="I8" s="10808"/>
      <c r="J8" s="10808"/>
      <c r="K8" s="4182"/>
      <c r="L8" s="4182"/>
      <c r="M8" s="4182"/>
      <c r="N8" s="4181"/>
      <c r="O8" s="4176"/>
      <c r="P8" s="4176"/>
      <c r="Q8" s="4176"/>
      <c r="R8" s="4176"/>
      <c r="S8" s="4176"/>
      <c r="T8" s="4176"/>
      <c r="U8" s="4176"/>
      <c r="V8" s="4176"/>
      <c r="W8" s="4176"/>
      <c r="X8" s="4176"/>
      <c r="Y8" s="4176"/>
      <c r="Z8" s="4176"/>
      <c r="AA8" s="4176"/>
      <c r="AB8" s="4176"/>
      <c r="AC8" s="4176"/>
      <c r="AD8" s="4176"/>
      <c r="AE8" s="4176"/>
      <c r="AF8" s="4176"/>
    </row>
    <row r="9" spans="1:93" s="4177" customFormat="1" x14ac:dyDescent="0.2">
      <c r="A9" s="4176"/>
      <c r="B9" s="4183"/>
      <c r="C9" s="4183"/>
      <c r="D9" s="4183"/>
      <c r="E9" s="4183"/>
      <c r="F9" s="4183"/>
      <c r="G9" s="4183"/>
      <c r="H9" s="4183"/>
      <c r="I9" s="4183"/>
      <c r="J9" s="4183"/>
      <c r="K9" s="4183"/>
      <c r="L9" s="4183"/>
      <c r="M9" s="4183"/>
      <c r="N9" s="4181"/>
      <c r="O9" s="4176"/>
      <c r="P9" s="4176"/>
      <c r="Q9" s="4176"/>
      <c r="R9" s="4176"/>
      <c r="S9" s="4176"/>
      <c r="T9" s="4176"/>
      <c r="U9" s="4176"/>
      <c r="V9" s="4176"/>
      <c r="W9" s="4176"/>
      <c r="X9" s="4176"/>
      <c r="Y9" s="4176"/>
      <c r="Z9" s="4176"/>
      <c r="AA9" s="4176"/>
      <c r="AB9" s="4176"/>
      <c r="AC9" s="4176"/>
      <c r="AD9" s="4176"/>
      <c r="AE9" s="4176"/>
      <c r="AF9" s="4176"/>
    </row>
    <row r="10" spans="1:93" s="4177" customFormat="1" x14ac:dyDescent="0.2">
      <c r="A10" s="10693"/>
      <c r="B10" s="10693"/>
      <c r="C10" s="10693"/>
      <c r="D10" s="10693"/>
      <c r="E10" s="10693"/>
      <c r="F10" s="10693"/>
      <c r="G10" s="10693"/>
      <c r="H10" s="10693"/>
      <c r="I10" s="10693"/>
      <c r="J10" s="4184"/>
      <c r="K10" s="4176"/>
      <c r="L10" s="4176"/>
      <c r="M10" s="4176"/>
      <c r="N10" s="4176"/>
      <c r="O10" s="4176"/>
      <c r="P10" s="4176"/>
      <c r="Q10" s="4176"/>
      <c r="R10" s="4176"/>
      <c r="S10" s="4176"/>
      <c r="T10" s="4176"/>
      <c r="U10" s="4176"/>
      <c r="V10" s="4176"/>
      <c r="W10" s="4176"/>
      <c r="X10" s="4176"/>
      <c r="Y10" s="4176"/>
      <c r="Z10" s="4176"/>
      <c r="AA10" s="4176"/>
      <c r="AB10" s="4176"/>
      <c r="AC10" s="4176"/>
      <c r="AD10" s="4176"/>
      <c r="AE10" s="4176"/>
      <c r="AF10" s="4176"/>
    </row>
    <row r="11" spans="1:93" s="4177" customFormat="1" ht="35.25" customHeight="1" x14ac:dyDescent="0.2">
      <c r="A11" s="4185" t="s">
        <v>3487</v>
      </c>
      <c r="B11" s="4178"/>
      <c r="C11" s="4186"/>
      <c r="D11" s="4186"/>
      <c r="E11" s="4186"/>
      <c r="F11" s="4186"/>
      <c r="G11" s="4186"/>
      <c r="H11" s="4186"/>
      <c r="I11" s="4186"/>
      <c r="J11" s="4186"/>
      <c r="K11" s="4176"/>
      <c r="L11" s="4176"/>
      <c r="M11" s="4176"/>
      <c r="N11" s="4176"/>
      <c r="O11" s="4176"/>
      <c r="P11" s="4176"/>
      <c r="Q11" s="4176"/>
      <c r="R11" s="4176"/>
      <c r="S11" s="4176"/>
      <c r="T11" s="4176"/>
      <c r="U11" s="4176"/>
      <c r="V11" s="4176"/>
      <c r="W11" s="4176"/>
      <c r="X11" s="4176"/>
      <c r="Y11" s="4176"/>
      <c r="Z11" s="4176"/>
      <c r="AA11" s="4176"/>
      <c r="AB11" s="4176"/>
      <c r="AC11" s="4176"/>
      <c r="AD11" s="4176"/>
      <c r="AE11" s="4176"/>
      <c r="AF11" s="4176"/>
    </row>
    <row r="12" spans="1:93" s="4177" customFormat="1" ht="24" customHeight="1" x14ac:dyDescent="0.2">
      <c r="A12" s="10694" t="s">
        <v>0</v>
      </c>
      <c r="B12" s="10695" t="s">
        <v>24</v>
      </c>
      <c r="C12" s="10697" t="s">
        <v>475</v>
      </c>
      <c r="D12" s="10698"/>
      <c r="E12" s="10698"/>
      <c r="F12" s="10698"/>
      <c r="G12" s="10698"/>
      <c r="H12" s="10698"/>
      <c r="I12" s="10698"/>
      <c r="J12" s="10698"/>
      <c r="K12" s="10698"/>
      <c r="L12" s="10698"/>
      <c r="M12" s="10698"/>
      <c r="N12" s="10698"/>
      <c r="O12" s="10698"/>
      <c r="P12" s="10698"/>
      <c r="Q12" s="10698"/>
      <c r="R12" s="10698"/>
      <c r="S12" s="10699"/>
      <c r="T12" s="10707" t="s">
        <v>2366</v>
      </c>
      <c r="U12" s="10708"/>
      <c r="V12" s="8206" t="s">
        <v>2949</v>
      </c>
      <c r="W12" s="8206" t="s">
        <v>2660</v>
      </c>
      <c r="X12" s="10710" t="s">
        <v>360</v>
      </c>
      <c r="Y12" s="10710" t="s">
        <v>359</v>
      </c>
      <c r="Z12" s="10710" t="s">
        <v>3701</v>
      </c>
      <c r="AA12" s="4176"/>
      <c r="AB12" s="4176"/>
      <c r="AC12" s="4176"/>
      <c r="AD12" s="4176"/>
      <c r="AE12" s="4176"/>
      <c r="AF12" s="4176"/>
      <c r="CA12" s="10706"/>
      <c r="CB12" s="10671"/>
      <c r="CC12" s="10671"/>
      <c r="CD12" s="10671"/>
      <c r="CE12" s="10671"/>
      <c r="CF12" s="10670"/>
      <c r="CK12" s="10706"/>
      <c r="CL12" s="10671"/>
      <c r="CM12" s="10671"/>
      <c r="CN12" s="10671"/>
      <c r="CO12" s="10671"/>
    </row>
    <row r="13" spans="1:93" s="4177" customFormat="1" ht="24" customHeight="1" x14ac:dyDescent="0.2">
      <c r="A13" s="10694"/>
      <c r="B13" s="10696"/>
      <c r="C13" s="4187" t="s">
        <v>75</v>
      </c>
      <c r="D13" s="4188" t="s">
        <v>76</v>
      </c>
      <c r="E13" s="4189" t="s">
        <v>700</v>
      </c>
      <c r="F13" s="4188" t="s">
        <v>3</v>
      </c>
      <c r="G13" s="4190" t="s">
        <v>4</v>
      </c>
      <c r="H13" s="4190" t="s">
        <v>5</v>
      </c>
      <c r="I13" s="4190" t="s">
        <v>6</v>
      </c>
      <c r="J13" s="4190" t="s">
        <v>7</v>
      </c>
      <c r="K13" s="4190" t="s">
        <v>8</v>
      </c>
      <c r="L13" s="4190" t="s">
        <v>9</v>
      </c>
      <c r="M13" s="4190" t="s">
        <v>10</v>
      </c>
      <c r="N13" s="4190" t="s">
        <v>11</v>
      </c>
      <c r="O13" s="4190" t="s">
        <v>12</v>
      </c>
      <c r="P13" s="4190" t="s">
        <v>13</v>
      </c>
      <c r="Q13" s="4190" t="s">
        <v>14</v>
      </c>
      <c r="R13" s="4190" t="s">
        <v>15</v>
      </c>
      <c r="S13" s="4191" t="s">
        <v>16</v>
      </c>
      <c r="T13" s="4192" t="s">
        <v>17</v>
      </c>
      <c r="U13" s="4193" t="s">
        <v>18</v>
      </c>
      <c r="V13" s="10709"/>
      <c r="W13" s="10709"/>
      <c r="X13" s="8795"/>
      <c r="Y13" s="8795"/>
      <c r="Z13" s="8795"/>
      <c r="AA13" s="4176"/>
      <c r="AB13" s="4176"/>
      <c r="AC13" s="4176"/>
      <c r="AD13" s="4176"/>
      <c r="AE13" s="4176"/>
      <c r="AF13" s="4176"/>
      <c r="CA13" s="10706"/>
      <c r="CB13" s="10671"/>
      <c r="CC13" s="10671"/>
      <c r="CD13" s="10671"/>
      <c r="CE13" s="10671"/>
      <c r="CF13" s="10670"/>
      <c r="CK13" s="10706"/>
      <c r="CL13" s="10671"/>
      <c r="CM13" s="10671"/>
      <c r="CN13" s="10671"/>
      <c r="CO13" s="10671"/>
    </row>
    <row r="14" spans="1:93" s="4177" customFormat="1" ht="13.5" customHeight="1" x14ac:dyDescent="0.2">
      <c r="A14" s="4194" t="s">
        <v>2440</v>
      </c>
      <c r="B14" s="4195">
        <f t="shared" ref="B14:B19" si="0">SUM(C14:S14)</f>
        <v>0</v>
      </c>
      <c r="C14" s="4196"/>
      <c r="D14" s="4197"/>
      <c r="E14" s="4198"/>
      <c r="F14" s="4199"/>
      <c r="G14" s="4199"/>
      <c r="H14" s="4199"/>
      <c r="I14" s="4199"/>
      <c r="J14" s="4199"/>
      <c r="K14" s="4199"/>
      <c r="L14" s="4199"/>
      <c r="M14" s="4199"/>
      <c r="N14" s="4199"/>
      <c r="O14" s="4199"/>
      <c r="P14" s="4199"/>
      <c r="Q14" s="4199"/>
      <c r="R14" s="4199"/>
      <c r="S14" s="4200"/>
      <c r="T14" s="4201"/>
      <c r="U14" s="4202"/>
      <c r="V14" s="4203"/>
      <c r="W14" s="4203"/>
      <c r="X14" s="4204"/>
      <c r="Y14" s="4204"/>
      <c r="Z14" s="4204"/>
      <c r="AA14" s="4176" t="str">
        <f>CA14&amp;CB14&amp;CC14&amp;CD14&amp;CE14&amp;CF14</f>
        <v/>
      </c>
      <c r="AB14" s="4176"/>
      <c r="AC14" s="4176"/>
      <c r="AD14" s="4176"/>
      <c r="AE14" s="4176"/>
      <c r="AF14" s="4176"/>
      <c r="CA14" s="4177" t="str">
        <f>IF(CK14=1," *Los controles según sexo deben ser iguales  al total de Controles. ","")</f>
        <v/>
      </c>
      <c r="CB14" s="4177" t="str">
        <f>IF(CL14=1," *Las Atenciones de NNA SENAME no pueden superar el total de Atenciones entre los 0 Y 24 años.","")</f>
        <v/>
      </c>
      <c r="CC14" s="4177" t="str">
        <f>IF(CM14=1," *Las Atenciones de NNA Mejor Niñez no pueden superar el total de Atenciones entre los 0 Y 24 años.","")</f>
        <v/>
      </c>
      <c r="CD14" s="4177" t="str">
        <f>IF(CN14=1," *Las Atenciones de Pueblos Originarios no pueden superar el total de Atenciones .","")</f>
        <v/>
      </c>
      <c r="CE14" s="4177" t="str">
        <f>IF(CO14=1," *Las Atenciones de Migrantes no pueden superar el total de Atenciones .","")</f>
        <v/>
      </c>
      <c r="CF14" s="4177" t="str">
        <f>IF(OR(AND($B14&lt;&gt;0,V14=""),AND($B14&lt;&gt;0,W14=""),AND($B14&lt;&gt;0,X14=""),AND($B14&lt;&gt;0,Y14=""),AND($B14&lt;&gt;0,Z14="")),"* No olvide digitar Migrantes y/o Pueblos Originarios, Espacios Amigables, Niños, Niñas, Adolescentes y Jóvenes SENAME, Niños, Niñas, Adolescentes y Jóvenes Mejor Niñez (Digite CERO si no tiene). ","")</f>
        <v/>
      </c>
      <c r="CK14" s="4177">
        <f>IF(T14+U14&lt;&gt;B14,1,0)</f>
        <v>0</v>
      </c>
      <c r="CL14" s="4177">
        <f t="shared" ref="CL14:CM18" si="1">IF(SUM($C14:$G14)&lt;V14,1,0)</f>
        <v>0</v>
      </c>
      <c r="CM14" s="4177">
        <f t="shared" si="1"/>
        <v>0</v>
      </c>
      <c r="CN14" s="4177">
        <f t="shared" ref="CN14:CO18" si="2">IF($B14&lt;X14,1,0)</f>
        <v>0</v>
      </c>
      <c r="CO14" s="4177">
        <f t="shared" si="2"/>
        <v>0</v>
      </c>
    </row>
    <row r="15" spans="1:93" s="4177" customFormat="1" ht="13.5" customHeight="1" x14ac:dyDescent="0.2">
      <c r="A15" s="4205" t="s">
        <v>2420</v>
      </c>
      <c r="B15" s="4195">
        <f t="shared" si="0"/>
        <v>0</v>
      </c>
      <c r="C15" s="4196"/>
      <c r="D15" s="4197"/>
      <c r="E15" s="4206"/>
      <c r="F15" s="4197"/>
      <c r="G15" s="4197"/>
      <c r="H15" s="4197"/>
      <c r="I15" s="4197"/>
      <c r="J15" s="4197"/>
      <c r="K15" s="4197"/>
      <c r="L15" s="4197"/>
      <c r="M15" s="4197"/>
      <c r="N15" s="4197"/>
      <c r="O15" s="4197"/>
      <c r="P15" s="4197"/>
      <c r="Q15" s="4197"/>
      <c r="R15" s="4197"/>
      <c r="S15" s="4207"/>
      <c r="T15" s="4208"/>
      <c r="U15" s="4209"/>
      <c r="V15" s="4210"/>
      <c r="W15" s="4210"/>
      <c r="X15" s="4211"/>
      <c r="Y15" s="4211"/>
      <c r="Z15" s="4211"/>
      <c r="AA15" s="4176" t="str">
        <f>CA15&amp;CB15&amp;CC15&amp;CD15&amp;CE15</f>
        <v/>
      </c>
      <c r="AB15" s="4176"/>
      <c r="AC15" s="4176"/>
      <c r="AD15" s="4176"/>
      <c r="AE15" s="4176"/>
      <c r="AF15" s="4176"/>
      <c r="CA15" s="4177" t="str">
        <f>IF(CK15=1," *Los controles según sexo deben ser iguales  al total de Controles. ","")</f>
        <v/>
      </c>
      <c r="CB15" s="4177" t="str">
        <f>IF(CL15=1," *Las Atenciones de NNA SENAME no pueden superar el total de Atenciones entre los 0 Y 24 años.","")</f>
        <v/>
      </c>
      <c r="CC15" s="4177" t="str">
        <f>IF(CM15=1," *Las Atenciones de NNA Mejor Niñez no pueden superar el total de Atenciones entre los 0 Y 24 años.","")</f>
        <v/>
      </c>
      <c r="CD15" s="4177" t="str">
        <f>IF(CN15=1," *Las Atenciones de Pueblos Originarios no pueden superar el total de Atenciones .","")</f>
        <v/>
      </c>
      <c r="CE15" s="4177" t="str">
        <f>IF(CO15=1," *Las Atenciones de Migrantes no pueden superar el total de Atenciones .","")</f>
        <v/>
      </c>
      <c r="CF15" s="4177" t="str">
        <f t="shared" ref="CF15:CF18" si="3">IF(OR(AND($B15&lt;&gt;0,V15=""),AND($B15&lt;&gt;0,W15=""),AND($B15&lt;&gt;0,X15=""),AND($B15&lt;&gt;0,Y15=""),AND($B15&lt;&gt;0,Z15="")),"* No olvide digitar Migrantes y/o Pueblos Originarios, Espacios Amigables, Niños, Niñas, Adolescentes y Jóvenes SENAME, Niños, Niñas, Adolescentes y Jóvenes Mejor Niñez (Digite CERO si no tiene). ","")</f>
        <v/>
      </c>
      <c r="CK15" s="4177">
        <f>IF(T15+U15&lt;&gt;B15,1,0)</f>
        <v>0</v>
      </c>
      <c r="CL15" s="4177">
        <f t="shared" si="1"/>
        <v>0</v>
      </c>
      <c r="CM15" s="4177">
        <f t="shared" si="1"/>
        <v>0</v>
      </c>
      <c r="CN15" s="4177">
        <f t="shared" si="2"/>
        <v>0</v>
      </c>
      <c r="CO15" s="4177">
        <f t="shared" si="2"/>
        <v>0</v>
      </c>
    </row>
    <row r="16" spans="1:93" s="4177" customFormat="1" ht="13.5" customHeight="1" x14ac:dyDescent="0.2">
      <c r="A16" s="4212" t="s">
        <v>2421</v>
      </c>
      <c r="B16" s="4195">
        <f>SUM(E16:S16)</f>
        <v>0</v>
      </c>
      <c r="C16" s="7367"/>
      <c r="D16" s="7368"/>
      <c r="E16" s="4206"/>
      <c r="F16" s="4197"/>
      <c r="G16" s="4197"/>
      <c r="H16" s="4197"/>
      <c r="I16" s="4197"/>
      <c r="J16" s="4197"/>
      <c r="K16" s="4197"/>
      <c r="L16" s="4197"/>
      <c r="M16" s="4197"/>
      <c r="N16" s="4197"/>
      <c r="O16" s="4197"/>
      <c r="P16" s="4197"/>
      <c r="Q16" s="4197"/>
      <c r="R16" s="4197"/>
      <c r="S16" s="4207"/>
      <c r="T16" s="4208"/>
      <c r="U16" s="4209"/>
      <c r="V16" s="4210"/>
      <c r="W16" s="4210"/>
      <c r="X16" s="4211"/>
      <c r="Y16" s="4211"/>
      <c r="Z16" s="4211"/>
      <c r="AA16" s="4176" t="str">
        <f>CA16&amp;CB16&amp;CC16&amp;CD16&amp;CE16</f>
        <v/>
      </c>
      <c r="AB16" s="4176"/>
      <c r="AC16" s="4176"/>
      <c r="AD16" s="4176"/>
      <c r="AE16" s="4176"/>
      <c r="AF16" s="4176"/>
      <c r="CA16" s="4177" t="str">
        <f>IF(CK16=1," *Los controles según sexo deben ser iguales  al total de Controles. ","")</f>
        <v/>
      </c>
      <c r="CB16" s="4177" t="str">
        <f>IF(CL16=1," *Las Atenciones de NNA SENAME no pueden superar el total de Atenciones entre los 0 Y 24 años.","")</f>
        <v/>
      </c>
      <c r="CC16" s="4177" t="str">
        <f>IF(CM16=1," *Las Atenciones de NNA Mejor Niñez no pueden superar el total de Atenciones entre los 0 Y 24 años.","")</f>
        <v/>
      </c>
      <c r="CD16" s="4177" t="str">
        <f>IF(CN16=1," *Las Atenciones de Pueblos Originarios no pueden superar el total de Atenciones .","")</f>
        <v/>
      </c>
      <c r="CE16" s="4177" t="str">
        <f>IF(CO16=1," *Las Atenciones de Migrantes no pueden superar el total de Atenciones .","")</f>
        <v/>
      </c>
      <c r="CF16" s="4177" t="str">
        <f t="shared" si="3"/>
        <v/>
      </c>
      <c r="CK16" s="4177">
        <f>IF(T16+U16&lt;&gt;B16,1,0)</f>
        <v>0</v>
      </c>
      <c r="CL16" s="4177">
        <f t="shared" si="1"/>
        <v>0</v>
      </c>
      <c r="CM16" s="4177">
        <f t="shared" si="1"/>
        <v>0</v>
      </c>
      <c r="CN16" s="4177">
        <f t="shared" si="2"/>
        <v>0</v>
      </c>
      <c r="CO16" s="4177">
        <f t="shared" si="2"/>
        <v>0</v>
      </c>
    </row>
    <row r="17" spans="1:103" ht="13.5" customHeight="1" x14ac:dyDescent="0.2">
      <c r="A17" s="4205" t="s">
        <v>46</v>
      </c>
      <c r="B17" s="4195">
        <f t="shared" si="0"/>
        <v>0</v>
      </c>
      <c r="C17" s="4196"/>
      <c r="D17" s="4197"/>
      <c r="E17" s="4206"/>
      <c r="F17" s="4197"/>
      <c r="G17" s="4197"/>
      <c r="H17" s="4197"/>
      <c r="I17" s="4197"/>
      <c r="J17" s="4197"/>
      <c r="K17" s="4197"/>
      <c r="L17" s="4197"/>
      <c r="M17" s="4197"/>
      <c r="N17" s="4197"/>
      <c r="O17" s="4197"/>
      <c r="P17" s="4197"/>
      <c r="Q17" s="4197"/>
      <c r="R17" s="4197"/>
      <c r="S17" s="4207"/>
      <c r="T17" s="4208"/>
      <c r="U17" s="4209"/>
      <c r="V17" s="4210"/>
      <c r="W17" s="4210"/>
      <c r="X17" s="4211"/>
      <c r="Y17" s="4211"/>
      <c r="Z17" s="4211"/>
      <c r="AA17" s="4176" t="str">
        <f>CA17&amp;CB17&amp;CC17&amp;CD17&amp;CE17</f>
        <v/>
      </c>
      <c r="CA17" s="4177" t="str">
        <f>IF(CK17=1," *Los controles según sexo deben ser iguales  al total de Controles. ","")</f>
        <v/>
      </c>
      <c r="CB17" s="4177" t="str">
        <f>IF(CL17=1," *Las Atenciones de NNA SENAME no pueden superar el total de Atenciones entre los 0 Y 24 años.","")</f>
        <v/>
      </c>
      <c r="CC17" s="4177" t="str">
        <f>IF(CM17=1," *Las Atenciones de NNA Mejor Niñez no pueden superar el total de Atenciones entre los 0 Y 24 años.","")</f>
        <v/>
      </c>
      <c r="CD17" s="4177" t="str">
        <f>IF(CN17=1," *Las Atenciones de Pueblos Originarios no pueden superar el total de Atenciones .","")</f>
        <v/>
      </c>
      <c r="CE17" s="4177" t="str">
        <f>IF(CO17=1," *Las Atenciones de Migrantes no pueden superar el total de Atenciones .","")</f>
        <v/>
      </c>
      <c r="CF17" s="4177" t="str">
        <f t="shared" si="3"/>
        <v/>
      </c>
      <c r="CK17" s="4177">
        <f>IF(T17+U17&lt;&gt;B17,1,0)</f>
        <v>0</v>
      </c>
      <c r="CL17" s="4177">
        <f t="shared" si="1"/>
        <v>0</v>
      </c>
      <c r="CM17" s="4177">
        <f t="shared" si="1"/>
        <v>0</v>
      </c>
      <c r="CN17" s="4177">
        <f t="shared" si="2"/>
        <v>0</v>
      </c>
      <c r="CO17" s="4177">
        <f t="shared" si="2"/>
        <v>0</v>
      </c>
    </row>
    <row r="18" spans="1:103" ht="13.5" customHeight="1" x14ac:dyDescent="0.2">
      <c r="A18" s="4213" t="s">
        <v>2369</v>
      </c>
      <c r="B18" s="4195">
        <f t="shared" si="0"/>
        <v>0</v>
      </c>
      <c r="C18" s="4196"/>
      <c r="D18" s="4197"/>
      <c r="E18" s="4206"/>
      <c r="F18" s="4197"/>
      <c r="G18" s="4197"/>
      <c r="H18" s="4197"/>
      <c r="I18" s="4197"/>
      <c r="J18" s="4197"/>
      <c r="K18" s="4197"/>
      <c r="L18" s="4197"/>
      <c r="M18" s="4197"/>
      <c r="N18" s="4197"/>
      <c r="O18" s="4197"/>
      <c r="P18" s="4197"/>
      <c r="Q18" s="4197"/>
      <c r="R18" s="4197"/>
      <c r="S18" s="4207"/>
      <c r="T18" s="4208"/>
      <c r="U18" s="4209"/>
      <c r="V18" s="4210"/>
      <c r="W18" s="4210"/>
      <c r="X18" s="4211"/>
      <c r="Y18" s="4211"/>
      <c r="Z18" s="4211"/>
      <c r="AA18" s="4176" t="str">
        <f>CA18&amp;CB18&amp;CC18&amp;CD18&amp;CE18</f>
        <v/>
      </c>
      <c r="CA18" s="4177" t="str">
        <f>IF(CK18=1," *Los controles según sexo deben ser iguales  al total de Controles. ","")</f>
        <v/>
      </c>
      <c r="CB18" s="4177" t="str">
        <f>IF(CL18=1," *Las Atenciones de NNA SENAME no pueden superar el total de Atenciones entre los 0 Y 24 años.","")</f>
        <v/>
      </c>
      <c r="CC18" s="4177" t="str">
        <f>IF(CM18=1," *Las Atenciones de NNA Mejor Niñez no pueden superar el total de Atenciones entre los 0 Y 24 años.","")</f>
        <v/>
      </c>
      <c r="CD18" s="4177" t="str">
        <f>IF(CN18=1," *Las Atenciones de Pueblos Originarios no pueden superar el total de Atenciones .","")</f>
        <v/>
      </c>
      <c r="CE18" s="4177" t="str">
        <f>IF(CO18=1," *Las Atenciones de Migrantes no pueden superar el total de Atenciones .","")</f>
        <v/>
      </c>
      <c r="CF18" s="4177" t="str">
        <f t="shared" si="3"/>
        <v/>
      </c>
      <c r="CK18" s="4177">
        <f>IF(T18+U18&lt;&gt;B18,1,0)</f>
        <v>0</v>
      </c>
      <c r="CL18" s="4177">
        <f t="shared" si="1"/>
        <v>0</v>
      </c>
      <c r="CM18" s="4177">
        <f t="shared" si="1"/>
        <v>0</v>
      </c>
      <c r="CN18" s="4177">
        <f t="shared" si="2"/>
        <v>0</v>
      </c>
      <c r="CO18" s="4177">
        <f t="shared" si="2"/>
        <v>0</v>
      </c>
    </row>
    <row r="19" spans="1:103" ht="15.6" customHeight="1" x14ac:dyDescent="0.2">
      <c r="A19" s="4214" t="s">
        <v>39</v>
      </c>
      <c r="B19" s="4215">
        <f t="shared" si="0"/>
        <v>0</v>
      </c>
      <c r="C19" s="4216">
        <f t="shared" ref="C19:S19" si="4">SUM(C14:C18)</f>
        <v>0</v>
      </c>
      <c r="D19" s="4217">
        <f t="shared" si="4"/>
        <v>0</v>
      </c>
      <c r="E19" s="4217">
        <f t="shared" si="4"/>
        <v>0</v>
      </c>
      <c r="F19" s="4218">
        <f t="shared" si="4"/>
        <v>0</v>
      </c>
      <c r="G19" s="4218">
        <f t="shared" si="4"/>
        <v>0</v>
      </c>
      <c r="H19" s="4218">
        <f t="shared" si="4"/>
        <v>0</v>
      </c>
      <c r="I19" s="4218">
        <f t="shared" si="4"/>
        <v>0</v>
      </c>
      <c r="J19" s="4218">
        <f t="shared" si="4"/>
        <v>0</v>
      </c>
      <c r="K19" s="4218">
        <f t="shared" si="4"/>
        <v>0</v>
      </c>
      <c r="L19" s="4218">
        <f t="shared" si="4"/>
        <v>0</v>
      </c>
      <c r="M19" s="4218">
        <f t="shared" si="4"/>
        <v>0</v>
      </c>
      <c r="N19" s="4218">
        <f t="shared" si="4"/>
        <v>0</v>
      </c>
      <c r="O19" s="4218">
        <f t="shared" si="4"/>
        <v>0</v>
      </c>
      <c r="P19" s="4218">
        <f t="shared" si="4"/>
        <v>0</v>
      </c>
      <c r="Q19" s="4218">
        <f t="shared" si="4"/>
        <v>0</v>
      </c>
      <c r="R19" s="4218">
        <f t="shared" si="4"/>
        <v>0</v>
      </c>
      <c r="S19" s="4219">
        <f t="shared" si="4"/>
        <v>0</v>
      </c>
      <c r="T19" s="4220">
        <f>SUM(T14:T18)</f>
        <v>0</v>
      </c>
      <c r="U19" s="4221">
        <f t="shared" ref="U19:Z19" si="5">SUM(U14:U18)</f>
        <v>0</v>
      </c>
      <c r="V19" s="4222">
        <f t="shared" si="5"/>
        <v>0</v>
      </c>
      <c r="W19" s="4222">
        <f t="shared" si="5"/>
        <v>0</v>
      </c>
      <c r="X19" s="4223">
        <f t="shared" si="5"/>
        <v>0</v>
      </c>
      <c r="Y19" s="4223">
        <f t="shared" si="5"/>
        <v>0</v>
      </c>
      <c r="Z19" s="4223">
        <f t="shared" si="5"/>
        <v>0</v>
      </c>
    </row>
    <row r="20" spans="1:103" ht="25.9" customHeight="1" x14ac:dyDescent="0.2">
      <c r="A20" s="10712" t="s">
        <v>3092</v>
      </c>
      <c r="B20" s="10713"/>
      <c r="C20" s="10713"/>
      <c r="D20" s="10713"/>
      <c r="E20" s="10713"/>
      <c r="F20" s="10713"/>
      <c r="G20" s="10713"/>
      <c r="H20" s="10713"/>
      <c r="I20" s="10713"/>
      <c r="J20" s="10713"/>
      <c r="K20" s="10713"/>
      <c r="L20" s="10713"/>
      <c r="M20" s="4224"/>
      <c r="N20" s="4224"/>
      <c r="O20" s="4224"/>
      <c r="P20" s="4224"/>
      <c r="Q20" s="4224"/>
      <c r="R20" s="4224"/>
      <c r="S20" s="4224"/>
      <c r="T20" s="4224"/>
      <c r="U20" s="4224"/>
      <c r="V20" s="4224"/>
      <c r="W20" s="4224"/>
      <c r="X20" s="4224"/>
      <c r="Y20" s="4224"/>
      <c r="AF20" s="4177"/>
      <c r="CY20" s="4176"/>
    </row>
    <row r="21" spans="1:103" ht="15.6" customHeight="1" x14ac:dyDescent="0.2">
      <c r="A21" s="10719" t="s">
        <v>1047</v>
      </c>
      <c r="B21" s="10711" t="s">
        <v>24</v>
      </c>
      <c r="C21" s="10711"/>
      <c r="D21" s="10711"/>
      <c r="E21" s="10714" t="s">
        <v>2146</v>
      </c>
      <c r="F21" s="10715"/>
      <c r="G21" s="10715"/>
      <c r="H21" s="10716"/>
      <c r="I21" s="10717" t="s">
        <v>2440</v>
      </c>
      <c r="J21" s="10718" t="s">
        <v>3087</v>
      </c>
      <c r="K21" s="10711" t="s">
        <v>360</v>
      </c>
      <c r="L21" s="10711" t="s">
        <v>359</v>
      </c>
      <c r="M21" s="4224"/>
      <c r="N21" s="4224"/>
      <c r="O21" s="4224"/>
      <c r="P21" s="4224"/>
      <c r="Q21" s="4224"/>
      <c r="R21" s="4224"/>
      <c r="S21" s="4224"/>
      <c r="T21" s="4224"/>
      <c r="U21" s="4224"/>
      <c r="V21" s="4224"/>
      <c r="W21" s="4224"/>
      <c r="X21" s="4224"/>
      <c r="Y21" s="4224"/>
      <c r="AF21" s="4177"/>
      <c r="CY21" s="4176"/>
    </row>
    <row r="22" spans="1:103" ht="15.6" customHeight="1" x14ac:dyDescent="0.2">
      <c r="A22" s="10719"/>
      <c r="B22" s="10711"/>
      <c r="C22" s="10711"/>
      <c r="D22" s="10711"/>
      <c r="E22" s="10719" t="s">
        <v>3088</v>
      </c>
      <c r="F22" s="10719"/>
      <c r="G22" s="10719" t="s">
        <v>1602</v>
      </c>
      <c r="H22" s="10720"/>
      <c r="I22" s="10717"/>
      <c r="J22" s="10718"/>
      <c r="K22" s="10711"/>
      <c r="L22" s="10711"/>
      <c r="M22" s="4224"/>
      <c r="N22" s="4224"/>
      <c r="O22" s="4224"/>
      <c r="P22" s="4224"/>
      <c r="Q22" s="4224"/>
      <c r="R22" s="4224"/>
      <c r="S22" s="4224"/>
      <c r="T22" s="4224"/>
      <c r="U22" s="4224"/>
      <c r="V22" s="4224"/>
      <c r="W22" s="4224"/>
      <c r="X22" s="4224"/>
      <c r="Y22" s="4224"/>
      <c r="AF22" s="4177"/>
      <c r="CA22" s="10671"/>
      <c r="CB22" s="10671"/>
      <c r="CC22" s="10671"/>
      <c r="CD22" s="10671"/>
      <c r="CE22" s="10671"/>
      <c r="CK22" s="10671"/>
      <c r="CL22" s="10671"/>
      <c r="CM22" s="10671"/>
      <c r="CN22" s="10671"/>
      <c r="CY22" s="4176"/>
    </row>
    <row r="23" spans="1:103" ht="15.6" customHeight="1" x14ac:dyDescent="0.2">
      <c r="A23" s="10719"/>
      <c r="B23" s="4225" t="s">
        <v>42</v>
      </c>
      <c r="C23" s="4226" t="s">
        <v>17</v>
      </c>
      <c r="D23" s="4226" t="s">
        <v>18</v>
      </c>
      <c r="E23" s="4226" t="s">
        <v>17</v>
      </c>
      <c r="F23" s="4226" t="s">
        <v>18</v>
      </c>
      <c r="G23" s="4226" t="s">
        <v>17</v>
      </c>
      <c r="H23" s="4227" t="s">
        <v>18</v>
      </c>
      <c r="I23" s="10717"/>
      <c r="J23" s="10718"/>
      <c r="K23" s="10711"/>
      <c r="L23" s="10711"/>
      <c r="M23" s="4224"/>
      <c r="N23" s="4224"/>
      <c r="O23" s="4224"/>
      <c r="P23" s="4224"/>
      <c r="Q23" s="4224"/>
      <c r="R23" s="4224"/>
      <c r="S23" s="4224"/>
      <c r="T23" s="4224"/>
      <c r="U23" s="4224"/>
      <c r="V23" s="4224"/>
      <c r="W23" s="4224"/>
      <c r="X23" s="4224"/>
      <c r="Y23" s="4224"/>
      <c r="AF23" s="4177"/>
      <c r="CA23" s="10671"/>
      <c r="CB23" s="10671"/>
      <c r="CC23" s="10671"/>
      <c r="CD23" s="10671"/>
      <c r="CE23" s="10671"/>
      <c r="CK23" s="10671"/>
      <c r="CL23" s="10671"/>
      <c r="CM23" s="10671"/>
      <c r="CN23" s="10671"/>
      <c r="CY23" s="4176"/>
    </row>
    <row r="24" spans="1:103" ht="15.6" customHeight="1" x14ac:dyDescent="0.2">
      <c r="A24" s="4228" t="s">
        <v>3089</v>
      </c>
      <c r="B24" s="4229">
        <f>SUM(C24:D24)</f>
        <v>0</v>
      </c>
      <c r="C24" s="4229">
        <f t="shared" ref="C24:D26" si="6">+E24+G24</f>
        <v>0</v>
      </c>
      <c r="D24" s="4229">
        <f t="shared" si="6"/>
        <v>0</v>
      </c>
      <c r="E24" s="4230"/>
      <c r="F24" s="4230"/>
      <c r="G24" s="4230"/>
      <c r="H24" s="4231"/>
      <c r="I24" s="4232"/>
      <c r="J24" s="4233"/>
      <c r="K24" s="4230"/>
      <c r="L24" s="4230"/>
      <c r="M24" s="4176" t="str">
        <f>CA24&amp;CB24&amp;CC24&amp;CD24&amp;CE24</f>
        <v/>
      </c>
      <c r="N24" s="4224"/>
      <c r="O24" s="4224"/>
      <c r="P24" s="4224"/>
      <c r="Q24" s="4224"/>
      <c r="R24" s="4224"/>
      <c r="S24" s="4224"/>
      <c r="T24" s="4224"/>
      <c r="U24" s="4224"/>
      <c r="V24" s="4224"/>
      <c r="W24" s="4224"/>
      <c r="X24" s="4224"/>
      <c r="Y24" s="4224"/>
      <c r="AF24" s="4177"/>
      <c r="CA24" s="4177" t="str">
        <f>IF(CK24=1," *Las Consultas de Medicos no pueden superar el total de Consultas. ","")</f>
        <v/>
      </c>
      <c r="CB24" s="4177" t="str">
        <f>IF(CL24=1," *Las Consultas de Otros Profesionales no pueden superar el total de Consultas.","")</f>
        <v/>
      </c>
      <c r="CC24" s="4177" t="str">
        <f>IF(CM24=1," *Las Consultas de Pueblos Originarios no pueden superar el total de Consultas.","")</f>
        <v/>
      </c>
      <c r="CD24" s="4177" t="str">
        <f>IF(CN24=1," *Las Consultas de Migrantes no pueden superar el total de Consultas.","")</f>
        <v/>
      </c>
      <c r="CE24" s="4177" t="str">
        <f>IF(OR(AND(L24="",B24&lt;&gt;0),AND(K24="",K24&lt;&gt;0)),"* No olvide digitar Migrantes y/o Pueblos Originarios (Digite CERO si no tiene). ","")</f>
        <v/>
      </c>
      <c r="CK24" s="4177">
        <f t="shared" ref="CK24:CN26" si="7">IF($B24&lt;I24,1,0)</f>
        <v>0</v>
      </c>
      <c r="CL24" s="4177">
        <f t="shared" si="7"/>
        <v>0</v>
      </c>
      <c r="CM24" s="4177">
        <f t="shared" si="7"/>
        <v>0</v>
      </c>
      <c r="CN24" s="4177">
        <f t="shared" si="7"/>
        <v>0</v>
      </c>
      <c r="CY24" s="4176"/>
    </row>
    <row r="25" spans="1:103" ht="15.6" customHeight="1" x14ac:dyDescent="0.2">
      <c r="A25" s="4234" t="s">
        <v>3090</v>
      </c>
      <c r="B25" s="4235">
        <f>SUM(C25:D25)</f>
        <v>0</v>
      </c>
      <c r="C25" s="4235">
        <f t="shared" si="6"/>
        <v>0</v>
      </c>
      <c r="D25" s="4235">
        <f t="shared" si="6"/>
        <v>0</v>
      </c>
      <c r="E25" s="4236"/>
      <c r="F25" s="4236"/>
      <c r="G25" s="4236"/>
      <c r="H25" s="4237"/>
      <c r="I25" s="4238"/>
      <c r="J25" s="4239"/>
      <c r="K25" s="4236"/>
      <c r="L25" s="4236"/>
      <c r="M25" s="4176" t="str">
        <f>CA25&amp;CB25&amp;CC25&amp;CD25&amp;CE25</f>
        <v/>
      </c>
      <c r="N25" s="4224"/>
      <c r="O25" s="4224"/>
      <c r="P25" s="4224"/>
      <c r="Q25" s="4224"/>
      <c r="R25" s="4224"/>
      <c r="S25" s="4224"/>
      <c r="T25" s="4224"/>
      <c r="U25" s="4224"/>
      <c r="V25" s="4224"/>
      <c r="W25" s="4224"/>
      <c r="X25" s="4224"/>
      <c r="Y25" s="4224"/>
      <c r="AF25" s="4177"/>
      <c r="CA25" s="4177" t="str">
        <f>IF(CK25=1," *Las Consultas de Medicos no pueden superar el total de Consultas. ","")</f>
        <v/>
      </c>
      <c r="CB25" s="4177" t="str">
        <f>IF(CL25=1," *Las Consultas de Otros Profesionales no pueden superar el total de Consultas.","")</f>
        <v/>
      </c>
      <c r="CC25" s="4177" t="str">
        <f>IF(CM25=1," *Las Consultas de Pueblos Originarios no pueden superar el total de Consultas.","")</f>
        <v/>
      </c>
      <c r="CD25" s="4177" t="str">
        <f>IF(CN25=1," *Las Consultas de Migrantes no pueden superar el total de Consultas.","")</f>
        <v/>
      </c>
      <c r="CE25" s="4177" t="str">
        <f t="shared" ref="CE25:CE26" si="8">IF(OR(AND(L25="",B25&lt;&gt;0),AND(K25="",K25&lt;&gt;0)),"* No olvide digitar Migrantes y/o Pueblos Originarios (Digite CERO si no tiene). ","")</f>
        <v/>
      </c>
      <c r="CK25" s="4177">
        <f t="shared" si="7"/>
        <v>0</v>
      </c>
      <c r="CL25" s="4177">
        <f t="shared" si="7"/>
        <v>0</v>
      </c>
      <c r="CM25" s="4177">
        <f t="shared" si="7"/>
        <v>0</v>
      </c>
      <c r="CN25" s="4177">
        <f t="shared" si="7"/>
        <v>0</v>
      </c>
      <c r="CY25" s="4176"/>
    </row>
    <row r="26" spans="1:103" ht="15.6" customHeight="1" x14ac:dyDescent="0.2">
      <c r="A26" s="4240" t="s">
        <v>3091</v>
      </c>
      <c r="B26" s="4241">
        <f>SUM(C26:D26)</f>
        <v>0</v>
      </c>
      <c r="C26" s="4241">
        <f t="shared" si="6"/>
        <v>0</v>
      </c>
      <c r="D26" s="4241">
        <f t="shared" si="6"/>
        <v>0</v>
      </c>
      <c r="E26" s="4242"/>
      <c r="F26" s="4242"/>
      <c r="G26" s="4242"/>
      <c r="H26" s="4243"/>
      <c r="I26" s="4244"/>
      <c r="J26" s="4245"/>
      <c r="K26" s="4242"/>
      <c r="L26" s="4242"/>
      <c r="M26" s="4176" t="str">
        <f>CA26&amp;CB26&amp;CC26&amp;CD26&amp;CE26</f>
        <v/>
      </c>
      <c r="N26" s="4224"/>
      <c r="O26" s="4224"/>
      <c r="P26" s="4224"/>
      <c r="Q26" s="4224"/>
      <c r="R26" s="4224"/>
      <c r="S26" s="4224"/>
      <c r="T26" s="4224"/>
      <c r="U26" s="4224"/>
      <c r="V26" s="4224"/>
      <c r="W26" s="4224"/>
      <c r="X26" s="4224"/>
      <c r="Y26" s="4224"/>
      <c r="AF26" s="4177"/>
      <c r="CA26" s="4177" t="str">
        <f>IF(CK26=1," *Las Consultas de Medicos no pueden superar el total de Consultas. ","")</f>
        <v/>
      </c>
      <c r="CB26" s="4177" t="str">
        <f>IF(CL26=1," *Las Consultas de Otros Profesionales no pueden superar el total de Consultas.","")</f>
        <v/>
      </c>
      <c r="CC26" s="4177" t="str">
        <f>IF(CM26=1," *Las Consultas de Pueblos Originarios no pueden superar el total de Consultas.","")</f>
        <v/>
      </c>
      <c r="CD26" s="4177" t="str">
        <f>IF(CN26=1," *Las Consultas de Migrantes no pueden superar el total de Consultas.","")</f>
        <v/>
      </c>
      <c r="CE26" s="4177" t="str">
        <f t="shared" si="8"/>
        <v/>
      </c>
      <c r="CK26" s="4177">
        <f t="shared" si="7"/>
        <v>0</v>
      </c>
      <c r="CL26" s="4177">
        <f t="shared" si="7"/>
        <v>0</v>
      </c>
      <c r="CM26" s="4177">
        <f t="shared" si="7"/>
        <v>0</v>
      </c>
      <c r="CN26" s="4177">
        <f t="shared" si="7"/>
        <v>0</v>
      </c>
      <c r="CY26" s="4176"/>
    </row>
    <row r="27" spans="1:103" ht="15.6" customHeight="1" x14ac:dyDescent="0.2">
      <c r="A27" s="4214" t="s">
        <v>24</v>
      </c>
      <c r="B27" s="4226">
        <f>SUM(B24:B26)</f>
        <v>0</v>
      </c>
      <c r="C27" s="4226">
        <f>SUM(C24:C26)</f>
        <v>0</v>
      </c>
      <c r="D27" s="4226">
        <f>SUM(D24:D26)</f>
        <v>0</v>
      </c>
      <c r="E27" s="4226">
        <f>SUM(E24:E26)</f>
        <v>0</v>
      </c>
      <c r="F27" s="4226">
        <f t="shared" ref="F27:L27" si="9">SUM(F24:F26)</f>
        <v>0</v>
      </c>
      <c r="G27" s="4226">
        <f t="shared" si="9"/>
        <v>0</v>
      </c>
      <c r="H27" s="4227">
        <f t="shared" si="9"/>
        <v>0</v>
      </c>
      <c r="I27" s="4246">
        <f t="shared" si="9"/>
        <v>0</v>
      </c>
      <c r="J27" s="4226">
        <f t="shared" si="9"/>
        <v>0</v>
      </c>
      <c r="K27" s="4226">
        <f t="shared" si="9"/>
        <v>0</v>
      </c>
      <c r="L27" s="4226">
        <f t="shared" si="9"/>
        <v>0</v>
      </c>
      <c r="M27" s="4224"/>
      <c r="N27" s="4224"/>
      <c r="O27" s="4224"/>
      <c r="P27" s="4224"/>
      <c r="Q27" s="4224"/>
      <c r="R27" s="4224"/>
      <c r="S27" s="4224"/>
      <c r="T27" s="4224"/>
      <c r="U27" s="4224"/>
      <c r="V27" s="4224"/>
      <c r="W27" s="4224"/>
      <c r="X27" s="4224"/>
      <c r="Y27" s="4224"/>
      <c r="AF27" s="4177"/>
      <c r="CY27" s="4176"/>
    </row>
    <row r="28" spans="1:103" ht="30.75" customHeight="1" x14ac:dyDescent="0.2">
      <c r="A28" s="4185" t="s">
        <v>3488</v>
      </c>
      <c r="B28" s="4247"/>
      <c r="C28" s="4248"/>
      <c r="D28" s="4248"/>
      <c r="E28" s="4248"/>
      <c r="F28" s="4248"/>
      <c r="G28" s="4248"/>
      <c r="H28" s="4248"/>
      <c r="I28" s="4248"/>
      <c r="J28" s="4248"/>
      <c r="BA28" s="4176"/>
      <c r="BB28" s="4176"/>
      <c r="BC28" s="4176"/>
      <c r="BD28" s="4176"/>
      <c r="BE28" s="4176"/>
      <c r="BF28" s="4176"/>
      <c r="BG28" s="4176"/>
      <c r="BH28" s="4176"/>
      <c r="BI28" s="4176"/>
      <c r="BJ28" s="4176"/>
      <c r="BK28" s="4176"/>
      <c r="BL28" s="4176"/>
    </row>
    <row r="29" spans="1:103" ht="21.75" customHeight="1" x14ac:dyDescent="0.2">
      <c r="A29" s="10700"/>
      <c r="B29" s="10700" t="s">
        <v>24</v>
      </c>
      <c r="C29" s="10701" t="s">
        <v>475</v>
      </c>
      <c r="D29" s="10702"/>
      <c r="E29" s="10702"/>
      <c r="F29" s="10702"/>
      <c r="G29" s="10702"/>
      <c r="H29" s="10702"/>
      <c r="I29" s="10702"/>
      <c r="J29" s="10702"/>
      <c r="K29" s="10702"/>
      <c r="L29" s="10702"/>
      <c r="M29" s="10702"/>
      <c r="N29" s="10702"/>
      <c r="O29" s="10702"/>
      <c r="P29" s="10702"/>
      <c r="Q29" s="10702"/>
      <c r="R29" s="10702"/>
      <c r="S29" s="10703"/>
      <c r="T29" s="10704" t="s">
        <v>22</v>
      </c>
      <c r="U29" s="10705"/>
      <c r="V29" s="8747" t="s">
        <v>360</v>
      </c>
      <c r="W29" s="10817" t="s">
        <v>359</v>
      </c>
      <c r="BA29" s="4176"/>
      <c r="BB29" s="4176"/>
      <c r="BC29" s="4176"/>
      <c r="BD29" s="4176"/>
      <c r="BE29" s="4176"/>
      <c r="BF29" s="4176"/>
      <c r="BG29" s="4176"/>
      <c r="BH29" s="4176"/>
      <c r="BI29" s="4176"/>
      <c r="BN29" s="4176"/>
      <c r="BO29" s="4176"/>
      <c r="BP29" s="4176"/>
      <c r="BQ29" s="4176"/>
      <c r="BR29" s="4176"/>
      <c r="BS29" s="4176"/>
      <c r="BT29" s="4176"/>
      <c r="BU29" s="4176"/>
      <c r="BV29" s="4176"/>
      <c r="CA29" s="10706"/>
      <c r="CB29" s="10671"/>
      <c r="CC29" s="10671"/>
      <c r="CD29" s="10671"/>
      <c r="CK29" s="10706"/>
      <c r="CL29" s="10671"/>
      <c r="CM29" s="10671"/>
    </row>
    <row r="30" spans="1:103" ht="20.25" customHeight="1" x14ac:dyDescent="0.2">
      <c r="A30" s="10696"/>
      <c r="B30" s="10696"/>
      <c r="C30" s="4249" t="s">
        <v>75</v>
      </c>
      <c r="D30" s="4250" t="s">
        <v>76</v>
      </c>
      <c r="E30" s="4250" t="s">
        <v>77</v>
      </c>
      <c r="F30" s="4251" t="s">
        <v>71</v>
      </c>
      <c r="G30" s="4250" t="s">
        <v>4</v>
      </c>
      <c r="H30" s="4250" t="s">
        <v>5</v>
      </c>
      <c r="I30" s="4250" t="s">
        <v>6</v>
      </c>
      <c r="J30" s="4250" t="s">
        <v>7</v>
      </c>
      <c r="K30" s="4250" t="s">
        <v>8</v>
      </c>
      <c r="L30" s="4250" t="s">
        <v>9</v>
      </c>
      <c r="M30" s="4250" t="s">
        <v>10</v>
      </c>
      <c r="N30" s="4250" t="s">
        <v>11</v>
      </c>
      <c r="O30" s="4250" t="s">
        <v>12</v>
      </c>
      <c r="P30" s="4250" t="s">
        <v>13</v>
      </c>
      <c r="Q30" s="4250" t="s">
        <v>14</v>
      </c>
      <c r="R30" s="4252" t="s">
        <v>15</v>
      </c>
      <c r="S30" s="4253" t="s">
        <v>16</v>
      </c>
      <c r="T30" s="4192" t="s">
        <v>17</v>
      </c>
      <c r="U30" s="4193" t="s">
        <v>18</v>
      </c>
      <c r="V30" s="8747"/>
      <c r="W30" s="10817"/>
      <c r="BA30" s="4176"/>
      <c r="BB30" s="4176"/>
      <c r="BC30" s="4176"/>
      <c r="BD30" s="4176"/>
      <c r="BE30" s="4176"/>
      <c r="BF30" s="4176"/>
      <c r="BG30" s="4176"/>
      <c r="BH30" s="4176"/>
      <c r="BI30" s="4176"/>
      <c r="BN30" s="4176"/>
      <c r="BO30" s="4176"/>
      <c r="BP30" s="4176"/>
      <c r="BQ30" s="4176"/>
      <c r="BR30" s="4176"/>
      <c r="BS30" s="4176"/>
      <c r="BT30" s="4176"/>
      <c r="BU30" s="4176"/>
      <c r="BV30" s="4176"/>
      <c r="CA30" s="10706"/>
      <c r="CB30" s="10671"/>
      <c r="CC30" s="10671"/>
      <c r="CD30" s="10671"/>
      <c r="CK30" s="10706"/>
      <c r="CL30" s="10671"/>
      <c r="CM30" s="10671"/>
    </row>
    <row r="31" spans="1:103" ht="20.25" customHeight="1" x14ac:dyDescent="0.2">
      <c r="A31" s="4254" t="s">
        <v>2370</v>
      </c>
      <c r="B31" s="4255">
        <f>SUM(C31:S31)</f>
        <v>0</v>
      </c>
      <c r="C31" s="4256"/>
      <c r="D31" s="4257"/>
      <c r="E31" s="4257"/>
      <c r="F31" s="4257"/>
      <c r="G31" s="4257"/>
      <c r="H31" s="4257"/>
      <c r="I31" s="4257"/>
      <c r="J31" s="4257"/>
      <c r="K31" s="4257"/>
      <c r="L31" s="4257"/>
      <c r="M31" s="4257"/>
      <c r="N31" s="4257"/>
      <c r="O31" s="4257"/>
      <c r="P31" s="4257"/>
      <c r="Q31" s="4257"/>
      <c r="R31" s="4257"/>
      <c r="S31" s="4258"/>
      <c r="T31" s="4259"/>
      <c r="U31" s="4260"/>
      <c r="V31" s="4261"/>
      <c r="W31" s="4259"/>
      <c r="X31" s="4176" t="str">
        <f>CA31&amp;CB31&amp;CC31&amp;CD31&amp;CE31</f>
        <v/>
      </c>
      <c r="CA31" s="4177" t="str">
        <f>IF(CK31=1," *Las consultas según sexo deben ser iguales  al total de Consultas. ","")</f>
        <v/>
      </c>
      <c r="CB31" s="4177" t="str">
        <f>IF(CL31=1," *Las Consultas de Pueblos Originarios no pueden superar el total de Consultas.","")</f>
        <v/>
      </c>
      <c r="CC31" s="4177" t="str">
        <f>IF(CM31=1," *Las Consultas de Migrantes no pueden superar el total de Consultas.","")</f>
        <v/>
      </c>
      <c r="CD31" s="4177" t="str">
        <f>IF(OR(AND(W31="",B31&lt;&gt;0),AND(V31="",B31&lt;&gt;0)),"* No olvide digitar Migrantes y/o Pueblos Originarios (Digite CERO si no tiene). ","")</f>
        <v/>
      </c>
      <c r="CK31" s="4177">
        <f>IF(U31+T31&lt;&gt;B31,1,0)</f>
        <v>0</v>
      </c>
      <c r="CL31" s="4177">
        <f>IF($B31&lt;V31,1,0)</f>
        <v>0</v>
      </c>
      <c r="CM31" s="4177">
        <f>IF($B31&lt;W31,1,0)</f>
        <v>0</v>
      </c>
    </row>
    <row r="32" spans="1:103" ht="25.5" customHeight="1" x14ac:dyDescent="0.2">
      <c r="A32" s="4262" t="s">
        <v>3094</v>
      </c>
      <c r="B32" s="4263"/>
      <c r="C32" s="4264"/>
      <c r="D32" s="4264"/>
      <c r="E32" s="4186"/>
      <c r="F32" s="4186"/>
      <c r="G32" s="4186"/>
      <c r="H32" s="4186"/>
      <c r="I32" s="4186"/>
      <c r="J32" s="4186"/>
      <c r="K32" s="4186"/>
      <c r="L32" s="4186"/>
      <c r="M32" s="4186"/>
      <c r="N32" s="4186"/>
      <c r="O32" s="4186"/>
      <c r="P32" s="4186"/>
      <c r="Q32" s="4186"/>
      <c r="R32" s="4186"/>
      <c r="S32" s="4186"/>
      <c r="T32" s="4186"/>
      <c r="U32" s="4186"/>
    </row>
    <row r="33" spans="1:106" ht="25.5" customHeight="1" x14ac:dyDescent="0.2">
      <c r="A33" s="5402" t="s">
        <v>3093</v>
      </c>
      <c r="B33" s="4186"/>
      <c r="C33" s="4186"/>
      <c r="D33" s="4186"/>
      <c r="E33" s="4186"/>
      <c r="F33" s="4186"/>
      <c r="G33" s="4186"/>
      <c r="H33" s="4186"/>
      <c r="I33" s="4186"/>
      <c r="J33" s="4186"/>
      <c r="AE33" s="4265"/>
      <c r="AF33" s="4265"/>
      <c r="AG33" s="4265"/>
      <c r="AH33" s="4265"/>
      <c r="AI33" s="4265"/>
      <c r="AJ33" s="4265"/>
      <c r="AK33" s="4265"/>
    </row>
    <row r="34" spans="1:106" ht="22.15" customHeight="1" x14ac:dyDescent="0.2">
      <c r="A34" s="10262" t="s">
        <v>1234</v>
      </c>
      <c r="B34" s="10853" t="s">
        <v>44</v>
      </c>
      <c r="C34" s="10856" t="s">
        <v>2371</v>
      </c>
      <c r="D34" s="10857"/>
      <c r="E34" s="10857"/>
      <c r="F34" s="10857"/>
      <c r="G34" s="10857"/>
      <c r="H34" s="10857"/>
      <c r="I34" s="10857"/>
      <c r="J34" s="10857"/>
      <c r="K34" s="10857"/>
      <c r="L34" s="10857"/>
      <c r="M34" s="10857"/>
      <c r="N34" s="10857"/>
      <c r="O34" s="10857"/>
      <c r="P34" s="10857"/>
      <c r="Q34" s="10857"/>
      <c r="R34" s="10857"/>
      <c r="S34" s="10857"/>
      <c r="T34" s="10857"/>
      <c r="U34" s="10858"/>
      <c r="V34" s="10849" t="s">
        <v>2372</v>
      </c>
      <c r="W34" s="10850"/>
      <c r="X34" s="10721" t="s">
        <v>2780</v>
      </c>
      <c r="Y34" s="8206"/>
      <c r="Z34" s="10723" t="s">
        <v>2779</v>
      </c>
      <c r="AA34" s="10724"/>
      <c r="AB34" s="10724"/>
      <c r="AC34" s="10724"/>
      <c r="AD34" s="10724"/>
      <c r="AE34" s="10724"/>
      <c r="AF34" s="10724"/>
      <c r="AG34" s="10724"/>
      <c r="AH34" s="10724"/>
      <c r="AI34" s="10725"/>
      <c r="AJ34" s="10731" t="s">
        <v>3742</v>
      </c>
      <c r="AK34" s="10732"/>
      <c r="AL34" s="10733"/>
      <c r="AM34" s="8867" t="s">
        <v>2778</v>
      </c>
      <c r="AN34" s="8206" t="s">
        <v>2777</v>
      </c>
      <c r="AO34" s="10726" t="s">
        <v>360</v>
      </c>
      <c r="AP34" s="8206" t="s">
        <v>359</v>
      </c>
      <c r="AQ34" s="8206" t="s">
        <v>3732</v>
      </c>
      <c r="BD34" s="4176"/>
      <c r="BE34" s="4176"/>
      <c r="BF34" s="4176"/>
      <c r="BG34" s="4176"/>
      <c r="BH34" s="4176"/>
      <c r="BI34" s="4176"/>
      <c r="BJ34" s="4176"/>
      <c r="BK34" s="4176"/>
      <c r="BL34" s="4176"/>
      <c r="BM34" s="4176"/>
      <c r="BN34" s="4176"/>
      <c r="CB34" s="10671"/>
      <c r="CC34" s="10672"/>
      <c r="CD34" s="10672"/>
      <c r="CE34" s="10672"/>
      <c r="CF34" s="10672"/>
      <c r="CL34" s="10671"/>
      <c r="CM34" s="10672"/>
      <c r="CN34" s="10672"/>
      <c r="CO34" s="10672"/>
      <c r="CP34" s="10672"/>
      <c r="CZ34" s="4177"/>
      <c r="DA34" s="4177"/>
      <c r="DB34" s="4177"/>
    </row>
    <row r="35" spans="1:106" ht="48" customHeight="1" x14ac:dyDescent="0.2">
      <c r="A35" s="10262"/>
      <c r="B35" s="10854"/>
      <c r="C35" s="10859" t="s">
        <v>475</v>
      </c>
      <c r="D35" s="10859"/>
      <c r="E35" s="10859"/>
      <c r="F35" s="10859"/>
      <c r="G35" s="10859"/>
      <c r="H35" s="10859"/>
      <c r="I35" s="10859"/>
      <c r="J35" s="10859"/>
      <c r="K35" s="10859"/>
      <c r="L35" s="10859"/>
      <c r="M35" s="10859"/>
      <c r="N35" s="10859"/>
      <c r="O35" s="10859"/>
      <c r="P35" s="10859"/>
      <c r="Q35" s="10859"/>
      <c r="R35" s="10859"/>
      <c r="S35" s="10859"/>
      <c r="T35" s="10860" t="s">
        <v>22</v>
      </c>
      <c r="U35" s="10861"/>
      <c r="V35" s="10851"/>
      <c r="W35" s="10852"/>
      <c r="X35" s="10722"/>
      <c r="Y35" s="8723"/>
      <c r="Z35" s="10728" t="s">
        <v>91</v>
      </c>
      <c r="AA35" s="10729"/>
      <c r="AB35" s="10729"/>
      <c r="AC35" s="10729"/>
      <c r="AD35" s="10730"/>
      <c r="AE35" s="10728" t="s">
        <v>92</v>
      </c>
      <c r="AF35" s="10729"/>
      <c r="AG35" s="10729"/>
      <c r="AH35" s="10729"/>
      <c r="AI35" s="10730"/>
      <c r="AJ35" s="10734"/>
      <c r="AK35" s="8748"/>
      <c r="AL35" s="8689"/>
      <c r="AM35" s="8689"/>
      <c r="AN35" s="8689"/>
      <c r="AO35" s="8677"/>
      <c r="AP35" s="8689"/>
      <c r="AQ35" s="8689"/>
      <c r="AR35" s="4176"/>
      <c r="BD35" s="4176"/>
      <c r="BE35" s="4176"/>
      <c r="BF35" s="4176"/>
      <c r="BG35" s="4176"/>
      <c r="BH35" s="4176"/>
      <c r="BI35" s="4176"/>
      <c r="BJ35" s="4176"/>
      <c r="BK35" s="4176"/>
      <c r="BL35" s="4176"/>
      <c r="BM35" s="4176"/>
      <c r="BN35" s="4176"/>
      <c r="CB35" s="10671"/>
      <c r="CC35" s="10672"/>
      <c r="CD35" s="10672"/>
      <c r="CE35" s="10672"/>
      <c r="CF35" s="10672"/>
      <c r="CG35" s="10671"/>
      <c r="CH35" s="10671"/>
      <c r="CL35" s="10671"/>
      <c r="CM35" s="10672"/>
      <c r="CN35" s="10672"/>
      <c r="CO35" s="10672"/>
      <c r="CP35" s="10672"/>
      <c r="CQ35" s="10671"/>
      <c r="CR35" s="10671"/>
      <c r="CZ35" s="4177"/>
      <c r="DA35" s="4177"/>
      <c r="DB35" s="4177"/>
    </row>
    <row r="36" spans="1:106" ht="90" customHeight="1" x14ac:dyDescent="0.2">
      <c r="A36" s="10262"/>
      <c r="B36" s="10855"/>
      <c r="C36" s="4266" t="s">
        <v>75</v>
      </c>
      <c r="D36" s="4267" t="s">
        <v>76</v>
      </c>
      <c r="E36" s="4267" t="s">
        <v>77</v>
      </c>
      <c r="F36" s="4267" t="s">
        <v>71</v>
      </c>
      <c r="G36" s="4267" t="s">
        <v>4</v>
      </c>
      <c r="H36" s="4267" t="s">
        <v>5</v>
      </c>
      <c r="I36" s="4267" t="s">
        <v>6</v>
      </c>
      <c r="J36" s="4267" t="s">
        <v>7</v>
      </c>
      <c r="K36" s="4267" t="s">
        <v>8</v>
      </c>
      <c r="L36" s="4267" t="s">
        <v>9</v>
      </c>
      <c r="M36" s="4267" t="s">
        <v>10</v>
      </c>
      <c r="N36" s="4267" t="s">
        <v>11</v>
      </c>
      <c r="O36" s="4267" t="s">
        <v>12</v>
      </c>
      <c r="P36" s="4267" t="s">
        <v>13</v>
      </c>
      <c r="Q36" s="4267" t="s">
        <v>14</v>
      </c>
      <c r="R36" s="4267" t="s">
        <v>15</v>
      </c>
      <c r="S36" s="4268" t="s">
        <v>16</v>
      </c>
      <c r="T36" s="4269" t="s">
        <v>17</v>
      </c>
      <c r="U36" s="4270" t="s">
        <v>18</v>
      </c>
      <c r="V36" s="4271" t="s">
        <v>400</v>
      </c>
      <c r="W36" s="4272" t="s">
        <v>401</v>
      </c>
      <c r="X36" s="4266" t="s">
        <v>93</v>
      </c>
      <c r="Y36" s="4268" t="s">
        <v>94</v>
      </c>
      <c r="Z36" s="4273" t="s">
        <v>24</v>
      </c>
      <c r="AA36" s="4274" t="s">
        <v>95</v>
      </c>
      <c r="AB36" s="4275" t="s">
        <v>2374</v>
      </c>
      <c r="AC36" s="4276" t="s">
        <v>1640</v>
      </c>
      <c r="AD36" s="4277" t="s">
        <v>1639</v>
      </c>
      <c r="AE36" s="4278" t="s">
        <v>44</v>
      </c>
      <c r="AF36" s="4274" t="s">
        <v>95</v>
      </c>
      <c r="AG36" s="4276" t="s">
        <v>2374</v>
      </c>
      <c r="AH36" s="4276" t="s">
        <v>1640</v>
      </c>
      <c r="AI36" s="4277" t="s">
        <v>1639</v>
      </c>
      <c r="AJ36" s="5401" t="s">
        <v>3046</v>
      </c>
      <c r="AK36" s="5400" t="s">
        <v>3047</v>
      </c>
      <c r="AL36" s="5400" t="s">
        <v>3741</v>
      </c>
      <c r="AM36" s="8870"/>
      <c r="AN36" s="10709"/>
      <c r="AO36" s="10727"/>
      <c r="AP36" s="10709"/>
      <c r="AQ36" s="10709"/>
      <c r="AR36" s="4176"/>
      <c r="BD36" s="4176"/>
      <c r="BE36" s="4176"/>
      <c r="BF36" s="4176"/>
      <c r="BG36" s="4176"/>
      <c r="BH36" s="4176"/>
      <c r="BI36" s="4176"/>
      <c r="BJ36" s="4176"/>
      <c r="BK36" s="4176"/>
      <c r="BL36" s="4176"/>
      <c r="BM36" s="4176"/>
      <c r="BN36" s="4176"/>
      <c r="CB36" s="10671"/>
      <c r="CC36" s="4279"/>
      <c r="CD36" s="4279"/>
      <c r="CE36" s="4279"/>
      <c r="CF36" s="4279"/>
      <c r="CG36" s="10671"/>
      <c r="CH36" s="10671"/>
      <c r="CL36" s="10671"/>
      <c r="CM36" s="4279"/>
      <c r="CN36" s="4279"/>
      <c r="CO36" s="4279"/>
      <c r="CP36" s="4279"/>
      <c r="CQ36" s="10671"/>
      <c r="CR36" s="10671"/>
      <c r="CZ36" s="4177"/>
      <c r="DA36" s="4177"/>
      <c r="DB36" s="4177"/>
    </row>
    <row r="37" spans="1:106" ht="15.6" customHeight="1" x14ac:dyDescent="0.2">
      <c r="A37" s="4280" t="s">
        <v>111</v>
      </c>
      <c r="B37" s="4195">
        <f>SUM(C37:S37)</f>
        <v>0</v>
      </c>
      <c r="C37" s="4281"/>
      <c r="D37" s="4282"/>
      <c r="E37" s="4282"/>
      <c r="F37" s="4282"/>
      <c r="G37" s="4283"/>
      <c r="H37" s="4283"/>
      <c r="I37" s="4283"/>
      <c r="J37" s="4283"/>
      <c r="K37" s="4283"/>
      <c r="L37" s="4283"/>
      <c r="M37" s="4283"/>
      <c r="N37" s="4283"/>
      <c r="O37" s="4283"/>
      <c r="P37" s="4283"/>
      <c r="Q37" s="4283"/>
      <c r="R37" s="4283"/>
      <c r="S37" s="4284"/>
      <c r="T37" s="4285"/>
      <c r="U37" s="4200"/>
      <c r="V37" s="4285"/>
      <c r="W37" s="4200"/>
      <c r="X37" s="4285"/>
      <c r="Y37" s="4200"/>
      <c r="Z37" s="4286">
        <f>SUM(AA37+AB37+AC37+AD37)</f>
        <v>0</v>
      </c>
      <c r="AA37" s="4285"/>
      <c r="AB37" s="4199"/>
      <c r="AC37" s="4199"/>
      <c r="AD37" s="4200"/>
      <c r="AE37" s="4286">
        <f>SUM(AF37+AG37+AH37+AI37)</f>
        <v>0</v>
      </c>
      <c r="AF37" s="4285"/>
      <c r="AG37" s="4199"/>
      <c r="AH37" s="4199"/>
      <c r="AI37" s="4287"/>
      <c r="AJ37" s="4288"/>
      <c r="AK37" s="4288"/>
      <c r="AL37" s="4296"/>
      <c r="AM37" s="4288"/>
      <c r="AN37" s="4288"/>
      <c r="AO37" s="4288"/>
      <c r="AP37" s="4288"/>
      <c r="AQ37" s="4288"/>
      <c r="AR37" s="4176" t="str">
        <f>CB37&amp;CC37&amp;CD37&amp;CE37&amp;CF37&amp;CG37&amp;CH37</f>
        <v/>
      </c>
      <c r="BD37" s="4176"/>
      <c r="BE37" s="4176"/>
      <c r="BF37" s="4176"/>
      <c r="BG37" s="4176"/>
      <c r="BH37" s="4176"/>
      <c r="BI37" s="4176"/>
      <c r="BJ37" s="4176"/>
      <c r="BK37" s="4176"/>
      <c r="BL37" s="4176"/>
      <c r="BM37" s="4176"/>
      <c r="BN37" s="4176"/>
      <c r="CB37" s="4177" t="str">
        <f t="shared" ref="CB37:CB68" si="10">IF(CL37=1," *Atenciones según sexo deben ser iguales  al total de Atenciones. ","")</f>
        <v/>
      </c>
      <c r="CC37" s="4177" t="str">
        <f t="shared" ref="CC37:CC68" si="11">IF(CM37=1,"* El total de atenciones remotas de consultas nuevas según origen de menores de 15 años NO DEBE superar el total de atenciones del grupo indicado. ","")</f>
        <v/>
      </c>
      <c r="CD37" s="4177" t="str">
        <f t="shared" ref="CD37:CD68" si="12">IF(CN37=1,"* El total de atenciones remotas de consultas nuevas según origen de pacientes de 15 y más años NO DEBE superar el total de atenciones del grupo indicado. ","")</f>
        <v/>
      </c>
      <c r="CE37" s="4177" t="str">
        <f t="shared" ref="CE37:CE68" si="13">IF(CO37=1,"* El total de altas de consultas nuevas según origen de menores de 15 años NO DEBE superar el total de atenciones del grupo indicado. ","")</f>
        <v/>
      </c>
      <c r="CF37" s="4177" t="str">
        <f t="shared" ref="CF37:CF68" si="14">IF(CP37=1,"* El total de altas de consultas nuevas según origen de pacientes de 15 y más años NO DEBE superar el total de atenciones del grupo indicado. ","")</f>
        <v/>
      </c>
      <c r="CG37" s="4177" t="str">
        <f t="shared" ref="CG37:CG68" si="15">IF(CQ37=1," *Las Atenciones de Pueblos Originarios no pueden superar el total de Atenciones.","")</f>
        <v/>
      </c>
      <c r="CH37" s="4177" t="str">
        <f t="shared" ref="CH37:CH68" si="16">IF(CR37=1," *Las Atenciones de Migrantes no pueden superar el total de Atenciones.","")</f>
        <v/>
      </c>
      <c r="CL37" s="4177">
        <f t="shared" ref="CL37:CL68" si="17">IF(T37+U37&lt;&gt;B37,1,0)</f>
        <v>0</v>
      </c>
      <c r="CM37" s="4177">
        <f t="shared" ref="CM37:CM68" si="18">IF(Z37&gt;SUM($C37:$E37),1,0)</f>
        <v>0</v>
      </c>
      <c r="CN37" s="4177">
        <f t="shared" ref="CN37:CN68" si="19">IF(AE37&gt;SUM($F37:$S37),1,0)</f>
        <v>0</v>
      </c>
      <c r="CO37" s="4177">
        <f t="shared" ref="CO37:CO68" si="20">IF(X37&gt;SUM($C37:$E37),1,0)</f>
        <v>0</v>
      </c>
      <c r="CP37" s="4177">
        <f t="shared" ref="CP37:CP68" si="21">IF(Y37&gt;SUM($F37:$S37),1,0)</f>
        <v>0</v>
      </c>
      <c r="CQ37" s="4177">
        <f t="shared" ref="CQ37:CQ68" si="22">IF($B37&lt;AO37,1,0)</f>
        <v>0</v>
      </c>
      <c r="CR37" s="4177">
        <f t="shared" ref="CR37:CR68" si="23">IF($B37&lt;AP37,1,0)</f>
        <v>0</v>
      </c>
      <c r="CZ37" s="4177"/>
      <c r="DA37" s="4177"/>
      <c r="DB37" s="4177"/>
    </row>
    <row r="38" spans="1:106" ht="15.6" customHeight="1" x14ac:dyDescent="0.2">
      <c r="A38" s="4289" t="s">
        <v>110</v>
      </c>
      <c r="B38" s="4290">
        <f t="shared" ref="B38:B96" si="24">SUM(C38:S38)</f>
        <v>0</v>
      </c>
      <c r="C38" s="4196"/>
      <c r="D38" s="4291"/>
      <c r="E38" s="4291"/>
      <c r="F38" s="4291"/>
      <c r="G38" s="4291"/>
      <c r="H38" s="4291"/>
      <c r="I38" s="4291"/>
      <c r="J38" s="4291"/>
      <c r="K38" s="4291"/>
      <c r="L38" s="4291"/>
      <c r="M38" s="4291"/>
      <c r="N38" s="4291"/>
      <c r="O38" s="4291"/>
      <c r="P38" s="4291"/>
      <c r="Q38" s="4291"/>
      <c r="R38" s="4291"/>
      <c r="S38" s="4207"/>
      <c r="T38" s="4292"/>
      <c r="U38" s="4293"/>
      <c r="V38" s="4292"/>
      <c r="W38" s="4293"/>
      <c r="X38" s="4292"/>
      <c r="Y38" s="4293"/>
      <c r="Z38" s="4289">
        <f t="shared" ref="Z38:Z96" si="25">SUM(AA38+AB38+AC38+AD38)</f>
        <v>0</v>
      </c>
      <c r="AA38" s="4292"/>
      <c r="AB38" s="4294"/>
      <c r="AC38" s="4294"/>
      <c r="AD38" s="4293"/>
      <c r="AE38" s="4289">
        <f t="shared" ref="AE38:AE96" si="26">SUM(AF38+AG38+AH38+AI38)</f>
        <v>0</v>
      </c>
      <c r="AF38" s="4292"/>
      <c r="AG38" s="4294"/>
      <c r="AH38" s="4294"/>
      <c r="AI38" s="4295"/>
      <c r="AJ38" s="4296"/>
      <c r="AK38" s="4296"/>
      <c r="AL38" s="4296"/>
      <c r="AM38" s="4296"/>
      <c r="AN38" s="4296"/>
      <c r="AO38" s="4296"/>
      <c r="AP38" s="4296"/>
      <c r="AQ38" s="4296"/>
      <c r="AR38" s="4176" t="str">
        <f t="shared" ref="AR38:AR96" si="27">CB38&amp;CC38&amp;CD38&amp;CE38&amp;CF38&amp;CG38&amp;CH38</f>
        <v/>
      </c>
      <c r="BD38" s="4176"/>
      <c r="BE38" s="4176"/>
      <c r="BF38" s="4176"/>
      <c r="BG38" s="4176"/>
      <c r="BH38" s="4176"/>
      <c r="BI38" s="4176"/>
      <c r="BJ38" s="4176"/>
      <c r="BK38" s="4176"/>
      <c r="BL38" s="4176"/>
      <c r="BM38" s="4176"/>
      <c r="BN38" s="4176"/>
      <c r="CB38" s="4177" t="str">
        <f t="shared" si="10"/>
        <v/>
      </c>
      <c r="CC38" s="4177" t="str">
        <f t="shared" si="11"/>
        <v/>
      </c>
      <c r="CD38" s="4177" t="str">
        <f t="shared" si="12"/>
        <v/>
      </c>
      <c r="CE38" s="4177" t="str">
        <f t="shared" si="13"/>
        <v/>
      </c>
      <c r="CF38" s="4177" t="str">
        <f t="shared" si="14"/>
        <v/>
      </c>
      <c r="CG38" s="4177" t="str">
        <f t="shared" si="15"/>
        <v/>
      </c>
      <c r="CH38" s="4177" t="str">
        <f t="shared" si="16"/>
        <v/>
      </c>
      <c r="CL38" s="4177">
        <f t="shared" si="17"/>
        <v>0</v>
      </c>
      <c r="CM38" s="4177">
        <f t="shared" si="18"/>
        <v>0</v>
      </c>
      <c r="CN38" s="4177">
        <f t="shared" si="19"/>
        <v>0</v>
      </c>
      <c r="CO38" s="4177">
        <f t="shared" si="20"/>
        <v>0</v>
      </c>
      <c r="CP38" s="4177">
        <f t="shared" si="21"/>
        <v>0</v>
      </c>
      <c r="CQ38" s="4177">
        <f t="shared" si="22"/>
        <v>0</v>
      </c>
      <c r="CR38" s="4177">
        <f t="shared" si="23"/>
        <v>0</v>
      </c>
      <c r="CZ38" s="4177"/>
      <c r="DA38" s="4177"/>
      <c r="DB38" s="4177"/>
    </row>
    <row r="39" spans="1:106" ht="15.6" customHeight="1" x14ac:dyDescent="0.2">
      <c r="A39" s="4289" t="s">
        <v>134</v>
      </c>
      <c r="B39" s="4290">
        <f>SUM(C39)</f>
        <v>0</v>
      </c>
      <c r="C39" s="4196"/>
      <c r="D39" s="4297"/>
      <c r="E39" s="4297"/>
      <c r="F39" s="4297"/>
      <c r="G39" s="4297"/>
      <c r="H39" s="4297"/>
      <c r="I39" s="4297"/>
      <c r="J39" s="4297"/>
      <c r="K39" s="4297"/>
      <c r="L39" s="4297"/>
      <c r="M39" s="4297"/>
      <c r="N39" s="4297"/>
      <c r="O39" s="4297"/>
      <c r="P39" s="4297"/>
      <c r="Q39" s="4297"/>
      <c r="R39" s="4297"/>
      <c r="S39" s="4298"/>
      <c r="T39" s="4292"/>
      <c r="U39" s="4293"/>
      <c r="V39" s="4292"/>
      <c r="W39" s="4293"/>
      <c r="X39" s="4292"/>
      <c r="Y39" s="4293"/>
      <c r="Z39" s="4289">
        <f t="shared" si="25"/>
        <v>0</v>
      </c>
      <c r="AA39" s="4292"/>
      <c r="AB39" s="4294"/>
      <c r="AC39" s="4294"/>
      <c r="AD39" s="4293"/>
      <c r="AE39" s="4289">
        <f t="shared" si="26"/>
        <v>0</v>
      </c>
      <c r="AF39" s="4292"/>
      <c r="AG39" s="4294"/>
      <c r="AH39" s="4294"/>
      <c r="AI39" s="4295"/>
      <c r="AJ39" s="4296"/>
      <c r="AK39" s="4296"/>
      <c r="AL39" s="4296"/>
      <c r="AM39" s="4296"/>
      <c r="AN39" s="4296"/>
      <c r="AO39" s="4296"/>
      <c r="AP39" s="4296"/>
      <c r="AQ39" s="4296"/>
      <c r="AR39" s="4176" t="str">
        <f t="shared" si="27"/>
        <v/>
      </c>
      <c r="BD39" s="4176"/>
      <c r="BE39" s="4176"/>
      <c r="BF39" s="4176"/>
      <c r="BG39" s="4176"/>
      <c r="BH39" s="4176"/>
      <c r="BI39" s="4176"/>
      <c r="BJ39" s="4176"/>
      <c r="BK39" s="4176"/>
      <c r="BL39" s="4176"/>
      <c r="BM39" s="4176"/>
      <c r="BN39" s="4176"/>
      <c r="CB39" s="4177" t="str">
        <f t="shared" si="10"/>
        <v/>
      </c>
      <c r="CC39" s="4177" t="str">
        <f t="shared" si="11"/>
        <v/>
      </c>
      <c r="CD39" s="4177" t="str">
        <f t="shared" si="12"/>
        <v/>
      </c>
      <c r="CE39" s="4177" t="str">
        <f t="shared" si="13"/>
        <v/>
      </c>
      <c r="CF39" s="4177" t="str">
        <f>IF(CP39=1,"* El total de altas de consultas nuevas según origen de pacientes de 15 y más años NO DEBE superar el total de atenciones del grupo indicado. ","")</f>
        <v/>
      </c>
      <c r="CG39" s="4177" t="str">
        <f t="shared" si="15"/>
        <v/>
      </c>
      <c r="CH39" s="4177" t="str">
        <f t="shared" si="16"/>
        <v/>
      </c>
      <c r="CL39" s="4177">
        <f t="shared" si="17"/>
        <v>0</v>
      </c>
      <c r="CM39" s="4177">
        <f t="shared" si="18"/>
        <v>0</v>
      </c>
      <c r="CN39" s="4177">
        <f t="shared" si="19"/>
        <v>0</v>
      </c>
      <c r="CO39" s="4177">
        <f t="shared" si="20"/>
        <v>0</v>
      </c>
      <c r="CP39" s="4177">
        <f>IF(Y39&gt;SUM($C39),1,0)</f>
        <v>0</v>
      </c>
      <c r="CQ39" s="4177">
        <f t="shared" si="22"/>
        <v>0</v>
      </c>
      <c r="CR39" s="4177">
        <f t="shared" si="23"/>
        <v>0</v>
      </c>
      <c r="CZ39" s="4177"/>
      <c r="DA39" s="4177"/>
      <c r="DB39" s="4177"/>
    </row>
    <row r="40" spans="1:106" ht="15.6" customHeight="1" x14ac:dyDescent="0.2">
      <c r="A40" s="4289" t="s">
        <v>254</v>
      </c>
      <c r="B40" s="4290">
        <f t="shared" si="24"/>
        <v>0</v>
      </c>
      <c r="C40" s="4196"/>
      <c r="D40" s="4291"/>
      <c r="E40" s="4291"/>
      <c r="F40" s="4291"/>
      <c r="G40" s="4291"/>
      <c r="H40" s="4291"/>
      <c r="I40" s="4291"/>
      <c r="J40" s="4291"/>
      <c r="K40" s="4291"/>
      <c r="L40" s="4291"/>
      <c r="M40" s="4291"/>
      <c r="N40" s="4291"/>
      <c r="O40" s="4291"/>
      <c r="P40" s="4291"/>
      <c r="Q40" s="4291"/>
      <c r="R40" s="4291"/>
      <c r="S40" s="4207"/>
      <c r="T40" s="4292"/>
      <c r="U40" s="4293"/>
      <c r="V40" s="4292"/>
      <c r="W40" s="4293"/>
      <c r="X40" s="4292"/>
      <c r="Y40" s="4293"/>
      <c r="Z40" s="4289">
        <f t="shared" si="25"/>
        <v>0</v>
      </c>
      <c r="AA40" s="4292"/>
      <c r="AB40" s="4294"/>
      <c r="AC40" s="4294"/>
      <c r="AD40" s="4293"/>
      <c r="AE40" s="4289">
        <f t="shared" si="26"/>
        <v>0</v>
      </c>
      <c r="AF40" s="4292"/>
      <c r="AG40" s="4294"/>
      <c r="AH40" s="4294"/>
      <c r="AI40" s="4295"/>
      <c r="AJ40" s="4296"/>
      <c r="AK40" s="4296"/>
      <c r="AL40" s="4296"/>
      <c r="AM40" s="4296"/>
      <c r="AN40" s="4296"/>
      <c r="AO40" s="4296"/>
      <c r="AP40" s="4296"/>
      <c r="AQ40" s="4296"/>
      <c r="AR40" s="4176" t="str">
        <f t="shared" si="27"/>
        <v/>
      </c>
      <c r="BD40" s="4176"/>
      <c r="BE40" s="4176"/>
      <c r="BF40" s="4176"/>
      <c r="BG40" s="4176"/>
      <c r="BH40" s="4176"/>
      <c r="BI40" s="4176"/>
      <c r="BJ40" s="4176"/>
      <c r="BK40" s="4176"/>
      <c r="BL40" s="4176"/>
      <c r="BM40" s="4176"/>
      <c r="BN40" s="4176"/>
      <c r="CB40" s="4177" t="str">
        <f t="shared" si="10"/>
        <v/>
      </c>
      <c r="CC40" s="4177" t="str">
        <f t="shared" si="11"/>
        <v/>
      </c>
      <c r="CD40" s="4177" t="str">
        <f t="shared" si="12"/>
        <v/>
      </c>
      <c r="CE40" s="4177" t="str">
        <f t="shared" si="13"/>
        <v/>
      </c>
      <c r="CF40" s="4177" t="str">
        <f t="shared" si="14"/>
        <v/>
      </c>
      <c r="CG40" s="4177" t="str">
        <f t="shared" si="15"/>
        <v/>
      </c>
      <c r="CH40" s="4177" t="str">
        <f t="shared" si="16"/>
        <v/>
      </c>
      <c r="CL40" s="4177">
        <f t="shared" si="17"/>
        <v>0</v>
      </c>
      <c r="CM40" s="4177">
        <f t="shared" si="18"/>
        <v>0</v>
      </c>
      <c r="CN40" s="4177">
        <f t="shared" si="19"/>
        <v>0</v>
      </c>
      <c r="CO40" s="4177">
        <f t="shared" si="20"/>
        <v>0</v>
      </c>
      <c r="CP40" s="4177">
        <f t="shared" si="21"/>
        <v>0</v>
      </c>
      <c r="CQ40" s="4177">
        <f t="shared" si="22"/>
        <v>0</v>
      </c>
      <c r="CR40" s="4177">
        <f t="shared" si="23"/>
        <v>0</v>
      </c>
      <c r="CZ40" s="4177"/>
      <c r="DA40" s="4177"/>
      <c r="DB40" s="4177"/>
    </row>
    <row r="41" spans="1:106" ht="15.6" customHeight="1" x14ac:dyDescent="0.2">
      <c r="A41" s="4289" t="s">
        <v>255</v>
      </c>
      <c r="B41" s="4290">
        <f t="shared" si="24"/>
        <v>0</v>
      </c>
      <c r="C41" s="4196"/>
      <c r="D41" s="4291"/>
      <c r="E41" s="4291"/>
      <c r="F41" s="4291"/>
      <c r="G41" s="4291"/>
      <c r="H41" s="4291"/>
      <c r="I41" s="4291"/>
      <c r="J41" s="4291"/>
      <c r="K41" s="4291"/>
      <c r="L41" s="4291"/>
      <c r="M41" s="4291"/>
      <c r="N41" s="4291"/>
      <c r="O41" s="4291"/>
      <c r="P41" s="4291"/>
      <c r="Q41" s="4291"/>
      <c r="R41" s="4291"/>
      <c r="S41" s="4207"/>
      <c r="T41" s="4292"/>
      <c r="U41" s="4293"/>
      <c r="V41" s="4292"/>
      <c r="W41" s="4293"/>
      <c r="X41" s="4292"/>
      <c r="Y41" s="4293"/>
      <c r="Z41" s="4289">
        <f t="shared" si="25"/>
        <v>0</v>
      </c>
      <c r="AA41" s="4292"/>
      <c r="AB41" s="4294"/>
      <c r="AC41" s="4294"/>
      <c r="AD41" s="4293"/>
      <c r="AE41" s="4289">
        <f t="shared" si="26"/>
        <v>0</v>
      </c>
      <c r="AF41" s="4292"/>
      <c r="AG41" s="4294"/>
      <c r="AH41" s="4294"/>
      <c r="AI41" s="4295"/>
      <c r="AJ41" s="4296"/>
      <c r="AK41" s="4296"/>
      <c r="AL41" s="4296"/>
      <c r="AM41" s="4296"/>
      <c r="AN41" s="4296"/>
      <c r="AO41" s="4296"/>
      <c r="AP41" s="4296"/>
      <c r="AQ41" s="4296"/>
      <c r="AR41" s="4176" t="str">
        <f t="shared" si="27"/>
        <v/>
      </c>
      <c r="BD41" s="4176"/>
      <c r="BE41" s="4176"/>
      <c r="BF41" s="4176"/>
      <c r="BG41" s="4176"/>
      <c r="BH41" s="4176"/>
      <c r="BI41" s="4176"/>
      <c r="BJ41" s="4176"/>
      <c r="BK41" s="4176"/>
      <c r="BL41" s="4176"/>
      <c r="BM41" s="4176"/>
      <c r="BN41" s="4176"/>
      <c r="CB41" s="4177" t="str">
        <f t="shared" si="10"/>
        <v/>
      </c>
      <c r="CC41" s="4177" t="str">
        <f t="shared" si="11"/>
        <v/>
      </c>
      <c r="CD41" s="4177" t="str">
        <f t="shared" si="12"/>
        <v/>
      </c>
      <c r="CE41" s="4177" t="str">
        <f t="shared" si="13"/>
        <v/>
      </c>
      <c r="CF41" s="4177" t="str">
        <f t="shared" si="14"/>
        <v/>
      </c>
      <c r="CG41" s="4177" t="str">
        <f t="shared" si="15"/>
        <v/>
      </c>
      <c r="CH41" s="4177" t="str">
        <f t="shared" si="16"/>
        <v/>
      </c>
      <c r="CL41" s="4177">
        <f t="shared" si="17"/>
        <v>0</v>
      </c>
      <c r="CM41" s="4177">
        <f t="shared" si="18"/>
        <v>0</v>
      </c>
      <c r="CN41" s="4177">
        <f t="shared" si="19"/>
        <v>0</v>
      </c>
      <c r="CO41" s="4177">
        <f t="shared" si="20"/>
        <v>0</v>
      </c>
      <c r="CP41" s="4177">
        <f t="shared" si="21"/>
        <v>0</v>
      </c>
      <c r="CQ41" s="4177">
        <f t="shared" si="22"/>
        <v>0</v>
      </c>
      <c r="CR41" s="4177">
        <f t="shared" si="23"/>
        <v>0</v>
      </c>
      <c r="CZ41" s="4177"/>
      <c r="DA41" s="4177"/>
      <c r="DB41" s="4177"/>
    </row>
    <row r="42" spans="1:106" ht="15.6" customHeight="1" x14ac:dyDescent="0.2">
      <c r="A42" s="4289" t="s">
        <v>256</v>
      </c>
      <c r="B42" s="4290">
        <f t="shared" si="24"/>
        <v>0</v>
      </c>
      <c r="C42" s="4196"/>
      <c r="D42" s="4291"/>
      <c r="E42" s="4291"/>
      <c r="F42" s="4291"/>
      <c r="G42" s="4291"/>
      <c r="H42" s="4291"/>
      <c r="I42" s="4291"/>
      <c r="J42" s="4291"/>
      <c r="K42" s="4291"/>
      <c r="L42" s="4291"/>
      <c r="M42" s="4291"/>
      <c r="N42" s="4291"/>
      <c r="O42" s="4291"/>
      <c r="P42" s="4291"/>
      <c r="Q42" s="4291"/>
      <c r="R42" s="4291"/>
      <c r="S42" s="4207"/>
      <c r="T42" s="4292"/>
      <c r="U42" s="4293"/>
      <c r="V42" s="4292"/>
      <c r="W42" s="4293"/>
      <c r="X42" s="4292"/>
      <c r="Y42" s="4293"/>
      <c r="Z42" s="4289">
        <f t="shared" si="25"/>
        <v>0</v>
      </c>
      <c r="AA42" s="4292"/>
      <c r="AB42" s="4294"/>
      <c r="AC42" s="4294"/>
      <c r="AD42" s="4293"/>
      <c r="AE42" s="4289">
        <f t="shared" si="26"/>
        <v>0</v>
      </c>
      <c r="AF42" s="4292"/>
      <c r="AG42" s="4294"/>
      <c r="AH42" s="4294"/>
      <c r="AI42" s="4295"/>
      <c r="AJ42" s="4296"/>
      <c r="AK42" s="4296"/>
      <c r="AL42" s="4296"/>
      <c r="AM42" s="4296"/>
      <c r="AN42" s="4296"/>
      <c r="AO42" s="4296"/>
      <c r="AP42" s="4296"/>
      <c r="AQ42" s="4296"/>
      <c r="AR42" s="4176" t="str">
        <f t="shared" si="27"/>
        <v/>
      </c>
      <c r="BD42" s="4176"/>
      <c r="BE42" s="4176"/>
      <c r="BF42" s="4176"/>
      <c r="BG42" s="4176"/>
      <c r="BH42" s="4176"/>
      <c r="BI42" s="4176"/>
      <c r="BJ42" s="4176"/>
      <c r="BK42" s="4176"/>
      <c r="BL42" s="4176"/>
      <c r="BM42" s="4176"/>
      <c r="BN42" s="4176"/>
      <c r="CB42" s="4177" t="str">
        <f t="shared" si="10"/>
        <v/>
      </c>
      <c r="CC42" s="4177" t="str">
        <f t="shared" si="11"/>
        <v/>
      </c>
      <c r="CD42" s="4177" t="str">
        <f t="shared" si="12"/>
        <v/>
      </c>
      <c r="CE42" s="4177" t="str">
        <f t="shared" si="13"/>
        <v/>
      </c>
      <c r="CF42" s="4177" t="str">
        <f t="shared" si="14"/>
        <v/>
      </c>
      <c r="CG42" s="4177" t="str">
        <f t="shared" si="15"/>
        <v/>
      </c>
      <c r="CH42" s="4177" t="str">
        <f t="shared" si="16"/>
        <v/>
      </c>
      <c r="CL42" s="4177">
        <f t="shared" si="17"/>
        <v>0</v>
      </c>
      <c r="CM42" s="4177">
        <f t="shared" si="18"/>
        <v>0</v>
      </c>
      <c r="CN42" s="4177">
        <f t="shared" si="19"/>
        <v>0</v>
      </c>
      <c r="CO42" s="4177">
        <f t="shared" si="20"/>
        <v>0</v>
      </c>
      <c r="CP42" s="4177">
        <f t="shared" si="21"/>
        <v>0</v>
      </c>
      <c r="CQ42" s="4177">
        <f t="shared" si="22"/>
        <v>0</v>
      </c>
      <c r="CR42" s="4177">
        <f t="shared" si="23"/>
        <v>0</v>
      </c>
      <c r="CZ42" s="4177"/>
      <c r="DA42" s="4177"/>
      <c r="DB42" s="4177"/>
    </row>
    <row r="43" spans="1:106" ht="15.6" customHeight="1" x14ac:dyDescent="0.2">
      <c r="A43" s="4289" t="s">
        <v>453</v>
      </c>
      <c r="B43" s="4290">
        <f t="shared" si="24"/>
        <v>0</v>
      </c>
      <c r="C43" s="4196"/>
      <c r="D43" s="4291"/>
      <c r="E43" s="4291"/>
      <c r="F43" s="4291"/>
      <c r="G43" s="4291"/>
      <c r="H43" s="4291"/>
      <c r="I43" s="4291"/>
      <c r="J43" s="4291"/>
      <c r="K43" s="4291"/>
      <c r="L43" s="4291"/>
      <c r="M43" s="4291"/>
      <c r="N43" s="4291"/>
      <c r="O43" s="4291"/>
      <c r="P43" s="4291"/>
      <c r="Q43" s="4291"/>
      <c r="R43" s="4291"/>
      <c r="S43" s="4207"/>
      <c r="T43" s="4292"/>
      <c r="U43" s="4293"/>
      <c r="V43" s="4292"/>
      <c r="W43" s="4293"/>
      <c r="X43" s="4292"/>
      <c r="Y43" s="4293"/>
      <c r="Z43" s="4289">
        <f t="shared" si="25"/>
        <v>0</v>
      </c>
      <c r="AA43" s="4292"/>
      <c r="AB43" s="4294"/>
      <c r="AC43" s="4294"/>
      <c r="AD43" s="4293"/>
      <c r="AE43" s="4289">
        <f t="shared" si="26"/>
        <v>0</v>
      </c>
      <c r="AF43" s="4292"/>
      <c r="AG43" s="4294"/>
      <c r="AH43" s="4294"/>
      <c r="AI43" s="4295"/>
      <c r="AJ43" s="4296"/>
      <c r="AK43" s="4296"/>
      <c r="AL43" s="4296"/>
      <c r="AM43" s="4296"/>
      <c r="AN43" s="4296"/>
      <c r="AO43" s="4296"/>
      <c r="AP43" s="4296"/>
      <c r="AQ43" s="4296"/>
      <c r="AR43" s="4176" t="str">
        <f t="shared" si="27"/>
        <v/>
      </c>
      <c r="BD43" s="4176"/>
      <c r="BE43" s="4176"/>
      <c r="BF43" s="4176"/>
      <c r="BG43" s="4176"/>
      <c r="BH43" s="4176"/>
      <c r="BI43" s="4176"/>
      <c r="BJ43" s="4176"/>
      <c r="BK43" s="4176"/>
      <c r="BL43" s="4176"/>
      <c r="BM43" s="4176"/>
      <c r="BN43" s="4176"/>
      <c r="CB43" s="4177" t="str">
        <f t="shared" si="10"/>
        <v/>
      </c>
      <c r="CC43" s="4177" t="str">
        <f t="shared" si="11"/>
        <v/>
      </c>
      <c r="CD43" s="4177" t="str">
        <f t="shared" si="12"/>
        <v/>
      </c>
      <c r="CE43" s="4177" t="str">
        <f t="shared" si="13"/>
        <v/>
      </c>
      <c r="CF43" s="4177" t="str">
        <f t="shared" si="14"/>
        <v/>
      </c>
      <c r="CG43" s="4177" t="str">
        <f t="shared" si="15"/>
        <v/>
      </c>
      <c r="CH43" s="4177" t="str">
        <f t="shared" si="16"/>
        <v/>
      </c>
      <c r="CL43" s="4177">
        <f t="shared" si="17"/>
        <v>0</v>
      </c>
      <c r="CM43" s="4177">
        <f t="shared" si="18"/>
        <v>0</v>
      </c>
      <c r="CN43" s="4177">
        <f t="shared" si="19"/>
        <v>0</v>
      </c>
      <c r="CO43" s="4177">
        <f t="shared" si="20"/>
        <v>0</v>
      </c>
      <c r="CP43" s="4177">
        <f t="shared" si="21"/>
        <v>0</v>
      </c>
      <c r="CQ43" s="4177">
        <f t="shared" si="22"/>
        <v>0</v>
      </c>
      <c r="CR43" s="4177">
        <f t="shared" si="23"/>
        <v>0</v>
      </c>
      <c r="CZ43" s="4177"/>
      <c r="DA43" s="4177"/>
      <c r="DB43" s="4177"/>
    </row>
    <row r="44" spans="1:106" ht="15.6" customHeight="1" x14ac:dyDescent="0.2">
      <c r="A44" s="4289" t="s">
        <v>257</v>
      </c>
      <c r="B44" s="4290">
        <f t="shared" si="24"/>
        <v>0</v>
      </c>
      <c r="C44" s="4196"/>
      <c r="D44" s="4291"/>
      <c r="E44" s="4291"/>
      <c r="F44" s="4291"/>
      <c r="G44" s="4291"/>
      <c r="H44" s="4291"/>
      <c r="I44" s="4291"/>
      <c r="J44" s="4291"/>
      <c r="K44" s="4291"/>
      <c r="L44" s="4291"/>
      <c r="M44" s="4291"/>
      <c r="N44" s="4291"/>
      <c r="O44" s="4291"/>
      <c r="P44" s="4291"/>
      <c r="Q44" s="4291"/>
      <c r="R44" s="4291"/>
      <c r="S44" s="4207"/>
      <c r="T44" s="4292"/>
      <c r="U44" s="4293"/>
      <c r="V44" s="4292"/>
      <c r="W44" s="4293"/>
      <c r="X44" s="4292"/>
      <c r="Y44" s="4293"/>
      <c r="Z44" s="4289">
        <f t="shared" si="25"/>
        <v>0</v>
      </c>
      <c r="AA44" s="4292"/>
      <c r="AB44" s="4294"/>
      <c r="AC44" s="4294"/>
      <c r="AD44" s="4293"/>
      <c r="AE44" s="4289">
        <f t="shared" si="26"/>
        <v>0</v>
      </c>
      <c r="AF44" s="4292"/>
      <c r="AG44" s="4294"/>
      <c r="AH44" s="4294"/>
      <c r="AI44" s="4295"/>
      <c r="AJ44" s="4296"/>
      <c r="AK44" s="4296"/>
      <c r="AL44" s="4296"/>
      <c r="AM44" s="4296"/>
      <c r="AN44" s="4296"/>
      <c r="AO44" s="4296"/>
      <c r="AP44" s="4296"/>
      <c r="AQ44" s="4296"/>
      <c r="AR44" s="4176" t="str">
        <f t="shared" si="27"/>
        <v/>
      </c>
      <c r="BD44" s="4176"/>
      <c r="BE44" s="4176"/>
      <c r="BF44" s="4176"/>
      <c r="BG44" s="4176"/>
      <c r="BH44" s="4176"/>
      <c r="BI44" s="4176"/>
      <c r="BJ44" s="4176"/>
      <c r="BK44" s="4176"/>
      <c r="BL44" s="4176"/>
      <c r="BM44" s="4176"/>
      <c r="BN44" s="4176"/>
      <c r="CB44" s="4177" t="str">
        <f t="shared" si="10"/>
        <v/>
      </c>
      <c r="CC44" s="4177" t="str">
        <f t="shared" si="11"/>
        <v/>
      </c>
      <c r="CD44" s="4177" t="str">
        <f t="shared" si="12"/>
        <v/>
      </c>
      <c r="CE44" s="4177" t="str">
        <f t="shared" si="13"/>
        <v/>
      </c>
      <c r="CF44" s="4177" t="str">
        <f t="shared" si="14"/>
        <v/>
      </c>
      <c r="CG44" s="4177" t="str">
        <f t="shared" si="15"/>
        <v/>
      </c>
      <c r="CH44" s="4177" t="str">
        <f t="shared" si="16"/>
        <v/>
      </c>
      <c r="CL44" s="4177">
        <f t="shared" si="17"/>
        <v>0</v>
      </c>
      <c r="CM44" s="4177">
        <f t="shared" si="18"/>
        <v>0</v>
      </c>
      <c r="CN44" s="4177">
        <f t="shared" si="19"/>
        <v>0</v>
      </c>
      <c r="CO44" s="4177">
        <f t="shared" si="20"/>
        <v>0</v>
      </c>
      <c r="CP44" s="4177">
        <f t="shared" si="21"/>
        <v>0</v>
      </c>
      <c r="CQ44" s="4177">
        <f t="shared" si="22"/>
        <v>0</v>
      </c>
      <c r="CR44" s="4177">
        <f t="shared" si="23"/>
        <v>0</v>
      </c>
      <c r="CZ44" s="4177"/>
      <c r="DA44" s="4177"/>
      <c r="DB44" s="4177"/>
    </row>
    <row r="45" spans="1:106" ht="15.6" customHeight="1" x14ac:dyDescent="0.2">
      <c r="A45" s="4289" t="s">
        <v>258</v>
      </c>
      <c r="B45" s="4290">
        <f t="shared" si="24"/>
        <v>0</v>
      </c>
      <c r="C45" s="4196"/>
      <c r="D45" s="4291"/>
      <c r="E45" s="4291"/>
      <c r="F45" s="4291"/>
      <c r="G45" s="4291"/>
      <c r="H45" s="4291"/>
      <c r="I45" s="4291"/>
      <c r="J45" s="4291"/>
      <c r="K45" s="4291"/>
      <c r="L45" s="4291"/>
      <c r="M45" s="4291"/>
      <c r="N45" s="4291"/>
      <c r="O45" s="4291"/>
      <c r="P45" s="4291"/>
      <c r="Q45" s="4291"/>
      <c r="R45" s="4291"/>
      <c r="S45" s="4207"/>
      <c r="T45" s="4292"/>
      <c r="U45" s="4293"/>
      <c r="V45" s="4292"/>
      <c r="W45" s="4293"/>
      <c r="X45" s="4292"/>
      <c r="Y45" s="4293"/>
      <c r="Z45" s="4289">
        <f t="shared" si="25"/>
        <v>0</v>
      </c>
      <c r="AA45" s="4292"/>
      <c r="AB45" s="4294"/>
      <c r="AC45" s="4294"/>
      <c r="AD45" s="4293"/>
      <c r="AE45" s="4289">
        <f t="shared" si="26"/>
        <v>0</v>
      </c>
      <c r="AF45" s="4292"/>
      <c r="AG45" s="4294"/>
      <c r="AH45" s="4294"/>
      <c r="AI45" s="4295"/>
      <c r="AJ45" s="4296"/>
      <c r="AK45" s="4296"/>
      <c r="AL45" s="4296"/>
      <c r="AM45" s="4296"/>
      <c r="AN45" s="4296"/>
      <c r="AO45" s="4296"/>
      <c r="AP45" s="4296"/>
      <c r="AQ45" s="4296"/>
      <c r="AR45" s="4176" t="str">
        <f t="shared" si="27"/>
        <v/>
      </c>
      <c r="BD45" s="4176"/>
      <c r="BE45" s="4176"/>
      <c r="BF45" s="4176"/>
      <c r="BG45" s="4176"/>
      <c r="BH45" s="4176"/>
      <c r="BI45" s="4176"/>
      <c r="BJ45" s="4176"/>
      <c r="BK45" s="4176"/>
      <c r="BL45" s="4176"/>
      <c r="BM45" s="4176"/>
      <c r="BN45" s="4176"/>
      <c r="CB45" s="4177" t="str">
        <f t="shared" si="10"/>
        <v/>
      </c>
      <c r="CC45" s="4177" t="str">
        <f t="shared" si="11"/>
        <v/>
      </c>
      <c r="CD45" s="4177" t="str">
        <f t="shared" si="12"/>
        <v/>
      </c>
      <c r="CE45" s="4177" t="str">
        <f t="shared" si="13"/>
        <v/>
      </c>
      <c r="CF45" s="4177" t="str">
        <f t="shared" si="14"/>
        <v/>
      </c>
      <c r="CG45" s="4177" t="str">
        <f t="shared" si="15"/>
        <v/>
      </c>
      <c r="CH45" s="4177" t="str">
        <f t="shared" si="16"/>
        <v/>
      </c>
      <c r="CL45" s="4177">
        <f t="shared" si="17"/>
        <v>0</v>
      </c>
      <c r="CM45" s="4177">
        <f t="shared" si="18"/>
        <v>0</v>
      </c>
      <c r="CN45" s="4177">
        <f t="shared" si="19"/>
        <v>0</v>
      </c>
      <c r="CO45" s="4177">
        <f t="shared" si="20"/>
        <v>0</v>
      </c>
      <c r="CP45" s="4177">
        <f t="shared" si="21"/>
        <v>0</v>
      </c>
      <c r="CQ45" s="4177">
        <f t="shared" si="22"/>
        <v>0</v>
      </c>
      <c r="CR45" s="4177">
        <f t="shared" si="23"/>
        <v>0</v>
      </c>
      <c r="CZ45" s="4177"/>
      <c r="DA45" s="4177"/>
      <c r="DB45" s="4177"/>
    </row>
    <row r="46" spans="1:106" ht="15.6" customHeight="1" x14ac:dyDescent="0.2">
      <c r="A46" s="4289" t="s">
        <v>259</v>
      </c>
      <c r="B46" s="4290">
        <f t="shared" si="24"/>
        <v>0</v>
      </c>
      <c r="C46" s="4196"/>
      <c r="D46" s="4291"/>
      <c r="E46" s="4291"/>
      <c r="F46" s="4291"/>
      <c r="G46" s="4291"/>
      <c r="H46" s="4291"/>
      <c r="I46" s="4291"/>
      <c r="J46" s="4291"/>
      <c r="K46" s="4291"/>
      <c r="L46" s="4291"/>
      <c r="M46" s="4291"/>
      <c r="N46" s="4291"/>
      <c r="O46" s="4291"/>
      <c r="P46" s="4291"/>
      <c r="Q46" s="4291"/>
      <c r="R46" s="4291"/>
      <c r="S46" s="4207"/>
      <c r="T46" s="4292"/>
      <c r="U46" s="4293"/>
      <c r="V46" s="4292"/>
      <c r="W46" s="4293"/>
      <c r="X46" s="4292"/>
      <c r="Y46" s="4293"/>
      <c r="Z46" s="4289">
        <f t="shared" si="25"/>
        <v>0</v>
      </c>
      <c r="AA46" s="4292"/>
      <c r="AB46" s="4294"/>
      <c r="AC46" s="4294"/>
      <c r="AD46" s="4293"/>
      <c r="AE46" s="4289">
        <f t="shared" si="26"/>
        <v>0</v>
      </c>
      <c r="AF46" s="4292"/>
      <c r="AG46" s="4294"/>
      <c r="AH46" s="4294"/>
      <c r="AI46" s="4295"/>
      <c r="AJ46" s="4296"/>
      <c r="AK46" s="4296"/>
      <c r="AL46" s="4296"/>
      <c r="AM46" s="4296"/>
      <c r="AN46" s="4296"/>
      <c r="AO46" s="4296"/>
      <c r="AP46" s="4296"/>
      <c r="AQ46" s="4296"/>
      <c r="AR46" s="4176" t="str">
        <f t="shared" si="27"/>
        <v/>
      </c>
      <c r="BD46" s="4176"/>
      <c r="BE46" s="4176"/>
      <c r="BF46" s="4176"/>
      <c r="BG46" s="4176"/>
      <c r="BH46" s="4176"/>
      <c r="BI46" s="4176"/>
      <c r="BJ46" s="4176"/>
      <c r="BK46" s="4176"/>
      <c r="BL46" s="4176"/>
      <c r="BM46" s="4176"/>
      <c r="BN46" s="4176"/>
      <c r="CB46" s="4177" t="str">
        <f t="shared" si="10"/>
        <v/>
      </c>
      <c r="CC46" s="4177" t="str">
        <f t="shared" si="11"/>
        <v/>
      </c>
      <c r="CD46" s="4177" t="str">
        <f t="shared" si="12"/>
        <v/>
      </c>
      <c r="CE46" s="4177" t="str">
        <f t="shared" si="13"/>
        <v/>
      </c>
      <c r="CF46" s="4177" t="str">
        <f t="shared" si="14"/>
        <v/>
      </c>
      <c r="CG46" s="4177" t="str">
        <f t="shared" si="15"/>
        <v/>
      </c>
      <c r="CH46" s="4177" t="str">
        <f t="shared" si="16"/>
        <v/>
      </c>
      <c r="CL46" s="4177">
        <f t="shared" si="17"/>
        <v>0</v>
      </c>
      <c r="CM46" s="4177">
        <f t="shared" si="18"/>
        <v>0</v>
      </c>
      <c r="CN46" s="4177">
        <f t="shared" si="19"/>
        <v>0</v>
      </c>
      <c r="CO46" s="4177">
        <f t="shared" si="20"/>
        <v>0</v>
      </c>
      <c r="CP46" s="4177">
        <f t="shared" si="21"/>
        <v>0</v>
      </c>
      <c r="CQ46" s="4177">
        <f t="shared" si="22"/>
        <v>0</v>
      </c>
      <c r="CR46" s="4177">
        <f t="shared" si="23"/>
        <v>0</v>
      </c>
      <c r="CZ46" s="4177"/>
      <c r="DA46" s="4177"/>
      <c r="DB46" s="4177"/>
    </row>
    <row r="47" spans="1:106" ht="15.6" customHeight="1" x14ac:dyDescent="0.2">
      <c r="A47" s="4289" t="s">
        <v>260</v>
      </c>
      <c r="B47" s="4290">
        <f t="shared" si="24"/>
        <v>0</v>
      </c>
      <c r="C47" s="4196"/>
      <c r="D47" s="4291"/>
      <c r="E47" s="4291"/>
      <c r="F47" s="4291"/>
      <c r="G47" s="4291"/>
      <c r="H47" s="4291"/>
      <c r="I47" s="4291"/>
      <c r="J47" s="4291"/>
      <c r="K47" s="4291"/>
      <c r="L47" s="4291"/>
      <c r="M47" s="4291"/>
      <c r="N47" s="4291"/>
      <c r="O47" s="4291"/>
      <c r="P47" s="4291"/>
      <c r="Q47" s="4291"/>
      <c r="R47" s="4291"/>
      <c r="S47" s="4207"/>
      <c r="T47" s="4292"/>
      <c r="U47" s="4293"/>
      <c r="V47" s="4292"/>
      <c r="W47" s="4293"/>
      <c r="X47" s="4292"/>
      <c r="Y47" s="4293"/>
      <c r="Z47" s="4289">
        <f t="shared" si="25"/>
        <v>0</v>
      </c>
      <c r="AA47" s="4292"/>
      <c r="AB47" s="4294"/>
      <c r="AC47" s="4294"/>
      <c r="AD47" s="4293"/>
      <c r="AE47" s="4289">
        <f t="shared" si="26"/>
        <v>0</v>
      </c>
      <c r="AF47" s="4292"/>
      <c r="AG47" s="4294"/>
      <c r="AH47" s="4294"/>
      <c r="AI47" s="4295"/>
      <c r="AJ47" s="4296"/>
      <c r="AK47" s="4296"/>
      <c r="AL47" s="4296"/>
      <c r="AM47" s="4296"/>
      <c r="AN47" s="4296"/>
      <c r="AO47" s="4296"/>
      <c r="AP47" s="4296"/>
      <c r="AQ47" s="4296"/>
      <c r="AR47" s="4176" t="str">
        <f t="shared" si="27"/>
        <v/>
      </c>
      <c r="BD47" s="4176"/>
      <c r="BE47" s="4176"/>
      <c r="BF47" s="4176"/>
      <c r="BG47" s="4176"/>
      <c r="BH47" s="4176"/>
      <c r="BI47" s="4176"/>
      <c r="BJ47" s="4176"/>
      <c r="BK47" s="4176"/>
      <c r="BL47" s="4176"/>
      <c r="BM47" s="4176"/>
      <c r="BN47" s="4176"/>
      <c r="CB47" s="4177" t="str">
        <f t="shared" si="10"/>
        <v/>
      </c>
      <c r="CC47" s="4177" t="str">
        <f t="shared" si="11"/>
        <v/>
      </c>
      <c r="CD47" s="4177" t="str">
        <f t="shared" si="12"/>
        <v/>
      </c>
      <c r="CE47" s="4177" t="str">
        <f t="shared" si="13"/>
        <v/>
      </c>
      <c r="CF47" s="4177" t="str">
        <f t="shared" si="14"/>
        <v/>
      </c>
      <c r="CG47" s="4177" t="str">
        <f t="shared" si="15"/>
        <v/>
      </c>
      <c r="CH47" s="4177" t="str">
        <f t="shared" si="16"/>
        <v/>
      </c>
      <c r="CL47" s="4177">
        <f t="shared" si="17"/>
        <v>0</v>
      </c>
      <c r="CM47" s="4177">
        <f t="shared" si="18"/>
        <v>0</v>
      </c>
      <c r="CN47" s="4177">
        <f t="shared" si="19"/>
        <v>0</v>
      </c>
      <c r="CO47" s="4177">
        <f t="shared" si="20"/>
        <v>0</v>
      </c>
      <c r="CP47" s="4177">
        <f t="shared" si="21"/>
        <v>0</v>
      </c>
      <c r="CQ47" s="4177">
        <f t="shared" si="22"/>
        <v>0</v>
      </c>
      <c r="CR47" s="4177">
        <f t="shared" si="23"/>
        <v>0</v>
      </c>
      <c r="CZ47" s="4177"/>
      <c r="DA47" s="4177"/>
      <c r="DB47" s="4177"/>
    </row>
    <row r="48" spans="1:106" ht="15.6" customHeight="1" x14ac:dyDescent="0.2">
      <c r="A48" s="4289" t="s">
        <v>261</v>
      </c>
      <c r="B48" s="4290">
        <f t="shared" si="24"/>
        <v>0</v>
      </c>
      <c r="C48" s="4196"/>
      <c r="D48" s="4291"/>
      <c r="E48" s="4291"/>
      <c r="F48" s="4291"/>
      <c r="G48" s="4291"/>
      <c r="H48" s="4291"/>
      <c r="I48" s="4291"/>
      <c r="J48" s="4291"/>
      <c r="K48" s="4291"/>
      <c r="L48" s="4291"/>
      <c r="M48" s="4291"/>
      <c r="N48" s="4291"/>
      <c r="O48" s="4291"/>
      <c r="P48" s="4291"/>
      <c r="Q48" s="4291"/>
      <c r="R48" s="4291"/>
      <c r="S48" s="4207"/>
      <c r="T48" s="4292"/>
      <c r="U48" s="4293"/>
      <c r="V48" s="4292"/>
      <c r="W48" s="4293"/>
      <c r="X48" s="4292"/>
      <c r="Y48" s="4293"/>
      <c r="Z48" s="4289">
        <f t="shared" si="25"/>
        <v>0</v>
      </c>
      <c r="AA48" s="4292"/>
      <c r="AB48" s="4294"/>
      <c r="AC48" s="4294"/>
      <c r="AD48" s="4293"/>
      <c r="AE48" s="4289">
        <f t="shared" si="26"/>
        <v>0</v>
      </c>
      <c r="AF48" s="4292"/>
      <c r="AG48" s="4294"/>
      <c r="AH48" s="4294"/>
      <c r="AI48" s="4295"/>
      <c r="AJ48" s="4296"/>
      <c r="AK48" s="4296"/>
      <c r="AL48" s="4296"/>
      <c r="AM48" s="4296"/>
      <c r="AN48" s="4296"/>
      <c r="AO48" s="4296"/>
      <c r="AP48" s="4296"/>
      <c r="AQ48" s="4296"/>
      <c r="AR48" s="4176" t="str">
        <f t="shared" si="27"/>
        <v/>
      </c>
      <c r="BD48" s="4176"/>
      <c r="BE48" s="4176"/>
      <c r="BF48" s="4176"/>
      <c r="BG48" s="4176"/>
      <c r="BH48" s="4176"/>
      <c r="BI48" s="4176"/>
      <c r="BJ48" s="4176"/>
      <c r="BK48" s="4176"/>
      <c r="BL48" s="4176"/>
      <c r="BM48" s="4176"/>
      <c r="BN48" s="4176"/>
      <c r="CB48" s="4177" t="str">
        <f t="shared" si="10"/>
        <v/>
      </c>
      <c r="CC48" s="4177" t="str">
        <f t="shared" si="11"/>
        <v/>
      </c>
      <c r="CD48" s="4177" t="str">
        <f t="shared" si="12"/>
        <v/>
      </c>
      <c r="CE48" s="4177" t="str">
        <f t="shared" si="13"/>
        <v/>
      </c>
      <c r="CF48" s="4177" t="str">
        <f t="shared" si="14"/>
        <v/>
      </c>
      <c r="CG48" s="4177" t="str">
        <f t="shared" si="15"/>
        <v/>
      </c>
      <c r="CH48" s="4177" t="str">
        <f t="shared" si="16"/>
        <v/>
      </c>
      <c r="CL48" s="4177">
        <f t="shared" si="17"/>
        <v>0</v>
      </c>
      <c r="CM48" s="4177">
        <f t="shared" si="18"/>
        <v>0</v>
      </c>
      <c r="CN48" s="4177">
        <f t="shared" si="19"/>
        <v>0</v>
      </c>
      <c r="CO48" s="4177">
        <f t="shared" si="20"/>
        <v>0</v>
      </c>
      <c r="CP48" s="4177">
        <f t="shared" si="21"/>
        <v>0</v>
      </c>
      <c r="CQ48" s="4177">
        <f t="shared" si="22"/>
        <v>0</v>
      </c>
      <c r="CR48" s="4177">
        <f t="shared" si="23"/>
        <v>0</v>
      </c>
      <c r="CZ48" s="4177"/>
      <c r="DA48" s="4177"/>
      <c r="DB48" s="4177"/>
    </row>
    <row r="49" spans="1:106" ht="15.6" customHeight="1" x14ac:dyDescent="0.2">
      <c r="A49" s="4289" t="s">
        <v>262</v>
      </c>
      <c r="B49" s="4290">
        <f t="shared" si="24"/>
        <v>0</v>
      </c>
      <c r="C49" s="4196"/>
      <c r="D49" s="4291"/>
      <c r="E49" s="4291"/>
      <c r="F49" s="4291"/>
      <c r="G49" s="4291"/>
      <c r="H49" s="4291"/>
      <c r="I49" s="4291"/>
      <c r="J49" s="4291"/>
      <c r="K49" s="4291"/>
      <c r="L49" s="4291"/>
      <c r="M49" s="4291"/>
      <c r="N49" s="4291"/>
      <c r="O49" s="4291"/>
      <c r="P49" s="4291"/>
      <c r="Q49" s="4291"/>
      <c r="R49" s="4291"/>
      <c r="S49" s="4207"/>
      <c r="T49" s="4292"/>
      <c r="U49" s="4293"/>
      <c r="V49" s="4292"/>
      <c r="W49" s="4293"/>
      <c r="X49" s="4292"/>
      <c r="Y49" s="4293"/>
      <c r="Z49" s="4289">
        <f t="shared" si="25"/>
        <v>0</v>
      </c>
      <c r="AA49" s="4292"/>
      <c r="AB49" s="4294"/>
      <c r="AC49" s="4294"/>
      <c r="AD49" s="4293"/>
      <c r="AE49" s="4289">
        <f t="shared" si="26"/>
        <v>0</v>
      </c>
      <c r="AF49" s="4292"/>
      <c r="AG49" s="4294"/>
      <c r="AH49" s="4294"/>
      <c r="AI49" s="4295"/>
      <c r="AJ49" s="4296"/>
      <c r="AK49" s="4296"/>
      <c r="AL49" s="4296"/>
      <c r="AM49" s="4296"/>
      <c r="AN49" s="4296"/>
      <c r="AO49" s="4296"/>
      <c r="AP49" s="4296"/>
      <c r="AQ49" s="4296"/>
      <c r="AR49" s="4176" t="str">
        <f t="shared" si="27"/>
        <v/>
      </c>
      <c r="BD49" s="4176"/>
      <c r="BE49" s="4176"/>
      <c r="BF49" s="4176"/>
      <c r="BG49" s="4176"/>
      <c r="BH49" s="4176"/>
      <c r="BI49" s="4176"/>
      <c r="BJ49" s="4176"/>
      <c r="BK49" s="4176"/>
      <c r="BL49" s="4176"/>
      <c r="BM49" s="4176"/>
      <c r="BN49" s="4176"/>
      <c r="CB49" s="4177" t="str">
        <f t="shared" si="10"/>
        <v/>
      </c>
      <c r="CC49" s="4177" t="str">
        <f t="shared" si="11"/>
        <v/>
      </c>
      <c r="CD49" s="4177" t="str">
        <f t="shared" si="12"/>
        <v/>
      </c>
      <c r="CE49" s="4177" t="str">
        <f t="shared" si="13"/>
        <v/>
      </c>
      <c r="CF49" s="4177" t="str">
        <f t="shared" si="14"/>
        <v/>
      </c>
      <c r="CG49" s="4177" t="str">
        <f t="shared" si="15"/>
        <v/>
      </c>
      <c r="CH49" s="4177" t="str">
        <f t="shared" si="16"/>
        <v/>
      </c>
      <c r="CL49" s="4177">
        <f t="shared" si="17"/>
        <v>0</v>
      </c>
      <c r="CM49" s="4177">
        <f t="shared" si="18"/>
        <v>0</v>
      </c>
      <c r="CN49" s="4177">
        <f t="shared" si="19"/>
        <v>0</v>
      </c>
      <c r="CO49" s="4177">
        <f t="shared" si="20"/>
        <v>0</v>
      </c>
      <c r="CP49" s="4177">
        <f t="shared" si="21"/>
        <v>0</v>
      </c>
      <c r="CQ49" s="4177">
        <f t="shared" si="22"/>
        <v>0</v>
      </c>
      <c r="CR49" s="4177">
        <f t="shared" si="23"/>
        <v>0</v>
      </c>
      <c r="CZ49" s="4177"/>
      <c r="DA49" s="4177"/>
      <c r="DB49" s="4177"/>
    </row>
    <row r="50" spans="1:106" ht="15.6" customHeight="1" x14ac:dyDescent="0.2">
      <c r="A50" s="4289" t="s">
        <v>454</v>
      </c>
      <c r="B50" s="4290">
        <f t="shared" si="24"/>
        <v>0</v>
      </c>
      <c r="C50" s="4196"/>
      <c r="D50" s="4291"/>
      <c r="E50" s="4291"/>
      <c r="F50" s="4291"/>
      <c r="G50" s="4291"/>
      <c r="H50" s="4291"/>
      <c r="I50" s="4291"/>
      <c r="J50" s="4291"/>
      <c r="K50" s="4291"/>
      <c r="L50" s="4291"/>
      <c r="M50" s="4291"/>
      <c r="N50" s="4291"/>
      <c r="O50" s="4291"/>
      <c r="P50" s="4291"/>
      <c r="Q50" s="4291"/>
      <c r="R50" s="4291"/>
      <c r="S50" s="4207"/>
      <c r="T50" s="4292"/>
      <c r="U50" s="4293"/>
      <c r="V50" s="4292"/>
      <c r="W50" s="4293"/>
      <c r="X50" s="4292"/>
      <c r="Y50" s="4293"/>
      <c r="Z50" s="4289">
        <f t="shared" si="25"/>
        <v>0</v>
      </c>
      <c r="AA50" s="4292"/>
      <c r="AB50" s="4294"/>
      <c r="AC50" s="4294"/>
      <c r="AD50" s="4293"/>
      <c r="AE50" s="4289">
        <f t="shared" si="26"/>
        <v>0</v>
      </c>
      <c r="AF50" s="4292"/>
      <c r="AG50" s="4294"/>
      <c r="AH50" s="4294"/>
      <c r="AI50" s="4295"/>
      <c r="AJ50" s="4296"/>
      <c r="AK50" s="4296"/>
      <c r="AL50" s="4296"/>
      <c r="AM50" s="4296"/>
      <c r="AN50" s="4296"/>
      <c r="AO50" s="4296"/>
      <c r="AP50" s="4296"/>
      <c r="AQ50" s="4296"/>
      <c r="AR50" s="4176" t="str">
        <f t="shared" si="27"/>
        <v/>
      </c>
      <c r="BD50" s="4176"/>
      <c r="BE50" s="4176"/>
      <c r="BF50" s="4176"/>
      <c r="BG50" s="4176"/>
      <c r="BH50" s="4176"/>
      <c r="BI50" s="4176"/>
      <c r="BJ50" s="4176"/>
      <c r="BK50" s="4176"/>
      <c r="BL50" s="4176"/>
      <c r="BM50" s="4176"/>
      <c r="BN50" s="4176"/>
      <c r="CB50" s="4177" t="str">
        <f t="shared" si="10"/>
        <v/>
      </c>
      <c r="CC50" s="4177" t="str">
        <f t="shared" si="11"/>
        <v/>
      </c>
      <c r="CD50" s="4177" t="str">
        <f t="shared" si="12"/>
        <v/>
      </c>
      <c r="CE50" s="4177" t="str">
        <f t="shared" si="13"/>
        <v/>
      </c>
      <c r="CF50" s="4177" t="str">
        <f t="shared" si="14"/>
        <v/>
      </c>
      <c r="CG50" s="4177" t="str">
        <f t="shared" si="15"/>
        <v/>
      </c>
      <c r="CH50" s="4177" t="str">
        <f t="shared" si="16"/>
        <v/>
      </c>
      <c r="CL50" s="4177">
        <f t="shared" si="17"/>
        <v>0</v>
      </c>
      <c r="CM50" s="4177">
        <f t="shared" si="18"/>
        <v>0</v>
      </c>
      <c r="CN50" s="4177">
        <f t="shared" si="19"/>
        <v>0</v>
      </c>
      <c r="CO50" s="4177">
        <f t="shared" si="20"/>
        <v>0</v>
      </c>
      <c r="CP50" s="4177">
        <f t="shared" si="21"/>
        <v>0</v>
      </c>
      <c r="CQ50" s="4177">
        <f t="shared" si="22"/>
        <v>0</v>
      </c>
      <c r="CR50" s="4177">
        <f t="shared" si="23"/>
        <v>0</v>
      </c>
      <c r="CZ50" s="4177"/>
      <c r="DA50" s="4177"/>
      <c r="DB50" s="4177"/>
    </row>
    <row r="51" spans="1:106" ht="15.6" customHeight="1" x14ac:dyDescent="0.2">
      <c r="A51" s="4289" t="s">
        <v>263</v>
      </c>
      <c r="B51" s="4290">
        <f t="shared" si="24"/>
        <v>0</v>
      </c>
      <c r="C51" s="4196"/>
      <c r="D51" s="4291"/>
      <c r="E51" s="4291"/>
      <c r="F51" s="4291"/>
      <c r="G51" s="4291"/>
      <c r="H51" s="4291"/>
      <c r="I51" s="4291"/>
      <c r="J51" s="4291"/>
      <c r="K51" s="4291"/>
      <c r="L51" s="4291"/>
      <c r="M51" s="4291"/>
      <c r="N51" s="4291"/>
      <c r="O51" s="4291"/>
      <c r="P51" s="4291"/>
      <c r="Q51" s="4291"/>
      <c r="R51" s="4291"/>
      <c r="S51" s="4207"/>
      <c r="T51" s="4292"/>
      <c r="U51" s="4293"/>
      <c r="V51" s="4292"/>
      <c r="W51" s="4293"/>
      <c r="X51" s="4292"/>
      <c r="Y51" s="4293"/>
      <c r="Z51" s="4289">
        <f t="shared" si="25"/>
        <v>0</v>
      </c>
      <c r="AA51" s="4292"/>
      <c r="AB51" s="4294"/>
      <c r="AC51" s="4294"/>
      <c r="AD51" s="4293"/>
      <c r="AE51" s="4289">
        <f t="shared" si="26"/>
        <v>0</v>
      </c>
      <c r="AF51" s="4292"/>
      <c r="AG51" s="4294"/>
      <c r="AH51" s="4294"/>
      <c r="AI51" s="4295"/>
      <c r="AJ51" s="4296"/>
      <c r="AK51" s="4296"/>
      <c r="AL51" s="4296"/>
      <c r="AM51" s="4296"/>
      <c r="AN51" s="4296"/>
      <c r="AO51" s="4296"/>
      <c r="AP51" s="4296"/>
      <c r="AQ51" s="4296"/>
      <c r="AR51" s="4176" t="str">
        <f t="shared" si="27"/>
        <v/>
      </c>
      <c r="BD51" s="4176"/>
      <c r="BE51" s="4176"/>
      <c r="BF51" s="4176"/>
      <c r="BG51" s="4176"/>
      <c r="BH51" s="4176"/>
      <c r="BI51" s="4176"/>
      <c r="BJ51" s="4176"/>
      <c r="BK51" s="4176"/>
      <c r="BL51" s="4176"/>
      <c r="BM51" s="4176"/>
      <c r="BN51" s="4176"/>
      <c r="CB51" s="4177" t="str">
        <f t="shared" si="10"/>
        <v/>
      </c>
      <c r="CC51" s="4177" t="str">
        <f t="shared" si="11"/>
        <v/>
      </c>
      <c r="CD51" s="4177" t="str">
        <f t="shared" si="12"/>
        <v/>
      </c>
      <c r="CE51" s="4177" t="str">
        <f t="shared" si="13"/>
        <v/>
      </c>
      <c r="CF51" s="4177" t="str">
        <f t="shared" si="14"/>
        <v/>
      </c>
      <c r="CG51" s="4177" t="str">
        <f t="shared" si="15"/>
        <v/>
      </c>
      <c r="CH51" s="4177" t="str">
        <f t="shared" si="16"/>
        <v/>
      </c>
      <c r="CL51" s="4177">
        <f t="shared" si="17"/>
        <v>0</v>
      </c>
      <c r="CM51" s="4177">
        <f t="shared" si="18"/>
        <v>0</v>
      </c>
      <c r="CN51" s="4177">
        <f t="shared" si="19"/>
        <v>0</v>
      </c>
      <c r="CO51" s="4177">
        <f t="shared" si="20"/>
        <v>0</v>
      </c>
      <c r="CP51" s="4177">
        <f t="shared" si="21"/>
        <v>0</v>
      </c>
      <c r="CQ51" s="4177">
        <f t="shared" si="22"/>
        <v>0</v>
      </c>
      <c r="CR51" s="4177">
        <f t="shared" si="23"/>
        <v>0</v>
      </c>
      <c r="CZ51" s="4177"/>
      <c r="DA51" s="4177"/>
      <c r="DB51" s="4177"/>
    </row>
    <row r="52" spans="1:106" ht="15.6" customHeight="1" x14ac:dyDescent="0.2">
      <c r="A52" s="4289" t="s">
        <v>264</v>
      </c>
      <c r="B52" s="4290">
        <f t="shared" si="24"/>
        <v>0</v>
      </c>
      <c r="C52" s="4196"/>
      <c r="D52" s="4291"/>
      <c r="E52" s="4291"/>
      <c r="F52" s="4291"/>
      <c r="G52" s="4291"/>
      <c r="H52" s="4291"/>
      <c r="I52" s="4291"/>
      <c r="J52" s="4291"/>
      <c r="K52" s="4291"/>
      <c r="L52" s="4291"/>
      <c r="M52" s="4291"/>
      <c r="N52" s="4291"/>
      <c r="O52" s="4291"/>
      <c r="P52" s="4291"/>
      <c r="Q52" s="4291"/>
      <c r="R52" s="4291"/>
      <c r="S52" s="4207"/>
      <c r="T52" s="4292"/>
      <c r="U52" s="4293"/>
      <c r="V52" s="4292"/>
      <c r="W52" s="4293"/>
      <c r="X52" s="4292"/>
      <c r="Y52" s="4293"/>
      <c r="Z52" s="4289">
        <f t="shared" si="25"/>
        <v>0</v>
      </c>
      <c r="AA52" s="4292"/>
      <c r="AB52" s="4294"/>
      <c r="AC52" s="4294"/>
      <c r="AD52" s="4293"/>
      <c r="AE52" s="4289">
        <f t="shared" si="26"/>
        <v>0</v>
      </c>
      <c r="AF52" s="4292"/>
      <c r="AG52" s="4294"/>
      <c r="AH52" s="4294"/>
      <c r="AI52" s="4295"/>
      <c r="AJ52" s="4296"/>
      <c r="AK52" s="4296"/>
      <c r="AL52" s="4296"/>
      <c r="AM52" s="4296"/>
      <c r="AN52" s="4296"/>
      <c r="AO52" s="4296"/>
      <c r="AP52" s="4296"/>
      <c r="AQ52" s="4296"/>
      <c r="AR52" s="4176" t="str">
        <f t="shared" si="27"/>
        <v/>
      </c>
      <c r="BD52" s="4176"/>
      <c r="BE52" s="4176"/>
      <c r="BF52" s="4176"/>
      <c r="BG52" s="4176"/>
      <c r="BH52" s="4176"/>
      <c r="BI52" s="4176"/>
      <c r="BJ52" s="4176"/>
      <c r="BK52" s="4176"/>
      <c r="BL52" s="4176"/>
      <c r="BM52" s="4176"/>
      <c r="BN52" s="4176"/>
      <c r="CB52" s="4177" t="str">
        <f t="shared" si="10"/>
        <v/>
      </c>
      <c r="CC52" s="4177" t="str">
        <f t="shared" si="11"/>
        <v/>
      </c>
      <c r="CD52" s="4177" t="str">
        <f t="shared" si="12"/>
        <v/>
      </c>
      <c r="CE52" s="4177" t="str">
        <f t="shared" si="13"/>
        <v/>
      </c>
      <c r="CF52" s="4177" t="str">
        <f t="shared" si="14"/>
        <v/>
      </c>
      <c r="CG52" s="4177" t="str">
        <f t="shared" si="15"/>
        <v/>
      </c>
      <c r="CH52" s="4177" t="str">
        <f t="shared" si="16"/>
        <v/>
      </c>
      <c r="CL52" s="4177">
        <f t="shared" si="17"/>
        <v>0</v>
      </c>
      <c r="CM52" s="4177">
        <f t="shared" si="18"/>
        <v>0</v>
      </c>
      <c r="CN52" s="4177">
        <f t="shared" si="19"/>
        <v>0</v>
      </c>
      <c r="CO52" s="4177">
        <f t="shared" si="20"/>
        <v>0</v>
      </c>
      <c r="CP52" s="4177">
        <f t="shared" si="21"/>
        <v>0</v>
      </c>
      <c r="CQ52" s="4177">
        <f t="shared" si="22"/>
        <v>0</v>
      </c>
      <c r="CR52" s="4177">
        <f t="shared" si="23"/>
        <v>0</v>
      </c>
      <c r="CZ52" s="4177"/>
      <c r="DA52" s="4177"/>
      <c r="DB52" s="4177"/>
    </row>
    <row r="53" spans="1:106" ht="15.6" customHeight="1" x14ac:dyDescent="0.2">
      <c r="A53" s="4289" t="s">
        <v>265</v>
      </c>
      <c r="B53" s="4290">
        <f t="shared" si="24"/>
        <v>0</v>
      </c>
      <c r="C53" s="4196"/>
      <c r="D53" s="4291"/>
      <c r="E53" s="4291"/>
      <c r="F53" s="4291"/>
      <c r="G53" s="4291"/>
      <c r="H53" s="4291"/>
      <c r="I53" s="4291"/>
      <c r="J53" s="4291"/>
      <c r="K53" s="4291"/>
      <c r="L53" s="4291"/>
      <c r="M53" s="4291"/>
      <c r="N53" s="4291"/>
      <c r="O53" s="4291"/>
      <c r="P53" s="4291"/>
      <c r="Q53" s="4291"/>
      <c r="R53" s="4291"/>
      <c r="S53" s="4207"/>
      <c r="T53" s="4292"/>
      <c r="U53" s="4293"/>
      <c r="V53" s="4292"/>
      <c r="W53" s="4293"/>
      <c r="X53" s="4292"/>
      <c r="Y53" s="4293"/>
      <c r="Z53" s="4289">
        <f t="shared" si="25"/>
        <v>0</v>
      </c>
      <c r="AA53" s="4292"/>
      <c r="AB53" s="4294"/>
      <c r="AC53" s="4294"/>
      <c r="AD53" s="4293"/>
      <c r="AE53" s="4289">
        <f t="shared" si="26"/>
        <v>0</v>
      </c>
      <c r="AF53" s="4292"/>
      <c r="AG53" s="4294"/>
      <c r="AH53" s="4294"/>
      <c r="AI53" s="4295"/>
      <c r="AJ53" s="4296"/>
      <c r="AK53" s="4296"/>
      <c r="AL53" s="4296"/>
      <c r="AM53" s="4296"/>
      <c r="AN53" s="4296"/>
      <c r="AO53" s="4296"/>
      <c r="AP53" s="4296"/>
      <c r="AQ53" s="4296"/>
      <c r="AR53" s="4176" t="str">
        <f t="shared" si="27"/>
        <v/>
      </c>
      <c r="BD53" s="4176"/>
      <c r="BE53" s="4176"/>
      <c r="BF53" s="4176"/>
      <c r="BG53" s="4176"/>
      <c r="BH53" s="4176"/>
      <c r="BI53" s="4176"/>
      <c r="BJ53" s="4176"/>
      <c r="BK53" s="4176"/>
      <c r="BL53" s="4176"/>
      <c r="BM53" s="4176"/>
      <c r="BN53" s="4176"/>
      <c r="CB53" s="4177" t="str">
        <f t="shared" si="10"/>
        <v/>
      </c>
      <c r="CC53" s="4177" t="str">
        <f t="shared" si="11"/>
        <v/>
      </c>
      <c r="CD53" s="4177" t="str">
        <f t="shared" si="12"/>
        <v/>
      </c>
      <c r="CE53" s="4177" t="str">
        <f t="shared" si="13"/>
        <v/>
      </c>
      <c r="CF53" s="4177" t="str">
        <f t="shared" si="14"/>
        <v/>
      </c>
      <c r="CG53" s="4177" t="str">
        <f t="shared" si="15"/>
        <v/>
      </c>
      <c r="CH53" s="4177" t="str">
        <f t="shared" si="16"/>
        <v/>
      </c>
      <c r="CL53" s="4177">
        <f t="shared" si="17"/>
        <v>0</v>
      </c>
      <c r="CM53" s="4177">
        <f t="shared" si="18"/>
        <v>0</v>
      </c>
      <c r="CN53" s="4177">
        <f t="shared" si="19"/>
        <v>0</v>
      </c>
      <c r="CO53" s="4177">
        <f t="shared" si="20"/>
        <v>0</v>
      </c>
      <c r="CP53" s="4177">
        <f t="shared" si="21"/>
        <v>0</v>
      </c>
      <c r="CQ53" s="4177">
        <f t="shared" si="22"/>
        <v>0</v>
      </c>
      <c r="CR53" s="4177">
        <f t="shared" si="23"/>
        <v>0</v>
      </c>
      <c r="CZ53" s="4177"/>
      <c r="DA53" s="4177"/>
      <c r="DB53" s="4177"/>
    </row>
    <row r="54" spans="1:106" ht="15.6" customHeight="1" x14ac:dyDescent="0.2">
      <c r="A54" s="4289" t="s">
        <v>455</v>
      </c>
      <c r="B54" s="4290">
        <f t="shared" si="24"/>
        <v>0</v>
      </c>
      <c r="C54" s="4196"/>
      <c r="D54" s="4291"/>
      <c r="E54" s="4291"/>
      <c r="F54" s="4291"/>
      <c r="G54" s="4291"/>
      <c r="H54" s="4291"/>
      <c r="I54" s="4291"/>
      <c r="J54" s="4291"/>
      <c r="K54" s="4291"/>
      <c r="L54" s="4291"/>
      <c r="M54" s="4291"/>
      <c r="N54" s="4291"/>
      <c r="O54" s="4291"/>
      <c r="P54" s="4291"/>
      <c r="Q54" s="4291"/>
      <c r="R54" s="4291"/>
      <c r="S54" s="4207"/>
      <c r="T54" s="4292"/>
      <c r="U54" s="4293"/>
      <c r="V54" s="4292"/>
      <c r="W54" s="4293"/>
      <c r="X54" s="4292"/>
      <c r="Y54" s="4293"/>
      <c r="Z54" s="4289">
        <f t="shared" si="25"/>
        <v>0</v>
      </c>
      <c r="AA54" s="4292"/>
      <c r="AB54" s="4294"/>
      <c r="AC54" s="4294"/>
      <c r="AD54" s="4293"/>
      <c r="AE54" s="4289">
        <f t="shared" si="26"/>
        <v>0</v>
      </c>
      <c r="AF54" s="4292"/>
      <c r="AG54" s="4294"/>
      <c r="AH54" s="4294"/>
      <c r="AI54" s="4295"/>
      <c r="AJ54" s="4296"/>
      <c r="AK54" s="4296"/>
      <c r="AL54" s="4296"/>
      <c r="AM54" s="4296"/>
      <c r="AN54" s="4296"/>
      <c r="AO54" s="4296"/>
      <c r="AP54" s="4296"/>
      <c r="AQ54" s="4296"/>
      <c r="AR54" s="4176" t="str">
        <f t="shared" si="27"/>
        <v/>
      </c>
      <c r="BD54" s="4176"/>
      <c r="BE54" s="4176"/>
      <c r="BF54" s="4176"/>
      <c r="BG54" s="4176"/>
      <c r="BH54" s="4176"/>
      <c r="BI54" s="4176"/>
      <c r="BJ54" s="4176"/>
      <c r="BK54" s="4176"/>
      <c r="BL54" s="4176"/>
      <c r="BM54" s="4176"/>
      <c r="BN54" s="4176"/>
      <c r="CB54" s="4177" t="str">
        <f t="shared" si="10"/>
        <v/>
      </c>
      <c r="CC54" s="4177" t="str">
        <f t="shared" si="11"/>
        <v/>
      </c>
      <c r="CD54" s="4177" t="str">
        <f t="shared" si="12"/>
        <v/>
      </c>
      <c r="CE54" s="4177" t="str">
        <f t="shared" si="13"/>
        <v/>
      </c>
      <c r="CF54" s="4177" t="str">
        <f t="shared" si="14"/>
        <v/>
      </c>
      <c r="CG54" s="4177" t="str">
        <f t="shared" si="15"/>
        <v/>
      </c>
      <c r="CH54" s="4177" t="str">
        <f t="shared" si="16"/>
        <v/>
      </c>
      <c r="CL54" s="4177">
        <f t="shared" si="17"/>
        <v>0</v>
      </c>
      <c r="CM54" s="4177">
        <f t="shared" si="18"/>
        <v>0</v>
      </c>
      <c r="CN54" s="4177">
        <f t="shared" si="19"/>
        <v>0</v>
      </c>
      <c r="CO54" s="4177">
        <f t="shared" si="20"/>
        <v>0</v>
      </c>
      <c r="CP54" s="4177">
        <f t="shared" si="21"/>
        <v>0</v>
      </c>
      <c r="CQ54" s="4177">
        <f t="shared" si="22"/>
        <v>0</v>
      </c>
      <c r="CR54" s="4177">
        <f t="shared" si="23"/>
        <v>0</v>
      </c>
      <c r="CZ54" s="4177"/>
      <c r="DA54" s="4177"/>
      <c r="DB54" s="4177"/>
    </row>
    <row r="55" spans="1:106" ht="15.6" customHeight="1" x14ac:dyDescent="0.2">
      <c r="A55" s="4289" t="s">
        <v>266</v>
      </c>
      <c r="B55" s="4290">
        <f t="shared" si="24"/>
        <v>0</v>
      </c>
      <c r="C55" s="4196"/>
      <c r="D55" s="4291"/>
      <c r="E55" s="4291"/>
      <c r="F55" s="4291"/>
      <c r="G55" s="4291"/>
      <c r="H55" s="4291"/>
      <c r="I55" s="4291"/>
      <c r="J55" s="4291"/>
      <c r="K55" s="4291"/>
      <c r="L55" s="4291"/>
      <c r="M55" s="4291"/>
      <c r="N55" s="4291"/>
      <c r="O55" s="4291"/>
      <c r="P55" s="4291"/>
      <c r="Q55" s="4291"/>
      <c r="R55" s="4291"/>
      <c r="S55" s="4207"/>
      <c r="T55" s="4292"/>
      <c r="U55" s="4293"/>
      <c r="V55" s="4292"/>
      <c r="W55" s="4293"/>
      <c r="X55" s="4292"/>
      <c r="Y55" s="4293"/>
      <c r="Z55" s="4289">
        <f t="shared" si="25"/>
        <v>0</v>
      </c>
      <c r="AA55" s="4292"/>
      <c r="AB55" s="4294"/>
      <c r="AC55" s="4294"/>
      <c r="AD55" s="4293"/>
      <c r="AE55" s="4289">
        <f t="shared" si="26"/>
        <v>0</v>
      </c>
      <c r="AF55" s="4292"/>
      <c r="AG55" s="4294"/>
      <c r="AH55" s="4294"/>
      <c r="AI55" s="4295"/>
      <c r="AJ55" s="4296"/>
      <c r="AK55" s="4296"/>
      <c r="AL55" s="4296"/>
      <c r="AM55" s="4296"/>
      <c r="AN55" s="4296"/>
      <c r="AO55" s="4296"/>
      <c r="AP55" s="4296"/>
      <c r="AQ55" s="4296"/>
      <c r="AR55" s="4176" t="str">
        <f t="shared" si="27"/>
        <v/>
      </c>
      <c r="BD55" s="4176"/>
      <c r="BE55" s="4176"/>
      <c r="BF55" s="4176"/>
      <c r="BG55" s="4176"/>
      <c r="BH55" s="4176"/>
      <c r="BI55" s="4176"/>
      <c r="BJ55" s="4176"/>
      <c r="BK55" s="4176"/>
      <c r="BL55" s="4176"/>
      <c r="BM55" s="4176"/>
      <c r="BN55" s="4176"/>
      <c r="CB55" s="4177" t="str">
        <f t="shared" si="10"/>
        <v/>
      </c>
      <c r="CC55" s="4177" t="str">
        <f t="shared" si="11"/>
        <v/>
      </c>
      <c r="CD55" s="4177" t="str">
        <f t="shared" si="12"/>
        <v/>
      </c>
      <c r="CE55" s="4177" t="str">
        <f t="shared" si="13"/>
        <v/>
      </c>
      <c r="CF55" s="4177" t="str">
        <f t="shared" si="14"/>
        <v/>
      </c>
      <c r="CG55" s="4177" t="str">
        <f t="shared" si="15"/>
        <v/>
      </c>
      <c r="CH55" s="4177" t="str">
        <f t="shared" si="16"/>
        <v/>
      </c>
      <c r="CL55" s="4177">
        <f t="shared" si="17"/>
        <v>0</v>
      </c>
      <c r="CM55" s="4177">
        <f t="shared" si="18"/>
        <v>0</v>
      </c>
      <c r="CN55" s="4177">
        <f t="shared" si="19"/>
        <v>0</v>
      </c>
      <c r="CO55" s="4177">
        <f t="shared" si="20"/>
        <v>0</v>
      </c>
      <c r="CP55" s="4177">
        <f t="shared" si="21"/>
        <v>0</v>
      </c>
      <c r="CQ55" s="4177">
        <f t="shared" si="22"/>
        <v>0</v>
      </c>
      <c r="CR55" s="4177">
        <f t="shared" si="23"/>
        <v>0</v>
      </c>
      <c r="CZ55" s="4177"/>
      <c r="DA55" s="4177"/>
      <c r="DB55" s="4177"/>
    </row>
    <row r="56" spans="1:106" ht="15.6" customHeight="1" x14ac:dyDescent="0.2">
      <c r="A56" s="4289" t="s">
        <v>456</v>
      </c>
      <c r="B56" s="4290">
        <f t="shared" si="24"/>
        <v>0</v>
      </c>
      <c r="C56" s="4196"/>
      <c r="D56" s="4291"/>
      <c r="E56" s="4291"/>
      <c r="F56" s="4291"/>
      <c r="G56" s="4291"/>
      <c r="H56" s="4291"/>
      <c r="I56" s="4291"/>
      <c r="J56" s="4291"/>
      <c r="K56" s="4291"/>
      <c r="L56" s="4291"/>
      <c r="M56" s="4291"/>
      <c r="N56" s="4291"/>
      <c r="O56" s="4291"/>
      <c r="P56" s="4291"/>
      <c r="Q56" s="4291"/>
      <c r="R56" s="4291"/>
      <c r="S56" s="4207"/>
      <c r="T56" s="4292"/>
      <c r="U56" s="4293"/>
      <c r="V56" s="4292"/>
      <c r="W56" s="4293"/>
      <c r="X56" s="4292"/>
      <c r="Y56" s="4293"/>
      <c r="Z56" s="4289">
        <f t="shared" si="25"/>
        <v>0</v>
      </c>
      <c r="AA56" s="4292"/>
      <c r="AB56" s="4294"/>
      <c r="AC56" s="4294"/>
      <c r="AD56" s="4293"/>
      <c r="AE56" s="4289">
        <f t="shared" si="26"/>
        <v>0</v>
      </c>
      <c r="AF56" s="4292"/>
      <c r="AG56" s="4294"/>
      <c r="AH56" s="4294"/>
      <c r="AI56" s="4295"/>
      <c r="AJ56" s="4296"/>
      <c r="AK56" s="4296"/>
      <c r="AL56" s="4296"/>
      <c r="AM56" s="4296"/>
      <c r="AN56" s="4296"/>
      <c r="AO56" s="4296"/>
      <c r="AP56" s="4296"/>
      <c r="AQ56" s="4296"/>
      <c r="AR56" s="4176" t="str">
        <f t="shared" si="27"/>
        <v/>
      </c>
      <c r="BD56" s="4176"/>
      <c r="BE56" s="4176"/>
      <c r="BF56" s="4176"/>
      <c r="BG56" s="4176"/>
      <c r="BH56" s="4176"/>
      <c r="BI56" s="4176"/>
      <c r="BJ56" s="4176"/>
      <c r="BK56" s="4176"/>
      <c r="BL56" s="4176"/>
      <c r="BM56" s="4176"/>
      <c r="BN56" s="4176"/>
      <c r="CB56" s="4177" t="str">
        <f t="shared" si="10"/>
        <v/>
      </c>
      <c r="CC56" s="4177" t="str">
        <f t="shared" si="11"/>
        <v/>
      </c>
      <c r="CD56" s="4177" t="str">
        <f t="shared" si="12"/>
        <v/>
      </c>
      <c r="CE56" s="4177" t="str">
        <f t="shared" si="13"/>
        <v/>
      </c>
      <c r="CF56" s="4177" t="str">
        <f t="shared" si="14"/>
        <v/>
      </c>
      <c r="CG56" s="4177" t="str">
        <f t="shared" si="15"/>
        <v/>
      </c>
      <c r="CH56" s="4177" t="str">
        <f t="shared" si="16"/>
        <v/>
      </c>
      <c r="CL56" s="4177">
        <f t="shared" si="17"/>
        <v>0</v>
      </c>
      <c r="CM56" s="4177">
        <f t="shared" si="18"/>
        <v>0</v>
      </c>
      <c r="CN56" s="4177">
        <f t="shared" si="19"/>
        <v>0</v>
      </c>
      <c r="CO56" s="4177">
        <f t="shared" si="20"/>
        <v>0</v>
      </c>
      <c r="CP56" s="4177">
        <f t="shared" si="21"/>
        <v>0</v>
      </c>
      <c r="CQ56" s="4177">
        <f t="shared" si="22"/>
        <v>0</v>
      </c>
      <c r="CR56" s="4177">
        <f t="shared" si="23"/>
        <v>0</v>
      </c>
      <c r="CZ56" s="4177"/>
      <c r="DA56" s="4177"/>
      <c r="DB56" s="4177"/>
    </row>
    <row r="57" spans="1:106" ht="15.6" customHeight="1" x14ac:dyDescent="0.2">
      <c r="A57" s="4289" t="s">
        <v>267</v>
      </c>
      <c r="B57" s="4290">
        <f t="shared" si="24"/>
        <v>0</v>
      </c>
      <c r="C57" s="4196"/>
      <c r="D57" s="4291"/>
      <c r="E57" s="4291"/>
      <c r="F57" s="4291"/>
      <c r="G57" s="4291"/>
      <c r="H57" s="4291"/>
      <c r="I57" s="4291"/>
      <c r="J57" s="4291"/>
      <c r="K57" s="4291"/>
      <c r="L57" s="4291"/>
      <c r="M57" s="4291"/>
      <c r="N57" s="4291"/>
      <c r="O57" s="4291"/>
      <c r="P57" s="4291"/>
      <c r="Q57" s="4291"/>
      <c r="R57" s="4291"/>
      <c r="S57" s="4207"/>
      <c r="T57" s="4292"/>
      <c r="U57" s="4293"/>
      <c r="V57" s="4292"/>
      <c r="W57" s="4293"/>
      <c r="X57" s="4292"/>
      <c r="Y57" s="4293"/>
      <c r="Z57" s="4289">
        <f t="shared" si="25"/>
        <v>0</v>
      </c>
      <c r="AA57" s="4292"/>
      <c r="AB57" s="4294"/>
      <c r="AC57" s="4294"/>
      <c r="AD57" s="4293"/>
      <c r="AE57" s="4289">
        <f t="shared" si="26"/>
        <v>0</v>
      </c>
      <c r="AF57" s="4292"/>
      <c r="AG57" s="4294"/>
      <c r="AH57" s="4294"/>
      <c r="AI57" s="4295"/>
      <c r="AJ57" s="4296"/>
      <c r="AK57" s="4296"/>
      <c r="AL57" s="4296"/>
      <c r="AM57" s="4296"/>
      <c r="AN57" s="4296"/>
      <c r="AO57" s="4296"/>
      <c r="AP57" s="4296"/>
      <c r="AQ57" s="4296"/>
      <c r="AR57" s="4176" t="str">
        <f t="shared" si="27"/>
        <v/>
      </c>
      <c r="BD57" s="4176"/>
      <c r="BE57" s="4176"/>
      <c r="BF57" s="4176"/>
      <c r="BG57" s="4176"/>
      <c r="BH57" s="4176"/>
      <c r="BI57" s="4176"/>
      <c r="BJ57" s="4176"/>
      <c r="BK57" s="4176"/>
      <c r="BL57" s="4176"/>
      <c r="BM57" s="4176"/>
      <c r="BN57" s="4176"/>
      <c r="CB57" s="4177" t="str">
        <f t="shared" si="10"/>
        <v/>
      </c>
      <c r="CC57" s="4177" t="str">
        <f t="shared" si="11"/>
        <v/>
      </c>
      <c r="CD57" s="4177" t="str">
        <f t="shared" si="12"/>
        <v/>
      </c>
      <c r="CE57" s="4177" t="str">
        <f t="shared" si="13"/>
        <v/>
      </c>
      <c r="CF57" s="4177" t="str">
        <f t="shared" si="14"/>
        <v/>
      </c>
      <c r="CG57" s="4177" t="str">
        <f t="shared" si="15"/>
        <v/>
      </c>
      <c r="CH57" s="4177" t="str">
        <f t="shared" si="16"/>
        <v/>
      </c>
      <c r="CL57" s="4177">
        <f t="shared" si="17"/>
        <v>0</v>
      </c>
      <c r="CM57" s="4177">
        <f t="shared" si="18"/>
        <v>0</v>
      </c>
      <c r="CN57" s="4177">
        <f t="shared" si="19"/>
        <v>0</v>
      </c>
      <c r="CO57" s="4177">
        <f t="shared" si="20"/>
        <v>0</v>
      </c>
      <c r="CP57" s="4177">
        <f t="shared" si="21"/>
        <v>0</v>
      </c>
      <c r="CQ57" s="4177">
        <f t="shared" si="22"/>
        <v>0</v>
      </c>
      <c r="CR57" s="4177">
        <f t="shared" si="23"/>
        <v>0</v>
      </c>
      <c r="CZ57" s="4177"/>
      <c r="DA57" s="4177"/>
      <c r="DB57" s="4177"/>
    </row>
    <row r="58" spans="1:106" ht="15.6" customHeight="1" x14ac:dyDescent="0.2">
      <c r="A58" s="4289" t="s">
        <v>268</v>
      </c>
      <c r="B58" s="4290">
        <f t="shared" si="24"/>
        <v>0</v>
      </c>
      <c r="C58" s="4196"/>
      <c r="D58" s="4291"/>
      <c r="E58" s="4291"/>
      <c r="F58" s="4291"/>
      <c r="G58" s="4291"/>
      <c r="H58" s="4291"/>
      <c r="I58" s="4291"/>
      <c r="J58" s="4291"/>
      <c r="K58" s="4291"/>
      <c r="L58" s="4291"/>
      <c r="M58" s="4291"/>
      <c r="N58" s="4291"/>
      <c r="O58" s="4291"/>
      <c r="P58" s="4291"/>
      <c r="Q58" s="4291"/>
      <c r="R58" s="4291"/>
      <c r="S58" s="4207"/>
      <c r="T58" s="4292"/>
      <c r="U58" s="4293"/>
      <c r="V58" s="4292"/>
      <c r="W58" s="4293"/>
      <c r="X58" s="4292"/>
      <c r="Y58" s="4293"/>
      <c r="Z58" s="4289">
        <f t="shared" si="25"/>
        <v>0</v>
      </c>
      <c r="AA58" s="4292"/>
      <c r="AB58" s="4294"/>
      <c r="AC58" s="4294"/>
      <c r="AD58" s="4293"/>
      <c r="AE58" s="4289">
        <f t="shared" si="26"/>
        <v>0</v>
      </c>
      <c r="AF58" s="4292"/>
      <c r="AG58" s="4294"/>
      <c r="AH58" s="4294"/>
      <c r="AI58" s="4295"/>
      <c r="AJ58" s="4296"/>
      <c r="AK58" s="4296"/>
      <c r="AL58" s="4296"/>
      <c r="AM58" s="4296"/>
      <c r="AN58" s="4296"/>
      <c r="AO58" s="4296"/>
      <c r="AP58" s="4296"/>
      <c r="AQ58" s="4296"/>
      <c r="AR58" s="4176" t="str">
        <f t="shared" si="27"/>
        <v/>
      </c>
      <c r="BD58" s="4176"/>
      <c r="BE58" s="4176"/>
      <c r="BF58" s="4176"/>
      <c r="BG58" s="4176"/>
      <c r="BH58" s="4176"/>
      <c r="BI58" s="4176"/>
      <c r="BJ58" s="4176"/>
      <c r="BK58" s="4176"/>
      <c r="BL58" s="4176"/>
      <c r="BM58" s="4176"/>
      <c r="BN58" s="4176"/>
      <c r="CB58" s="4177" t="str">
        <f t="shared" si="10"/>
        <v/>
      </c>
      <c r="CC58" s="4177" t="str">
        <f t="shared" si="11"/>
        <v/>
      </c>
      <c r="CD58" s="4177" t="str">
        <f t="shared" si="12"/>
        <v/>
      </c>
      <c r="CE58" s="4177" t="str">
        <f t="shared" si="13"/>
        <v/>
      </c>
      <c r="CF58" s="4177" t="str">
        <f t="shared" si="14"/>
        <v/>
      </c>
      <c r="CG58" s="4177" t="str">
        <f t="shared" si="15"/>
        <v/>
      </c>
      <c r="CH58" s="4177" t="str">
        <f t="shared" si="16"/>
        <v/>
      </c>
      <c r="CL58" s="4177">
        <f t="shared" si="17"/>
        <v>0</v>
      </c>
      <c r="CM58" s="4177">
        <f t="shared" si="18"/>
        <v>0</v>
      </c>
      <c r="CN58" s="4177">
        <f t="shared" si="19"/>
        <v>0</v>
      </c>
      <c r="CO58" s="4177">
        <f t="shared" si="20"/>
        <v>0</v>
      </c>
      <c r="CP58" s="4177">
        <f t="shared" si="21"/>
        <v>0</v>
      </c>
      <c r="CQ58" s="4177">
        <f t="shared" si="22"/>
        <v>0</v>
      </c>
      <c r="CR58" s="4177">
        <f t="shared" si="23"/>
        <v>0</v>
      </c>
      <c r="CZ58" s="4177"/>
      <c r="DA58" s="4177"/>
      <c r="DB58" s="4177"/>
    </row>
    <row r="59" spans="1:106" ht="15.6" customHeight="1" x14ac:dyDescent="0.2">
      <c r="A59" s="4289" t="s">
        <v>457</v>
      </c>
      <c r="B59" s="4290">
        <f t="shared" si="24"/>
        <v>0</v>
      </c>
      <c r="C59" s="4196"/>
      <c r="D59" s="4291"/>
      <c r="E59" s="4291"/>
      <c r="F59" s="4291"/>
      <c r="G59" s="4291"/>
      <c r="H59" s="4291"/>
      <c r="I59" s="4291"/>
      <c r="J59" s="4291"/>
      <c r="K59" s="4291"/>
      <c r="L59" s="4291"/>
      <c r="M59" s="4291"/>
      <c r="N59" s="4291"/>
      <c r="O59" s="4291"/>
      <c r="P59" s="4291"/>
      <c r="Q59" s="4291"/>
      <c r="R59" s="4291"/>
      <c r="S59" s="4207"/>
      <c r="T59" s="4292"/>
      <c r="U59" s="4293"/>
      <c r="V59" s="4292"/>
      <c r="W59" s="4293"/>
      <c r="X59" s="4292"/>
      <c r="Y59" s="4293"/>
      <c r="Z59" s="4289">
        <f t="shared" si="25"/>
        <v>0</v>
      </c>
      <c r="AA59" s="4292"/>
      <c r="AB59" s="4294"/>
      <c r="AC59" s="4294"/>
      <c r="AD59" s="4293"/>
      <c r="AE59" s="4289">
        <f t="shared" si="26"/>
        <v>0</v>
      </c>
      <c r="AF59" s="4292"/>
      <c r="AG59" s="4294"/>
      <c r="AH59" s="4294"/>
      <c r="AI59" s="4295"/>
      <c r="AJ59" s="4296"/>
      <c r="AK59" s="4296"/>
      <c r="AL59" s="4296"/>
      <c r="AM59" s="4296"/>
      <c r="AN59" s="4296"/>
      <c r="AO59" s="4296"/>
      <c r="AP59" s="4296"/>
      <c r="AQ59" s="4296"/>
      <c r="AR59" s="4176" t="str">
        <f t="shared" si="27"/>
        <v/>
      </c>
      <c r="BD59" s="4176"/>
      <c r="BE59" s="4176"/>
      <c r="BF59" s="4176"/>
      <c r="BG59" s="4176"/>
      <c r="BH59" s="4176"/>
      <c r="BI59" s="4176"/>
      <c r="BJ59" s="4176"/>
      <c r="BK59" s="4176"/>
      <c r="BL59" s="4176"/>
      <c r="BM59" s="4176"/>
      <c r="BN59" s="4176"/>
      <c r="CB59" s="4177" t="str">
        <f t="shared" si="10"/>
        <v/>
      </c>
      <c r="CC59" s="4177" t="str">
        <f t="shared" si="11"/>
        <v/>
      </c>
      <c r="CD59" s="4177" t="str">
        <f t="shared" si="12"/>
        <v/>
      </c>
      <c r="CE59" s="4177" t="str">
        <f t="shared" si="13"/>
        <v/>
      </c>
      <c r="CF59" s="4177" t="str">
        <f t="shared" si="14"/>
        <v/>
      </c>
      <c r="CG59" s="4177" t="str">
        <f t="shared" si="15"/>
        <v/>
      </c>
      <c r="CH59" s="4177" t="str">
        <f t="shared" si="16"/>
        <v/>
      </c>
      <c r="CL59" s="4177">
        <f t="shared" si="17"/>
        <v>0</v>
      </c>
      <c r="CM59" s="4177">
        <f t="shared" si="18"/>
        <v>0</v>
      </c>
      <c r="CN59" s="4177">
        <f t="shared" si="19"/>
        <v>0</v>
      </c>
      <c r="CO59" s="4177">
        <f t="shared" si="20"/>
        <v>0</v>
      </c>
      <c r="CP59" s="4177">
        <f t="shared" si="21"/>
        <v>0</v>
      </c>
      <c r="CQ59" s="4177">
        <f t="shared" si="22"/>
        <v>0</v>
      </c>
      <c r="CR59" s="4177">
        <f t="shared" si="23"/>
        <v>0</v>
      </c>
      <c r="CZ59" s="4177"/>
      <c r="DA59" s="4177"/>
      <c r="DB59" s="4177"/>
    </row>
    <row r="60" spans="1:106" ht="15.6" customHeight="1" x14ac:dyDescent="0.2">
      <c r="A60" s="4289" t="s">
        <v>269</v>
      </c>
      <c r="B60" s="4290">
        <f t="shared" si="24"/>
        <v>0</v>
      </c>
      <c r="C60" s="4196"/>
      <c r="D60" s="4291"/>
      <c r="E60" s="4291"/>
      <c r="F60" s="4291"/>
      <c r="G60" s="4291"/>
      <c r="H60" s="4291"/>
      <c r="I60" s="4291"/>
      <c r="J60" s="4291"/>
      <c r="K60" s="4291"/>
      <c r="L60" s="4291"/>
      <c r="M60" s="4291"/>
      <c r="N60" s="4291"/>
      <c r="O60" s="4291"/>
      <c r="P60" s="4291"/>
      <c r="Q60" s="4291"/>
      <c r="R60" s="4291"/>
      <c r="S60" s="4207"/>
      <c r="T60" s="4292"/>
      <c r="U60" s="4293"/>
      <c r="V60" s="4292"/>
      <c r="W60" s="4293"/>
      <c r="X60" s="4292"/>
      <c r="Y60" s="4293"/>
      <c r="Z60" s="4289">
        <f t="shared" si="25"/>
        <v>0</v>
      </c>
      <c r="AA60" s="4292"/>
      <c r="AB60" s="4294"/>
      <c r="AC60" s="4294"/>
      <c r="AD60" s="4293"/>
      <c r="AE60" s="4289">
        <f t="shared" si="26"/>
        <v>0</v>
      </c>
      <c r="AF60" s="4292"/>
      <c r="AG60" s="4294"/>
      <c r="AH60" s="4294"/>
      <c r="AI60" s="4295"/>
      <c r="AJ60" s="4296"/>
      <c r="AK60" s="4296"/>
      <c r="AL60" s="4296"/>
      <c r="AM60" s="4296"/>
      <c r="AN60" s="4296"/>
      <c r="AO60" s="4296"/>
      <c r="AP60" s="4296"/>
      <c r="AQ60" s="4296"/>
      <c r="AR60" s="4176" t="str">
        <f t="shared" si="27"/>
        <v/>
      </c>
      <c r="BD60" s="4176"/>
      <c r="BE60" s="4176"/>
      <c r="BF60" s="4176"/>
      <c r="BG60" s="4176"/>
      <c r="BH60" s="4176"/>
      <c r="BI60" s="4176"/>
      <c r="BJ60" s="4176"/>
      <c r="BK60" s="4176"/>
      <c r="BL60" s="4176"/>
      <c r="BM60" s="4176"/>
      <c r="BN60" s="4176"/>
      <c r="CB60" s="4177" t="str">
        <f t="shared" si="10"/>
        <v/>
      </c>
      <c r="CC60" s="4177" t="str">
        <f t="shared" si="11"/>
        <v/>
      </c>
      <c r="CD60" s="4177" t="str">
        <f t="shared" si="12"/>
        <v/>
      </c>
      <c r="CE60" s="4177" t="str">
        <f t="shared" si="13"/>
        <v/>
      </c>
      <c r="CF60" s="4177" t="str">
        <f t="shared" si="14"/>
        <v/>
      </c>
      <c r="CG60" s="4177" t="str">
        <f t="shared" si="15"/>
        <v/>
      </c>
      <c r="CH60" s="4177" t="str">
        <f t="shared" si="16"/>
        <v/>
      </c>
      <c r="CL60" s="4177">
        <f t="shared" si="17"/>
        <v>0</v>
      </c>
      <c r="CM60" s="4177">
        <f t="shared" si="18"/>
        <v>0</v>
      </c>
      <c r="CN60" s="4177">
        <f t="shared" si="19"/>
        <v>0</v>
      </c>
      <c r="CO60" s="4177">
        <f t="shared" si="20"/>
        <v>0</v>
      </c>
      <c r="CP60" s="4177">
        <f t="shared" si="21"/>
        <v>0</v>
      </c>
      <c r="CQ60" s="4177">
        <f t="shared" si="22"/>
        <v>0</v>
      </c>
      <c r="CR60" s="4177">
        <f t="shared" si="23"/>
        <v>0</v>
      </c>
      <c r="CZ60" s="4177"/>
      <c r="DA60" s="4177"/>
      <c r="DB60" s="4177"/>
    </row>
    <row r="61" spans="1:106" ht="15.6" customHeight="1" x14ac:dyDescent="0.2">
      <c r="A61" s="4289" t="s">
        <v>270</v>
      </c>
      <c r="B61" s="4290">
        <f t="shared" si="24"/>
        <v>0</v>
      </c>
      <c r="C61" s="4299"/>
      <c r="D61" s="4297"/>
      <c r="E61" s="4297"/>
      <c r="F61" s="4297"/>
      <c r="G61" s="4297"/>
      <c r="H61" s="4297"/>
      <c r="I61" s="4297"/>
      <c r="J61" s="4297"/>
      <c r="K61" s="4297"/>
      <c r="L61" s="4297"/>
      <c r="M61" s="4297"/>
      <c r="N61" s="4297"/>
      <c r="O61" s="4291"/>
      <c r="P61" s="4291"/>
      <c r="Q61" s="4291"/>
      <c r="R61" s="4291"/>
      <c r="S61" s="4207"/>
      <c r="T61" s="4292"/>
      <c r="U61" s="4293"/>
      <c r="V61" s="4292"/>
      <c r="W61" s="4293"/>
      <c r="X61" s="4292"/>
      <c r="Y61" s="4293"/>
      <c r="Z61" s="4289">
        <f t="shared" si="25"/>
        <v>0</v>
      </c>
      <c r="AA61" s="4292"/>
      <c r="AB61" s="4294"/>
      <c r="AC61" s="4294"/>
      <c r="AD61" s="4293"/>
      <c r="AE61" s="4289">
        <f t="shared" si="26"/>
        <v>0</v>
      </c>
      <c r="AF61" s="4292"/>
      <c r="AG61" s="4294"/>
      <c r="AH61" s="4294"/>
      <c r="AI61" s="4295"/>
      <c r="AJ61" s="4296"/>
      <c r="AK61" s="4296"/>
      <c r="AL61" s="4296"/>
      <c r="AM61" s="4296"/>
      <c r="AN61" s="4296"/>
      <c r="AO61" s="4296"/>
      <c r="AP61" s="4296"/>
      <c r="AQ61" s="4296"/>
      <c r="AR61" s="4176" t="str">
        <f t="shared" si="27"/>
        <v/>
      </c>
      <c r="BD61" s="4176"/>
      <c r="BE61" s="4176"/>
      <c r="BF61" s="4176"/>
      <c r="BG61" s="4176"/>
      <c r="BH61" s="4176"/>
      <c r="BI61" s="4176"/>
      <c r="BJ61" s="4176"/>
      <c r="BK61" s="4176"/>
      <c r="BL61" s="4176"/>
      <c r="BM61" s="4176"/>
      <c r="BN61" s="4176"/>
      <c r="CB61" s="4177" t="str">
        <f t="shared" si="10"/>
        <v/>
      </c>
      <c r="CC61" s="4177" t="str">
        <f t="shared" si="11"/>
        <v/>
      </c>
      <c r="CD61" s="4177" t="str">
        <f t="shared" si="12"/>
        <v/>
      </c>
      <c r="CE61" s="4177" t="str">
        <f t="shared" si="13"/>
        <v/>
      </c>
      <c r="CF61" s="4177" t="str">
        <f t="shared" si="14"/>
        <v/>
      </c>
      <c r="CG61" s="4177" t="str">
        <f t="shared" si="15"/>
        <v/>
      </c>
      <c r="CH61" s="4177" t="str">
        <f t="shared" si="16"/>
        <v/>
      </c>
      <c r="CL61" s="4177">
        <f t="shared" si="17"/>
        <v>0</v>
      </c>
      <c r="CM61" s="4177">
        <f t="shared" si="18"/>
        <v>0</v>
      </c>
      <c r="CN61" s="4177">
        <f t="shared" si="19"/>
        <v>0</v>
      </c>
      <c r="CO61" s="4177">
        <f>IF(X61&gt;SUM($C61:$S61),1,0)</f>
        <v>0</v>
      </c>
      <c r="CP61" s="4177">
        <f t="shared" si="21"/>
        <v>0</v>
      </c>
      <c r="CQ61" s="4177">
        <f t="shared" si="22"/>
        <v>0</v>
      </c>
      <c r="CR61" s="4177">
        <f t="shared" si="23"/>
        <v>0</v>
      </c>
      <c r="CZ61" s="4177"/>
      <c r="DA61" s="4177"/>
      <c r="DB61" s="4177"/>
    </row>
    <row r="62" spans="1:106" ht="15.6" customHeight="1" x14ac:dyDescent="0.2">
      <c r="A62" s="4289" t="s">
        <v>271</v>
      </c>
      <c r="B62" s="4290">
        <f t="shared" si="24"/>
        <v>0</v>
      </c>
      <c r="C62" s="4196"/>
      <c r="D62" s="4291"/>
      <c r="E62" s="4291"/>
      <c r="F62" s="4300"/>
      <c r="G62" s="4300"/>
      <c r="H62" s="4300"/>
      <c r="I62" s="4300"/>
      <c r="J62" s="4300"/>
      <c r="K62" s="4300"/>
      <c r="L62" s="4291"/>
      <c r="M62" s="4291"/>
      <c r="N62" s="4291"/>
      <c r="O62" s="4291"/>
      <c r="P62" s="4291"/>
      <c r="Q62" s="4291"/>
      <c r="R62" s="4291"/>
      <c r="S62" s="4207"/>
      <c r="T62" s="4292"/>
      <c r="U62" s="4293"/>
      <c r="V62" s="4292"/>
      <c r="W62" s="4293"/>
      <c r="X62" s="4292"/>
      <c r="Y62" s="4293"/>
      <c r="Z62" s="4289">
        <f t="shared" si="25"/>
        <v>0</v>
      </c>
      <c r="AA62" s="4292"/>
      <c r="AB62" s="4294"/>
      <c r="AC62" s="4294"/>
      <c r="AD62" s="4293"/>
      <c r="AE62" s="4289">
        <f t="shared" si="26"/>
        <v>0</v>
      </c>
      <c r="AF62" s="4292"/>
      <c r="AG62" s="4294"/>
      <c r="AH62" s="4294"/>
      <c r="AI62" s="4295"/>
      <c r="AJ62" s="4296"/>
      <c r="AK62" s="4296"/>
      <c r="AL62" s="4296"/>
      <c r="AM62" s="4296"/>
      <c r="AN62" s="4296"/>
      <c r="AO62" s="4296"/>
      <c r="AP62" s="4296"/>
      <c r="AQ62" s="4296"/>
      <c r="AR62" s="4176" t="str">
        <f t="shared" si="27"/>
        <v/>
      </c>
      <c r="BD62" s="4176"/>
      <c r="BE62" s="4176"/>
      <c r="BF62" s="4176"/>
      <c r="BG62" s="4176"/>
      <c r="BH62" s="4176"/>
      <c r="BI62" s="4176"/>
      <c r="BJ62" s="4176"/>
      <c r="BK62" s="4176"/>
      <c r="BL62" s="4176"/>
      <c r="BM62" s="4176"/>
      <c r="BN62" s="4176"/>
      <c r="CB62" s="4177" t="str">
        <f t="shared" si="10"/>
        <v/>
      </c>
      <c r="CC62" s="4177" t="str">
        <f t="shared" si="11"/>
        <v/>
      </c>
      <c r="CD62" s="4177" t="str">
        <f t="shared" si="12"/>
        <v/>
      </c>
      <c r="CE62" s="4177" t="str">
        <f t="shared" si="13"/>
        <v/>
      </c>
      <c r="CF62" s="4177" t="str">
        <f t="shared" si="14"/>
        <v/>
      </c>
      <c r="CG62" s="4177" t="str">
        <f t="shared" si="15"/>
        <v/>
      </c>
      <c r="CH62" s="4177" t="str">
        <f t="shared" si="16"/>
        <v/>
      </c>
      <c r="CL62" s="4177">
        <f t="shared" si="17"/>
        <v>0</v>
      </c>
      <c r="CM62" s="4177">
        <f t="shared" si="18"/>
        <v>0</v>
      </c>
      <c r="CN62" s="4177">
        <f t="shared" si="19"/>
        <v>0</v>
      </c>
      <c r="CO62" s="4177">
        <f t="shared" si="20"/>
        <v>0</v>
      </c>
      <c r="CP62" s="4177">
        <f t="shared" si="21"/>
        <v>0</v>
      </c>
      <c r="CQ62" s="4177">
        <f t="shared" si="22"/>
        <v>0</v>
      </c>
      <c r="CR62" s="4177">
        <f t="shared" si="23"/>
        <v>0</v>
      </c>
      <c r="CZ62" s="4177"/>
      <c r="DA62" s="4177"/>
      <c r="DB62" s="4177"/>
    </row>
    <row r="63" spans="1:106" ht="15.6" customHeight="1" x14ac:dyDescent="0.2">
      <c r="A63" s="4289" t="s">
        <v>272</v>
      </c>
      <c r="B63" s="4290">
        <f t="shared" si="24"/>
        <v>0</v>
      </c>
      <c r="C63" s="4301"/>
      <c r="D63" s="4300"/>
      <c r="E63" s="4300"/>
      <c r="F63" s="4300"/>
      <c r="G63" s="4291"/>
      <c r="H63" s="4291"/>
      <c r="I63" s="4291"/>
      <c r="J63" s="4291"/>
      <c r="K63" s="4291"/>
      <c r="L63" s="4291"/>
      <c r="M63" s="4291"/>
      <c r="N63" s="4291"/>
      <c r="O63" s="4291"/>
      <c r="P63" s="4291"/>
      <c r="Q63" s="4291"/>
      <c r="R63" s="4291"/>
      <c r="S63" s="4207"/>
      <c r="T63" s="4292"/>
      <c r="U63" s="4293"/>
      <c r="V63" s="4292"/>
      <c r="W63" s="4293"/>
      <c r="X63" s="4292"/>
      <c r="Y63" s="4293"/>
      <c r="Z63" s="4289">
        <f t="shared" si="25"/>
        <v>0</v>
      </c>
      <c r="AA63" s="4292"/>
      <c r="AB63" s="4294"/>
      <c r="AC63" s="4294"/>
      <c r="AD63" s="4293"/>
      <c r="AE63" s="4289">
        <f t="shared" si="26"/>
        <v>0</v>
      </c>
      <c r="AF63" s="4292"/>
      <c r="AG63" s="4294"/>
      <c r="AH63" s="4294"/>
      <c r="AI63" s="4295"/>
      <c r="AJ63" s="4296"/>
      <c r="AK63" s="4296"/>
      <c r="AL63" s="4296"/>
      <c r="AM63" s="4296"/>
      <c r="AN63" s="4296"/>
      <c r="AO63" s="4296"/>
      <c r="AP63" s="4296"/>
      <c r="AQ63" s="4296"/>
      <c r="AR63" s="4176" t="str">
        <f t="shared" si="27"/>
        <v/>
      </c>
      <c r="BD63" s="4176"/>
      <c r="BE63" s="4176"/>
      <c r="BF63" s="4176"/>
      <c r="BG63" s="4176"/>
      <c r="BH63" s="4176"/>
      <c r="BI63" s="4176"/>
      <c r="BJ63" s="4176"/>
      <c r="BK63" s="4176"/>
      <c r="BL63" s="4176"/>
      <c r="BM63" s="4176"/>
      <c r="BN63" s="4176"/>
      <c r="CB63" s="4177" t="str">
        <f t="shared" si="10"/>
        <v/>
      </c>
      <c r="CC63" s="4177" t="str">
        <f t="shared" si="11"/>
        <v/>
      </c>
      <c r="CD63" s="4177" t="str">
        <f t="shared" si="12"/>
        <v/>
      </c>
      <c r="CE63" s="4177" t="str">
        <f t="shared" si="13"/>
        <v/>
      </c>
      <c r="CF63" s="4177" t="str">
        <f t="shared" si="14"/>
        <v/>
      </c>
      <c r="CG63" s="4177" t="str">
        <f t="shared" si="15"/>
        <v/>
      </c>
      <c r="CH63" s="4177" t="str">
        <f t="shared" si="16"/>
        <v/>
      </c>
      <c r="CL63" s="4177">
        <f t="shared" si="17"/>
        <v>0</v>
      </c>
      <c r="CM63" s="4177">
        <f t="shared" si="18"/>
        <v>0</v>
      </c>
      <c r="CN63" s="4177">
        <f t="shared" si="19"/>
        <v>0</v>
      </c>
      <c r="CO63" s="4177">
        <f t="shared" si="20"/>
        <v>0</v>
      </c>
      <c r="CP63" s="4177">
        <f t="shared" si="21"/>
        <v>0</v>
      </c>
      <c r="CQ63" s="4177">
        <f t="shared" si="22"/>
        <v>0</v>
      </c>
      <c r="CR63" s="4177">
        <f t="shared" si="23"/>
        <v>0</v>
      </c>
      <c r="CZ63" s="4177"/>
      <c r="DA63" s="4177"/>
      <c r="DB63" s="4177"/>
    </row>
    <row r="64" spans="1:106" ht="15.6" customHeight="1" x14ac:dyDescent="0.2">
      <c r="A64" s="4289" t="s">
        <v>273</v>
      </c>
      <c r="B64" s="4290">
        <f t="shared" si="24"/>
        <v>0</v>
      </c>
      <c r="C64" s="4301"/>
      <c r="D64" s="4300"/>
      <c r="E64" s="4300"/>
      <c r="F64" s="4300"/>
      <c r="G64" s="4300"/>
      <c r="H64" s="4300"/>
      <c r="I64" s="4300"/>
      <c r="J64" s="4300"/>
      <c r="K64" s="4300"/>
      <c r="L64" s="4291"/>
      <c r="M64" s="4291"/>
      <c r="N64" s="4291"/>
      <c r="O64" s="4291"/>
      <c r="P64" s="4291"/>
      <c r="Q64" s="4291"/>
      <c r="R64" s="4291"/>
      <c r="S64" s="4207"/>
      <c r="T64" s="4292"/>
      <c r="U64" s="4293"/>
      <c r="V64" s="4292"/>
      <c r="W64" s="4293"/>
      <c r="X64" s="4292"/>
      <c r="Y64" s="4293"/>
      <c r="Z64" s="4289">
        <f t="shared" si="25"/>
        <v>0</v>
      </c>
      <c r="AA64" s="4292"/>
      <c r="AB64" s="4294"/>
      <c r="AC64" s="4294"/>
      <c r="AD64" s="4293"/>
      <c r="AE64" s="4289">
        <f t="shared" si="26"/>
        <v>0</v>
      </c>
      <c r="AF64" s="4292"/>
      <c r="AG64" s="4294"/>
      <c r="AH64" s="4294"/>
      <c r="AI64" s="4295"/>
      <c r="AJ64" s="4296"/>
      <c r="AK64" s="4296"/>
      <c r="AL64" s="4296"/>
      <c r="AM64" s="4296"/>
      <c r="AN64" s="4296"/>
      <c r="AO64" s="4296"/>
      <c r="AP64" s="4296"/>
      <c r="AQ64" s="4296"/>
      <c r="AR64" s="4176" t="str">
        <f t="shared" si="27"/>
        <v/>
      </c>
      <c r="BD64" s="4176"/>
      <c r="BE64" s="4176"/>
      <c r="BF64" s="4176"/>
      <c r="BG64" s="4176"/>
      <c r="BH64" s="4176"/>
      <c r="BI64" s="4176"/>
      <c r="BJ64" s="4176"/>
      <c r="BK64" s="4176"/>
      <c r="BL64" s="4176"/>
      <c r="BM64" s="4176"/>
      <c r="BN64" s="4176"/>
      <c r="CB64" s="4177" t="str">
        <f t="shared" si="10"/>
        <v/>
      </c>
      <c r="CC64" s="4177" t="str">
        <f t="shared" si="11"/>
        <v/>
      </c>
      <c r="CD64" s="4177" t="str">
        <f t="shared" si="12"/>
        <v/>
      </c>
      <c r="CE64" s="4177" t="str">
        <f t="shared" si="13"/>
        <v/>
      </c>
      <c r="CF64" s="4177" t="str">
        <f t="shared" si="14"/>
        <v/>
      </c>
      <c r="CG64" s="4177" t="str">
        <f t="shared" si="15"/>
        <v/>
      </c>
      <c r="CH64" s="4177" t="str">
        <f t="shared" si="16"/>
        <v/>
      </c>
      <c r="CL64" s="4177">
        <f t="shared" si="17"/>
        <v>0</v>
      </c>
      <c r="CM64" s="4177">
        <f t="shared" si="18"/>
        <v>0</v>
      </c>
      <c r="CN64" s="4177">
        <f t="shared" si="19"/>
        <v>0</v>
      </c>
      <c r="CO64" s="4177">
        <f t="shared" si="20"/>
        <v>0</v>
      </c>
      <c r="CP64" s="4177">
        <f t="shared" si="21"/>
        <v>0</v>
      </c>
      <c r="CQ64" s="4177">
        <f t="shared" si="22"/>
        <v>0</v>
      </c>
      <c r="CR64" s="4177">
        <f t="shared" si="23"/>
        <v>0</v>
      </c>
      <c r="CZ64" s="4177"/>
      <c r="DA64" s="4177"/>
      <c r="DB64" s="4177"/>
    </row>
    <row r="65" spans="1:106" ht="15.6" customHeight="1" x14ac:dyDescent="0.2">
      <c r="A65" s="4289" t="s">
        <v>458</v>
      </c>
      <c r="B65" s="4290">
        <f t="shared" si="24"/>
        <v>0</v>
      </c>
      <c r="C65" s="4301"/>
      <c r="D65" s="4300"/>
      <c r="E65" s="4300"/>
      <c r="F65" s="4291"/>
      <c r="G65" s="4291"/>
      <c r="H65" s="4291"/>
      <c r="I65" s="4291"/>
      <c r="J65" s="4291"/>
      <c r="K65" s="4291"/>
      <c r="L65" s="4291"/>
      <c r="M65" s="4291"/>
      <c r="N65" s="4291"/>
      <c r="O65" s="4291"/>
      <c r="P65" s="4291"/>
      <c r="Q65" s="4291"/>
      <c r="R65" s="4291"/>
      <c r="S65" s="4207"/>
      <c r="T65" s="4292"/>
      <c r="U65" s="4293"/>
      <c r="V65" s="4292"/>
      <c r="W65" s="4293"/>
      <c r="X65" s="4292"/>
      <c r="Y65" s="4293"/>
      <c r="Z65" s="4289">
        <f t="shared" si="25"/>
        <v>0</v>
      </c>
      <c r="AA65" s="4292"/>
      <c r="AB65" s="4294"/>
      <c r="AC65" s="4294"/>
      <c r="AD65" s="4293"/>
      <c r="AE65" s="4289">
        <f t="shared" si="26"/>
        <v>0</v>
      </c>
      <c r="AF65" s="4292"/>
      <c r="AG65" s="4294"/>
      <c r="AH65" s="4294"/>
      <c r="AI65" s="4295"/>
      <c r="AJ65" s="4296"/>
      <c r="AK65" s="4296"/>
      <c r="AL65" s="4296"/>
      <c r="AM65" s="4296"/>
      <c r="AN65" s="4296"/>
      <c r="AO65" s="4296"/>
      <c r="AP65" s="4296"/>
      <c r="AQ65" s="4296"/>
      <c r="AR65" s="4176" t="str">
        <f t="shared" si="27"/>
        <v/>
      </c>
      <c r="BD65" s="4176"/>
      <c r="BE65" s="4176"/>
      <c r="BF65" s="4176"/>
      <c r="BG65" s="4176"/>
      <c r="BH65" s="4176"/>
      <c r="BI65" s="4176"/>
      <c r="BJ65" s="4176"/>
      <c r="BK65" s="4176"/>
      <c r="BL65" s="4176"/>
      <c r="BM65" s="4176"/>
      <c r="BN65" s="4176"/>
      <c r="CB65" s="4177" t="str">
        <f t="shared" si="10"/>
        <v/>
      </c>
      <c r="CC65" s="4177" t="str">
        <f t="shared" si="11"/>
        <v/>
      </c>
      <c r="CD65" s="4177" t="str">
        <f t="shared" si="12"/>
        <v/>
      </c>
      <c r="CE65" s="4177" t="str">
        <f t="shared" si="13"/>
        <v/>
      </c>
      <c r="CF65" s="4177" t="str">
        <f t="shared" si="14"/>
        <v/>
      </c>
      <c r="CG65" s="4177" t="str">
        <f t="shared" si="15"/>
        <v/>
      </c>
      <c r="CH65" s="4177" t="str">
        <f t="shared" si="16"/>
        <v/>
      </c>
      <c r="CL65" s="4177">
        <f t="shared" si="17"/>
        <v>0</v>
      </c>
      <c r="CM65" s="4177">
        <f t="shared" si="18"/>
        <v>0</v>
      </c>
      <c r="CN65" s="4177">
        <f t="shared" si="19"/>
        <v>0</v>
      </c>
      <c r="CO65" s="4177">
        <f t="shared" si="20"/>
        <v>0</v>
      </c>
      <c r="CP65" s="4177">
        <f t="shared" si="21"/>
        <v>0</v>
      </c>
      <c r="CQ65" s="4177">
        <f t="shared" si="22"/>
        <v>0</v>
      </c>
      <c r="CR65" s="4177">
        <f t="shared" si="23"/>
        <v>0</v>
      </c>
      <c r="CZ65" s="4177"/>
      <c r="DA65" s="4177"/>
      <c r="DB65" s="4177"/>
    </row>
    <row r="66" spans="1:106" ht="15.6" customHeight="1" x14ac:dyDescent="0.2">
      <c r="A66" s="4289" t="s">
        <v>274</v>
      </c>
      <c r="B66" s="4290">
        <f t="shared" si="24"/>
        <v>0</v>
      </c>
      <c r="C66" s="4301"/>
      <c r="D66" s="4300"/>
      <c r="E66" s="4300"/>
      <c r="F66" s="4291"/>
      <c r="G66" s="4291"/>
      <c r="H66" s="4291"/>
      <c r="I66" s="4291"/>
      <c r="J66" s="4291"/>
      <c r="K66" s="4291"/>
      <c r="L66" s="4291"/>
      <c r="M66" s="4291"/>
      <c r="N66" s="4291"/>
      <c r="O66" s="4291"/>
      <c r="P66" s="4291"/>
      <c r="Q66" s="4291"/>
      <c r="R66" s="4291"/>
      <c r="S66" s="4207"/>
      <c r="T66" s="4292"/>
      <c r="U66" s="4293"/>
      <c r="V66" s="4292"/>
      <c r="W66" s="4293"/>
      <c r="X66" s="4292"/>
      <c r="Y66" s="4293"/>
      <c r="Z66" s="4289">
        <f t="shared" si="25"/>
        <v>0</v>
      </c>
      <c r="AA66" s="4292"/>
      <c r="AB66" s="4294"/>
      <c r="AC66" s="4294"/>
      <c r="AD66" s="4293"/>
      <c r="AE66" s="4289">
        <f t="shared" si="26"/>
        <v>0</v>
      </c>
      <c r="AF66" s="4292"/>
      <c r="AG66" s="4294"/>
      <c r="AH66" s="4294"/>
      <c r="AI66" s="4295"/>
      <c r="AJ66" s="4296"/>
      <c r="AK66" s="4296"/>
      <c r="AL66" s="4296"/>
      <c r="AM66" s="4296"/>
      <c r="AN66" s="4296"/>
      <c r="AO66" s="4296"/>
      <c r="AP66" s="4296"/>
      <c r="AQ66" s="4296"/>
      <c r="AR66" s="4176" t="str">
        <f t="shared" si="27"/>
        <v/>
      </c>
      <c r="BD66" s="4176"/>
      <c r="BE66" s="4176"/>
      <c r="BF66" s="4176"/>
      <c r="BG66" s="4176"/>
      <c r="BH66" s="4176"/>
      <c r="BI66" s="4176"/>
      <c r="BJ66" s="4176"/>
      <c r="BK66" s="4176"/>
      <c r="BL66" s="4176"/>
      <c r="BM66" s="4176"/>
      <c r="BN66" s="4176"/>
      <c r="CB66" s="4177" t="str">
        <f t="shared" si="10"/>
        <v/>
      </c>
      <c r="CC66" s="4177" t="str">
        <f t="shared" si="11"/>
        <v/>
      </c>
      <c r="CD66" s="4177" t="str">
        <f t="shared" si="12"/>
        <v/>
      </c>
      <c r="CE66" s="4177" t="str">
        <f t="shared" si="13"/>
        <v/>
      </c>
      <c r="CF66" s="4177" t="str">
        <f t="shared" si="14"/>
        <v/>
      </c>
      <c r="CG66" s="4177" t="str">
        <f t="shared" si="15"/>
        <v/>
      </c>
      <c r="CH66" s="4177" t="str">
        <f t="shared" si="16"/>
        <v/>
      </c>
      <c r="CL66" s="4177">
        <f t="shared" si="17"/>
        <v>0</v>
      </c>
      <c r="CM66" s="4177">
        <f t="shared" si="18"/>
        <v>0</v>
      </c>
      <c r="CN66" s="4177">
        <f t="shared" si="19"/>
        <v>0</v>
      </c>
      <c r="CO66" s="4177">
        <f t="shared" si="20"/>
        <v>0</v>
      </c>
      <c r="CP66" s="4177">
        <f t="shared" si="21"/>
        <v>0</v>
      </c>
      <c r="CQ66" s="4177">
        <f t="shared" si="22"/>
        <v>0</v>
      </c>
      <c r="CR66" s="4177">
        <f t="shared" si="23"/>
        <v>0</v>
      </c>
      <c r="CZ66" s="4177"/>
      <c r="DA66" s="4177"/>
      <c r="DB66" s="4177"/>
    </row>
    <row r="67" spans="1:106" ht="15.6" customHeight="1" x14ac:dyDescent="0.2">
      <c r="A67" s="4289" t="s">
        <v>275</v>
      </c>
      <c r="B67" s="4290">
        <f t="shared" si="24"/>
        <v>0</v>
      </c>
      <c r="C67" s="4301"/>
      <c r="D67" s="4300"/>
      <c r="E67" s="4300"/>
      <c r="F67" s="4291"/>
      <c r="G67" s="4291"/>
      <c r="H67" s="4291"/>
      <c r="I67" s="4291"/>
      <c r="J67" s="4291"/>
      <c r="K67" s="4291"/>
      <c r="L67" s="4291"/>
      <c r="M67" s="4291"/>
      <c r="N67" s="4291"/>
      <c r="O67" s="4291"/>
      <c r="P67" s="4291"/>
      <c r="Q67" s="4291"/>
      <c r="R67" s="4291"/>
      <c r="S67" s="4207"/>
      <c r="T67" s="4292"/>
      <c r="U67" s="4293"/>
      <c r="V67" s="4292"/>
      <c r="W67" s="4293"/>
      <c r="X67" s="4292"/>
      <c r="Y67" s="4293"/>
      <c r="Z67" s="4289">
        <f t="shared" si="25"/>
        <v>0</v>
      </c>
      <c r="AA67" s="4292"/>
      <c r="AB67" s="4294"/>
      <c r="AC67" s="4294"/>
      <c r="AD67" s="4293"/>
      <c r="AE67" s="4289">
        <f t="shared" si="26"/>
        <v>0</v>
      </c>
      <c r="AF67" s="4292"/>
      <c r="AG67" s="4294"/>
      <c r="AH67" s="4294"/>
      <c r="AI67" s="4295"/>
      <c r="AJ67" s="4296"/>
      <c r="AK67" s="4296"/>
      <c r="AL67" s="4296"/>
      <c r="AM67" s="4296"/>
      <c r="AN67" s="4296"/>
      <c r="AO67" s="4296"/>
      <c r="AP67" s="4296"/>
      <c r="AQ67" s="4296"/>
      <c r="AR67" s="4176" t="str">
        <f t="shared" si="27"/>
        <v/>
      </c>
      <c r="BD67" s="4176"/>
      <c r="BE67" s="4176"/>
      <c r="BF67" s="4176"/>
      <c r="BG67" s="4176"/>
      <c r="BH67" s="4176"/>
      <c r="BI67" s="4176"/>
      <c r="BJ67" s="4176"/>
      <c r="BK67" s="4176"/>
      <c r="BL67" s="4176"/>
      <c r="BM67" s="4176"/>
      <c r="BN67" s="4176"/>
      <c r="CB67" s="4177" t="str">
        <f t="shared" si="10"/>
        <v/>
      </c>
      <c r="CC67" s="4177" t="str">
        <f t="shared" si="11"/>
        <v/>
      </c>
      <c r="CD67" s="4177" t="str">
        <f t="shared" si="12"/>
        <v/>
      </c>
      <c r="CE67" s="4177" t="str">
        <f t="shared" si="13"/>
        <v/>
      </c>
      <c r="CF67" s="4177" t="str">
        <f t="shared" si="14"/>
        <v/>
      </c>
      <c r="CG67" s="4177" t="str">
        <f t="shared" si="15"/>
        <v/>
      </c>
      <c r="CH67" s="4177" t="str">
        <f t="shared" si="16"/>
        <v/>
      </c>
      <c r="CL67" s="4177">
        <f t="shared" si="17"/>
        <v>0</v>
      </c>
      <c r="CM67" s="4177">
        <f t="shared" si="18"/>
        <v>0</v>
      </c>
      <c r="CN67" s="4177">
        <f t="shared" si="19"/>
        <v>0</v>
      </c>
      <c r="CO67" s="4177">
        <f t="shared" si="20"/>
        <v>0</v>
      </c>
      <c r="CP67" s="4177">
        <f t="shared" si="21"/>
        <v>0</v>
      </c>
      <c r="CQ67" s="4177">
        <f t="shared" si="22"/>
        <v>0</v>
      </c>
      <c r="CR67" s="4177">
        <f t="shared" si="23"/>
        <v>0</v>
      </c>
      <c r="CZ67" s="4177"/>
      <c r="DA67" s="4177"/>
      <c r="DB67" s="4177"/>
    </row>
    <row r="68" spans="1:106" ht="15.6" customHeight="1" x14ac:dyDescent="0.2">
      <c r="A68" s="4289" t="s">
        <v>459</v>
      </c>
      <c r="B68" s="4290">
        <f t="shared" si="24"/>
        <v>0</v>
      </c>
      <c r="C68" s="4196"/>
      <c r="D68" s="4291"/>
      <c r="E68" s="4291"/>
      <c r="F68" s="4291"/>
      <c r="G68" s="4291"/>
      <c r="H68" s="4291"/>
      <c r="I68" s="4291"/>
      <c r="J68" s="4291"/>
      <c r="K68" s="4291"/>
      <c r="L68" s="4291"/>
      <c r="M68" s="4291"/>
      <c r="N68" s="4291"/>
      <c r="O68" s="4291"/>
      <c r="P68" s="4291"/>
      <c r="Q68" s="4291"/>
      <c r="R68" s="4291"/>
      <c r="S68" s="4207"/>
      <c r="T68" s="4292"/>
      <c r="U68" s="4293"/>
      <c r="V68" s="4292"/>
      <c r="W68" s="4293"/>
      <c r="X68" s="4292"/>
      <c r="Y68" s="4293"/>
      <c r="Z68" s="4289">
        <f t="shared" si="25"/>
        <v>0</v>
      </c>
      <c r="AA68" s="4292"/>
      <c r="AB68" s="4294"/>
      <c r="AC68" s="4294"/>
      <c r="AD68" s="4293"/>
      <c r="AE68" s="4289">
        <f t="shared" si="26"/>
        <v>0</v>
      </c>
      <c r="AF68" s="4292"/>
      <c r="AG68" s="4294"/>
      <c r="AH68" s="4294"/>
      <c r="AI68" s="4295"/>
      <c r="AJ68" s="4296"/>
      <c r="AK68" s="4296"/>
      <c r="AL68" s="4296"/>
      <c r="AM68" s="4296"/>
      <c r="AN68" s="4296"/>
      <c r="AO68" s="4296"/>
      <c r="AP68" s="4296"/>
      <c r="AQ68" s="4296"/>
      <c r="AR68" s="4176" t="str">
        <f t="shared" si="27"/>
        <v/>
      </c>
      <c r="BD68" s="4176"/>
      <c r="BE68" s="4176"/>
      <c r="BF68" s="4176"/>
      <c r="BG68" s="4176"/>
      <c r="BH68" s="4176"/>
      <c r="BI68" s="4176"/>
      <c r="BJ68" s="4176"/>
      <c r="BK68" s="4176"/>
      <c r="BL68" s="4176"/>
      <c r="BM68" s="4176"/>
      <c r="BN68" s="4176"/>
      <c r="CB68" s="4177" t="str">
        <f t="shared" si="10"/>
        <v/>
      </c>
      <c r="CC68" s="4177" t="str">
        <f t="shared" si="11"/>
        <v/>
      </c>
      <c r="CD68" s="4177" t="str">
        <f t="shared" si="12"/>
        <v/>
      </c>
      <c r="CE68" s="4177" t="str">
        <f t="shared" si="13"/>
        <v/>
      </c>
      <c r="CF68" s="4177" t="str">
        <f t="shared" si="14"/>
        <v/>
      </c>
      <c r="CG68" s="4177" t="str">
        <f t="shared" si="15"/>
        <v/>
      </c>
      <c r="CH68" s="4177" t="str">
        <f t="shared" si="16"/>
        <v/>
      </c>
      <c r="CL68" s="4177">
        <f t="shared" si="17"/>
        <v>0</v>
      </c>
      <c r="CM68" s="4177">
        <f t="shared" si="18"/>
        <v>0</v>
      </c>
      <c r="CN68" s="4177">
        <f t="shared" si="19"/>
        <v>0</v>
      </c>
      <c r="CO68" s="4177">
        <f t="shared" si="20"/>
        <v>0</v>
      </c>
      <c r="CP68" s="4177">
        <f t="shared" si="21"/>
        <v>0</v>
      </c>
      <c r="CQ68" s="4177">
        <f t="shared" si="22"/>
        <v>0</v>
      </c>
      <c r="CR68" s="4177">
        <f t="shared" si="23"/>
        <v>0</v>
      </c>
      <c r="CZ68" s="4177"/>
      <c r="DA68" s="4177"/>
      <c r="DB68" s="4177"/>
    </row>
    <row r="69" spans="1:106" ht="15.6" customHeight="1" x14ac:dyDescent="0.2">
      <c r="A69" s="4289" t="s">
        <v>276</v>
      </c>
      <c r="B69" s="4290">
        <f t="shared" si="24"/>
        <v>0</v>
      </c>
      <c r="C69" s="4196"/>
      <c r="D69" s="4291"/>
      <c r="E69" s="4291"/>
      <c r="F69" s="4291"/>
      <c r="G69" s="4291"/>
      <c r="H69" s="4291"/>
      <c r="I69" s="4291"/>
      <c r="J69" s="4291"/>
      <c r="K69" s="4291"/>
      <c r="L69" s="4291"/>
      <c r="M69" s="4291"/>
      <c r="N69" s="4291"/>
      <c r="O69" s="4291"/>
      <c r="P69" s="4291"/>
      <c r="Q69" s="4291"/>
      <c r="R69" s="4291"/>
      <c r="S69" s="4207"/>
      <c r="T69" s="4292"/>
      <c r="U69" s="4293"/>
      <c r="V69" s="4292"/>
      <c r="W69" s="4293"/>
      <c r="X69" s="4292"/>
      <c r="Y69" s="4293"/>
      <c r="Z69" s="4289">
        <f t="shared" si="25"/>
        <v>0</v>
      </c>
      <c r="AA69" s="4292"/>
      <c r="AB69" s="4294"/>
      <c r="AC69" s="4294"/>
      <c r="AD69" s="4293"/>
      <c r="AE69" s="4289">
        <f t="shared" si="26"/>
        <v>0</v>
      </c>
      <c r="AF69" s="4292"/>
      <c r="AG69" s="4294"/>
      <c r="AH69" s="4294"/>
      <c r="AI69" s="4295"/>
      <c r="AJ69" s="4296"/>
      <c r="AK69" s="4296"/>
      <c r="AL69" s="4296"/>
      <c r="AM69" s="4296"/>
      <c r="AN69" s="4296"/>
      <c r="AO69" s="4296"/>
      <c r="AP69" s="4296"/>
      <c r="AQ69" s="4296"/>
      <c r="AR69" s="4176" t="str">
        <f t="shared" si="27"/>
        <v/>
      </c>
      <c r="BD69" s="4176"/>
      <c r="BE69" s="4176"/>
      <c r="BF69" s="4176"/>
      <c r="BG69" s="4176"/>
      <c r="BH69" s="4176"/>
      <c r="BI69" s="4176"/>
      <c r="BJ69" s="4176"/>
      <c r="BK69" s="4176"/>
      <c r="BL69" s="4176"/>
      <c r="BM69" s="4176"/>
      <c r="BN69" s="4176"/>
      <c r="CB69" s="4177" t="str">
        <f t="shared" ref="CB69:CB96" si="28">IF(CL69=1," *Atenciones según sexo deben ser iguales  al total de Atenciones. ","")</f>
        <v/>
      </c>
      <c r="CC69" s="4177" t="str">
        <f t="shared" ref="CC69:CC96" si="29">IF(CM69=1,"* El total de atenciones remotas de consultas nuevas según origen de menores de 15 años NO DEBE superar el total de atenciones del grupo indicado. ","")</f>
        <v/>
      </c>
      <c r="CD69" s="4177" t="str">
        <f t="shared" ref="CD69:CD96" si="30">IF(CN69=1,"* El total de atenciones remotas de consultas nuevas según origen de pacientes de 15 y más años NO DEBE superar el total de atenciones del grupo indicado. ","")</f>
        <v/>
      </c>
      <c r="CE69" s="4177" t="str">
        <f t="shared" ref="CE69:CE96" si="31">IF(CO69=1,"* El total de altas de consultas nuevas según origen de menores de 15 años NO DEBE superar el total de atenciones del grupo indicado. ","")</f>
        <v/>
      </c>
      <c r="CF69" s="4177" t="str">
        <f t="shared" ref="CF69:CF96" si="32">IF(CP69=1,"* El total de altas de consultas nuevas según origen de pacientes de 15 y más años NO DEBE superar el total de atenciones del grupo indicado. ","")</f>
        <v/>
      </c>
      <c r="CG69" s="4177" t="str">
        <f t="shared" ref="CG69:CG96" si="33">IF(CQ69=1," *Las Atenciones de Pueblos Originarios no pueden superar el total de Atenciones.","")</f>
        <v/>
      </c>
      <c r="CH69" s="4177" t="str">
        <f t="shared" ref="CH69:CH96" si="34">IF(CR69=1," *Las Atenciones de Migrantes no pueden superar el total de Atenciones.","")</f>
        <v/>
      </c>
      <c r="CL69" s="4177">
        <f t="shared" ref="CL69:CL96" si="35">IF(T69+U69&lt;&gt;B69,1,0)</f>
        <v>0</v>
      </c>
      <c r="CM69" s="4177">
        <f t="shared" ref="CM69:CM96" si="36">IF(Z69&gt;SUM($C69:$E69),1,0)</f>
        <v>0</v>
      </c>
      <c r="CN69" s="4177">
        <f t="shared" ref="CN69:CN96" si="37">IF(AE69&gt;SUM($F69:$S69),1,0)</f>
        <v>0</v>
      </c>
      <c r="CO69" s="4177">
        <f t="shared" ref="CO69:CO96" si="38">IF(X69&gt;SUM($C69:$E69),1,0)</f>
        <v>0</v>
      </c>
      <c r="CP69" s="4177">
        <f t="shared" ref="CP69:CP96" si="39">IF(Y69&gt;SUM($F69:$S69),1,0)</f>
        <v>0</v>
      </c>
      <c r="CQ69" s="4177">
        <f t="shared" ref="CQ69:CQ96" si="40">IF($B69&lt;AO69,1,0)</f>
        <v>0</v>
      </c>
      <c r="CR69" s="4177">
        <f t="shared" ref="CR69:CR96" si="41">IF($B69&lt;AP69,1,0)</f>
        <v>0</v>
      </c>
      <c r="CZ69" s="4177"/>
      <c r="DA69" s="4177"/>
      <c r="DB69" s="4177"/>
    </row>
    <row r="70" spans="1:106" ht="15.6" customHeight="1" x14ac:dyDescent="0.2">
      <c r="A70" s="4289" t="s">
        <v>460</v>
      </c>
      <c r="B70" s="4290">
        <f t="shared" si="24"/>
        <v>0</v>
      </c>
      <c r="C70" s="4196"/>
      <c r="D70" s="4291"/>
      <c r="E70" s="4291"/>
      <c r="F70" s="4291"/>
      <c r="G70" s="4291"/>
      <c r="H70" s="4291"/>
      <c r="I70" s="4291"/>
      <c r="J70" s="4291"/>
      <c r="K70" s="4291"/>
      <c r="L70" s="4291"/>
      <c r="M70" s="4291"/>
      <c r="N70" s="4291"/>
      <c r="O70" s="4291"/>
      <c r="P70" s="4291"/>
      <c r="Q70" s="4291"/>
      <c r="R70" s="4291"/>
      <c r="S70" s="4207"/>
      <c r="T70" s="4292"/>
      <c r="U70" s="4293"/>
      <c r="V70" s="4292"/>
      <c r="W70" s="4293"/>
      <c r="X70" s="4292"/>
      <c r="Y70" s="4293"/>
      <c r="Z70" s="4289">
        <f t="shared" si="25"/>
        <v>0</v>
      </c>
      <c r="AA70" s="4292"/>
      <c r="AB70" s="4294"/>
      <c r="AC70" s="4294"/>
      <c r="AD70" s="4293"/>
      <c r="AE70" s="4289">
        <f t="shared" si="26"/>
        <v>0</v>
      </c>
      <c r="AF70" s="4292"/>
      <c r="AG70" s="4294"/>
      <c r="AH70" s="4294"/>
      <c r="AI70" s="4295"/>
      <c r="AJ70" s="4296"/>
      <c r="AK70" s="4296"/>
      <c r="AL70" s="4296"/>
      <c r="AM70" s="4296"/>
      <c r="AN70" s="4296"/>
      <c r="AO70" s="4296"/>
      <c r="AP70" s="4296"/>
      <c r="AQ70" s="4296"/>
      <c r="AR70" s="4176" t="str">
        <f t="shared" si="27"/>
        <v/>
      </c>
      <c r="BD70" s="4176"/>
      <c r="BE70" s="4176"/>
      <c r="BF70" s="4176"/>
      <c r="BG70" s="4176"/>
      <c r="BH70" s="4176"/>
      <c r="BI70" s="4176"/>
      <c r="BJ70" s="4176"/>
      <c r="BK70" s="4176"/>
      <c r="BL70" s="4176"/>
      <c r="BM70" s="4176"/>
      <c r="BN70" s="4176"/>
      <c r="CB70" s="4177" t="str">
        <f t="shared" si="28"/>
        <v/>
      </c>
      <c r="CC70" s="4177" t="str">
        <f t="shared" si="29"/>
        <v/>
      </c>
      <c r="CD70" s="4177" t="str">
        <f t="shared" si="30"/>
        <v/>
      </c>
      <c r="CE70" s="4177" t="str">
        <f t="shared" si="31"/>
        <v/>
      </c>
      <c r="CF70" s="4177" t="str">
        <f t="shared" si="32"/>
        <v/>
      </c>
      <c r="CG70" s="4177" t="str">
        <f t="shared" si="33"/>
        <v/>
      </c>
      <c r="CH70" s="4177" t="str">
        <f t="shared" si="34"/>
        <v/>
      </c>
      <c r="CL70" s="4177">
        <f t="shared" si="35"/>
        <v>0</v>
      </c>
      <c r="CM70" s="4177">
        <f t="shared" si="36"/>
        <v>0</v>
      </c>
      <c r="CN70" s="4177">
        <f t="shared" si="37"/>
        <v>0</v>
      </c>
      <c r="CO70" s="4177">
        <f t="shared" si="38"/>
        <v>0</v>
      </c>
      <c r="CP70" s="4177">
        <f t="shared" si="39"/>
        <v>0</v>
      </c>
      <c r="CQ70" s="4177">
        <f t="shared" si="40"/>
        <v>0</v>
      </c>
      <c r="CR70" s="4177">
        <f t="shared" si="41"/>
        <v>0</v>
      </c>
      <c r="CZ70" s="4177"/>
      <c r="DA70" s="4177"/>
      <c r="DB70" s="4177"/>
    </row>
    <row r="71" spans="1:106" ht="15.6" customHeight="1" x14ac:dyDescent="0.2">
      <c r="A71" s="4302" t="s">
        <v>3575</v>
      </c>
      <c r="B71" s="4290">
        <f t="shared" si="24"/>
        <v>0</v>
      </c>
      <c r="C71" s="4301"/>
      <c r="D71" s="4300"/>
      <c r="E71" s="4300"/>
      <c r="F71" s="4300"/>
      <c r="G71" s="4291"/>
      <c r="H71" s="4291"/>
      <c r="I71" s="4291"/>
      <c r="J71" s="4291"/>
      <c r="K71" s="4291"/>
      <c r="L71" s="4291"/>
      <c r="M71" s="4291"/>
      <c r="N71" s="4291"/>
      <c r="O71" s="4291"/>
      <c r="P71" s="4291"/>
      <c r="Q71" s="4291"/>
      <c r="R71" s="4291"/>
      <c r="S71" s="4207"/>
      <c r="T71" s="4292"/>
      <c r="U71" s="4293"/>
      <c r="V71" s="4292"/>
      <c r="W71" s="4293"/>
      <c r="X71" s="4292"/>
      <c r="Y71" s="4293"/>
      <c r="Z71" s="4289">
        <f t="shared" si="25"/>
        <v>0</v>
      </c>
      <c r="AA71" s="4292"/>
      <c r="AB71" s="4294"/>
      <c r="AC71" s="4294"/>
      <c r="AD71" s="4293"/>
      <c r="AE71" s="4289">
        <f t="shared" si="26"/>
        <v>0</v>
      </c>
      <c r="AF71" s="4292"/>
      <c r="AG71" s="4294"/>
      <c r="AH71" s="4294"/>
      <c r="AI71" s="4295"/>
      <c r="AJ71" s="4296"/>
      <c r="AK71" s="4296"/>
      <c r="AL71" s="4296"/>
      <c r="AM71" s="4296"/>
      <c r="AN71" s="4296"/>
      <c r="AO71" s="4296"/>
      <c r="AP71" s="4296"/>
      <c r="AQ71" s="4296"/>
      <c r="AR71" s="4176" t="str">
        <f t="shared" si="27"/>
        <v/>
      </c>
      <c r="BD71" s="4176"/>
      <c r="BE71" s="4176"/>
      <c r="BF71" s="4176"/>
      <c r="BG71" s="4176"/>
      <c r="BH71" s="4176"/>
      <c r="BI71" s="4176"/>
      <c r="BJ71" s="4176"/>
      <c r="BK71" s="4176"/>
      <c r="BL71" s="4176"/>
      <c r="BM71" s="4176"/>
      <c r="BN71" s="4176"/>
      <c r="CB71" s="4177" t="str">
        <f t="shared" si="28"/>
        <v/>
      </c>
      <c r="CC71" s="4177" t="str">
        <f t="shared" si="29"/>
        <v/>
      </c>
      <c r="CD71" s="4177" t="str">
        <f t="shared" si="30"/>
        <v/>
      </c>
      <c r="CE71" s="4177" t="str">
        <f t="shared" si="31"/>
        <v/>
      </c>
      <c r="CF71" s="4177" t="str">
        <f t="shared" si="32"/>
        <v/>
      </c>
      <c r="CG71" s="4177" t="str">
        <f t="shared" si="33"/>
        <v/>
      </c>
      <c r="CH71" s="4177" t="str">
        <f t="shared" si="34"/>
        <v/>
      </c>
      <c r="CL71" s="4177">
        <f t="shared" si="35"/>
        <v>0</v>
      </c>
      <c r="CM71" s="4177">
        <f t="shared" si="36"/>
        <v>0</v>
      </c>
      <c r="CN71" s="4177">
        <f t="shared" si="37"/>
        <v>0</v>
      </c>
      <c r="CO71" s="4177">
        <f t="shared" si="38"/>
        <v>0</v>
      </c>
      <c r="CP71" s="4177">
        <f t="shared" si="39"/>
        <v>0</v>
      </c>
      <c r="CQ71" s="4177">
        <f t="shared" si="40"/>
        <v>0</v>
      </c>
      <c r="CR71" s="4177">
        <f t="shared" si="41"/>
        <v>0</v>
      </c>
      <c r="CZ71" s="4177"/>
      <c r="DA71" s="4177"/>
      <c r="DB71" s="4177"/>
    </row>
    <row r="72" spans="1:106" ht="15.6" customHeight="1" x14ac:dyDescent="0.2">
      <c r="A72" s="4303" t="s">
        <v>277</v>
      </c>
      <c r="B72" s="4290">
        <f t="shared" si="24"/>
        <v>0</v>
      </c>
      <c r="C72" s="4301"/>
      <c r="D72" s="4300"/>
      <c r="E72" s="4300"/>
      <c r="F72" s="4300"/>
      <c r="G72" s="4291"/>
      <c r="H72" s="4291"/>
      <c r="I72" s="4291"/>
      <c r="J72" s="4291"/>
      <c r="K72" s="4291"/>
      <c r="L72" s="4291"/>
      <c r="M72" s="4291"/>
      <c r="N72" s="4291"/>
      <c r="O72" s="4291"/>
      <c r="P72" s="4291"/>
      <c r="Q72" s="4291"/>
      <c r="R72" s="4291"/>
      <c r="S72" s="4207"/>
      <c r="T72" s="4292"/>
      <c r="U72" s="4293"/>
      <c r="V72" s="4292"/>
      <c r="W72" s="4293"/>
      <c r="X72" s="4292"/>
      <c r="Y72" s="4293"/>
      <c r="Z72" s="4289">
        <f t="shared" si="25"/>
        <v>0</v>
      </c>
      <c r="AA72" s="4292"/>
      <c r="AB72" s="4294"/>
      <c r="AC72" s="4294"/>
      <c r="AD72" s="4293"/>
      <c r="AE72" s="4289">
        <f t="shared" si="26"/>
        <v>0</v>
      </c>
      <c r="AF72" s="4292"/>
      <c r="AG72" s="4294"/>
      <c r="AH72" s="4294"/>
      <c r="AI72" s="4295"/>
      <c r="AJ72" s="4296"/>
      <c r="AK72" s="4296"/>
      <c r="AL72" s="4296"/>
      <c r="AM72" s="4296"/>
      <c r="AN72" s="4296"/>
      <c r="AO72" s="4296"/>
      <c r="AP72" s="4296"/>
      <c r="AQ72" s="4296"/>
      <c r="AR72" s="4176" t="str">
        <f t="shared" si="27"/>
        <v/>
      </c>
      <c r="BD72" s="4176"/>
      <c r="BE72" s="4176"/>
      <c r="BF72" s="4176"/>
      <c r="BG72" s="4176"/>
      <c r="BH72" s="4176"/>
      <c r="BI72" s="4176"/>
      <c r="BJ72" s="4176"/>
      <c r="BK72" s="4176"/>
      <c r="BL72" s="4176"/>
      <c r="BM72" s="4176"/>
      <c r="BN72" s="4176"/>
      <c r="CB72" s="4177" t="str">
        <f t="shared" si="28"/>
        <v/>
      </c>
      <c r="CC72" s="4177" t="str">
        <f t="shared" si="29"/>
        <v/>
      </c>
      <c r="CD72" s="4177" t="str">
        <f t="shared" si="30"/>
        <v/>
      </c>
      <c r="CE72" s="4177" t="str">
        <f t="shared" si="31"/>
        <v/>
      </c>
      <c r="CF72" s="4177" t="str">
        <f t="shared" si="32"/>
        <v/>
      </c>
      <c r="CG72" s="4177" t="str">
        <f t="shared" si="33"/>
        <v/>
      </c>
      <c r="CH72" s="4177" t="str">
        <f t="shared" si="34"/>
        <v/>
      </c>
      <c r="CL72" s="4177">
        <f t="shared" si="35"/>
        <v>0</v>
      </c>
      <c r="CM72" s="4177">
        <f t="shared" si="36"/>
        <v>0</v>
      </c>
      <c r="CN72" s="4177">
        <f t="shared" si="37"/>
        <v>0</v>
      </c>
      <c r="CO72" s="4177">
        <f t="shared" si="38"/>
        <v>0</v>
      </c>
      <c r="CP72" s="4177">
        <f t="shared" si="39"/>
        <v>0</v>
      </c>
      <c r="CQ72" s="4177">
        <f t="shared" si="40"/>
        <v>0</v>
      </c>
      <c r="CR72" s="4177">
        <f t="shared" si="41"/>
        <v>0</v>
      </c>
      <c r="CZ72" s="4177"/>
      <c r="DA72" s="4177"/>
      <c r="DB72" s="4177"/>
    </row>
    <row r="73" spans="1:106" ht="15.6" customHeight="1" x14ac:dyDescent="0.2">
      <c r="A73" s="4289" t="s">
        <v>278</v>
      </c>
      <c r="B73" s="4290">
        <f t="shared" si="24"/>
        <v>0</v>
      </c>
      <c r="C73" s="4301"/>
      <c r="D73" s="4300"/>
      <c r="E73" s="4300"/>
      <c r="F73" s="4300"/>
      <c r="G73" s="4300"/>
      <c r="H73" s="4300"/>
      <c r="I73" s="4300"/>
      <c r="J73" s="4300"/>
      <c r="K73" s="4300"/>
      <c r="L73" s="4291"/>
      <c r="M73" s="4291"/>
      <c r="N73" s="4291"/>
      <c r="O73" s="4291"/>
      <c r="P73" s="4291"/>
      <c r="Q73" s="4291"/>
      <c r="R73" s="4291"/>
      <c r="S73" s="4207"/>
      <c r="T73" s="4292"/>
      <c r="U73" s="4293"/>
      <c r="V73" s="4292"/>
      <c r="W73" s="4293"/>
      <c r="X73" s="4292"/>
      <c r="Y73" s="4293"/>
      <c r="Z73" s="4289">
        <f t="shared" si="25"/>
        <v>0</v>
      </c>
      <c r="AA73" s="4292"/>
      <c r="AB73" s="4294"/>
      <c r="AC73" s="4294"/>
      <c r="AD73" s="4293"/>
      <c r="AE73" s="4289">
        <f t="shared" si="26"/>
        <v>0</v>
      </c>
      <c r="AF73" s="4292"/>
      <c r="AG73" s="4294"/>
      <c r="AH73" s="4294"/>
      <c r="AI73" s="4295"/>
      <c r="AJ73" s="4296"/>
      <c r="AK73" s="4296"/>
      <c r="AL73" s="4296"/>
      <c r="AM73" s="4296"/>
      <c r="AN73" s="4296"/>
      <c r="AO73" s="4296"/>
      <c r="AP73" s="4296"/>
      <c r="AQ73" s="4296"/>
      <c r="AR73" s="4176" t="str">
        <f t="shared" si="27"/>
        <v/>
      </c>
      <c r="BD73" s="4176"/>
      <c r="BE73" s="4176"/>
      <c r="BF73" s="4176"/>
      <c r="BG73" s="4176"/>
      <c r="BH73" s="4176"/>
      <c r="BI73" s="4176"/>
      <c r="BJ73" s="4176"/>
      <c r="BK73" s="4176"/>
      <c r="BL73" s="4176"/>
      <c r="BM73" s="4176"/>
      <c r="BN73" s="4176"/>
      <c r="CB73" s="4177" t="str">
        <f t="shared" si="28"/>
        <v/>
      </c>
      <c r="CC73" s="4177" t="str">
        <f t="shared" si="29"/>
        <v/>
      </c>
      <c r="CD73" s="4177" t="str">
        <f t="shared" si="30"/>
        <v/>
      </c>
      <c r="CE73" s="4177" t="str">
        <f t="shared" si="31"/>
        <v/>
      </c>
      <c r="CF73" s="4177" t="str">
        <f t="shared" si="32"/>
        <v/>
      </c>
      <c r="CG73" s="4177" t="str">
        <f t="shared" si="33"/>
        <v/>
      </c>
      <c r="CH73" s="4177" t="str">
        <f t="shared" si="34"/>
        <v/>
      </c>
      <c r="CL73" s="4177">
        <f t="shared" si="35"/>
        <v>0</v>
      </c>
      <c r="CM73" s="4177">
        <f t="shared" si="36"/>
        <v>0</v>
      </c>
      <c r="CN73" s="4177">
        <f t="shared" si="37"/>
        <v>0</v>
      </c>
      <c r="CO73" s="4177">
        <f t="shared" si="38"/>
        <v>0</v>
      </c>
      <c r="CP73" s="4177">
        <f t="shared" si="39"/>
        <v>0</v>
      </c>
      <c r="CQ73" s="4177">
        <f t="shared" si="40"/>
        <v>0</v>
      </c>
      <c r="CR73" s="4177">
        <f t="shared" si="41"/>
        <v>0</v>
      </c>
      <c r="CZ73" s="4177"/>
      <c r="DA73" s="4177"/>
      <c r="DB73" s="4177"/>
    </row>
    <row r="74" spans="1:106" ht="15.6" customHeight="1" x14ac:dyDescent="0.2">
      <c r="A74" s="4289" t="s">
        <v>461</v>
      </c>
      <c r="B74" s="4290">
        <f t="shared" si="24"/>
        <v>0</v>
      </c>
      <c r="C74" s="4301"/>
      <c r="D74" s="4300"/>
      <c r="E74" s="4300"/>
      <c r="F74" s="4300"/>
      <c r="G74" s="4291"/>
      <c r="H74" s="4291"/>
      <c r="I74" s="4291"/>
      <c r="J74" s="4291"/>
      <c r="K74" s="4291"/>
      <c r="L74" s="4291"/>
      <c r="M74" s="4291"/>
      <c r="N74" s="4291"/>
      <c r="O74" s="4291"/>
      <c r="P74" s="4291"/>
      <c r="Q74" s="4291"/>
      <c r="R74" s="4291"/>
      <c r="S74" s="4207"/>
      <c r="T74" s="4292"/>
      <c r="U74" s="4293"/>
      <c r="V74" s="4292"/>
      <c r="W74" s="4293"/>
      <c r="X74" s="4292"/>
      <c r="Y74" s="4293"/>
      <c r="Z74" s="4289">
        <f t="shared" si="25"/>
        <v>0</v>
      </c>
      <c r="AA74" s="4292"/>
      <c r="AB74" s="4294"/>
      <c r="AC74" s="4294"/>
      <c r="AD74" s="4293"/>
      <c r="AE74" s="4289">
        <f t="shared" si="26"/>
        <v>0</v>
      </c>
      <c r="AF74" s="4292"/>
      <c r="AG74" s="4294"/>
      <c r="AH74" s="4294"/>
      <c r="AI74" s="4295"/>
      <c r="AJ74" s="4296"/>
      <c r="AK74" s="4296"/>
      <c r="AL74" s="4296"/>
      <c r="AM74" s="4296"/>
      <c r="AN74" s="4296"/>
      <c r="AO74" s="4296"/>
      <c r="AP74" s="4296"/>
      <c r="AQ74" s="4296"/>
      <c r="AR74" s="4176" t="str">
        <f t="shared" si="27"/>
        <v/>
      </c>
      <c r="BD74" s="4176"/>
      <c r="BE74" s="4176"/>
      <c r="BF74" s="4176"/>
      <c r="BG74" s="4176"/>
      <c r="BH74" s="4176"/>
      <c r="BI74" s="4176"/>
      <c r="BJ74" s="4176"/>
      <c r="BK74" s="4176"/>
      <c r="BL74" s="4176"/>
      <c r="BM74" s="4176"/>
      <c r="BN74" s="4176"/>
      <c r="CB74" s="4177" t="str">
        <f t="shared" si="28"/>
        <v/>
      </c>
      <c r="CC74" s="4177" t="str">
        <f t="shared" si="29"/>
        <v/>
      </c>
      <c r="CD74" s="4177" t="str">
        <f t="shared" si="30"/>
        <v/>
      </c>
      <c r="CE74" s="4177" t="str">
        <f t="shared" si="31"/>
        <v/>
      </c>
      <c r="CF74" s="4177" t="str">
        <f t="shared" si="32"/>
        <v/>
      </c>
      <c r="CG74" s="4177" t="str">
        <f t="shared" si="33"/>
        <v/>
      </c>
      <c r="CH74" s="4177" t="str">
        <f t="shared" si="34"/>
        <v/>
      </c>
      <c r="CL74" s="4177">
        <f t="shared" si="35"/>
        <v>0</v>
      </c>
      <c r="CM74" s="4177">
        <f t="shared" si="36"/>
        <v>0</v>
      </c>
      <c r="CN74" s="4177">
        <f t="shared" si="37"/>
        <v>0</v>
      </c>
      <c r="CO74" s="4177">
        <f t="shared" si="38"/>
        <v>0</v>
      </c>
      <c r="CP74" s="4177">
        <f t="shared" si="39"/>
        <v>0</v>
      </c>
      <c r="CQ74" s="4177">
        <f t="shared" si="40"/>
        <v>0</v>
      </c>
      <c r="CR74" s="4177">
        <f t="shared" si="41"/>
        <v>0</v>
      </c>
      <c r="CZ74" s="4177"/>
      <c r="DA74" s="4177"/>
      <c r="DB74" s="4177"/>
    </row>
    <row r="75" spans="1:106" ht="15.6" customHeight="1" x14ac:dyDescent="0.2">
      <c r="A75" s="4289" t="s">
        <v>3576</v>
      </c>
      <c r="B75" s="4290">
        <f t="shared" si="24"/>
        <v>0</v>
      </c>
      <c r="C75" s="4196"/>
      <c r="D75" s="4291"/>
      <c r="E75" s="4291"/>
      <c r="F75" s="4291"/>
      <c r="G75" s="4291"/>
      <c r="H75" s="4291"/>
      <c r="I75" s="4291"/>
      <c r="J75" s="4291"/>
      <c r="K75" s="4291"/>
      <c r="L75" s="4291"/>
      <c r="M75" s="4291"/>
      <c r="N75" s="4291"/>
      <c r="O75" s="4291"/>
      <c r="P75" s="4291"/>
      <c r="Q75" s="4291"/>
      <c r="R75" s="4291"/>
      <c r="S75" s="4207"/>
      <c r="T75" s="4292"/>
      <c r="U75" s="4293"/>
      <c r="V75" s="4292"/>
      <c r="W75" s="4293"/>
      <c r="X75" s="4292"/>
      <c r="Y75" s="4293"/>
      <c r="Z75" s="4289">
        <f t="shared" si="25"/>
        <v>0</v>
      </c>
      <c r="AA75" s="4292"/>
      <c r="AB75" s="4294"/>
      <c r="AC75" s="4294"/>
      <c r="AD75" s="4293"/>
      <c r="AE75" s="4289">
        <f t="shared" si="26"/>
        <v>0</v>
      </c>
      <c r="AF75" s="4292"/>
      <c r="AG75" s="4294"/>
      <c r="AH75" s="4294"/>
      <c r="AI75" s="4295"/>
      <c r="AJ75" s="4296"/>
      <c r="AK75" s="4296"/>
      <c r="AL75" s="4296"/>
      <c r="AM75" s="4296"/>
      <c r="AN75" s="4296"/>
      <c r="AO75" s="4296"/>
      <c r="AP75" s="4296"/>
      <c r="AQ75" s="4296"/>
      <c r="AR75" s="4176" t="str">
        <f t="shared" si="27"/>
        <v/>
      </c>
      <c r="BD75" s="4176"/>
      <c r="BE75" s="4176"/>
      <c r="BF75" s="4176"/>
      <c r="BG75" s="4176"/>
      <c r="BH75" s="4176"/>
      <c r="BI75" s="4176"/>
      <c r="BJ75" s="4176"/>
      <c r="BK75" s="4176"/>
      <c r="BL75" s="4176"/>
      <c r="BM75" s="4176"/>
      <c r="BN75" s="4176"/>
      <c r="CB75" s="4177" t="str">
        <f t="shared" si="28"/>
        <v/>
      </c>
      <c r="CC75" s="4177" t="str">
        <f t="shared" si="29"/>
        <v/>
      </c>
      <c r="CD75" s="4177" t="str">
        <f t="shared" si="30"/>
        <v/>
      </c>
      <c r="CE75" s="4177" t="str">
        <f t="shared" si="31"/>
        <v/>
      </c>
      <c r="CF75" s="4177" t="str">
        <f t="shared" si="32"/>
        <v/>
      </c>
      <c r="CG75" s="4177" t="str">
        <f t="shared" si="33"/>
        <v/>
      </c>
      <c r="CH75" s="4177" t="str">
        <f t="shared" si="34"/>
        <v/>
      </c>
      <c r="CL75" s="4177">
        <f t="shared" si="35"/>
        <v>0</v>
      </c>
      <c r="CM75" s="4177">
        <f t="shared" si="36"/>
        <v>0</v>
      </c>
      <c r="CN75" s="4177">
        <f t="shared" si="37"/>
        <v>0</v>
      </c>
      <c r="CO75" s="4177">
        <f t="shared" si="38"/>
        <v>0</v>
      </c>
      <c r="CP75" s="4177">
        <f t="shared" si="39"/>
        <v>0</v>
      </c>
      <c r="CQ75" s="4177">
        <f t="shared" si="40"/>
        <v>0</v>
      </c>
      <c r="CR75" s="4177">
        <f t="shared" si="41"/>
        <v>0</v>
      </c>
      <c r="CZ75" s="4177"/>
      <c r="DA75" s="4177"/>
      <c r="DB75" s="4177"/>
    </row>
    <row r="76" spans="1:106" ht="15.6" customHeight="1" x14ac:dyDescent="0.2">
      <c r="A76" s="4289" t="s">
        <v>35</v>
      </c>
      <c r="B76" s="4290">
        <f t="shared" si="24"/>
        <v>0</v>
      </c>
      <c r="C76" s="4196"/>
      <c r="D76" s="4291"/>
      <c r="E76" s="4291"/>
      <c r="F76" s="4291"/>
      <c r="G76" s="4291"/>
      <c r="H76" s="4291"/>
      <c r="I76" s="4291"/>
      <c r="J76" s="4291"/>
      <c r="K76" s="4291"/>
      <c r="L76" s="4291"/>
      <c r="M76" s="4291"/>
      <c r="N76" s="4291"/>
      <c r="O76" s="4291"/>
      <c r="P76" s="4291"/>
      <c r="Q76" s="4291"/>
      <c r="R76" s="4291"/>
      <c r="S76" s="4207"/>
      <c r="T76" s="4292"/>
      <c r="U76" s="4293"/>
      <c r="V76" s="4292"/>
      <c r="W76" s="4293"/>
      <c r="X76" s="4292"/>
      <c r="Y76" s="4293"/>
      <c r="Z76" s="4289">
        <f t="shared" si="25"/>
        <v>0</v>
      </c>
      <c r="AA76" s="4292"/>
      <c r="AB76" s="4294"/>
      <c r="AC76" s="4294"/>
      <c r="AD76" s="4293"/>
      <c r="AE76" s="4289">
        <f t="shared" si="26"/>
        <v>0</v>
      </c>
      <c r="AF76" s="4292"/>
      <c r="AG76" s="4294"/>
      <c r="AH76" s="4294"/>
      <c r="AI76" s="4295"/>
      <c r="AJ76" s="4296"/>
      <c r="AK76" s="4296"/>
      <c r="AL76" s="4296"/>
      <c r="AM76" s="4296"/>
      <c r="AN76" s="4296"/>
      <c r="AO76" s="4296"/>
      <c r="AP76" s="4296"/>
      <c r="AQ76" s="4296"/>
      <c r="AR76" s="4176" t="str">
        <f t="shared" si="27"/>
        <v/>
      </c>
      <c r="BD76" s="4176"/>
      <c r="BE76" s="4176"/>
      <c r="BF76" s="4176"/>
      <c r="BG76" s="4176"/>
      <c r="BH76" s="4176"/>
      <c r="BI76" s="4176"/>
      <c r="BJ76" s="4176"/>
      <c r="BK76" s="4176"/>
      <c r="BL76" s="4176"/>
      <c r="BM76" s="4176"/>
      <c r="BN76" s="4176"/>
      <c r="CB76" s="4177" t="str">
        <f t="shared" si="28"/>
        <v/>
      </c>
      <c r="CC76" s="4177" t="str">
        <f t="shared" si="29"/>
        <v/>
      </c>
      <c r="CD76" s="4177" t="str">
        <f t="shared" si="30"/>
        <v/>
      </c>
      <c r="CE76" s="4177" t="str">
        <f t="shared" si="31"/>
        <v/>
      </c>
      <c r="CF76" s="4177" t="str">
        <f t="shared" si="32"/>
        <v/>
      </c>
      <c r="CG76" s="4177" t="str">
        <f t="shared" si="33"/>
        <v/>
      </c>
      <c r="CH76" s="4177" t="str">
        <f t="shared" si="34"/>
        <v/>
      </c>
      <c r="CL76" s="4177">
        <f t="shared" si="35"/>
        <v>0</v>
      </c>
      <c r="CM76" s="4177">
        <f t="shared" si="36"/>
        <v>0</v>
      </c>
      <c r="CN76" s="4177">
        <f t="shared" si="37"/>
        <v>0</v>
      </c>
      <c r="CO76" s="4177">
        <f t="shared" si="38"/>
        <v>0</v>
      </c>
      <c r="CP76" s="4177">
        <f t="shared" si="39"/>
        <v>0</v>
      </c>
      <c r="CQ76" s="4177">
        <f t="shared" si="40"/>
        <v>0</v>
      </c>
      <c r="CR76" s="4177">
        <f t="shared" si="41"/>
        <v>0</v>
      </c>
      <c r="CZ76" s="4177"/>
      <c r="DA76" s="4177"/>
      <c r="DB76" s="4177"/>
    </row>
    <row r="77" spans="1:106" ht="15.6" customHeight="1" x14ac:dyDescent="0.2">
      <c r="A77" s="4289" t="s">
        <v>279</v>
      </c>
      <c r="B77" s="4290">
        <f t="shared" si="24"/>
        <v>0</v>
      </c>
      <c r="C77" s="4196"/>
      <c r="D77" s="4291"/>
      <c r="E77" s="4291"/>
      <c r="F77" s="4291"/>
      <c r="G77" s="4291"/>
      <c r="H77" s="4291"/>
      <c r="I77" s="4291"/>
      <c r="J77" s="4291"/>
      <c r="K77" s="4291"/>
      <c r="L77" s="4291"/>
      <c r="M77" s="4291"/>
      <c r="N77" s="4291"/>
      <c r="O77" s="4291"/>
      <c r="P77" s="4291"/>
      <c r="Q77" s="4291"/>
      <c r="R77" s="4291"/>
      <c r="S77" s="4207"/>
      <c r="T77" s="4292"/>
      <c r="U77" s="4293"/>
      <c r="V77" s="4292"/>
      <c r="W77" s="4293"/>
      <c r="X77" s="4292"/>
      <c r="Y77" s="4293"/>
      <c r="Z77" s="4289">
        <f t="shared" si="25"/>
        <v>0</v>
      </c>
      <c r="AA77" s="4292"/>
      <c r="AB77" s="4294"/>
      <c r="AC77" s="4294"/>
      <c r="AD77" s="4293"/>
      <c r="AE77" s="4289">
        <f t="shared" si="26"/>
        <v>0</v>
      </c>
      <c r="AF77" s="4292"/>
      <c r="AG77" s="4294"/>
      <c r="AH77" s="4294"/>
      <c r="AI77" s="4295"/>
      <c r="AJ77" s="4296"/>
      <c r="AK77" s="4296"/>
      <c r="AL77" s="4296"/>
      <c r="AM77" s="4296"/>
      <c r="AN77" s="4296"/>
      <c r="AO77" s="4296"/>
      <c r="AP77" s="4296"/>
      <c r="AQ77" s="4296"/>
      <c r="AR77" s="4176" t="str">
        <f t="shared" si="27"/>
        <v/>
      </c>
      <c r="BD77" s="4176"/>
      <c r="BE77" s="4176"/>
      <c r="BF77" s="4176"/>
      <c r="BG77" s="4176"/>
      <c r="BH77" s="4176"/>
      <c r="BI77" s="4176"/>
      <c r="BJ77" s="4176"/>
      <c r="BK77" s="4176"/>
      <c r="BL77" s="4176"/>
      <c r="BM77" s="4176"/>
      <c r="BN77" s="4176"/>
      <c r="CB77" s="4177" t="str">
        <f t="shared" si="28"/>
        <v/>
      </c>
      <c r="CC77" s="4177" t="str">
        <f t="shared" si="29"/>
        <v/>
      </c>
      <c r="CD77" s="4177" t="str">
        <f t="shared" si="30"/>
        <v/>
      </c>
      <c r="CE77" s="4177" t="str">
        <f t="shared" si="31"/>
        <v/>
      </c>
      <c r="CF77" s="4177" t="str">
        <f t="shared" si="32"/>
        <v/>
      </c>
      <c r="CG77" s="4177" t="str">
        <f t="shared" si="33"/>
        <v/>
      </c>
      <c r="CH77" s="4177" t="str">
        <f t="shared" si="34"/>
        <v/>
      </c>
      <c r="CL77" s="4177">
        <f t="shared" si="35"/>
        <v>0</v>
      </c>
      <c r="CM77" s="4177">
        <f t="shared" si="36"/>
        <v>0</v>
      </c>
      <c r="CN77" s="4177">
        <f t="shared" si="37"/>
        <v>0</v>
      </c>
      <c r="CO77" s="4177">
        <f t="shared" si="38"/>
        <v>0</v>
      </c>
      <c r="CP77" s="4177">
        <f t="shared" si="39"/>
        <v>0</v>
      </c>
      <c r="CQ77" s="4177">
        <f t="shared" si="40"/>
        <v>0</v>
      </c>
      <c r="CR77" s="4177">
        <f t="shared" si="41"/>
        <v>0</v>
      </c>
      <c r="CZ77" s="4177"/>
      <c r="DA77" s="4177"/>
      <c r="DB77" s="4177"/>
    </row>
    <row r="78" spans="1:106" ht="15.6" customHeight="1" x14ac:dyDescent="0.2">
      <c r="A78" s="4289" t="s">
        <v>36</v>
      </c>
      <c r="B78" s="4195">
        <f t="shared" si="24"/>
        <v>0</v>
      </c>
      <c r="C78" s="4196"/>
      <c r="D78" s="4291"/>
      <c r="E78" s="4291"/>
      <c r="F78" s="4291"/>
      <c r="G78" s="4291"/>
      <c r="H78" s="4291"/>
      <c r="I78" s="4291"/>
      <c r="J78" s="4291"/>
      <c r="K78" s="4291"/>
      <c r="L78" s="4291"/>
      <c r="M78" s="4291"/>
      <c r="N78" s="4291"/>
      <c r="O78" s="4291"/>
      <c r="P78" s="4291"/>
      <c r="Q78" s="4291"/>
      <c r="R78" s="4291"/>
      <c r="S78" s="4207"/>
      <c r="T78" s="4196"/>
      <c r="U78" s="4207"/>
      <c r="V78" s="4196"/>
      <c r="W78" s="4207"/>
      <c r="X78" s="4196"/>
      <c r="Y78" s="4207"/>
      <c r="Z78" s="4286">
        <f t="shared" si="25"/>
        <v>0</v>
      </c>
      <c r="AA78" s="4196"/>
      <c r="AB78" s="4197"/>
      <c r="AC78" s="4197"/>
      <c r="AD78" s="4207"/>
      <c r="AE78" s="4286">
        <f t="shared" si="26"/>
        <v>0</v>
      </c>
      <c r="AF78" s="4196"/>
      <c r="AG78" s="4197"/>
      <c r="AH78" s="4197"/>
      <c r="AI78" s="4304"/>
      <c r="AJ78" s="4288"/>
      <c r="AK78" s="4288"/>
      <c r="AL78" s="4296"/>
      <c r="AM78" s="4288"/>
      <c r="AN78" s="4288"/>
      <c r="AO78" s="4288"/>
      <c r="AP78" s="4288"/>
      <c r="AQ78" s="4288"/>
      <c r="AR78" s="4176" t="str">
        <f t="shared" si="27"/>
        <v/>
      </c>
      <c r="BD78" s="4176"/>
      <c r="BE78" s="4176"/>
      <c r="BF78" s="4176"/>
      <c r="BG78" s="4176"/>
      <c r="BH78" s="4176"/>
      <c r="BI78" s="4176"/>
      <c r="BJ78" s="4176"/>
      <c r="BK78" s="4176"/>
      <c r="BL78" s="4176"/>
      <c r="BM78" s="4176"/>
      <c r="BN78" s="4176"/>
      <c r="CB78" s="4177" t="str">
        <f t="shared" si="28"/>
        <v/>
      </c>
      <c r="CC78" s="4177" t="str">
        <f t="shared" si="29"/>
        <v/>
      </c>
      <c r="CD78" s="4177" t="str">
        <f t="shared" si="30"/>
        <v/>
      </c>
      <c r="CE78" s="4177" t="str">
        <f t="shared" si="31"/>
        <v/>
      </c>
      <c r="CF78" s="4177" t="str">
        <f t="shared" si="32"/>
        <v/>
      </c>
      <c r="CG78" s="4177" t="str">
        <f t="shared" si="33"/>
        <v/>
      </c>
      <c r="CH78" s="4177" t="str">
        <f t="shared" si="34"/>
        <v/>
      </c>
      <c r="CI78" s="4305"/>
      <c r="CJ78" s="4305"/>
      <c r="CL78" s="4177">
        <f t="shared" si="35"/>
        <v>0</v>
      </c>
      <c r="CM78" s="4177">
        <f t="shared" si="36"/>
        <v>0</v>
      </c>
      <c r="CN78" s="4177">
        <f t="shared" si="37"/>
        <v>0</v>
      </c>
      <c r="CO78" s="4177">
        <f t="shared" si="38"/>
        <v>0</v>
      </c>
      <c r="CP78" s="4177">
        <f t="shared" si="39"/>
        <v>0</v>
      </c>
      <c r="CQ78" s="4177">
        <f t="shared" si="40"/>
        <v>0</v>
      </c>
      <c r="CR78" s="4177">
        <f t="shared" si="41"/>
        <v>0</v>
      </c>
      <c r="CZ78" s="4177"/>
      <c r="DA78" s="4177"/>
      <c r="DB78" s="4177"/>
    </row>
    <row r="79" spans="1:106" ht="15.6" customHeight="1" x14ac:dyDescent="0.2">
      <c r="A79" s="4289" t="s">
        <v>34</v>
      </c>
      <c r="B79" s="4195">
        <f t="shared" si="24"/>
        <v>0</v>
      </c>
      <c r="C79" s="4196"/>
      <c r="D79" s="4291"/>
      <c r="E79" s="4291"/>
      <c r="F79" s="4291"/>
      <c r="G79" s="4291"/>
      <c r="H79" s="4291"/>
      <c r="I79" s="4291"/>
      <c r="J79" s="4291"/>
      <c r="K79" s="4291"/>
      <c r="L79" s="4291"/>
      <c r="M79" s="4291"/>
      <c r="N79" s="4291"/>
      <c r="O79" s="4291"/>
      <c r="P79" s="4291"/>
      <c r="Q79" s="4291"/>
      <c r="R79" s="4291"/>
      <c r="S79" s="4207"/>
      <c r="T79" s="4196"/>
      <c r="U79" s="4207"/>
      <c r="V79" s="4196"/>
      <c r="W79" s="4207"/>
      <c r="X79" s="4196"/>
      <c r="Y79" s="4207"/>
      <c r="Z79" s="4286">
        <f t="shared" si="25"/>
        <v>0</v>
      </c>
      <c r="AA79" s="4196"/>
      <c r="AB79" s="4197"/>
      <c r="AC79" s="4197"/>
      <c r="AD79" s="4207"/>
      <c r="AE79" s="4286">
        <f t="shared" si="26"/>
        <v>0</v>
      </c>
      <c r="AF79" s="4196"/>
      <c r="AG79" s="4197"/>
      <c r="AH79" s="4197"/>
      <c r="AI79" s="4304"/>
      <c r="AJ79" s="4288"/>
      <c r="AK79" s="4288"/>
      <c r="AL79" s="4296"/>
      <c r="AM79" s="4288"/>
      <c r="AN79" s="4288"/>
      <c r="AO79" s="4288"/>
      <c r="AP79" s="4288"/>
      <c r="AQ79" s="4288"/>
      <c r="AR79" s="4176" t="str">
        <f t="shared" si="27"/>
        <v/>
      </c>
      <c r="BD79" s="4176"/>
      <c r="BE79" s="4176"/>
      <c r="BF79" s="4176"/>
      <c r="BG79" s="4176"/>
      <c r="BH79" s="4176"/>
      <c r="BI79" s="4176"/>
      <c r="BJ79" s="4176"/>
      <c r="BK79" s="4176"/>
      <c r="BL79" s="4176"/>
      <c r="BM79" s="4176"/>
      <c r="BN79" s="4176"/>
      <c r="CB79" s="4177" t="str">
        <f t="shared" si="28"/>
        <v/>
      </c>
      <c r="CC79" s="4177" t="str">
        <f t="shared" si="29"/>
        <v/>
      </c>
      <c r="CD79" s="4177" t="str">
        <f t="shared" si="30"/>
        <v/>
      </c>
      <c r="CE79" s="4177" t="str">
        <f t="shared" si="31"/>
        <v/>
      </c>
      <c r="CF79" s="4177" t="str">
        <f t="shared" si="32"/>
        <v/>
      </c>
      <c r="CG79" s="4177" t="str">
        <f t="shared" si="33"/>
        <v/>
      </c>
      <c r="CH79" s="4177" t="str">
        <f t="shared" si="34"/>
        <v/>
      </c>
      <c r="CI79" s="4305"/>
      <c r="CJ79" s="4305"/>
      <c r="CL79" s="4177">
        <f t="shared" si="35"/>
        <v>0</v>
      </c>
      <c r="CM79" s="4177">
        <f t="shared" si="36"/>
        <v>0</v>
      </c>
      <c r="CN79" s="4177">
        <f t="shared" si="37"/>
        <v>0</v>
      </c>
      <c r="CO79" s="4177">
        <f t="shared" si="38"/>
        <v>0</v>
      </c>
      <c r="CP79" s="4177">
        <f t="shared" si="39"/>
        <v>0</v>
      </c>
      <c r="CQ79" s="4177">
        <f t="shared" si="40"/>
        <v>0</v>
      </c>
      <c r="CR79" s="4177">
        <f t="shared" si="41"/>
        <v>0</v>
      </c>
      <c r="CZ79" s="4177"/>
      <c r="DA79" s="4177"/>
      <c r="DB79" s="4177"/>
    </row>
    <row r="80" spans="1:106" ht="15.6" customHeight="1" x14ac:dyDescent="0.2">
      <c r="A80" s="4280" t="s">
        <v>280</v>
      </c>
      <c r="B80" s="4195">
        <f t="shared" si="24"/>
        <v>0</v>
      </c>
      <c r="C80" s="4196"/>
      <c r="D80" s="4291"/>
      <c r="E80" s="4291"/>
      <c r="F80" s="4291"/>
      <c r="G80" s="4291"/>
      <c r="H80" s="4291"/>
      <c r="I80" s="4291"/>
      <c r="J80" s="4291"/>
      <c r="K80" s="4291"/>
      <c r="L80" s="4291"/>
      <c r="M80" s="4291"/>
      <c r="N80" s="4291"/>
      <c r="O80" s="4291"/>
      <c r="P80" s="4291"/>
      <c r="Q80" s="4291"/>
      <c r="R80" s="4291"/>
      <c r="S80" s="4207"/>
      <c r="T80" s="4196"/>
      <c r="U80" s="4207"/>
      <c r="V80" s="4196"/>
      <c r="W80" s="4207"/>
      <c r="X80" s="4196"/>
      <c r="Y80" s="4207"/>
      <c r="Z80" s="4286">
        <f t="shared" si="25"/>
        <v>0</v>
      </c>
      <c r="AA80" s="4196"/>
      <c r="AB80" s="4197"/>
      <c r="AC80" s="4197"/>
      <c r="AD80" s="4207"/>
      <c r="AE80" s="4286">
        <f t="shared" si="26"/>
        <v>0</v>
      </c>
      <c r="AF80" s="4196"/>
      <c r="AG80" s="4197"/>
      <c r="AH80" s="4197"/>
      <c r="AI80" s="4304"/>
      <c r="AJ80" s="4288"/>
      <c r="AK80" s="4288"/>
      <c r="AL80" s="4296"/>
      <c r="AM80" s="4288"/>
      <c r="AN80" s="4288"/>
      <c r="AO80" s="4288"/>
      <c r="AP80" s="4288"/>
      <c r="AQ80" s="4288"/>
      <c r="AR80" s="4176" t="str">
        <f t="shared" si="27"/>
        <v/>
      </c>
      <c r="BD80" s="4176"/>
      <c r="BE80" s="4176"/>
      <c r="BF80" s="4176"/>
      <c r="BG80" s="4176"/>
      <c r="BH80" s="4176"/>
      <c r="BI80" s="4176"/>
      <c r="BJ80" s="4176"/>
      <c r="BK80" s="4176"/>
      <c r="BL80" s="4176"/>
      <c r="BM80" s="4176"/>
      <c r="BN80" s="4176"/>
      <c r="CB80" s="4177" t="str">
        <f t="shared" si="28"/>
        <v/>
      </c>
      <c r="CC80" s="4177" t="str">
        <f t="shared" si="29"/>
        <v/>
      </c>
      <c r="CD80" s="4177" t="str">
        <f t="shared" si="30"/>
        <v/>
      </c>
      <c r="CE80" s="4177" t="str">
        <f t="shared" si="31"/>
        <v/>
      </c>
      <c r="CF80" s="4177" t="str">
        <f t="shared" si="32"/>
        <v/>
      </c>
      <c r="CG80" s="4177" t="str">
        <f t="shared" si="33"/>
        <v/>
      </c>
      <c r="CH80" s="4177" t="str">
        <f t="shared" si="34"/>
        <v/>
      </c>
      <c r="CI80" s="4305"/>
      <c r="CJ80" s="4305"/>
      <c r="CL80" s="4177">
        <f t="shared" si="35"/>
        <v>0</v>
      </c>
      <c r="CM80" s="4177">
        <f t="shared" si="36"/>
        <v>0</v>
      </c>
      <c r="CN80" s="4177">
        <f t="shared" si="37"/>
        <v>0</v>
      </c>
      <c r="CO80" s="4177">
        <f t="shared" si="38"/>
        <v>0</v>
      </c>
      <c r="CP80" s="4177">
        <f t="shared" si="39"/>
        <v>0</v>
      </c>
      <c r="CQ80" s="4177">
        <f t="shared" si="40"/>
        <v>0</v>
      </c>
      <c r="CR80" s="4177">
        <f t="shared" si="41"/>
        <v>0</v>
      </c>
      <c r="CZ80" s="4177"/>
      <c r="DA80" s="4177"/>
      <c r="DB80" s="4177"/>
    </row>
    <row r="81" spans="1:106" ht="15.6" customHeight="1" x14ac:dyDescent="0.2">
      <c r="A81" s="4303" t="s">
        <v>281</v>
      </c>
      <c r="B81" s="4195">
        <f t="shared" si="24"/>
        <v>0</v>
      </c>
      <c r="C81" s="4196"/>
      <c r="D81" s="4291"/>
      <c r="E81" s="4291"/>
      <c r="F81" s="4291"/>
      <c r="G81" s="4291"/>
      <c r="H81" s="4291"/>
      <c r="I81" s="4291"/>
      <c r="J81" s="4291"/>
      <c r="K81" s="4291"/>
      <c r="L81" s="4291"/>
      <c r="M81" s="4291"/>
      <c r="N81" s="4291"/>
      <c r="O81" s="4291"/>
      <c r="P81" s="4291"/>
      <c r="Q81" s="4291"/>
      <c r="R81" s="4291"/>
      <c r="S81" s="4207"/>
      <c r="T81" s="4196"/>
      <c r="U81" s="4207"/>
      <c r="V81" s="4196"/>
      <c r="W81" s="4207"/>
      <c r="X81" s="4196"/>
      <c r="Y81" s="4207"/>
      <c r="Z81" s="4286">
        <f t="shared" si="25"/>
        <v>0</v>
      </c>
      <c r="AA81" s="4196"/>
      <c r="AB81" s="4197"/>
      <c r="AC81" s="4197"/>
      <c r="AD81" s="4207"/>
      <c r="AE81" s="4286">
        <f t="shared" si="26"/>
        <v>0</v>
      </c>
      <c r="AF81" s="4196"/>
      <c r="AG81" s="4197"/>
      <c r="AH81" s="4197"/>
      <c r="AI81" s="4304"/>
      <c r="AJ81" s="4288"/>
      <c r="AK81" s="4288"/>
      <c r="AL81" s="4296"/>
      <c r="AM81" s="4288"/>
      <c r="AN81" s="4288"/>
      <c r="AO81" s="4288"/>
      <c r="AP81" s="4288"/>
      <c r="AQ81" s="4288"/>
      <c r="AR81" s="4176" t="str">
        <f t="shared" si="27"/>
        <v/>
      </c>
      <c r="BD81" s="4176"/>
      <c r="BE81" s="4176"/>
      <c r="BF81" s="4176"/>
      <c r="BG81" s="4176"/>
      <c r="BH81" s="4176"/>
      <c r="BI81" s="4176"/>
      <c r="BJ81" s="4176"/>
      <c r="BK81" s="4176"/>
      <c r="BL81" s="4176"/>
      <c r="BM81" s="4176"/>
      <c r="BN81" s="4176"/>
      <c r="CB81" s="4177" t="str">
        <f t="shared" si="28"/>
        <v/>
      </c>
      <c r="CC81" s="4177" t="str">
        <f t="shared" si="29"/>
        <v/>
      </c>
      <c r="CD81" s="4177" t="str">
        <f t="shared" si="30"/>
        <v/>
      </c>
      <c r="CE81" s="4177" t="str">
        <f t="shared" si="31"/>
        <v/>
      </c>
      <c r="CF81" s="4177" t="str">
        <f t="shared" si="32"/>
        <v/>
      </c>
      <c r="CG81" s="4177" t="str">
        <f t="shared" si="33"/>
        <v/>
      </c>
      <c r="CH81" s="4177" t="str">
        <f t="shared" si="34"/>
        <v/>
      </c>
      <c r="CI81" s="4305"/>
      <c r="CJ81" s="4305"/>
      <c r="CL81" s="4177">
        <f t="shared" si="35"/>
        <v>0</v>
      </c>
      <c r="CM81" s="4177">
        <f t="shared" si="36"/>
        <v>0</v>
      </c>
      <c r="CN81" s="4177">
        <f t="shared" si="37"/>
        <v>0</v>
      </c>
      <c r="CO81" s="4177">
        <f t="shared" si="38"/>
        <v>0</v>
      </c>
      <c r="CP81" s="4177">
        <f t="shared" si="39"/>
        <v>0</v>
      </c>
      <c r="CQ81" s="4177">
        <f t="shared" si="40"/>
        <v>0</v>
      </c>
      <c r="CR81" s="4177">
        <f t="shared" si="41"/>
        <v>0</v>
      </c>
      <c r="CZ81" s="4177"/>
      <c r="DA81" s="4177"/>
      <c r="DB81" s="4177"/>
    </row>
    <row r="82" spans="1:106" ht="15.6" customHeight="1" x14ac:dyDescent="0.2">
      <c r="A82" s="4303" t="s">
        <v>282</v>
      </c>
      <c r="B82" s="4195">
        <f t="shared" si="24"/>
        <v>0</v>
      </c>
      <c r="C82" s="4196"/>
      <c r="D82" s="4291"/>
      <c r="E82" s="4291"/>
      <c r="F82" s="4291"/>
      <c r="G82" s="4291"/>
      <c r="H82" s="4291"/>
      <c r="I82" s="4291"/>
      <c r="J82" s="4291"/>
      <c r="K82" s="4291"/>
      <c r="L82" s="4291"/>
      <c r="M82" s="4291"/>
      <c r="N82" s="4291"/>
      <c r="O82" s="4291"/>
      <c r="P82" s="4291"/>
      <c r="Q82" s="4291"/>
      <c r="R82" s="4291"/>
      <c r="S82" s="4207"/>
      <c r="T82" s="4196"/>
      <c r="U82" s="4207"/>
      <c r="V82" s="4196"/>
      <c r="W82" s="4207"/>
      <c r="X82" s="4196"/>
      <c r="Y82" s="4207"/>
      <c r="Z82" s="4286">
        <f t="shared" si="25"/>
        <v>0</v>
      </c>
      <c r="AA82" s="4196"/>
      <c r="AB82" s="4197"/>
      <c r="AC82" s="4197"/>
      <c r="AD82" s="4207"/>
      <c r="AE82" s="4286">
        <f t="shared" si="26"/>
        <v>0</v>
      </c>
      <c r="AF82" s="4196"/>
      <c r="AG82" s="4197"/>
      <c r="AH82" s="4197"/>
      <c r="AI82" s="4304"/>
      <c r="AJ82" s="4288"/>
      <c r="AK82" s="4288"/>
      <c r="AL82" s="4296"/>
      <c r="AM82" s="4288"/>
      <c r="AN82" s="4288"/>
      <c r="AO82" s="4288"/>
      <c r="AP82" s="4288"/>
      <c r="AQ82" s="4288"/>
      <c r="AR82" s="4176" t="str">
        <f t="shared" si="27"/>
        <v/>
      </c>
      <c r="BD82" s="4176"/>
      <c r="BE82" s="4176"/>
      <c r="BF82" s="4176"/>
      <c r="BG82" s="4176"/>
      <c r="BH82" s="4176"/>
      <c r="BI82" s="4176"/>
      <c r="BJ82" s="4176"/>
      <c r="BK82" s="4176"/>
      <c r="BL82" s="4176"/>
      <c r="BM82" s="4176"/>
      <c r="BN82" s="4176"/>
      <c r="CB82" s="4177" t="str">
        <f t="shared" si="28"/>
        <v/>
      </c>
      <c r="CC82" s="4177" t="str">
        <f t="shared" si="29"/>
        <v/>
      </c>
      <c r="CD82" s="4177" t="str">
        <f t="shared" si="30"/>
        <v/>
      </c>
      <c r="CE82" s="4177" t="str">
        <f t="shared" si="31"/>
        <v/>
      </c>
      <c r="CF82" s="4177" t="str">
        <f t="shared" si="32"/>
        <v/>
      </c>
      <c r="CG82" s="4177" t="str">
        <f t="shared" si="33"/>
        <v/>
      </c>
      <c r="CH82" s="4177" t="str">
        <f t="shared" si="34"/>
        <v/>
      </c>
      <c r="CI82" s="4305"/>
      <c r="CJ82" s="4305"/>
      <c r="CL82" s="4177">
        <f t="shared" si="35"/>
        <v>0</v>
      </c>
      <c r="CM82" s="4177">
        <f t="shared" si="36"/>
        <v>0</v>
      </c>
      <c r="CN82" s="4177">
        <f t="shared" si="37"/>
        <v>0</v>
      </c>
      <c r="CO82" s="4177">
        <f t="shared" si="38"/>
        <v>0</v>
      </c>
      <c r="CP82" s="4177">
        <f t="shared" si="39"/>
        <v>0</v>
      </c>
      <c r="CQ82" s="4177">
        <f t="shared" si="40"/>
        <v>0</v>
      </c>
      <c r="CR82" s="4177">
        <f t="shared" si="41"/>
        <v>0</v>
      </c>
      <c r="CZ82" s="4177"/>
      <c r="DA82" s="4177"/>
      <c r="DB82" s="4177"/>
    </row>
    <row r="83" spans="1:106" ht="15.6" customHeight="1" x14ac:dyDescent="0.2">
      <c r="A83" s="4303" t="s">
        <v>462</v>
      </c>
      <c r="B83" s="4195">
        <f t="shared" si="24"/>
        <v>0</v>
      </c>
      <c r="C83" s="4196"/>
      <c r="D83" s="4291"/>
      <c r="E83" s="4291"/>
      <c r="F83" s="4291"/>
      <c r="G83" s="4291"/>
      <c r="H83" s="4291"/>
      <c r="I83" s="4291"/>
      <c r="J83" s="4291"/>
      <c r="K83" s="4291"/>
      <c r="L83" s="4291"/>
      <c r="M83" s="4291"/>
      <c r="N83" s="4291"/>
      <c r="O83" s="4291"/>
      <c r="P83" s="4291"/>
      <c r="Q83" s="4291"/>
      <c r="R83" s="4291"/>
      <c r="S83" s="4207"/>
      <c r="T83" s="4196"/>
      <c r="U83" s="4207"/>
      <c r="V83" s="4196"/>
      <c r="W83" s="4207"/>
      <c r="X83" s="4196"/>
      <c r="Y83" s="4207"/>
      <c r="Z83" s="4286">
        <f t="shared" si="25"/>
        <v>0</v>
      </c>
      <c r="AA83" s="4196"/>
      <c r="AB83" s="4197"/>
      <c r="AC83" s="4197"/>
      <c r="AD83" s="4207"/>
      <c r="AE83" s="4286">
        <f t="shared" si="26"/>
        <v>0</v>
      </c>
      <c r="AF83" s="4196"/>
      <c r="AG83" s="4197"/>
      <c r="AH83" s="4197"/>
      <c r="AI83" s="4304"/>
      <c r="AJ83" s="4288"/>
      <c r="AK83" s="4288"/>
      <c r="AL83" s="4296"/>
      <c r="AM83" s="4288"/>
      <c r="AN83" s="4288"/>
      <c r="AO83" s="4288"/>
      <c r="AP83" s="4288"/>
      <c r="AQ83" s="4288"/>
      <c r="AR83" s="4176" t="str">
        <f t="shared" si="27"/>
        <v/>
      </c>
      <c r="BD83" s="4176"/>
      <c r="BE83" s="4176"/>
      <c r="BF83" s="4176"/>
      <c r="BG83" s="4176"/>
      <c r="BH83" s="4176"/>
      <c r="BI83" s="4176"/>
      <c r="BJ83" s="4176"/>
      <c r="BK83" s="4176"/>
      <c r="BL83" s="4176"/>
      <c r="BM83" s="4176"/>
      <c r="BN83" s="4176"/>
      <c r="CB83" s="4177" t="str">
        <f t="shared" si="28"/>
        <v/>
      </c>
      <c r="CC83" s="4177" t="str">
        <f t="shared" si="29"/>
        <v/>
      </c>
      <c r="CD83" s="4177" t="str">
        <f t="shared" si="30"/>
        <v/>
      </c>
      <c r="CE83" s="4177" t="str">
        <f t="shared" si="31"/>
        <v/>
      </c>
      <c r="CF83" s="4177" t="str">
        <f t="shared" si="32"/>
        <v/>
      </c>
      <c r="CG83" s="4177" t="str">
        <f t="shared" si="33"/>
        <v/>
      </c>
      <c r="CH83" s="4177" t="str">
        <f t="shared" si="34"/>
        <v/>
      </c>
      <c r="CI83" s="4305"/>
      <c r="CJ83" s="4305"/>
      <c r="CL83" s="4177">
        <f t="shared" si="35"/>
        <v>0</v>
      </c>
      <c r="CM83" s="4177">
        <f t="shared" si="36"/>
        <v>0</v>
      </c>
      <c r="CN83" s="4177">
        <f t="shared" si="37"/>
        <v>0</v>
      </c>
      <c r="CO83" s="4177">
        <f t="shared" si="38"/>
        <v>0</v>
      </c>
      <c r="CP83" s="4177">
        <f t="shared" si="39"/>
        <v>0</v>
      </c>
      <c r="CQ83" s="4177">
        <f t="shared" si="40"/>
        <v>0</v>
      </c>
      <c r="CR83" s="4177">
        <f t="shared" si="41"/>
        <v>0</v>
      </c>
      <c r="CZ83" s="4177"/>
      <c r="DA83" s="4177"/>
      <c r="DB83" s="4177"/>
    </row>
    <row r="84" spans="1:106" ht="15.6" customHeight="1" x14ac:dyDescent="0.2">
      <c r="A84" s="4289" t="s">
        <v>38</v>
      </c>
      <c r="B84" s="4195">
        <f t="shared" si="24"/>
        <v>0</v>
      </c>
      <c r="C84" s="4196"/>
      <c r="D84" s="4291"/>
      <c r="E84" s="4291"/>
      <c r="F84" s="4291"/>
      <c r="G84" s="4291"/>
      <c r="H84" s="4291"/>
      <c r="I84" s="4291"/>
      <c r="J84" s="4291"/>
      <c r="K84" s="4291"/>
      <c r="L84" s="4291"/>
      <c r="M84" s="4291"/>
      <c r="N84" s="4291"/>
      <c r="O84" s="4291"/>
      <c r="P84" s="4291"/>
      <c r="Q84" s="4291"/>
      <c r="R84" s="4291"/>
      <c r="S84" s="4207"/>
      <c r="T84" s="4196"/>
      <c r="U84" s="4207"/>
      <c r="V84" s="4196"/>
      <c r="W84" s="4207"/>
      <c r="X84" s="4196"/>
      <c r="Y84" s="4207"/>
      <c r="Z84" s="4286">
        <f t="shared" si="25"/>
        <v>0</v>
      </c>
      <c r="AA84" s="4196"/>
      <c r="AB84" s="4197"/>
      <c r="AC84" s="4197"/>
      <c r="AD84" s="4207"/>
      <c r="AE84" s="4286">
        <f t="shared" si="26"/>
        <v>0</v>
      </c>
      <c r="AF84" s="4196"/>
      <c r="AG84" s="4197"/>
      <c r="AH84" s="4197"/>
      <c r="AI84" s="4304"/>
      <c r="AJ84" s="4288"/>
      <c r="AK84" s="4288"/>
      <c r="AL84" s="4296"/>
      <c r="AM84" s="4288"/>
      <c r="AN84" s="4288"/>
      <c r="AO84" s="4288"/>
      <c r="AP84" s="4288"/>
      <c r="AQ84" s="4288"/>
      <c r="AR84" s="4176" t="str">
        <f t="shared" si="27"/>
        <v/>
      </c>
      <c r="BD84" s="4176"/>
      <c r="BE84" s="4176"/>
      <c r="BF84" s="4176"/>
      <c r="BG84" s="4176"/>
      <c r="BH84" s="4176"/>
      <c r="BI84" s="4176"/>
      <c r="BJ84" s="4176"/>
      <c r="BK84" s="4176"/>
      <c r="BL84" s="4176"/>
      <c r="BM84" s="4176"/>
      <c r="BN84" s="4176"/>
      <c r="CB84" s="4177" t="str">
        <f t="shared" si="28"/>
        <v/>
      </c>
      <c r="CC84" s="4177" t="str">
        <f t="shared" si="29"/>
        <v/>
      </c>
      <c r="CD84" s="4177" t="str">
        <f t="shared" si="30"/>
        <v/>
      </c>
      <c r="CE84" s="4177" t="str">
        <f t="shared" si="31"/>
        <v/>
      </c>
      <c r="CF84" s="4177" t="str">
        <f t="shared" si="32"/>
        <v/>
      </c>
      <c r="CG84" s="4177" t="str">
        <f t="shared" si="33"/>
        <v/>
      </c>
      <c r="CH84" s="4177" t="str">
        <f t="shared" si="34"/>
        <v/>
      </c>
      <c r="CI84" s="4305"/>
      <c r="CJ84" s="4305"/>
      <c r="CL84" s="4177">
        <f t="shared" si="35"/>
        <v>0</v>
      </c>
      <c r="CM84" s="4177">
        <f t="shared" si="36"/>
        <v>0</v>
      </c>
      <c r="CN84" s="4177">
        <f t="shared" si="37"/>
        <v>0</v>
      </c>
      <c r="CO84" s="4177">
        <f t="shared" si="38"/>
        <v>0</v>
      </c>
      <c r="CP84" s="4177">
        <f t="shared" si="39"/>
        <v>0</v>
      </c>
      <c r="CQ84" s="4177">
        <f t="shared" si="40"/>
        <v>0</v>
      </c>
      <c r="CR84" s="4177">
        <f t="shared" si="41"/>
        <v>0</v>
      </c>
      <c r="CZ84" s="4177"/>
      <c r="DA84" s="4177"/>
      <c r="DB84" s="4177"/>
    </row>
    <row r="85" spans="1:106" ht="15.6" customHeight="1" x14ac:dyDescent="0.2">
      <c r="A85" s="4289" t="s">
        <v>37</v>
      </c>
      <c r="B85" s="4195">
        <f t="shared" si="24"/>
        <v>0</v>
      </c>
      <c r="C85" s="4196"/>
      <c r="D85" s="4291"/>
      <c r="E85" s="4291"/>
      <c r="F85" s="4291"/>
      <c r="G85" s="4291"/>
      <c r="H85" s="4291"/>
      <c r="I85" s="4291"/>
      <c r="J85" s="4291"/>
      <c r="K85" s="4291"/>
      <c r="L85" s="4291"/>
      <c r="M85" s="4291"/>
      <c r="N85" s="4291"/>
      <c r="O85" s="4291"/>
      <c r="P85" s="4291"/>
      <c r="Q85" s="4291"/>
      <c r="R85" s="4291"/>
      <c r="S85" s="4207"/>
      <c r="T85" s="4196"/>
      <c r="U85" s="4207"/>
      <c r="V85" s="4196"/>
      <c r="W85" s="4207"/>
      <c r="X85" s="4196"/>
      <c r="Y85" s="4207"/>
      <c r="Z85" s="4286">
        <f t="shared" si="25"/>
        <v>0</v>
      </c>
      <c r="AA85" s="4196"/>
      <c r="AB85" s="4197"/>
      <c r="AC85" s="4197"/>
      <c r="AD85" s="4207"/>
      <c r="AE85" s="4286">
        <f t="shared" si="26"/>
        <v>0</v>
      </c>
      <c r="AF85" s="4196"/>
      <c r="AG85" s="4197"/>
      <c r="AH85" s="4197"/>
      <c r="AI85" s="4304"/>
      <c r="AJ85" s="4288"/>
      <c r="AK85" s="4288"/>
      <c r="AL85" s="4296"/>
      <c r="AM85" s="4288"/>
      <c r="AN85" s="4288"/>
      <c r="AO85" s="4288"/>
      <c r="AP85" s="4288"/>
      <c r="AQ85" s="4288"/>
      <c r="AR85" s="4176" t="str">
        <f t="shared" si="27"/>
        <v/>
      </c>
      <c r="BD85" s="4176"/>
      <c r="BE85" s="4176"/>
      <c r="BF85" s="4176"/>
      <c r="BG85" s="4176"/>
      <c r="BH85" s="4176"/>
      <c r="BI85" s="4176"/>
      <c r="BJ85" s="4176"/>
      <c r="BK85" s="4176"/>
      <c r="BL85" s="4176"/>
      <c r="BM85" s="4176"/>
      <c r="BN85" s="4176"/>
      <c r="CB85" s="4177" t="str">
        <f t="shared" si="28"/>
        <v/>
      </c>
      <c r="CC85" s="4177" t="str">
        <f t="shared" si="29"/>
        <v/>
      </c>
      <c r="CD85" s="4177" t="str">
        <f t="shared" si="30"/>
        <v/>
      </c>
      <c r="CE85" s="4177" t="str">
        <f t="shared" si="31"/>
        <v/>
      </c>
      <c r="CF85" s="4177" t="str">
        <f t="shared" si="32"/>
        <v/>
      </c>
      <c r="CG85" s="4177" t="str">
        <f t="shared" si="33"/>
        <v/>
      </c>
      <c r="CH85" s="4177" t="str">
        <f t="shared" si="34"/>
        <v/>
      </c>
      <c r="CI85" s="4305"/>
      <c r="CJ85" s="4305"/>
      <c r="CL85" s="4177">
        <f t="shared" si="35"/>
        <v>0</v>
      </c>
      <c r="CM85" s="4177">
        <f t="shared" si="36"/>
        <v>0</v>
      </c>
      <c r="CN85" s="4177">
        <f t="shared" si="37"/>
        <v>0</v>
      </c>
      <c r="CO85" s="4177">
        <f t="shared" si="38"/>
        <v>0</v>
      </c>
      <c r="CP85" s="4177">
        <f t="shared" si="39"/>
        <v>0</v>
      </c>
      <c r="CQ85" s="4177">
        <f t="shared" si="40"/>
        <v>0</v>
      </c>
      <c r="CR85" s="4177">
        <f t="shared" si="41"/>
        <v>0</v>
      </c>
      <c r="CZ85" s="4177"/>
      <c r="DA85" s="4177"/>
      <c r="DB85" s="4177"/>
    </row>
    <row r="86" spans="1:106" ht="15.6" customHeight="1" x14ac:dyDescent="0.2">
      <c r="A86" s="4289" t="s">
        <v>283</v>
      </c>
      <c r="B86" s="4195">
        <f t="shared" si="24"/>
        <v>0</v>
      </c>
      <c r="C86" s="4196"/>
      <c r="D86" s="4291"/>
      <c r="E86" s="4291"/>
      <c r="F86" s="4291"/>
      <c r="G86" s="4291"/>
      <c r="H86" s="4291"/>
      <c r="I86" s="4291"/>
      <c r="J86" s="4291"/>
      <c r="K86" s="4291"/>
      <c r="L86" s="4291"/>
      <c r="M86" s="4291"/>
      <c r="N86" s="4291"/>
      <c r="O86" s="4291"/>
      <c r="P86" s="4291"/>
      <c r="Q86" s="4291"/>
      <c r="R86" s="4291"/>
      <c r="S86" s="4207"/>
      <c r="T86" s="4196"/>
      <c r="U86" s="4207"/>
      <c r="V86" s="4196"/>
      <c r="W86" s="4207"/>
      <c r="X86" s="4196"/>
      <c r="Y86" s="4207"/>
      <c r="Z86" s="4286">
        <f t="shared" si="25"/>
        <v>0</v>
      </c>
      <c r="AA86" s="4196"/>
      <c r="AB86" s="4197"/>
      <c r="AC86" s="4197"/>
      <c r="AD86" s="4207"/>
      <c r="AE86" s="4286">
        <f t="shared" si="26"/>
        <v>0</v>
      </c>
      <c r="AF86" s="4196"/>
      <c r="AG86" s="4197"/>
      <c r="AH86" s="4197"/>
      <c r="AI86" s="4304"/>
      <c r="AJ86" s="4288"/>
      <c r="AK86" s="4288"/>
      <c r="AL86" s="4296"/>
      <c r="AM86" s="4288"/>
      <c r="AN86" s="4288"/>
      <c r="AO86" s="4288"/>
      <c r="AP86" s="4288"/>
      <c r="AQ86" s="4288"/>
      <c r="AR86" s="4176" t="str">
        <f t="shared" si="27"/>
        <v/>
      </c>
      <c r="BD86" s="4176"/>
      <c r="BE86" s="4176"/>
      <c r="BF86" s="4176"/>
      <c r="BG86" s="4176"/>
      <c r="BH86" s="4176"/>
      <c r="BI86" s="4176"/>
      <c r="BJ86" s="4176"/>
      <c r="BK86" s="4176"/>
      <c r="BL86" s="4176"/>
      <c r="BM86" s="4176"/>
      <c r="BN86" s="4176"/>
      <c r="CB86" s="4177" t="str">
        <f t="shared" si="28"/>
        <v/>
      </c>
      <c r="CC86" s="4177" t="str">
        <f t="shared" si="29"/>
        <v/>
      </c>
      <c r="CD86" s="4177" t="str">
        <f t="shared" si="30"/>
        <v/>
      </c>
      <c r="CE86" s="4177" t="str">
        <f t="shared" si="31"/>
        <v/>
      </c>
      <c r="CF86" s="4177" t="str">
        <f t="shared" si="32"/>
        <v/>
      </c>
      <c r="CG86" s="4177" t="str">
        <f t="shared" si="33"/>
        <v/>
      </c>
      <c r="CH86" s="4177" t="str">
        <f t="shared" si="34"/>
        <v/>
      </c>
      <c r="CI86" s="4305"/>
      <c r="CJ86" s="4305"/>
      <c r="CL86" s="4177">
        <f t="shared" si="35"/>
        <v>0</v>
      </c>
      <c r="CM86" s="4177">
        <f t="shared" si="36"/>
        <v>0</v>
      </c>
      <c r="CN86" s="4177">
        <f t="shared" si="37"/>
        <v>0</v>
      </c>
      <c r="CO86" s="4177">
        <f t="shared" si="38"/>
        <v>0</v>
      </c>
      <c r="CP86" s="4177">
        <f t="shared" si="39"/>
        <v>0</v>
      </c>
      <c r="CQ86" s="4177">
        <f t="shared" si="40"/>
        <v>0</v>
      </c>
      <c r="CR86" s="4177">
        <f t="shared" si="41"/>
        <v>0</v>
      </c>
      <c r="CZ86" s="4177"/>
      <c r="DA86" s="4177"/>
      <c r="DB86" s="4177"/>
    </row>
    <row r="87" spans="1:106" ht="15.6" customHeight="1" x14ac:dyDescent="0.2">
      <c r="A87" s="4289" t="s">
        <v>463</v>
      </c>
      <c r="B87" s="4195">
        <f t="shared" si="24"/>
        <v>0</v>
      </c>
      <c r="C87" s="4196"/>
      <c r="D87" s="4291"/>
      <c r="E87" s="4291"/>
      <c r="F87" s="4291"/>
      <c r="G87" s="4291"/>
      <c r="H87" s="4291"/>
      <c r="I87" s="4291"/>
      <c r="J87" s="4291"/>
      <c r="K87" s="4291"/>
      <c r="L87" s="4291"/>
      <c r="M87" s="4291"/>
      <c r="N87" s="4291"/>
      <c r="O87" s="4291"/>
      <c r="P87" s="4291"/>
      <c r="Q87" s="4291"/>
      <c r="R87" s="4291"/>
      <c r="S87" s="4207"/>
      <c r="T87" s="4196"/>
      <c r="U87" s="4207"/>
      <c r="V87" s="4196"/>
      <c r="W87" s="4207"/>
      <c r="X87" s="4196"/>
      <c r="Y87" s="4207"/>
      <c r="Z87" s="4286">
        <f t="shared" si="25"/>
        <v>0</v>
      </c>
      <c r="AA87" s="4196"/>
      <c r="AB87" s="4197"/>
      <c r="AC87" s="4197"/>
      <c r="AD87" s="4207"/>
      <c r="AE87" s="4286">
        <f t="shared" si="26"/>
        <v>0</v>
      </c>
      <c r="AF87" s="4196"/>
      <c r="AG87" s="4197"/>
      <c r="AH87" s="4197"/>
      <c r="AI87" s="4304"/>
      <c r="AJ87" s="4288"/>
      <c r="AK87" s="4288"/>
      <c r="AL87" s="4296"/>
      <c r="AM87" s="4288"/>
      <c r="AN87" s="4288"/>
      <c r="AO87" s="4288"/>
      <c r="AP87" s="4288"/>
      <c r="AQ87" s="4288"/>
      <c r="AR87" s="4176" t="str">
        <f t="shared" si="27"/>
        <v/>
      </c>
      <c r="BD87" s="4176"/>
      <c r="BE87" s="4176"/>
      <c r="BF87" s="4176"/>
      <c r="BG87" s="4176"/>
      <c r="BH87" s="4176"/>
      <c r="BI87" s="4176"/>
      <c r="BJ87" s="4176"/>
      <c r="BK87" s="4176"/>
      <c r="BL87" s="4176"/>
      <c r="BM87" s="4176"/>
      <c r="BN87" s="4176"/>
      <c r="CB87" s="4177" t="str">
        <f t="shared" si="28"/>
        <v/>
      </c>
      <c r="CC87" s="4177" t="str">
        <f t="shared" si="29"/>
        <v/>
      </c>
      <c r="CD87" s="4177" t="str">
        <f t="shared" si="30"/>
        <v/>
      </c>
      <c r="CE87" s="4177" t="str">
        <f t="shared" si="31"/>
        <v/>
      </c>
      <c r="CF87" s="4177" t="str">
        <f t="shared" si="32"/>
        <v/>
      </c>
      <c r="CG87" s="4177" t="str">
        <f t="shared" si="33"/>
        <v/>
      </c>
      <c r="CH87" s="4177" t="str">
        <f t="shared" si="34"/>
        <v/>
      </c>
      <c r="CI87" s="4305"/>
      <c r="CJ87" s="4305"/>
      <c r="CL87" s="4177">
        <f t="shared" si="35"/>
        <v>0</v>
      </c>
      <c r="CM87" s="4177">
        <f t="shared" si="36"/>
        <v>0</v>
      </c>
      <c r="CN87" s="4177">
        <f t="shared" si="37"/>
        <v>0</v>
      </c>
      <c r="CO87" s="4177">
        <f t="shared" si="38"/>
        <v>0</v>
      </c>
      <c r="CP87" s="4177">
        <f t="shared" si="39"/>
        <v>0</v>
      </c>
      <c r="CQ87" s="4177">
        <f t="shared" si="40"/>
        <v>0</v>
      </c>
      <c r="CR87" s="4177">
        <f t="shared" si="41"/>
        <v>0</v>
      </c>
      <c r="CZ87" s="4177"/>
      <c r="DA87" s="4177"/>
      <c r="DB87" s="4177"/>
    </row>
    <row r="88" spans="1:106" ht="15.6" customHeight="1" x14ac:dyDescent="0.2">
      <c r="A88" s="4289" t="s">
        <v>284</v>
      </c>
      <c r="B88" s="4195">
        <f t="shared" si="24"/>
        <v>0</v>
      </c>
      <c r="C88" s="4196"/>
      <c r="D88" s="4291"/>
      <c r="E88" s="4291"/>
      <c r="F88" s="4291"/>
      <c r="G88" s="4291"/>
      <c r="H88" s="4291"/>
      <c r="I88" s="4291"/>
      <c r="J88" s="4291"/>
      <c r="K88" s="4291"/>
      <c r="L88" s="4291"/>
      <c r="M88" s="4291"/>
      <c r="N88" s="4291"/>
      <c r="O88" s="4291"/>
      <c r="P88" s="4291"/>
      <c r="Q88" s="4291"/>
      <c r="R88" s="4291"/>
      <c r="S88" s="4207"/>
      <c r="T88" s="4196"/>
      <c r="U88" s="4207"/>
      <c r="V88" s="4196"/>
      <c r="W88" s="4207"/>
      <c r="X88" s="4196"/>
      <c r="Y88" s="4207"/>
      <c r="Z88" s="4286">
        <f t="shared" si="25"/>
        <v>0</v>
      </c>
      <c r="AA88" s="4196"/>
      <c r="AB88" s="4197"/>
      <c r="AC88" s="4197"/>
      <c r="AD88" s="4207"/>
      <c r="AE88" s="4286">
        <f t="shared" si="26"/>
        <v>0</v>
      </c>
      <c r="AF88" s="4196"/>
      <c r="AG88" s="4197"/>
      <c r="AH88" s="4197"/>
      <c r="AI88" s="4304"/>
      <c r="AJ88" s="4288"/>
      <c r="AK88" s="4288"/>
      <c r="AL88" s="4296"/>
      <c r="AM88" s="4288"/>
      <c r="AN88" s="4288"/>
      <c r="AO88" s="4288"/>
      <c r="AP88" s="4288"/>
      <c r="AQ88" s="4288"/>
      <c r="AR88" s="4176" t="str">
        <f t="shared" si="27"/>
        <v/>
      </c>
      <c r="CB88" s="4177" t="str">
        <f t="shared" si="28"/>
        <v/>
      </c>
      <c r="CC88" s="4177" t="str">
        <f t="shared" si="29"/>
        <v/>
      </c>
      <c r="CD88" s="4177" t="str">
        <f t="shared" si="30"/>
        <v/>
      </c>
      <c r="CE88" s="4177" t="str">
        <f t="shared" si="31"/>
        <v/>
      </c>
      <c r="CF88" s="4177" t="str">
        <f t="shared" si="32"/>
        <v/>
      </c>
      <c r="CG88" s="4177" t="str">
        <f t="shared" si="33"/>
        <v/>
      </c>
      <c r="CH88" s="4177" t="str">
        <f t="shared" si="34"/>
        <v/>
      </c>
      <c r="CI88" s="4305"/>
      <c r="CJ88" s="4305"/>
      <c r="CL88" s="4177">
        <f t="shared" si="35"/>
        <v>0</v>
      </c>
      <c r="CM88" s="4177">
        <f t="shared" si="36"/>
        <v>0</v>
      </c>
      <c r="CN88" s="4177">
        <f t="shared" si="37"/>
        <v>0</v>
      </c>
      <c r="CO88" s="4177">
        <f t="shared" si="38"/>
        <v>0</v>
      </c>
      <c r="CP88" s="4177">
        <f t="shared" si="39"/>
        <v>0</v>
      </c>
      <c r="CQ88" s="4177">
        <f t="shared" si="40"/>
        <v>0</v>
      </c>
      <c r="CR88" s="4177">
        <f t="shared" si="41"/>
        <v>0</v>
      </c>
      <c r="CZ88" s="4177"/>
      <c r="DA88" s="4177"/>
      <c r="DB88" s="4177"/>
    </row>
    <row r="89" spans="1:106" ht="15.6" customHeight="1" x14ac:dyDescent="0.2">
      <c r="A89" s="4289" t="s">
        <v>464</v>
      </c>
      <c r="B89" s="4290">
        <f t="shared" si="24"/>
        <v>0</v>
      </c>
      <c r="C89" s="4196"/>
      <c r="D89" s="4291"/>
      <c r="E89" s="4291"/>
      <c r="F89" s="4291"/>
      <c r="G89" s="4291"/>
      <c r="H89" s="4291"/>
      <c r="I89" s="4291"/>
      <c r="J89" s="4291"/>
      <c r="K89" s="4291"/>
      <c r="L89" s="4291"/>
      <c r="M89" s="4291"/>
      <c r="N89" s="4291"/>
      <c r="O89" s="4291"/>
      <c r="P89" s="4291"/>
      <c r="Q89" s="4291"/>
      <c r="R89" s="4291"/>
      <c r="S89" s="4207"/>
      <c r="T89" s="4306"/>
      <c r="U89" s="4307"/>
      <c r="V89" s="4306"/>
      <c r="W89" s="4307"/>
      <c r="X89" s="4306"/>
      <c r="Y89" s="4307"/>
      <c r="Z89" s="4289">
        <f t="shared" si="25"/>
        <v>0</v>
      </c>
      <c r="AA89" s="4306"/>
      <c r="AB89" s="4308"/>
      <c r="AC89" s="4308"/>
      <c r="AD89" s="4307"/>
      <c r="AE89" s="4289">
        <f t="shared" si="26"/>
        <v>0</v>
      </c>
      <c r="AF89" s="4306"/>
      <c r="AG89" s="4308"/>
      <c r="AH89" s="4308"/>
      <c r="AI89" s="4309"/>
      <c r="AJ89" s="4296"/>
      <c r="AK89" s="4296"/>
      <c r="AL89" s="4296"/>
      <c r="AM89" s="4296"/>
      <c r="AN89" s="4296"/>
      <c r="AO89" s="4296"/>
      <c r="AP89" s="4296"/>
      <c r="AQ89" s="4296"/>
      <c r="AR89" s="4176" t="str">
        <f t="shared" si="27"/>
        <v/>
      </c>
      <c r="CB89" s="4177" t="str">
        <f t="shared" si="28"/>
        <v/>
      </c>
      <c r="CC89" s="4177" t="str">
        <f t="shared" si="29"/>
        <v/>
      </c>
      <c r="CD89" s="4177" t="str">
        <f t="shared" si="30"/>
        <v/>
      </c>
      <c r="CE89" s="4177" t="str">
        <f t="shared" si="31"/>
        <v/>
      </c>
      <c r="CF89" s="4177" t="str">
        <f t="shared" si="32"/>
        <v/>
      </c>
      <c r="CG89" s="4177" t="str">
        <f t="shared" si="33"/>
        <v/>
      </c>
      <c r="CH89" s="4177" t="str">
        <f t="shared" si="34"/>
        <v/>
      </c>
      <c r="CI89" s="4305"/>
      <c r="CJ89" s="4305"/>
      <c r="CL89" s="4177">
        <f t="shared" si="35"/>
        <v>0</v>
      </c>
      <c r="CM89" s="4177">
        <f t="shared" si="36"/>
        <v>0</v>
      </c>
      <c r="CN89" s="4177">
        <f t="shared" si="37"/>
        <v>0</v>
      </c>
      <c r="CO89" s="4177">
        <f t="shared" si="38"/>
        <v>0</v>
      </c>
      <c r="CP89" s="4177">
        <f t="shared" si="39"/>
        <v>0</v>
      </c>
      <c r="CQ89" s="4177">
        <f t="shared" si="40"/>
        <v>0</v>
      </c>
      <c r="CR89" s="4177">
        <f t="shared" si="41"/>
        <v>0</v>
      </c>
      <c r="CZ89" s="4177"/>
      <c r="DA89" s="4177"/>
      <c r="DB89" s="4177"/>
    </row>
    <row r="90" spans="1:106" ht="15.6" customHeight="1" x14ac:dyDescent="0.2">
      <c r="A90" s="4289" t="s">
        <v>3577</v>
      </c>
      <c r="B90" s="4290">
        <f t="shared" si="24"/>
        <v>0</v>
      </c>
      <c r="C90" s="4196"/>
      <c r="D90" s="4291"/>
      <c r="E90" s="4291"/>
      <c r="F90" s="4291"/>
      <c r="G90" s="4291"/>
      <c r="H90" s="4291"/>
      <c r="I90" s="4291"/>
      <c r="J90" s="4291"/>
      <c r="K90" s="4291"/>
      <c r="L90" s="4291"/>
      <c r="M90" s="4291"/>
      <c r="N90" s="4291"/>
      <c r="O90" s="4291"/>
      <c r="P90" s="4291"/>
      <c r="Q90" s="4291"/>
      <c r="R90" s="4291"/>
      <c r="S90" s="4207"/>
      <c r="T90" s="4306"/>
      <c r="U90" s="4307"/>
      <c r="V90" s="4306"/>
      <c r="W90" s="4307"/>
      <c r="X90" s="4306"/>
      <c r="Y90" s="4307"/>
      <c r="Z90" s="4289">
        <f t="shared" si="25"/>
        <v>0</v>
      </c>
      <c r="AA90" s="4306"/>
      <c r="AB90" s="4308"/>
      <c r="AC90" s="4308"/>
      <c r="AD90" s="4307"/>
      <c r="AE90" s="4289">
        <f t="shared" si="26"/>
        <v>0</v>
      </c>
      <c r="AF90" s="4306"/>
      <c r="AG90" s="4308"/>
      <c r="AH90" s="4308"/>
      <c r="AI90" s="4309"/>
      <c r="AJ90" s="4296"/>
      <c r="AK90" s="4296"/>
      <c r="AL90" s="4296"/>
      <c r="AM90" s="4296"/>
      <c r="AN90" s="4296"/>
      <c r="AO90" s="4296"/>
      <c r="AP90" s="4296"/>
      <c r="AQ90" s="4296"/>
      <c r="AR90" s="4176" t="str">
        <f t="shared" si="27"/>
        <v/>
      </c>
      <c r="CB90" s="4177" t="str">
        <f t="shared" si="28"/>
        <v/>
      </c>
      <c r="CC90" s="4177" t="str">
        <f t="shared" si="29"/>
        <v/>
      </c>
      <c r="CD90" s="4177" t="str">
        <f t="shared" si="30"/>
        <v/>
      </c>
      <c r="CE90" s="4177" t="str">
        <f t="shared" si="31"/>
        <v/>
      </c>
      <c r="CF90" s="4177" t="str">
        <f t="shared" si="32"/>
        <v/>
      </c>
      <c r="CG90" s="4177" t="str">
        <f t="shared" si="33"/>
        <v/>
      </c>
      <c r="CH90" s="4177" t="str">
        <f t="shared" si="34"/>
        <v/>
      </c>
      <c r="CI90" s="4305"/>
      <c r="CJ90" s="4305"/>
      <c r="CL90" s="4177">
        <f t="shared" si="35"/>
        <v>0</v>
      </c>
      <c r="CM90" s="4177">
        <f t="shared" si="36"/>
        <v>0</v>
      </c>
      <c r="CN90" s="4177">
        <f t="shared" si="37"/>
        <v>0</v>
      </c>
      <c r="CO90" s="4177">
        <f t="shared" si="38"/>
        <v>0</v>
      </c>
      <c r="CP90" s="4177">
        <f t="shared" si="39"/>
        <v>0</v>
      </c>
      <c r="CQ90" s="4177">
        <f t="shared" si="40"/>
        <v>0</v>
      </c>
      <c r="CR90" s="4177">
        <f t="shared" si="41"/>
        <v>0</v>
      </c>
      <c r="CZ90" s="4177"/>
      <c r="DA90" s="4177"/>
      <c r="DB90" s="4177"/>
    </row>
    <row r="91" spans="1:106" ht="15.6" customHeight="1" x14ac:dyDescent="0.2">
      <c r="A91" s="4289" t="s">
        <v>285</v>
      </c>
      <c r="B91" s="4290">
        <f t="shared" si="24"/>
        <v>0</v>
      </c>
      <c r="C91" s="4196"/>
      <c r="D91" s="4291"/>
      <c r="E91" s="4291"/>
      <c r="F91" s="4291"/>
      <c r="G91" s="4291"/>
      <c r="H91" s="4291"/>
      <c r="I91" s="4291"/>
      <c r="J91" s="4291"/>
      <c r="K91" s="4291"/>
      <c r="L91" s="4291"/>
      <c r="M91" s="4291"/>
      <c r="N91" s="4291"/>
      <c r="O91" s="4291"/>
      <c r="P91" s="4291"/>
      <c r="Q91" s="4291"/>
      <c r="R91" s="4291"/>
      <c r="S91" s="4207"/>
      <c r="T91" s="4306"/>
      <c r="U91" s="4307"/>
      <c r="V91" s="4306"/>
      <c r="W91" s="4307"/>
      <c r="X91" s="4306"/>
      <c r="Y91" s="4307"/>
      <c r="Z91" s="4289">
        <f t="shared" si="25"/>
        <v>0</v>
      </c>
      <c r="AA91" s="4306"/>
      <c r="AB91" s="4308"/>
      <c r="AC91" s="4308"/>
      <c r="AD91" s="4307"/>
      <c r="AE91" s="4289">
        <f t="shared" si="26"/>
        <v>0</v>
      </c>
      <c r="AF91" s="4306"/>
      <c r="AG91" s="4308"/>
      <c r="AH91" s="4308"/>
      <c r="AI91" s="4309"/>
      <c r="AJ91" s="4296"/>
      <c r="AK91" s="4296"/>
      <c r="AL91" s="4296"/>
      <c r="AM91" s="4296"/>
      <c r="AN91" s="4296"/>
      <c r="AO91" s="4296"/>
      <c r="AP91" s="4296"/>
      <c r="AQ91" s="4296"/>
      <c r="AR91" s="4176" t="str">
        <f t="shared" si="27"/>
        <v/>
      </c>
      <c r="CB91" s="4177" t="str">
        <f t="shared" si="28"/>
        <v/>
      </c>
      <c r="CC91" s="4177" t="str">
        <f t="shared" si="29"/>
        <v/>
      </c>
      <c r="CD91" s="4177" t="str">
        <f t="shared" si="30"/>
        <v/>
      </c>
      <c r="CE91" s="4177" t="str">
        <f t="shared" si="31"/>
        <v/>
      </c>
      <c r="CF91" s="4177" t="str">
        <f t="shared" si="32"/>
        <v/>
      </c>
      <c r="CG91" s="4177" t="str">
        <f t="shared" si="33"/>
        <v/>
      </c>
      <c r="CH91" s="4177" t="str">
        <f t="shared" si="34"/>
        <v/>
      </c>
      <c r="CI91" s="4305"/>
      <c r="CJ91" s="4305"/>
      <c r="CL91" s="4177">
        <f t="shared" si="35"/>
        <v>0</v>
      </c>
      <c r="CM91" s="4177">
        <f t="shared" si="36"/>
        <v>0</v>
      </c>
      <c r="CN91" s="4177">
        <f t="shared" si="37"/>
        <v>0</v>
      </c>
      <c r="CO91" s="4177">
        <f t="shared" si="38"/>
        <v>0</v>
      </c>
      <c r="CP91" s="4177">
        <f t="shared" si="39"/>
        <v>0</v>
      </c>
      <c r="CQ91" s="4177">
        <f t="shared" si="40"/>
        <v>0</v>
      </c>
      <c r="CR91" s="4177">
        <f t="shared" si="41"/>
        <v>0</v>
      </c>
      <c r="CZ91" s="4177"/>
      <c r="DA91" s="4177"/>
      <c r="DB91" s="4177"/>
    </row>
    <row r="92" spans="1:106" ht="15.6" customHeight="1" x14ac:dyDescent="0.2">
      <c r="A92" s="4289" t="s">
        <v>450</v>
      </c>
      <c r="B92" s="4290">
        <f t="shared" si="24"/>
        <v>0</v>
      </c>
      <c r="C92" s="4310"/>
      <c r="D92" s="4311"/>
      <c r="E92" s="4311"/>
      <c r="F92" s="4311"/>
      <c r="G92" s="4311"/>
      <c r="H92" s="4311"/>
      <c r="I92" s="4311"/>
      <c r="J92" s="4311"/>
      <c r="K92" s="4311"/>
      <c r="L92" s="4291"/>
      <c r="M92" s="4291"/>
      <c r="N92" s="4291"/>
      <c r="O92" s="4291"/>
      <c r="P92" s="4291"/>
      <c r="Q92" s="4291"/>
      <c r="R92" s="4291"/>
      <c r="S92" s="4207"/>
      <c r="T92" s="4306"/>
      <c r="U92" s="4307"/>
      <c r="V92" s="4306"/>
      <c r="W92" s="4307"/>
      <c r="X92" s="4306"/>
      <c r="Y92" s="4307"/>
      <c r="Z92" s="4289">
        <f t="shared" si="25"/>
        <v>0</v>
      </c>
      <c r="AA92" s="4306"/>
      <c r="AB92" s="4308"/>
      <c r="AC92" s="4308"/>
      <c r="AD92" s="4307"/>
      <c r="AE92" s="4289">
        <f t="shared" si="26"/>
        <v>0</v>
      </c>
      <c r="AF92" s="4306"/>
      <c r="AG92" s="4308"/>
      <c r="AH92" s="4308"/>
      <c r="AI92" s="4309"/>
      <c r="AJ92" s="4296"/>
      <c r="AK92" s="4296"/>
      <c r="AL92" s="4296"/>
      <c r="AM92" s="4296"/>
      <c r="AN92" s="4296"/>
      <c r="AO92" s="4296"/>
      <c r="AP92" s="4296"/>
      <c r="AQ92" s="4296"/>
      <c r="AR92" s="4176" t="str">
        <f t="shared" si="27"/>
        <v/>
      </c>
      <c r="CB92" s="4177" t="str">
        <f t="shared" si="28"/>
        <v/>
      </c>
      <c r="CC92" s="4177" t="str">
        <f t="shared" si="29"/>
        <v/>
      </c>
      <c r="CD92" s="4177" t="str">
        <f t="shared" si="30"/>
        <v/>
      </c>
      <c r="CE92" s="4177" t="str">
        <f t="shared" si="31"/>
        <v/>
      </c>
      <c r="CF92" s="4177" t="str">
        <f t="shared" si="32"/>
        <v/>
      </c>
      <c r="CG92" s="4177" t="str">
        <f t="shared" si="33"/>
        <v/>
      </c>
      <c r="CH92" s="4177" t="str">
        <f t="shared" si="34"/>
        <v/>
      </c>
      <c r="CI92" s="4305"/>
      <c r="CJ92" s="4305"/>
      <c r="CL92" s="4177">
        <f t="shared" si="35"/>
        <v>0</v>
      </c>
      <c r="CM92" s="4177">
        <f t="shared" si="36"/>
        <v>0</v>
      </c>
      <c r="CN92" s="4177">
        <f t="shared" si="37"/>
        <v>0</v>
      </c>
      <c r="CO92" s="4177">
        <f>IF(X92&gt;SUM($C92:$S92),1,0)</f>
        <v>0</v>
      </c>
      <c r="CP92" s="4177">
        <f t="shared" si="39"/>
        <v>0</v>
      </c>
      <c r="CQ92" s="4177">
        <f t="shared" si="40"/>
        <v>0</v>
      </c>
      <c r="CR92" s="4177">
        <f t="shared" si="41"/>
        <v>0</v>
      </c>
      <c r="CZ92" s="4177"/>
      <c r="DA92" s="4177"/>
      <c r="DB92" s="4177"/>
    </row>
    <row r="93" spans="1:106" ht="15.6" customHeight="1" x14ac:dyDescent="0.2">
      <c r="A93" s="4289" t="s">
        <v>286</v>
      </c>
      <c r="B93" s="4290">
        <f t="shared" si="24"/>
        <v>0</v>
      </c>
      <c r="C93" s="4196"/>
      <c r="D93" s="4291"/>
      <c r="E93" s="4291"/>
      <c r="F93" s="4291"/>
      <c r="G93" s="4291"/>
      <c r="H93" s="4291"/>
      <c r="I93" s="4291"/>
      <c r="J93" s="4291"/>
      <c r="K93" s="4291"/>
      <c r="L93" s="4291"/>
      <c r="M93" s="4291"/>
      <c r="N93" s="4291"/>
      <c r="O93" s="4291"/>
      <c r="P93" s="4291"/>
      <c r="Q93" s="4291"/>
      <c r="R93" s="4291"/>
      <c r="S93" s="4207"/>
      <c r="T93" s="4306"/>
      <c r="U93" s="4307"/>
      <c r="V93" s="4306"/>
      <c r="W93" s="4307"/>
      <c r="X93" s="4306"/>
      <c r="Y93" s="4307"/>
      <c r="Z93" s="4289">
        <f t="shared" si="25"/>
        <v>0</v>
      </c>
      <c r="AA93" s="4306"/>
      <c r="AB93" s="4308"/>
      <c r="AC93" s="4308"/>
      <c r="AD93" s="4307"/>
      <c r="AE93" s="4289">
        <f t="shared" si="26"/>
        <v>0</v>
      </c>
      <c r="AF93" s="4306"/>
      <c r="AG93" s="4308"/>
      <c r="AH93" s="4308"/>
      <c r="AI93" s="4309"/>
      <c r="AJ93" s="4296"/>
      <c r="AK93" s="4296"/>
      <c r="AL93" s="4296"/>
      <c r="AM93" s="4296"/>
      <c r="AN93" s="4296"/>
      <c r="AO93" s="4296"/>
      <c r="AP93" s="4296"/>
      <c r="AQ93" s="4296"/>
      <c r="AR93" s="4176" t="str">
        <f t="shared" si="27"/>
        <v/>
      </c>
      <c r="CB93" s="4177" t="str">
        <f t="shared" si="28"/>
        <v/>
      </c>
      <c r="CC93" s="4177" t="str">
        <f t="shared" si="29"/>
        <v/>
      </c>
      <c r="CD93" s="4177" t="str">
        <f t="shared" si="30"/>
        <v/>
      </c>
      <c r="CE93" s="4177" t="str">
        <f t="shared" si="31"/>
        <v/>
      </c>
      <c r="CF93" s="4177" t="str">
        <f t="shared" si="32"/>
        <v/>
      </c>
      <c r="CG93" s="4177" t="str">
        <f t="shared" si="33"/>
        <v/>
      </c>
      <c r="CH93" s="4177" t="str">
        <f t="shared" si="34"/>
        <v/>
      </c>
      <c r="CI93" s="4305"/>
      <c r="CJ93" s="4305"/>
      <c r="CL93" s="4177">
        <f t="shared" si="35"/>
        <v>0</v>
      </c>
      <c r="CM93" s="4177">
        <f t="shared" si="36"/>
        <v>0</v>
      </c>
      <c r="CN93" s="4177">
        <f t="shared" si="37"/>
        <v>0</v>
      </c>
      <c r="CO93" s="4177">
        <f t="shared" si="38"/>
        <v>0</v>
      </c>
      <c r="CP93" s="4177">
        <f t="shared" si="39"/>
        <v>0</v>
      </c>
      <c r="CQ93" s="4177">
        <f t="shared" si="40"/>
        <v>0</v>
      </c>
      <c r="CR93" s="4177">
        <f t="shared" si="41"/>
        <v>0</v>
      </c>
      <c r="CZ93" s="4177"/>
      <c r="DA93" s="4177"/>
      <c r="DB93" s="4177"/>
    </row>
    <row r="94" spans="1:106" ht="15.6" customHeight="1" x14ac:dyDescent="0.2">
      <c r="A94" s="4289" t="s">
        <v>287</v>
      </c>
      <c r="B94" s="4290">
        <f t="shared" si="24"/>
        <v>0</v>
      </c>
      <c r="C94" s="4196"/>
      <c r="D94" s="4291"/>
      <c r="E94" s="4291"/>
      <c r="F94" s="4291"/>
      <c r="G94" s="4291"/>
      <c r="H94" s="4291"/>
      <c r="I94" s="4291"/>
      <c r="J94" s="4291"/>
      <c r="K94" s="4291"/>
      <c r="L94" s="4291"/>
      <c r="M94" s="4291"/>
      <c r="N94" s="4291"/>
      <c r="O94" s="4291"/>
      <c r="P94" s="4291"/>
      <c r="Q94" s="4291"/>
      <c r="R94" s="4291"/>
      <c r="S94" s="4207"/>
      <c r="T94" s="4306"/>
      <c r="U94" s="4307"/>
      <c r="V94" s="4306"/>
      <c r="W94" s="4307"/>
      <c r="X94" s="4306"/>
      <c r="Y94" s="4307"/>
      <c r="Z94" s="4289">
        <f t="shared" si="25"/>
        <v>0</v>
      </c>
      <c r="AA94" s="4306"/>
      <c r="AB94" s="4308"/>
      <c r="AC94" s="4308"/>
      <c r="AD94" s="4307"/>
      <c r="AE94" s="4289">
        <f t="shared" si="26"/>
        <v>0</v>
      </c>
      <c r="AF94" s="4306"/>
      <c r="AG94" s="4308"/>
      <c r="AH94" s="4308"/>
      <c r="AI94" s="4309"/>
      <c r="AJ94" s="4296"/>
      <c r="AK94" s="4296"/>
      <c r="AL94" s="4296"/>
      <c r="AM94" s="4296"/>
      <c r="AN94" s="4296"/>
      <c r="AO94" s="4296"/>
      <c r="AP94" s="4296"/>
      <c r="AQ94" s="4296"/>
      <c r="AR94" s="4176" t="str">
        <f t="shared" si="27"/>
        <v/>
      </c>
      <c r="CB94" s="4177" t="str">
        <f t="shared" si="28"/>
        <v/>
      </c>
      <c r="CC94" s="4177" t="str">
        <f t="shared" si="29"/>
        <v/>
      </c>
      <c r="CD94" s="4177" t="str">
        <f t="shared" si="30"/>
        <v/>
      </c>
      <c r="CE94" s="4177" t="str">
        <f t="shared" si="31"/>
        <v/>
      </c>
      <c r="CF94" s="4177" t="str">
        <f t="shared" si="32"/>
        <v/>
      </c>
      <c r="CG94" s="4177" t="str">
        <f t="shared" si="33"/>
        <v/>
      </c>
      <c r="CH94" s="4177" t="str">
        <f t="shared" si="34"/>
        <v/>
      </c>
      <c r="CI94" s="4305"/>
      <c r="CJ94" s="4305"/>
      <c r="CL94" s="4177">
        <f t="shared" si="35"/>
        <v>0</v>
      </c>
      <c r="CM94" s="4177">
        <f t="shared" si="36"/>
        <v>0</v>
      </c>
      <c r="CN94" s="4177">
        <f t="shared" si="37"/>
        <v>0</v>
      </c>
      <c r="CO94" s="4177">
        <f t="shared" si="38"/>
        <v>0</v>
      </c>
      <c r="CP94" s="4177">
        <f t="shared" si="39"/>
        <v>0</v>
      </c>
      <c r="CQ94" s="4177">
        <f t="shared" si="40"/>
        <v>0</v>
      </c>
      <c r="CR94" s="4177">
        <f t="shared" si="41"/>
        <v>0</v>
      </c>
      <c r="CZ94" s="4177"/>
      <c r="DA94" s="4177"/>
      <c r="DB94" s="4177"/>
    </row>
    <row r="95" spans="1:106" ht="15.6" customHeight="1" x14ac:dyDescent="0.2">
      <c r="A95" s="4280" t="s">
        <v>416</v>
      </c>
      <c r="B95" s="4195">
        <f t="shared" si="24"/>
        <v>0</v>
      </c>
      <c r="C95" s="4196"/>
      <c r="D95" s="4291"/>
      <c r="E95" s="4291"/>
      <c r="F95" s="4291"/>
      <c r="G95" s="4291"/>
      <c r="H95" s="4291"/>
      <c r="I95" s="4291"/>
      <c r="J95" s="4291"/>
      <c r="K95" s="4291"/>
      <c r="L95" s="4291"/>
      <c r="M95" s="4291"/>
      <c r="N95" s="4291"/>
      <c r="O95" s="4291"/>
      <c r="P95" s="4291"/>
      <c r="Q95" s="4291"/>
      <c r="R95" s="4291"/>
      <c r="S95" s="4207"/>
      <c r="T95" s="4196"/>
      <c r="U95" s="4207"/>
      <c r="V95" s="4196"/>
      <c r="W95" s="4207"/>
      <c r="X95" s="4196"/>
      <c r="Y95" s="4207"/>
      <c r="Z95" s="4286">
        <f t="shared" si="25"/>
        <v>0</v>
      </c>
      <c r="AA95" s="4196"/>
      <c r="AB95" s="4197"/>
      <c r="AC95" s="4197"/>
      <c r="AD95" s="4207"/>
      <c r="AE95" s="4286">
        <f t="shared" si="26"/>
        <v>0</v>
      </c>
      <c r="AF95" s="4196"/>
      <c r="AG95" s="4197"/>
      <c r="AH95" s="4197"/>
      <c r="AI95" s="4304"/>
      <c r="AJ95" s="4288"/>
      <c r="AK95" s="4288"/>
      <c r="AL95" s="4296"/>
      <c r="AM95" s="4288"/>
      <c r="AN95" s="4288"/>
      <c r="AO95" s="4288"/>
      <c r="AP95" s="4288"/>
      <c r="AQ95" s="4288"/>
      <c r="AR95" s="4176" t="str">
        <f t="shared" si="27"/>
        <v/>
      </c>
      <c r="CB95" s="4177" t="str">
        <f t="shared" si="28"/>
        <v/>
      </c>
      <c r="CC95" s="4177" t="str">
        <f t="shared" si="29"/>
        <v/>
      </c>
      <c r="CD95" s="4177" t="str">
        <f t="shared" si="30"/>
        <v/>
      </c>
      <c r="CE95" s="4177" t="str">
        <f t="shared" si="31"/>
        <v/>
      </c>
      <c r="CF95" s="4177" t="str">
        <f t="shared" si="32"/>
        <v/>
      </c>
      <c r="CG95" s="4177" t="str">
        <f t="shared" si="33"/>
        <v/>
      </c>
      <c r="CH95" s="4177" t="str">
        <f t="shared" si="34"/>
        <v/>
      </c>
      <c r="CI95" s="4305"/>
      <c r="CJ95" s="4305"/>
      <c r="CL95" s="4177">
        <f t="shared" si="35"/>
        <v>0</v>
      </c>
      <c r="CM95" s="4177">
        <f t="shared" si="36"/>
        <v>0</v>
      </c>
      <c r="CN95" s="4177">
        <f t="shared" si="37"/>
        <v>0</v>
      </c>
      <c r="CO95" s="4177">
        <f t="shared" si="38"/>
        <v>0</v>
      </c>
      <c r="CP95" s="4177">
        <f t="shared" si="39"/>
        <v>0</v>
      </c>
      <c r="CQ95" s="4177">
        <f t="shared" si="40"/>
        <v>0</v>
      </c>
      <c r="CR95" s="4177">
        <f t="shared" si="41"/>
        <v>0</v>
      </c>
      <c r="CZ95" s="4177"/>
      <c r="DA95" s="4177"/>
      <c r="DB95" s="4177"/>
    </row>
    <row r="96" spans="1:106" ht="15.6" customHeight="1" x14ac:dyDescent="0.2">
      <c r="A96" s="4312" t="s">
        <v>417</v>
      </c>
      <c r="B96" s="4195">
        <f t="shared" si="24"/>
        <v>0</v>
      </c>
      <c r="C96" s="4313"/>
      <c r="D96" s="4314"/>
      <c r="E96" s="4314"/>
      <c r="F96" s="4314"/>
      <c r="G96" s="4314"/>
      <c r="H96" s="4314"/>
      <c r="I96" s="4314"/>
      <c r="J96" s="4314"/>
      <c r="K96" s="4314"/>
      <c r="L96" s="4314"/>
      <c r="M96" s="4314"/>
      <c r="N96" s="4314"/>
      <c r="O96" s="4314"/>
      <c r="P96" s="4314"/>
      <c r="Q96" s="4314"/>
      <c r="R96" s="4314"/>
      <c r="S96" s="4315"/>
      <c r="T96" s="4196"/>
      <c r="U96" s="4207"/>
      <c r="V96" s="4196"/>
      <c r="W96" s="4207"/>
      <c r="X96" s="4196"/>
      <c r="Y96" s="4207"/>
      <c r="Z96" s="4286">
        <f t="shared" si="25"/>
        <v>0</v>
      </c>
      <c r="AA96" s="4196"/>
      <c r="AB96" s="4197"/>
      <c r="AC96" s="4197"/>
      <c r="AD96" s="4207"/>
      <c r="AE96" s="4286">
        <f t="shared" si="26"/>
        <v>0</v>
      </c>
      <c r="AF96" s="4196"/>
      <c r="AG96" s="4197"/>
      <c r="AH96" s="4197"/>
      <c r="AI96" s="4304"/>
      <c r="AJ96" s="4288"/>
      <c r="AK96" s="4288"/>
      <c r="AL96" s="4296"/>
      <c r="AM96" s="4288"/>
      <c r="AN96" s="4288"/>
      <c r="AO96" s="4288"/>
      <c r="AP96" s="4288"/>
      <c r="AQ96" s="4288"/>
      <c r="AR96" s="4176" t="str">
        <f t="shared" si="27"/>
        <v/>
      </c>
      <c r="CB96" s="4177" t="str">
        <f t="shared" si="28"/>
        <v/>
      </c>
      <c r="CC96" s="4177" t="str">
        <f t="shared" si="29"/>
        <v/>
      </c>
      <c r="CD96" s="4177" t="str">
        <f t="shared" si="30"/>
        <v/>
      </c>
      <c r="CE96" s="4177" t="str">
        <f t="shared" si="31"/>
        <v/>
      </c>
      <c r="CF96" s="4177" t="str">
        <f t="shared" si="32"/>
        <v/>
      </c>
      <c r="CG96" s="4177" t="str">
        <f t="shared" si="33"/>
        <v/>
      </c>
      <c r="CH96" s="4177" t="str">
        <f t="shared" si="34"/>
        <v/>
      </c>
      <c r="CI96" s="4305"/>
      <c r="CJ96" s="4305"/>
      <c r="CL96" s="4177">
        <f t="shared" si="35"/>
        <v>0</v>
      </c>
      <c r="CM96" s="4177">
        <f t="shared" si="36"/>
        <v>0</v>
      </c>
      <c r="CN96" s="4177">
        <f t="shared" si="37"/>
        <v>0</v>
      </c>
      <c r="CO96" s="4177">
        <f t="shared" si="38"/>
        <v>0</v>
      </c>
      <c r="CP96" s="4177">
        <f t="shared" si="39"/>
        <v>0</v>
      </c>
      <c r="CQ96" s="4177">
        <f t="shared" si="40"/>
        <v>0</v>
      </c>
      <c r="CR96" s="4177">
        <f t="shared" si="41"/>
        <v>0</v>
      </c>
      <c r="CZ96" s="4177"/>
      <c r="DA96" s="4177"/>
      <c r="DB96" s="4177"/>
    </row>
    <row r="97" spans="1:106" ht="21" customHeight="1" x14ac:dyDescent="0.2">
      <c r="A97" s="4316" t="s">
        <v>24</v>
      </c>
      <c r="B97" s="4317">
        <f>SUM(C97:S97)</f>
        <v>0</v>
      </c>
      <c r="C97" s="4318">
        <f>SUM(C37:C96)</f>
        <v>0</v>
      </c>
      <c r="D97" s="4319">
        <f>SUM(D37:D96)</f>
        <v>0</v>
      </c>
      <c r="E97" s="4319">
        <f t="shared" ref="E97:AP97" si="42">SUM(E37:E96)</f>
        <v>0</v>
      </c>
      <c r="F97" s="4319">
        <f t="shared" si="42"/>
        <v>0</v>
      </c>
      <c r="G97" s="4319">
        <f t="shared" si="42"/>
        <v>0</v>
      </c>
      <c r="H97" s="4320">
        <f t="shared" si="42"/>
        <v>0</v>
      </c>
      <c r="I97" s="4319">
        <f t="shared" si="42"/>
        <v>0</v>
      </c>
      <c r="J97" s="4319">
        <f t="shared" si="42"/>
        <v>0</v>
      </c>
      <c r="K97" s="4319">
        <f t="shared" si="42"/>
        <v>0</v>
      </c>
      <c r="L97" s="4319">
        <f t="shared" si="42"/>
        <v>0</v>
      </c>
      <c r="M97" s="4319">
        <f t="shared" si="42"/>
        <v>0</v>
      </c>
      <c r="N97" s="4319">
        <f t="shared" si="42"/>
        <v>0</v>
      </c>
      <c r="O97" s="4319">
        <f t="shared" si="42"/>
        <v>0</v>
      </c>
      <c r="P97" s="4319">
        <f t="shared" si="42"/>
        <v>0</v>
      </c>
      <c r="Q97" s="4319">
        <f t="shared" si="42"/>
        <v>0</v>
      </c>
      <c r="R97" s="4319">
        <f t="shared" si="42"/>
        <v>0</v>
      </c>
      <c r="S97" s="4321">
        <f t="shared" si="42"/>
        <v>0</v>
      </c>
      <c r="T97" s="4322">
        <f t="shared" si="42"/>
        <v>0</v>
      </c>
      <c r="U97" s="4321">
        <f t="shared" si="42"/>
        <v>0</v>
      </c>
      <c r="V97" s="4322">
        <f t="shared" si="42"/>
        <v>0</v>
      </c>
      <c r="W97" s="4321">
        <f t="shared" si="42"/>
        <v>0</v>
      </c>
      <c r="X97" s="4322">
        <f t="shared" si="42"/>
        <v>0</v>
      </c>
      <c r="Y97" s="4321">
        <f t="shared" si="42"/>
        <v>0</v>
      </c>
      <c r="Z97" s="4323">
        <f t="shared" si="42"/>
        <v>0</v>
      </c>
      <c r="AA97" s="4322">
        <f t="shared" si="42"/>
        <v>0</v>
      </c>
      <c r="AB97" s="4324">
        <f t="shared" si="42"/>
        <v>0</v>
      </c>
      <c r="AC97" s="4324">
        <f t="shared" si="42"/>
        <v>0</v>
      </c>
      <c r="AD97" s="4325">
        <f t="shared" si="42"/>
        <v>0</v>
      </c>
      <c r="AE97" s="4323">
        <f t="shared" si="42"/>
        <v>0</v>
      </c>
      <c r="AF97" s="4322">
        <f t="shared" si="42"/>
        <v>0</v>
      </c>
      <c r="AG97" s="4324">
        <f t="shared" si="42"/>
        <v>0</v>
      </c>
      <c r="AH97" s="4324">
        <f t="shared" si="42"/>
        <v>0</v>
      </c>
      <c r="AI97" s="4326">
        <f t="shared" si="42"/>
        <v>0</v>
      </c>
      <c r="AJ97" s="4321">
        <f>SUM(AJ37:AJ96)</f>
        <v>0</v>
      </c>
      <c r="AK97" s="4321">
        <f>SUM(AK37:AK96)</f>
        <v>0</v>
      </c>
      <c r="AL97" s="7933">
        <f>SUM(AL37:AL96)</f>
        <v>0</v>
      </c>
      <c r="AM97" s="4321">
        <f t="shared" si="42"/>
        <v>0</v>
      </c>
      <c r="AN97" s="4321">
        <f t="shared" si="42"/>
        <v>0</v>
      </c>
      <c r="AO97" s="4321">
        <f t="shared" si="42"/>
        <v>0</v>
      </c>
      <c r="AP97" s="4321">
        <f t="shared" si="42"/>
        <v>0</v>
      </c>
      <c r="AQ97" s="4321">
        <f>SUM(AQ37:AQ96)</f>
        <v>0</v>
      </c>
      <c r="CG97" s="4305"/>
      <c r="CH97" s="4305"/>
      <c r="CI97" s="4305"/>
      <c r="CJ97" s="4305"/>
      <c r="CK97" s="4305"/>
      <c r="CL97" s="4305"/>
      <c r="CZ97" s="4177"/>
      <c r="DA97" s="4177"/>
      <c r="DB97" s="4177"/>
    </row>
    <row r="98" spans="1:106" s="4329" customFormat="1" ht="25.5" customHeight="1" x14ac:dyDescent="0.2">
      <c r="A98" s="5402" t="s">
        <v>3095</v>
      </c>
      <c r="B98" s="4327"/>
      <c r="C98" s="4327"/>
      <c r="D98" s="4327"/>
      <c r="E98" s="4327"/>
      <c r="F98" s="4327"/>
      <c r="G98" s="4328"/>
      <c r="H98" s="4328"/>
      <c r="I98" s="4328"/>
      <c r="J98" s="4328"/>
      <c r="K98" s="4328"/>
      <c r="L98" s="4328"/>
      <c r="M98" s="4328"/>
      <c r="N98" s="4328"/>
      <c r="O98" s="4328"/>
      <c r="P98" s="4328"/>
      <c r="Q98" s="4328"/>
      <c r="R98" s="4328"/>
      <c r="S98" s="4328"/>
      <c r="T98" s="4328"/>
      <c r="U98" s="4328"/>
      <c r="V98" s="4328"/>
      <c r="W98" s="4328"/>
      <c r="X98" s="4328"/>
      <c r="Y98" s="4328"/>
      <c r="Z98" s="4328"/>
      <c r="AA98" s="4328"/>
      <c r="AB98" s="4302"/>
      <c r="AC98" s="4302"/>
      <c r="AD98" s="4328"/>
      <c r="AE98" s="4328"/>
      <c r="AF98" s="4328"/>
      <c r="AG98" s="4328"/>
      <c r="AH98" s="4328"/>
      <c r="AI98" s="4328"/>
      <c r="AJ98" s="4328"/>
      <c r="AK98" s="4328"/>
      <c r="AL98" s="4328"/>
      <c r="AM98" s="4328"/>
      <c r="AN98" s="4328"/>
      <c r="AO98" s="4328"/>
      <c r="AP98" s="4328"/>
      <c r="AQ98" s="4328"/>
      <c r="AR98" s="4265"/>
      <c r="AS98" s="4265"/>
      <c r="AT98" s="4305"/>
      <c r="AU98" s="4305"/>
      <c r="AV98" s="4305"/>
      <c r="AW98" s="4305"/>
      <c r="AX98" s="4305"/>
      <c r="AY98" s="4305"/>
      <c r="AZ98" s="4305"/>
      <c r="BA98" s="4305"/>
      <c r="BB98" s="4305"/>
      <c r="BC98" s="4305"/>
      <c r="BD98" s="4305"/>
      <c r="BE98" s="4305"/>
      <c r="BF98" s="4305"/>
      <c r="BG98" s="4305"/>
      <c r="BH98" s="4305"/>
      <c r="BI98" s="4305"/>
      <c r="BJ98" s="4177"/>
      <c r="BK98" s="4177"/>
      <c r="BL98" s="4177"/>
      <c r="BM98" s="4177"/>
      <c r="BN98" s="4177"/>
      <c r="BO98" s="4177"/>
      <c r="BP98" s="4177"/>
      <c r="BQ98" s="4177"/>
      <c r="BR98" s="4177"/>
      <c r="BS98" s="4177"/>
      <c r="BT98" s="4177"/>
      <c r="BU98" s="4177"/>
      <c r="BV98" s="4177"/>
      <c r="BW98" s="4177"/>
      <c r="BX98" s="4177"/>
      <c r="BY98" s="4177"/>
      <c r="BZ98" s="4177"/>
      <c r="CA98" s="4177"/>
      <c r="CB98" s="4177"/>
      <c r="CC98" s="4177"/>
      <c r="CD98" s="4177"/>
      <c r="CE98" s="4177"/>
      <c r="CF98" s="4305"/>
      <c r="CG98" s="4305"/>
      <c r="CH98" s="4305"/>
      <c r="CI98" s="4305"/>
      <c r="CJ98" s="4305"/>
      <c r="CK98" s="4305"/>
      <c r="CL98" s="4305"/>
      <c r="CM98" s="4305"/>
      <c r="CN98" s="4305"/>
      <c r="CO98" s="4305"/>
      <c r="CP98" s="4305"/>
      <c r="CQ98" s="4305"/>
      <c r="CR98" s="4305"/>
      <c r="CS98" s="4305"/>
      <c r="CT98" s="4305"/>
      <c r="CU98" s="4305"/>
      <c r="CV98" s="4305"/>
      <c r="CW98" s="4305"/>
      <c r="CX98" s="4305"/>
      <c r="CY98" s="4305"/>
    </row>
    <row r="99" spans="1:106" s="4329" customFormat="1" ht="25.5" customHeight="1" x14ac:dyDescent="0.2">
      <c r="A99" s="10775" t="s">
        <v>0</v>
      </c>
      <c r="B99" s="10503"/>
      <c r="C99" s="10775" t="s">
        <v>39</v>
      </c>
      <c r="D99" s="10830"/>
      <c r="E99" s="10503"/>
      <c r="F99" s="10751" t="s">
        <v>98</v>
      </c>
      <c r="G99" s="10814"/>
      <c r="H99" s="10814"/>
      <c r="I99" s="10814"/>
      <c r="J99" s="10814"/>
      <c r="K99" s="10814"/>
      <c r="L99" s="10814"/>
      <c r="M99" s="10814"/>
      <c r="N99" s="10814"/>
      <c r="O99" s="10814"/>
      <c r="P99" s="10814"/>
      <c r="Q99" s="10814"/>
      <c r="R99" s="10814"/>
      <c r="S99" s="10814"/>
      <c r="T99" s="10814"/>
      <c r="U99" s="10814"/>
      <c r="V99" s="10814"/>
      <c r="W99" s="10814"/>
      <c r="X99" s="10814"/>
      <c r="Y99" s="10814"/>
      <c r="Z99" s="10814"/>
      <c r="AA99" s="10814"/>
      <c r="AB99" s="10814"/>
      <c r="AC99" s="10814"/>
      <c r="AD99" s="10814"/>
      <c r="AE99" s="10814"/>
      <c r="AF99" s="10814"/>
      <c r="AG99" s="10814"/>
      <c r="AH99" s="10814"/>
      <c r="AI99" s="10814"/>
      <c r="AJ99" s="10814"/>
      <c r="AK99" s="10814"/>
      <c r="AL99" s="10814"/>
      <c r="AM99" s="10862"/>
      <c r="AN99" s="10731" t="s">
        <v>3743</v>
      </c>
      <c r="AO99" s="10733"/>
      <c r="AP99" s="10865" t="s">
        <v>358</v>
      </c>
      <c r="AQ99" s="8206" t="s">
        <v>362</v>
      </c>
      <c r="AR99" s="8955" t="s">
        <v>360</v>
      </c>
      <c r="AS99" s="8206" t="s">
        <v>359</v>
      </c>
      <c r="AT99" s="8794" t="s">
        <v>2391</v>
      </c>
      <c r="AU99" s="8206" t="s">
        <v>2373</v>
      </c>
      <c r="AV99" s="4305"/>
      <c r="AW99" s="4305"/>
      <c r="AX99" s="4305"/>
      <c r="AY99" s="4305"/>
      <c r="AZ99" s="4305"/>
      <c r="BA99" s="4305"/>
      <c r="BB99" s="4305"/>
      <c r="BC99" s="4305"/>
      <c r="BD99" s="4305"/>
      <c r="BE99" s="4305"/>
      <c r="BF99" s="4305"/>
      <c r="BG99" s="4305"/>
      <c r="BH99" s="4305"/>
      <c r="BI99" s="4305"/>
      <c r="BJ99" s="4305"/>
      <c r="BK99" s="4305"/>
      <c r="BL99" s="4305"/>
      <c r="BM99" s="4305"/>
      <c r="BN99" s="4305"/>
      <c r="BO99" s="4305"/>
      <c r="BP99" s="4305"/>
      <c r="BQ99" s="4305"/>
      <c r="BR99" s="4305"/>
      <c r="BS99" s="4305"/>
      <c r="BT99" s="4305"/>
      <c r="BU99" s="4305"/>
      <c r="BV99" s="4305"/>
      <c r="BW99" s="4305"/>
      <c r="BX99" s="4305"/>
      <c r="BY99" s="4305"/>
      <c r="BZ99" s="4305"/>
      <c r="CA99" s="4305"/>
      <c r="CB99" s="4305"/>
      <c r="CC99" s="4305"/>
      <c r="CD99" s="4305"/>
      <c r="CE99" s="4305"/>
      <c r="CF99" s="4305"/>
      <c r="CG99" s="4305"/>
      <c r="CH99" s="4305"/>
      <c r="CI99" s="4305"/>
      <c r="CJ99" s="4305"/>
      <c r="CK99" s="4305"/>
      <c r="CL99" s="4305"/>
      <c r="CM99" s="4305"/>
      <c r="CN99" s="4305"/>
      <c r="CO99" s="4305"/>
      <c r="CP99" s="4305"/>
      <c r="CQ99" s="4305"/>
      <c r="CR99" s="4305"/>
      <c r="CS99" s="4305"/>
      <c r="CT99" s="4305"/>
      <c r="CU99" s="4305"/>
      <c r="CV99" s="4305"/>
      <c r="CW99" s="4305"/>
      <c r="CX99" s="4305"/>
      <c r="CY99" s="4305"/>
      <c r="CZ99" s="4305"/>
      <c r="DA99" s="4305"/>
    </row>
    <row r="100" spans="1:106" ht="33.75" customHeight="1" x14ac:dyDescent="0.2">
      <c r="A100" s="10241"/>
      <c r="B100" s="8628"/>
      <c r="C100" s="9829"/>
      <c r="D100" s="9830"/>
      <c r="E100" s="8629"/>
      <c r="F100" s="8899" t="s">
        <v>75</v>
      </c>
      <c r="G100" s="8901"/>
      <c r="H100" s="8899" t="s">
        <v>76</v>
      </c>
      <c r="I100" s="8901"/>
      <c r="J100" s="8899" t="s">
        <v>77</v>
      </c>
      <c r="K100" s="8901"/>
      <c r="L100" s="8899" t="s">
        <v>71</v>
      </c>
      <c r="M100" s="8901"/>
      <c r="N100" s="8899" t="s">
        <v>4</v>
      </c>
      <c r="O100" s="8901"/>
      <c r="P100" s="10735" t="s">
        <v>5</v>
      </c>
      <c r="Q100" s="10736"/>
      <c r="R100" s="10735" t="s">
        <v>6</v>
      </c>
      <c r="S100" s="10736"/>
      <c r="T100" s="10735" t="s">
        <v>7</v>
      </c>
      <c r="U100" s="10736"/>
      <c r="V100" s="10735" t="s">
        <v>8</v>
      </c>
      <c r="W100" s="10736"/>
      <c r="X100" s="10735" t="s">
        <v>9</v>
      </c>
      <c r="Y100" s="10736"/>
      <c r="Z100" s="10735" t="s">
        <v>10</v>
      </c>
      <c r="AA100" s="10736"/>
      <c r="AB100" s="10735" t="s">
        <v>11</v>
      </c>
      <c r="AC100" s="10736"/>
      <c r="AD100" s="10735" t="s">
        <v>12</v>
      </c>
      <c r="AE100" s="10736"/>
      <c r="AF100" s="10735" t="s">
        <v>13</v>
      </c>
      <c r="AG100" s="10736"/>
      <c r="AH100" s="10735" t="s">
        <v>14</v>
      </c>
      <c r="AI100" s="10736"/>
      <c r="AJ100" s="10735" t="s">
        <v>15</v>
      </c>
      <c r="AK100" s="10736"/>
      <c r="AL100" s="10735" t="s">
        <v>16</v>
      </c>
      <c r="AM100" s="10749"/>
      <c r="AN100" s="10863"/>
      <c r="AO100" s="10864"/>
      <c r="AP100" s="8625"/>
      <c r="AQ100" s="8689"/>
      <c r="AR100" s="8635"/>
      <c r="AS100" s="8689"/>
      <c r="AT100" s="8635"/>
      <c r="AU100" s="8689"/>
      <c r="BQ100" s="4305"/>
      <c r="BR100" s="4305"/>
      <c r="BS100" s="4305"/>
      <c r="BT100" s="4305"/>
      <c r="BU100" s="4305"/>
      <c r="BV100" s="4305"/>
      <c r="BW100" s="4305"/>
      <c r="BX100" s="4305"/>
      <c r="BY100" s="4305"/>
      <c r="BZ100" s="4305"/>
      <c r="CA100" s="4305"/>
      <c r="CB100" s="4305"/>
      <c r="CC100" s="4305"/>
      <c r="CD100" s="4305"/>
      <c r="CE100" s="4305"/>
      <c r="CF100" s="4305"/>
      <c r="CG100" s="4305"/>
      <c r="CZ100" s="4177"/>
      <c r="DA100" s="4177"/>
    </row>
    <row r="101" spans="1:106" ht="60" customHeight="1" x14ac:dyDescent="0.2">
      <c r="A101" s="9829"/>
      <c r="B101" s="8629"/>
      <c r="C101" s="4274" t="s">
        <v>42</v>
      </c>
      <c r="D101" s="4330" t="s">
        <v>17</v>
      </c>
      <c r="E101" s="4331" t="s">
        <v>18</v>
      </c>
      <c r="F101" s="4332" t="s">
        <v>17</v>
      </c>
      <c r="G101" s="4333" t="s">
        <v>18</v>
      </c>
      <c r="H101" s="4332" t="s">
        <v>17</v>
      </c>
      <c r="I101" s="4333" t="s">
        <v>18</v>
      </c>
      <c r="J101" s="4332" t="s">
        <v>17</v>
      </c>
      <c r="K101" s="4333" t="s">
        <v>18</v>
      </c>
      <c r="L101" s="4332" t="s">
        <v>17</v>
      </c>
      <c r="M101" s="4333" t="s">
        <v>18</v>
      </c>
      <c r="N101" s="4332" t="s">
        <v>17</v>
      </c>
      <c r="O101" s="4333" t="s">
        <v>18</v>
      </c>
      <c r="P101" s="4332" t="s">
        <v>17</v>
      </c>
      <c r="Q101" s="4333" t="s">
        <v>18</v>
      </c>
      <c r="R101" s="4332" t="s">
        <v>17</v>
      </c>
      <c r="S101" s="4333" t="s">
        <v>18</v>
      </c>
      <c r="T101" s="4332" t="s">
        <v>17</v>
      </c>
      <c r="U101" s="4333" t="s">
        <v>18</v>
      </c>
      <c r="V101" s="4332" t="s">
        <v>17</v>
      </c>
      <c r="W101" s="4333" t="s">
        <v>18</v>
      </c>
      <c r="X101" s="4332" t="s">
        <v>17</v>
      </c>
      <c r="Y101" s="4333" t="s">
        <v>18</v>
      </c>
      <c r="Z101" s="4332" t="s">
        <v>17</v>
      </c>
      <c r="AA101" s="4333" t="s">
        <v>18</v>
      </c>
      <c r="AB101" s="4332" t="s">
        <v>17</v>
      </c>
      <c r="AC101" s="4333" t="s">
        <v>18</v>
      </c>
      <c r="AD101" s="4332" t="s">
        <v>17</v>
      </c>
      <c r="AE101" s="4333" t="s">
        <v>18</v>
      </c>
      <c r="AF101" s="4332" t="s">
        <v>17</v>
      </c>
      <c r="AG101" s="4333" t="s">
        <v>18</v>
      </c>
      <c r="AH101" s="4332" t="s">
        <v>17</v>
      </c>
      <c r="AI101" s="4333" t="s">
        <v>18</v>
      </c>
      <c r="AJ101" s="4332" t="s">
        <v>17</v>
      </c>
      <c r="AK101" s="4333" t="s">
        <v>18</v>
      </c>
      <c r="AL101" s="4332" t="s">
        <v>17</v>
      </c>
      <c r="AM101" s="4334" t="s">
        <v>18</v>
      </c>
      <c r="AN101" s="5424" t="s">
        <v>3744</v>
      </c>
      <c r="AO101" s="5425" t="s">
        <v>3745</v>
      </c>
      <c r="AP101" s="10866"/>
      <c r="AQ101" s="8723"/>
      <c r="AR101" s="8817"/>
      <c r="AS101" s="8723"/>
      <c r="AT101" s="8795"/>
      <c r="AU101" s="8723"/>
      <c r="BQ101" s="4305"/>
      <c r="BR101" s="4305"/>
      <c r="BS101" s="4305"/>
      <c r="BT101" s="4305"/>
      <c r="BU101" s="4305"/>
      <c r="BV101" s="4305"/>
      <c r="BW101" s="4305"/>
      <c r="BX101" s="4305"/>
      <c r="BY101" s="4305"/>
      <c r="BZ101" s="4305"/>
      <c r="CA101" s="4305"/>
      <c r="CB101" s="4305"/>
      <c r="CC101" s="4177" t="s">
        <v>358</v>
      </c>
      <c r="CD101" s="4177" t="s">
        <v>2524</v>
      </c>
      <c r="CE101" s="4177" t="s">
        <v>1818</v>
      </c>
      <c r="CF101" s="4177" t="s">
        <v>359</v>
      </c>
      <c r="CG101" s="4305"/>
      <c r="CM101" s="4177" t="s">
        <v>358</v>
      </c>
      <c r="CN101" s="4177" t="s">
        <v>2524</v>
      </c>
      <c r="CO101" s="4177" t="s">
        <v>1818</v>
      </c>
      <c r="CP101" s="4177" t="s">
        <v>359</v>
      </c>
      <c r="CZ101" s="4177"/>
      <c r="DA101" s="4177"/>
    </row>
    <row r="102" spans="1:106" ht="17.25" customHeight="1" x14ac:dyDescent="0.2">
      <c r="A102" s="10828" t="s">
        <v>2585</v>
      </c>
      <c r="B102" s="10829"/>
      <c r="C102" s="4335">
        <f>SUM(D102+E102)</f>
        <v>0</v>
      </c>
      <c r="D102" s="4336">
        <f>SUM(F102+H102+J102+L102+N102+P102+R102+T102+V102+X102+Z102+AB102+AD102+AF102+AH102+AJ102+AL102)</f>
        <v>0</v>
      </c>
      <c r="E102" s="4337">
        <f>SUM(G102+I102+K102+M102+O102+Q102+S102+U102+W102+Y102+AA102+AC102+AE102+AG102+AI102+AK102+AM102)</f>
        <v>0</v>
      </c>
      <c r="F102" s="4338"/>
      <c r="G102" s="4339"/>
      <c r="H102" s="4338"/>
      <c r="I102" s="4339"/>
      <c r="J102" s="4338"/>
      <c r="K102" s="4339"/>
      <c r="L102" s="4338"/>
      <c r="M102" s="4339"/>
      <c r="N102" s="4338"/>
      <c r="O102" s="4339"/>
      <c r="P102" s="4338"/>
      <c r="Q102" s="4339"/>
      <c r="R102" s="4338"/>
      <c r="S102" s="4339"/>
      <c r="T102" s="4338"/>
      <c r="U102" s="4339"/>
      <c r="V102" s="4338"/>
      <c r="W102" s="4339"/>
      <c r="X102" s="4338"/>
      <c r="Y102" s="4339"/>
      <c r="Z102" s="4338"/>
      <c r="AA102" s="4339"/>
      <c r="AB102" s="4338"/>
      <c r="AC102" s="4339"/>
      <c r="AD102" s="4338"/>
      <c r="AE102" s="4339"/>
      <c r="AF102" s="4338"/>
      <c r="AG102" s="4339"/>
      <c r="AH102" s="4338"/>
      <c r="AI102" s="4339"/>
      <c r="AJ102" s="4338"/>
      <c r="AK102" s="4339"/>
      <c r="AL102" s="4338"/>
      <c r="AM102" s="4340"/>
      <c r="AN102" s="4341"/>
      <c r="AO102" s="4342"/>
      <c r="AP102" s="4341"/>
      <c r="AQ102" s="4342"/>
      <c r="AR102" s="4341"/>
      <c r="AS102" s="4342"/>
      <c r="AT102" s="4343"/>
      <c r="AU102" s="4343"/>
      <c r="AV102" s="4177" t="str">
        <f t="shared" ref="AV102:AV110" si="43">$CC102&amp;$CD102&amp;$CE102&amp;$CF102</f>
        <v/>
      </c>
      <c r="BQ102" s="4305"/>
      <c r="BR102" s="4305"/>
      <c r="BS102" s="4305"/>
      <c r="BT102" s="4305"/>
      <c r="BU102" s="4305"/>
      <c r="BV102" s="4305"/>
      <c r="BW102" s="4305"/>
      <c r="BX102" s="4305"/>
      <c r="BY102" s="4305"/>
      <c r="BZ102" s="4305"/>
      <c r="CA102" s="4305"/>
      <c r="CB102" s="4305"/>
      <c r="CC102" s="4177" t="str">
        <f t="shared" ref="CC102:CC110" si="44">IF(CM102=1," * Los Beneficiarios no pueden ser mayor que el Total, (si no hay beneficiario digite un cero). ","")</f>
        <v/>
      </c>
      <c r="CD102" s="4177" t="str">
        <f t="shared" ref="CD102:CD110" si="45">IF(CN102=1," * El total de controles no pueden ser mayor que el Total, (si no hay controles digite un cero). ","")</f>
        <v/>
      </c>
      <c r="CE102" s="4177" t="str">
        <f t="shared" ref="CE102:CE110" si="46">IF(CO102=1," * La cantidad de Atenciones de pacientes pertenecientes a Pueblos Originarios no pueden ser mayor que el Total, (si no hay atenciones digite un cero). ","")</f>
        <v/>
      </c>
      <c r="CF102" s="4177" t="str">
        <f t="shared" ref="CF102:CF110" si="47">IF(CP102=1," * La cantidad de Atenciones de pacientes Migrantes no pueden ser mayor que el Total, (si no hay atenciones digite un cero). ","")</f>
        <v/>
      </c>
      <c r="CG102" s="4305"/>
      <c r="CM102" s="4177">
        <f t="shared" ref="CM102:CM110" si="48">IF(OR(AP102&gt;$C102,AND($C102&lt;&gt;0,AP102="")),1,0)</f>
        <v>0</v>
      </c>
      <c r="CN102" s="4177">
        <f t="shared" ref="CN102:CN110" si="49">IF(OR(AQ102&gt;$C102,AND($C102&lt;&gt;0,AQ102="")),1,0)</f>
        <v>0</v>
      </c>
      <c r="CO102" s="4177">
        <f t="shared" ref="CO102:CO110" si="50">IF(OR(AR102&gt;$C102,AND($C102&lt;&gt;0,AR102="")),1,0)</f>
        <v>0</v>
      </c>
      <c r="CP102" s="4177">
        <f t="shared" ref="CP102:CP110" si="51">IF(OR(AS102&gt;$C102,AND($C102&lt;&gt;0,AS102="")),1,0)</f>
        <v>0</v>
      </c>
      <c r="CZ102" s="4177"/>
      <c r="DA102" s="4177"/>
    </row>
    <row r="103" spans="1:106" ht="17.25" customHeight="1" x14ac:dyDescent="0.2">
      <c r="A103" s="10773" t="s">
        <v>2593</v>
      </c>
      <c r="B103" s="4344" t="s">
        <v>100</v>
      </c>
      <c r="C103" s="4345">
        <f>SUM(D103:E103)</f>
        <v>0</v>
      </c>
      <c r="D103" s="4346"/>
      <c r="E103" s="4337">
        <f>SUM(K103+M103+O103+Q103+S103+U103+W103+Y103+AA103+AC103+AE103+AG103+AI103+AK103+AM103)</f>
        <v>0</v>
      </c>
      <c r="F103" s="4347"/>
      <c r="G103" s="4348"/>
      <c r="H103" s="4347"/>
      <c r="I103" s="4348"/>
      <c r="J103" s="4347"/>
      <c r="K103" s="4204"/>
      <c r="L103" s="4347"/>
      <c r="M103" s="4204"/>
      <c r="N103" s="4347"/>
      <c r="O103" s="4204"/>
      <c r="P103" s="4347"/>
      <c r="Q103" s="4204"/>
      <c r="R103" s="4347"/>
      <c r="S103" s="4204"/>
      <c r="T103" s="4347"/>
      <c r="U103" s="4204"/>
      <c r="V103" s="4347"/>
      <c r="W103" s="4204"/>
      <c r="X103" s="4347"/>
      <c r="Y103" s="4204"/>
      <c r="Z103" s="4347"/>
      <c r="AA103" s="4204"/>
      <c r="AB103" s="4347"/>
      <c r="AC103" s="4200"/>
      <c r="AD103" s="4347"/>
      <c r="AE103" s="4204"/>
      <c r="AF103" s="4347"/>
      <c r="AG103" s="4204"/>
      <c r="AH103" s="4347"/>
      <c r="AI103" s="4204"/>
      <c r="AJ103" s="4347"/>
      <c r="AK103" s="4204"/>
      <c r="AL103" s="4347"/>
      <c r="AM103" s="4287"/>
      <c r="AN103" s="4349"/>
      <c r="AO103" s="4350"/>
      <c r="AP103" s="4349"/>
      <c r="AQ103" s="4350"/>
      <c r="AR103" s="4349"/>
      <c r="AS103" s="4350"/>
      <c r="AT103" s="4351"/>
      <c r="AU103" s="4351"/>
      <c r="AV103" s="4177" t="str">
        <f t="shared" si="43"/>
        <v/>
      </c>
      <c r="BQ103" s="4305"/>
      <c r="BR103" s="4305"/>
      <c r="BS103" s="4305"/>
      <c r="BT103" s="4305"/>
      <c r="BU103" s="4305"/>
      <c r="BV103" s="4305"/>
      <c r="BW103" s="4305"/>
      <c r="BX103" s="4305"/>
      <c r="BY103" s="4305"/>
      <c r="BZ103" s="4305"/>
      <c r="CA103" s="4305"/>
      <c r="CB103" s="4305"/>
      <c r="CC103" s="4177" t="str">
        <f t="shared" si="44"/>
        <v/>
      </c>
      <c r="CD103" s="4177" t="str">
        <f t="shared" si="45"/>
        <v/>
      </c>
      <c r="CE103" s="4177" t="str">
        <f t="shared" si="46"/>
        <v/>
      </c>
      <c r="CF103" s="4177" t="str">
        <f t="shared" si="47"/>
        <v/>
      </c>
      <c r="CG103" s="4305"/>
      <c r="CM103" s="4177">
        <f t="shared" si="48"/>
        <v>0</v>
      </c>
      <c r="CN103" s="4177">
        <f t="shared" si="49"/>
        <v>0</v>
      </c>
      <c r="CO103" s="4177">
        <f t="shared" si="50"/>
        <v>0</v>
      </c>
      <c r="CP103" s="4177">
        <f t="shared" si="51"/>
        <v>0</v>
      </c>
      <c r="CZ103" s="4177"/>
      <c r="DA103" s="4177"/>
    </row>
    <row r="104" spans="1:106" ht="17.25" customHeight="1" x14ac:dyDescent="0.2">
      <c r="A104" s="8635"/>
      <c r="B104" s="4352" t="s">
        <v>101</v>
      </c>
      <c r="C104" s="4353">
        <f t="shared" ref="C104:C110" si="52">SUM(D104+E104)</f>
        <v>0</v>
      </c>
      <c r="D104" s="4354">
        <f>SUM(F104+H104+J104+L104+N104+P104+R104+T104+V104+X104+Z104+AB104+AD104+AF104+AH104+AJ104+AL104)</f>
        <v>0</v>
      </c>
      <c r="E104" s="4355">
        <f>SUM(G104+I104+K104+M104+O104+Q104+S104+U104+W104+Y104+AA104+AC104+AE104+AG104+AI104+AK104+AM104)</f>
        <v>0</v>
      </c>
      <c r="F104" s="4356"/>
      <c r="G104" s="4288"/>
      <c r="H104" s="4356"/>
      <c r="I104" s="4288"/>
      <c r="J104" s="4356"/>
      <c r="K104" s="4288"/>
      <c r="L104" s="4356"/>
      <c r="M104" s="4288"/>
      <c r="N104" s="4356"/>
      <c r="O104" s="4288"/>
      <c r="P104" s="4356"/>
      <c r="Q104" s="4357"/>
      <c r="R104" s="4356"/>
      <c r="S104" s="4357"/>
      <c r="T104" s="4356"/>
      <c r="U104" s="4357"/>
      <c r="V104" s="4356"/>
      <c r="W104" s="4357"/>
      <c r="X104" s="4356"/>
      <c r="Y104" s="4357"/>
      <c r="Z104" s="4356"/>
      <c r="AA104" s="4357"/>
      <c r="AB104" s="4356"/>
      <c r="AC104" s="4357"/>
      <c r="AD104" s="4356"/>
      <c r="AE104" s="4357"/>
      <c r="AF104" s="4356"/>
      <c r="AG104" s="4357"/>
      <c r="AH104" s="4356"/>
      <c r="AI104" s="4357"/>
      <c r="AJ104" s="4356"/>
      <c r="AK104" s="4357"/>
      <c r="AL104" s="4358"/>
      <c r="AM104" s="4359"/>
      <c r="AN104" s="4360"/>
      <c r="AO104" s="4357"/>
      <c r="AP104" s="4360"/>
      <c r="AQ104" s="4357"/>
      <c r="AR104" s="4360"/>
      <c r="AS104" s="4207"/>
      <c r="AT104" s="4211"/>
      <c r="AU104" s="4211"/>
      <c r="AV104" s="4177" t="str">
        <f t="shared" si="43"/>
        <v/>
      </c>
      <c r="BQ104" s="4305"/>
      <c r="BR104" s="4305"/>
      <c r="BS104" s="4305"/>
      <c r="BT104" s="4305"/>
      <c r="BU104" s="4305"/>
      <c r="BV104" s="4305"/>
      <c r="BW104" s="4305"/>
      <c r="BX104" s="4305"/>
      <c r="BY104" s="4305"/>
      <c r="BZ104" s="4305"/>
      <c r="CA104" s="4305"/>
      <c r="CB104" s="4305"/>
      <c r="CC104" s="4177" t="str">
        <f t="shared" si="44"/>
        <v/>
      </c>
      <c r="CD104" s="4177" t="str">
        <f t="shared" si="45"/>
        <v/>
      </c>
      <c r="CE104" s="4177" t="str">
        <f t="shared" si="46"/>
        <v/>
      </c>
      <c r="CF104" s="4177" t="str">
        <f t="shared" si="47"/>
        <v/>
      </c>
      <c r="CG104" s="4305"/>
      <c r="CM104" s="4177">
        <f t="shared" si="48"/>
        <v>0</v>
      </c>
      <c r="CN104" s="4177">
        <f t="shared" si="49"/>
        <v>0</v>
      </c>
      <c r="CO104" s="4177">
        <f t="shared" si="50"/>
        <v>0</v>
      </c>
      <c r="CP104" s="4177">
        <f t="shared" si="51"/>
        <v>0</v>
      </c>
      <c r="CZ104" s="4177"/>
      <c r="DA104" s="4177"/>
    </row>
    <row r="105" spans="1:106" ht="17.25" customHeight="1" x14ac:dyDescent="0.2">
      <c r="A105" s="8795"/>
      <c r="B105" s="4361" t="s">
        <v>102</v>
      </c>
      <c r="C105" s="4362">
        <f t="shared" si="52"/>
        <v>0</v>
      </c>
      <c r="D105" s="4363">
        <f>SUM(N105+P105+R105+T105+V105+X105+Z105+AB105)</f>
        <v>0</v>
      </c>
      <c r="E105" s="4364">
        <f>SUM(O105+Q105+S105+U105+W105+Y105+AA105+AC105)</f>
        <v>0</v>
      </c>
      <c r="F105" s="4365"/>
      <c r="G105" s="4366"/>
      <c r="H105" s="4365"/>
      <c r="I105" s="4366"/>
      <c r="J105" s="4365"/>
      <c r="K105" s="4366"/>
      <c r="L105" s="4365"/>
      <c r="M105" s="4366"/>
      <c r="N105" s="4367"/>
      <c r="O105" s="4368"/>
      <c r="P105" s="4367"/>
      <c r="Q105" s="4368"/>
      <c r="R105" s="4367"/>
      <c r="S105" s="4368"/>
      <c r="T105" s="4367"/>
      <c r="U105" s="4368"/>
      <c r="V105" s="4367"/>
      <c r="W105" s="4368"/>
      <c r="X105" s="4367"/>
      <c r="Y105" s="4368"/>
      <c r="Z105" s="4367"/>
      <c r="AA105" s="4369"/>
      <c r="AB105" s="4367"/>
      <c r="AC105" s="4368"/>
      <c r="AD105" s="4365"/>
      <c r="AE105" s="4366"/>
      <c r="AF105" s="4365"/>
      <c r="AG105" s="4366"/>
      <c r="AH105" s="4365"/>
      <c r="AI105" s="4366"/>
      <c r="AJ105" s="4365"/>
      <c r="AK105" s="4366"/>
      <c r="AL105" s="4365"/>
      <c r="AM105" s="4370"/>
      <c r="AN105" s="4360"/>
      <c r="AO105" s="4357"/>
      <c r="AP105" s="4360"/>
      <c r="AQ105" s="4357"/>
      <c r="AR105" s="4360"/>
      <c r="AS105" s="4207"/>
      <c r="AT105" s="4211"/>
      <c r="AU105" s="4211"/>
      <c r="AV105" s="4177" t="str">
        <f t="shared" si="43"/>
        <v/>
      </c>
      <c r="BQ105" s="4305"/>
      <c r="BR105" s="4305"/>
      <c r="BS105" s="4305"/>
      <c r="BT105" s="4305"/>
      <c r="BU105" s="4305"/>
      <c r="BV105" s="4305"/>
      <c r="BW105" s="4305"/>
      <c r="BX105" s="4305"/>
      <c r="BY105" s="4305"/>
      <c r="BZ105" s="4305"/>
      <c r="CA105" s="4305"/>
      <c r="CB105" s="4305"/>
      <c r="CC105" s="4177" t="str">
        <f t="shared" si="44"/>
        <v/>
      </c>
      <c r="CD105" s="4177" t="str">
        <f t="shared" si="45"/>
        <v/>
      </c>
      <c r="CE105" s="4177" t="str">
        <f t="shared" si="46"/>
        <v/>
      </c>
      <c r="CF105" s="4177" t="str">
        <f t="shared" si="47"/>
        <v/>
      </c>
      <c r="CG105" s="4305"/>
      <c r="CM105" s="4177">
        <f t="shared" si="48"/>
        <v>0</v>
      </c>
      <c r="CN105" s="4177">
        <f t="shared" si="49"/>
        <v>0</v>
      </c>
      <c r="CO105" s="4177">
        <f t="shared" si="50"/>
        <v>0</v>
      </c>
      <c r="CP105" s="4177">
        <f t="shared" si="51"/>
        <v>0</v>
      </c>
      <c r="CZ105" s="4177"/>
      <c r="DA105" s="4177"/>
    </row>
    <row r="106" spans="1:106" ht="17.25" customHeight="1" x14ac:dyDescent="0.2">
      <c r="A106" s="10820" t="s">
        <v>26</v>
      </c>
      <c r="B106" s="10821"/>
      <c r="C106" s="4371">
        <f t="shared" si="52"/>
        <v>0</v>
      </c>
      <c r="D106" s="4372">
        <f t="shared" ref="D106:E110" si="53">SUM(F106+H106+J106+L106+N106+P106+R106+T106+V106+X106+Z106+AB106+AD106+AF106+AH106+AJ106+AL106)</f>
        <v>0</v>
      </c>
      <c r="E106" s="4373">
        <f t="shared" si="53"/>
        <v>0</v>
      </c>
      <c r="F106" s="4374"/>
      <c r="G106" s="4351"/>
      <c r="H106" s="4374"/>
      <c r="I106" s="4351"/>
      <c r="J106" s="4374"/>
      <c r="K106" s="4350"/>
      <c r="L106" s="4374"/>
      <c r="M106" s="4350"/>
      <c r="N106" s="4374"/>
      <c r="O106" s="4350"/>
      <c r="P106" s="4374"/>
      <c r="Q106" s="4350"/>
      <c r="R106" s="4374"/>
      <c r="S106" s="4350"/>
      <c r="T106" s="4374"/>
      <c r="U106" s="4350"/>
      <c r="V106" s="4374"/>
      <c r="W106" s="4350"/>
      <c r="X106" s="4374"/>
      <c r="Y106" s="4350"/>
      <c r="Z106" s="4374"/>
      <c r="AA106" s="4350"/>
      <c r="AB106" s="4374"/>
      <c r="AC106" s="4350"/>
      <c r="AD106" s="4374"/>
      <c r="AE106" s="4350"/>
      <c r="AF106" s="4374"/>
      <c r="AG106" s="4350"/>
      <c r="AH106" s="4374"/>
      <c r="AI106" s="4351"/>
      <c r="AJ106" s="4374"/>
      <c r="AK106" s="4351"/>
      <c r="AL106" s="4375"/>
      <c r="AM106" s="4376"/>
      <c r="AN106" s="4360"/>
      <c r="AO106" s="4357"/>
      <c r="AP106" s="4360"/>
      <c r="AQ106" s="4357"/>
      <c r="AR106" s="4360"/>
      <c r="AS106" s="4207"/>
      <c r="AT106" s="4211"/>
      <c r="AU106" s="4211"/>
      <c r="AV106" s="4177" t="str">
        <f t="shared" si="43"/>
        <v/>
      </c>
      <c r="BQ106" s="4305"/>
      <c r="BR106" s="4305"/>
      <c r="BS106" s="4305"/>
      <c r="BT106" s="4305"/>
      <c r="BU106" s="4305"/>
      <c r="BV106" s="4305"/>
      <c r="BW106" s="4305"/>
      <c r="BX106" s="4305"/>
      <c r="BY106" s="4305"/>
      <c r="BZ106" s="4305"/>
      <c r="CA106" s="4305"/>
      <c r="CB106" s="4305"/>
      <c r="CC106" s="4177" t="str">
        <f t="shared" si="44"/>
        <v/>
      </c>
      <c r="CD106" s="4177" t="str">
        <f t="shared" si="45"/>
        <v/>
      </c>
      <c r="CE106" s="4177" t="str">
        <f t="shared" si="46"/>
        <v/>
      </c>
      <c r="CF106" s="4177" t="str">
        <f t="shared" si="47"/>
        <v/>
      </c>
      <c r="CG106" s="4305"/>
      <c r="CM106" s="4177">
        <f t="shared" si="48"/>
        <v>0</v>
      </c>
      <c r="CN106" s="4177">
        <f t="shared" si="49"/>
        <v>0</v>
      </c>
      <c r="CO106" s="4177">
        <f t="shared" si="50"/>
        <v>0</v>
      </c>
      <c r="CP106" s="4177">
        <f t="shared" si="51"/>
        <v>0</v>
      </c>
      <c r="CZ106" s="4177"/>
      <c r="DA106" s="4177"/>
    </row>
    <row r="107" spans="1:106" ht="17.25" customHeight="1" x14ac:dyDescent="0.2">
      <c r="A107" s="10822" t="s">
        <v>2595</v>
      </c>
      <c r="B107" s="10823"/>
      <c r="C107" s="4377">
        <f t="shared" si="52"/>
        <v>0</v>
      </c>
      <c r="D107" s="4354">
        <f t="shared" si="53"/>
        <v>0</v>
      </c>
      <c r="E107" s="4355">
        <f t="shared" si="53"/>
        <v>0</v>
      </c>
      <c r="F107" s="4356"/>
      <c r="G107" s="4288"/>
      <c r="H107" s="4356"/>
      <c r="I107" s="4288"/>
      <c r="J107" s="4356"/>
      <c r="K107" s="4357"/>
      <c r="L107" s="4356"/>
      <c r="M107" s="4357"/>
      <c r="N107" s="4356"/>
      <c r="O107" s="4357"/>
      <c r="P107" s="4356"/>
      <c r="Q107" s="4357"/>
      <c r="R107" s="4356"/>
      <c r="S107" s="4357"/>
      <c r="T107" s="4356"/>
      <c r="U107" s="4357"/>
      <c r="V107" s="4356"/>
      <c r="W107" s="4357"/>
      <c r="X107" s="4356"/>
      <c r="Y107" s="4357"/>
      <c r="Z107" s="4356"/>
      <c r="AA107" s="4357"/>
      <c r="AB107" s="4356"/>
      <c r="AC107" s="4288"/>
      <c r="AD107" s="4356"/>
      <c r="AE107" s="4288"/>
      <c r="AF107" s="4356"/>
      <c r="AG107" s="4288"/>
      <c r="AH107" s="4356"/>
      <c r="AI107" s="4288"/>
      <c r="AJ107" s="4356"/>
      <c r="AK107" s="4288"/>
      <c r="AL107" s="4358"/>
      <c r="AM107" s="4359"/>
      <c r="AN107" s="4360"/>
      <c r="AO107" s="4357"/>
      <c r="AP107" s="4360"/>
      <c r="AQ107" s="4357"/>
      <c r="AR107" s="4360"/>
      <c r="AS107" s="4207"/>
      <c r="AT107" s="4211"/>
      <c r="AU107" s="4211"/>
      <c r="AV107" s="4177" t="str">
        <f t="shared" si="43"/>
        <v/>
      </c>
      <c r="BQ107" s="4305"/>
      <c r="BR107" s="4305"/>
      <c r="BS107" s="4305"/>
      <c r="BT107" s="4305"/>
      <c r="BU107" s="4305"/>
      <c r="BV107" s="4305"/>
      <c r="BW107" s="4305"/>
      <c r="BX107" s="4305"/>
      <c r="BY107" s="4305"/>
      <c r="BZ107" s="4305"/>
      <c r="CA107" s="4305"/>
      <c r="CB107" s="4305"/>
      <c r="CC107" s="4177" t="str">
        <f t="shared" si="44"/>
        <v/>
      </c>
      <c r="CD107" s="4177" t="str">
        <f t="shared" si="45"/>
        <v/>
      </c>
      <c r="CE107" s="4177" t="str">
        <f t="shared" si="46"/>
        <v/>
      </c>
      <c r="CF107" s="4177" t="str">
        <f t="shared" si="47"/>
        <v/>
      </c>
      <c r="CG107" s="4305"/>
      <c r="CM107" s="4177">
        <f t="shared" si="48"/>
        <v>0</v>
      </c>
      <c r="CN107" s="4177">
        <f t="shared" si="49"/>
        <v>0</v>
      </c>
      <c r="CO107" s="4177">
        <f t="shared" si="50"/>
        <v>0</v>
      </c>
      <c r="CP107" s="4177">
        <f t="shared" si="51"/>
        <v>0</v>
      </c>
      <c r="CZ107" s="4177"/>
      <c r="DA107" s="4177"/>
    </row>
    <row r="108" spans="1:106" ht="17.25" customHeight="1" x14ac:dyDescent="0.2">
      <c r="A108" s="10824" t="s">
        <v>2586</v>
      </c>
      <c r="B108" s="10825"/>
      <c r="C108" s="4378">
        <f t="shared" si="52"/>
        <v>0</v>
      </c>
      <c r="D108" s="4379">
        <f t="shared" si="53"/>
        <v>0</v>
      </c>
      <c r="E108" s="4355">
        <f t="shared" si="53"/>
        <v>0</v>
      </c>
      <c r="F108" s="4356"/>
      <c r="G108" s="4288"/>
      <c r="H108" s="4356"/>
      <c r="I108" s="4288"/>
      <c r="J108" s="4356"/>
      <c r="K108" s="4357"/>
      <c r="L108" s="4356"/>
      <c r="M108" s="4357"/>
      <c r="N108" s="4356"/>
      <c r="O108" s="4357"/>
      <c r="P108" s="4356"/>
      <c r="Q108" s="4357"/>
      <c r="R108" s="4356"/>
      <c r="S108" s="4357"/>
      <c r="T108" s="4356"/>
      <c r="U108" s="4357"/>
      <c r="V108" s="4356"/>
      <c r="W108" s="4357"/>
      <c r="X108" s="4356"/>
      <c r="Y108" s="4357"/>
      <c r="Z108" s="4356"/>
      <c r="AA108" s="4357"/>
      <c r="AB108" s="4356"/>
      <c r="AC108" s="4288"/>
      <c r="AD108" s="4356"/>
      <c r="AE108" s="4288"/>
      <c r="AF108" s="4356"/>
      <c r="AG108" s="4288"/>
      <c r="AH108" s="4356"/>
      <c r="AI108" s="4288"/>
      <c r="AJ108" s="4356"/>
      <c r="AK108" s="4288"/>
      <c r="AL108" s="4358"/>
      <c r="AM108" s="4359"/>
      <c r="AN108" s="4360"/>
      <c r="AO108" s="4357"/>
      <c r="AP108" s="4360"/>
      <c r="AQ108" s="4357"/>
      <c r="AR108" s="4360"/>
      <c r="AS108" s="4207"/>
      <c r="AT108" s="4211"/>
      <c r="AU108" s="4211"/>
      <c r="AV108" s="4177" t="str">
        <f t="shared" si="43"/>
        <v/>
      </c>
      <c r="BQ108" s="4305"/>
      <c r="BR108" s="4305"/>
      <c r="BS108" s="4305"/>
      <c r="BT108" s="4305"/>
      <c r="BU108" s="4305"/>
      <c r="BV108" s="4305"/>
      <c r="BW108" s="4305"/>
      <c r="BX108" s="4305"/>
      <c r="BY108" s="4305"/>
      <c r="BZ108" s="4305"/>
      <c r="CA108" s="4305"/>
      <c r="CB108" s="4305"/>
      <c r="CC108" s="4177" t="str">
        <f t="shared" si="44"/>
        <v/>
      </c>
      <c r="CD108" s="4177" t="str">
        <f t="shared" si="45"/>
        <v/>
      </c>
      <c r="CE108" s="4177" t="str">
        <f t="shared" si="46"/>
        <v/>
      </c>
      <c r="CF108" s="4177" t="str">
        <f t="shared" si="47"/>
        <v/>
      </c>
      <c r="CG108" s="4305"/>
      <c r="CM108" s="4177">
        <f t="shared" si="48"/>
        <v>0</v>
      </c>
      <c r="CN108" s="4177">
        <f t="shared" si="49"/>
        <v>0</v>
      </c>
      <c r="CO108" s="4177">
        <f t="shared" si="50"/>
        <v>0</v>
      </c>
      <c r="CP108" s="4177">
        <f t="shared" si="51"/>
        <v>0</v>
      </c>
      <c r="CZ108" s="4177"/>
      <c r="DA108" s="4177"/>
    </row>
    <row r="109" spans="1:106" ht="19.5" customHeight="1" x14ac:dyDescent="0.2">
      <c r="A109" s="10822" t="s">
        <v>2596</v>
      </c>
      <c r="B109" s="10823"/>
      <c r="C109" s="4377">
        <f t="shared" si="52"/>
        <v>0</v>
      </c>
      <c r="D109" s="4354">
        <f t="shared" si="53"/>
        <v>0</v>
      </c>
      <c r="E109" s="4355">
        <f t="shared" si="53"/>
        <v>0</v>
      </c>
      <c r="F109" s="4356"/>
      <c r="G109" s="4288"/>
      <c r="H109" s="4356"/>
      <c r="I109" s="4288"/>
      <c r="J109" s="4356"/>
      <c r="K109" s="4357"/>
      <c r="L109" s="4356"/>
      <c r="M109" s="4357"/>
      <c r="N109" s="4356"/>
      <c r="O109" s="4357"/>
      <c r="P109" s="4356"/>
      <c r="Q109" s="4357"/>
      <c r="R109" s="4356"/>
      <c r="S109" s="4357"/>
      <c r="T109" s="4356"/>
      <c r="U109" s="4357"/>
      <c r="V109" s="4356"/>
      <c r="W109" s="4357"/>
      <c r="X109" s="4356"/>
      <c r="Y109" s="4357"/>
      <c r="Z109" s="4356"/>
      <c r="AA109" s="4357"/>
      <c r="AB109" s="4356"/>
      <c r="AC109" s="4357"/>
      <c r="AD109" s="4356"/>
      <c r="AE109" s="4357"/>
      <c r="AF109" s="4356"/>
      <c r="AG109" s="4357"/>
      <c r="AH109" s="4356"/>
      <c r="AI109" s="4288"/>
      <c r="AJ109" s="4356"/>
      <c r="AK109" s="4288"/>
      <c r="AL109" s="4358"/>
      <c r="AM109" s="4359"/>
      <c r="AN109" s="4360"/>
      <c r="AO109" s="4357"/>
      <c r="AP109" s="4360"/>
      <c r="AQ109" s="4357"/>
      <c r="AR109" s="4360"/>
      <c r="AS109" s="4207"/>
      <c r="AT109" s="4211"/>
      <c r="AU109" s="4211"/>
      <c r="AV109" s="4177" t="str">
        <f t="shared" si="43"/>
        <v/>
      </c>
      <c r="BQ109" s="4305"/>
      <c r="BR109" s="4305"/>
      <c r="BS109" s="4305"/>
      <c r="BT109" s="4305"/>
      <c r="BU109" s="4305"/>
      <c r="BV109" s="4305"/>
      <c r="BW109" s="4305"/>
      <c r="BX109" s="4305"/>
      <c r="BY109" s="4305"/>
      <c r="BZ109" s="4305"/>
      <c r="CA109" s="4305"/>
      <c r="CB109" s="4305"/>
      <c r="CC109" s="4177" t="str">
        <f t="shared" si="44"/>
        <v/>
      </c>
      <c r="CD109" s="4177" t="str">
        <f t="shared" si="45"/>
        <v/>
      </c>
      <c r="CE109" s="4177" t="str">
        <f t="shared" si="46"/>
        <v/>
      </c>
      <c r="CF109" s="4177" t="str">
        <f t="shared" si="47"/>
        <v/>
      </c>
      <c r="CG109" s="4305"/>
      <c r="CM109" s="4177">
        <f t="shared" si="48"/>
        <v>0</v>
      </c>
      <c r="CN109" s="4177">
        <f t="shared" si="49"/>
        <v>0</v>
      </c>
      <c r="CO109" s="4177">
        <f t="shared" si="50"/>
        <v>0</v>
      </c>
      <c r="CP109" s="4177">
        <f t="shared" si="51"/>
        <v>0</v>
      </c>
      <c r="CZ109" s="4177"/>
      <c r="DA109" s="4177"/>
    </row>
    <row r="110" spans="1:106" ht="23.25" customHeight="1" x14ac:dyDescent="0.2">
      <c r="A110" s="10826" t="s">
        <v>2590</v>
      </c>
      <c r="B110" s="10827"/>
      <c r="C110" s="4380">
        <f t="shared" si="52"/>
        <v>0</v>
      </c>
      <c r="D110" s="4381">
        <f t="shared" si="53"/>
        <v>0</v>
      </c>
      <c r="E110" s="4382">
        <f t="shared" si="53"/>
        <v>0</v>
      </c>
      <c r="F110" s="4367"/>
      <c r="G110" s="4369"/>
      <c r="H110" s="4367"/>
      <c r="I110" s="4369"/>
      <c r="J110" s="4367"/>
      <c r="K110" s="4368"/>
      <c r="L110" s="4367"/>
      <c r="M110" s="4368"/>
      <c r="N110" s="4367"/>
      <c r="O110" s="4368"/>
      <c r="P110" s="4367"/>
      <c r="Q110" s="4368"/>
      <c r="R110" s="4367"/>
      <c r="S110" s="4368"/>
      <c r="T110" s="4367"/>
      <c r="U110" s="4368"/>
      <c r="V110" s="4367"/>
      <c r="W110" s="4368"/>
      <c r="X110" s="4367"/>
      <c r="Y110" s="4368"/>
      <c r="Z110" s="4367"/>
      <c r="AA110" s="4368"/>
      <c r="AB110" s="4367"/>
      <c r="AC110" s="4368"/>
      <c r="AD110" s="4367"/>
      <c r="AE110" s="4368"/>
      <c r="AF110" s="4367"/>
      <c r="AG110" s="4368"/>
      <c r="AH110" s="4367"/>
      <c r="AI110" s="4368"/>
      <c r="AJ110" s="4367"/>
      <c r="AK110" s="4368"/>
      <c r="AL110" s="4383"/>
      <c r="AM110" s="4384"/>
      <c r="AN110" s="4385"/>
      <c r="AO110" s="4368"/>
      <c r="AP110" s="4385"/>
      <c r="AQ110" s="4368"/>
      <c r="AR110" s="4385"/>
      <c r="AS110" s="4386"/>
      <c r="AT110" s="4369"/>
      <c r="AU110" s="4369"/>
      <c r="AV110" s="4177" t="str">
        <f t="shared" si="43"/>
        <v/>
      </c>
      <c r="BQ110" s="4305"/>
      <c r="BR110" s="4305"/>
      <c r="BS110" s="4305"/>
      <c r="BT110" s="4305"/>
      <c r="BU110" s="4305"/>
      <c r="BV110" s="4305"/>
      <c r="BW110" s="4305"/>
      <c r="BX110" s="4305"/>
      <c r="BY110" s="4305"/>
      <c r="BZ110" s="4305"/>
      <c r="CA110" s="4305"/>
      <c r="CB110" s="4305"/>
      <c r="CC110" s="4177" t="str">
        <f t="shared" si="44"/>
        <v/>
      </c>
      <c r="CD110" s="4177" t="str">
        <f t="shared" si="45"/>
        <v/>
      </c>
      <c r="CE110" s="4177" t="str">
        <f t="shared" si="46"/>
        <v/>
      </c>
      <c r="CF110" s="4177" t="str">
        <f t="shared" si="47"/>
        <v/>
      </c>
      <c r="CG110" s="4305"/>
      <c r="CM110" s="4177">
        <f t="shared" si="48"/>
        <v>0</v>
      </c>
      <c r="CN110" s="4177">
        <f t="shared" si="49"/>
        <v>0</v>
      </c>
      <c r="CO110" s="4177">
        <f t="shared" si="50"/>
        <v>0</v>
      </c>
      <c r="CP110" s="4177">
        <f t="shared" si="51"/>
        <v>0</v>
      </c>
      <c r="CZ110" s="4177"/>
      <c r="DA110" s="4177"/>
    </row>
    <row r="111" spans="1:106" s="4329" customFormat="1" ht="18.75" customHeight="1" x14ac:dyDescent="0.2">
      <c r="A111" s="10723" t="s">
        <v>24</v>
      </c>
      <c r="B111" s="10725"/>
      <c r="C111" s="4387">
        <f t="shared" ref="C111:AU111" si="54">SUM(C102:C110)</f>
        <v>0</v>
      </c>
      <c r="D111" s="4388">
        <f t="shared" si="54"/>
        <v>0</v>
      </c>
      <c r="E111" s="4364">
        <f t="shared" si="54"/>
        <v>0</v>
      </c>
      <c r="F111" s="4389">
        <f t="shared" si="54"/>
        <v>0</v>
      </c>
      <c r="G111" s="4390">
        <f t="shared" si="54"/>
        <v>0</v>
      </c>
      <c r="H111" s="4389">
        <f t="shared" si="54"/>
        <v>0</v>
      </c>
      <c r="I111" s="4390">
        <f t="shared" si="54"/>
        <v>0</v>
      </c>
      <c r="J111" s="4391">
        <f t="shared" si="54"/>
        <v>0</v>
      </c>
      <c r="K111" s="4392">
        <f t="shared" si="54"/>
        <v>0</v>
      </c>
      <c r="L111" s="4391">
        <f t="shared" si="54"/>
        <v>0</v>
      </c>
      <c r="M111" s="4392">
        <f t="shared" si="54"/>
        <v>0</v>
      </c>
      <c r="N111" s="4391">
        <f t="shared" si="54"/>
        <v>0</v>
      </c>
      <c r="O111" s="4392">
        <f t="shared" si="54"/>
        <v>0</v>
      </c>
      <c r="P111" s="4391">
        <f t="shared" si="54"/>
        <v>0</v>
      </c>
      <c r="Q111" s="4392">
        <f t="shared" si="54"/>
        <v>0</v>
      </c>
      <c r="R111" s="4391">
        <f t="shared" si="54"/>
        <v>0</v>
      </c>
      <c r="S111" s="4392">
        <f t="shared" si="54"/>
        <v>0</v>
      </c>
      <c r="T111" s="4391">
        <f t="shared" si="54"/>
        <v>0</v>
      </c>
      <c r="U111" s="4392">
        <f t="shared" si="54"/>
        <v>0</v>
      </c>
      <c r="V111" s="4391">
        <f t="shared" si="54"/>
        <v>0</v>
      </c>
      <c r="W111" s="4392">
        <f t="shared" si="54"/>
        <v>0</v>
      </c>
      <c r="X111" s="4391">
        <f t="shared" si="54"/>
        <v>0</v>
      </c>
      <c r="Y111" s="4392">
        <f t="shared" si="54"/>
        <v>0</v>
      </c>
      <c r="Z111" s="4391">
        <f t="shared" si="54"/>
        <v>0</v>
      </c>
      <c r="AA111" s="4392">
        <f t="shared" si="54"/>
        <v>0</v>
      </c>
      <c r="AB111" s="4391">
        <f t="shared" si="54"/>
        <v>0</v>
      </c>
      <c r="AC111" s="4392">
        <f t="shared" si="54"/>
        <v>0</v>
      </c>
      <c r="AD111" s="4391">
        <f t="shared" si="54"/>
        <v>0</v>
      </c>
      <c r="AE111" s="4392">
        <f t="shared" si="54"/>
        <v>0</v>
      </c>
      <c r="AF111" s="4391">
        <f t="shared" si="54"/>
        <v>0</v>
      </c>
      <c r="AG111" s="4392">
        <f t="shared" si="54"/>
        <v>0</v>
      </c>
      <c r="AH111" s="4391">
        <f t="shared" si="54"/>
        <v>0</v>
      </c>
      <c r="AI111" s="4392">
        <f t="shared" si="54"/>
        <v>0</v>
      </c>
      <c r="AJ111" s="4391">
        <f t="shared" si="54"/>
        <v>0</v>
      </c>
      <c r="AK111" s="4392">
        <f t="shared" si="54"/>
        <v>0</v>
      </c>
      <c r="AL111" s="4393">
        <f t="shared" si="54"/>
        <v>0</v>
      </c>
      <c r="AM111" s="4394">
        <f t="shared" si="54"/>
        <v>0</v>
      </c>
      <c r="AN111" s="4395">
        <f>SUM(AN102:AN110)</f>
        <v>0</v>
      </c>
      <c r="AO111" s="4390">
        <f>SUM(AO102:AO110)</f>
        <v>0</v>
      </c>
      <c r="AP111" s="4395">
        <f t="shared" si="54"/>
        <v>0</v>
      </c>
      <c r="AQ111" s="4390">
        <f t="shared" si="54"/>
        <v>0</v>
      </c>
      <c r="AR111" s="4396">
        <f t="shared" si="54"/>
        <v>0</v>
      </c>
      <c r="AS111" s="4390">
        <f t="shared" si="54"/>
        <v>0</v>
      </c>
      <c r="AT111" s="4390">
        <f t="shared" si="54"/>
        <v>0</v>
      </c>
      <c r="AU111" s="4397">
        <f t="shared" si="54"/>
        <v>0</v>
      </c>
      <c r="AV111" s="4305"/>
      <c r="AW111" s="4305"/>
      <c r="AX111" s="4305"/>
      <c r="AY111" s="4305"/>
      <c r="AZ111" s="4305"/>
      <c r="BA111" s="4305"/>
      <c r="BB111" s="4305"/>
      <c r="BC111" s="4305"/>
      <c r="BD111" s="4305"/>
      <c r="BE111" s="4305"/>
      <c r="BF111" s="4305"/>
      <c r="BG111" s="4305"/>
      <c r="BH111" s="4305"/>
      <c r="BI111" s="4305"/>
      <c r="BJ111" s="4177"/>
      <c r="BK111" s="4177"/>
      <c r="BL111" s="4177"/>
      <c r="BM111" s="4177"/>
      <c r="BN111" s="4177"/>
      <c r="BO111" s="4177"/>
      <c r="BP111" s="4177"/>
      <c r="BQ111" s="4177"/>
      <c r="BR111" s="4177"/>
      <c r="BS111" s="4177"/>
      <c r="BT111" s="4177"/>
      <c r="BU111" s="4177"/>
      <c r="BV111" s="4177"/>
      <c r="BW111" s="4177"/>
      <c r="BX111" s="4177"/>
      <c r="BY111" s="4177"/>
      <c r="BZ111" s="4177"/>
      <c r="CA111" s="4177"/>
      <c r="CB111" s="4177"/>
      <c r="CC111" s="4177"/>
      <c r="CD111" s="4177"/>
      <c r="CE111" s="4177"/>
      <c r="CF111" s="4177"/>
      <c r="CG111" s="4177"/>
      <c r="CH111" s="4305"/>
      <c r="CI111" s="4305"/>
      <c r="CJ111" s="4305"/>
      <c r="CK111" s="4305"/>
      <c r="CL111" s="4305"/>
      <c r="CM111" s="4305"/>
      <c r="CN111" s="4305"/>
      <c r="CO111" s="4305"/>
      <c r="CP111" s="4305"/>
      <c r="CQ111" s="4305"/>
      <c r="CR111" s="4305"/>
      <c r="CS111" s="4305"/>
      <c r="CT111" s="4305"/>
      <c r="CU111" s="4305"/>
      <c r="CV111" s="4305"/>
      <c r="CW111" s="4305"/>
      <c r="CX111" s="4305"/>
      <c r="CY111" s="4305"/>
      <c r="CZ111" s="4305"/>
      <c r="DA111" s="4305"/>
    </row>
    <row r="112" spans="1:106" ht="17.25" customHeight="1" x14ac:dyDescent="0.2">
      <c r="A112" s="4185" t="s">
        <v>3096</v>
      </c>
      <c r="B112" s="4398"/>
      <c r="C112" s="4398"/>
      <c r="D112" s="4399"/>
      <c r="E112" s="4399"/>
      <c r="F112" s="4399"/>
      <c r="G112" s="4399"/>
      <c r="H112" s="4399"/>
      <c r="I112" s="4399"/>
      <c r="J112" s="4399"/>
      <c r="K112" s="4399"/>
      <c r="L112" s="4399"/>
      <c r="M112" s="4399"/>
      <c r="N112" s="4399"/>
      <c r="O112" s="4399"/>
      <c r="P112" s="4399"/>
      <c r="Q112" s="4399"/>
      <c r="R112" s="4400"/>
      <c r="S112" s="4329"/>
      <c r="T112" s="4329"/>
      <c r="U112" s="4329"/>
      <c r="V112" s="4329"/>
      <c r="W112" s="4329"/>
      <c r="X112" s="4329"/>
      <c r="Y112" s="4329"/>
      <c r="Z112" s="4329"/>
      <c r="AA112" s="4329"/>
      <c r="AB112" s="4329"/>
      <c r="AC112" s="4329"/>
      <c r="AD112" s="4329"/>
      <c r="AE112" s="4329"/>
      <c r="AF112" s="4329"/>
      <c r="AG112" s="4305"/>
      <c r="AH112" s="4305"/>
      <c r="AI112" s="4305"/>
      <c r="AJ112" s="4305"/>
      <c r="AK112" s="4305"/>
      <c r="AL112" s="4305"/>
      <c r="AM112" s="4305"/>
      <c r="AN112" s="4305"/>
      <c r="AO112" s="4305"/>
      <c r="AP112" s="4305"/>
      <c r="AQ112" s="4305"/>
      <c r="AR112" s="4305"/>
      <c r="AS112" s="4305"/>
    </row>
    <row r="113" spans="1:97" s="4177" customFormat="1" ht="18.75" customHeight="1" x14ac:dyDescent="0.2">
      <c r="A113" s="4401" t="s">
        <v>3097</v>
      </c>
      <c r="B113" s="4398"/>
      <c r="C113" s="4398"/>
      <c r="D113" s="4399"/>
      <c r="E113" s="4399"/>
      <c r="F113" s="4399"/>
      <c r="G113" s="4399"/>
      <c r="H113" s="4399"/>
      <c r="I113" s="4399"/>
      <c r="J113" s="4399"/>
      <c r="K113" s="4399"/>
      <c r="L113" s="4399"/>
      <c r="M113" s="4399"/>
      <c r="N113" s="4399"/>
      <c r="O113" s="4399"/>
      <c r="P113" s="4399"/>
      <c r="Q113" s="4399"/>
      <c r="R113" s="4400"/>
      <c r="S113" s="4329"/>
      <c r="T113" s="4329"/>
      <c r="U113" s="4329"/>
      <c r="V113" s="4329"/>
      <c r="W113" s="4329"/>
      <c r="X113" s="4329"/>
      <c r="Y113" s="4329"/>
      <c r="Z113" s="4329"/>
      <c r="AA113" s="4329"/>
      <c r="AB113" s="4329"/>
      <c r="AC113" s="4329"/>
      <c r="AD113" s="4329"/>
      <c r="AE113" s="4329"/>
      <c r="AF113" s="4329"/>
      <c r="AG113" s="4305"/>
      <c r="AH113" s="4305"/>
      <c r="AI113" s="4305"/>
      <c r="AJ113" s="4305"/>
      <c r="AK113" s="4305"/>
      <c r="AL113" s="4305"/>
      <c r="AM113" s="4305"/>
      <c r="AN113" s="4305"/>
      <c r="AO113" s="4305"/>
      <c r="AP113" s="4305"/>
      <c r="AQ113" s="4305"/>
      <c r="AR113" s="4305"/>
      <c r="AS113" s="4305"/>
    </row>
    <row r="114" spans="1:97" s="4177" customFormat="1" ht="23.25" customHeight="1" x14ac:dyDescent="0.2">
      <c r="A114" s="10737" t="s">
        <v>2397</v>
      </c>
      <c r="B114" s="10723" t="s">
        <v>24</v>
      </c>
      <c r="C114" s="10724"/>
      <c r="D114" s="10725"/>
      <c r="E114" s="10723" t="s">
        <v>1061</v>
      </c>
      <c r="F114" s="10724"/>
      <c r="G114" s="10724"/>
      <c r="H114" s="10724"/>
      <c r="I114" s="10724"/>
      <c r="J114" s="10724"/>
      <c r="K114" s="10724"/>
      <c r="L114" s="10724"/>
      <c r="M114" s="10724"/>
      <c r="N114" s="10724"/>
      <c r="O114" s="10724"/>
      <c r="P114" s="10739"/>
      <c r="Q114" s="10740" t="s">
        <v>112</v>
      </c>
      <c r="R114" s="8822" t="s">
        <v>2599</v>
      </c>
      <c r="S114" s="8822" t="s">
        <v>2598</v>
      </c>
      <c r="T114" s="8822" t="s">
        <v>2947</v>
      </c>
      <c r="U114" s="8822" t="s">
        <v>2607</v>
      </c>
      <c r="V114" s="10742" t="s">
        <v>360</v>
      </c>
      <c r="W114" s="8206" t="s">
        <v>359</v>
      </c>
      <c r="X114" s="4176"/>
      <c r="Y114" s="4176"/>
      <c r="Z114" s="4176"/>
      <c r="AA114" s="4176"/>
      <c r="AB114" s="4176"/>
      <c r="AC114" s="4176"/>
      <c r="AD114" s="4176"/>
      <c r="AE114" s="4176"/>
      <c r="AF114" s="4176"/>
      <c r="AG114" s="4176"/>
      <c r="CA114" s="10671" t="s">
        <v>2367</v>
      </c>
      <c r="CB114" s="10671" t="s">
        <v>2392</v>
      </c>
      <c r="CC114" s="10671" t="s">
        <v>2393</v>
      </c>
      <c r="CD114" s="10671" t="s">
        <v>2394</v>
      </c>
      <c r="CE114" s="10671" t="s">
        <v>2368</v>
      </c>
      <c r="CF114" s="10671" t="s">
        <v>3547</v>
      </c>
      <c r="CG114" s="10671" t="s">
        <v>3548</v>
      </c>
      <c r="CH114" s="10671" t="s">
        <v>2395</v>
      </c>
      <c r="CJ114" s="10670" t="s">
        <v>3951</v>
      </c>
      <c r="CK114" s="10671" t="s">
        <v>2367</v>
      </c>
      <c r="CL114" s="10671" t="s">
        <v>2392</v>
      </c>
      <c r="CM114" s="10671" t="s">
        <v>2393</v>
      </c>
      <c r="CN114" s="10671" t="s">
        <v>2394</v>
      </c>
      <c r="CO114" s="10671" t="s">
        <v>2368</v>
      </c>
      <c r="CP114" s="10671" t="s">
        <v>3547</v>
      </c>
      <c r="CQ114" s="10671" t="s">
        <v>3548</v>
      </c>
      <c r="CR114" s="10671" t="s">
        <v>2395</v>
      </c>
    </row>
    <row r="115" spans="1:97" s="4177" customFormat="1" ht="30" customHeight="1" x14ac:dyDescent="0.2">
      <c r="A115" s="10738"/>
      <c r="B115" s="4402" t="s">
        <v>42</v>
      </c>
      <c r="C115" s="4403" t="s">
        <v>17</v>
      </c>
      <c r="D115" s="4404" t="s">
        <v>18</v>
      </c>
      <c r="E115" s="4405" t="s">
        <v>2398</v>
      </c>
      <c r="F115" s="3200" t="s">
        <v>2399</v>
      </c>
      <c r="G115" s="3200" t="s">
        <v>2400</v>
      </c>
      <c r="H115" s="3200" t="s">
        <v>2401</v>
      </c>
      <c r="I115" s="3200" t="s">
        <v>2402</v>
      </c>
      <c r="J115" s="3200" t="s">
        <v>2403</v>
      </c>
      <c r="K115" s="3200" t="s">
        <v>2404</v>
      </c>
      <c r="L115" s="3200" t="s">
        <v>2405</v>
      </c>
      <c r="M115" s="3200" t="s">
        <v>2406</v>
      </c>
      <c r="N115" s="3200" t="s">
        <v>2407</v>
      </c>
      <c r="O115" s="3200" t="s">
        <v>2408</v>
      </c>
      <c r="P115" s="4406" t="s">
        <v>2409</v>
      </c>
      <c r="Q115" s="10741"/>
      <c r="R115" s="8823"/>
      <c r="S115" s="8823"/>
      <c r="T115" s="8823"/>
      <c r="U115" s="8823"/>
      <c r="V115" s="10743"/>
      <c r="W115" s="8723"/>
      <c r="X115" s="4176"/>
      <c r="Y115" s="4176"/>
      <c r="Z115" s="4176"/>
      <c r="AA115" s="4176"/>
      <c r="AB115" s="4176"/>
      <c r="AC115" s="4176"/>
      <c r="AD115" s="4176"/>
      <c r="AE115" s="4176"/>
      <c r="AF115" s="4176"/>
      <c r="AG115" s="4176"/>
      <c r="CA115" s="10671"/>
      <c r="CB115" s="10671"/>
      <c r="CC115" s="10671"/>
      <c r="CD115" s="10671"/>
      <c r="CE115" s="10671"/>
      <c r="CF115" s="10671"/>
      <c r="CG115" s="10671"/>
      <c r="CH115" s="10671"/>
      <c r="CJ115" s="10670"/>
      <c r="CK115" s="10671"/>
      <c r="CL115" s="10671"/>
      <c r="CM115" s="10671"/>
      <c r="CN115" s="10671"/>
      <c r="CO115" s="10671"/>
      <c r="CP115" s="10671"/>
      <c r="CQ115" s="10671"/>
      <c r="CR115" s="10671"/>
    </row>
    <row r="116" spans="1:97" s="4177" customFormat="1" ht="23.25" customHeight="1" x14ac:dyDescent="0.2">
      <c r="A116" s="3202" t="s">
        <v>2410</v>
      </c>
      <c r="B116" s="4195">
        <f>SUM(E116:P116)</f>
        <v>0</v>
      </c>
      <c r="C116" s="4407"/>
      <c r="D116" s="4407"/>
      <c r="E116" s="4407"/>
      <c r="F116" s="4408"/>
      <c r="G116" s="4408"/>
      <c r="H116" s="4408"/>
      <c r="I116" s="4408"/>
      <c r="J116" s="4408"/>
      <c r="K116" s="4408"/>
      <c r="L116" s="4408"/>
      <c r="M116" s="4408"/>
      <c r="N116" s="4408"/>
      <c r="O116" s="4408"/>
      <c r="P116" s="4409"/>
      <c r="Q116" s="4410"/>
      <c r="R116" s="4408"/>
      <c r="S116" s="4408"/>
      <c r="T116" s="4408"/>
      <c r="U116" s="4408"/>
      <c r="V116" s="4351"/>
      <c r="W116" s="4351"/>
      <c r="X116" s="4177" t="str">
        <f>$CA116&amp;$CB116&amp;$CC116&amp;$CD116&amp;CE116&amp;CF116&amp;CG116&amp;CH116&amp;CI116&amp;CJ116</f>
        <v/>
      </c>
      <c r="Y116" s="4176"/>
      <c r="Z116" s="4176"/>
      <c r="AA116" s="4176"/>
      <c r="AB116" s="4176"/>
      <c r="AC116" s="4176"/>
      <c r="AD116" s="4176"/>
      <c r="AE116" s="4176"/>
      <c r="AF116" s="4176"/>
      <c r="AG116" s="4176"/>
      <c r="CA116" s="4177" t="str">
        <f>IF(CK116=1," *Los controles según sexo deben ser iguales  al total de Controles. ","")</f>
        <v/>
      </c>
      <c r="CB116" s="4177" t="str">
        <f>IF(CL116=1," *Las Atenciones de Embarazadas no pueden superar el total de Atenciones de Mujeres. ","")</f>
        <v/>
      </c>
      <c r="CC116" s="4177" t="str">
        <f>IF(CM116=1," *Las Atenciones de Personas de 60 Años no pueden superar el total de Atenciones del grupo de edad 20-64 Años. ","")</f>
        <v/>
      </c>
      <c r="CD116" s="4177" t="str">
        <f>IF(CN116=1," *Las Atenciones de Discapacitados no pueden superar el total de Atenciones.","")</f>
        <v/>
      </c>
      <c r="CE116" s="4177" t="str">
        <f>IF(CO116=1," *Las Atenciones de NNA SENAME no pueden superar el total de Atenciones, ni considerar el grupo etario 65 y mas años.","")</f>
        <v/>
      </c>
      <c r="CF116" s="4177" t="str">
        <f>IF(CP116=1," *Las Atenciones de NNA Mejor Niñez no pueden superar el total de Atenciones, ni considerar el grupo etario 65 y mas años.","")</f>
        <v/>
      </c>
      <c r="CG116" s="4177" t="str">
        <f>IF(CQ116=1," *Las Atenciones de Pueblos Originarios no pueden superar el total de Atenciones.","")</f>
        <v/>
      </c>
      <c r="CH116" s="4177" t="str">
        <f>IF(CR116=1," *Las Atenciones de Migrantes no pueden superar el total de Atenciones.","")</f>
        <v/>
      </c>
      <c r="CJ116" s="4177" t="str">
        <f>IF(OR(AND(B116&lt;&gt;0,T116=""),AND(B116&lt;&gt;0,U116=""),AND(B116&lt;&gt;0,V116=""),AND(B116&lt;&gt;0,W116="")),"* No olvide digitar Migrantes y/o Pueblos Originarios, Niños, Niñas, Adolescentes y Jóvenes SENAME, Niños, Niñas, Adolescentes y Jóvenes Mejor Niñez (Digite CERO si no tiene). ","")</f>
        <v/>
      </c>
      <c r="CK116" s="4177">
        <f>IF(C116+D116&lt;&gt;B116,1,0)</f>
        <v>0</v>
      </c>
      <c r="CL116" s="4177">
        <f>IF(Q116&gt;D116,1,0)</f>
        <v>0</v>
      </c>
      <c r="CM116" s="4177">
        <f>IF(R116&gt;O116,1,0)</f>
        <v>0</v>
      </c>
      <c r="CN116" s="4177">
        <f>IF(S116&gt;B116,1,0)</f>
        <v>0</v>
      </c>
      <c r="CO116" s="4177">
        <f t="shared" ref="CO116:CP119" si="55">IF(T116&gt;SUM($E116:$O116),1,0)</f>
        <v>0</v>
      </c>
      <c r="CP116" s="4177">
        <f t="shared" si="55"/>
        <v>0</v>
      </c>
      <c r="CQ116" s="4177">
        <f t="shared" ref="CQ116:CR119" si="56">IF(V116&gt;A116,1,0)</f>
        <v>0</v>
      </c>
      <c r="CR116" s="4177">
        <f t="shared" si="56"/>
        <v>0</v>
      </c>
    </row>
    <row r="117" spans="1:97" s="4177" customFormat="1" ht="23.25" customHeight="1" x14ac:dyDescent="0.2">
      <c r="A117" s="3202" t="s">
        <v>2411</v>
      </c>
      <c r="B117" s="4195">
        <f>SUM(E117:P117)</f>
        <v>0</v>
      </c>
      <c r="C117" s="4407"/>
      <c r="D117" s="4407"/>
      <c r="E117" s="4407"/>
      <c r="F117" s="4408"/>
      <c r="G117" s="4408"/>
      <c r="H117" s="4408"/>
      <c r="I117" s="4408"/>
      <c r="J117" s="4408"/>
      <c r="K117" s="4408"/>
      <c r="L117" s="4408"/>
      <c r="M117" s="4408"/>
      <c r="N117" s="4408"/>
      <c r="O117" s="4408"/>
      <c r="P117" s="4409"/>
      <c r="Q117" s="4410"/>
      <c r="R117" s="4408"/>
      <c r="S117" s="4408"/>
      <c r="T117" s="4408"/>
      <c r="U117" s="4408"/>
      <c r="V117" s="4351"/>
      <c r="W117" s="4351"/>
      <c r="X117" s="4177" t="str">
        <f t="shared" ref="X117:X118" si="57">$CA117&amp;$CB117&amp;$CC117&amp;$CD117&amp;CE117&amp;CF117&amp;CG117&amp;CH117&amp;CI117&amp;CJ117</f>
        <v/>
      </c>
      <c r="Y117" s="4176"/>
      <c r="Z117" s="4176"/>
      <c r="AA117" s="4176"/>
      <c r="AB117" s="4176"/>
      <c r="AC117" s="4176"/>
      <c r="AD117" s="4176"/>
      <c r="AE117" s="4176"/>
      <c r="AF117" s="4176"/>
      <c r="AG117" s="4176"/>
      <c r="CA117" s="4177" t="str">
        <f>IF(CK117=1," *Los controles según sexo deben ser iguales  al total de Controles. ","")</f>
        <v/>
      </c>
      <c r="CB117" s="4177" t="str">
        <f>IF(CL117=1," *Las Atenciones de Embarazadas no pueden superar el total de Atenciones de Mujeres. ","")</f>
        <v/>
      </c>
      <c r="CC117" s="4177" t="str">
        <f>IF(CM117=1," *Las Atenciones de Personas de 60 Años no pueden superar el total de Atenciones del grupo de edad 20-64 Años. ","")</f>
        <v/>
      </c>
      <c r="CD117" s="4177" t="str">
        <f>IF(CN117=1," *Las Atenciones de Discapacitados no pueden superar el total de Atenciones.","")</f>
        <v/>
      </c>
      <c r="CE117" s="4177" t="str">
        <f>IF(CO117=1," *Las Atenciones de NNA SENAME no pueden superar el total de Atenciones, ni considerar el grupo etario 65 y mas años.","")</f>
        <v/>
      </c>
      <c r="CF117" s="4177" t="str">
        <f>IF(CP117=1," *Las Atenciones de NNA Mejor Niñez no pueden superar el total de Atenciones, ni considerar el grupo etario 65 y mas años.","")</f>
        <v/>
      </c>
      <c r="CG117" s="4177" t="str">
        <f>IF(CQ117=1," *Las Atenciones de Pueblos Originarios no pueden superar el total de Atenciones.","")</f>
        <v/>
      </c>
      <c r="CH117" s="4177" t="str">
        <f>IF(CR117=1," *Las Atenciones de Migrantes no pueden superar el total de Atenciones.","")</f>
        <v/>
      </c>
      <c r="CJ117" s="4177" t="str">
        <f t="shared" ref="CJ117:CJ118" si="58">IF(OR(AND(B117&lt;&gt;0,T117=""),AND(B117&lt;&gt;0,U117=""),AND(B117&lt;&gt;0,V117=""),AND(B117&lt;&gt;0,W117="")),"* No olvide digitar Migrantes y/o Pueblos Originarios, Niños, Niñas, Adolescentes y Jóvenes SENAME, Niños, Niñas, Adolescentes y Jóvenes Mejor Niñez (Digite CERO si no tiene). ","")</f>
        <v/>
      </c>
      <c r="CK117" s="4177">
        <f>IF(C117+D117&lt;&gt;B117,1,0)</f>
        <v>0</v>
      </c>
      <c r="CL117" s="4177">
        <f>IF(Q117&gt;D117,1,0)</f>
        <v>0</v>
      </c>
      <c r="CM117" s="4177">
        <f>IF(R117&gt;O117,1,0)</f>
        <v>0</v>
      </c>
      <c r="CN117" s="4177">
        <f>IF(S117&gt;B117,1,0)</f>
        <v>0</v>
      </c>
      <c r="CO117" s="4177">
        <f t="shared" si="55"/>
        <v>0</v>
      </c>
      <c r="CP117" s="4177">
        <f t="shared" si="55"/>
        <v>0</v>
      </c>
      <c r="CQ117" s="4177">
        <f t="shared" si="56"/>
        <v>0</v>
      </c>
      <c r="CR117" s="4177">
        <f t="shared" si="56"/>
        <v>0</v>
      </c>
    </row>
    <row r="118" spans="1:97" s="4177" customFormat="1" ht="25.5" customHeight="1" x14ac:dyDescent="0.2">
      <c r="A118" s="3202" t="s">
        <v>2412</v>
      </c>
      <c r="B118" s="4195">
        <f>SUM(E118:P118)</f>
        <v>0</v>
      </c>
      <c r="C118" s="4407"/>
      <c r="D118" s="4407"/>
      <c r="E118" s="4407"/>
      <c r="F118" s="4408"/>
      <c r="G118" s="4408"/>
      <c r="H118" s="4408"/>
      <c r="I118" s="4408"/>
      <c r="J118" s="4408"/>
      <c r="K118" s="4408"/>
      <c r="L118" s="4408"/>
      <c r="M118" s="4408"/>
      <c r="N118" s="4408"/>
      <c r="O118" s="4408"/>
      <c r="P118" s="4409"/>
      <c r="Q118" s="4410"/>
      <c r="R118" s="4408"/>
      <c r="S118" s="4408"/>
      <c r="T118" s="4408"/>
      <c r="U118" s="4408"/>
      <c r="V118" s="4351"/>
      <c r="W118" s="4351"/>
      <c r="X118" s="4177" t="str">
        <f t="shared" si="57"/>
        <v/>
      </c>
      <c r="Y118" s="4176"/>
      <c r="Z118" s="4176"/>
      <c r="AA118" s="4176"/>
      <c r="AC118" s="4176"/>
      <c r="AD118" s="4176"/>
      <c r="AE118" s="4176"/>
      <c r="AF118" s="4176"/>
      <c r="AG118" s="4176"/>
      <c r="CA118" s="4177" t="str">
        <f>IF(CK118=1," *Los controles según sexo deben ser iguales  al total de Controles. ","")</f>
        <v/>
      </c>
      <c r="CB118" s="4177" t="str">
        <f>IF(CL118=1," *Las Atenciones de Embarazadas no pueden superar el total de Atenciones de Mujeres. ","")</f>
        <v/>
      </c>
      <c r="CC118" s="4177" t="str">
        <f>IF(CM118=1," *Las Atenciones de Personas de 60 Años no pueden superar el total de Atenciones del grupo de edad 20-64 Años. ","")</f>
        <v/>
      </c>
      <c r="CD118" s="4177" t="str">
        <f>IF(CN118=1," *Las Atenciones de Discapacitados no pueden superar el total de Atenciones.","")</f>
        <v/>
      </c>
      <c r="CE118" s="4177" t="str">
        <f>IF(CO118=1," *Las Atenciones de NNA SENAME no pueden superar el total de Atenciones, ni considerar el grupo etario 65 y mas años.","")</f>
        <v/>
      </c>
      <c r="CF118" s="4177" t="str">
        <f>IF(CP118=1," *Las Atenciones de NNA Mejor Niñez no pueden superar el total de Atenciones, ni considerar el grupo etario 65 y mas años.","")</f>
        <v/>
      </c>
      <c r="CG118" s="4177" t="str">
        <f>IF(CQ118=1," *Las Atenciones de Pueblos Originarios no pueden superar el total de Atenciones.","")</f>
        <v/>
      </c>
      <c r="CH118" s="4177" t="str">
        <f>IF(CR118=1," *Las Atenciones de Migrantes no pueden superar el total de Atenciones.","")</f>
        <v/>
      </c>
      <c r="CJ118" s="4177" t="str">
        <f t="shared" si="58"/>
        <v/>
      </c>
      <c r="CK118" s="4177">
        <f>IF(C118+D118&lt;&gt;B118,1,0)</f>
        <v>0</v>
      </c>
      <c r="CL118" s="4177">
        <f>IF(Q118&gt;D118,1,0)</f>
        <v>0</v>
      </c>
      <c r="CM118" s="4177">
        <f>IF(R118&gt;O118,1,0)</f>
        <v>0</v>
      </c>
      <c r="CN118" s="4177">
        <f>IF(S118&gt;B118,1,0)</f>
        <v>0</v>
      </c>
      <c r="CO118" s="4177">
        <f t="shared" si="55"/>
        <v>0</v>
      </c>
      <c r="CP118" s="4177">
        <f t="shared" si="55"/>
        <v>0</v>
      </c>
      <c r="CQ118" s="4177">
        <f t="shared" si="56"/>
        <v>0</v>
      </c>
      <c r="CR118" s="4177">
        <f t="shared" si="56"/>
        <v>0</v>
      </c>
    </row>
    <row r="119" spans="1:97" s="4177" customFormat="1" ht="16.5" customHeight="1" x14ac:dyDescent="0.2">
      <c r="A119" s="4411" t="s">
        <v>24</v>
      </c>
      <c r="B119" s="4412">
        <f t="shared" ref="B119:W119" si="59">SUM(B116:B118)</f>
        <v>0</v>
      </c>
      <c r="C119" s="4413">
        <f t="shared" si="59"/>
        <v>0</v>
      </c>
      <c r="D119" s="4414">
        <f t="shared" si="59"/>
        <v>0</v>
      </c>
      <c r="E119" s="4335">
        <f t="shared" si="59"/>
        <v>0</v>
      </c>
      <c r="F119" s="4415">
        <f t="shared" si="59"/>
        <v>0</v>
      </c>
      <c r="G119" s="4415">
        <f t="shared" si="59"/>
        <v>0</v>
      </c>
      <c r="H119" s="4415">
        <f t="shared" si="59"/>
        <v>0</v>
      </c>
      <c r="I119" s="4415">
        <f t="shared" si="59"/>
        <v>0</v>
      </c>
      <c r="J119" s="4415">
        <f t="shared" si="59"/>
        <v>0</v>
      </c>
      <c r="K119" s="4415">
        <f t="shared" si="59"/>
        <v>0</v>
      </c>
      <c r="L119" s="4415">
        <f t="shared" si="59"/>
        <v>0</v>
      </c>
      <c r="M119" s="4415">
        <f t="shared" si="59"/>
        <v>0</v>
      </c>
      <c r="N119" s="4415">
        <f t="shared" si="59"/>
        <v>0</v>
      </c>
      <c r="O119" s="4415">
        <f t="shared" si="59"/>
        <v>0</v>
      </c>
      <c r="P119" s="4416">
        <f t="shared" si="59"/>
        <v>0</v>
      </c>
      <c r="Q119" s="4417">
        <f t="shared" si="59"/>
        <v>0</v>
      </c>
      <c r="R119" s="4418">
        <f t="shared" si="59"/>
        <v>0</v>
      </c>
      <c r="S119" s="4418">
        <f t="shared" si="59"/>
        <v>0</v>
      </c>
      <c r="T119" s="4418">
        <f>SUM(T116:T118)</f>
        <v>0</v>
      </c>
      <c r="U119" s="4418">
        <f t="shared" si="59"/>
        <v>0</v>
      </c>
      <c r="V119" s="4419">
        <f t="shared" si="59"/>
        <v>0</v>
      </c>
      <c r="W119" s="4419">
        <f t="shared" si="59"/>
        <v>0</v>
      </c>
      <c r="X119" s="4176"/>
      <c r="Y119" s="4176"/>
      <c r="Z119" s="4176"/>
      <c r="AA119" s="4176"/>
      <c r="AB119" s="4176"/>
      <c r="AC119" s="4176"/>
      <c r="AD119" s="4176"/>
      <c r="AE119" s="4176"/>
      <c r="AF119" s="4176"/>
      <c r="AG119" s="4176"/>
      <c r="CA119" s="4177" t="str">
        <f>IF(CK119=1," *Los controles según sexo deben ser iguales  al total de Controles. ","")</f>
        <v/>
      </c>
      <c r="CB119" s="4177" t="str">
        <f>IF(CL119=1," *Las Atenciones de Embarazadas no pueden superar el total de Atenciones de Mujeres. ","")</f>
        <v/>
      </c>
      <c r="CC119" s="4177" t="str">
        <f>IF(CM119=1," *Las Atenciones de Personas de 60 Años no pueden superar el total de Atenciones del grupo de edad 20-64 Años. ","")</f>
        <v/>
      </c>
      <c r="CD119" s="4177" t="str">
        <f>IF(CN119=1," *Las Atenciones de Discapacitados no pueden superar el total de Atenciones.","")</f>
        <v/>
      </c>
      <c r="CE119" s="4177" t="str">
        <f>IF(CO119=1," *Las Atenciones de NNA SENAME no pueden superar el total de Atenciones, ni considerar el grupo etario 65 y mas años.","")</f>
        <v/>
      </c>
      <c r="CF119" s="4177" t="str">
        <f>IF(CP119=1," *Las Atenciones de NNA Mejor Niñez no pueden superar el total de Atenciones, ni considerar el grupo etario 65 y mas años.","")</f>
        <v/>
      </c>
      <c r="CG119" s="4177" t="str">
        <f>IF(CQ119=1," *Las Atenciones de Pueblos Originarios no pueden superar el total de Atenciones.","")</f>
        <v/>
      </c>
      <c r="CH119" s="4177" t="str">
        <f>IF(CR119=1," *Las Atenciones de Migrantes no pueden superar el total de Atenciones.","")</f>
        <v/>
      </c>
      <c r="CK119" s="4177">
        <f>IF(C119+D119&lt;&gt;B119,1,0)</f>
        <v>0</v>
      </c>
      <c r="CL119" s="4177">
        <f>IF(Q119&gt;D119,1,0)</f>
        <v>0</v>
      </c>
      <c r="CM119" s="4177">
        <f>IF(R119&gt;O119,1,0)</f>
        <v>0</v>
      </c>
      <c r="CN119" s="4177">
        <f>IF(S119&gt;B119,1,0)</f>
        <v>0</v>
      </c>
      <c r="CO119" s="4177">
        <f t="shared" si="55"/>
        <v>0</v>
      </c>
      <c r="CP119" s="4177">
        <f t="shared" si="55"/>
        <v>0</v>
      </c>
      <c r="CQ119" s="4177">
        <f t="shared" si="56"/>
        <v>0</v>
      </c>
      <c r="CR119" s="4177">
        <f t="shared" si="56"/>
        <v>0</v>
      </c>
    </row>
    <row r="120" spans="1:97" s="4177" customFormat="1" ht="21" customHeight="1" x14ac:dyDescent="0.2">
      <c r="A120" s="4420" t="s">
        <v>3098</v>
      </c>
      <c r="B120" s="4398"/>
      <c r="C120" s="4398"/>
      <c r="D120" s="4399"/>
      <c r="E120" s="4399"/>
      <c r="F120" s="4399"/>
      <c r="G120" s="4399"/>
      <c r="H120" s="4399"/>
      <c r="I120" s="4399"/>
      <c r="J120" s="4399"/>
      <c r="K120" s="4399"/>
      <c r="L120" s="4399"/>
      <c r="M120" s="4421"/>
      <c r="N120" s="4421"/>
      <c r="O120" s="4421"/>
      <c r="P120" s="4421"/>
      <c r="Q120" s="4421"/>
      <c r="R120" s="4422"/>
      <c r="S120" s="4423"/>
      <c r="T120" s="4329"/>
      <c r="U120" s="4329"/>
      <c r="V120" s="4329"/>
      <c r="W120" s="4329"/>
      <c r="X120" s="4176"/>
      <c r="Y120" s="4176"/>
      <c r="Z120" s="4176"/>
      <c r="AA120" s="4176"/>
      <c r="AB120" s="4176"/>
      <c r="AC120" s="4176"/>
      <c r="AD120" s="4176"/>
      <c r="AE120" s="4176"/>
      <c r="AF120" s="4176"/>
    </row>
    <row r="121" spans="1:97" s="4177" customFormat="1" ht="21.95" customHeight="1" x14ac:dyDescent="0.2">
      <c r="A121" s="10845" t="s">
        <v>2397</v>
      </c>
      <c r="B121" s="10841" t="s">
        <v>24</v>
      </c>
      <c r="C121" s="10842"/>
      <c r="D121" s="10843"/>
      <c r="E121" s="10841" t="s">
        <v>1061</v>
      </c>
      <c r="F121" s="10842"/>
      <c r="G121" s="10842"/>
      <c r="H121" s="10842"/>
      <c r="I121" s="10842"/>
      <c r="J121" s="10842"/>
      <c r="K121" s="10842"/>
      <c r="L121" s="10844"/>
      <c r="M121" s="10847" t="s">
        <v>2553</v>
      </c>
      <c r="N121" s="10818" t="s">
        <v>112</v>
      </c>
      <c r="O121" s="10818" t="s">
        <v>358</v>
      </c>
      <c r="P121" s="10818" t="s">
        <v>2547</v>
      </c>
      <c r="Q121" s="10818" t="s">
        <v>2996</v>
      </c>
      <c r="R121" s="10818" t="s">
        <v>2685</v>
      </c>
      <c r="S121" s="10818" t="s">
        <v>360</v>
      </c>
      <c r="T121" s="8206" t="s">
        <v>359</v>
      </c>
      <c r="U121" s="4176"/>
      <c r="V121" s="4176"/>
      <c r="W121" s="4176"/>
      <c r="X121" s="4176"/>
      <c r="Y121" s="4176"/>
      <c r="Z121" s="4176"/>
      <c r="AA121" s="4176"/>
      <c r="AB121" s="4176"/>
      <c r="AC121" s="4176"/>
      <c r="AD121" s="4176"/>
      <c r="AE121" s="4176"/>
      <c r="AF121" s="4176"/>
      <c r="AG121" s="4176"/>
      <c r="CA121" s="10671" t="s">
        <v>2367</v>
      </c>
      <c r="CB121" s="10671" t="s">
        <v>2392</v>
      </c>
      <c r="CC121" s="10671" t="s">
        <v>2396</v>
      </c>
      <c r="CD121" s="10671" t="s">
        <v>2393</v>
      </c>
      <c r="CE121" s="10671" t="s">
        <v>2394</v>
      </c>
      <c r="CF121" s="10671" t="s">
        <v>2368</v>
      </c>
      <c r="CG121" s="10671" t="s">
        <v>3547</v>
      </c>
      <c r="CH121" s="10671" t="s">
        <v>3548</v>
      </c>
      <c r="CI121" s="10671" t="s">
        <v>2395</v>
      </c>
      <c r="CJ121" s="10670" t="s">
        <v>3951</v>
      </c>
      <c r="CK121" s="10671" t="s">
        <v>2367</v>
      </c>
      <c r="CL121" s="10671" t="s">
        <v>2392</v>
      </c>
      <c r="CM121" s="10671" t="s">
        <v>2396</v>
      </c>
      <c r="CN121" s="10671" t="s">
        <v>2393</v>
      </c>
      <c r="CO121" s="10671" t="s">
        <v>2394</v>
      </c>
      <c r="CP121" s="10671" t="s">
        <v>2368</v>
      </c>
      <c r="CQ121" s="10671" t="s">
        <v>3547</v>
      </c>
      <c r="CR121" s="10671" t="s">
        <v>3548</v>
      </c>
      <c r="CS121" s="10671" t="s">
        <v>2395</v>
      </c>
    </row>
    <row r="122" spans="1:97" s="4177" customFormat="1" ht="35.25" customHeight="1" x14ac:dyDescent="0.2">
      <c r="A122" s="10846"/>
      <c r="B122" s="4424" t="s">
        <v>42</v>
      </c>
      <c r="C122" s="4424" t="s">
        <v>17</v>
      </c>
      <c r="D122" s="4425" t="s">
        <v>18</v>
      </c>
      <c r="E122" s="4405" t="s">
        <v>2413</v>
      </c>
      <c r="F122" s="3200" t="s">
        <v>2404</v>
      </c>
      <c r="G122" s="3200" t="s">
        <v>2550</v>
      </c>
      <c r="H122" s="3200" t="s">
        <v>2551</v>
      </c>
      <c r="I122" s="3200" t="s">
        <v>2407</v>
      </c>
      <c r="J122" s="3200" t="s">
        <v>2552</v>
      </c>
      <c r="K122" s="3200" t="s">
        <v>2531</v>
      </c>
      <c r="L122" s="4406" t="s">
        <v>2409</v>
      </c>
      <c r="M122" s="10848"/>
      <c r="N122" s="10819"/>
      <c r="O122" s="10819"/>
      <c r="P122" s="10819"/>
      <c r="Q122" s="10819"/>
      <c r="R122" s="10819"/>
      <c r="S122" s="10819"/>
      <c r="T122" s="8860"/>
      <c r="U122" s="4176"/>
      <c r="V122" s="4176"/>
      <c r="W122" s="4176"/>
      <c r="X122" s="4176"/>
      <c r="Y122" s="4176"/>
      <c r="Z122" s="4176"/>
      <c r="AA122" s="4176"/>
      <c r="AB122" s="4176"/>
      <c r="AC122" s="4176"/>
      <c r="AD122" s="4176"/>
      <c r="AE122" s="4176"/>
      <c r="AF122" s="4176"/>
      <c r="AG122" s="4176"/>
      <c r="CA122" s="10671"/>
      <c r="CB122" s="10671"/>
      <c r="CC122" s="10671"/>
      <c r="CD122" s="10671"/>
      <c r="CE122" s="10671"/>
      <c r="CF122" s="10671"/>
      <c r="CG122" s="10671"/>
      <c r="CH122" s="10671"/>
      <c r="CI122" s="10671"/>
      <c r="CJ122" s="10670"/>
      <c r="CK122" s="10671"/>
      <c r="CL122" s="10671"/>
      <c r="CM122" s="10671"/>
      <c r="CN122" s="10671"/>
      <c r="CO122" s="10671"/>
      <c r="CP122" s="10671"/>
      <c r="CQ122" s="10671"/>
      <c r="CR122" s="10671"/>
      <c r="CS122" s="10671"/>
    </row>
    <row r="123" spans="1:97" s="4177" customFormat="1" ht="24" customHeight="1" x14ac:dyDescent="0.2">
      <c r="A123" s="3201" t="s">
        <v>2548</v>
      </c>
      <c r="B123" s="4426">
        <f>SUM(E123:L123)</f>
        <v>0</v>
      </c>
      <c r="C123" s="4427"/>
      <c r="D123" s="4428"/>
      <c r="E123" s="4292"/>
      <c r="F123" s="4294"/>
      <c r="G123" s="4294"/>
      <c r="H123" s="4294"/>
      <c r="I123" s="4294"/>
      <c r="J123" s="4294"/>
      <c r="K123" s="4294"/>
      <c r="L123" s="4295"/>
      <c r="M123" s="4429"/>
      <c r="N123" s="4294"/>
      <c r="O123" s="4294"/>
      <c r="P123" s="4294"/>
      <c r="Q123" s="4294"/>
      <c r="R123" s="4294"/>
      <c r="S123" s="4294"/>
      <c r="T123" s="4428"/>
      <c r="U123" s="4177" t="str">
        <f>$CA123&amp;$CB123&amp;$CC123&amp;$CD123&amp;CE123&amp;CF123&amp;CG123&amp;CH123&amp;CI123&amp;CJ123</f>
        <v/>
      </c>
      <c r="V123" s="4176"/>
      <c r="W123" s="4176"/>
      <c r="Y123" s="4176"/>
      <c r="Z123" s="4176"/>
      <c r="AA123" s="4176"/>
      <c r="AB123" s="4176"/>
      <c r="AC123" s="4176"/>
      <c r="AD123" s="4176"/>
      <c r="AE123" s="4176"/>
      <c r="AF123" s="4176"/>
      <c r="AG123" s="4176"/>
      <c r="CA123" s="4177" t="str">
        <f>IF(CK123=1," *Los controles según sexo deben ser iguales  al total de Controles. ","")</f>
        <v/>
      </c>
      <c r="CB123" s="4177" t="str">
        <f>IF(CL123=1," *Las Atenciones de Embarazadas no pueden superar el total de Atenciones de Mujeres. ","")</f>
        <v/>
      </c>
      <c r="CC123" s="4177" t="str">
        <f>IF(CM123=1," *Las Atenciones de Beneficiarios no pueden superar el total de Atenciones ","")</f>
        <v/>
      </c>
      <c r="CD123" s="4177" t="str">
        <f>IF(CN123=1," *Las Atenciones de Personas de 60 Años no pueden superar el total de Atenciones del grupo de edad 20-64 Años. ","")</f>
        <v/>
      </c>
      <c r="CE123" s="4177" t="str">
        <f>IF(CO123=1," *Las Atenciones de Discapacitados no pueden superar el total de Atenciones.","")</f>
        <v/>
      </c>
      <c r="CF123" s="4177" t="str">
        <f>IF(CP123=1," *Las Atenciones de NNA SENAME no pueden superar el total de Atenciones, ni considerar el grupo etario 65 y mas años.","")</f>
        <v/>
      </c>
      <c r="CG123" s="4177" t="str">
        <f>IF(CQ123=1," *Las Atenciones de NNA Mejor Niñez no pueden superar el total de Atenciones, ni considerar el grupo etario 65 y mas años.","")</f>
        <v/>
      </c>
      <c r="CH123" s="4177" t="str">
        <f>IF(CR123=1," *Las Atenciones de Pueblos Originarios no pueden superar el total de Atenciones.","")</f>
        <v/>
      </c>
      <c r="CI123" s="4177" t="str">
        <f>IF(CS123=1," *Las Atenciones de Migrantes no pueden superar el total de Atenciones.","")</f>
        <v/>
      </c>
      <c r="CJ123" s="4177" t="str">
        <f>IF(OR(AND(B123&lt;&gt;0,Q123=""),AND(B123&lt;&gt;0,R123=""),AND(B123&lt;&gt;0,S123=""),AND(B123&lt;&gt;0,T123="")),"* No olvide digitar Migrantes y/o Pueblos Originarios, Niños, Niñas, Adolescentes y Jóvenes SENAME, Niños, Niñas, Adolescentes y Jóvenes Mejor Niñez (Digite CERO si no tiene). ","")</f>
        <v/>
      </c>
      <c r="CK123" s="4177">
        <f>IF(C123+D123&lt;&gt;B123,1,0)</f>
        <v>0</v>
      </c>
      <c r="CL123" s="4177">
        <f>IF(M123&gt;D123,1,0)</f>
        <v>0</v>
      </c>
      <c r="CM123" s="4177">
        <f>IF(N123&gt;B123,1,0)</f>
        <v>0</v>
      </c>
      <c r="CN123" s="4177">
        <f>IF(O123&gt;K123,1,0)</f>
        <v>0</v>
      </c>
      <c r="CO123" s="4177">
        <f>IF(P123&gt;B123,1,0)</f>
        <v>0</v>
      </c>
      <c r="CP123" s="4177">
        <f t="shared" ref="CP123:CQ125" si="60">IF(Q123&gt;SUM($E123:$K123),1,0)</f>
        <v>0</v>
      </c>
      <c r="CQ123" s="4177">
        <f t="shared" si="60"/>
        <v>0</v>
      </c>
      <c r="CR123" s="4177">
        <f t="shared" ref="CR123:CS125" si="61">IF(S123&gt;$B123,1,0)</f>
        <v>0</v>
      </c>
      <c r="CS123" s="4177">
        <f t="shared" si="61"/>
        <v>0</v>
      </c>
    </row>
    <row r="124" spans="1:97" s="4177" customFormat="1" ht="21.95" customHeight="1" x14ac:dyDescent="0.2">
      <c r="A124" s="3202" t="s">
        <v>2549</v>
      </c>
      <c r="B124" s="4430">
        <f>SUM(E124:L124)</f>
        <v>0</v>
      </c>
      <c r="C124" s="4431"/>
      <c r="D124" s="4211"/>
      <c r="E124" s="4196"/>
      <c r="F124" s="4197"/>
      <c r="G124" s="4197"/>
      <c r="H124" s="4197"/>
      <c r="I124" s="4197"/>
      <c r="J124" s="4197"/>
      <c r="K124" s="4197"/>
      <c r="L124" s="4304"/>
      <c r="M124" s="4410"/>
      <c r="N124" s="4408"/>
      <c r="O124" s="4408"/>
      <c r="P124" s="4408"/>
      <c r="Q124" s="4408"/>
      <c r="R124" s="4408"/>
      <c r="S124" s="4294"/>
      <c r="T124" s="4428"/>
      <c r="U124" s="4177" t="str">
        <f>$CA124&amp;$CB124&amp;$CC124&amp;$CD124&amp;CE124&amp;CF124&amp;CG124&amp;CH124&amp;CI124&amp;CJ124</f>
        <v/>
      </c>
      <c r="V124" s="4176"/>
      <c r="W124" s="4176"/>
      <c r="X124" s="4177" t="str">
        <f>$CA124&amp;$CB124&amp;$CC124&amp;$CD124&amp;CE124&amp;CF124&amp;CG124&amp;CH124&amp;CI124</f>
        <v/>
      </c>
      <c r="Y124" s="4176"/>
      <c r="Z124" s="4176"/>
      <c r="AA124" s="4176"/>
      <c r="AB124" s="4176"/>
      <c r="AC124" s="4176"/>
      <c r="AD124" s="4176"/>
      <c r="AE124" s="4176"/>
      <c r="AF124" s="4176"/>
      <c r="AG124" s="4176"/>
      <c r="CA124" s="4177" t="str">
        <f>IF(CK124=1," *Los controles según sexo deben ser iguales  al total de Controles. ","")</f>
        <v/>
      </c>
      <c r="CB124" s="4177" t="str">
        <f>IF(CL124=1," *Las Atenciones de Embarazadas no pueden superar el total de Atenciones de Mujeres. ","")</f>
        <v/>
      </c>
      <c r="CC124" s="4177" t="str">
        <f>IF(CM124=1," *Las Atenciones de Beneficiarios no pueden superar el total de Atenciones ","")</f>
        <v/>
      </c>
      <c r="CD124" s="4177" t="str">
        <f>IF(CN124=1," *Las Atenciones de Personas de 60 Años no pueden superar el total de Atenciones del grupo de edad 20-64 Años. ","")</f>
        <v/>
      </c>
      <c r="CE124" s="4177" t="str">
        <f>IF(CO124=1," *Las Atenciones de Discapacitados no pueden superar el total de Atenciones.","")</f>
        <v/>
      </c>
      <c r="CF124" s="4177" t="str">
        <f>IF(CP124=1," *Las Atenciones de NNA SENAME no pueden superar el total de Atenciones, ni considerar el grupo etario 65 y mas años.","")</f>
        <v/>
      </c>
      <c r="CG124" s="4177" t="str">
        <f>IF(CQ124=1," *Las Atenciones de NNA Mejor Niñez no pueden superar el total de Atenciones, ni considerar el grupo etario 65 y mas años.","")</f>
        <v/>
      </c>
      <c r="CH124" s="4177" t="str">
        <f>IF(CR124=1," *Las Atenciones de Pueblos Originarios no pueden superar el total de Atenciones.","")</f>
        <v/>
      </c>
      <c r="CI124" s="4177" t="str">
        <f>IF(CS124=1," *Las Atenciones de Migrantes no pueden superar el total de Atenciones.","")</f>
        <v/>
      </c>
      <c r="CJ124" s="4177" t="str">
        <f>IF(OR(AND(B124&lt;&gt;0,Q124=""),AND(B124&lt;&gt;0,R124=""),AND(B124&lt;&gt;0,S124=""),AND(B124&lt;&gt;0,T124="")),"* No olvide digitar Migrantes y/o Pueblos Originarios, Niños, Niñas, Adolescentes y Jóvenes SENAME, Niños, Niñas, Adolescentes y Jóvenes Mejor Niñez (Digite CERO si no tiene). ","")</f>
        <v/>
      </c>
      <c r="CK124" s="4177">
        <f>IF(C124+D124&lt;&gt;B124,1,0)</f>
        <v>0</v>
      </c>
      <c r="CL124" s="4177">
        <f>IF(M124&gt;D124,1,0)</f>
        <v>0</v>
      </c>
      <c r="CM124" s="4177">
        <f>IF(N124&gt;B124,1,0)</f>
        <v>0</v>
      </c>
      <c r="CN124" s="4177">
        <f>IF(O124&gt;K124,1,0)</f>
        <v>0</v>
      </c>
      <c r="CO124" s="4177">
        <f>IF(P124&gt;B124,1,0)</f>
        <v>0</v>
      </c>
      <c r="CP124" s="4177">
        <f t="shared" si="60"/>
        <v>0</v>
      </c>
      <c r="CQ124" s="4177">
        <f t="shared" si="60"/>
        <v>0</v>
      </c>
      <c r="CR124" s="4177">
        <f t="shared" si="61"/>
        <v>0</v>
      </c>
      <c r="CS124" s="4177">
        <f t="shared" si="61"/>
        <v>0</v>
      </c>
    </row>
    <row r="125" spans="1:97" s="4177" customFormat="1" ht="21" customHeight="1" x14ac:dyDescent="0.2">
      <c r="A125" s="4411" t="s">
        <v>24</v>
      </c>
      <c r="B125" s="4412">
        <f t="shared" ref="B125:L125" si="62">SUM(B123:B124)</f>
        <v>0</v>
      </c>
      <c r="C125" s="4432">
        <f t="shared" si="62"/>
        <v>0</v>
      </c>
      <c r="D125" s="4433">
        <f t="shared" si="62"/>
        <v>0</v>
      </c>
      <c r="E125" s="4335">
        <f t="shared" si="62"/>
        <v>0</v>
      </c>
      <c r="F125" s="4415">
        <f t="shared" si="62"/>
        <v>0</v>
      </c>
      <c r="G125" s="4415">
        <f t="shared" si="62"/>
        <v>0</v>
      </c>
      <c r="H125" s="4415">
        <f t="shared" si="62"/>
        <v>0</v>
      </c>
      <c r="I125" s="4415">
        <f t="shared" si="62"/>
        <v>0</v>
      </c>
      <c r="J125" s="4415">
        <f t="shared" si="62"/>
        <v>0</v>
      </c>
      <c r="K125" s="4415">
        <f t="shared" si="62"/>
        <v>0</v>
      </c>
      <c r="L125" s="4416">
        <f t="shared" si="62"/>
        <v>0</v>
      </c>
      <c r="M125" s="4417">
        <f t="shared" ref="M125:T125" si="63">SUM(M123:M124)</f>
        <v>0</v>
      </c>
      <c r="N125" s="4434">
        <f t="shared" si="63"/>
        <v>0</v>
      </c>
      <c r="O125" s="4434">
        <f t="shared" si="63"/>
        <v>0</v>
      </c>
      <c r="P125" s="4418">
        <f t="shared" si="63"/>
        <v>0</v>
      </c>
      <c r="Q125" s="4418">
        <f t="shared" si="63"/>
        <v>0</v>
      </c>
      <c r="R125" s="4418">
        <f>SUM(R123:R124)</f>
        <v>0</v>
      </c>
      <c r="S125" s="4435">
        <f t="shared" si="63"/>
        <v>0</v>
      </c>
      <c r="T125" s="4436">
        <f t="shared" si="63"/>
        <v>0</v>
      </c>
      <c r="U125" s="4176"/>
      <c r="V125" s="4176"/>
      <c r="W125" s="4176"/>
      <c r="X125" s="4176"/>
      <c r="Y125" s="4176"/>
      <c r="Z125" s="4176"/>
      <c r="AA125" s="4176"/>
      <c r="AB125" s="4176"/>
      <c r="AC125" s="4176"/>
      <c r="AD125" s="4176"/>
      <c r="AE125" s="4176"/>
      <c r="AF125" s="4176"/>
      <c r="AG125" s="4176"/>
      <c r="CA125" s="4177" t="str">
        <f>IF(CK125=1," *Los controles según sexo deben ser iguales  al total de Controles. ","")</f>
        <v/>
      </c>
      <c r="CB125" s="4177" t="str">
        <f>IF(CL125=1," *Las Atenciones de Embarazadas no pueden superar el total de Atenciones de Mujeres. ","")</f>
        <v/>
      </c>
      <c r="CC125" s="4177" t="str">
        <f>IF(CM125=1," *Las Atenciones de Beneficiarios no pueden superar el total de Atenciones ","")</f>
        <v/>
      </c>
      <c r="CD125" s="4177" t="str">
        <f>IF(CN125=1," *Las Atenciones de Personas de 60 Años no pueden superar el total de Atenciones del grupo de edad 20-64 Años. ","")</f>
        <v/>
      </c>
      <c r="CE125" s="4177" t="str">
        <f>IF(CO125=1," *Las Atenciones de Discapacitados no pueden superar el total de Atenciones.","")</f>
        <v/>
      </c>
      <c r="CF125" s="4177" t="str">
        <f>IF(CP125=1," *Las Atenciones de NNA SENAME no pueden superar el total de Atenciones, ni considerar el grupo etario 65 y mas años.","")</f>
        <v/>
      </c>
      <c r="CG125" s="4177" t="str">
        <f>IF(CQ125=1," *Las Atenciones de NNA Mejor Niñez no pueden superar el total de Atenciones, ni considerar el grupo etario 65 y mas años.","")</f>
        <v/>
      </c>
      <c r="CH125" s="4177" t="str">
        <f>IF(CR125=1," *Las Atenciones de Pueblos Originarios no pueden superar el total de Atenciones.","")</f>
        <v/>
      </c>
      <c r="CI125" s="4177" t="str">
        <f>IF(CS125=1," *Las Atenciones de Migrantes no pueden superar el total de Atenciones.","")</f>
        <v/>
      </c>
      <c r="CK125" s="4177">
        <f>IF(C125+D125&lt;&gt;B125,1,0)</f>
        <v>0</v>
      </c>
      <c r="CL125" s="4177">
        <f>IF(M125&gt;D125,1,0)</f>
        <v>0</v>
      </c>
      <c r="CM125" s="4177">
        <f>IF(N125&gt;B125,1,0)</f>
        <v>0</v>
      </c>
      <c r="CN125" s="4177">
        <f>IF(O125&gt;K125,1,0)</f>
        <v>0</v>
      </c>
      <c r="CO125" s="4177">
        <f>IF(P125&gt;B125,1,0)</f>
        <v>0</v>
      </c>
      <c r="CP125" s="4177">
        <f t="shared" si="60"/>
        <v>0</v>
      </c>
      <c r="CQ125" s="4177">
        <f t="shared" si="60"/>
        <v>0</v>
      </c>
      <c r="CR125" s="4177">
        <f t="shared" si="61"/>
        <v>0</v>
      </c>
      <c r="CS125" s="4177">
        <f t="shared" si="61"/>
        <v>0</v>
      </c>
    </row>
    <row r="126" spans="1:97" s="4177" customFormat="1" ht="21" customHeight="1" x14ac:dyDescent="0.2">
      <c r="A126" s="4437" t="s">
        <v>3099</v>
      </c>
      <c r="B126" s="4176"/>
      <c r="C126" s="4176"/>
      <c r="D126" s="4176"/>
      <c r="E126" s="4176"/>
      <c r="F126" s="4176"/>
      <c r="G126" s="4176"/>
      <c r="H126" s="4176"/>
      <c r="I126" s="4176"/>
      <c r="J126" s="4176"/>
      <c r="K126" s="4176"/>
      <c r="L126" s="4176"/>
      <c r="M126" s="4176"/>
      <c r="N126" s="4176"/>
      <c r="O126" s="4176"/>
      <c r="P126" s="4176"/>
      <c r="Q126" s="4176"/>
      <c r="R126" s="4176"/>
      <c r="S126" s="4176"/>
      <c r="T126" s="4176"/>
      <c r="U126" s="4176"/>
      <c r="V126" s="4176"/>
      <c r="W126" s="4176"/>
      <c r="X126" s="4176"/>
      <c r="Y126" s="4176"/>
      <c r="Z126" s="4176"/>
      <c r="AA126" s="4176"/>
      <c r="AB126" s="4176"/>
      <c r="AC126" s="4176"/>
      <c r="AD126" s="4176"/>
      <c r="AE126" s="4176"/>
      <c r="AF126" s="4176"/>
    </row>
    <row r="127" spans="1:97" s="4177" customFormat="1" ht="21" customHeight="1" x14ac:dyDescent="0.2">
      <c r="A127" s="4438" t="s">
        <v>3724</v>
      </c>
      <c r="B127" s="4439"/>
      <c r="C127" s="4176"/>
      <c r="D127" s="4176"/>
      <c r="E127" s="4176"/>
      <c r="F127" s="4176"/>
      <c r="G127" s="4176"/>
      <c r="H127" s="4176"/>
      <c r="I127" s="4176"/>
      <c r="J127" s="4176"/>
      <c r="K127" s="4176"/>
      <c r="L127" s="4176"/>
      <c r="M127" s="4176"/>
      <c r="N127" s="4176"/>
      <c r="O127" s="4176"/>
      <c r="P127" s="4176"/>
      <c r="Q127" s="4176"/>
      <c r="R127" s="4176"/>
      <c r="S127" s="4176"/>
      <c r="T127" s="4176"/>
      <c r="U127" s="4176"/>
      <c r="V127" s="4176"/>
      <c r="W127" s="4176"/>
      <c r="X127" s="4176"/>
      <c r="Y127" s="4176"/>
      <c r="Z127" s="4176"/>
      <c r="AA127" s="4176"/>
      <c r="AB127" s="4176"/>
      <c r="AC127" s="4176"/>
      <c r="AD127" s="4176"/>
      <c r="AE127" s="4176"/>
      <c r="AF127" s="4176"/>
    </row>
    <row r="128" spans="1:97" s="4177" customFormat="1" ht="28.15" customHeight="1" x14ac:dyDescent="0.2">
      <c r="A128" s="10837" t="s">
        <v>2416</v>
      </c>
      <c r="B128" s="10837" t="s">
        <v>1665</v>
      </c>
      <c r="C128" s="10834" t="s">
        <v>2414</v>
      </c>
      <c r="D128" s="10835"/>
      <c r="E128" s="10835"/>
      <c r="F128" s="10835"/>
      <c r="G128" s="10835"/>
      <c r="H128" s="10835"/>
      <c r="I128" s="10835"/>
      <c r="J128" s="10835"/>
      <c r="K128" s="10835"/>
      <c r="L128" s="10835"/>
      <c r="M128" s="10835"/>
      <c r="N128" s="10835"/>
      <c r="O128" s="10835"/>
      <c r="P128" s="10835"/>
      <c r="Q128" s="10835"/>
      <c r="R128" s="10835"/>
      <c r="S128" s="10836"/>
      <c r="T128" s="10839" t="s">
        <v>22</v>
      </c>
      <c r="U128" s="10840"/>
      <c r="V128" s="9895" t="s">
        <v>2804</v>
      </c>
      <c r="W128" s="10744" t="s">
        <v>2609</v>
      </c>
      <c r="X128" s="10818" t="s">
        <v>360</v>
      </c>
      <c r="Y128" s="10818" t="s">
        <v>359</v>
      </c>
      <c r="Z128" s="10832" t="s">
        <v>1590</v>
      </c>
      <c r="AA128" s="10832" t="s">
        <v>3702</v>
      </c>
      <c r="AB128" s="4176"/>
      <c r="AC128" s="4176"/>
      <c r="AD128" s="4176"/>
      <c r="AE128" s="4176"/>
      <c r="AF128" s="4176"/>
      <c r="AG128" s="4176"/>
      <c r="CA128" s="10671" t="s">
        <v>2367</v>
      </c>
      <c r="CB128" s="10671" t="s">
        <v>2368</v>
      </c>
      <c r="CC128" s="10671" t="s">
        <v>3547</v>
      </c>
      <c r="CD128" s="10671" t="s">
        <v>360</v>
      </c>
      <c r="CE128" s="10671" t="s">
        <v>359</v>
      </c>
      <c r="CF128" s="10671" t="s">
        <v>1590</v>
      </c>
      <c r="CG128" s="10671" t="s">
        <v>3951</v>
      </c>
      <c r="CK128" s="10671" t="s">
        <v>2367</v>
      </c>
      <c r="CL128" s="10671" t="s">
        <v>2368</v>
      </c>
      <c r="CM128" s="10671" t="s">
        <v>3547</v>
      </c>
      <c r="CN128" s="10671" t="s">
        <v>360</v>
      </c>
      <c r="CO128" s="10671" t="s">
        <v>359</v>
      </c>
      <c r="CP128" s="10671" t="s">
        <v>1590</v>
      </c>
    </row>
    <row r="129" spans="1:94" s="4177" customFormat="1" ht="34.15" customHeight="1" x14ac:dyDescent="0.2">
      <c r="A129" s="10838"/>
      <c r="B129" s="10838"/>
      <c r="C129" s="4266" t="s">
        <v>75</v>
      </c>
      <c r="D129" s="4267" t="s">
        <v>76</v>
      </c>
      <c r="E129" s="4267" t="s">
        <v>77</v>
      </c>
      <c r="F129" s="4267" t="s">
        <v>71</v>
      </c>
      <c r="G129" s="4267" t="s">
        <v>4</v>
      </c>
      <c r="H129" s="4267" t="s">
        <v>5</v>
      </c>
      <c r="I129" s="4267" t="s">
        <v>6</v>
      </c>
      <c r="J129" s="4267" t="s">
        <v>7</v>
      </c>
      <c r="K129" s="4267" t="s">
        <v>8</v>
      </c>
      <c r="L129" s="4267" t="s">
        <v>9</v>
      </c>
      <c r="M129" s="4267" t="s">
        <v>10</v>
      </c>
      <c r="N129" s="4267" t="s">
        <v>11</v>
      </c>
      <c r="O129" s="4267" t="s">
        <v>12</v>
      </c>
      <c r="P129" s="4267" t="s">
        <v>13</v>
      </c>
      <c r="Q129" s="4267" t="s">
        <v>14</v>
      </c>
      <c r="R129" s="4267" t="s">
        <v>15</v>
      </c>
      <c r="S129" s="4272" t="s">
        <v>16</v>
      </c>
      <c r="T129" s="4440" t="s">
        <v>17</v>
      </c>
      <c r="U129" s="4441" t="s">
        <v>18</v>
      </c>
      <c r="V129" s="9897"/>
      <c r="W129" s="10745"/>
      <c r="X129" s="10819"/>
      <c r="Y129" s="10819"/>
      <c r="Z129" s="10833"/>
      <c r="AA129" s="10833"/>
      <c r="AB129" s="4176"/>
      <c r="AC129" s="4176"/>
      <c r="AD129" s="4176"/>
      <c r="AE129" s="4176"/>
      <c r="AF129" s="4176"/>
      <c r="AG129" s="4176"/>
      <c r="CA129" s="10671"/>
      <c r="CB129" s="10671"/>
      <c r="CC129" s="10671"/>
      <c r="CD129" s="10671"/>
      <c r="CE129" s="10671"/>
      <c r="CF129" s="10671"/>
      <c r="CG129" s="10671"/>
      <c r="CK129" s="10671"/>
      <c r="CL129" s="10671"/>
      <c r="CM129" s="10671"/>
      <c r="CN129" s="10671"/>
      <c r="CO129" s="10671"/>
      <c r="CP129" s="10671"/>
    </row>
    <row r="130" spans="1:94" s="4177" customFormat="1" ht="14.45" customHeight="1" x14ac:dyDescent="0.2">
      <c r="A130" s="4442" t="s">
        <v>2415</v>
      </c>
      <c r="B130" s="4443">
        <f>SUM(C130:S130)</f>
        <v>0</v>
      </c>
      <c r="C130" s="4444"/>
      <c r="D130" s="4445"/>
      <c r="E130" s="4445"/>
      <c r="F130" s="4445"/>
      <c r="G130" s="4445"/>
      <c r="H130" s="4445"/>
      <c r="I130" s="4445"/>
      <c r="J130" s="4445"/>
      <c r="K130" s="4445"/>
      <c r="L130" s="4445"/>
      <c r="M130" s="4445"/>
      <c r="N130" s="4445"/>
      <c r="O130" s="4445"/>
      <c r="P130" s="4445"/>
      <c r="Q130" s="4445"/>
      <c r="R130" s="4445"/>
      <c r="S130" s="4446"/>
      <c r="T130" s="4447"/>
      <c r="U130" s="4448"/>
      <c r="V130" s="4449"/>
      <c r="W130" s="4450"/>
      <c r="X130" s="4451"/>
      <c r="Y130" s="4451"/>
      <c r="Z130" s="4446"/>
      <c r="AA130" s="4446"/>
      <c r="AB130" s="4177" t="str">
        <f>$CA130&amp;$CB130&amp;$CC130&amp;$CD130&amp;CE130&amp;CF130&amp;CG130&amp;CH130</f>
        <v/>
      </c>
      <c r="AC130" s="4176"/>
      <c r="AD130" s="4176"/>
      <c r="AE130" s="4176"/>
      <c r="AF130" s="4176"/>
      <c r="AG130" s="4176"/>
      <c r="CA130" s="4177" t="str">
        <f>IF(CK130=1," *Los controles según sexo deben ser iguales  al total de Controles. ","")</f>
        <v/>
      </c>
      <c r="CB130" s="4177" t="str">
        <f>IF(CL130=1," *Las Atenciones de NNA SENAME no pueden superar el total de Atenciones entre los 0 Y 24 años","")</f>
        <v/>
      </c>
      <c r="CC130" s="4177" t="str">
        <f>IF(CM130=1," *Las Atenciones de NNA Mejor Niñez no pueden superar el total de Atenciones entre los 0 Y 24 años","")</f>
        <v/>
      </c>
      <c r="CD130" s="4177" t="str">
        <f>IF(CN130=1," *Las Acciones de Pueblos Originarios no pueden superar el total de Acciones ","")</f>
        <v/>
      </c>
      <c r="CE130" s="4177" t="str">
        <f>IF(CO130=1," *Las Acciones de Migrantes no pueden superar el total de Acciones ","")</f>
        <v/>
      </c>
      <c r="CF130" s="4177" t="str">
        <f>IF(CP130=1," *Las Acciones de Personas con Demencia no pueden superar el total de Acciones ","")</f>
        <v/>
      </c>
      <c r="CG130" s="4177" t="str">
        <f>IF(OR(AND(B130&lt;&gt;0,V130=""),AND(B130&lt;&gt;0,W130=""),AND(B130&lt;&gt;0,X130=""),AND(B130&lt;&gt;0,Y130=""),AND(B130&lt;&gt;0,AA130="")),"* No olvide digitar Migrantes y/o Pueblos Originarios, Niños, Niñas, Adolescentes y Jóvenes SENAME, Niños, Niñas, Adolescentes y Jóvenes Mejor Niñez, Espacios Amigables (Digite CERO si no tiene). ","")</f>
        <v/>
      </c>
      <c r="CK130" s="4177">
        <f>IF(T130+U130&lt;&gt;B130,1,0)</f>
        <v>0</v>
      </c>
      <c r="CL130" s="4177">
        <f>IF(V130&gt;SUM(C130:G130),1,0)</f>
        <v>0</v>
      </c>
      <c r="CM130" s="4177">
        <f>IF(W130&gt;SUM(C130:G130),1,0)</f>
        <v>0</v>
      </c>
      <c r="CN130" s="4177">
        <f t="shared" ref="CN130:CP132" si="64">IF(X130&gt;$B130,1,0)</f>
        <v>0</v>
      </c>
      <c r="CO130" s="4177">
        <f t="shared" si="64"/>
        <v>0</v>
      </c>
      <c r="CP130" s="4177">
        <f t="shared" si="64"/>
        <v>0</v>
      </c>
    </row>
    <row r="131" spans="1:94" s="4177" customFormat="1" ht="14.45" customHeight="1" x14ac:dyDescent="0.2">
      <c r="A131" s="4452" t="s">
        <v>2416</v>
      </c>
      <c r="B131" s="4453">
        <f>SUM(C131:S131)</f>
        <v>0</v>
      </c>
      <c r="C131" s="4444"/>
      <c r="D131" s="4445"/>
      <c r="E131" s="4445"/>
      <c r="F131" s="4445"/>
      <c r="G131" s="4445"/>
      <c r="H131" s="4445"/>
      <c r="I131" s="4445"/>
      <c r="J131" s="4445"/>
      <c r="K131" s="4445"/>
      <c r="L131" s="4445"/>
      <c r="M131" s="4445"/>
      <c r="N131" s="4445"/>
      <c r="O131" s="4445"/>
      <c r="P131" s="4445"/>
      <c r="Q131" s="4445"/>
      <c r="R131" s="4445"/>
      <c r="S131" s="4446"/>
      <c r="T131" s="4454"/>
      <c r="U131" s="4455"/>
      <c r="V131" s="4449"/>
      <c r="W131" s="4450"/>
      <c r="X131" s="4451"/>
      <c r="Y131" s="4451"/>
      <c r="Z131" s="4446"/>
      <c r="AA131" s="4446"/>
      <c r="AB131" s="4177" t="str">
        <f>$CA131&amp;$CB131&amp;$CC131&amp;$CD131&amp;CE131&amp;CF131&amp;CG131&amp;CH131</f>
        <v/>
      </c>
      <c r="AC131" s="4176"/>
      <c r="AD131" s="4176"/>
      <c r="AE131" s="4176"/>
      <c r="AF131" s="4176"/>
      <c r="AG131" s="4176"/>
      <c r="CA131" s="4177" t="str">
        <f>IF(CK131=1," *Los controles según sexo deben ser iguales  al total de Controles. ","")</f>
        <v/>
      </c>
      <c r="CB131" s="4177" t="str">
        <f>IF(CL131=1," *Las Atenciones de NNA SENAME no pueden superar el total de Atenciones entre los 0 Y 24 años","")</f>
        <v/>
      </c>
      <c r="CC131" s="4177" t="str">
        <f>IF(CM131=1," *Las Atenciones de NNA Mejor Niñez no pueden superar el total de Atenciones entre los 0 Y 24 años","")</f>
        <v/>
      </c>
      <c r="CD131" s="4177" t="str">
        <f>IF(CN131=1," *Las Acciones de Pueblos Originarios no pueden superar el total de Acciones ","")</f>
        <v/>
      </c>
      <c r="CE131" s="4177" t="str">
        <f>IF(CO131=1," *Las Acciones de Migrantes no pueden superar el total de Acciones ","")</f>
        <v/>
      </c>
      <c r="CF131" s="4177" t="str">
        <f>IF(CP131=1," *Las Acciones de Personas con Demencia no pueden superar el total de Acciones ","")</f>
        <v/>
      </c>
      <c r="CG131" s="4177" t="str">
        <f t="shared" ref="CG131:CG132" si="65">IF(OR(AND(B131&lt;&gt;0,V131=""),AND(B131&lt;&gt;0,W131=""),AND(B131&lt;&gt;0,X131=""),AND(B131&lt;&gt;0,Y131=""),AND(B131&lt;&gt;0,AA131="")),"* No olvide digitar Migrantes y/o Pueblos Originarios, Niños, Niñas, Adolescentes y Jóvenes SENAME, Niños, Niñas, Adolescentes y Jóvenes Mejor Niñez, Espacios Amigables (Digite CERO si no tiene). ","")</f>
        <v/>
      </c>
      <c r="CK131" s="4177">
        <f>IF(T131+U131&lt;&gt;B131,1,0)</f>
        <v>0</v>
      </c>
      <c r="CL131" s="4177">
        <f>IF(V131&gt;SUM(C131:G131),1,0)</f>
        <v>0</v>
      </c>
      <c r="CM131" s="4177">
        <f>IF(W131&gt;SUM(C131:G131),1,0)</f>
        <v>0</v>
      </c>
      <c r="CN131" s="4177">
        <f t="shared" si="64"/>
        <v>0</v>
      </c>
      <c r="CO131" s="4177">
        <f t="shared" si="64"/>
        <v>0</v>
      </c>
      <c r="CP131" s="4177">
        <f t="shared" si="64"/>
        <v>0</v>
      </c>
    </row>
    <row r="132" spans="1:94" s="4177" customFormat="1" ht="14.45" customHeight="1" x14ac:dyDescent="0.2">
      <c r="A132" s="4456" t="s">
        <v>2417</v>
      </c>
      <c r="B132" s="4457">
        <f>SUM(C132:S132)</f>
        <v>0</v>
      </c>
      <c r="C132" s="4458"/>
      <c r="D132" s="4459"/>
      <c r="E132" s="4459"/>
      <c r="F132" s="4459"/>
      <c r="G132" s="4459"/>
      <c r="H132" s="4459"/>
      <c r="I132" s="4459"/>
      <c r="J132" s="4459"/>
      <c r="K132" s="4459"/>
      <c r="L132" s="4459"/>
      <c r="M132" s="4459"/>
      <c r="N132" s="4459"/>
      <c r="O132" s="4459"/>
      <c r="P132" s="4459"/>
      <c r="Q132" s="4459"/>
      <c r="R132" s="4459"/>
      <c r="S132" s="4460"/>
      <c r="T132" s="4458"/>
      <c r="U132" s="4461"/>
      <c r="V132" s="4462"/>
      <c r="W132" s="4463"/>
      <c r="X132" s="4459"/>
      <c r="Y132" s="4459"/>
      <c r="Z132" s="4460"/>
      <c r="AA132" s="4460"/>
      <c r="AB132" s="4177" t="str">
        <f>$CA132&amp;$CB132&amp;$CC132&amp;$CD132&amp;CE132&amp;CF132&amp;CG132&amp;CH132</f>
        <v/>
      </c>
      <c r="AC132" s="4176"/>
      <c r="AD132" s="4176"/>
      <c r="AE132" s="4176"/>
      <c r="AF132" s="4176"/>
      <c r="AG132" s="4176"/>
      <c r="CA132" s="4177" t="str">
        <f>IF(CK132=1," *Los controles según sexo deben ser iguales  al total de Controles. ","")</f>
        <v/>
      </c>
      <c r="CB132" s="4177" t="str">
        <f>IF(CL132=1," *Las Atenciones de NNA SENAME no pueden superar el total de Atenciones entre los 0 Y 24 años","")</f>
        <v/>
      </c>
      <c r="CC132" s="4177" t="str">
        <f>IF(CM132=1," *Las Atenciones de NNA Mejor Niñez no pueden superar el total de Atenciones entre los 0 Y 24 años","")</f>
        <v/>
      </c>
      <c r="CD132" s="4177" t="str">
        <f>IF(CN132=1," *Las Acciones de Pueblos Originarios no pueden superar el total de Acciones ","")</f>
        <v/>
      </c>
      <c r="CE132" s="4177" t="str">
        <f>IF(CO132=1," *Las Acciones de Migrantes no pueden superar el total de Acciones ","")</f>
        <v/>
      </c>
      <c r="CF132" s="4177" t="str">
        <f>IF(CP132=1," *Las Acciones de Personas con Demencia no pueden superar el total de Acciones ","")</f>
        <v/>
      </c>
      <c r="CG132" s="4177" t="str">
        <f t="shared" si="65"/>
        <v/>
      </c>
      <c r="CK132" s="4177">
        <f>IF(T132+U132&lt;&gt;B132,1,0)</f>
        <v>0</v>
      </c>
      <c r="CL132" s="4177">
        <f>IF(V132&gt;SUM(C132:G132),1,0)</f>
        <v>0</v>
      </c>
      <c r="CM132" s="4177">
        <f>IF(W132&gt;SUM(C132:G132),1,0)</f>
        <v>0</v>
      </c>
      <c r="CN132" s="4177">
        <f t="shared" si="64"/>
        <v>0</v>
      </c>
      <c r="CO132" s="4177">
        <f t="shared" si="64"/>
        <v>0</v>
      </c>
      <c r="CP132" s="4177">
        <f t="shared" si="64"/>
        <v>0</v>
      </c>
    </row>
    <row r="133" spans="1:94" s="4177" customFormat="1" ht="28.5" customHeight="1" x14ac:dyDescent="0.2">
      <c r="A133" s="4437" t="s">
        <v>3100</v>
      </c>
      <c r="B133" s="4176"/>
      <c r="C133" s="4176"/>
      <c r="D133" s="4176"/>
      <c r="E133" s="4176"/>
      <c r="F133" s="4176"/>
      <c r="G133" s="4176"/>
      <c r="H133" s="4176"/>
      <c r="I133" s="4176"/>
      <c r="J133" s="4176"/>
      <c r="K133" s="4176"/>
      <c r="L133" s="4176"/>
      <c r="M133" s="4176"/>
      <c r="N133" s="4176"/>
      <c r="O133" s="4176"/>
      <c r="P133" s="4176"/>
      <c r="Q133" s="4176"/>
      <c r="R133" s="4176"/>
      <c r="S133" s="4176"/>
      <c r="T133" s="4176"/>
      <c r="U133" s="4176"/>
      <c r="V133" s="4176"/>
      <c r="W133" s="4176"/>
      <c r="X133" s="4176"/>
      <c r="Y133" s="4176"/>
      <c r="Z133" s="4176"/>
      <c r="AA133" s="4176"/>
      <c r="AB133" s="4176"/>
      <c r="AC133" s="4176"/>
      <c r="AD133" s="4176"/>
      <c r="AE133" s="4176"/>
      <c r="AF133" s="4176"/>
    </row>
    <row r="134" spans="1:94" s="4177" customFormat="1" ht="21.95" customHeight="1" x14ac:dyDescent="0.2">
      <c r="A134" s="10811" t="s">
        <v>1234</v>
      </c>
      <c r="B134" s="10768" t="s">
        <v>0</v>
      </c>
      <c r="C134" s="10721" t="s">
        <v>24</v>
      </c>
      <c r="D134" s="10770"/>
      <c r="E134" s="8206"/>
      <c r="F134" s="10751" t="s">
        <v>2418</v>
      </c>
      <c r="G134" s="10814"/>
      <c r="H134" s="10814"/>
      <c r="I134" s="10814"/>
      <c r="J134" s="10814"/>
      <c r="K134" s="10814"/>
      <c r="L134" s="10814"/>
      <c r="M134" s="10814"/>
      <c r="N134" s="10814"/>
      <c r="O134" s="10814"/>
      <c r="P134" s="10814"/>
      <c r="Q134" s="10814"/>
      <c r="R134" s="10814"/>
      <c r="S134" s="10814"/>
      <c r="T134" s="10814"/>
      <c r="U134" s="10814"/>
      <c r="V134" s="10814"/>
      <c r="W134" s="10814"/>
      <c r="X134" s="10814"/>
      <c r="Y134" s="10814"/>
      <c r="Z134" s="10814"/>
      <c r="AA134" s="10814"/>
      <c r="AB134" s="10814"/>
      <c r="AC134" s="10814"/>
      <c r="AD134" s="10814"/>
      <c r="AE134" s="10814"/>
      <c r="AF134" s="10814"/>
      <c r="AG134" s="10814"/>
      <c r="AH134" s="10814"/>
      <c r="AI134" s="10814"/>
      <c r="AJ134" s="10814"/>
      <c r="AK134" s="10814"/>
      <c r="AL134" s="10814"/>
      <c r="AM134" s="10752"/>
      <c r="AN134" s="10773" t="s">
        <v>2607</v>
      </c>
      <c r="AO134" s="10773" t="s">
        <v>360</v>
      </c>
      <c r="AP134" s="10773" t="s">
        <v>359</v>
      </c>
      <c r="AQ134" s="10773" t="s">
        <v>1590</v>
      </c>
      <c r="AR134" s="10773" t="s">
        <v>3702</v>
      </c>
    </row>
    <row r="135" spans="1:94" s="4177" customFormat="1" ht="21.95" customHeight="1" x14ac:dyDescent="0.2">
      <c r="A135" s="10812"/>
      <c r="B135" s="8981"/>
      <c r="C135" s="10722"/>
      <c r="D135" s="10771"/>
      <c r="E135" s="8723"/>
      <c r="F135" s="10809" t="s">
        <v>75</v>
      </c>
      <c r="G135" s="10809"/>
      <c r="H135" s="10725" t="s">
        <v>76</v>
      </c>
      <c r="I135" s="10809"/>
      <c r="J135" s="10725" t="s">
        <v>77</v>
      </c>
      <c r="K135" s="10809"/>
      <c r="L135" s="10724" t="s">
        <v>71</v>
      </c>
      <c r="M135" s="10815"/>
      <c r="N135" s="10810" t="s">
        <v>4</v>
      </c>
      <c r="O135" s="10725"/>
      <c r="P135" s="10723" t="s">
        <v>5</v>
      </c>
      <c r="Q135" s="10725"/>
      <c r="R135" s="10770" t="s">
        <v>6</v>
      </c>
      <c r="S135" s="8206"/>
      <c r="T135" s="10724" t="s">
        <v>7</v>
      </c>
      <c r="U135" s="10725"/>
      <c r="V135" s="10723" t="s">
        <v>8</v>
      </c>
      <c r="W135" s="10725"/>
      <c r="X135" s="10724" t="s">
        <v>9</v>
      </c>
      <c r="Y135" s="10725"/>
      <c r="Z135" s="10724" t="s">
        <v>10</v>
      </c>
      <c r="AA135" s="10725"/>
      <c r="AB135" s="10815" t="s">
        <v>11</v>
      </c>
      <c r="AC135" s="10816"/>
      <c r="AD135" s="10724" t="s">
        <v>12</v>
      </c>
      <c r="AE135" s="10725"/>
      <c r="AF135" s="10724" t="s">
        <v>13</v>
      </c>
      <c r="AG135" s="10725"/>
      <c r="AH135" s="10724" t="s">
        <v>14</v>
      </c>
      <c r="AI135" s="10725"/>
      <c r="AJ135" s="10724" t="s">
        <v>15</v>
      </c>
      <c r="AK135" s="10725"/>
      <c r="AL135" s="10724" t="s">
        <v>16</v>
      </c>
      <c r="AM135" s="10725"/>
      <c r="AN135" s="8635"/>
      <c r="AO135" s="8635"/>
      <c r="AP135" s="8635"/>
      <c r="AQ135" s="8635"/>
      <c r="AR135" s="8635"/>
      <c r="CA135" s="10671" t="s">
        <v>3547</v>
      </c>
      <c r="CB135" s="10671" t="s">
        <v>360</v>
      </c>
      <c r="CC135" s="10671" t="s">
        <v>359</v>
      </c>
      <c r="CD135" s="10671" t="s">
        <v>1590</v>
      </c>
      <c r="CG135" s="10671" t="s">
        <v>3951</v>
      </c>
      <c r="CK135" s="10671" t="s">
        <v>3547</v>
      </c>
      <c r="CL135" s="10671" t="s">
        <v>360</v>
      </c>
      <c r="CM135" s="10671" t="s">
        <v>359</v>
      </c>
      <c r="CN135" s="10671" t="s">
        <v>1590</v>
      </c>
    </row>
    <row r="136" spans="1:94" s="4177" customFormat="1" ht="21.95" customHeight="1" x14ac:dyDescent="0.2">
      <c r="A136" s="10813"/>
      <c r="B136" s="10769"/>
      <c r="C136" s="4274" t="s">
        <v>42</v>
      </c>
      <c r="D136" s="4464" t="s">
        <v>17</v>
      </c>
      <c r="E136" s="4272" t="s">
        <v>18</v>
      </c>
      <c r="F136" s="4266" t="s">
        <v>17</v>
      </c>
      <c r="G136" s="4272" t="s">
        <v>18</v>
      </c>
      <c r="H136" s="4266" t="s">
        <v>17</v>
      </c>
      <c r="I136" s="4272" t="s">
        <v>18</v>
      </c>
      <c r="J136" s="4266" t="s">
        <v>17</v>
      </c>
      <c r="K136" s="4272" t="s">
        <v>18</v>
      </c>
      <c r="L136" s="4464" t="s">
        <v>17</v>
      </c>
      <c r="M136" s="4267" t="s">
        <v>18</v>
      </c>
      <c r="N136" s="4267" t="s">
        <v>17</v>
      </c>
      <c r="O136" s="4268" t="s">
        <v>18</v>
      </c>
      <c r="P136" s="4266" t="s">
        <v>17</v>
      </c>
      <c r="Q136" s="4268" t="s">
        <v>18</v>
      </c>
      <c r="R136" s="4464" t="s">
        <v>17</v>
      </c>
      <c r="S136" s="4268" t="s">
        <v>18</v>
      </c>
      <c r="T136" s="4464" t="s">
        <v>17</v>
      </c>
      <c r="U136" s="4268" t="s">
        <v>18</v>
      </c>
      <c r="V136" s="4266" t="s">
        <v>17</v>
      </c>
      <c r="W136" s="4268" t="s">
        <v>18</v>
      </c>
      <c r="X136" s="4464" t="s">
        <v>17</v>
      </c>
      <c r="Y136" s="4268" t="s">
        <v>18</v>
      </c>
      <c r="Z136" s="4464" t="s">
        <v>17</v>
      </c>
      <c r="AA136" s="4268" t="s">
        <v>18</v>
      </c>
      <c r="AB136" s="4464" t="s">
        <v>17</v>
      </c>
      <c r="AC136" s="4268" t="s">
        <v>18</v>
      </c>
      <c r="AD136" s="4464" t="s">
        <v>17</v>
      </c>
      <c r="AE136" s="4268" t="s">
        <v>18</v>
      </c>
      <c r="AF136" s="4464" t="s">
        <v>17</v>
      </c>
      <c r="AG136" s="4268" t="s">
        <v>18</v>
      </c>
      <c r="AH136" s="4464" t="s">
        <v>17</v>
      </c>
      <c r="AI136" s="4268" t="s">
        <v>18</v>
      </c>
      <c r="AJ136" s="4464" t="s">
        <v>17</v>
      </c>
      <c r="AK136" s="4268" t="s">
        <v>18</v>
      </c>
      <c r="AL136" s="4464" t="s">
        <v>17</v>
      </c>
      <c r="AM136" s="4268" t="s">
        <v>18</v>
      </c>
      <c r="AN136" s="8795"/>
      <c r="AO136" s="8795"/>
      <c r="AP136" s="8795"/>
      <c r="AQ136" s="8795"/>
      <c r="AR136" s="8795"/>
      <c r="CA136" s="10671"/>
      <c r="CB136" s="10671"/>
      <c r="CC136" s="10671"/>
      <c r="CD136" s="10671"/>
      <c r="CG136" s="10671"/>
      <c r="CK136" s="10671"/>
      <c r="CL136" s="10671"/>
      <c r="CM136" s="10671"/>
      <c r="CN136" s="10671"/>
    </row>
    <row r="137" spans="1:94" s="4177" customFormat="1" ht="21.95" customHeight="1" x14ac:dyDescent="0.2">
      <c r="A137" s="10773" t="s">
        <v>2576</v>
      </c>
      <c r="B137" s="4465" t="s">
        <v>2440</v>
      </c>
      <c r="C137" s="4466">
        <f t="shared" ref="C137:C158" si="66">SUM(D137:E137)</f>
        <v>0</v>
      </c>
      <c r="D137" s="4467">
        <f t="shared" ref="D137:D146" si="67">SUM(F137+H137+J137+L137+N137+P137+R137+T137+V137+X137+Z137+AB137+AD137+AF137+AH137+AJ137+AL137)</f>
        <v>0</v>
      </c>
      <c r="E137" s="4468">
        <f t="shared" ref="E137:E146" si="68">SUM(G137+I137+K137+M137+O137+Q137+S137+U137+W137+Y137+AA137+AC137+AE137+AG137+AI137+AK137+AM137)</f>
        <v>0</v>
      </c>
      <c r="F137" s="4469"/>
      <c r="G137" s="4470"/>
      <c r="H137" s="4469"/>
      <c r="I137" s="4470"/>
      <c r="J137" s="4469"/>
      <c r="K137" s="4470"/>
      <c r="L137" s="4471"/>
      <c r="M137" s="4472"/>
      <c r="N137" s="4472"/>
      <c r="O137" s="4473"/>
      <c r="P137" s="4469"/>
      <c r="Q137" s="4473"/>
      <c r="R137" s="4471"/>
      <c r="S137" s="4473"/>
      <c r="T137" s="4471"/>
      <c r="U137" s="4473"/>
      <c r="V137" s="4469"/>
      <c r="W137" s="4470"/>
      <c r="X137" s="4471"/>
      <c r="Y137" s="4470"/>
      <c r="Z137" s="4471"/>
      <c r="AA137" s="4473"/>
      <c r="AB137" s="4471"/>
      <c r="AC137" s="4473"/>
      <c r="AD137" s="4471"/>
      <c r="AE137" s="4473"/>
      <c r="AF137" s="4471"/>
      <c r="AG137" s="4473"/>
      <c r="AH137" s="4471"/>
      <c r="AI137" s="4473"/>
      <c r="AJ137" s="4471"/>
      <c r="AK137" s="4473"/>
      <c r="AL137" s="4471"/>
      <c r="AM137" s="4473"/>
      <c r="AN137" s="4473"/>
      <c r="AO137" s="4473"/>
      <c r="AP137" s="4473"/>
      <c r="AQ137" s="4473"/>
      <c r="AR137" s="4473"/>
      <c r="AS137" s="4177" t="str">
        <f t="shared" ref="AS137:AS157" si="69">$CA137&amp;$CB137&amp;$CC137&amp;$CD137&amp;CE137&amp;CF137&amp;CG137&amp;CH137</f>
        <v/>
      </c>
      <c r="CA137" s="4177" t="str">
        <f>IF(CK137=1," *Las Acciones de NNA Mejor Niñez deben estar en el grupo etareo (hasta los 24 años)","")</f>
        <v/>
      </c>
      <c r="CB137" s="4177" t="str">
        <f t="shared" ref="CB137:CB157" si="70">IF(CL137=1," *.Las Acciones de Pueblos Originarios no pueden superar el total de Acciones ","")</f>
        <v/>
      </c>
      <c r="CC137" s="4177" t="str">
        <f t="shared" ref="CC137:CC157" si="71">IF(CM137=1," *.Las Acciones de Migrantes no pueden superar el total de Acciones ","")</f>
        <v/>
      </c>
      <c r="CD137" s="4177" t="str">
        <f t="shared" ref="CD137:CD157" si="72">IF(CN137=1," *.Las Acciones de Demencia no pueden superar el total de Acciones ","")</f>
        <v/>
      </c>
      <c r="CG137" s="4177" t="str">
        <f>IF(OR(AND(C137&lt;&gt;0,AN137=""),AND(C137&lt;&gt;0,AO137=""),AND(C137&lt;&gt;0,AP137=""),AND(C137&lt;&gt;0,AR137="")),"* No olvide digitar Migrantes y/o Pueblos Originarios, Niños, Niñas, Adolescentes y Jóvenes Mejor Niñez, Espacios Amigables (Digite CERO si no tiene). ","")</f>
        <v/>
      </c>
      <c r="CK137" s="4177">
        <f>IF(SUM(F137:O137)&lt;AN137,1,0)</f>
        <v>0</v>
      </c>
      <c r="CL137" s="4177">
        <f>IF(AO137&gt;$C137,1,0)</f>
        <v>0</v>
      </c>
      <c r="CM137" s="4177">
        <f>IF(AP137&gt;$C137,1,0)</f>
        <v>0</v>
      </c>
      <c r="CN137" s="4177">
        <f>IF(AQ137&gt;$C137,1,0)</f>
        <v>0</v>
      </c>
    </row>
    <row r="138" spans="1:94" s="4177" customFormat="1" ht="21.95" customHeight="1" x14ac:dyDescent="0.2">
      <c r="A138" s="8635"/>
      <c r="B138" s="4474" t="s">
        <v>2419</v>
      </c>
      <c r="C138" s="4475">
        <f t="shared" si="66"/>
        <v>0</v>
      </c>
      <c r="D138" s="4476">
        <f t="shared" si="67"/>
        <v>0</v>
      </c>
      <c r="E138" s="4477">
        <f t="shared" si="68"/>
        <v>0</v>
      </c>
      <c r="F138" s="4444"/>
      <c r="G138" s="4446"/>
      <c r="H138" s="4444"/>
      <c r="I138" s="4446"/>
      <c r="J138" s="4444"/>
      <c r="K138" s="4446"/>
      <c r="L138" s="4478"/>
      <c r="M138" s="4445"/>
      <c r="N138" s="4445"/>
      <c r="O138" s="4479"/>
      <c r="P138" s="4444"/>
      <c r="Q138" s="4479"/>
      <c r="R138" s="4478"/>
      <c r="S138" s="4479"/>
      <c r="T138" s="4478"/>
      <c r="U138" s="4479"/>
      <c r="V138" s="4444"/>
      <c r="W138" s="4446"/>
      <c r="X138" s="4478"/>
      <c r="Y138" s="4446"/>
      <c r="Z138" s="4478"/>
      <c r="AA138" s="4479"/>
      <c r="AB138" s="4478"/>
      <c r="AC138" s="4479"/>
      <c r="AD138" s="4478"/>
      <c r="AE138" s="4479"/>
      <c r="AF138" s="4478"/>
      <c r="AG138" s="4479"/>
      <c r="AH138" s="4478"/>
      <c r="AI138" s="4479"/>
      <c r="AJ138" s="4478"/>
      <c r="AK138" s="4479"/>
      <c r="AL138" s="4478"/>
      <c r="AM138" s="4479"/>
      <c r="AN138" s="4479"/>
      <c r="AO138" s="4479"/>
      <c r="AP138" s="4479"/>
      <c r="AQ138" s="4479"/>
      <c r="AR138" s="4479"/>
      <c r="AS138" s="4177" t="str">
        <f t="shared" si="69"/>
        <v/>
      </c>
      <c r="CA138" s="4177" t="str">
        <f t="shared" ref="CA138:CA157" si="73">IF(CK138=1," *Las Acciones de NNA Mejor Niñez deben estar en el grupo etareo (hasta los 24 años)","")</f>
        <v/>
      </c>
      <c r="CB138" s="4177" t="str">
        <f t="shared" si="70"/>
        <v/>
      </c>
      <c r="CC138" s="4177" t="str">
        <f t="shared" si="71"/>
        <v/>
      </c>
      <c r="CD138" s="4177" t="str">
        <f t="shared" si="72"/>
        <v/>
      </c>
      <c r="CG138" s="4177" t="str">
        <f t="shared" ref="CG138:CG157" si="74">IF(OR(AND(C138&lt;&gt;0,AN138=""),AND(C138&lt;&gt;0,AO138=""),AND(C138&lt;&gt;0,AP138=""),AND(C138&lt;&gt;0,AR138="")),"* No olvide digitar Migrantes y/o Pueblos Originarios, Niños, Niñas, Adolescentes y Jóvenes Mejor Niñez, Espacios Amigables (Digite CERO si no tiene). ","")</f>
        <v/>
      </c>
      <c r="CK138" s="4177">
        <f t="shared" ref="CK138:CK157" si="75">IF(SUM(F138:O138)&lt;AN138,1,0)</f>
        <v>0</v>
      </c>
      <c r="CL138" s="4177">
        <f t="shared" ref="CL138:CL157" si="76">IF(AO138&gt;$C138,1,0)</f>
        <v>0</v>
      </c>
      <c r="CM138" s="4177">
        <f t="shared" ref="CM138:CM157" si="77">IF(AP138&gt;$C138,1,0)</f>
        <v>0</v>
      </c>
      <c r="CN138" s="4177">
        <f t="shared" ref="CN138:CN157" si="78">IF(AQ138&gt;$C138,1,0)</f>
        <v>0</v>
      </c>
    </row>
    <row r="139" spans="1:94" s="4177" customFormat="1" ht="21.95" customHeight="1" x14ac:dyDescent="0.2">
      <c r="A139" s="8635"/>
      <c r="B139" s="4474" t="s">
        <v>2420</v>
      </c>
      <c r="C139" s="4475">
        <f t="shared" si="66"/>
        <v>0</v>
      </c>
      <c r="D139" s="4476">
        <f t="shared" si="67"/>
        <v>0</v>
      </c>
      <c r="E139" s="4477">
        <f t="shared" si="68"/>
        <v>0</v>
      </c>
      <c r="F139" s="4444"/>
      <c r="G139" s="4446"/>
      <c r="H139" s="4444"/>
      <c r="I139" s="4446"/>
      <c r="J139" s="4444"/>
      <c r="K139" s="4446"/>
      <c r="L139" s="4478"/>
      <c r="M139" s="4445"/>
      <c r="N139" s="4445"/>
      <c r="O139" s="4479"/>
      <c r="P139" s="4444"/>
      <c r="Q139" s="4479"/>
      <c r="R139" s="4478"/>
      <c r="S139" s="4479"/>
      <c r="T139" s="4478"/>
      <c r="U139" s="4479"/>
      <c r="V139" s="4444"/>
      <c r="W139" s="4446"/>
      <c r="X139" s="4478"/>
      <c r="Y139" s="4446"/>
      <c r="Z139" s="4478"/>
      <c r="AA139" s="4479"/>
      <c r="AB139" s="4478"/>
      <c r="AC139" s="4479"/>
      <c r="AD139" s="4478"/>
      <c r="AE139" s="4479"/>
      <c r="AF139" s="4478"/>
      <c r="AG139" s="4479"/>
      <c r="AH139" s="4478"/>
      <c r="AI139" s="4479"/>
      <c r="AJ139" s="4478"/>
      <c r="AK139" s="4479"/>
      <c r="AL139" s="4478"/>
      <c r="AM139" s="4479"/>
      <c r="AN139" s="4479"/>
      <c r="AO139" s="4479"/>
      <c r="AP139" s="4479"/>
      <c r="AQ139" s="4479"/>
      <c r="AR139" s="4479"/>
      <c r="AS139" s="4177" t="str">
        <f t="shared" si="69"/>
        <v/>
      </c>
      <c r="CA139" s="4177" t="str">
        <f t="shared" si="73"/>
        <v/>
      </c>
      <c r="CB139" s="4177" t="str">
        <f t="shared" si="70"/>
        <v/>
      </c>
      <c r="CC139" s="4177" t="str">
        <f t="shared" si="71"/>
        <v/>
      </c>
      <c r="CD139" s="4177" t="str">
        <f t="shared" si="72"/>
        <v/>
      </c>
      <c r="CG139" s="4177" t="str">
        <f t="shared" si="74"/>
        <v/>
      </c>
      <c r="CK139" s="4177">
        <f t="shared" si="75"/>
        <v>0</v>
      </c>
      <c r="CL139" s="4177">
        <f t="shared" si="76"/>
        <v>0</v>
      </c>
      <c r="CM139" s="4177">
        <f t="shared" si="77"/>
        <v>0</v>
      </c>
      <c r="CN139" s="4177">
        <f t="shared" si="78"/>
        <v>0</v>
      </c>
    </row>
    <row r="140" spans="1:94" s="4177" customFormat="1" ht="21.95" customHeight="1" x14ac:dyDescent="0.2">
      <c r="A140" s="8635"/>
      <c r="B140" s="4474" t="s">
        <v>2421</v>
      </c>
      <c r="C140" s="4475">
        <f t="shared" si="66"/>
        <v>0</v>
      </c>
      <c r="D140" s="4476">
        <f t="shared" si="67"/>
        <v>0</v>
      </c>
      <c r="E140" s="4477">
        <f t="shared" si="68"/>
        <v>0</v>
      </c>
      <c r="F140" s="4444"/>
      <c r="G140" s="4446"/>
      <c r="H140" s="4444"/>
      <c r="I140" s="4446"/>
      <c r="J140" s="4444"/>
      <c r="K140" s="4446"/>
      <c r="L140" s="4478"/>
      <c r="M140" s="4445"/>
      <c r="N140" s="4445"/>
      <c r="O140" s="4479"/>
      <c r="P140" s="4444"/>
      <c r="Q140" s="4479"/>
      <c r="R140" s="4478"/>
      <c r="S140" s="4479"/>
      <c r="T140" s="4478"/>
      <c r="U140" s="4479"/>
      <c r="V140" s="4444"/>
      <c r="W140" s="4446"/>
      <c r="X140" s="4478"/>
      <c r="Y140" s="4446"/>
      <c r="Z140" s="4478"/>
      <c r="AA140" s="4479"/>
      <c r="AB140" s="4478"/>
      <c r="AC140" s="4479"/>
      <c r="AD140" s="4478"/>
      <c r="AE140" s="4479"/>
      <c r="AF140" s="4478"/>
      <c r="AG140" s="4479"/>
      <c r="AH140" s="4478"/>
      <c r="AI140" s="4479"/>
      <c r="AJ140" s="4478"/>
      <c r="AK140" s="4479"/>
      <c r="AL140" s="4478"/>
      <c r="AM140" s="4479"/>
      <c r="AN140" s="4479"/>
      <c r="AO140" s="4479"/>
      <c r="AP140" s="4479"/>
      <c r="AQ140" s="4479"/>
      <c r="AR140" s="4479"/>
      <c r="AS140" s="4177" t="str">
        <f t="shared" si="69"/>
        <v/>
      </c>
      <c r="CA140" s="4177" t="str">
        <f t="shared" si="73"/>
        <v/>
      </c>
      <c r="CB140" s="4177" t="str">
        <f t="shared" si="70"/>
        <v/>
      </c>
      <c r="CC140" s="4177" t="str">
        <f t="shared" si="71"/>
        <v/>
      </c>
      <c r="CD140" s="4177" t="str">
        <f t="shared" si="72"/>
        <v/>
      </c>
      <c r="CG140" s="4177" t="str">
        <f t="shared" si="74"/>
        <v/>
      </c>
      <c r="CK140" s="4177">
        <f t="shared" si="75"/>
        <v>0</v>
      </c>
      <c r="CL140" s="4177">
        <f t="shared" si="76"/>
        <v>0</v>
      </c>
      <c r="CM140" s="4177">
        <f t="shared" si="77"/>
        <v>0</v>
      </c>
      <c r="CN140" s="4177">
        <f t="shared" si="78"/>
        <v>0</v>
      </c>
    </row>
    <row r="141" spans="1:94" s="4177" customFormat="1" ht="21.95" customHeight="1" x14ac:dyDescent="0.2">
      <c r="A141" s="8635"/>
      <c r="B141" s="4474" t="s">
        <v>2445</v>
      </c>
      <c r="C141" s="4475">
        <f t="shared" si="66"/>
        <v>0</v>
      </c>
      <c r="D141" s="4476">
        <f t="shared" si="67"/>
        <v>0</v>
      </c>
      <c r="E141" s="4477">
        <f t="shared" si="68"/>
        <v>0</v>
      </c>
      <c r="F141" s="4444"/>
      <c r="G141" s="4446"/>
      <c r="H141" s="4444"/>
      <c r="I141" s="4446"/>
      <c r="J141" s="4444"/>
      <c r="K141" s="4446"/>
      <c r="L141" s="4478"/>
      <c r="M141" s="4445"/>
      <c r="N141" s="4445"/>
      <c r="O141" s="4479"/>
      <c r="P141" s="4444"/>
      <c r="Q141" s="4479"/>
      <c r="R141" s="4478"/>
      <c r="S141" s="4479"/>
      <c r="T141" s="4478"/>
      <c r="U141" s="4479"/>
      <c r="V141" s="4444"/>
      <c r="W141" s="4446"/>
      <c r="X141" s="4478"/>
      <c r="Y141" s="4446"/>
      <c r="Z141" s="4478"/>
      <c r="AA141" s="4479"/>
      <c r="AB141" s="4478"/>
      <c r="AC141" s="4479"/>
      <c r="AD141" s="4478"/>
      <c r="AE141" s="4479"/>
      <c r="AF141" s="4478"/>
      <c r="AG141" s="4479"/>
      <c r="AH141" s="4478"/>
      <c r="AI141" s="4479"/>
      <c r="AJ141" s="4478"/>
      <c r="AK141" s="4479"/>
      <c r="AL141" s="4478"/>
      <c r="AM141" s="4479"/>
      <c r="AN141" s="4479"/>
      <c r="AO141" s="4479"/>
      <c r="AP141" s="4479"/>
      <c r="AQ141" s="4479"/>
      <c r="AR141" s="4479"/>
      <c r="AS141" s="4177" t="str">
        <f t="shared" si="69"/>
        <v/>
      </c>
      <c r="CA141" s="4177" t="str">
        <f t="shared" si="73"/>
        <v/>
      </c>
      <c r="CB141" s="4177" t="str">
        <f t="shared" si="70"/>
        <v/>
      </c>
      <c r="CC141" s="4177" t="str">
        <f t="shared" si="71"/>
        <v/>
      </c>
      <c r="CD141" s="4177" t="str">
        <f t="shared" si="72"/>
        <v/>
      </c>
      <c r="CG141" s="4177" t="str">
        <f t="shared" si="74"/>
        <v/>
      </c>
      <c r="CK141" s="4177">
        <f t="shared" si="75"/>
        <v>0</v>
      </c>
      <c r="CL141" s="4177">
        <f t="shared" si="76"/>
        <v>0</v>
      </c>
      <c r="CM141" s="4177">
        <f t="shared" si="77"/>
        <v>0</v>
      </c>
      <c r="CN141" s="4177">
        <f t="shared" si="78"/>
        <v>0</v>
      </c>
    </row>
    <row r="142" spans="1:94" s="4177" customFormat="1" ht="21.95" customHeight="1" x14ac:dyDescent="0.2">
      <c r="A142" s="8635"/>
      <c r="B142" s="4474" t="s">
        <v>2369</v>
      </c>
      <c r="C142" s="4475">
        <f t="shared" si="66"/>
        <v>0</v>
      </c>
      <c r="D142" s="4476">
        <f t="shared" si="67"/>
        <v>0</v>
      </c>
      <c r="E142" s="4477">
        <f t="shared" si="68"/>
        <v>0</v>
      </c>
      <c r="F142" s="4444"/>
      <c r="G142" s="4446"/>
      <c r="H142" s="4444"/>
      <c r="I142" s="4446"/>
      <c r="J142" s="4444"/>
      <c r="K142" s="4446"/>
      <c r="L142" s="4478"/>
      <c r="M142" s="4445"/>
      <c r="N142" s="4445"/>
      <c r="O142" s="4479"/>
      <c r="P142" s="4444"/>
      <c r="Q142" s="4479"/>
      <c r="R142" s="4478"/>
      <c r="S142" s="4479"/>
      <c r="T142" s="4478"/>
      <c r="U142" s="4479"/>
      <c r="V142" s="4444"/>
      <c r="W142" s="4446"/>
      <c r="X142" s="4478"/>
      <c r="Y142" s="4446"/>
      <c r="Z142" s="4478"/>
      <c r="AA142" s="4479"/>
      <c r="AB142" s="4478"/>
      <c r="AC142" s="4479"/>
      <c r="AD142" s="4478"/>
      <c r="AE142" s="4479"/>
      <c r="AF142" s="4478"/>
      <c r="AG142" s="4479"/>
      <c r="AH142" s="4478"/>
      <c r="AI142" s="4479"/>
      <c r="AJ142" s="4478"/>
      <c r="AK142" s="4479"/>
      <c r="AL142" s="4478"/>
      <c r="AM142" s="4479"/>
      <c r="AN142" s="4479"/>
      <c r="AO142" s="4479"/>
      <c r="AP142" s="4479"/>
      <c r="AQ142" s="4479"/>
      <c r="AR142" s="4479"/>
      <c r="AS142" s="4177" t="str">
        <f t="shared" si="69"/>
        <v/>
      </c>
      <c r="CA142" s="4177" t="str">
        <f t="shared" si="73"/>
        <v/>
      </c>
      <c r="CB142" s="4177" t="str">
        <f t="shared" si="70"/>
        <v/>
      </c>
      <c r="CC142" s="4177" t="str">
        <f t="shared" si="71"/>
        <v/>
      </c>
      <c r="CD142" s="4177" t="str">
        <f t="shared" si="72"/>
        <v/>
      </c>
      <c r="CG142" s="4177" t="str">
        <f t="shared" si="74"/>
        <v/>
      </c>
      <c r="CK142" s="4177">
        <f t="shared" si="75"/>
        <v>0</v>
      </c>
      <c r="CL142" s="4177">
        <f t="shared" si="76"/>
        <v>0</v>
      </c>
      <c r="CM142" s="4177">
        <f t="shared" si="77"/>
        <v>0</v>
      </c>
      <c r="CN142" s="4177">
        <f t="shared" si="78"/>
        <v>0</v>
      </c>
    </row>
    <row r="143" spans="1:94" s="4177" customFormat="1" ht="21.95" customHeight="1" x14ac:dyDescent="0.2">
      <c r="A143" s="8635"/>
      <c r="B143" s="4474" t="s">
        <v>392</v>
      </c>
      <c r="C143" s="4475">
        <f t="shared" si="66"/>
        <v>0</v>
      </c>
      <c r="D143" s="4476">
        <f t="shared" si="67"/>
        <v>0</v>
      </c>
      <c r="E143" s="4477">
        <f t="shared" si="68"/>
        <v>0</v>
      </c>
      <c r="F143" s="4444"/>
      <c r="G143" s="4446"/>
      <c r="H143" s="4444"/>
      <c r="I143" s="4446"/>
      <c r="J143" s="4444"/>
      <c r="K143" s="4446"/>
      <c r="L143" s="4478"/>
      <c r="M143" s="4445"/>
      <c r="N143" s="4445"/>
      <c r="O143" s="4479"/>
      <c r="P143" s="4444"/>
      <c r="Q143" s="4479"/>
      <c r="R143" s="4478"/>
      <c r="S143" s="4479"/>
      <c r="T143" s="4478"/>
      <c r="U143" s="4479"/>
      <c r="V143" s="4444"/>
      <c r="W143" s="4446"/>
      <c r="X143" s="4478"/>
      <c r="Y143" s="4446"/>
      <c r="Z143" s="4478"/>
      <c r="AA143" s="4479"/>
      <c r="AB143" s="4478"/>
      <c r="AC143" s="4479"/>
      <c r="AD143" s="4478"/>
      <c r="AE143" s="4479"/>
      <c r="AF143" s="4478"/>
      <c r="AG143" s="4479"/>
      <c r="AH143" s="4478"/>
      <c r="AI143" s="4479"/>
      <c r="AJ143" s="4478"/>
      <c r="AK143" s="4479"/>
      <c r="AL143" s="4478"/>
      <c r="AM143" s="4479"/>
      <c r="AN143" s="4479"/>
      <c r="AO143" s="4479"/>
      <c r="AP143" s="4479"/>
      <c r="AQ143" s="4479"/>
      <c r="AR143" s="4479"/>
      <c r="AS143" s="4177" t="str">
        <f t="shared" si="69"/>
        <v/>
      </c>
      <c r="CA143" s="4177" t="str">
        <f t="shared" si="73"/>
        <v/>
      </c>
      <c r="CB143" s="4177" t="str">
        <f t="shared" si="70"/>
        <v/>
      </c>
      <c r="CC143" s="4177" t="str">
        <f t="shared" si="71"/>
        <v/>
      </c>
      <c r="CD143" s="4177" t="str">
        <f t="shared" si="72"/>
        <v/>
      </c>
      <c r="CG143" s="4177" t="str">
        <f t="shared" si="74"/>
        <v/>
      </c>
      <c r="CK143" s="4177">
        <f t="shared" si="75"/>
        <v>0</v>
      </c>
      <c r="CL143" s="4177">
        <f t="shared" si="76"/>
        <v>0</v>
      </c>
      <c r="CM143" s="4177">
        <f t="shared" si="77"/>
        <v>0</v>
      </c>
      <c r="CN143" s="4177">
        <f t="shared" si="78"/>
        <v>0</v>
      </c>
    </row>
    <row r="144" spans="1:94" s="4177" customFormat="1" ht="26.25" customHeight="1" x14ac:dyDescent="0.2">
      <c r="A144" s="8635"/>
      <c r="B144" s="4474" t="s">
        <v>2605</v>
      </c>
      <c r="C144" s="4475">
        <f t="shared" si="66"/>
        <v>0</v>
      </c>
      <c r="D144" s="4476">
        <f t="shared" si="67"/>
        <v>0</v>
      </c>
      <c r="E144" s="4477">
        <f t="shared" si="68"/>
        <v>0</v>
      </c>
      <c r="F144" s="4444"/>
      <c r="G144" s="4446"/>
      <c r="H144" s="4444"/>
      <c r="I144" s="4446"/>
      <c r="J144" s="4444"/>
      <c r="K144" s="4446"/>
      <c r="L144" s="4478"/>
      <c r="M144" s="4445"/>
      <c r="N144" s="4445"/>
      <c r="O144" s="4479"/>
      <c r="P144" s="4444"/>
      <c r="Q144" s="4479"/>
      <c r="R144" s="4478"/>
      <c r="S144" s="4479"/>
      <c r="T144" s="4478"/>
      <c r="U144" s="4479"/>
      <c r="V144" s="4444"/>
      <c r="W144" s="4446"/>
      <c r="X144" s="4478"/>
      <c r="Y144" s="4446"/>
      <c r="Z144" s="4478"/>
      <c r="AA144" s="4479"/>
      <c r="AB144" s="4478"/>
      <c r="AC144" s="4479"/>
      <c r="AD144" s="4478"/>
      <c r="AE144" s="4479"/>
      <c r="AF144" s="4478"/>
      <c r="AG144" s="4479"/>
      <c r="AH144" s="4478"/>
      <c r="AI144" s="4479"/>
      <c r="AJ144" s="4478"/>
      <c r="AK144" s="4479"/>
      <c r="AL144" s="4478"/>
      <c r="AM144" s="4479"/>
      <c r="AN144" s="4479"/>
      <c r="AO144" s="4479"/>
      <c r="AP144" s="4479"/>
      <c r="AQ144" s="4479"/>
      <c r="AR144" s="4479"/>
      <c r="AS144" s="4177" t="str">
        <f t="shared" si="69"/>
        <v/>
      </c>
      <c r="CA144" s="4177" t="str">
        <f t="shared" si="73"/>
        <v/>
      </c>
      <c r="CB144" s="4177" t="str">
        <f t="shared" si="70"/>
        <v/>
      </c>
      <c r="CC144" s="4177" t="str">
        <f t="shared" si="71"/>
        <v/>
      </c>
      <c r="CD144" s="4177" t="str">
        <f t="shared" si="72"/>
        <v/>
      </c>
      <c r="CG144" s="4177" t="str">
        <f t="shared" si="74"/>
        <v/>
      </c>
      <c r="CK144" s="4177">
        <f t="shared" si="75"/>
        <v>0</v>
      </c>
      <c r="CL144" s="4177">
        <f t="shared" si="76"/>
        <v>0</v>
      </c>
      <c r="CM144" s="4177">
        <f t="shared" si="77"/>
        <v>0</v>
      </c>
      <c r="CN144" s="4177">
        <f t="shared" si="78"/>
        <v>0</v>
      </c>
    </row>
    <row r="145" spans="1:92" s="4177" customFormat="1" ht="26.25" customHeight="1" x14ac:dyDescent="0.2">
      <c r="A145" s="8635"/>
      <c r="B145" s="4474" t="s">
        <v>2422</v>
      </c>
      <c r="C145" s="4475">
        <f t="shared" si="66"/>
        <v>0</v>
      </c>
      <c r="D145" s="4476">
        <f t="shared" si="67"/>
        <v>0</v>
      </c>
      <c r="E145" s="4477">
        <f t="shared" si="68"/>
        <v>0</v>
      </c>
      <c r="F145" s="4444"/>
      <c r="G145" s="4446"/>
      <c r="H145" s="4444"/>
      <c r="I145" s="4446"/>
      <c r="J145" s="4444"/>
      <c r="K145" s="4446"/>
      <c r="L145" s="4478"/>
      <c r="M145" s="4445"/>
      <c r="N145" s="4445"/>
      <c r="O145" s="4479"/>
      <c r="P145" s="4444"/>
      <c r="Q145" s="4479"/>
      <c r="R145" s="4478"/>
      <c r="S145" s="4479"/>
      <c r="T145" s="4478"/>
      <c r="U145" s="4479"/>
      <c r="V145" s="4444"/>
      <c r="W145" s="4446"/>
      <c r="X145" s="4478"/>
      <c r="Y145" s="4446"/>
      <c r="Z145" s="4478"/>
      <c r="AA145" s="4479"/>
      <c r="AB145" s="4478"/>
      <c r="AC145" s="4479"/>
      <c r="AD145" s="4478"/>
      <c r="AE145" s="4479"/>
      <c r="AF145" s="4478"/>
      <c r="AG145" s="4479"/>
      <c r="AH145" s="4478"/>
      <c r="AI145" s="4479"/>
      <c r="AJ145" s="4478"/>
      <c r="AK145" s="4479"/>
      <c r="AL145" s="4478"/>
      <c r="AM145" s="4479"/>
      <c r="AN145" s="4479"/>
      <c r="AO145" s="4479"/>
      <c r="AP145" s="4479"/>
      <c r="AQ145" s="4479"/>
      <c r="AR145" s="4479"/>
      <c r="AS145" s="4177" t="str">
        <f t="shared" si="69"/>
        <v/>
      </c>
      <c r="CA145" s="4177" t="str">
        <f t="shared" si="73"/>
        <v/>
      </c>
      <c r="CB145" s="4177" t="str">
        <f t="shared" si="70"/>
        <v/>
      </c>
      <c r="CC145" s="4177" t="str">
        <f t="shared" si="71"/>
        <v/>
      </c>
      <c r="CD145" s="4177" t="str">
        <f t="shared" si="72"/>
        <v/>
      </c>
      <c r="CG145" s="4177" t="str">
        <f t="shared" si="74"/>
        <v/>
      </c>
      <c r="CK145" s="4177">
        <f t="shared" si="75"/>
        <v>0</v>
      </c>
      <c r="CL145" s="4177">
        <f t="shared" si="76"/>
        <v>0</v>
      </c>
      <c r="CM145" s="4177">
        <f t="shared" si="77"/>
        <v>0</v>
      </c>
      <c r="CN145" s="4177">
        <f t="shared" si="78"/>
        <v>0</v>
      </c>
    </row>
    <row r="146" spans="1:92" s="4177" customFormat="1" ht="26.25" customHeight="1" x14ac:dyDescent="0.2">
      <c r="A146" s="8635"/>
      <c r="B146" s="4480" t="s">
        <v>2423</v>
      </c>
      <c r="C146" s="4481">
        <f t="shared" si="66"/>
        <v>0</v>
      </c>
      <c r="D146" s="4482">
        <f t="shared" si="67"/>
        <v>0</v>
      </c>
      <c r="E146" s="4483">
        <f t="shared" si="68"/>
        <v>0</v>
      </c>
      <c r="F146" s="4484"/>
      <c r="G146" s="4485"/>
      <c r="H146" s="4484"/>
      <c r="I146" s="4485"/>
      <c r="J146" s="4484"/>
      <c r="K146" s="4485"/>
      <c r="L146" s="4486"/>
      <c r="M146" s="4487"/>
      <c r="N146" s="4487"/>
      <c r="O146" s="4488"/>
      <c r="P146" s="4484"/>
      <c r="Q146" s="4488"/>
      <c r="R146" s="4486"/>
      <c r="S146" s="4488"/>
      <c r="T146" s="4486"/>
      <c r="U146" s="4488"/>
      <c r="V146" s="4484"/>
      <c r="W146" s="4485"/>
      <c r="X146" s="4486"/>
      <c r="Y146" s="4485"/>
      <c r="Z146" s="4486"/>
      <c r="AA146" s="4488"/>
      <c r="AB146" s="4486"/>
      <c r="AC146" s="4488"/>
      <c r="AD146" s="4486"/>
      <c r="AE146" s="4488"/>
      <c r="AF146" s="4486"/>
      <c r="AG146" s="4488"/>
      <c r="AH146" s="4486"/>
      <c r="AI146" s="4488"/>
      <c r="AJ146" s="4486"/>
      <c r="AK146" s="4488"/>
      <c r="AL146" s="4486"/>
      <c r="AM146" s="4488"/>
      <c r="AN146" s="4488"/>
      <c r="AO146" s="4488"/>
      <c r="AP146" s="4488"/>
      <c r="AQ146" s="4488"/>
      <c r="AR146" s="4488"/>
      <c r="AS146" s="4177" t="str">
        <f t="shared" si="69"/>
        <v/>
      </c>
      <c r="CA146" s="4177" t="str">
        <f t="shared" si="73"/>
        <v/>
      </c>
      <c r="CB146" s="4177" t="str">
        <f t="shared" si="70"/>
        <v/>
      </c>
      <c r="CC146" s="4177" t="str">
        <f t="shared" si="71"/>
        <v/>
      </c>
      <c r="CD146" s="4177" t="str">
        <f t="shared" si="72"/>
        <v/>
      </c>
      <c r="CG146" s="4177" t="str">
        <f t="shared" si="74"/>
        <v/>
      </c>
      <c r="CK146" s="4177">
        <f t="shared" si="75"/>
        <v>0</v>
      </c>
      <c r="CL146" s="4177">
        <f t="shared" si="76"/>
        <v>0</v>
      </c>
      <c r="CM146" s="4177">
        <f t="shared" si="77"/>
        <v>0</v>
      </c>
      <c r="CN146" s="4177">
        <f t="shared" si="78"/>
        <v>0</v>
      </c>
    </row>
    <row r="147" spans="1:92" s="4177" customFormat="1" ht="21" customHeight="1" thickBot="1" x14ac:dyDescent="0.25">
      <c r="A147" s="8848"/>
      <c r="B147" s="4489" t="s">
        <v>24</v>
      </c>
      <c r="C147" s="4490">
        <f t="shared" si="66"/>
        <v>0</v>
      </c>
      <c r="D147" s="4491">
        <f t="shared" ref="D147:AQ147" si="79">SUM(D137:D146)</f>
        <v>0</v>
      </c>
      <c r="E147" s="4492">
        <f t="shared" si="79"/>
        <v>0</v>
      </c>
      <c r="F147" s="4493">
        <f t="shared" si="79"/>
        <v>0</v>
      </c>
      <c r="G147" s="4494">
        <f t="shared" si="79"/>
        <v>0</v>
      </c>
      <c r="H147" s="4493">
        <f t="shared" si="79"/>
        <v>0</v>
      </c>
      <c r="I147" s="4494">
        <f t="shared" si="79"/>
        <v>0</v>
      </c>
      <c r="J147" s="4493">
        <f t="shared" si="79"/>
        <v>0</v>
      </c>
      <c r="K147" s="4494">
        <f t="shared" si="79"/>
        <v>0</v>
      </c>
      <c r="L147" s="4495">
        <f t="shared" si="79"/>
        <v>0</v>
      </c>
      <c r="M147" s="4496">
        <f t="shared" si="79"/>
        <v>0</v>
      </c>
      <c r="N147" s="4496">
        <f t="shared" si="79"/>
        <v>0</v>
      </c>
      <c r="O147" s="4497">
        <f t="shared" si="79"/>
        <v>0</v>
      </c>
      <c r="P147" s="4493">
        <f t="shared" si="79"/>
        <v>0</v>
      </c>
      <c r="Q147" s="4497">
        <f t="shared" si="79"/>
        <v>0</v>
      </c>
      <c r="R147" s="4498">
        <f t="shared" si="79"/>
        <v>0</v>
      </c>
      <c r="S147" s="4497">
        <f t="shared" si="79"/>
        <v>0</v>
      </c>
      <c r="T147" s="4493">
        <f t="shared" si="79"/>
        <v>0</v>
      </c>
      <c r="U147" s="4494">
        <f t="shared" si="79"/>
        <v>0</v>
      </c>
      <c r="V147" s="4496">
        <f t="shared" si="79"/>
        <v>0</v>
      </c>
      <c r="W147" s="4497">
        <f t="shared" si="79"/>
        <v>0</v>
      </c>
      <c r="X147" s="4495">
        <f t="shared" si="79"/>
        <v>0</v>
      </c>
      <c r="Y147" s="4494">
        <f t="shared" si="79"/>
        <v>0</v>
      </c>
      <c r="Z147" s="4496">
        <f t="shared" si="79"/>
        <v>0</v>
      </c>
      <c r="AA147" s="4494">
        <f t="shared" si="79"/>
        <v>0</v>
      </c>
      <c r="AB147" s="4496">
        <f t="shared" si="79"/>
        <v>0</v>
      </c>
      <c r="AC147" s="4494">
        <f t="shared" si="79"/>
        <v>0</v>
      </c>
      <c r="AD147" s="4496">
        <f t="shared" si="79"/>
        <v>0</v>
      </c>
      <c r="AE147" s="4494">
        <f t="shared" si="79"/>
        <v>0</v>
      </c>
      <c r="AF147" s="4496">
        <f t="shared" si="79"/>
        <v>0</v>
      </c>
      <c r="AG147" s="4494">
        <f t="shared" si="79"/>
        <v>0</v>
      </c>
      <c r="AH147" s="4496">
        <f t="shared" si="79"/>
        <v>0</v>
      </c>
      <c r="AI147" s="4494">
        <f t="shared" si="79"/>
        <v>0</v>
      </c>
      <c r="AJ147" s="4496">
        <f t="shared" si="79"/>
        <v>0</v>
      </c>
      <c r="AK147" s="4494">
        <f t="shared" si="79"/>
        <v>0</v>
      </c>
      <c r="AL147" s="4496">
        <f t="shared" si="79"/>
        <v>0</v>
      </c>
      <c r="AM147" s="4494">
        <f t="shared" si="79"/>
        <v>0</v>
      </c>
      <c r="AN147" s="4494">
        <f t="shared" si="79"/>
        <v>0</v>
      </c>
      <c r="AO147" s="4494">
        <f t="shared" si="79"/>
        <v>0</v>
      </c>
      <c r="AP147" s="4494">
        <f t="shared" si="79"/>
        <v>0</v>
      </c>
      <c r="AQ147" s="4494">
        <f t="shared" si="79"/>
        <v>0</v>
      </c>
      <c r="AR147" s="4494">
        <f>SUM(AR137:AR146)</f>
        <v>0</v>
      </c>
    </row>
    <row r="148" spans="1:92" s="4177" customFormat="1" ht="30" customHeight="1" thickTop="1" x14ac:dyDescent="0.2">
      <c r="A148" s="8635" t="s">
        <v>2577</v>
      </c>
      <c r="B148" s="4465" t="s">
        <v>2440</v>
      </c>
      <c r="C148" s="4499">
        <f t="shared" si="66"/>
        <v>0</v>
      </c>
      <c r="D148" s="4500">
        <f t="shared" ref="D148:D157" si="80">SUM(F148+H148+J148+L148+N148+P148+R148+T148+V148+X148+Z148+AB148+AD148+AF148+AH148+AJ148+AL148)</f>
        <v>0</v>
      </c>
      <c r="E148" s="4501">
        <f t="shared" ref="E148:E157" si="81">SUM(G148+I148+K148+M148+O148+Q148+S148+U148+W148+Y148+AA148+AC148+AE148+AG148+AI148+AK148+AM148)</f>
        <v>0</v>
      </c>
      <c r="F148" s="4502"/>
      <c r="G148" s="4503"/>
      <c r="H148" s="4502"/>
      <c r="I148" s="4503"/>
      <c r="J148" s="4502"/>
      <c r="K148" s="4503"/>
      <c r="L148" s="4504"/>
      <c r="M148" s="4505"/>
      <c r="N148" s="4505"/>
      <c r="O148" s="4506"/>
      <c r="P148" s="4502"/>
      <c r="Q148" s="4506"/>
      <c r="R148" s="4504"/>
      <c r="S148" s="4506"/>
      <c r="T148" s="4504"/>
      <c r="U148" s="4506"/>
      <c r="V148" s="4502"/>
      <c r="W148" s="4503"/>
      <c r="X148" s="4504"/>
      <c r="Y148" s="4503"/>
      <c r="Z148" s="4504"/>
      <c r="AA148" s="4506"/>
      <c r="AB148" s="4504"/>
      <c r="AC148" s="4506"/>
      <c r="AD148" s="4504"/>
      <c r="AE148" s="4506"/>
      <c r="AF148" s="4504"/>
      <c r="AG148" s="4506"/>
      <c r="AH148" s="4504"/>
      <c r="AI148" s="4506"/>
      <c r="AJ148" s="4504"/>
      <c r="AK148" s="4506"/>
      <c r="AL148" s="4504"/>
      <c r="AM148" s="4506"/>
      <c r="AN148" s="4506"/>
      <c r="AO148" s="4506"/>
      <c r="AP148" s="4506"/>
      <c r="AQ148" s="4506"/>
      <c r="AR148" s="4506"/>
      <c r="AS148" s="4177" t="str">
        <f t="shared" si="69"/>
        <v/>
      </c>
      <c r="CA148" s="4177" t="str">
        <f t="shared" si="73"/>
        <v/>
      </c>
      <c r="CB148" s="4177" t="str">
        <f t="shared" si="70"/>
        <v/>
      </c>
      <c r="CC148" s="4177" t="str">
        <f t="shared" si="71"/>
        <v/>
      </c>
      <c r="CD148" s="4177" t="str">
        <f t="shared" si="72"/>
        <v/>
      </c>
      <c r="CG148" s="4177" t="str">
        <f t="shared" si="74"/>
        <v/>
      </c>
      <c r="CK148" s="4177">
        <f t="shared" si="75"/>
        <v>0</v>
      </c>
      <c r="CL148" s="4177">
        <f t="shared" si="76"/>
        <v>0</v>
      </c>
      <c r="CM148" s="4177">
        <f t="shared" si="77"/>
        <v>0</v>
      </c>
      <c r="CN148" s="4177">
        <f t="shared" si="78"/>
        <v>0</v>
      </c>
    </row>
    <row r="149" spans="1:92" s="4177" customFormat="1" ht="19.899999999999999" customHeight="1" x14ac:dyDescent="0.2">
      <c r="A149" s="8635"/>
      <c r="B149" s="4474" t="s">
        <v>2419</v>
      </c>
      <c r="C149" s="4475">
        <f t="shared" si="66"/>
        <v>0</v>
      </c>
      <c r="D149" s="4476">
        <f t="shared" si="80"/>
        <v>0</v>
      </c>
      <c r="E149" s="4477">
        <f t="shared" si="81"/>
        <v>0</v>
      </c>
      <c r="F149" s="4444"/>
      <c r="G149" s="4446"/>
      <c r="H149" s="4444"/>
      <c r="I149" s="4446"/>
      <c r="J149" s="4444"/>
      <c r="K149" s="4446"/>
      <c r="L149" s="4478"/>
      <c r="M149" s="4445"/>
      <c r="N149" s="4445"/>
      <c r="O149" s="4479"/>
      <c r="P149" s="4444"/>
      <c r="Q149" s="4479"/>
      <c r="R149" s="4478"/>
      <c r="S149" s="4479"/>
      <c r="T149" s="4478"/>
      <c r="U149" s="4479"/>
      <c r="V149" s="4444"/>
      <c r="W149" s="4446"/>
      <c r="X149" s="4478"/>
      <c r="Y149" s="4446"/>
      <c r="Z149" s="4478"/>
      <c r="AA149" s="4479"/>
      <c r="AB149" s="4478"/>
      <c r="AC149" s="4479"/>
      <c r="AD149" s="4478"/>
      <c r="AE149" s="4479"/>
      <c r="AF149" s="4478"/>
      <c r="AG149" s="4479"/>
      <c r="AH149" s="4478"/>
      <c r="AI149" s="4479"/>
      <c r="AJ149" s="4478"/>
      <c r="AK149" s="4479"/>
      <c r="AL149" s="4478"/>
      <c r="AM149" s="4479"/>
      <c r="AN149" s="4479"/>
      <c r="AO149" s="4479"/>
      <c r="AP149" s="4479"/>
      <c r="AQ149" s="4479"/>
      <c r="AR149" s="4479"/>
      <c r="AS149" s="4177" t="str">
        <f t="shared" si="69"/>
        <v/>
      </c>
      <c r="CA149" s="4177" t="str">
        <f t="shared" si="73"/>
        <v/>
      </c>
      <c r="CB149" s="4177" t="str">
        <f t="shared" si="70"/>
        <v/>
      </c>
      <c r="CC149" s="4177" t="str">
        <f t="shared" si="71"/>
        <v/>
      </c>
      <c r="CD149" s="4177" t="str">
        <f t="shared" si="72"/>
        <v/>
      </c>
      <c r="CG149" s="4177" t="str">
        <f t="shared" si="74"/>
        <v/>
      </c>
      <c r="CK149" s="4177">
        <f t="shared" si="75"/>
        <v>0</v>
      </c>
      <c r="CL149" s="4177">
        <f t="shared" si="76"/>
        <v>0</v>
      </c>
      <c r="CM149" s="4177">
        <f t="shared" si="77"/>
        <v>0</v>
      </c>
      <c r="CN149" s="4177">
        <f t="shared" si="78"/>
        <v>0</v>
      </c>
    </row>
    <row r="150" spans="1:92" s="4177" customFormat="1" ht="20.25" customHeight="1" x14ac:dyDescent="0.2">
      <c r="A150" s="8635"/>
      <c r="B150" s="4474" t="s">
        <v>2420</v>
      </c>
      <c r="C150" s="4475">
        <f t="shared" si="66"/>
        <v>0</v>
      </c>
      <c r="D150" s="4476">
        <f t="shared" si="80"/>
        <v>0</v>
      </c>
      <c r="E150" s="4477">
        <f t="shared" si="81"/>
        <v>0</v>
      </c>
      <c r="F150" s="4444"/>
      <c r="G150" s="4446"/>
      <c r="H150" s="4444"/>
      <c r="I150" s="4446"/>
      <c r="J150" s="4444"/>
      <c r="K150" s="4446"/>
      <c r="L150" s="4478"/>
      <c r="M150" s="4445"/>
      <c r="N150" s="4445"/>
      <c r="O150" s="4479"/>
      <c r="P150" s="4444"/>
      <c r="Q150" s="4479"/>
      <c r="R150" s="4478"/>
      <c r="S150" s="4479"/>
      <c r="T150" s="4478"/>
      <c r="U150" s="4479"/>
      <c r="V150" s="4444"/>
      <c r="W150" s="4446"/>
      <c r="X150" s="4478"/>
      <c r="Y150" s="4446"/>
      <c r="Z150" s="4478"/>
      <c r="AA150" s="4479"/>
      <c r="AB150" s="4478"/>
      <c r="AC150" s="4479"/>
      <c r="AD150" s="4478"/>
      <c r="AE150" s="4479"/>
      <c r="AF150" s="4478"/>
      <c r="AG150" s="4479"/>
      <c r="AH150" s="4478"/>
      <c r="AI150" s="4479"/>
      <c r="AJ150" s="4478"/>
      <c r="AK150" s="4479"/>
      <c r="AL150" s="4478"/>
      <c r="AM150" s="4479"/>
      <c r="AN150" s="4479"/>
      <c r="AO150" s="4479"/>
      <c r="AP150" s="4479"/>
      <c r="AQ150" s="4479"/>
      <c r="AR150" s="4479"/>
      <c r="AS150" s="4177" t="str">
        <f t="shared" si="69"/>
        <v/>
      </c>
      <c r="CA150" s="4177" t="str">
        <f t="shared" si="73"/>
        <v/>
      </c>
      <c r="CB150" s="4177" t="str">
        <f t="shared" si="70"/>
        <v/>
      </c>
      <c r="CC150" s="4177" t="str">
        <f t="shared" si="71"/>
        <v/>
      </c>
      <c r="CD150" s="4177" t="str">
        <f t="shared" si="72"/>
        <v/>
      </c>
      <c r="CG150" s="4177" t="str">
        <f t="shared" si="74"/>
        <v/>
      </c>
      <c r="CK150" s="4177">
        <f t="shared" si="75"/>
        <v>0</v>
      </c>
      <c r="CL150" s="4177">
        <f t="shared" si="76"/>
        <v>0</v>
      </c>
      <c r="CM150" s="4177">
        <f t="shared" si="77"/>
        <v>0</v>
      </c>
      <c r="CN150" s="4177">
        <f t="shared" si="78"/>
        <v>0</v>
      </c>
    </row>
    <row r="151" spans="1:92" s="4177" customFormat="1" ht="20.25" customHeight="1" x14ac:dyDescent="0.2">
      <c r="A151" s="8635"/>
      <c r="B151" s="4474" t="s">
        <v>2421</v>
      </c>
      <c r="C151" s="4475">
        <f t="shared" si="66"/>
        <v>0</v>
      </c>
      <c r="D151" s="4476">
        <f t="shared" si="80"/>
        <v>0</v>
      </c>
      <c r="E151" s="4477">
        <f t="shared" si="81"/>
        <v>0</v>
      </c>
      <c r="F151" s="4444"/>
      <c r="G151" s="4446"/>
      <c r="H151" s="4444"/>
      <c r="I151" s="4446"/>
      <c r="J151" s="4444"/>
      <c r="K151" s="4446"/>
      <c r="L151" s="4478"/>
      <c r="M151" s="4445"/>
      <c r="N151" s="4445"/>
      <c r="O151" s="4479"/>
      <c r="P151" s="4444"/>
      <c r="Q151" s="4479"/>
      <c r="R151" s="4478"/>
      <c r="S151" s="4479"/>
      <c r="T151" s="4478"/>
      <c r="U151" s="4479"/>
      <c r="V151" s="4444"/>
      <c r="W151" s="4446"/>
      <c r="X151" s="4478"/>
      <c r="Y151" s="4446"/>
      <c r="Z151" s="4478"/>
      <c r="AA151" s="4479"/>
      <c r="AB151" s="4478"/>
      <c r="AC151" s="4479"/>
      <c r="AD151" s="4478"/>
      <c r="AE151" s="4479"/>
      <c r="AF151" s="4478"/>
      <c r="AG151" s="4479"/>
      <c r="AH151" s="4478"/>
      <c r="AI151" s="4479"/>
      <c r="AJ151" s="4478"/>
      <c r="AK151" s="4479"/>
      <c r="AL151" s="4478"/>
      <c r="AM151" s="4479"/>
      <c r="AN151" s="4479"/>
      <c r="AO151" s="4479"/>
      <c r="AP151" s="4479"/>
      <c r="AQ151" s="4479"/>
      <c r="AR151" s="4479"/>
      <c r="AS151" s="4177" t="str">
        <f t="shared" si="69"/>
        <v/>
      </c>
      <c r="CA151" s="4177" t="str">
        <f t="shared" si="73"/>
        <v/>
      </c>
      <c r="CB151" s="4177" t="str">
        <f t="shared" si="70"/>
        <v/>
      </c>
      <c r="CC151" s="4177" t="str">
        <f t="shared" si="71"/>
        <v/>
      </c>
      <c r="CD151" s="4177" t="str">
        <f t="shared" si="72"/>
        <v/>
      </c>
      <c r="CG151" s="4177" t="str">
        <f t="shared" si="74"/>
        <v/>
      </c>
      <c r="CK151" s="4177">
        <f t="shared" si="75"/>
        <v>0</v>
      </c>
      <c r="CL151" s="4177">
        <f t="shared" si="76"/>
        <v>0</v>
      </c>
      <c r="CM151" s="4177">
        <f t="shared" si="77"/>
        <v>0</v>
      </c>
      <c r="CN151" s="4177">
        <f t="shared" si="78"/>
        <v>0</v>
      </c>
    </row>
    <row r="152" spans="1:92" s="4177" customFormat="1" ht="20.25" customHeight="1" x14ac:dyDescent="0.2">
      <c r="A152" s="8635"/>
      <c r="B152" s="4474" t="s">
        <v>2445</v>
      </c>
      <c r="C152" s="4475">
        <f t="shared" si="66"/>
        <v>0</v>
      </c>
      <c r="D152" s="4476">
        <f t="shared" si="80"/>
        <v>0</v>
      </c>
      <c r="E152" s="4477">
        <f t="shared" si="81"/>
        <v>0</v>
      </c>
      <c r="F152" s="4444"/>
      <c r="G152" s="4446"/>
      <c r="H152" s="4444"/>
      <c r="I152" s="4446"/>
      <c r="J152" s="4444"/>
      <c r="K152" s="4446"/>
      <c r="L152" s="4478"/>
      <c r="M152" s="4445"/>
      <c r="N152" s="4445"/>
      <c r="O152" s="4479"/>
      <c r="P152" s="4444"/>
      <c r="Q152" s="4479"/>
      <c r="R152" s="4478"/>
      <c r="S152" s="4479"/>
      <c r="T152" s="4478"/>
      <c r="U152" s="4479"/>
      <c r="V152" s="4444"/>
      <c r="W152" s="4446"/>
      <c r="X152" s="4478"/>
      <c r="Y152" s="4446"/>
      <c r="Z152" s="4478"/>
      <c r="AA152" s="4479"/>
      <c r="AB152" s="4478"/>
      <c r="AC152" s="4479"/>
      <c r="AD152" s="4478"/>
      <c r="AE152" s="4479"/>
      <c r="AF152" s="4478"/>
      <c r="AG152" s="4479"/>
      <c r="AH152" s="4478"/>
      <c r="AI152" s="4479"/>
      <c r="AJ152" s="4478"/>
      <c r="AK152" s="4479"/>
      <c r="AL152" s="4478"/>
      <c r="AM152" s="4479"/>
      <c r="AN152" s="4479"/>
      <c r="AO152" s="4479"/>
      <c r="AP152" s="4479"/>
      <c r="AQ152" s="4479"/>
      <c r="AR152" s="4479"/>
      <c r="AS152" s="4177" t="str">
        <f t="shared" si="69"/>
        <v/>
      </c>
      <c r="CA152" s="4177" t="str">
        <f t="shared" si="73"/>
        <v/>
      </c>
      <c r="CB152" s="4177" t="str">
        <f t="shared" si="70"/>
        <v/>
      </c>
      <c r="CC152" s="4177" t="str">
        <f t="shared" si="71"/>
        <v/>
      </c>
      <c r="CD152" s="4177" t="str">
        <f t="shared" si="72"/>
        <v/>
      </c>
      <c r="CG152" s="4177" t="str">
        <f t="shared" si="74"/>
        <v/>
      </c>
      <c r="CK152" s="4177">
        <f t="shared" si="75"/>
        <v>0</v>
      </c>
      <c r="CL152" s="4177">
        <f t="shared" si="76"/>
        <v>0</v>
      </c>
      <c r="CM152" s="4177">
        <f t="shared" si="77"/>
        <v>0</v>
      </c>
      <c r="CN152" s="4177">
        <f t="shared" si="78"/>
        <v>0</v>
      </c>
    </row>
    <row r="153" spans="1:92" s="4177" customFormat="1" ht="20.25" customHeight="1" x14ac:dyDescent="0.2">
      <c r="A153" s="8635"/>
      <c r="B153" s="4474" t="s">
        <v>2369</v>
      </c>
      <c r="C153" s="4475">
        <f t="shared" si="66"/>
        <v>0</v>
      </c>
      <c r="D153" s="4476">
        <f t="shared" si="80"/>
        <v>0</v>
      </c>
      <c r="E153" s="4477">
        <f t="shared" si="81"/>
        <v>0</v>
      </c>
      <c r="F153" s="4444"/>
      <c r="G153" s="4446"/>
      <c r="H153" s="4444"/>
      <c r="I153" s="4446"/>
      <c r="J153" s="4444"/>
      <c r="K153" s="4446"/>
      <c r="L153" s="4478"/>
      <c r="M153" s="4445"/>
      <c r="N153" s="4445"/>
      <c r="O153" s="4479"/>
      <c r="P153" s="4444"/>
      <c r="Q153" s="4479"/>
      <c r="R153" s="4478"/>
      <c r="S153" s="4479"/>
      <c r="T153" s="4478"/>
      <c r="U153" s="4479"/>
      <c r="V153" s="4444"/>
      <c r="W153" s="4446"/>
      <c r="X153" s="4478"/>
      <c r="Y153" s="4446"/>
      <c r="Z153" s="4478"/>
      <c r="AA153" s="4479"/>
      <c r="AB153" s="4478"/>
      <c r="AC153" s="4479"/>
      <c r="AD153" s="4478"/>
      <c r="AE153" s="4479"/>
      <c r="AF153" s="4478"/>
      <c r="AG153" s="4479"/>
      <c r="AH153" s="4478"/>
      <c r="AI153" s="4479"/>
      <c r="AJ153" s="4478"/>
      <c r="AK153" s="4479"/>
      <c r="AL153" s="4478"/>
      <c r="AM153" s="4479"/>
      <c r="AN153" s="4479"/>
      <c r="AO153" s="4479"/>
      <c r="AP153" s="4479"/>
      <c r="AQ153" s="4479"/>
      <c r="AR153" s="4479"/>
      <c r="AS153" s="4177" t="str">
        <f t="shared" si="69"/>
        <v/>
      </c>
      <c r="CA153" s="4177" t="str">
        <f t="shared" si="73"/>
        <v/>
      </c>
      <c r="CB153" s="4177" t="str">
        <f t="shared" si="70"/>
        <v/>
      </c>
      <c r="CC153" s="4177" t="str">
        <f t="shared" si="71"/>
        <v/>
      </c>
      <c r="CD153" s="4177" t="str">
        <f t="shared" si="72"/>
        <v/>
      </c>
      <c r="CG153" s="4177" t="str">
        <f t="shared" si="74"/>
        <v/>
      </c>
      <c r="CK153" s="4177">
        <f t="shared" si="75"/>
        <v>0</v>
      </c>
      <c r="CL153" s="4177">
        <f t="shared" si="76"/>
        <v>0</v>
      </c>
      <c r="CM153" s="4177">
        <f t="shared" si="77"/>
        <v>0</v>
      </c>
      <c r="CN153" s="4177">
        <f t="shared" si="78"/>
        <v>0</v>
      </c>
    </row>
    <row r="154" spans="1:92" s="4177" customFormat="1" ht="20.25" customHeight="1" x14ac:dyDescent="0.2">
      <c r="A154" s="8635"/>
      <c r="B154" s="4474" t="s">
        <v>392</v>
      </c>
      <c r="C154" s="4475">
        <f t="shared" si="66"/>
        <v>0</v>
      </c>
      <c r="D154" s="4476">
        <f t="shared" si="80"/>
        <v>0</v>
      </c>
      <c r="E154" s="4477">
        <f t="shared" si="81"/>
        <v>0</v>
      </c>
      <c r="F154" s="4444"/>
      <c r="G154" s="4446"/>
      <c r="H154" s="4444"/>
      <c r="I154" s="4446"/>
      <c r="J154" s="4444"/>
      <c r="K154" s="4446"/>
      <c r="L154" s="4478"/>
      <c r="M154" s="4445"/>
      <c r="N154" s="4445"/>
      <c r="O154" s="4479"/>
      <c r="P154" s="4444"/>
      <c r="Q154" s="4479"/>
      <c r="R154" s="4478"/>
      <c r="S154" s="4479"/>
      <c r="T154" s="4478"/>
      <c r="U154" s="4479"/>
      <c r="V154" s="4444"/>
      <c r="W154" s="4446"/>
      <c r="X154" s="4478"/>
      <c r="Y154" s="4446"/>
      <c r="Z154" s="4478"/>
      <c r="AA154" s="4479"/>
      <c r="AB154" s="4478"/>
      <c r="AC154" s="4479"/>
      <c r="AD154" s="4478"/>
      <c r="AE154" s="4479"/>
      <c r="AF154" s="4478"/>
      <c r="AG154" s="4479"/>
      <c r="AH154" s="4478"/>
      <c r="AI154" s="4479"/>
      <c r="AJ154" s="4478"/>
      <c r="AK154" s="4479"/>
      <c r="AL154" s="4478"/>
      <c r="AM154" s="4479"/>
      <c r="AN154" s="4479"/>
      <c r="AO154" s="4479"/>
      <c r="AP154" s="4479"/>
      <c r="AQ154" s="4479"/>
      <c r="AR154" s="4479"/>
      <c r="AS154" s="4177" t="str">
        <f t="shared" si="69"/>
        <v/>
      </c>
      <c r="CA154" s="4177" t="str">
        <f t="shared" si="73"/>
        <v/>
      </c>
      <c r="CB154" s="4177" t="str">
        <f t="shared" si="70"/>
        <v/>
      </c>
      <c r="CC154" s="4177" t="str">
        <f t="shared" si="71"/>
        <v/>
      </c>
      <c r="CD154" s="4177" t="str">
        <f t="shared" si="72"/>
        <v/>
      </c>
      <c r="CG154" s="4177" t="str">
        <f t="shared" si="74"/>
        <v/>
      </c>
      <c r="CK154" s="4177">
        <f t="shared" si="75"/>
        <v>0</v>
      </c>
      <c r="CL154" s="4177">
        <f t="shared" si="76"/>
        <v>0</v>
      </c>
      <c r="CM154" s="4177">
        <f t="shared" si="77"/>
        <v>0</v>
      </c>
      <c r="CN154" s="4177">
        <f t="shared" si="78"/>
        <v>0</v>
      </c>
    </row>
    <row r="155" spans="1:92" s="4177" customFormat="1" ht="27.75" customHeight="1" x14ac:dyDescent="0.2">
      <c r="A155" s="8635"/>
      <c r="B155" s="4474" t="s">
        <v>2605</v>
      </c>
      <c r="C155" s="4475">
        <f t="shared" si="66"/>
        <v>0</v>
      </c>
      <c r="D155" s="4476">
        <f t="shared" si="80"/>
        <v>0</v>
      </c>
      <c r="E155" s="4477">
        <f t="shared" si="81"/>
        <v>0</v>
      </c>
      <c r="F155" s="4444"/>
      <c r="G155" s="4446"/>
      <c r="H155" s="4444"/>
      <c r="I155" s="4446"/>
      <c r="J155" s="4444"/>
      <c r="K155" s="4446"/>
      <c r="L155" s="4478"/>
      <c r="M155" s="4445"/>
      <c r="N155" s="4445"/>
      <c r="O155" s="4479"/>
      <c r="P155" s="4444"/>
      <c r="Q155" s="4479"/>
      <c r="R155" s="4478"/>
      <c r="S155" s="4479"/>
      <c r="T155" s="4478"/>
      <c r="U155" s="4479"/>
      <c r="V155" s="4444"/>
      <c r="W155" s="4446"/>
      <c r="X155" s="4478"/>
      <c r="Y155" s="4446"/>
      <c r="Z155" s="4478"/>
      <c r="AA155" s="4479"/>
      <c r="AB155" s="4478"/>
      <c r="AC155" s="4479"/>
      <c r="AD155" s="4478"/>
      <c r="AE155" s="4479"/>
      <c r="AF155" s="4478"/>
      <c r="AG155" s="4479"/>
      <c r="AH155" s="4478"/>
      <c r="AI155" s="4479"/>
      <c r="AJ155" s="4478"/>
      <c r="AK155" s="4479"/>
      <c r="AL155" s="4478"/>
      <c r="AM155" s="4479"/>
      <c r="AN155" s="4479"/>
      <c r="AO155" s="4479"/>
      <c r="AP155" s="4479"/>
      <c r="AQ155" s="4479"/>
      <c r="AR155" s="4479"/>
      <c r="AS155" s="4177" t="str">
        <f t="shared" si="69"/>
        <v/>
      </c>
      <c r="CA155" s="4177" t="str">
        <f t="shared" si="73"/>
        <v/>
      </c>
      <c r="CB155" s="4177" t="str">
        <f t="shared" si="70"/>
        <v/>
      </c>
      <c r="CC155" s="4177" t="str">
        <f t="shared" si="71"/>
        <v/>
      </c>
      <c r="CD155" s="4177" t="str">
        <f t="shared" si="72"/>
        <v/>
      </c>
      <c r="CG155" s="4177" t="str">
        <f t="shared" si="74"/>
        <v/>
      </c>
      <c r="CK155" s="4177">
        <f t="shared" si="75"/>
        <v>0</v>
      </c>
      <c r="CL155" s="4177">
        <f t="shared" si="76"/>
        <v>0</v>
      </c>
      <c r="CM155" s="4177">
        <f t="shared" si="77"/>
        <v>0</v>
      </c>
      <c r="CN155" s="4177">
        <f t="shared" si="78"/>
        <v>0</v>
      </c>
    </row>
    <row r="156" spans="1:92" s="4177" customFormat="1" ht="20.25" customHeight="1" x14ac:dyDescent="0.2">
      <c r="A156" s="8635"/>
      <c r="B156" s="4474" t="s">
        <v>2422</v>
      </c>
      <c r="C156" s="4475">
        <f t="shared" si="66"/>
        <v>0</v>
      </c>
      <c r="D156" s="4476">
        <f t="shared" si="80"/>
        <v>0</v>
      </c>
      <c r="E156" s="4477">
        <f t="shared" si="81"/>
        <v>0</v>
      </c>
      <c r="F156" s="4444"/>
      <c r="G156" s="4446"/>
      <c r="H156" s="4444"/>
      <c r="I156" s="4446"/>
      <c r="J156" s="4444"/>
      <c r="K156" s="4446"/>
      <c r="L156" s="4478"/>
      <c r="M156" s="4445"/>
      <c r="N156" s="4445"/>
      <c r="O156" s="4479"/>
      <c r="P156" s="4444"/>
      <c r="Q156" s="4479"/>
      <c r="R156" s="4478"/>
      <c r="S156" s="4479"/>
      <c r="T156" s="4478"/>
      <c r="U156" s="4479"/>
      <c r="V156" s="4444"/>
      <c r="W156" s="4446"/>
      <c r="X156" s="4478"/>
      <c r="Y156" s="4446"/>
      <c r="Z156" s="4478"/>
      <c r="AA156" s="4479"/>
      <c r="AB156" s="4478"/>
      <c r="AC156" s="4479"/>
      <c r="AD156" s="4478"/>
      <c r="AE156" s="4479"/>
      <c r="AF156" s="4478"/>
      <c r="AG156" s="4479"/>
      <c r="AH156" s="4478"/>
      <c r="AI156" s="4479"/>
      <c r="AJ156" s="4478"/>
      <c r="AK156" s="4479"/>
      <c r="AL156" s="4478"/>
      <c r="AM156" s="4479"/>
      <c r="AN156" s="4479"/>
      <c r="AO156" s="4479"/>
      <c r="AP156" s="4479"/>
      <c r="AQ156" s="4479"/>
      <c r="AR156" s="4479"/>
      <c r="AS156" s="4177" t="str">
        <f t="shared" si="69"/>
        <v/>
      </c>
      <c r="CA156" s="4177" t="str">
        <f t="shared" si="73"/>
        <v/>
      </c>
      <c r="CB156" s="4177" t="str">
        <f t="shared" si="70"/>
        <v/>
      </c>
      <c r="CC156" s="4177" t="str">
        <f t="shared" si="71"/>
        <v/>
      </c>
      <c r="CD156" s="4177" t="str">
        <f t="shared" si="72"/>
        <v/>
      </c>
      <c r="CG156" s="4177" t="str">
        <f t="shared" si="74"/>
        <v/>
      </c>
      <c r="CK156" s="4177">
        <f t="shared" si="75"/>
        <v>0</v>
      </c>
      <c r="CL156" s="4177">
        <f t="shared" si="76"/>
        <v>0</v>
      </c>
      <c r="CM156" s="4177">
        <f t="shared" si="77"/>
        <v>0</v>
      </c>
      <c r="CN156" s="4177">
        <f t="shared" si="78"/>
        <v>0</v>
      </c>
    </row>
    <row r="157" spans="1:92" s="4177" customFormat="1" ht="30" customHeight="1" x14ac:dyDescent="0.2">
      <c r="A157" s="8635"/>
      <c r="B157" s="4507" t="s">
        <v>2423</v>
      </c>
      <c r="C157" s="4481">
        <f t="shared" si="66"/>
        <v>0</v>
      </c>
      <c r="D157" s="4482">
        <f t="shared" si="80"/>
        <v>0</v>
      </c>
      <c r="E157" s="4483">
        <f t="shared" si="81"/>
        <v>0</v>
      </c>
      <c r="F157" s="4484"/>
      <c r="G157" s="4485"/>
      <c r="H157" s="4484"/>
      <c r="I157" s="4485"/>
      <c r="J157" s="4484"/>
      <c r="K157" s="4485"/>
      <c r="L157" s="4486"/>
      <c r="M157" s="4487"/>
      <c r="N157" s="4487"/>
      <c r="O157" s="4488"/>
      <c r="P157" s="4484"/>
      <c r="Q157" s="4488"/>
      <c r="R157" s="4486"/>
      <c r="S157" s="4488"/>
      <c r="T157" s="4486"/>
      <c r="U157" s="4488"/>
      <c r="V157" s="4484"/>
      <c r="W157" s="4485"/>
      <c r="X157" s="4486"/>
      <c r="Y157" s="4485"/>
      <c r="Z157" s="4486"/>
      <c r="AA157" s="4488"/>
      <c r="AB157" s="4486"/>
      <c r="AC157" s="4488"/>
      <c r="AD157" s="4486"/>
      <c r="AE157" s="4488"/>
      <c r="AF157" s="4486"/>
      <c r="AG157" s="4488"/>
      <c r="AH157" s="4486"/>
      <c r="AI157" s="4488"/>
      <c r="AJ157" s="4486"/>
      <c r="AK157" s="4488"/>
      <c r="AL157" s="4486"/>
      <c r="AM157" s="4488"/>
      <c r="AN157" s="4488"/>
      <c r="AO157" s="4488"/>
      <c r="AP157" s="4488"/>
      <c r="AQ157" s="4488"/>
      <c r="AR157" s="4488"/>
      <c r="AS157" s="4177" t="str">
        <f t="shared" si="69"/>
        <v/>
      </c>
      <c r="CA157" s="4177" t="str">
        <f t="shared" si="73"/>
        <v/>
      </c>
      <c r="CB157" s="4177" t="str">
        <f t="shared" si="70"/>
        <v/>
      </c>
      <c r="CC157" s="4177" t="str">
        <f t="shared" si="71"/>
        <v/>
      </c>
      <c r="CD157" s="4177" t="str">
        <f t="shared" si="72"/>
        <v/>
      </c>
      <c r="CG157" s="4177" t="str">
        <f t="shared" si="74"/>
        <v/>
      </c>
      <c r="CK157" s="4177">
        <f t="shared" si="75"/>
        <v>0</v>
      </c>
      <c r="CL157" s="4177">
        <f t="shared" si="76"/>
        <v>0</v>
      </c>
      <c r="CM157" s="4177">
        <f t="shared" si="77"/>
        <v>0</v>
      </c>
      <c r="CN157" s="4177">
        <f t="shared" si="78"/>
        <v>0</v>
      </c>
    </row>
    <row r="158" spans="1:92" s="4177" customFormat="1" ht="18.75" customHeight="1" x14ac:dyDescent="0.2">
      <c r="A158" s="8795"/>
      <c r="B158" s="4508" t="s">
        <v>24</v>
      </c>
      <c r="C158" s="4509">
        <f t="shared" si="66"/>
        <v>0</v>
      </c>
      <c r="D158" s="4510">
        <f t="shared" ref="D158:AQ158" si="82">SUM(D148:D157)</f>
        <v>0</v>
      </c>
      <c r="E158" s="4511">
        <f t="shared" si="82"/>
        <v>0</v>
      </c>
      <c r="F158" s="4512">
        <f t="shared" si="82"/>
        <v>0</v>
      </c>
      <c r="G158" s="4513">
        <f t="shared" si="82"/>
        <v>0</v>
      </c>
      <c r="H158" s="4512">
        <f t="shared" si="82"/>
        <v>0</v>
      </c>
      <c r="I158" s="4513">
        <f t="shared" si="82"/>
        <v>0</v>
      </c>
      <c r="J158" s="4512">
        <f t="shared" si="82"/>
        <v>0</v>
      </c>
      <c r="K158" s="4513">
        <f t="shared" si="82"/>
        <v>0</v>
      </c>
      <c r="L158" s="4514">
        <f t="shared" si="82"/>
        <v>0</v>
      </c>
      <c r="M158" s="4515">
        <f t="shared" si="82"/>
        <v>0</v>
      </c>
      <c r="N158" s="4515">
        <f t="shared" si="82"/>
        <v>0</v>
      </c>
      <c r="O158" s="4516">
        <f t="shared" si="82"/>
        <v>0</v>
      </c>
      <c r="P158" s="4512">
        <f t="shared" si="82"/>
        <v>0</v>
      </c>
      <c r="Q158" s="4516">
        <f t="shared" si="82"/>
        <v>0</v>
      </c>
      <c r="R158" s="4517">
        <f t="shared" si="82"/>
        <v>0</v>
      </c>
      <c r="S158" s="4516">
        <f t="shared" si="82"/>
        <v>0</v>
      </c>
      <c r="T158" s="4512">
        <f t="shared" si="82"/>
        <v>0</v>
      </c>
      <c r="U158" s="4513">
        <f t="shared" si="82"/>
        <v>0</v>
      </c>
      <c r="V158" s="4515">
        <f t="shared" si="82"/>
        <v>0</v>
      </c>
      <c r="W158" s="4516">
        <f t="shared" si="82"/>
        <v>0</v>
      </c>
      <c r="X158" s="4514">
        <f t="shared" si="82"/>
        <v>0</v>
      </c>
      <c r="Y158" s="4513">
        <f t="shared" si="82"/>
        <v>0</v>
      </c>
      <c r="Z158" s="4515">
        <f t="shared" si="82"/>
        <v>0</v>
      </c>
      <c r="AA158" s="4513">
        <f t="shared" si="82"/>
        <v>0</v>
      </c>
      <c r="AB158" s="4515">
        <f t="shared" si="82"/>
        <v>0</v>
      </c>
      <c r="AC158" s="4513">
        <f t="shared" si="82"/>
        <v>0</v>
      </c>
      <c r="AD158" s="4515">
        <f t="shared" si="82"/>
        <v>0</v>
      </c>
      <c r="AE158" s="4513">
        <f t="shared" si="82"/>
        <v>0</v>
      </c>
      <c r="AF158" s="4515">
        <f t="shared" si="82"/>
        <v>0</v>
      </c>
      <c r="AG158" s="4513">
        <f t="shared" si="82"/>
        <v>0</v>
      </c>
      <c r="AH158" s="4515">
        <f t="shared" si="82"/>
        <v>0</v>
      </c>
      <c r="AI158" s="4513">
        <f t="shared" si="82"/>
        <v>0</v>
      </c>
      <c r="AJ158" s="4515">
        <f t="shared" si="82"/>
        <v>0</v>
      </c>
      <c r="AK158" s="4513">
        <f t="shared" si="82"/>
        <v>0</v>
      </c>
      <c r="AL158" s="4515">
        <f t="shared" si="82"/>
        <v>0</v>
      </c>
      <c r="AM158" s="4513">
        <f t="shared" si="82"/>
        <v>0</v>
      </c>
      <c r="AN158" s="4513">
        <f t="shared" si="82"/>
        <v>0</v>
      </c>
      <c r="AO158" s="4513">
        <f t="shared" si="82"/>
        <v>0</v>
      </c>
      <c r="AP158" s="4513">
        <f t="shared" si="82"/>
        <v>0</v>
      </c>
      <c r="AQ158" s="4513">
        <f t="shared" si="82"/>
        <v>0</v>
      </c>
      <c r="AR158" s="4513">
        <f>SUM(AR148:AR157)</f>
        <v>0</v>
      </c>
    </row>
    <row r="159" spans="1:92" s="4177" customFormat="1" ht="25.5" customHeight="1" x14ac:dyDescent="0.2">
      <c r="A159" s="4437" t="s">
        <v>3101</v>
      </c>
      <c r="B159" s="4518"/>
      <c r="C159" s="4176"/>
      <c r="D159" s="4519"/>
      <c r="E159" s="4520"/>
      <c r="F159" s="4176"/>
      <c r="G159" s="4176"/>
      <c r="H159" s="4176"/>
      <c r="I159" s="4176"/>
      <c r="J159" s="4176"/>
      <c r="K159" s="4176"/>
      <c r="L159" s="4176"/>
      <c r="M159" s="4176"/>
      <c r="N159" s="4176"/>
      <c r="O159" s="4176"/>
      <c r="P159" s="4176"/>
      <c r="Q159" s="4176"/>
      <c r="R159" s="4176"/>
      <c r="S159" s="4176"/>
      <c r="T159" s="4176"/>
      <c r="U159" s="4176"/>
      <c r="V159" s="4176"/>
      <c r="W159" s="4176"/>
      <c r="X159" s="4176"/>
      <c r="Y159" s="4176"/>
      <c r="Z159" s="4176"/>
      <c r="AA159" s="4176"/>
      <c r="AB159" s="4176"/>
      <c r="AC159" s="4176"/>
      <c r="AD159" s="4176"/>
      <c r="AE159" s="4176"/>
      <c r="AF159" s="4176"/>
    </row>
    <row r="160" spans="1:92" s="4177" customFormat="1" ht="13.9" customHeight="1" x14ac:dyDescent="0.2">
      <c r="A160" s="10768" t="s">
        <v>650</v>
      </c>
      <c r="B160" s="10768" t="s">
        <v>0</v>
      </c>
      <c r="C160" s="10721" t="s">
        <v>24</v>
      </c>
      <c r="D160" s="10770"/>
      <c r="E160" s="8206"/>
      <c r="F160" s="10772" t="s">
        <v>2146</v>
      </c>
      <c r="G160" s="8714"/>
      <c r="H160" s="8714"/>
      <c r="I160" s="8714"/>
      <c r="J160" s="8714"/>
      <c r="K160" s="8714"/>
      <c r="L160" s="8714"/>
      <c r="M160" s="8714"/>
      <c r="N160" s="8714"/>
      <c r="O160" s="8714"/>
      <c r="P160" s="8714"/>
      <c r="Q160" s="8714"/>
      <c r="R160" s="8714"/>
      <c r="S160" s="8714"/>
      <c r="T160" s="8714"/>
      <c r="U160" s="8714"/>
      <c r="V160" s="8714"/>
      <c r="W160" s="8714"/>
      <c r="X160" s="8714"/>
      <c r="Y160" s="8714"/>
      <c r="Z160" s="8714"/>
      <c r="AA160" s="8714"/>
      <c r="AB160" s="8714"/>
      <c r="AC160" s="8714"/>
      <c r="AD160" s="8714"/>
      <c r="AE160" s="8714"/>
      <c r="AF160" s="8714"/>
      <c r="AG160" s="10831"/>
      <c r="AH160" s="10746" t="s">
        <v>360</v>
      </c>
      <c r="AI160" s="10746" t="s">
        <v>359</v>
      </c>
      <c r="AR160" s="4177" t="str">
        <f>+BB147&amp;BC147&amp;BD147&amp;BE147</f>
        <v/>
      </c>
    </row>
    <row r="161" spans="1:92" s="4177" customFormat="1" x14ac:dyDescent="0.2">
      <c r="A161" s="8981"/>
      <c r="B161" s="8981"/>
      <c r="C161" s="10722"/>
      <c r="D161" s="10771"/>
      <c r="E161" s="8723"/>
      <c r="F161" s="10723" t="s">
        <v>3</v>
      </c>
      <c r="G161" s="8901"/>
      <c r="H161" s="10728" t="s">
        <v>4</v>
      </c>
      <c r="I161" s="10736"/>
      <c r="J161" s="10728" t="s">
        <v>5</v>
      </c>
      <c r="K161" s="10736"/>
      <c r="L161" s="10728" t="s">
        <v>6</v>
      </c>
      <c r="M161" s="10736"/>
      <c r="N161" s="10728" t="s">
        <v>7</v>
      </c>
      <c r="O161" s="10736"/>
      <c r="P161" s="10728" t="s">
        <v>8</v>
      </c>
      <c r="Q161" s="10736"/>
      <c r="R161" s="10728" t="s">
        <v>9</v>
      </c>
      <c r="S161" s="10736"/>
      <c r="T161" s="10728" t="s">
        <v>10</v>
      </c>
      <c r="U161" s="10736"/>
      <c r="V161" s="10728" t="s">
        <v>11</v>
      </c>
      <c r="W161" s="10736"/>
      <c r="X161" s="10728" t="s">
        <v>12</v>
      </c>
      <c r="Y161" s="10736"/>
      <c r="Z161" s="10728" t="s">
        <v>13</v>
      </c>
      <c r="AA161" s="10736"/>
      <c r="AB161" s="10728" t="s">
        <v>14</v>
      </c>
      <c r="AC161" s="10736"/>
      <c r="AD161" s="10728" t="s">
        <v>15</v>
      </c>
      <c r="AE161" s="10736"/>
      <c r="AF161" s="10728" t="s">
        <v>16</v>
      </c>
      <c r="AG161" s="10749"/>
      <c r="AH161" s="10747"/>
      <c r="AI161" s="10747"/>
      <c r="CA161" s="10671" t="s">
        <v>360</v>
      </c>
      <c r="CB161" s="10671" t="s">
        <v>359</v>
      </c>
      <c r="CC161" s="10671" t="s">
        <v>3951</v>
      </c>
      <c r="CK161" s="10671" t="s">
        <v>360</v>
      </c>
      <c r="CL161" s="10671" t="s">
        <v>359</v>
      </c>
      <c r="CN161" s="10671"/>
    </row>
    <row r="162" spans="1:92" s="4177" customFormat="1" x14ac:dyDescent="0.2">
      <c r="A162" s="10769"/>
      <c r="B162" s="10769"/>
      <c r="C162" s="4274" t="s">
        <v>42</v>
      </c>
      <c r="D162" s="4464" t="s">
        <v>17</v>
      </c>
      <c r="E162" s="4272" t="s">
        <v>18</v>
      </c>
      <c r="F162" s="4271" t="s">
        <v>17</v>
      </c>
      <c r="G162" s="4521" t="s">
        <v>18</v>
      </c>
      <c r="H162" s="4271" t="s">
        <v>17</v>
      </c>
      <c r="I162" s="4521" t="s">
        <v>18</v>
      </c>
      <c r="J162" s="4271" t="s">
        <v>17</v>
      </c>
      <c r="K162" s="4521" t="s">
        <v>18</v>
      </c>
      <c r="L162" s="4271" t="s">
        <v>17</v>
      </c>
      <c r="M162" s="4521" t="s">
        <v>18</v>
      </c>
      <c r="N162" s="4271" t="s">
        <v>17</v>
      </c>
      <c r="O162" s="4521" t="s">
        <v>18</v>
      </c>
      <c r="P162" s="4271" t="s">
        <v>17</v>
      </c>
      <c r="Q162" s="4521" t="s">
        <v>18</v>
      </c>
      <c r="R162" s="4271" t="s">
        <v>17</v>
      </c>
      <c r="S162" s="4521" t="s">
        <v>18</v>
      </c>
      <c r="T162" s="4271" t="s">
        <v>17</v>
      </c>
      <c r="U162" s="4521" t="s">
        <v>18</v>
      </c>
      <c r="V162" s="4271" t="s">
        <v>17</v>
      </c>
      <c r="W162" s="4521" t="s">
        <v>18</v>
      </c>
      <c r="X162" s="4271" t="s">
        <v>17</v>
      </c>
      <c r="Y162" s="4521" t="s">
        <v>18</v>
      </c>
      <c r="Z162" s="4271" t="s">
        <v>17</v>
      </c>
      <c r="AA162" s="4521" t="s">
        <v>18</v>
      </c>
      <c r="AB162" s="4271" t="s">
        <v>17</v>
      </c>
      <c r="AC162" s="4521" t="s">
        <v>18</v>
      </c>
      <c r="AD162" s="4271" t="s">
        <v>17</v>
      </c>
      <c r="AE162" s="4521" t="s">
        <v>18</v>
      </c>
      <c r="AF162" s="4271" t="s">
        <v>17</v>
      </c>
      <c r="AG162" s="4522" t="s">
        <v>18</v>
      </c>
      <c r="AH162" s="10748"/>
      <c r="AI162" s="10748"/>
      <c r="CA162" s="10671"/>
      <c r="CB162" s="10671"/>
      <c r="CC162" s="10671"/>
      <c r="CK162" s="10671"/>
      <c r="CL162" s="10671"/>
      <c r="CN162" s="10671"/>
    </row>
    <row r="163" spans="1:92" s="4177" customFormat="1" ht="18.600000000000001" customHeight="1" x14ac:dyDescent="0.2">
      <c r="A163" s="10773" t="s">
        <v>2424</v>
      </c>
      <c r="B163" s="4344" t="s">
        <v>2440</v>
      </c>
      <c r="C163" s="4523">
        <f t="shared" ref="C163:C170" si="83">SUM(D163:E163)</f>
        <v>0</v>
      </c>
      <c r="D163" s="4467">
        <f t="shared" ref="D163:E170" si="84">SUM(F163+H163+J163+L163+N163+P163+R163+T163+V163+X163+Z163+AB163+AD163+AF163)</f>
        <v>0</v>
      </c>
      <c r="E163" s="4468">
        <f t="shared" si="84"/>
        <v>0</v>
      </c>
      <c r="F163" s="4524"/>
      <c r="G163" s="4525"/>
      <c r="H163" s="4524"/>
      <c r="I163" s="4525"/>
      <c r="J163" s="4524"/>
      <c r="K163" s="4525"/>
      <c r="L163" s="4524"/>
      <c r="M163" s="4525"/>
      <c r="N163" s="4524"/>
      <c r="O163" s="4525"/>
      <c r="P163" s="4524"/>
      <c r="Q163" s="4525"/>
      <c r="R163" s="4524"/>
      <c r="S163" s="4525"/>
      <c r="T163" s="4524"/>
      <c r="U163" s="4525"/>
      <c r="V163" s="4524"/>
      <c r="W163" s="4525"/>
      <c r="X163" s="4524"/>
      <c r="Y163" s="4525"/>
      <c r="Z163" s="4524"/>
      <c r="AA163" s="4525"/>
      <c r="AB163" s="4524"/>
      <c r="AC163" s="4525"/>
      <c r="AD163" s="4524"/>
      <c r="AE163" s="4525"/>
      <c r="AF163" s="4524"/>
      <c r="AG163" s="4526"/>
      <c r="AH163" s="4204"/>
      <c r="AI163" s="4204"/>
      <c r="AJ163" s="4177" t="str">
        <f>$CA163&amp;$CB163&amp;$CC163&amp;$CD163&amp;CE163&amp;CF163&amp;CG163&amp;CH163</f>
        <v/>
      </c>
      <c r="CA163" s="4177" t="str">
        <f>IF(CK163=1," *.Las Acciones de Pueblos Originarios no pueden superar el total de Acciones ","")</f>
        <v/>
      </c>
      <c r="CB163" s="4177" t="str">
        <f>IF(CL163=1," *.Las Acciones de Migrantes no pueden superar el total de Acciones ","")</f>
        <v/>
      </c>
      <c r="CC163" s="4177" t="str">
        <f>IF(OR(AND(C163&lt;&gt;0,AH163=""),AND(C163&lt;&gt;0,AI163="")),"* No olvide digitar Migrantes y/o Pueblos Originarios (Digite CERO si no tiene). ","")</f>
        <v/>
      </c>
      <c r="CK163" s="4177">
        <f>IF(AH163&gt;$C163,1,0)</f>
        <v>0</v>
      </c>
      <c r="CL163" s="4177">
        <f>IF(AI163&gt;$C163,1,0)</f>
        <v>0</v>
      </c>
    </row>
    <row r="164" spans="1:92" s="4177" customFormat="1" ht="18.600000000000001" customHeight="1" x14ac:dyDescent="0.2">
      <c r="A164" s="8635"/>
      <c r="B164" s="4527" t="s">
        <v>2420</v>
      </c>
      <c r="C164" s="4528">
        <f t="shared" si="83"/>
        <v>0</v>
      </c>
      <c r="D164" s="4476">
        <f t="shared" si="84"/>
        <v>0</v>
      </c>
      <c r="E164" s="4477">
        <f t="shared" si="84"/>
        <v>0</v>
      </c>
      <c r="F164" s="4529"/>
      <c r="G164" s="4530"/>
      <c r="H164" s="4529"/>
      <c r="I164" s="4530"/>
      <c r="J164" s="4529"/>
      <c r="K164" s="4530"/>
      <c r="L164" s="4529"/>
      <c r="M164" s="4530"/>
      <c r="N164" s="4529"/>
      <c r="O164" s="4530"/>
      <c r="P164" s="4529"/>
      <c r="Q164" s="4530"/>
      <c r="R164" s="4529"/>
      <c r="S164" s="4530"/>
      <c r="T164" s="4529"/>
      <c r="U164" s="4530"/>
      <c r="V164" s="4529"/>
      <c r="W164" s="4530"/>
      <c r="X164" s="4529"/>
      <c r="Y164" s="4530"/>
      <c r="Z164" s="4529"/>
      <c r="AA164" s="4530"/>
      <c r="AB164" s="4529"/>
      <c r="AC164" s="4530"/>
      <c r="AD164" s="4529"/>
      <c r="AE164" s="4530"/>
      <c r="AF164" s="4529"/>
      <c r="AG164" s="4531"/>
      <c r="AH164" s="4288"/>
      <c r="AI164" s="4288"/>
      <c r="AJ164" s="4177" t="str">
        <f t="shared" ref="AJ164:AJ170" si="85">$CA164&amp;$CB164&amp;$CC164&amp;$CD164&amp;CE164&amp;CF164&amp;CG164&amp;CH164</f>
        <v/>
      </c>
      <c r="CA164" s="4177" t="str">
        <f t="shared" ref="CA164:CA170" si="86">IF(CK164=1," *.Las Acciones de Pueblos Originarios no pueden superar el total de Acciones ","")</f>
        <v/>
      </c>
      <c r="CB164" s="4177" t="str">
        <f t="shared" ref="CB164:CB170" si="87">IF(CL164=1," *.Las Acciones de Migrantes no pueden superar el total de Acciones ","")</f>
        <v/>
      </c>
      <c r="CC164" s="4177" t="str">
        <f t="shared" ref="CC164:CC170" si="88">IF(OR(AND(C164&lt;&gt;0,AH164=""),AND(C164&lt;&gt;0,AI164="")),"* No olvide digitar Migrantes y/o Pueblos Originarios (Digite CERO si no tiene). ","")</f>
        <v/>
      </c>
      <c r="CK164" s="4177">
        <f t="shared" ref="CK164:CK170" si="89">IF(AH164&gt;$C164,1,0)</f>
        <v>0</v>
      </c>
      <c r="CL164" s="4177">
        <f t="shared" ref="CL164:CL170" si="90">IF(AI164&gt;$C164,1,0)</f>
        <v>0</v>
      </c>
    </row>
    <row r="165" spans="1:92" ht="18.600000000000001" customHeight="1" x14ac:dyDescent="0.2">
      <c r="A165" s="8635"/>
      <c r="B165" s="4532" t="s">
        <v>46</v>
      </c>
      <c r="C165" s="4528">
        <f t="shared" si="83"/>
        <v>0</v>
      </c>
      <c r="D165" s="4476">
        <f t="shared" si="84"/>
        <v>0</v>
      </c>
      <c r="E165" s="4477">
        <f t="shared" si="84"/>
        <v>0</v>
      </c>
      <c r="F165" s="4529"/>
      <c r="G165" s="4530"/>
      <c r="H165" s="4529"/>
      <c r="I165" s="4530"/>
      <c r="J165" s="4529"/>
      <c r="K165" s="4530"/>
      <c r="L165" s="4529"/>
      <c r="M165" s="4530"/>
      <c r="N165" s="4529"/>
      <c r="O165" s="4530"/>
      <c r="P165" s="4529"/>
      <c r="Q165" s="4530"/>
      <c r="R165" s="4529"/>
      <c r="S165" s="4530"/>
      <c r="T165" s="4529"/>
      <c r="U165" s="4530"/>
      <c r="V165" s="4529"/>
      <c r="W165" s="4530"/>
      <c r="X165" s="4529"/>
      <c r="Y165" s="4530"/>
      <c r="Z165" s="4529"/>
      <c r="AA165" s="4530"/>
      <c r="AB165" s="4529"/>
      <c r="AC165" s="4530"/>
      <c r="AD165" s="4529"/>
      <c r="AE165" s="4530"/>
      <c r="AF165" s="4529"/>
      <c r="AG165" s="4531"/>
      <c r="AH165" s="4288"/>
      <c r="AI165" s="4288"/>
      <c r="AJ165" s="4177" t="str">
        <f t="shared" si="85"/>
        <v/>
      </c>
      <c r="CA165" s="4177" t="str">
        <f t="shared" si="86"/>
        <v/>
      </c>
      <c r="CB165" s="4177" t="str">
        <f t="shared" si="87"/>
        <v/>
      </c>
      <c r="CC165" s="4177" t="str">
        <f t="shared" si="88"/>
        <v/>
      </c>
      <c r="CK165" s="4177">
        <f t="shared" si="89"/>
        <v>0</v>
      </c>
      <c r="CL165" s="4177">
        <f t="shared" si="90"/>
        <v>0</v>
      </c>
    </row>
    <row r="166" spans="1:92" ht="18.600000000000001" customHeight="1" x14ac:dyDescent="0.2">
      <c r="A166" s="8795"/>
      <c r="B166" s="4361" t="s">
        <v>2606</v>
      </c>
      <c r="C166" s="4533">
        <f t="shared" si="83"/>
        <v>0</v>
      </c>
      <c r="D166" s="4534">
        <f t="shared" si="84"/>
        <v>0</v>
      </c>
      <c r="E166" s="4535">
        <f t="shared" si="84"/>
        <v>0</v>
      </c>
      <c r="F166" s="4367"/>
      <c r="G166" s="4368"/>
      <c r="H166" s="4367"/>
      <c r="I166" s="4368"/>
      <c r="J166" s="4367"/>
      <c r="K166" s="4368"/>
      <c r="L166" s="4367"/>
      <c r="M166" s="4368"/>
      <c r="N166" s="4367"/>
      <c r="O166" s="4368"/>
      <c r="P166" s="4367"/>
      <c r="Q166" s="4368"/>
      <c r="R166" s="4367"/>
      <c r="S166" s="4368"/>
      <c r="T166" s="4367"/>
      <c r="U166" s="4368"/>
      <c r="V166" s="4367"/>
      <c r="W166" s="4368"/>
      <c r="X166" s="4367"/>
      <c r="Y166" s="4368"/>
      <c r="Z166" s="4367"/>
      <c r="AA166" s="4368"/>
      <c r="AB166" s="4367"/>
      <c r="AC166" s="4368"/>
      <c r="AD166" s="4367"/>
      <c r="AE166" s="4368"/>
      <c r="AF166" s="4367"/>
      <c r="AG166" s="4384"/>
      <c r="AH166" s="4536"/>
      <c r="AI166" s="4536"/>
      <c r="AJ166" s="4177" t="str">
        <f t="shared" si="85"/>
        <v/>
      </c>
      <c r="CA166" s="4177" t="str">
        <f t="shared" si="86"/>
        <v/>
      </c>
      <c r="CB166" s="4177" t="str">
        <f t="shared" si="87"/>
        <v/>
      </c>
      <c r="CC166" s="4177" t="str">
        <f t="shared" si="88"/>
        <v/>
      </c>
      <c r="CK166" s="4177">
        <f t="shared" si="89"/>
        <v>0</v>
      </c>
      <c r="CL166" s="4177">
        <f t="shared" si="90"/>
        <v>0</v>
      </c>
    </row>
    <row r="167" spans="1:92" ht="18.600000000000001" customHeight="1" x14ac:dyDescent="0.2">
      <c r="A167" s="8794" t="s">
        <v>2425</v>
      </c>
      <c r="B167" s="4344" t="s">
        <v>2440</v>
      </c>
      <c r="C167" s="4523">
        <f t="shared" si="83"/>
        <v>0</v>
      </c>
      <c r="D167" s="4467">
        <f t="shared" si="84"/>
        <v>0</v>
      </c>
      <c r="E167" s="4468">
        <f t="shared" si="84"/>
        <v>0</v>
      </c>
      <c r="F167" s="4524"/>
      <c r="G167" s="4525"/>
      <c r="H167" s="4524"/>
      <c r="I167" s="4525"/>
      <c r="J167" s="4524"/>
      <c r="K167" s="4525"/>
      <c r="L167" s="4524"/>
      <c r="M167" s="4525"/>
      <c r="N167" s="4524"/>
      <c r="O167" s="4525"/>
      <c r="P167" s="4524"/>
      <c r="Q167" s="4525"/>
      <c r="R167" s="4524"/>
      <c r="S167" s="4525"/>
      <c r="T167" s="4524"/>
      <c r="U167" s="4525"/>
      <c r="V167" s="4524"/>
      <c r="W167" s="4525"/>
      <c r="X167" s="4524"/>
      <c r="Y167" s="4525"/>
      <c r="Z167" s="4524"/>
      <c r="AA167" s="4525"/>
      <c r="AB167" s="4524"/>
      <c r="AC167" s="4525"/>
      <c r="AD167" s="4524"/>
      <c r="AE167" s="4525"/>
      <c r="AF167" s="4524"/>
      <c r="AG167" s="4526"/>
      <c r="AH167" s="4204"/>
      <c r="AI167" s="4204"/>
      <c r="AJ167" s="4177" t="str">
        <f t="shared" si="85"/>
        <v/>
      </c>
      <c r="CA167" s="4177" t="str">
        <f t="shared" si="86"/>
        <v/>
      </c>
      <c r="CB167" s="4177" t="str">
        <f t="shared" si="87"/>
        <v/>
      </c>
      <c r="CC167" s="4177" t="str">
        <f t="shared" si="88"/>
        <v/>
      </c>
      <c r="CK167" s="4177">
        <f t="shared" si="89"/>
        <v>0</v>
      </c>
      <c r="CL167" s="4177">
        <f t="shared" si="90"/>
        <v>0</v>
      </c>
    </row>
    <row r="168" spans="1:92" ht="18.600000000000001" customHeight="1" x14ac:dyDescent="0.2">
      <c r="A168" s="8635"/>
      <c r="B168" s="4527" t="s">
        <v>2420</v>
      </c>
      <c r="C168" s="4528">
        <f t="shared" si="83"/>
        <v>0</v>
      </c>
      <c r="D168" s="4476">
        <f t="shared" si="84"/>
        <v>0</v>
      </c>
      <c r="E168" s="4477">
        <f t="shared" si="84"/>
        <v>0</v>
      </c>
      <c r="F168" s="4529"/>
      <c r="G168" s="4530"/>
      <c r="H168" s="4529"/>
      <c r="I168" s="4530"/>
      <c r="J168" s="4529"/>
      <c r="K168" s="4530"/>
      <c r="L168" s="4529"/>
      <c r="M168" s="4530"/>
      <c r="N168" s="4529"/>
      <c r="O168" s="4530"/>
      <c r="P168" s="4529"/>
      <c r="Q168" s="4530"/>
      <c r="R168" s="4529"/>
      <c r="S168" s="4530"/>
      <c r="T168" s="4529"/>
      <c r="U168" s="4530"/>
      <c r="V168" s="4529"/>
      <c r="W168" s="4530"/>
      <c r="X168" s="4529"/>
      <c r="Y168" s="4530"/>
      <c r="Z168" s="4529"/>
      <c r="AA168" s="4530"/>
      <c r="AB168" s="4529"/>
      <c r="AC168" s="4530"/>
      <c r="AD168" s="4529"/>
      <c r="AE168" s="4530"/>
      <c r="AF168" s="4529"/>
      <c r="AG168" s="4531"/>
      <c r="AH168" s="4288"/>
      <c r="AI168" s="4288"/>
      <c r="AJ168" s="4177" t="str">
        <f t="shared" si="85"/>
        <v/>
      </c>
      <c r="CA168" s="4177" t="str">
        <f t="shared" si="86"/>
        <v/>
      </c>
      <c r="CB168" s="4177" t="str">
        <f t="shared" si="87"/>
        <v/>
      </c>
      <c r="CC168" s="4177" t="str">
        <f t="shared" si="88"/>
        <v/>
      </c>
      <c r="CK168" s="4177">
        <f t="shared" si="89"/>
        <v>0</v>
      </c>
      <c r="CL168" s="4177">
        <f t="shared" si="90"/>
        <v>0</v>
      </c>
    </row>
    <row r="169" spans="1:92" ht="18.600000000000001" customHeight="1" x14ac:dyDescent="0.2">
      <c r="A169" s="8635"/>
      <c r="B169" s="4532" t="s">
        <v>46</v>
      </c>
      <c r="C169" s="4528">
        <f t="shared" si="83"/>
        <v>0</v>
      </c>
      <c r="D169" s="4476">
        <f t="shared" si="84"/>
        <v>0</v>
      </c>
      <c r="E169" s="4477">
        <f t="shared" si="84"/>
        <v>0</v>
      </c>
      <c r="F169" s="4529"/>
      <c r="G169" s="4530"/>
      <c r="H169" s="4529"/>
      <c r="I169" s="4530"/>
      <c r="J169" s="4529"/>
      <c r="K169" s="4530"/>
      <c r="L169" s="4529"/>
      <c r="M169" s="4530"/>
      <c r="N169" s="4529"/>
      <c r="O169" s="4530"/>
      <c r="P169" s="4529"/>
      <c r="Q169" s="4530"/>
      <c r="R169" s="4529"/>
      <c r="S169" s="4530"/>
      <c r="T169" s="4529"/>
      <c r="U169" s="4530"/>
      <c r="V169" s="4529"/>
      <c r="W169" s="4530"/>
      <c r="X169" s="4529"/>
      <c r="Y169" s="4530"/>
      <c r="Z169" s="4529"/>
      <c r="AA169" s="4530"/>
      <c r="AB169" s="4529"/>
      <c r="AC169" s="4530"/>
      <c r="AD169" s="4529"/>
      <c r="AE169" s="4530"/>
      <c r="AF169" s="4529"/>
      <c r="AG169" s="4531"/>
      <c r="AH169" s="4288"/>
      <c r="AI169" s="4288"/>
      <c r="AJ169" s="4177" t="str">
        <f t="shared" si="85"/>
        <v/>
      </c>
      <c r="CA169" s="4177" t="str">
        <f t="shared" si="86"/>
        <v/>
      </c>
      <c r="CB169" s="4177" t="str">
        <f t="shared" si="87"/>
        <v/>
      </c>
      <c r="CC169" s="4177" t="str">
        <f t="shared" si="88"/>
        <v/>
      </c>
      <c r="CK169" s="4177">
        <f t="shared" si="89"/>
        <v>0</v>
      </c>
      <c r="CL169" s="4177">
        <f t="shared" si="90"/>
        <v>0</v>
      </c>
    </row>
    <row r="170" spans="1:92" ht="18.600000000000001" customHeight="1" x14ac:dyDescent="0.2">
      <c r="A170" s="8795"/>
      <c r="B170" s="4361" t="s">
        <v>2606</v>
      </c>
      <c r="C170" s="4533">
        <f t="shared" si="83"/>
        <v>0</v>
      </c>
      <c r="D170" s="4534">
        <f t="shared" si="84"/>
        <v>0</v>
      </c>
      <c r="E170" s="4535">
        <f t="shared" si="84"/>
        <v>0</v>
      </c>
      <c r="F170" s="4367"/>
      <c r="G170" s="4368"/>
      <c r="H170" s="4367"/>
      <c r="I170" s="4368"/>
      <c r="J170" s="4367"/>
      <c r="K170" s="4368"/>
      <c r="L170" s="4367"/>
      <c r="M170" s="4368"/>
      <c r="N170" s="4367"/>
      <c r="O170" s="4368"/>
      <c r="P170" s="4367"/>
      <c r="Q170" s="4368"/>
      <c r="R170" s="4367"/>
      <c r="S170" s="4368"/>
      <c r="T170" s="4367"/>
      <c r="U170" s="4368"/>
      <c r="V170" s="4367"/>
      <c r="W170" s="4368"/>
      <c r="X170" s="4367"/>
      <c r="Y170" s="4368"/>
      <c r="Z170" s="4367"/>
      <c r="AA170" s="4368"/>
      <c r="AB170" s="4367"/>
      <c r="AC170" s="4368"/>
      <c r="AD170" s="4367"/>
      <c r="AE170" s="4368"/>
      <c r="AF170" s="4367"/>
      <c r="AG170" s="4384"/>
      <c r="AH170" s="4536"/>
      <c r="AI170" s="4536"/>
      <c r="AJ170" s="4177" t="str">
        <f t="shared" si="85"/>
        <v/>
      </c>
      <c r="CA170" s="4177" t="str">
        <f t="shared" si="86"/>
        <v/>
      </c>
      <c r="CB170" s="4177" t="str">
        <f t="shared" si="87"/>
        <v/>
      </c>
      <c r="CC170" s="4177" t="str">
        <f t="shared" si="88"/>
        <v/>
      </c>
      <c r="CK170" s="4177">
        <f t="shared" si="89"/>
        <v>0</v>
      </c>
      <c r="CL170" s="4177">
        <f t="shared" si="90"/>
        <v>0</v>
      </c>
    </row>
    <row r="171" spans="1:92" ht="21.75" customHeight="1" x14ac:dyDescent="0.2">
      <c r="A171" s="4437" t="s">
        <v>3102</v>
      </c>
      <c r="B171" s="4537"/>
      <c r="C171" s="4081"/>
      <c r="D171" s="4538"/>
    </row>
    <row r="172" spans="1:92" ht="13.9" customHeight="1" x14ac:dyDescent="0.2">
      <c r="A172" s="10768" t="s">
        <v>1047</v>
      </c>
      <c r="B172" s="10721" t="s">
        <v>24</v>
      </c>
      <c r="C172" s="10770"/>
      <c r="D172" s="8206"/>
      <c r="E172" s="10772" t="s">
        <v>2146</v>
      </c>
      <c r="F172" s="8714"/>
      <c r="G172" s="8714"/>
      <c r="H172" s="8714"/>
      <c r="I172" s="8714"/>
      <c r="J172" s="8714"/>
      <c r="K172" s="8714"/>
      <c r="L172" s="8714"/>
      <c r="M172" s="8714"/>
      <c r="N172" s="8714"/>
      <c r="O172" s="8714"/>
      <c r="P172" s="8714"/>
      <c r="Q172" s="8714"/>
      <c r="R172" s="8714"/>
      <c r="S172" s="8714"/>
      <c r="T172" s="8714"/>
      <c r="U172" s="8714"/>
      <c r="V172" s="8714"/>
      <c r="W172" s="8714"/>
      <c r="X172" s="8714"/>
      <c r="Y172" s="8714"/>
      <c r="Z172" s="8714"/>
      <c r="AA172" s="8714"/>
      <c r="AB172" s="8714"/>
      <c r="AC172" s="8714"/>
      <c r="AD172" s="8714"/>
      <c r="AE172" s="8714"/>
      <c r="AF172" s="8715"/>
      <c r="AG172" s="10773" t="s">
        <v>2426</v>
      </c>
      <c r="AH172" s="10753" t="s">
        <v>360</v>
      </c>
      <c r="AI172" s="10753" t="s">
        <v>359</v>
      </c>
    </row>
    <row r="173" spans="1:92" x14ac:dyDescent="0.2">
      <c r="A173" s="8981"/>
      <c r="B173" s="10722"/>
      <c r="C173" s="10771"/>
      <c r="D173" s="8723"/>
      <c r="E173" s="10728" t="s">
        <v>71</v>
      </c>
      <c r="F173" s="10750"/>
      <c r="G173" s="10728" t="s">
        <v>4</v>
      </c>
      <c r="H173" s="10750"/>
      <c r="I173" s="10728" t="s">
        <v>5</v>
      </c>
      <c r="J173" s="10750"/>
      <c r="K173" s="10728" t="s">
        <v>6</v>
      </c>
      <c r="L173" s="10750"/>
      <c r="M173" s="10728" t="s">
        <v>7</v>
      </c>
      <c r="N173" s="10750"/>
      <c r="O173" s="10728" t="s">
        <v>8</v>
      </c>
      <c r="P173" s="10750"/>
      <c r="Q173" s="10728" t="s">
        <v>9</v>
      </c>
      <c r="R173" s="10750"/>
      <c r="S173" s="10728" t="s">
        <v>10</v>
      </c>
      <c r="T173" s="10750"/>
      <c r="U173" s="10751" t="s">
        <v>11</v>
      </c>
      <c r="V173" s="10752"/>
      <c r="W173" s="10728" t="s">
        <v>12</v>
      </c>
      <c r="X173" s="10750"/>
      <c r="Y173" s="10728" t="s">
        <v>13</v>
      </c>
      <c r="Z173" s="10750"/>
      <c r="AA173" s="10728" t="s">
        <v>14</v>
      </c>
      <c r="AB173" s="10750"/>
      <c r="AC173" s="10728" t="s">
        <v>15</v>
      </c>
      <c r="AD173" s="10750"/>
      <c r="AE173" s="10728" t="s">
        <v>16</v>
      </c>
      <c r="AF173" s="10774"/>
      <c r="AG173" s="8635"/>
      <c r="AH173" s="10754"/>
      <c r="AI173" s="10754"/>
      <c r="CA173" s="10671" t="s">
        <v>360</v>
      </c>
      <c r="CB173" s="10671" t="s">
        <v>359</v>
      </c>
      <c r="CC173" s="10671" t="s">
        <v>3951</v>
      </c>
      <c r="CK173" s="10671" t="s">
        <v>360</v>
      </c>
      <c r="CL173" s="10671" t="s">
        <v>359</v>
      </c>
      <c r="CN173" s="10671"/>
    </row>
    <row r="174" spans="1:92" x14ac:dyDescent="0.2">
      <c r="A174" s="10769"/>
      <c r="B174" s="4539" t="s">
        <v>42</v>
      </c>
      <c r="C174" s="4404" t="s">
        <v>17</v>
      </c>
      <c r="D174" s="4540" t="s">
        <v>18</v>
      </c>
      <c r="E174" s="4266" t="s">
        <v>17</v>
      </c>
      <c r="F174" s="4540" t="s">
        <v>18</v>
      </c>
      <c r="G174" s="4266" t="s">
        <v>17</v>
      </c>
      <c r="H174" s="4540" t="s">
        <v>18</v>
      </c>
      <c r="I174" s="4266" t="s">
        <v>17</v>
      </c>
      <c r="J174" s="4540" t="s">
        <v>18</v>
      </c>
      <c r="K174" s="4266" t="s">
        <v>17</v>
      </c>
      <c r="L174" s="4540" t="s">
        <v>18</v>
      </c>
      <c r="M174" s="4266" t="s">
        <v>17</v>
      </c>
      <c r="N174" s="4540" t="s">
        <v>18</v>
      </c>
      <c r="O174" s="4266" t="s">
        <v>17</v>
      </c>
      <c r="P174" s="4540" t="s">
        <v>18</v>
      </c>
      <c r="Q174" s="4266" t="s">
        <v>17</v>
      </c>
      <c r="R174" s="4540" t="s">
        <v>18</v>
      </c>
      <c r="S174" s="4266" t="s">
        <v>17</v>
      </c>
      <c r="T174" s="4540" t="s">
        <v>18</v>
      </c>
      <c r="U174" s="4266" t="s">
        <v>17</v>
      </c>
      <c r="V174" s="4540" t="s">
        <v>18</v>
      </c>
      <c r="W174" s="4266" t="s">
        <v>17</v>
      </c>
      <c r="X174" s="4540" t="s">
        <v>18</v>
      </c>
      <c r="Y174" s="4266" t="s">
        <v>17</v>
      </c>
      <c r="Z174" s="4540" t="s">
        <v>18</v>
      </c>
      <c r="AA174" s="4266" t="s">
        <v>17</v>
      </c>
      <c r="AB174" s="4540" t="s">
        <v>18</v>
      </c>
      <c r="AC174" s="4266" t="s">
        <v>17</v>
      </c>
      <c r="AD174" s="4540" t="s">
        <v>18</v>
      </c>
      <c r="AE174" s="4266" t="s">
        <v>17</v>
      </c>
      <c r="AF174" s="4541" t="s">
        <v>18</v>
      </c>
      <c r="AG174" s="8795"/>
      <c r="AH174" s="10755"/>
      <c r="AI174" s="10755"/>
      <c r="CA174" s="10671"/>
      <c r="CB174" s="10671"/>
      <c r="CC174" s="10671"/>
      <c r="CK174" s="10671"/>
      <c r="CL174" s="10671"/>
      <c r="CN174" s="10671"/>
    </row>
    <row r="175" spans="1:92" ht="16.899999999999999" customHeight="1" x14ac:dyDescent="0.2">
      <c r="A175" s="4542" t="s">
        <v>2415</v>
      </c>
      <c r="B175" s="4543">
        <f>SUM(C175:D175)</f>
        <v>0</v>
      </c>
      <c r="C175" s="4543">
        <f t="shared" ref="C175:D177" si="91">+E175+G175+I175+K175+M175+O175+Q175+S175+U175+W175+Y175+AA175+AC175+AE175</f>
        <v>0</v>
      </c>
      <c r="D175" s="4543">
        <f t="shared" si="91"/>
        <v>0</v>
      </c>
      <c r="E175" s="4285"/>
      <c r="F175" s="4200"/>
      <c r="G175" s="4285"/>
      <c r="H175" s="4200"/>
      <c r="I175" s="4285"/>
      <c r="J175" s="4200"/>
      <c r="K175" s="4285"/>
      <c r="L175" s="4200"/>
      <c r="M175" s="4285"/>
      <c r="N175" s="4200"/>
      <c r="O175" s="4285"/>
      <c r="P175" s="4200"/>
      <c r="Q175" s="4285"/>
      <c r="R175" s="4200"/>
      <c r="S175" s="4285"/>
      <c r="T175" s="4200"/>
      <c r="U175" s="4285"/>
      <c r="V175" s="4200"/>
      <c r="W175" s="4285"/>
      <c r="X175" s="4200"/>
      <c r="Y175" s="4285"/>
      <c r="Z175" s="4200"/>
      <c r="AA175" s="4285"/>
      <c r="AB175" s="4200"/>
      <c r="AC175" s="4285"/>
      <c r="AD175" s="4200"/>
      <c r="AE175" s="4285"/>
      <c r="AF175" s="4544"/>
      <c r="AG175" s="4545"/>
      <c r="AH175" s="4545"/>
      <c r="AI175" s="4545"/>
      <c r="AJ175" s="4177" t="str">
        <f>$CA175&amp;$CB175&amp;$CC175&amp;$CD175&amp;CE175&amp;CF175&amp;CG175&amp;CH175</f>
        <v/>
      </c>
      <c r="CA175" s="4177" t="str">
        <f>IF(CK175=1," *.Las Acciones de Pueblos Originarios no pueden superar el total de Acciones ","")</f>
        <v/>
      </c>
      <c r="CB175" s="4177" t="str">
        <f>IF(CL175=1," *.Las Acciones de Migrantes no pueden superar el total de Acciones ","")</f>
        <v/>
      </c>
      <c r="CC175" s="4177" t="str">
        <f>IF(OR(AND(B175&lt;&gt;0,AH175=""),AND(B175&lt;&gt;0,AI175="")),"* No olvide digitar Migrantes y/o Pueblos Originarios (Digite CERO si no tiene). ","")</f>
        <v/>
      </c>
      <c r="CK175" s="4177">
        <f>IF(AH175&gt;$B175,1,0)</f>
        <v>0</v>
      </c>
      <c r="CL175" s="4177">
        <f>IF(AI175&gt;$B175,1,0)</f>
        <v>0</v>
      </c>
    </row>
    <row r="176" spans="1:92" ht="13.9" customHeight="1" x14ac:dyDescent="0.2">
      <c r="A176" s="4542" t="s">
        <v>2416</v>
      </c>
      <c r="B176" s="4546">
        <f>SUM(C176:D176)</f>
        <v>0</v>
      </c>
      <c r="C176" s="4546">
        <f t="shared" si="91"/>
        <v>0</v>
      </c>
      <c r="D176" s="4546">
        <f t="shared" si="91"/>
        <v>0</v>
      </c>
      <c r="E176" s="4196"/>
      <c r="F176" s="4207"/>
      <c r="G176" s="4196"/>
      <c r="H176" s="4207"/>
      <c r="I176" s="4196"/>
      <c r="J176" s="4207"/>
      <c r="K176" s="4196"/>
      <c r="L176" s="4207"/>
      <c r="M176" s="4196"/>
      <c r="N176" s="4207"/>
      <c r="O176" s="4196"/>
      <c r="P176" s="4207"/>
      <c r="Q176" s="4196"/>
      <c r="R176" s="4207"/>
      <c r="S176" s="4196"/>
      <c r="T176" s="4207"/>
      <c r="U176" s="4196"/>
      <c r="V176" s="4207"/>
      <c r="W176" s="4196"/>
      <c r="X176" s="4207"/>
      <c r="Y176" s="4196"/>
      <c r="Z176" s="4207"/>
      <c r="AA176" s="4196"/>
      <c r="AB176" s="4207"/>
      <c r="AC176" s="4196"/>
      <c r="AD176" s="4207"/>
      <c r="AE176" s="4196"/>
      <c r="AF176" s="4547"/>
      <c r="AG176" s="4431"/>
      <c r="AH176" s="4431"/>
      <c r="AI176" s="4431"/>
      <c r="AJ176" s="4177" t="str">
        <f>$CA176&amp;$CB176&amp;$CC176&amp;$CD176&amp;CE176&amp;CF176&amp;CG176&amp;CH176</f>
        <v/>
      </c>
      <c r="CA176" s="4177" t="str">
        <f>IF(CK176=1," *.Las Acciones de Pueblos Originarios no pueden superar el total de Acciones ","")</f>
        <v/>
      </c>
      <c r="CB176" s="4177" t="str">
        <f>IF(CL176=1," *.Las Acciones de Migrantes no pueden superar el total de Acciones ","")</f>
        <v/>
      </c>
      <c r="CC176" s="4177" t="str">
        <f t="shared" ref="CC176:CC177" si="92">IF(OR(AND(B176&lt;&gt;0,AH176=""),AND(B176&lt;&gt;0,AI176="")),"* No olvide digitar Migrantes y/o Pueblos Originarios (Digite CERO si no tiene). ","")</f>
        <v/>
      </c>
      <c r="CK176" s="4177">
        <f t="shared" ref="CK176:CK177" si="93">IF(AH176&gt;$B176,1,0)</f>
        <v>0</v>
      </c>
      <c r="CL176" s="4177">
        <f t="shared" ref="CL176:CL177" si="94">IF(AI176&gt;$B176,1,0)</f>
        <v>0</v>
      </c>
    </row>
    <row r="177" spans="1:103" ht="15" customHeight="1" x14ac:dyDescent="0.2">
      <c r="A177" s="4542" t="s">
        <v>3818</v>
      </c>
      <c r="B177" s="4546">
        <f>SUM(C177:D177)</f>
        <v>0</v>
      </c>
      <c r="C177" s="4546">
        <f t="shared" si="91"/>
        <v>0</v>
      </c>
      <c r="D177" s="4546">
        <f>+F177+H177+J177+L177+N177+P177+R177+T177+V177+X177+Z177+AB177+AD177+AF177</f>
        <v>0</v>
      </c>
      <c r="E177" s="4407"/>
      <c r="F177" s="4548"/>
      <c r="G177" s="4407"/>
      <c r="H177" s="4548"/>
      <c r="I177" s="4407"/>
      <c r="J177" s="4548"/>
      <c r="K177" s="4407"/>
      <c r="L177" s="4548"/>
      <c r="M177" s="4407"/>
      <c r="N177" s="4548"/>
      <c r="O177" s="4407"/>
      <c r="P177" s="4548"/>
      <c r="Q177" s="4407"/>
      <c r="R177" s="4548"/>
      <c r="S177" s="4407"/>
      <c r="T177" s="4548"/>
      <c r="U177" s="4407"/>
      <c r="V177" s="4548"/>
      <c r="W177" s="4407"/>
      <c r="X177" s="4548"/>
      <c r="Y177" s="4407"/>
      <c r="Z177" s="4548"/>
      <c r="AA177" s="4407"/>
      <c r="AB177" s="4548"/>
      <c r="AC177" s="4407"/>
      <c r="AD177" s="4548"/>
      <c r="AE177" s="4407"/>
      <c r="AF177" s="4549"/>
      <c r="AG177" s="4550"/>
      <c r="AH177" s="4550"/>
      <c r="AI177" s="4550"/>
      <c r="AJ177" s="4177" t="str">
        <f>$CA177&amp;$CB177&amp;$CC177&amp;$CD177&amp;CE177&amp;CF177&amp;CG177&amp;CH177</f>
        <v/>
      </c>
      <c r="CA177" s="4177" t="str">
        <f>IF(CK177=1," *.Las Acciones de Pueblos Originarios no pueden superar el total de Acciones ","")</f>
        <v/>
      </c>
      <c r="CB177" s="4177" t="str">
        <f>IF(CL177=1," *.Las Acciones de Migrantes no pueden superar el total de Acciones ","")</f>
        <v/>
      </c>
      <c r="CC177" s="4177" t="str">
        <f t="shared" si="92"/>
        <v/>
      </c>
      <c r="CK177" s="4177">
        <f t="shared" si="93"/>
        <v>0</v>
      </c>
      <c r="CL177" s="4177">
        <f t="shared" si="94"/>
        <v>0</v>
      </c>
    </row>
    <row r="178" spans="1:103" ht="15" customHeight="1" x14ac:dyDescent="0.2">
      <c r="A178" s="4542" t="s">
        <v>3819</v>
      </c>
      <c r="B178" s="4551"/>
      <c r="C178" s="4551"/>
      <c r="D178" s="4551"/>
      <c r="E178" s="4552"/>
      <c r="F178" s="4553"/>
      <c r="G178" s="4552"/>
      <c r="H178" s="4553"/>
      <c r="I178" s="4552"/>
      <c r="J178" s="4553"/>
      <c r="K178" s="4552"/>
      <c r="L178" s="4553"/>
      <c r="M178" s="4552"/>
      <c r="N178" s="4553"/>
      <c r="O178" s="4552"/>
      <c r="P178" s="4553"/>
      <c r="Q178" s="4552"/>
      <c r="R178" s="4553"/>
      <c r="S178" s="4552"/>
      <c r="T178" s="4553"/>
      <c r="U178" s="4552"/>
      <c r="V178" s="4553"/>
      <c r="W178" s="4552"/>
      <c r="X178" s="4553"/>
      <c r="Y178" s="4552"/>
      <c r="Z178" s="4553"/>
      <c r="AA178" s="4552"/>
      <c r="AB178" s="4553"/>
      <c r="AC178" s="4552"/>
      <c r="AD178" s="4553"/>
      <c r="AE178" s="4552"/>
      <c r="AF178" s="4554"/>
      <c r="AG178" s="4555"/>
      <c r="AH178" s="4556"/>
      <c r="AI178" s="4556"/>
    </row>
    <row r="179" spans="1:103" ht="24.75" customHeight="1" x14ac:dyDescent="0.2">
      <c r="A179" s="4557" t="s">
        <v>3103</v>
      </c>
      <c r="B179" s="4558"/>
    </row>
    <row r="180" spans="1:103" x14ac:dyDescent="0.2">
      <c r="A180" s="10756" t="s">
        <v>2428</v>
      </c>
      <c r="B180" s="10758" t="s">
        <v>1665</v>
      </c>
      <c r="C180" s="10759" t="s">
        <v>2429</v>
      </c>
      <c r="D180" s="10760"/>
      <c r="E180" s="10758" t="s">
        <v>2430</v>
      </c>
      <c r="F180" s="10761" t="s">
        <v>2431</v>
      </c>
      <c r="G180" s="10762"/>
      <c r="H180" s="10762"/>
      <c r="I180" s="10762"/>
      <c r="J180" s="10762"/>
      <c r="K180" s="10762"/>
      <c r="L180" s="10762"/>
      <c r="M180" s="10762"/>
      <c r="N180" s="10762"/>
      <c r="O180" s="10762"/>
      <c r="P180" s="10762"/>
      <c r="Q180" s="10762"/>
      <c r="R180" s="10762"/>
      <c r="S180" s="10762"/>
      <c r="T180" s="10763"/>
      <c r="AF180" s="4177"/>
      <c r="CY180" s="4176"/>
    </row>
    <row r="181" spans="1:103" ht="31.5" customHeight="1" x14ac:dyDescent="0.2">
      <c r="A181" s="10757"/>
      <c r="B181" s="10757"/>
      <c r="C181" s="4559" t="s">
        <v>2415</v>
      </c>
      <c r="D181" s="4559" t="s">
        <v>2444</v>
      </c>
      <c r="E181" s="10757"/>
      <c r="F181" s="4560" t="s">
        <v>688</v>
      </c>
      <c r="G181" s="4560" t="s">
        <v>687</v>
      </c>
      <c r="H181" s="4560" t="s">
        <v>686</v>
      </c>
      <c r="I181" s="4560" t="s">
        <v>685</v>
      </c>
      <c r="J181" s="4560" t="s">
        <v>2230</v>
      </c>
      <c r="K181" s="4560" t="s">
        <v>683</v>
      </c>
      <c r="L181" s="4560" t="s">
        <v>2432</v>
      </c>
      <c r="M181" s="4560" t="s">
        <v>681</v>
      </c>
      <c r="N181" s="4560" t="s">
        <v>2433</v>
      </c>
      <c r="O181" s="4560" t="s">
        <v>2434</v>
      </c>
      <c r="P181" s="4560" t="s">
        <v>2435</v>
      </c>
      <c r="Q181" s="4560" t="s">
        <v>2436</v>
      </c>
      <c r="R181" s="4560" t="s">
        <v>2437</v>
      </c>
      <c r="S181" s="4560" t="s">
        <v>2438</v>
      </c>
      <c r="T181" s="4560" t="s">
        <v>2439</v>
      </c>
      <c r="AF181" s="4177"/>
      <c r="CY181" s="4176"/>
    </row>
    <row r="182" spans="1:103" ht="18.75" customHeight="1" x14ac:dyDescent="0.2">
      <c r="A182" s="4542" t="s">
        <v>2420</v>
      </c>
      <c r="B182" s="4344">
        <f>SUM(C182:D182)</f>
        <v>0</v>
      </c>
      <c r="C182" s="4407"/>
      <c r="D182" s="4407"/>
      <c r="E182" s="4344">
        <f>+F182+G182+H182+I182+K182+L182+M182+N182+O182+P182+Q182+R182+S182+T182</f>
        <v>0</v>
      </c>
      <c r="F182" s="4561"/>
      <c r="G182" s="4561"/>
      <c r="H182" s="4561"/>
      <c r="I182" s="4561"/>
      <c r="J182" s="4562"/>
      <c r="K182" s="4561"/>
      <c r="L182" s="4561"/>
      <c r="M182" s="4561"/>
      <c r="N182" s="4561"/>
      <c r="O182" s="4561"/>
      <c r="P182" s="4561"/>
      <c r="Q182" s="4561"/>
      <c r="R182" s="4561"/>
      <c r="S182" s="4561"/>
      <c r="T182" s="4563"/>
      <c r="AF182" s="4177"/>
      <c r="CY182" s="4176"/>
    </row>
    <row r="183" spans="1:103" ht="19.899999999999999" customHeight="1" x14ac:dyDescent="0.2">
      <c r="A183" s="4542" t="s">
        <v>2440</v>
      </c>
      <c r="B183" s="4564">
        <f>SUM(C183:D183)</f>
        <v>0</v>
      </c>
      <c r="C183" s="4196"/>
      <c r="D183" s="4196"/>
      <c r="E183" s="4532">
        <f>+F183+G183+H183+I183+K183+L183+M183+N183+O183+P183+Q183+R183+S183+T183</f>
        <v>0</v>
      </c>
      <c r="F183" s="4561"/>
      <c r="G183" s="4561"/>
      <c r="H183" s="4561"/>
      <c r="I183" s="4561"/>
      <c r="J183" s="4565"/>
      <c r="K183" s="4561"/>
      <c r="L183" s="4561"/>
      <c r="M183" s="4561"/>
      <c r="N183" s="4561"/>
      <c r="O183" s="4561"/>
      <c r="P183" s="4561"/>
      <c r="Q183" s="4561"/>
      <c r="R183" s="4561"/>
      <c r="S183" s="4561"/>
      <c r="T183" s="4563"/>
      <c r="AF183" s="4177"/>
      <c r="CY183" s="4176"/>
    </row>
    <row r="184" spans="1:103" ht="20.25" customHeight="1" x14ac:dyDescent="0.2">
      <c r="A184" s="4542" t="s">
        <v>46</v>
      </c>
      <c r="B184" s="4564">
        <f>SUM(C184:D184)</f>
        <v>0</v>
      </c>
      <c r="C184" s="4196"/>
      <c r="D184" s="4196"/>
      <c r="E184" s="4532">
        <f>SUM(F184:T184)</f>
        <v>0</v>
      </c>
      <c r="F184" s="4561"/>
      <c r="G184" s="4561"/>
      <c r="H184" s="4561"/>
      <c r="I184" s="4561"/>
      <c r="J184" s="4563"/>
      <c r="K184" s="4561"/>
      <c r="L184" s="4561"/>
      <c r="M184" s="4561"/>
      <c r="N184" s="4561"/>
      <c r="O184" s="4561"/>
      <c r="P184" s="4561"/>
      <c r="Q184" s="4561"/>
      <c r="R184" s="4561"/>
      <c r="S184" s="4561"/>
      <c r="T184" s="4563"/>
      <c r="AF184" s="4177"/>
      <c r="CY184" s="4176"/>
    </row>
    <row r="185" spans="1:103" ht="19.5" customHeight="1" x14ac:dyDescent="0.2">
      <c r="A185" s="4566" t="s">
        <v>2441</v>
      </c>
      <c r="B185" s="4567">
        <f>SUM(C185:D185)</f>
        <v>0</v>
      </c>
      <c r="C185" s="4367"/>
      <c r="D185" s="4367"/>
      <c r="E185" s="4568">
        <f>+F185+G185+H185+I185+K185+L185+M185+N185+O185+P185+Q185+R185+S185+T185</f>
        <v>0</v>
      </c>
      <c r="F185" s="4569"/>
      <c r="G185" s="4569"/>
      <c r="H185" s="4569"/>
      <c r="I185" s="4569"/>
      <c r="J185" s="4570"/>
      <c r="K185" s="4569"/>
      <c r="L185" s="4569"/>
      <c r="M185" s="4569"/>
      <c r="N185" s="4569"/>
      <c r="O185" s="4569"/>
      <c r="P185" s="4569"/>
      <c r="Q185" s="4569"/>
      <c r="R185" s="4569"/>
      <c r="S185" s="4569"/>
      <c r="T185" s="4571"/>
      <c r="AF185" s="4177"/>
      <c r="CY185" s="4176"/>
    </row>
    <row r="186" spans="1:103" s="4572" customFormat="1" ht="22.15" customHeight="1" x14ac:dyDescent="0.2">
      <c r="A186" s="4153" t="s">
        <v>3104</v>
      </c>
      <c r="D186" s="4573"/>
      <c r="AG186" s="4574"/>
      <c r="AH186" s="4574"/>
      <c r="AI186" s="4574"/>
      <c r="AJ186" s="4574"/>
      <c r="AK186" s="4574"/>
      <c r="AL186" s="4574"/>
      <c r="AM186" s="4574"/>
      <c r="AN186" s="4574"/>
      <c r="AO186" s="4574"/>
      <c r="AP186" s="4574"/>
      <c r="AQ186" s="4574"/>
      <c r="AR186" s="4574"/>
      <c r="AS186" s="4574"/>
      <c r="AT186" s="4574"/>
      <c r="AU186" s="4574"/>
      <c r="AV186" s="4574"/>
      <c r="AW186" s="4574"/>
      <c r="AX186" s="4574"/>
      <c r="AY186" s="4574"/>
      <c r="AZ186" s="4574"/>
      <c r="BA186" s="4177"/>
      <c r="BB186" s="4177"/>
      <c r="BC186" s="4177"/>
      <c r="BD186" s="4177"/>
      <c r="BE186" s="4177"/>
      <c r="BF186" s="4177"/>
      <c r="BG186" s="4177"/>
      <c r="BH186" s="4177"/>
      <c r="BI186" s="4177"/>
      <c r="BJ186" s="4177"/>
      <c r="BK186" s="4177"/>
      <c r="BL186" s="4177"/>
      <c r="BM186" s="4177"/>
      <c r="BN186" s="4177"/>
      <c r="BO186" s="4177"/>
      <c r="BP186" s="4177"/>
      <c r="BQ186" s="4177"/>
      <c r="BR186" s="4177"/>
      <c r="BS186" s="4177"/>
      <c r="BT186" s="4177"/>
      <c r="BU186" s="4177"/>
      <c r="BV186" s="4177"/>
      <c r="BW186" s="4177"/>
      <c r="BX186" s="4177"/>
      <c r="BY186" s="4177"/>
      <c r="BZ186" s="4177"/>
      <c r="CA186" s="4177"/>
      <c r="CB186" s="4177"/>
      <c r="CC186" s="4177"/>
      <c r="CD186" s="4177"/>
      <c r="CE186" s="4177"/>
      <c r="CF186" s="4177"/>
      <c r="CG186" s="4177"/>
      <c r="CH186" s="4177"/>
      <c r="CI186" s="4177"/>
      <c r="CJ186" s="4177"/>
      <c r="CK186" s="4177"/>
      <c r="CL186" s="4177"/>
      <c r="CM186" s="4574"/>
      <c r="CN186" s="4574"/>
      <c r="CO186" s="4574"/>
      <c r="CP186" s="4574"/>
      <c r="CQ186" s="4574"/>
      <c r="CR186" s="4574"/>
      <c r="CS186" s="4574"/>
      <c r="CT186" s="4574"/>
      <c r="CU186" s="4574"/>
      <c r="CV186" s="4574"/>
      <c r="CW186" s="4574"/>
      <c r="CX186" s="4574"/>
      <c r="CY186" s="4574"/>
    </row>
    <row r="187" spans="1:103" s="4572" customFormat="1" ht="14.25" x14ac:dyDescent="0.2">
      <c r="A187" s="10764" t="s">
        <v>2789</v>
      </c>
      <c r="B187" s="10765" t="s">
        <v>662</v>
      </c>
      <c r="C187" s="10766"/>
      <c r="D187" s="10767"/>
      <c r="E187" s="10765" t="s">
        <v>661</v>
      </c>
      <c r="F187" s="10766"/>
      <c r="G187" s="10767"/>
      <c r="AG187" s="4574"/>
      <c r="AH187" s="4574"/>
      <c r="AI187" s="4574"/>
      <c r="AJ187" s="4574"/>
      <c r="AK187" s="4574"/>
      <c r="AL187" s="4574"/>
      <c r="AM187" s="4574"/>
      <c r="AN187" s="4574"/>
      <c r="AO187" s="4574"/>
      <c r="AP187" s="4574"/>
      <c r="AQ187" s="4574"/>
      <c r="AR187" s="4574"/>
      <c r="AS187" s="4574"/>
      <c r="AT187" s="4574"/>
      <c r="AU187" s="4574"/>
      <c r="AV187" s="4574"/>
      <c r="AW187" s="4574"/>
      <c r="AX187" s="4574"/>
      <c r="AY187" s="4574"/>
      <c r="AZ187" s="4574"/>
      <c r="BA187" s="4177"/>
      <c r="BB187" s="4177"/>
      <c r="BC187" s="4177"/>
      <c r="BD187" s="4177"/>
      <c r="BE187" s="4177"/>
      <c r="BF187" s="4177"/>
      <c r="BG187" s="4177"/>
      <c r="BH187" s="4177"/>
      <c r="BI187" s="4177"/>
      <c r="BJ187" s="4177"/>
      <c r="BK187" s="4177"/>
      <c r="BL187" s="4177"/>
      <c r="BM187" s="4177"/>
      <c r="BN187" s="4177"/>
      <c r="BO187" s="4177"/>
      <c r="BP187" s="4177"/>
      <c r="BQ187" s="4177"/>
      <c r="BR187" s="4177"/>
      <c r="BS187" s="4177"/>
      <c r="BT187" s="4177"/>
      <c r="BU187" s="4177"/>
      <c r="BV187" s="4177"/>
      <c r="BW187" s="4177"/>
      <c r="BX187" s="4177"/>
      <c r="BY187" s="4177"/>
      <c r="BZ187" s="4177"/>
      <c r="CA187" s="4177"/>
      <c r="CB187" s="4177"/>
      <c r="CC187" s="4177"/>
      <c r="CD187" s="4177"/>
      <c r="CE187" s="4177"/>
      <c r="CF187" s="4177"/>
      <c r="CG187" s="4177"/>
      <c r="CH187" s="4177"/>
      <c r="CI187" s="4177"/>
      <c r="CJ187" s="4177"/>
      <c r="CK187" s="4177"/>
      <c r="CL187" s="4177"/>
      <c r="CM187" s="4574"/>
      <c r="CN187" s="4574"/>
      <c r="CO187" s="4574"/>
      <c r="CP187" s="4574"/>
      <c r="CQ187" s="4574"/>
      <c r="CR187" s="4574"/>
      <c r="CS187" s="4574"/>
      <c r="CT187" s="4574"/>
      <c r="CU187" s="4574"/>
      <c r="CV187" s="4574"/>
      <c r="CW187" s="4574"/>
      <c r="CX187" s="4574"/>
      <c r="CY187" s="4574"/>
    </row>
    <row r="188" spans="1:103" s="4572" customFormat="1" ht="14.25" x14ac:dyDescent="0.2">
      <c r="A188" s="10502"/>
      <c r="B188" s="7106" t="s">
        <v>42</v>
      </c>
      <c r="C188" s="7107" t="s">
        <v>17</v>
      </c>
      <c r="D188" s="7108" t="s">
        <v>18</v>
      </c>
      <c r="E188" s="7106" t="s">
        <v>42</v>
      </c>
      <c r="F188" s="7107" t="s">
        <v>17</v>
      </c>
      <c r="G188" s="7108" t="s">
        <v>18</v>
      </c>
      <c r="AG188" s="4574"/>
      <c r="AH188" s="4574"/>
      <c r="AI188" s="4574"/>
      <c r="AJ188" s="4574"/>
      <c r="AK188" s="4574"/>
      <c r="AL188" s="4574"/>
      <c r="AM188" s="4574"/>
      <c r="AN188" s="4574"/>
      <c r="AO188" s="4574"/>
      <c r="AP188" s="4574"/>
      <c r="AQ188" s="4574"/>
      <c r="AR188" s="4574"/>
      <c r="AS188" s="4574"/>
      <c r="AT188" s="4574"/>
      <c r="AU188" s="4574"/>
      <c r="AV188" s="4574"/>
      <c r="AW188" s="4574"/>
      <c r="AX188" s="4574"/>
      <c r="AY188" s="4574"/>
      <c r="AZ188" s="4574"/>
      <c r="BA188" s="4177"/>
      <c r="BB188" s="4177"/>
      <c r="BC188" s="4177"/>
      <c r="BD188" s="4177"/>
      <c r="BE188" s="4177"/>
      <c r="BF188" s="4177"/>
      <c r="BG188" s="4177"/>
      <c r="BH188" s="4177"/>
      <c r="BI188" s="4177"/>
      <c r="BJ188" s="4177"/>
      <c r="BK188" s="4177"/>
      <c r="BL188" s="4177"/>
      <c r="BM188" s="4177"/>
      <c r="BN188" s="4177"/>
      <c r="BO188" s="4177"/>
      <c r="BP188" s="4177"/>
      <c r="BQ188" s="4177"/>
      <c r="BR188" s="4177"/>
      <c r="BS188" s="4177"/>
      <c r="BT188" s="4177"/>
      <c r="BU188" s="4177"/>
      <c r="BV188" s="4177"/>
      <c r="BW188" s="4177"/>
      <c r="BX188" s="4177"/>
      <c r="BY188" s="4177"/>
      <c r="BZ188" s="4177"/>
      <c r="CA188" s="4177"/>
      <c r="CB188" s="4177"/>
      <c r="CC188" s="4177"/>
      <c r="CD188" s="4177"/>
      <c r="CE188" s="4177"/>
      <c r="CF188" s="4177"/>
      <c r="CG188" s="4177"/>
      <c r="CH188" s="4177"/>
      <c r="CI188" s="4177"/>
      <c r="CJ188" s="4177"/>
      <c r="CK188" s="4177"/>
      <c r="CL188" s="4177"/>
      <c r="CM188" s="4574"/>
      <c r="CN188" s="4574"/>
      <c r="CO188" s="4574"/>
      <c r="CP188" s="4574"/>
      <c r="CQ188" s="4574"/>
      <c r="CR188" s="4574"/>
      <c r="CS188" s="4574"/>
      <c r="CT188" s="4574"/>
      <c r="CU188" s="4574"/>
      <c r="CV188" s="4574"/>
      <c r="CW188" s="4574"/>
      <c r="CX188" s="4574"/>
      <c r="CY188" s="4574"/>
    </row>
    <row r="189" spans="1:103" s="4572" customFormat="1" ht="16.899999999999999" customHeight="1" x14ac:dyDescent="0.2">
      <c r="A189" s="7109" t="s">
        <v>2790</v>
      </c>
      <c r="B189" s="7110">
        <f>SUM(C189:D189)</f>
        <v>0</v>
      </c>
      <c r="C189" s="7111"/>
      <c r="D189" s="7112"/>
      <c r="E189" s="7110">
        <f>SUM(F189:G189)</f>
        <v>0</v>
      </c>
      <c r="F189" s="7111"/>
      <c r="G189" s="7112"/>
      <c r="AG189" s="4574"/>
      <c r="AH189" s="4574"/>
      <c r="AI189" s="4574"/>
      <c r="AJ189" s="4574"/>
      <c r="AK189" s="4574"/>
      <c r="AL189" s="4574"/>
      <c r="AM189" s="4574"/>
      <c r="AN189" s="4574"/>
      <c r="AO189" s="4574"/>
      <c r="AP189" s="4574"/>
      <c r="AQ189" s="4574"/>
      <c r="AR189" s="4574"/>
      <c r="AS189" s="4574"/>
      <c r="AT189" s="4574"/>
      <c r="AU189" s="4574"/>
      <c r="AV189" s="4574"/>
      <c r="AW189" s="4574"/>
      <c r="AX189" s="4574"/>
      <c r="AY189" s="4574"/>
      <c r="AZ189" s="4574"/>
      <c r="BA189" s="4177"/>
      <c r="BB189" s="4177"/>
      <c r="BC189" s="4177"/>
      <c r="BD189" s="4177"/>
      <c r="BE189" s="4177"/>
      <c r="BF189" s="4177"/>
      <c r="BG189" s="4177"/>
      <c r="BH189" s="4177"/>
      <c r="BI189" s="4177"/>
      <c r="BJ189" s="4177"/>
      <c r="BK189" s="4177"/>
      <c r="BL189" s="4177"/>
      <c r="BM189" s="4177"/>
      <c r="BN189" s="4177"/>
      <c r="BO189" s="4177"/>
      <c r="BP189" s="4177"/>
      <c r="BQ189" s="4177"/>
      <c r="BR189" s="4177"/>
      <c r="BS189" s="4177"/>
      <c r="BT189" s="4177"/>
      <c r="BU189" s="4177"/>
      <c r="BV189" s="4177"/>
      <c r="BW189" s="4177"/>
      <c r="BX189" s="4177"/>
      <c r="BY189" s="4177"/>
      <c r="BZ189" s="4177"/>
      <c r="CA189" s="4177"/>
      <c r="CB189" s="4177"/>
      <c r="CC189" s="4177"/>
      <c r="CD189" s="4177"/>
      <c r="CE189" s="4177"/>
      <c r="CF189" s="4177"/>
      <c r="CG189" s="4177"/>
      <c r="CH189" s="4177"/>
      <c r="CI189" s="4177"/>
      <c r="CJ189" s="4177"/>
      <c r="CK189" s="4177"/>
      <c r="CL189" s="4177"/>
      <c r="CM189" s="4574"/>
      <c r="CN189" s="4574"/>
      <c r="CO189" s="4574"/>
      <c r="CP189" s="4574"/>
      <c r="CQ189" s="4574"/>
      <c r="CR189" s="4574"/>
      <c r="CS189" s="4574"/>
      <c r="CT189" s="4574"/>
      <c r="CU189" s="4574"/>
      <c r="CV189" s="4574"/>
      <c r="CW189" s="4574"/>
      <c r="CX189" s="4574"/>
      <c r="CY189" s="4574"/>
    </row>
    <row r="190" spans="1:103" s="4572" customFormat="1" ht="16.149999999999999" customHeight="1" x14ac:dyDescent="0.25">
      <c r="A190" s="6439" t="s">
        <v>2791</v>
      </c>
      <c r="B190" s="7113">
        <f>SUM(C190:D190)</f>
        <v>0</v>
      </c>
      <c r="C190" s="7114"/>
      <c r="D190" s="7115"/>
      <c r="E190" s="7113">
        <f>SUM(F190:G190)</f>
        <v>0</v>
      </c>
      <c r="F190" s="7114"/>
      <c r="G190" s="7115"/>
      <c r="H190" s="4575"/>
      <c r="S190" s="4575"/>
      <c r="AG190" s="4574"/>
      <c r="AH190" s="4574"/>
      <c r="AI190" s="4574"/>
      <c r="AJ190" s="4574"/>
      <c r="AK190" s="4574"/>
      <c r="AL190" s="4574"/>
      <c r="AM190" s="4574"/>
      <c r="AN190" s="4574"/>
      <c r="AO190" s="4574"/>
      <c r="AP190" s="4574"/>
      <c r="AQ190" s="4574"/>
      <c r="AR190" s="4574"/>
      <c r="AS190" s="4574"/>
      <c r="AT190" s="4574"/>
      <c r="AU190" s="4574"/>
      <c r="AV190" s="4574"/>
      <c r="AW190" s="4574"/>
      <c r="AX190" s="4574"/>
      <c r="AY190" s="4574"/>
      <c r="AZ190" s="4574"/>
      <c r="BA190" s="4177"/>
      <c r="BB190" s="4177"/>
      <c r="BC190" s="4177"/>
      <c r="BD190" s="4177"/>
      <c r="BE190" s="4177"/>
      <c r="BF190" s="4177"/>
      <c r="BG190" s="4177"/>
      <c r="BH190" s="4177"/>
      <c r="BI190" s="4177"/>
      <c r="BJ190" s="4177"/>
      <c r="BK190" s="4177"/>
      <c r="BL190" s="4177"/>
      <c r="BM190" s="4177"/>
      <c r="BN190" s="4177"/>
      <c r="BO190" s="4177"/>
      <c r="BP190" s="4177"/>
      <c r="BQ190" s="4177"/>
      <c r="BR190" s="4177"/>
      <c r="BS190" s="4177"/>
      <c r="BT190" s="4177"/>
      <c r="BU190" s="4177"/>
      <c r="BV190" s="4177"/>
      <c r="BW190" s="4177"/>
      <c r="BX190" s="4177"/>
      <c r="BY190" s="4177"/>
      <c r="BZ190" s="4177"/>
      <c r="CA190" s="4177"/>
      <c r="CB190" s="4177"/>
      <c r="CC190" s="4177"/>
      <c r="CD190" s="4177"/>
      <c r="CE190" s="4177"/>
      <c r="CF190" s="4177"/>
      <c r="CG190" s="4177"/>
      <c r="CH190" s="4177"/>
      <c r="CI190" s="4177"/>
      <c r="CJ190" s="4177"/>
      <c r="CK190" s="4177"/>
      <c r="CL190" s="4177"/>
      <c r="CM190" s="4574"/>
      <c r="CN190" s="4574"/>
      <c r="CO190" s="4574"/>
      <c r="CP190" s="4574"/>
      <c r="CQ190" s="4574"/>
      <c r="CR190" s="4574"/>
      <c r="CS190" s="4574"/>
      <c r="CT190" s="4574"/>
      <c r="CU190" s="4574"/>
      <c r="CV190" s="4574"/>
      <c r="CW190" s="4574"/>
      <c r="CX190" s="4574"/>
      <c r="CY190" s="4574"/>
    </row>
    <row r="191" spans="1:103" ht="25.9" customHeight="1" x14ac:dyDescent="0.2">
      <c r="A191" s="4437" t="s">
        <v>3105</v>
      </c>
      <c r="B191" s="4576"/>
    </row>
    <row r="192" spans="1:103" ht="25.5" customHeight="1" x14ac:dyDescent="0.2">
      <c r="A192" s="10780" t="s">
        <v>41</v>
      </c>
      <c r="B192" s="10783" t="s">
        <v>2521</v>
      </c>
      <c r="C192" s="10786" t="s">
        <v>2446</v>
      </c>
      <c r="D192" s="10787"/>
      <c r="E192" s="10788"/>
      <c r="F192" s="10758" t="s">
        <v>2430</v>
      </c>
      <c r="G192" s="10791" t="s">
        <v>2442</v>
      </c>
      <c r="H192" s="10792"/>
      <c r="I192" s="10792"/>
      <c r="J192" s="10792"/>
      <c r="K192" s="10792"/>
      <c r="L192" s="10793"/>
    </row>
    <row r="193" spans="1:90" x14ac:dyDescent="0.2">
      <c r="A193" s="10781"/>
      <c r="B193" s="10784"/>
      <c r="C193" s="10789"/>
      <c r="D193" s="10790"/>
      <c r="E193" s="10748"/>
      <c r="F193" s="10756"/>
      <c r="G193" s="10794" t="s">
        <v>2447</v>
      </c>
      <c r="H193" s="10795"/>
      <c r="I193" s="10795"/>
      <c r="J193" s="10795"/>
      <c r="K193" s="10795"/>
      <c r="L193" s="10796"/>
    </row>
    <row r="194" spans="1:90" ht="21" x14ac:dyDescent="0.2">
      <c r="A194" s="10782"/>
      <c r="B194" s="10785"/>
      <c r="C194" s="4577" t="s">
        <v>2520</v>
      </c>
      <c r="D194" s="4577" t="s">
        <v>2444</v>
      </c>
      <c r="E194" s="4577" t="s">
        <v>2522</v>
      </c>
      <c r="F194" s="10757"/>
      <c r="G194" s="4578" t="s">
        <v>2443</v>
      </c>
      <c r="H194" s="4579" t="s">
        <v>2448</v>
      </c>
      <c r="I194" s="4579" t="s">
        <v>2449</v>
      </c>
      <c r="J194" s="4579" t="s">
        <v>2450</v>
      </c>
      <c r="K194" s="4579" t="s">
        <v>2451</v>
      </c>
      <c r="L194" s="4580" t="s">
        <v>2452</v>
      </c>
    </row>
    <row r="195" spans="1:90" ht="16.5" customHeight="1" x14ac:dyDescent="0.2">
      <c r="A195" s="4542" t="s">
        <v>2453</v>
      </c>
      <c r="B195" s="4581">
        <f>SUM(C195:D195)</f>
        <v>0</v>
      </c>
      <c r="C195" s="4407"/>
      <c r="D195" s="4407"/>
      <c r="E195" s="4582"/>
      <c r="F195" s="4344">
        <f>SUM(G195:L195)</f>
        <v>0</v>
      </c>
      <c r="G195" s="4285"/>
      <c r="H195" s="4199"/>
      <c r="I195" s="4199"/>
      <c r="J195" s="4199"/>
      <c r="K195" s="4199"/>
      <c r="L195" s="4351"/>
    </row>
    <row r="196" spans="1:90" ht="18" customHeight="1" x14ac:dyDescent="0.2">
      <c r="A196" s="4542" t="s">
        <v>2454</v>
      </c>
      <c r="B196" s="4583">
        <f>SUM(C196:E196)</f>
        <v>0</v>
      </c>
      <c r="C196" s="4196"/>
      <c r="D196" s="4196"/>
      <c r="E196" s="4407"/>
      <c r="F196" s="4564">
        <f>SUM(G196:L196)</f>
        <v>0</v>
      </c>
      <c r="G196" s="4196"/>
      <c r="H196" s="4197"/>
      <c r="I196" s="4197"/>
      <c r="J196" s="4197"/>
      <c r="K196" s="4197"/>
      <c r="L196" s="4211"/>
    </row>
    <row r="197" spans="1:90" ht="19.5" customHeight="1" x14ac:dyDescent="0.2">
      <c r="A197" s="4566" t="s">
        <v>3519</v>
      </c>
      <c r="B197" s="4584">
        <f>SUM(C197:D197)</f>
        <v>0</v>
      </c>
      <c r="C197" s="4367"/>
      <c r="D197" s="4367"/>
      <c r="E197" s="4585"/>
      <c r="F197" s="4567">
        <f>SUM(G197:L197)</f>
        <v>0</v>
      </c>
      <c r="G197" s="4367"/>
      <c r="H197" s="4586"/>
      <c r="I197" s="4586"/>
      <c r="J197" s="4586"/>
      <c r="K197" s="4586"/>
      <c r="L197" s="4369"/>
    </row>
    <row r="198" spans="1:90" ht="26.45" customHeight="1" x14ac:dyDescent="0.2">
      <c r="A198" s="4437" t="s">
        <v>3106</v>
      </c>
      <c r="B198" s="4587"/>
    </row>
    <row r="199" spans="1:90" x14ac:dyDescent="0.2">
      <c r="A199" s="10775" t="s">
        <v>2455</v>
      </c>
      <c r="B199" s="10503"/>
      <c r="C199" s="10773" t="s">
        <v>2521</v>
      </c>
      <c r="D199" s="10776" t="s">
        <v>2446</v>
      </c>
      <c r="E199" s="10777"/>
      <c r="F199" s="10777"/>
      <c r="G199" s="10777"/>
      <c r="H199" s="10777"/>
      <c r="I199" s="10777"/>
      <c r="J199" s="10778"/>
      <c r="K199" s="8994" t="s">
        <v>2456</v>
      </c>
      <c r="L199" s="8994"/>
      <c r="M199" s="8994"/>
      <c r="N199" s="10779"/>
    </row>
    <row r="200" spans="1:90" ht="37.5" customHeight="1" x14ac:dyDescent="0.2">
      <c r="A200" s="9829"/>
      <c r="B200" s="8629"/>
      <c r="C200" s="8795"/>
      <c r="D200" s="4577" t="s">
        <v>2520</v>
      </c>
      <c r="E200" s="4577" t="s">
        <v>2519</v>
      </c>
      <c r="F200" s="4577" t="s">
        <v>2518</v>
      </c>
      <c r="G200" s="4577" t="s">
        <v>2517</v>
      </c>
      <c r="H200" s="4577" t="s">
        <v>2516</v>
      </c>
      <c r="I200" s="4577" t="s">
        <v>78</v>
      </c>
      <c r="J200" s="4577" t="s">
        <v>2457</v>
      </c>
      <c r="K200" s="4588" t="s">
        <v>2458</v>
      </c>
      <c r="L200" s="4589" t="s">
        <v>2459</v>
      </c>
      <c r="M200" s="4589" t="s">
        <v>477</v>
      </c>
      <c r="N200" s="4590" t="s">
        <v>2460</v>
      </c>
    </row>
    <row r="201" spans="1:90" ht="18" customHeight="1" x14ac:dyDescent="0.2">
      <c r="A201" s="10773" t="s">
        <v>496</v>
      </c>
      <c r="B201" s="4591" t="s">
        <v>2461</v>
      </c>
      <c r="C201" s="4344">
        <f>SUM(E201+G201)</f>
        <v>0</v>
      </c>
      <c r="D201" s="7559"/>
      <c r="E201" s="4196"/>
      <c r="F201" s="4592"/>
      <c r="G201" s="4196"/>
      <c r="H201" s="4344">
        <f>+K201+L201+M201</f>
        <v>0</v>
      </c>
      <c r="I201" s="4592"/>
      <c r="J201" s="4592"/>
      <c r="K201" s="4206"/>
      <c r="L201" s="4197"/>
      <c r="M201" s="4197"/>
      <c r="N201" s="4593"/>
    </row>
    <row r="202" spans="1:90" ht="21.6" customHeight="1" x14ac:dyDescent="0.2">
      <c r="A202" s="8635"/>
      <c r="B202" s="4594" t="s">
        <v>2462</v>
      </c>
      <c r="C202" s="4532">
        <f>SUM(D202+E202+G202)</f>
        <v>0</v>
      </c>
      <c r="D202" s="4196"/>
      <c r="E202" s="4431"/>
      <c r="F202" s="4582"/>
      <c r="G202" s="4196"/>
      <c r="H202" s="4532">
        <f>SUM(I202:M202)</f>
        <v>0</v>
      </c>
      <c r="I202" s="4407"/>
      <c r="J202" s="4550"/>
      <c r="K202" s="4206"/>
      <c r="L202" s="4197"/>
      <c r="M202" s="4197"/>
      <c r="N202" s="4593"/>
    </row>
    <row r="203" spans="1:90" ht="16.5" customHeight="1" x14ac:dyDescent="0.2">
      <c r="A203" s="8635"/>
      <c r="B203" s="4594" t="s">
        <v>2463</v>
      </c>
      <c r="C203" s="4532">
        <f>+F203+G203</f>
        <v>0</v>
      </c>
      <c r="D203" s="4582"/>
      <c r="E203" s="4582"/>
      <c r="F203" s="4196"/>
      <c r="G203" s="4196"/>
      <c r="H203" s="4532">
        <f>SUM(I203:M203)</f>
        <v>0</v>
      </c>
      <c r="I203" s="4196"/>
      <c r="J203" s="4431"/>
      <c r="K203" s="4206"/>
      <c r="L203" s="4197"/>
      <c r="M203" s="4197"/>
      <c r="N203" s="4595"/>
    </row>
    <row r="204" spans="1:90" ht="17.25" customHeight="1" x14ac:dyDescent="0.2">
      <c r="A204" s="8795"/>
      <c r="B204" s="4596" t="s">
        <v>2464</v>
      </c>
      <c r="C204" s="4597">
        <f>SUM(D204:G204)</f>
        <v>0</v>
      </c>
      <c r="D204" s="4367"/>
      <c r="E204" s="4367"/>
      <c r="F204" s="4367"/>
      <c r="G204" s="4598"/>
      <c r="H204" s="4568">
        <f>+N204</f>
        <v>0</v>
      </c>
      <c r="I204" s="4585"/>
      <c r="J204" s="4585"/>
      <c r="K204" s="4599"/>
      <c r="L204" s="4600"/>
      <c r="M204" s="4600"/>
      <c r="N204" s="4369"/>
    </row>
    <row r="205" spans="1:90" ht="27" customHeight="1" x14ac:dyDescent="0.2">
      <c r="A205" s="4437" t="s">
        <v>3107</v>
      </c>
      <c r="B205" s="4601"/>
      <c r="V205" s="4602"/>
    </row>
    <row r="206" spans="1:90" ht="16.5" customHeight="1" x14ac:dyDescent="0.2">
      <c r="A206" s="10805" t="s">
        <v>41</v>
      </c>
      <c r="B206" s="10799" t="s">
        <v>2465</v>
      </c>
      <c r="C206" s="10797" t="s">
        <v>2466</v>
      </c>
      <c r="D206" s="10800" t="s">
        <v>2467</v>
      </c>
      <c r="E206" s="10801"/>
      <c r="F206" s="10802" t="s">
        <v>2468</v>
      </c>
      <c r="G206" s="10803"/>
      <c r="H206" s="10803"/>
      <c r="I206" s="10803"/>
      <c r="J206" s="10803"/>
      <c r="K206" s="10803"/>
      <c r="L206" s="10803"/>
      <c r="M206" s="10803"/>
      <c r="N206" s="10803"/>
      <c r="O206" s="10803"/>
      <c r="P206" s="10803"/>
      <c r="Q206" s="10803"/>
      <c r="R206" s="10803"/>
      <c r="S206" s="10804"/>
      <c r="T206" s="10806" t="s">
        <v>78</v>
      </c>
      <c r="U206" s="10797" t="s">
        <v>525</v>
      </c>
      <c r="V206" s="4602"/>
      <c r="CA206" s="10670" t="s">
        <v>78</v>
      </c>
      <c r="CB206" s="10670" t="s">
        <v>525</v>
      </c>
      <c r="CC206" s="10670" t="s">
        <v>3952</v>
      </c>
      <c r="CK206" s="10670"/>
      <c r="CL206" s="10670"/>
    </row>
    <row r="207" spans="1:90" ht="21.75" x14ac:dyDescent="0.2">
      <c r="A207" s="10805"/>
      <c r="B207" s="10799"/>
      <c r="C207" s="10798"/>
      <c r="D207" s="7103" t="s">
        <v>137</v>
      </c>
      <c r="E207" s="7098" t="s">
        <v>476</v>
      </c>
      <c r="F207" s="7103" t="s">
        <v>526</v>
      </c>
      <c r="G207" s="7099" t="s">
        <v>2513</v>
      </c>
      <c r="H207" s="7099" t="s">
        <v>1413</v>
      </c>
      <c r="I207" s="7099" t="s">
        <v>32</v>
      </c>
      <c r="J207" s="7099" t="s">
        <v>33</v>
      </c>
      <c r="K207" s="7104" t="s">
        <v>50</v>
      </c>
      <c r="L207" s="7099" t="s">
        <v>82</v>
      </c>
      <c r="M207" s="7099" t="s">
        <v>83</v>
      </c>
      <c r="N207" s="7099" t="s">
        <v>398</v>
      </c>
      <c r="O207" s="7099" t="s">
        <v>124</v>
      </c>
      <c r="P207" s="7099" t="s">
        <v>125</v>
      </c>
      <c r="Q207" s="7099" t="s">
        <v>126</v>
      </c>
      <c r="R207" s="7099" t="s">
        <v>127</v>
      </c>
      <c r="S207" s="7105" t="s">
        <v>128</v>
      </c>
      <c r="T207" s="10807"/>
      <c r="U207" s="10798"/>
      <c r="V207" s="4602"/>
      <c r="CA207" s="10670"/>
      <c r="CB207" s="10670"/>
      <c r="CC207" s="10670"/>
      <c r="CK207" s="10670"/>
      <c r="CL207" s="10670"/>
    </row>
    <row r="208" spans="1:90" ht="16.149999999999999" customHeight="1" x14ac:dyDescent="0.2">
      <c r="A208" s="4603" t="s">
        <v>2469</v>
      </c>
      <c r="B208" s="4604"/>
      <c r="C208" s="4605">
        <f>SUM(D208:S208)</f>
        <v>0</v>
      </c>
      <c r="D208" s="4604"/>
      <c r="E208" s="4606"/>
      <c r="F208" s="4604"/>
      <c r="G208" s="4607"/>
      <c r="H208" s="4607"/>
      <c r="I208" s="4607"/>
      <c r="J208" s="4607"/>
      <c r="K208" s="4607"/>
      <c r="L208" s="4607"/>
      <c r="M208" s="4607"/>
      <c r="N208" s="4607"/>
      <c r="O208" s="4607"/>
      <c r="P208" s="4607"/>
      <c r="Q208" s="4607"/>
      <c r="R208" s="4607"/>
      <c r="S208" s="4608"/>
      <c r="T208" s="4609"/>
      <c r="U208" s="4610"/>
      <c r="V208" s="7348" t="str">
        <f>CA208&amp;CB208&amp;CC208</f>
        <v/>
      </c>
      <c r="CC208" s="4177" t="str">
        <f>IF(OR(AND(T208="",C208&lt;&gt;0),AND(U208="",C208&lt;&gt;0)),"* No olvide digitar Gestantes, Post Parto (Digite CERO si no tiene). ","")</f>
        <v/>
      </c>
    </row>
    <row r="209" spans="1:81" ht="18" customHeight="1" x14ac:dyDescent="0.2">
      <c r="A209" s="4603" t="s">
        <v>2470</v>
      </c>
      <c r="B209" s="4604"/>
      <c r="C209" s="4611">
        <f>SUM(D209:S209)</f>
        <v>0</v>
      </c>
      <c r="D209" s="4604"/>
      <c r="E209" s="4606"/>
      <c r="F209" s="4604"/>
      <c r="G209" s="4607"/>
      <c r="H209" s="4607"/>
      <c r="I209" s="4607"/>
      <c r="J209" s="4607"/>
      <c r="K209" s="4607"/>
      <c r="L209" s="4607"/>
      <c r="M209" s="4607"/>
      <c r="N209" s="4607"/>
      <c r="O209" s="4607"/>
      <c r="P209" s="4607"/>
      <c r="Q209" s="4607"/>
      <c r="R209" s="4607"/>
      <c r="S209" s="4608"/>
      <c r="T209" s="4606"/>
      <c r="U209" s="4612"/>
      <c r="V209" s="7348" t="str">
        <f t="shared" ref="V209:V210" si="95">CA209&amp;CB209&amp;CC209</f>
        <v/>
      </c>
      <c r="CC209" s="4177" t="str">
        <f t="shared" ref="CC209:CC210" si="96">IF(OR(AND(T209="",C209&lt;&gt;0),AND(U209="",C209&lt;&gt;0)),"* No olvide digitar Gestantes, Post Parto (Digite CERO si no tiene). ","")</f>
        <v/>
      </c>
    </row>
    <row r="210" spans="1:81" ht="22.15" customHeight="1" x14ac:dyDescent="0.2">
      <c r="A210" s="4613" t="s">
        <v>2471</v>
      </c>
      <c r="B210" s="4614"/>
      <c r="C210" s="4615">
        <f>SUM(D210:S210)</f>
        <v>0</v>
      </c>
      <c r="D210" s="4616"/>
      <c r="E210" s="4617"/>
      <c r="F210" s="4616"/>
      <c r="G210" s="4618"/>
      <c r="H210" s="4618"/>
      <c r="I210" s="4618"/>
      <c r="J210" s="4618"/>
      <c r="K210" s="4618"/>
      <c r="L210" s="4618"/>
      <c r="M210" s="4618"/>
      <c r="N210" s="4618"/>
      <c r="O210" s="4618"/>
      <c r="P210" s="4618"/>
      <c r="Q210" s="4618"/>
      <c r="R210" s="4618"/>
      <c r="S210" s="4619"/>
      <c r="T210" s="4617"/>
      <c r="U210" s="4614"/>
      <c r="V210" s="7348" t="str">
        <f t="shared" si="95"/>
        <v/>
      </c>
      <c r="CC210" s="4177" t="str">
        <f t="shared" si="96"/>
        <v/>
      </c>
    </row>
    <row r="211" spans="1:81" ht="21" customHeight="1" x14ac:dyDescent="0.2">
      <c r="A211" s="4437" t="s">
        <v>3108</v>
      </c>
    </row>
    <row r="212" spans="1:81" x14ac:dyDescent="0.2">
      <c r="A212" s="10799" t="s">
        <v>520</v>
      </c>
      <c r="B212" s="10799" t="s">
        <v>2472</v>
      </c>
      <c r="C212" s="10800" t="s">
        <v>2473</v>
      </c>
      <c r="D212" s="10801"/>
      <c r="E212" s="10802" t="s">
        <v>2474</v>
      </c>
      <c r="F212" s="10803"/>
      <c r="G212" s="10803"/>
      <c r="H212" s="10803"/>
      <c r="I212" s="10803"/>
      <c r="J212" s="10804"/>
      <c r="K212" s="10797" t="s">
        <v>78</v>
      </c>
      <c r="L212" s="10797" t="s">
        <v>525</v>
      </c>
      <c r="CA212" s="10670" t="s">
        <v>78</v>
      </c>
      <c r="CB212" s="10670" t="s">
        <v>525</v>
      </c>
      <c r="CC212" s="10670" t="s">
        <v>3952</v>
      </c>
    </row>
    <row r="213" spans="1:81" ht="21.75" x14ac:dyDescent="0.2">
      <c r="A213" s="10799"/>
      <c r="B213" s="10799"/>
      <c r="C213" s="7097" t="s">
        <v>137</v>
      </c>
      <c r="D213" s="7098" t="s">
        <v>476</v>
      </c>
      <c r="E213" s="7097" t="s">
        <v>526</v>
      </c>
      <c r="F213" s="7099" t="s">
        <v>2513</v>
      </c>
      <c r="G213" s="7099" t="s">
        <v>1413</v>
      </c>
      <c r="H213" s="7099" t="s">
        <v>32</v>
      </c>
      <c r="I213" s="7099" t="s">
        <v>33</v>
      </c>
      <c r="J213" s="7100" t="s">
        <v>114</v>
      </c>
      <c r="K213" s="10798"/>
      <c r="L213" s="10798"/>
      <c r="CA213" s="10670"/>
      <c r="CB213" s="10670"/>
      <c r="CC213" s="10670"/>
    </row>
    <row r="214" spans="1:81" ht="24" customHeight="1" x14ac:dyDescent="0.2">
      <c r="A214" s="4603" t="s">
        <v>2475</v>
      </c>
      <c r="B214" s="7101">
        <f>SUM(C214:J214)</f>
        <v>0</v>
      </c>
      <c r="C214" s="4196"/>
      <c r="D214" s="4207"/>
      <c r="E214" s="4196"/>
      <c r="F214" s="4197"/>
      <c r="G214" s="4197"/>
      <c r="H214" s="4197"/>
      <c r="I214" s="4197"/>
      <c r="J214" s="4207"/>
      <c r="K214" s="4550"/>
      <c r="L214" s="4550"/>
      <c r="M214" s="7348" t="str">
        <f>CA214&amp;CB214&amp;CC214</f>
        <v/>
      </c>
      <c r="CC214" s="4177" t="str">
        <f>IF(OR(AND(T214="",K214&lt;&gt;0),AND(U214="",L214&lt;&gt;0)),"* No olvide digitar Gestantes, Post Parto (Digite CERO si no tiene). ","")</f>
        <v/>
      </c>
    </row>
    <row r="215" spans="1:81" ht="21.75" customHeight="1" x14ac:dyDescent="0.2">
      <c r="A215" s="4613" t="s">
        <v>2476</v>
      </c>
      <c r="B215" s="7102">
        <f>SUM(C215:J215)</f>
        <v>0</v>
      </c>
      <c r="C215" s="4367"/>
      <c r="D215" s="4386"/>
      <c r="E215" s="4367"/>
      <c r="F215" s="4586"/>
      <c r="G215" s="4586"/>
      <c r="H215" s="4586"/>
      <c r="I215" s="4586"/>
      <c r="J215" s="4386"/>
      <c r="K215" s="4598"/>
      <c r="L215" s="4598"/>
      <c r="M215" s="7348" t="str">
        <f>CA215&amp;CB215&amp;CC215</f>
        <v/>
      </c>
      <c r="CC215" s="4177" t="str">
        <f>IF(OR(AND(T215="",K215&lt;&gt;0),AND(U215="",L215&lt;&gt;0)),"* No olvide digitar Gestantes, Post Parto (Digite CERO si no tiene). ","")</f>
        <v/>
      </c>
    </row>
    <row r="216" spans="1:81" ht="26.25" customHeight="1" x14ac:dyDescent="0.2">
      <c r="A216" s="7560" t="s">
        <v>3109</v>
      </c>
      <c r="B216" s="7561"/>
      <c r="C216" s="7561"/>
      <c r="D216" s="7561"/>
      <c r="E216" s="7561"/>
      <c r="F216" s="7561"/>
      <c r="G216" s="7561"/>
      <c r="H216" s="7561"/>
      <c r="I216" s="7561"/>
      <c r="J216" s="7561"/>
      <c r="K216" s="7561"/>
      <c r="L216" s="7561"/>
      <c r="M216" s="7561"/>
      <c r="N216" s="7561"/>
      <c r="O216" s="7561"/>
      <c r="P216" s="7561"/>
      <c r="Q216" s="7561"/>
      <c r="R216" s="7561"/>
      <c r="S216" s="7561"/>
      <c r="T216" s="7561"/>
      <c r="U216" s="7561"/>
      <c r="V216" s="7561"/>
      <c r="W216" s="7561"/>
      <c r="X216" s="7561"/>
      <c r="Y216" s="7561"/>
      <c r="Z216" s="7561"/>
      <c r="AA216" s="7561"/>
      <c r="AB216" s="7561"/>
      <c r="AC216" s="7561"/>
      <c r="AD216" s="7561"/>
      <c r="AE216" s="7561"/>
      <c r="AF216" s="7561"/>
    </row>
    <row r="217" spans="1:81" x14ac:dyDescent="0.2">
      <c r="A217" s="10673" t="s">
        <v>650</v>
      </c>
      <c r="B217" s="10676" t="s">
        <v>24</v>
      </c>
      <c r="C217" s="10677"/>
      <c r="D217" s="10678"/>
      <c r="E217" s="10682" t="s">
        <v>25</v>
      </c>
      <c r="F217" s="10683"/>
      <c r="G217" s="10683"/>
      <c r="H217" s="10683"/>
      <c r="I217" s="10683"/>
      <c r="J217" s="10683"/>
      <c r="K217" s="10683"/>
      <c r="L217" s="10683"/>
      <c r="M217" s="10683"/>
      <c r="N217" s="10683"/>
      <c r="O217" s="10683"/>
      <c r="P217" s="10683"/>
      <c r="Q217" s="10683"/>
      <c r="R217" s="10683"/>
      <c r="S217" s="10683"/>
      <c r="T217" s="10683"/>
      <c r="U217" s="10683"/>
      <c r="V217" s="10683"/>
      <c r="W217" s="10683"/>
      <c r="X217" s="10683"/>
      <c r="Y217" s="10683"/>
      <c r="Z217" s="10683"/>
      <c r="AA217" s="10683"/>
      <c r="AB217" s="10683"/>
      <c r="AC217" s="10683"/>
      <c r="AD217" s="10683"/>
      <c r="AE217" s="10683"/>
      <c r="AF217" s="10684"/>
    </row>
    <row r="218" spans="1:81" ht="12" customHeight="1" x14ac:dyDescent="0.2">
      <c r="A218" s="10674"/>
      <c r="B218" s="10679"/>
      <c r="C218" s="10680"/>
      <c r="D218" s="10681"/>
      <c r="E218" s="10682" t="s">
        <v>71</v>
      </c>
      <c r="F218" s="10684"/>
      <c r="G218" s="10685" t="s">
        <v>4</v>
      </c>
      <c r="H218" s="10686"/>
      <c r="I218" s="10685" t="s">
        <v>5</v>
      </c>
      <c r="J218" s="10686"/>
      <c r="K218" s="10687" t="s">
        <v>6</v>
      </c>
      <c r="L218" s="10686"/>
      <c r="M218" s="10685" t="s">
        <v>7</v>
      </c>
      <c r="N218" s="10686"/>
      <c r="O218" s="10685" t="s">
        <v>8</v>
      </c>
      <c r="P218" s="10686"/>
      <c r="Q218" s="10685" t="s">
        <v>9</v>
      </c>
      <c r="R218" s="10686"/>
      <c r="S218" s="10685" t="s">
        <v>10</v>
      </c>
      <c r="T218" s="10686"/>
      <c r="U218" s="10687" t="s">
        <v>11</v>
      </c>
      <c r="V218" s="10686"/>
      <c r="W218" s="10685" t="s">
        <v>12</v>
      </c>
      <c r="X218" s="10686"/>
      <c r="Y218" s="10687" t="s">
        <v>13</v>
      </c>
      <c r="Z218" s="10686"/>
      <c r="AA218" s="10687" t="s">
        <v>14</v>
      </c>
      <c r="AB218" s="10686"/>
      <c r="AC218" s="10687" t="s">
        <v>15</v>
      </c>
      <c r="AD218" s="10686"/>
      <c r="AE218" s="10687" t="s">
        <v>16</v>
      </c>
      <c r="AF218" s="10686"/>
      <c r="AG218" s="4265"/>
      <c r="AH218" s="4265"/>
      <c r="AI218" s="4265"/>
      <c r="AJ218" s="4265"/>
      <c r="AK218" s="4265"/>
      <c r="AL218" s="4265"/>
      <c r="AM218" s="4265"/>
      <c r="AN218" s="4265"/>
      <c r="AO218" s="4265"/>
      <c r="AP218" s="4265"/>
      <c r="AQ218" s="4265"/>
      <c r="AR218" s="4265"/>
      <c r="AS218" s="4265"/>
    </row>
    <row r="219" spans="1:81" ht="18" customHeight="1" x14ac:dyDescent="0.2">
      <c r="A219" s="10675"/>
      <c r="B219" s="7563" t="s">
        <v>42</v>
      </c>
      <c r="C219" s="7564" t="s">
        <v>17</v>
      </c>
      <c r="D219" s="7565" t="s">
        <v>18</v>
      </c>
      <c r="E219" s="7566" t="s">
        <v>17</v>
      </c>
      <c r="F219" s="7562" t="s">
        <v>18</v>
      </c>
      <c r="G219" s="7567" t="s">
        <v>17</v>
      </c>
      <c r="H219" s="7562" t="s">
        <v>18</v>
      </c>
      <c r="I219" s="7567" t="s">
        <v>17</v>
      </c>
      <c r="J219" s="7562" t="s">
        <v>18</v>
      </c>
      <c r="K219" s="7566" t="s">
        <v>17</v>
      </c>
      <c r="L219" s="7562" t="s">
        <v>18</v>
      </c>
      <c r="M219" s="7567" t="s">
        <v>17</v>
      </c>
      <c r="N219" s="7562" t="s">
        <v>18</v>
      </c>
      <c r="O219" s="7567" t="s">
        <v>17</v>
      </c>
      <c r="P219" s="7562" t="s">
        <v>18</v>
      </c>
      <c r="Q219" s="7567" t="s">
        <v>17</v>
      </c>
      <c r="R219" s="7562" t="s">
        <v>18</v>
      </c>
      <c r="S219" s="7567" t="s">
        <v>17</v>
      </c>
      <c r="T219" s="7562" t="s">
        <v>18</v>
      </c>
      <c r="U219" s="7567" t="s">
        <v>17</v>
      </c>
      <c r="V219" s="7562" t="s">
        <v>18</v>
      </c>
      <c r="W219" s="7567" t="s">
        <v>17</v>
      </c>
      <c r="X219" s="7562" t="s">
        <v>18</v>
      </c>
      <c r="Y219" s="7566" t="s">
        <v>17</v>
      </c>
      <c r="Z219" s="7562" t="s">
        <v>18</v>
      </c>
      <c r="AA219" s="7566" t="s">
        <v>17</v>
      </c>
      <c r="AB219" s="7562" t="s">
        <v>18</v>
      </c>
      <c r="AC219" s="7566" t="s">
        <v>17</v>
      </c>
      <c r="AD219" s="7562" t="s">
        <v>18</v>
      </c>
      <c r="AE219" s="7566" t="s">
        <v>17</v>
      </c>
      <c r="AF219" s="7562" t="s">
        <v>18</v>
      </c>
    </row>
    <row r="220" spans="1:81" ht="18.600000000000001" customHeight="1" x14ac:dyDescent="0.2">
      <c r="A220" s="7568" t="s">
        <v>2105</v>
      </c>
      <c r="B220" s="7569"/>
      <c r="C220" s="7570"/>
      <c r="D220" s="7571"/>
      <c r="E220" s="7572"/>
      <c r="F220" s="7573"/>
      <c r="G220" s="7574"/>
      <c r="H220" s="7573"/>
      <c r="I220" s="7574"/>
      <c r="J220" s="7573"/>
      <c r="K220" s="7572"/>
      <c r="L220" s="7573"/>
      <c r="M220" s="7574"/>
      <c r="N220" s="7573"/>
      <c r="O220" s="7574"/>
      <c r="P220" s="7573"/>
      <c r="Q220" s="7574"/>
      <c r="R220" s="7573"/>
      <c r="S220" s="7574"/>
      <c r="T220" s="7573"/>
      <c r="U220" s="7574"/>
      <c r="V220" s="7573"/>
      <c r="W220" s="7574"/>
      <c r="X220" s="7575"/>
      <c r="Y220" s="7575"/>
      <c r="Z220" s="7575"/>
      <c r="AA220" s="7575"/>
      <c r="AB220" s="7575"/>
      <c r="AC220" s="7575"/>
      <c r="AD220" s="7575"/>
      <c r="AE220" s="7575"/>
      <c r="AF220" s="7573"/>
    </row>
    <row r="221" spans="1:81" ht="17.45" customHeight="1" x14ac:dyDescent="0.2">
      <c r="A221" s="7568" t="s">
        <v>2104</v>
      </c>
      <c r="B221" s="7569"/>
      <c r="C221" s="7570"/>
      <c r="D221" s="7571"/>
      <c r="E221" s="7572"/>
      <c r="F221" s="7573"/>
      <c r="G221" s="7574"/>
      <c r="H221" s="7573"/>
      <c r="I221" s="7574"/>
      <c r="J221" s="7573"/>
      <c r="K221" s="7572"/>
      <c r="L221" s="7573"/>
      <c r="M221" s="7574"/>
      <c r="N221" s="7573"/>
      <c r="O221" s="7574"/>
      <c r="P221" s="7573"/>
      <c r="Q221" s="7574"/>
      <c r="R221" s="7573"/>
      <c r="S221" s="7574"/>
      <c r="T221" s="7573"/>
      <c r="U221" s="7574"/>
      <c r="V221" s="7573"/>
      <c r="W221" s="7574"/>
      <c r="X221" s="7575"/>
      <c r="Y221" s="7575"/>
      <c r="Z221" s="7575"/>
      <c r="AA221" s="7575"/>
      <c r="AB221" s="7575"/>
      <c r="AC221" s="7575"/>
      <c r="AD221" s="7575"/>
      <c r="AE221" s="7575"/>
      <c r="AF221" s="7573"/>
    </row>
    <row r="222" spans="1:81" ht="19.149999999999999" customHeight="1" x14ac:dyDescent="0.2">
      <c r="A222" s="7576" t="s">
        <v>2062</v>
      </c>
      <c r="B222" s="7577"/>
      <c r="C222" s="7578"/>
      <c r="D222" s="7579"/>
      <c r="E222" s="7580"/>
      <c r="F222" s="7581"/>
      <c r="G222" s="7582"/>
      <c r="H222" s="7581"/>
      <c r="I222" s="7582"/>
      <c r="J222" s="7581"/>
      <c r="K222" s="7580"/>
      <c r="L222" s="7581"/>
      <c r="M222" s="7582"/>
      <c r="N222" s="7581"/>
      <c r="O222" s="7582"/>
      <c r="P222" s="7581"/>
      <c r="Q222" s="7582"/>
      <c r="R222" s="7581"/>
      <c r="S222" s="7582"/>
      <c r="T222" s="7581"/>
      <c r="U222" s="7582"/>
      <c r="V222" s="7581"/>
      <c r="W222" s="7582"/>
      <c r="X222" s="7583"/>
      <c r="Y222" s="7583"/>
      <c r="Z222" s="7583"/>
      <c r="AA222" s="7583"/>
      <c r="AB222" s="7583"/>
      <c r="AC222" s="7583"/>
      <c r="AD222" s="7583"/>
      <c r="AE222" s="7583"/>
      <c r="AF222" s="7581"/>
    </row>
    <row r="223" spans="1:81" ht="28.15" customHeight="1" x14ac:dyDescent="0.2">
      <c r="A223" s="4437" t="s">
        <v>3110</v>
      </c>
      <c r="B223" s="4627"/>
      <c r="C223" s="4627"/>
      <c r="D223" s="4627"/>
      <c r="E223" s="4627"/>
      <c r="F223" s="4628"/>
      <c r="G223" s="4628"/>
    </row>
    <row r="224" spans="1:81" ht="21.75" customHeight="1" x14ac:dyDescent="0.2">
      <c r="A224" s="10688" t="s">
        <v>1666</v>
      </c>
      <c r="B224" s="10688" t="s">
        <v>1665</v>
      </c>
      <c r="C224" s="10690" t="s">
        <v>1664</v>
      </c>
      <c r="D224" s="10691"/>
      <c r="E224" s="10691"/>
      <c r="F224" s="10691"/>
      <c r="G224" s="10692"/>
    </row>
    <row r="225" spans="1:7" ht="15.6" customHeight="1" x14ac:dyDescent="0.2">
      <c r="A225" s="10689"/>
      <c r="B225" s="10689"/>
      <c r="C225" s="4629" t="s">
        <v>75</v>
      </c>
      <c r="D225" s="4630" t="s">
        <v>76</v>
      </c>
      <c r="E225" s="4631" t="s">
        <v>77</v>
      </c>
      <c r="F225" s="4631" t="s">
        <v>71</v>
      </c>
      <c r="G225" s="4632" t="s">
        <v>4</v>
      </c>
    </row>
    <row r="226" spans="1:7" ht="29.45" customHeight="1" x14ac:dyDescent="0.2">
      <c r="A226" s="4633" t="s">
        <v>1663</v>
      </c>
      <c r="B226" s="4634">
        <f>SUM(C226:G226)</f>
        <v>0</v>
      </c>
      <c r="C226" s="4635"/>
      <c r="D226" s="4636"/>
      <c r="E226" s="4636"/>
      <c r="F226" s="4637"/>
      <c r="G226" s="4638"/>
    </row>
    <row r="227" spans="1:7" s="4328" customFormat="1" ht="23.25" customHeight="1" x14ac:dyDescent="0.2">
      <c r="A227" s="4437" t="s">
        <v>3747</v>
      </c>
      <c r="D227" s="4302"/>
    </row>
    <row r="228" spans="1:7" s="4328" customFormat="1" ht="17.25" customHeight="1" x14ac:dyDescent="0.15">
      <c r="A228" s="10570" t="s">
        <v>2559</v>
      </c>
      <c r="B228" s="10572" t="s">
        <v>1349</v>
      </c>
      <c r="C228" s="10573"/>
      <c r="D228" s="10574"/>
    </row>
    <row r="229" spans="1:7" s="4328" customFormat="1" ht="19.5" customHeight="1" x14ac:dyDescent="0.15">
      <c r="A229" s="10495"/>
      <c r="B229" s="4639" t="s">
        <v>1736</v>
      </c>
      <c r="C229" s="10575" t="s">
        <v>1735</v>
      </c>
      <c r="D229" s="10576"/>
    </row>
    <row r="230" spans="1:7" s="4328" customFormat="1" ht="18" customHeight="1" x14ac:dyDescent="0.15">
      <c r="A230" s="10571"/>
      <c r="B230" s="4640" t="s">
        <v>1734</v>
      </c>
      <c r="C230" s="4641" t="s">
        <v>1733</v>
      </c>
      <c r="D230" s="4642" t="s">
        <v>1732</v>
      </c>
    </row>
    <row r="231" spans="1:7" s="4328" customFormat="1" ht="21.6" customHeight="1" x14ac:dyDescent="0.15">
      <c r="A231" s="4643" t="s">
        <v>1731</v>
      </c>
      <c r="B231" s="4644"/>
      <c r="C231" s="4645"/>
      <c r="D231" s="4646"/>
    </row>
    <row r="256" spans="1:2" s="4648" customFormat="1" hidden="1" x14ac:dyDescent="0.2">
      <c r="A256" s="4647">
        <f>SUM(B19,B27,B97,C111,B119,B125,B130:B132,C147,C158,C163:C170,B175:B178,B182:B185,E182:E185,B189:B190,E189:E190,B195:B197,F195:F197,C201:C204,H201:H204,B208:C210,B214:B215,B220:B222,B226,B231:D231)</f>
        <v>0</v>
      </c>
      <c r="B256" s="4648">
        <f>SUM(CK11:CS177)</f>
        <v>0</v>
      </c>
    </row>
  </sheetData>
  <sheetProtection algorithmName="SHA-512" hashValue="GeTgnCdCQIC7YeBKWBZyLzAOenOjQiVhVE1wXClpFjziJdd7dRxnENeiXVkAOhQrXYM9ZajT09ynQKUvKPy4UQ==" saltValue="czsMEnbbFBUDnQqzbJSy4g==" spinCount="100000" sheet="1" objects="1" scenarios="1"/>
  <mergeCells count="350">
    <mergeCell ref="A7:S7"/>
    <mergeCell ref="AN99:AO100"/>
    <mergeCell ref="CR121:CR122"/>
    <mergeCell ref="CF114:CF115"/>
    <mergeCell ref="CQ114:CQ115"/>
    <mergeCell ref="CQ35:CQ36"/>
    <mergeCell ref="CR35:CR36"/>
    <mergeCell ref="CK114:CK115"/>
    <mergeCell ref="CD114:CD115"/>
    <mergeCell ref="CC114:CC115"/>
    <mergeCell ref="CP121:CP122"/>
    <mergeCell ref="CO34:CP35"/>
    <mergeCell ref="AT99:AT101"/>
    <mergeCell ref="AU99:AU101"/>
    <mergeCell ref="AP99:AP101"/>
    <mergeCell ref="AQ99:AQ101"/>
    <mergeCell ref="AR99:AR101"/>
    <mergeCell ref="AS99:AS101"/>
    <mergeCell ref="CJ114:CJ115"/>
    <mergeCell ref="CJ121:CJ122"/>
    <mergeCell ref="CL29:CL30"/>
    <mergeCell ref="CM29:CM30"/>
    <mergeCell ref="CB34:CB36"/>
    <mergeCell ref="CC34:CD35"/>
    <mergeCell ref="CL34:CL36"/>
    <mergeCell ref="CM34:CN35"/>
    <mergeCell ref="CG35:CG36"/>
    <mergeCell ref="CH35:CH36"/>
    <mergeCell ref="CK29:CK30"/>
    <mergeCell ref="CM12:CM13"/>
    <mergeCell ref="CN12:CN13"/>
    <mergeCell ref="CO12:CO13"/>
    <mergeCell ref="CM22:CM23"/>
    <mergeCell ref="CN22:CN23"/>
    <mergeCell ref="CC12:CC13"/>
    <mergeCell ref="CD12:CD13"/>
    <mergeCell ref="CE12:CE13"/>
    <mergeCell ref="CA22:CA23"/>
    <mergeCell ref="CB22:CB23"/>
    <mergeCell ref="CC22:CC23"/>
    <mergeCell ref="CD22:CD23"/>
    <mergeCell ref="CK22:CK23"/>
    <mergeCell ref="CL22:CL23"/>
    <mergeCell ref="CB12:CB13"/>
    <mergeCell ref="CK12:CK13"/>
    <mergeCell ref="CL12:CL13"/>
    <mergeCell ref="CF12:CF13"/>
    <mergeCell ref="W12:W13"/>
    <mergeCell ref="T114:T115"/>
    <mergeCell ref="R121:R122"/>
    <mergeCell ref="V128:V129"/>
    <mergeCell ref="A111:B111"/>
    <mergeCell ref="A128:A129"/>
    <mergeCell ref="B121:D121"/>
    <mergeCell ref="E121:L121"/>
    <mergeCell ref="A121:A122"/>
    <mergeCell ref="M121:M122"/>
    <mergeCell ref="N121:N122"/>
    <mergeCell ref="V34:W35"/>
    <mergeCell ref="B34:B36"/>
    <mergeCell ref="A34:A36"/>
    <mergeCell ref="C34:U34"/>
    <mergeCell ref="C35:S35"/>
    <mergeCell ref="T35:U35"/>
    <mergeCell ref="F99:AM99"/>
    <mergeCell ref="AD100:AE100"/>
    <mergeCell ref="AF100:AG100"/>
    <mergeCell ref="AH100:AI100"/>
    <mergeCell ref="AJ100:AK100"/>
    <mergeCell ref="AL100:AM100"/>
    <mergeCell ref="F100:G100"/>
    <mergeCell ref="H135:I135"/>
    <mergeCell ref="AR134:AR136"/>
    <mergeCell ref="AA128:AA129"/>
    <mergeCell ref="X128:X129"/>
    <mergeCell ref="Y128:Y129"/>
    <mergeCell ref="Z128:Z129"/>
    <mergeCell ref="C128:S128"/>
    <mergeCell ref="B128:B129"/>
    <mergeCell ref="S121:S122"/>
    <mergeCell ref="T121:T122"/>
    <mergeCell ref="T128:U128"/>
    <mergeCell ref="AO134:AO136"/>
    <mergeCell ref="AP134:AP136"/>
    <mergeCell ref="AQ134:AQ136"/>
    <mergeCell ref="AN134:AN136"/>
    <mergeCell ref="A163:A166"/>
    <mergeCell ref="A167:A170"/>
    <mergeCell ref="O121:O122"/>
    <mergeCell ref="P121:P122"/>
    <mergeCell ref="Q121:Q122"/>
    <mergeCell ref="Y12:Y13"/>
    <mergeCell ref="W114:W115"/>
    <mergeCell ref="A103:A105"/>
    <mergeCell ref="A106:B106"/>
    <mergeCell ref="A107:B107"/>
    <mergeCell ref="A108:B108"/>
    <mergeCell ref="A109:B109"/>
    <mergeCell ref="A110:B110"/>
    <mergeCell ref="A102:B102"/>
    <mergeCell ref="P100:Q100"/>
    <mergeCell ref="A99:B101"/>
    <mergeCell ref="C99:E100"/>
    <mergeCell ref="A137:A147"/>
    <mergeCell ref="A148:A158"/>
    <mergeCell ref="A160:A162"/>
    <mergeCell ref="B160:B162"/>
    <mergeCell ref="C160:E161"/>
    <mergeCell ref="F160:AG160"/>
    <mergeCell ref="F161:G161"/>
    <mergeCell ref="B8:J8"/>
    <mergeCell ref="F135:G135"/>
    <mergeCell ref="N135:O135"/>
    <mergeCell ref="P135:Q135"/>
    <mergeCell ref="R135:S135"/>
    <mergeCell ref="A134:A136"/>
    <mergeCell ref="B134:B136"/>
    <mergeCell ref="C134:E135"/>
    <mergeCell ref="F134:AM134"/>
    <mergeCell ref="T135:U135"/>
    <mergeCell ref="V135:W135"/>
    <mergeCell ref="X135:Y135"/>
    <mergeCell ref="Z135:AA135"/>
    <mergeCell ref="AB135:AC135"/>
    <mergeCell ref="AD135:AE135"/>
    <mergeCell ref="AF135:AG135"/>
    <mergeCell ref="J135:K135"/>
    <mergeCell ref="L135:M135"/>
    <mergeCell ref="AH135:AI135"/>
    <mergeCell ref="AJ135:AK135"/>
    <mergeCell ref="AL135:AM135"/>
    <mergeCell ref="V29:V30"/>
    <mergeCell ref="W29:W30"/>
    <mergeCell ref="H100:I100"/>
    <mergeCell ref="U206:U207"/>
    <mergeCell ref="A212:A213"/>
    <mergeCell ref="B212:B213"/>
    <mergeCell ref="C212:D212"/>
    <mergeCell ref="E212:J212"/>
    <mergeCell ref="K212:K213"/>
    <mergeCell ref="L212:L213"/>
    <mergeCell ref="A206:A207"/>
    <mergeCell ref="B206:B207"/>
    <mergeCell ref="C206:C207"/>
    <mergeCell ref="D206:E206"/>
    <mergeCell ref="F206:S206"/>
    <mergeCell ref="T206:T207"/>
    <mergeCell ref="A199:B200"/>
    <mergeCell ref="C199:C200"/>
    <mergeCell ref="D199:J199"/>
    <mergeCell ref="K199:N199"/>
    <mergeCell ref="A201:A204"/>
    <mergeCell ref="A192:A194"/>
    <mergeCell ref="B192:B194"/>
    <mergeCell ref="C192:E193"/>
    <mergeCell ref="F192:F194"/>
    <mergeCell ref="G192:L192"/>
    <mergeCell ref="G193:L193"/>
    <mergeCell ref="AI172:AI174"/>
    <mergeCell ref="CK173:CK174"/>
    <mergeCell ref="CL173:CL174"/>
    <mergeCell ref="A180:A181"/>
    <mergeCell ref="B180:B181"/>
    <mergeCell ref="C180:D180"/>
    <mergeCell ref="E180:E181"/>
    <mergeCell ref="F180:T180"/>
    <mergeCell ref="A187:A188"/>
    <mergeCell ref="B187:D187"/>
    <mergeCell ref="E187:G187"/>
    <mergeCell ref="A172:A174"/>
    <mergeCell ref="B172:D173"/>
    <mergeCell ref="E172:AF172"/>
    <mergeCell ref="AG172:AG174"/>
    <mergeCell ref="AH172:AH174"/>
    <mergeCell ref="E173:F173"/>
    <mergeCell ref="G173:H173"/>
    <mergeCell ref="I173:J173"/>
    <mergeCell ref="W173:X173"/>
    <mergeCell ref="Y173:Z173"/>
    <mergeCell ref="AA173:AB173"/>
    <mergeCell ref="AC173:AD173"/>
    <mergeCell ref="AE173:AF173"/>
    <mergeCell ref="K173:L173"/>
    <mergeCell ref="M173:N173"/>
    <mergeCell ref="O173:P173"/>
    <mergeCell ref="Q173:R173"/>
    <mergeCell ref="S173:T173"/>
    <mergeCell ref="U173:V173"/>
    <mergeCell ref="H161:I161"/>
    <mergeCell ref="J161:K161"/>
    <mergeCell ref="L161:M161"/>
    <mergeCell ref="N161:O161"/>
    <mergeCell ref="P161:Q161"/>
    <mergeCell ref="R161:S161"/>
    <mergeCell ref="T161:U161"/>
    <mergeCell ref="AH160:AH162"/>
    <mergeCell ref="CA161:CA162"/>
    <mergeCell ref="AB161:AC161"/>
    <mergeCell ref="AD161:AE161"/>
    <mergeCell ref="AF161:AG161"/>
    <mergeCell ref="V161:W161"/>
    <mergeCell ref="X161:Y161"/>
    <mergeCell ref="Z161:AA161"/>
    <mergeCell ref="AI160:AI162"/>
    <mergeCell ref="CP128:CP129"/>
    <mergeCell ref="V114:V115"/>
    <mergeCell ref="CB128:CB129"/>
    <mergeCell ref="CD128:CD129"/>
    <mergeCell ref="CE128:CE129"/>
    <mergeCell ref="CF128:CF129"/>
    <mergeCell ref="CL128:CL129"/>
    <mergeCell ref="CN128:CN129"/>
    <mergeCell ref="CO128:CO129"/>
    <mergeCell ref="CF121:CF122"/>
    <mergeCell ref="CE114:CE115"/>
    <mergeCell ref="CH114:CH115"/>
    <mergeCell ref="CG114:CG115"/>
    <mergeCell ref="CL114:CL115"/>
    <mergeCell ref="W128:W129"/>
    <mergeCell ref="CK128:CK129"/>
    <mergeCell ref="CA128:CA129"/>
    <mergeCell ref="CM128:CM129"/>
    <mergeCell ref="CC128:CC129"/>
    <mergeCell ref="CB114:CB115"/>
    <mergeCell ref="CA114:CA115"/>
    <mergeCell ref="CK121:CK122"/>
    <mergeCell ref="CA121:CA122"/>
    <mergeCell ref="CI121:CI122"/>
    <mergeCell ref="CS121:CS122"/>
    <mergeCell ref="A114:A115"/>
    <mergeCell ref="B114:D114"/>
    <mergeCell ref="E114:P114"/>
    <mergeCell ref="Q114:Q115"/>
    <mergeCell ref="R114:R115"/>
    <mergeCell ref="S114:S115"/>
    <mergeCell ref="U114:U115"/>
    <mergeCell ref="CG121:CG122"/>
    <mergeCell ref="CH121:CH122"/>
    <mergeCell ref="CL121:CL122"/>
    <mergeCell ref="CM121:CM122"/>
    <mergeCell ref="CN121:CN122"/>
    <mergeCell ref="CO121:CO122"/>
    <mergeCell ref="CM114:CM115"/>
    <mergeCell ref="CN114:CN115"/>
    <mergeCell ref="CO114:CO115"/>
    <mergeCell ref="CR114:CR115"/>
    <mergeCell ref="CP114:CP115"/>
    <mergeCell ref="CB121:CB122"/>
    <mergeCell ref="CC121:CC122"/>
    <mergeCell ref="CD121:CD122"/>
    <mergeCell ref="CE121:CE122"/>
    <mergeCell ref="CQ121:CQ122"/>
    <mergeCell ref="J100:K100"/>
    <mergeCell ref="L100:M100"/>
    <mergeCell ref="N100:O100"/>
    <mergeCell ref="AB100:AC100"/>
    <mergeCell ref="V100:W100"/>
    <mergeCell ref="X100:Y100"/>
    <mergeCell ref="Z100:AA100"/>
    <mergeCell ref="R100:S100"/>
    <mergeCell ref="T100:U100"/>
    <mergeCell ref="X34:Y35"/>
    <mergeCell ref="Z34:AI34"/>
    <mergeCell ref="AM34:AM36"/>
    <mergeCell ref="AN34:AN36"/>
    <mergeCell ref="AO34:AO36"/>
    <mergeCell ref="AP34:AP36"/>
    <mergeCell ref="AQ34:AQ36"/>
    <mergeCell ref="AE35:AI35"/>
    <mergeCell ref="Z35:AD35"/>
    <mergeCell ref="AJ34:AL35"/>
    <mergeCell ref="A10:I10"/>
    <mergeCell ref="A12:A13"/>
    <mergeCell ref="B12:B13"/>
    <mergeCell ref="C12:S12"/>
    <mergeCell ref="A29:A30"/>
    <mergeCell ref="B29:B30"/>
    <mergeCell ref="C29:S29"/>
    <mergeCell ref="T29:U29"/>
    <mergeCell ref="CA29:CA30"/>
    <mergeCell ref="T12:U12"/>
    <mergeCell ref="V12:V13"/>
    <mergeCell ref="CA12:CA13"/>
    <mergeCell ref="Z12:Z13"/>
    <mergeCell ref="X12:X13"/>
    <mergeCell ref="L21:L23"/>
    <mergeCell ref="A20:L20"/>
    <mergeCell ref="E21:H21"/>
    <mergeCell ref="I21:I23"/>
    <mergeCell ref="J21:J23"/>
    <mergeCell ref="K21:K23"/>
    <mergeCell ref="A21:A23"/>
    <mergeCell ref="B21:D22"/>
    <mergeCell ref="E22:F22"/>
    <mergeCell ref="G22:H22"/>
    <mergeCell ref="A228:A230"/>
    <mergeCell ref="B228:D228"/>
    <mergeCell ref="C229:D229"/>
    <mergeCell ref="A217:A219"/>
    <mergeCell ref="B217:D218"/>
    <mergeCell ref="E217:AF217"/>
    <mergeCell ref="E218:F218"/>
    <mergeCell ref="G218:H218"/>
    <mergeCell ref="I218:J218"/>
    <mergeCell ref="K218:L218"/>
    <mergeCell ref="M218:N218"/>
    <mergeCell ref="O218:P218"/>
    <mergeCell ref="Q218:R218"/>
    <mergeCell ref="S218:T218"/>
    <mergeCell ref="U218:V218"/>
    <mergeCell ref="W218:X218"/>
    <mergeCell ref="Y218:Z218"/>
    <mergeCell ref="AA218:AB218"/>
    <mergeCell ref="AC218:AD218"/>
    <mergeCell ref="AE218:AF218"/>
    <mergeCell ref="A224:A225"/>
    <mergeCell ref="B224:B225"/>
    <mergeCell ref="C224:G224"/>
    <mergeCell ref="CK206:CK207"/>
    <mergeCell ref="CL206:CL207"/>
    <mergeCell ref="CB173:CB174"/>
    <mergeCell ref="CK135:CK136"/>
    <mergeCell ref="CL135:CL136"/>
    <mergeCell ref="CM135:CM136"/>
    <mergeCell ref="CN135:CN136"/>
    <mergeCell ref="CA135:CA136"/>
    <mergeCell ref="CB135:CB136"/>
    <mergeCell ref="CC135:CC136"/>
    <mergeCell ref="CD135:CD136"/>
    <mergeCell ref="CK161:CK162"/>
    <mergeCell ref="CL161:CL162"/>
    <mergeCell ref="CB161:CB162"/>
    <mergeCell ref="CA173:CA174"/>
    <mergeCell ref="CN173:CN174"/>
    <mergeCell ref="CN161:CN162"/>
    <mergeCell ref="CA212:CA213"/>
    <mergeCell ref="CB212:CB213"/>
    <mergeCell ref="CC212:CC213"/>
    <mergeCell ref="CE22:CE23"/>
    <mergeCell ref="CD29:CD30"/>
    <mergeCell ref="CG128:CG129"/>
    <mergeCell ref="CG135:CG136"/>
    <mergeCell ref="CC161:CC162"/>
    <mergeCell ref="CC173:CC174"/>
    <mergeCell ref="CA206:CA207"/>
    <mergeCell ref="CB206:CB207"/>
    <mergeCell ref="CC206:CC207"/>
    <mergeCell ref="CB29:CB30"/>
    <mergeCell ref="CC29:CC30"/>
    <mergeCell ref="CE34:CF35"/>
  </mergeCells>
  <conditionalFormatting sqref="CH20:CJ21 CH27:CJ27 CH22:CH26 CI19:CK19 CK14:CL18">
    <cfRule type="cellIs" dxfId="8" priority="11" operator="equal">
      <formula>1</formula>
    </cfRule>
  </conditionalFormatting>
  <conditionalFormatting sqref="CN14:CO14">
    <cfRule type="cellIs" dxfId="7" priority="10" operator="equal">
      <formula>1</formula>
    </cfRule>
  </conditionalFormatting>
  <conditionalFormatting sqref="CM14:CM18">
    <cfRule type="cellIs" dxfId="6" priority="7" operator="equal">
      <formula>1</formula>
    </cfRule>
  </conditionalFormatting>
  <conditionalFormatting sqref="CN15:CO18">
    <cfRule type="cellIs" dxfId="5" priority="6" operator="equal">
      <formula>1</formula>
    </cfRule>
  </conditionalFormatting>
  <conditionalFormatting sqref="CK24:CN24">
    <cfRule type="cellIs" dxfId="4" priority="5" operator="equal">
      <formula>1</formula>
    </cfRule>
  </conditionalFormatting>
  <conditionalFormatting sqref="CK25:CN26">
    <cfRule type="cellIs" dxfId="3" priority="4" operator="equal">
      <formula>1</formula>
    </cfRule>
  </conditionalFormatting>
  <conditionalFormatting sqref="CL31:CM31">
    <cfRule type="cellIs" dxfId="2" priority="3" operator="equal">
      <formula>1</formula>
    </cfRule>
  </conditionalFormatting>
  <conditionalFormatting sqref="CQ37:CR37">
    <cfRule type="cellIs" dxfId="1" priority="2" operator="equal">
      <formula>1</formula>
    </cfRule>
  </conditionalFormatting>
  <conditionalFormatting sqref="CQ38:CR96">
    <cfRule type="cellIs" dxfId="0" priority="1" operator="equal">
      <formula>1</formula>
    </cfRule>
  </conditionalFormatting>
  <dataValidations count="2">
    <dataValidation type="whole" operator="greaterThanOrEqual" allowBlank="1" showInputMessage="1" showErrorMessage="1" errorTitle="Error" error="Favor ingresar sólo números." sqref="E220:AF222" xr:uid="{00000000-0002-0000-1800-000000000000}">
      <formula1>0</formula1>
    </dataValidation>
    <dataValidation type="whole" operator="greaterThanOrEqual" allowBlank="1" showInputMessage="1" showErrorMessage="1" errorTitle="Error" error="Favor Ingrese sólo Números." sqref="C37:S96" xr:uid="{F319B61F-843D-4539-BF64-08B8399D884E}">
      <formula1>0</formula1>
    </dataValidation>
  </dataValidations>
  <pageMargins left="0.7" right="0.7" top="0.75" bottom="0.75" header="0.3" footer="0.3"/>
  <pageSetup orientation="portrait" horizontalDpi="4294967294" r:id="rId1"/>
  <ignoredErrors>
    <ignoredError sqref="B39 E184 C103 E103 D105:E105 B196 E147" formula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DA95E-3122-40C7-87FF-6A94B955749D}">
  <sheetPr codeName="Hoja27"/>
  <dimension ref="A1:CL1050"/>
  <sheetViews>
    <sheetView showGridLines="0" zoomScaleNormal="100" workbookViewId="0">
      <selection activeCell="A7" sqref="A7:AC7"/>
    </sheetView>
  </sheetViews>
  <sheetFormatPr baseColWidth="10" defaultColWidth="14.42578125" defaultRowHeight="15" x14ac:dyDescent="0.25"/>
  <cols>
    <col min="1" max="1" width="53.7109375" customWidth="1"/>
    <col min="2" max="2" width="53.28515625" customWidth="1"/>
    <col min="3" max="3" width="16.42578125" customWidth="1"/>
    <col min="4" max="4" width="13.28515625" customWidth="1"/>
    <col min="5" max="5" width="14.7109375" customWidth="1"/>
    <col min="6" max="6" width="14.140625" customWidth="1"/>
    <col min="7" max="7" width="13.28515625" customWidth="1"/>
    <col min="8" max="39" width="10.7109375" customWidth="1"/>
    <col min="40" max="40" width="11.140625" customWidth="1"/>
    <col min="41" max="41" width="12.140625" customWidth="1"/>
    <col min="42" max="43" width="10.7109375" customWidth="1"/>
    <col min="44" max="44" width="11.5703125" customWidth="1"/>
    <col min="45" max="45" width="10.7109375" customWidth="1"/>
    <col min="46" max="46" width="14.140625" customWidth="1"/>
    <col min="47" max="47" width="10.7109375" customWidth="1"/>
    <col min="48" max="48" width="11.5703125" customWidth="1"/>
    <col min="49" max="51" width="10.7109375" customWidth="1"/>
    <col min="52" max="52" width="16.28515625" customWidth="1"/>
    <col min="53" max="54" width="14.140625" customWidth="1"/>
    <col min="77" max="78" width="0" hidden="1" customWidth="1"/>
    <col min="79" max="90" width="14.42578125" hidden="1" customWidth="1"/>
    <col min="91" max="104" width="14.42578125" customWidth="1"/>
  </cols>
  <sheetData>
    <row r="1" spans="1:89" x14ac:dyDescent="0.25">
      <c r="A1" s="4076" t="s">
        <v>206</v>
      </c>
    </row>
    <row r="2" spans="1:89" x14ac:dyDescent="0.25">
      <c r="A2" s="4076" t="str">
        <f>CONCATENATE("COMUNA: ",NOMBRE!B2," - ","( ",NOMBRE!C2,NOMBRE!D2,NOMBRE!E2,NOMBRE!F2,NOMBRE!G2," )")</f>
        <v>COMUNA:  - (  )</v>
      </c>
    </row>
    <row r="3" spans="1:89" x14ac:dyDescent="0.25">
      <c r="A3" s="4076" t="str">
        <f>CONCATENATE("ESTABLECIMIENTO/ESTRATEGIA: ",NOMBRE!B3," - ","( ",NOMBRE!C3,NOMBRE!D3,NOMBRE!E3,NOMBRE!F3,NOMBRE!G3,NOMBRE!H3," )")</f>
        <v>ESTABLECIMIENTO/ESTRATEGIA:  - (  )</v>
      </c>
    </row>
    <row r="4" spans="1:89" x14ac:dyDescent="0.25">
      <c r="A4" s="4076" t="str">
        <f>CONCATENATE("MES: ",NOMBRE!B6," - ","( ",NOMBRE!C6,NOMBRE!D6," )")</f>
        <v>MES:  - (  )</v>
      </c>
    </row>
    <row r="5" spans="1:89" x14ac:dyDescent="0.25">
      <c r="A5" s="4076" t="str">
        <f>CONCATENATE("AÑO: ",NOMBRE!B7)</f>
        <v>AÑO: 2023</v>
      </c>
    </row>
    <row r="6" spans="1:89" x14ac:dyDescent="0.25">
      <c r="A6" s="4077"/>
    </row>
    <row r="7" spans="1:89" ht="15" customHeight="1" x14ac:dyDescent="0.25">
      <c r="A7" s="8835" t="s">
        <v>3986</v>
      </c>
      <c r="B7" s="8835"/>
      <c r="C7" s="8835"/>
      <c r="D7" s="8835"/>
      <c r="E7" s="8835"/>
      <c r="F7" s="8835"/>
      <c r="G7" s="8835"/>
      <c r="H7" s="8835"/>
      <c r="I7" s="8835"/>
      <c r="J7" s="8835"/>
      <c r="K7" s="8835"/>
      <c r="L7" s="8835"/>
      <c r="M7" s="8835"/>
      <c r="N7" s="8835"/>
      <c r="O7" s="8835"/>
      <c r="P7" s="8835"/>
      <c r="Q7" s="8835"/>
      <c r="R7" s="8835"/>
      <c r="S7" s="8835"/>
      <c r="T7" s="8835"/>
      <c r="U7" s="8835"/>
      <c r="V7" s="8835"/>
      <c r="W7" s="8835"/>
      <c r="X7" s="8835"/>
      <c r="Y7" s="8835"/>
      <c r="Z7" s="8835"/>
      <c r="AA7" s="8835"/>
      <c r="AB7" s="8835"/>
      <c r="AC7" s="8835"/>
    </row>
    <row r="8" spans="1:89" x14ac:dyDescent="0.25">
      <c r="A8" s="4077"/>
      <c r="D8" s="4078"/>
      <c r="E8" s="4078"/>
      <c r="F8" s="4078"/>
      <c r="G8" s="4078"/>
      <c r="H8" s="4078"/>
      <c r="I8" s="4078"/>
      <c r="J8" s="4078"/>
      <c r="K8" s="4078"/>
      <c r="L8" s="4078"/>
    </row>
    <row r="9" spans="1:89" x14ac:dyDescent="0.25">
      <c r="A9" s="4077"/>
      <c r="D9" s="4078"/>
      <c r="E9" s="4078"/>
      <c r="F9" s="4078"/>
      <c r="G9" s="4078"/>
      <c r="H9" s="4078"/>
      <c r="I9" s="4078"/>
      <c r="J9" s="4078"/>
      <c r="K9" s="4078"/>
      <c r="L9" s="4078"/>
    </row>
    <row r="10" spans="1:89" ht="15.75" x14ac:dyDescent="0.25">
      <c r="A10" s="4079" t="s">
        <v>465</v>
      </c>
    </row>
    <row r="11" spans="1:89" ht="15.75" x14ac:dyDescent="0.25">
      <c r="A11" s="4079" t="s">
        <v>3048</v>
      </c>
      <c r="B11" s="4080"/>
      <c r="C11" s="4081"/>
      <c r="D11" s="4081"/>
      <c r="E11" s="4081"/>
      <c r="F11" s="4082"/>
      <c r="G11" s="4082"/>
      <c r="H11" s="4082"/>
      <c r="I11" s="4082"/>
      <c r="J11" s="4082"/>
      <c r="K11" s="4082"/>
      <c r="L11" s="4082"/>
      <c r="M11" s="4082"/>
      <c r="N11" s="4082"/>
      <c r="O11" s="4082"/>
      <c r="P11" s="4082"/>
      <c r="Q11" s="4082"/>
      <c r="R11" s="4082"/>
      <c r="S11" s="4082"/>
      <c r="T11" s="4082"/>
      <c r="U11" s="4082"/>
      <c r="V11" s="4082"/>
      <c r="W11" s="4082"/>
      <c r="X11" s="4082"/>
      <c r="Y11" s="4082"/>
      <c r="Z11" s="4082"/>
      <c r="AA11" s="4082"/>
      <c r="AB11" s="4082"/>
      <c r="AC11" s="4082"/>
      <c r="AD11" s="4082"/>
      <c r="AE11" s="4082"/>
      <c r="AF11" s="4082"/>
      <c r="AG11" s="4082"/>
      <c r="AH11" s="4082"/>
      <c r="AI11" s="4082"/>
      <c r="AJ11" s="4082"/>
      <c r="AK11" s="4082"/>
      <c r="AL11" s="4082"/>
      <c r="AM11" s="4082"/>
      <c r="AN11" s="4082"/>
      <c r="AO11" s="4082"/>
      <c r="AP11" s="4082"/>
      <c r="AQ11" s="4082"/>
      <c r="AR11" s="4080"/>
      <c r="AS11" s="4080"/>
    </row>
    <row r="12" spans="1:89" ht="15" customHeight="1" x14ac:dyDescent="0.25">
      <c r="A12" s="10913" t="s">
        <v>3390</v>
      </c>
      <c r="B12" s="10914"/>
      <c r="C12" s="10919" t="s">
        <v>24</v>
      </c>
      <c r="D12" s="10920"/>
      <c r="E12" s="10921"/>
      <c r="F12" s="10877" t="s">
        <v>98</v>
      </c>
      <c r="G12" s="9040"/>
      <c r="H12" s="9040"/>
      <c r="I12" s="9040"/>
      <c r="J12" s="9040"/>
      <c r="K12" s="9040"/>
      <c r="L12" s="9040"/>
      <c r="M12" s="9040"/>
      <c r="N12" s="9040"/>
      <c r="O12" s="9040"/>
      <c r="P12" s="9040"/>
      <c r="Q12" s="9040"/>
      <c r="R12" s="9040"/>
      <c r="S12" s="9040"/>
      <c r="T12" s="9040"/>
      <c r="U12" s="9040"/>
      <c r="V12" s="9040"/>
      <c r="W12" s="9040"/>
      <c r="X12" s="9040"/>
      <c r="Y12" s="9040"/>
      <c r="Z12" s="9040"/>
      <c r="AA12" s="9040"/>
      <c r="AB12" s="9040"/>
      <c r="AC12" s="9040"/>
      <c r="AD12" s="9040"/>
      <c r="AE12" s="9040"/>
      <c r="AF12" s="9040"/>
      <c r="AG12" s="9040"/>
      <c r="AH12" s="9040"/>
      <c r="AI12" s="9040"/>
      <c r="AJ12" s="9040"/>
      <c r="AK12" s="9040"/>
      <c r="AL12" s="9040"/>
      <c r="AM12" s="10878"/>
      <c r="AN12" s="8855" t="s">
        <v>1818</v>
      </c>
      <c r="AO12" s="8867" t="s">
        <v>359</v>
      </c>
      <c r="CA12" s="8748" t="s">
        <v>1818</v>
      </c>
      <c r="CB12" s="8748" t="s">
        <v>359</v>
      </c>
      <c r="CC12" s="8748" t="s">
        <v>3951</v>
      </c>
      <c r="CJ12" s="8748" t="s">
        <v>1818</v>
      </c>
      <c r="CK12" s="8748" t="s">
        <v>359</v>
      </c>
    </row>
    <row r="13" spans="1:89" ht="15" customHeight="1" x14ac:dyDescent="0.25">
      <c r="A13" s="10915"/>
      <c r="B13" s="10916"/>
      <c r="C13" s="10897"/>
      <c r="D13" s="10883"/>
      <c r="E13" s="10898"/>
      <c r="F13" s="10906" t="s">
        <v>1414</v>
      </c>
      <c r="G13" s="10874"/>
      <c r="H13" s="10873" t="s">
        <v>1413</v>
      </c>
      <c r="I13" s="10874"/>
      <c r="J13" s="10873" t="s">
        <v>77</v>
      </c>
      <c r="K13" s="10874"/>
      <c r="L13" s="10873" t="s">
        <v>68</v>
      </c>
      <c r="M13" s="10874"/>
      <c r="N13" s="10873" t="s">
        <v>142</v>
      </c>
      <c r="O13" s="10874"/>
      <c r="P13" s="10873" t="s">
        <v>143</v>
      </c>
      <c r="Q13" s="10874"/>
      <c r="R13" s="10873" t="s">
        <v>144</v>
      </c>
      <c r="S13" s="10874"/>
      <c r="T13" s="10873" t="s">
        <v>7</v>
      </c>
      <c r="U13" s="10874"/>
      <c r="V13" s="10873" t="s">
        <v>8</v>
      </c>
      <c r="W13" s="10874"/>
      <c r="X13" s="10873" t="s">
        <v>145</v>
      </c>
      <c r="Y13" s="10874"/>
      <c r="Z13" s="10873" t="s">
        <v>10</v>
      </c>
      <c r="AA13" s="10874"/>
      <c r="AB13" s="10873" t="s">
        <v>11</v>
      </c>
      <c r="AC13" s="10874"/>
      <c r="AD13" s="10873" t="s">
        <v>12</v>
      </c>
      <c r="AE13" s="10874"/>
      <c r="AF13" s="10873" t="s">
        <v>13</v>
      </c>
      <c r="AG13" s="10874"/>
      <c r="AH13" s="10873" t="s">
        <v>14</v>
      </c>
      <c r="AI13" s="10874"/>
      <c r="AJ13" s="10873" t="s">
        <v>15</v>
      </c>
      <c r="AK13" s="10874"/>
      <c r="AL13" s="10879" t="s">
        <v>16</v>
      </c>
      <c r="AM13" s="10878"/>
      <c r="AN13" s="8625"/>
      <c r="AO13" s="8689"/>
      <c r="CA13" s="8748"/>
      <c r="CB13" s="8748"/>
      <c r="CC13" s="8748"/>
      <c r="CJ13" s="8748"/>
      <c r="CK13" s="8748"/>
    </row>
    <row r="14" spans="1:89" x14ac:dyDescent="0.25">
      <c r="A14" s="10917"/>
      <c r="B14" s="10918"/>
      <c r="C14" s="4083" t="s">
        <v>42</v>
      </c>
      <c r="D14" s="4084" t="s">
        <v>17</v>
      </c>
      <c r="E14" s="4085" t="s">
        <v>18</v>
      </c>
      <c r="F14" s="4086" t="s">
        <v>17</v>
      </c>
      <c r="G14" s="4087" t="s">
        <v>18</v>
      </c>
      <c r="H14" s="4088" t="s">
        <v>17</v>
      </c>
      <c r="I14" s="4087" t="s">
        <v>18</v>
      </c>
      <c r="J14" s="4088" t="s">
        <v>17</v>
      </c>
      <c r="K14" s="4087" t="s">
        <v>18</v>
      </c>
      <c r="L14" s="4088" t="s">
        <v>17</v>
      </c>
      <c r="M14" s="4087" t="s">
        <v>18</v>
      </c>
      <c r="N14" s="4088" t="s">
        <v>17</v>
      </c>
      <c r="O14" s="4087" t="s">
        <v>18</v>
      </c>
      <c r="P14" s="4088" t="s">
        <v>17</v>
      </c>
      <c r="Q14" s="4087" t="s">
        <v>18</v>
      </c>
      <c r="R14" s="4088" t="s">
        <v>17</v>
      </c>
      <c r="S14" s="4087" t="s">
        <v>18</v>
      </c>
      <c r="T14" s="4088" t="s">
        <v>17</v>
      </c>
      <c r="U14" s="4087" t="s">
        <v>18</v>
      </c>
      <c r="V14" s="4088" t="s">
        <v>17</v>
      </c>
      <c r="W14" s="4087" t="s">
        <v>18</v>
      </c>
      <c r="X14" s="4088" t="s">
        <v>17</v>
      </c>
      <c r="Y14" s="4087" t="s">
        <v>18</v>
      </c>
      <c r="Z14" s="4088" t="s">
        <v>17</v>
      </c>
      <c r="AA14" s="4087" t="s">
        <v>18</v>
      </c>
      <c r="AB14" s="4088" t="s">
        <v>17</v>
      </c>
      <c r="AC14" s="4087" t="s">
        <v>18</v>
      </c>
      <c r="AD14" s="4088" t="s">
        <v>17</v>
      </c>
      <c r="AE14" s="4087" t="s">
        <v>18</v>
      </c>
      <c r="AF14" s="4088" t="s">
        <v>17</v>
      </c>
      <c r="AG14" s="4087" t="s">
        <v>18</v>
      </c>
      <c r="AH14" s="4088" t="s">
        <v>17</v>
      </c>
      <c r="AI14" s="4087" t="s">
        <v>18</v>
      </c>
      <c r="AJ14" s="4088" t="s">
        <v>17</v>
      </c>
      <c r="AK14" s="4087" t="s">
        <v>18</v>
      </c>
      <c r="AL14" s="4088" t="s">
        <v>17</v>
      </c>
      <c r="AM14" s="4089" t="s">
        <v>18</v>
      </c>
      <c r="AN14" s="10745"/>
      <c r="AO14" s="8870" t="s">
        <v>18</v>
      </c>
      <c r="CA14" s="8748"/>
      <c r="CB14" s="8748" t="s">
        <v>18</v>
      </c>
      <c r="CC14" s="8748" t="s">
        <v>18</v>
      </c>
      <c r="CJ14" s="8748"/>
      <c r="CK14" s="8748" t="s">
        <v>18</v>
      </c>
    </row>
    <row r="15" spans="1:89" ht="14.1" customHeight="1" x14ac:dyDescent="0.25">
      <c r="A15" s="10891" t="s">
        <v>3049</v>
      </c>
      <c r="B15" s="4090" t="s">
        <v>3050</v>
      </c>
      <c r="C15" s="4091">
        <f>SUM(D15:E15)</f>
        <v>0</v>
      </c>
      <c r="D15" s="4092">
        <f>+F15+H15+J15+L15+N15+P15+R15+T15+V15++X15+Z15+AB15+AD15+AF15+AH15+AJ15+AL15</f>
        <v>0</v>
      </c>
      <c r="E15" s="4091">
        <f>+G15+I15+K15+M15+O15+Q15+S15+U15+W15++Y15+AA15+AC15+AE15+AG15+AI15+AK15+AM15</f>
        <v>0</v>
      </c>
      <c r="F15" s="4093"/>
      <c r="G15" s="4094"/>
      <c r="H15" s="4093"/>
      <c r="I15" s="4094"/>
      <c r="J15" s="4093"/>
      <c r="K15" s="4094"/>
      <c r="L15" s="4093"/>
      <c r="M15" s="4094"/>
      <c r="N15" s="4095"/>
      <c r="O15" s="4094"/>
      <c r="P15" s="4096"/>
      <c r="Q15" s="4094"/>
      <c r="R15" s="4096"/>
      <c r="S15" s="4094"/>
      <c r="T15" s="4096"/>
      <c r="U15" s="4094"/>
      <c r="V15" s="4093"/>
      <c r="W15" s="4094"/>
      <c r="X15" s="4093"/>
      <c r="Y15" s="4094"/>
      <c r="Z15" s="4093"/>
      <c r="AA15" s="4094"/>
      <c r="AB15" s="4093"/>
      <c r="AC15" s="4094"/>
      <c r="AD15" s="4093"/>
      <c r="AE15" s="4094"/>
      <c r="AF15" s="4093"/>
      <c r="AG15" s="4094"/>
      <c r="AH15" s="4093"/>
      <c r="AI15" s="4094"/>
      <c r="AJ15" s="4093"/>
      <c r="AK15" s="4094"/>
      <c r="AL15" s="4093"/>
      <c r="AM15" s="4097"/>
      <c r="AN15" s="4098"/>
      <c r="AO15" s="4094"/>
      <c r="AP15" t="str">
        <f>CA15&amp;CB15&amp;CC15</f>
        <v/>
      </c>
      <c r="CA15" t="str">
        <f>IF(CJ15=1," * El total de registros en Pueblos Originarios no debe ser mayor al Total.","")</f>
        <v/>
      </c>
      <c r="CB15" t="str">
        <f>IF(CK15=1," * El total de registros en Migrantes no debe ser mayor al Total.","")</f>
        <v/>
      </c>
      <c r="CC15" t="str">
        <f>IF(AND(C15&lt;&gt;0,OR(AN15="",AO15="")),"* No olvide digitar Migrantes y/o Pueblos Originarios (Digite CERO si no tiene). ","")</f>
        <v/>
      </c>
      <c r="CJ15">
        <f>IF(AN15&gt;C15,1,0)</f>
        <v>0</v>
      </c>
      <c r="CK15">
        <f>IF(AO15&gt;C15,1,0)</f>
        <v>0</v>
      </c>
    </row>
    <row r="16" spans="1:89" ht="14.1" customHeight="1" x14ac:dyDescent="0.25">
      <c r="A16" s="10892"/>
      <c r="B16" s="4099" t="s">
        <v>3051</v>
      </c>
      <c r="C16" s="4091">
        <f t="shared" ref="C16:C41" si="0">SUM(D16:E16)</f>
        <v>0</v>
      </c>
      <c r="D16" s="4100">
        <f>+F16+H16+J16+L16+N16+P16+R16+T16+V16++X16+Z16+AB16+AD16+AF16+AH16+AJ16+AL16</f>
        <v>0</v>
      </c>
      <c r="E16" s="4091">
        <f t="shared" ref="E16:E41" si="1">+G16+I16+K16+M16+O16+Q16+S16+U16+W16++Y16+AA16+AC16+AE16+AG16+AI16+AK16+AM16</f>
        <v>0</v>
      </c>
      <c r="F16" s="4101"/>
      <c r="G16" s="4094"/>
      <c r="H16" s="4101"/>
      <c r="I16" s="4094"/>
      <c r="J16" s="4101"/>
      <c r="K16" s="4094"/>
      <c r="L16" s="4101"/>
      <c r="M16" s="4094"/>
      <c r="N16" s="4096"/>
      <c r="O16" s="4094"/>
      <c r="P16" s="4096"/>
      <c r="Q16" s="4094"/>
      <c r="R16" s="4096"/>
      <c r="S16" s="4094"/>
      <c r="T16" s="4096"/>
      <c r="U16" s="4094"/>
      <c r="V16" s="4101"/>
      <c r="W16" s="4094"/>
      <c r="X16" s="4101"/>
      <c r="Y16" s="4094"/>
      <c r="Z16" s="4101"/>
      <c r="AA16" s="4094"/>
      <c r="AB16" s="4101"/>
      <c r="AC16" s="4094"/>
      <c r="AD16" s="4101"/>
      <c r="AE16" s="4094"/>
      <c r="AF16" s="4101"/>
      <c r="AG16" s="4094"/>
      <c r="AH16" s="4101"/>
      <c r="AI16" s="4094"/>
      <c r="AJ16" s="4101"/>
      <c r="AK16" s="4094"/>
      <c r="AL16" s="4101"/>
      <c r="AM16" s="4097"/>
      <c r="AN16" s="4098"/>
      <c r="AO16" s="4094"/>
      <c r="AP16" t="str">
        <f t="shared" ref="AP16:AP41" si="2">CA16&amp;CB16&amp;CC16</f>
        <v/>
      </c>
      <c r="CA16" t="str">
        <f t="shared" ref="CA16:CA41" si="3">IF(CJ16=1," * El total de registros en Pueblos Originarios no debe ser mayor al Total.","")</f>
        <v/>
      </c>
      <c r="CB16" t="str">
        <f t="shared" ref="CB16:CB41" si="4">IF(CK16=1," * El total de registros en Migrantes no debe ser mayor al Total.","")</f>
        <v/>
      </c>
      <c r="CC16" t="str">
        <f t="shared" ref="CC16:CC41" si="5">IF(AND(C16&lt;&gt;0,OR(AN16="",AO16="")),"* No olvide digitar Migrantes y/o Pueblos Originarios (Digite CERO si no tiene). ","")</f>
        <v/>
      </c>
      <c r="CJ16">
        <f t="shared" ref="CJ16:CJ41" si="6">IF(AN16&gt;C16,1,0)</f>
        <v>0</v>
      </c>
      <c r="CK16">
        <f t="shared" ref="CK16:CK41" si="7">IF(AO16&gt;C16,1,0)</f>
        <v>0</v>
      </c>
    </row>
    <row r="17" spans="1:89" ht="14.1" customHeight="1" x14ac:dyDescent="0.25">
      <c r="A17" s="10892"/>
      <c r="B17" s="4099" t="s">
        <v>3052</v>
      </c>
      <c r="C17" s="4091">
        <f t="shared" si="0"/>
        <v>0</v>
      </c>
      <c r="D17" s="4100">
        <f t="shared" ref="D17:D41" si="8">+F17+H17+J17+L17+N17+P17+R17+T17+V17++X17+Z17+AB17+AD17+AF17+AH17+AJ17+AL17</f>
        <v>0</v>
      </c>
      <c r="E17" s="4091">
        <f t="shared" si="1"/>
        <v>0</v>
      </c>
      <c r="F17" s="4101"/>
      <c r="G17" s="4094"/>
      <c r="H17" s="4101"/>
      <c r="I17" s="4094"/>
      <c r="J17" s="4101"/>
      <c r="K17" s="4094"/>
      <c r="L17" s="4101"/>
      <c r="M17" s="4094"/>
      <c r="N17" s="4096"/>
      <c r="O17" s="4094"/>
      <c r="P17" s="4096"/>
      <c r="Q17" s="4094"/>
      <c r="R17" s="4096"/>
      <c r="S17" s="4094"/>
      <c r="T17" s="4096"/>
      <c r="U17" s="4094"/>
      <c r="V17" s="4101"/>
      <c r="W17" s="4094"/>
      <c r="X17" s="4101"/>
      <c r="Y17" s="4094"/>
      <c r="Z17" s="4101"/>
      <c r="AA17" s="4094"/>
      <c r="AB17" s="4101"/>
      <c r="AC17" s="4094"/>
      <c r="AD17" s="4101"/>
      <c r="AE17" s="4094"/>
      <c r="AF17" s="4101"/>
      <c r="AG17" s="4094"/>
      <c r="AH17" s="4101"/>
      <c r="AI17" s="4094"/>
      <c r="AJ17" s="4101"/>
      <c r="AK17" s="4094"/>
      <c r="AL17" s="4101"/>
      <c r="AM17" s="4097"/>
      <c r="AN17" s="4098"/>
      <c r="AO17" s="4094"/>
      <c r="AP17" t="str">
        <f t="shared" si="2"/>
        <v/>
      </c>
      <c r="CA17" t="str">
        <f t="shared" si="3"/>
        <v/>
      </c>
      <c r="CB17" t="str">
        <f t="shared" si="4"/>
        <v/>
      </c>
      <c r="CC17" t="str">
        <f t="shared" si="5"/>
        <v/>
      </c>
      <c r="CJ17">
        <f t="shared" si="6"/>
        <v>0</v>
      </c>
      <c r="CK17">
        <f t="shared" si="7"/>
        <v>0</v>
      </c>
    </row>
    <row r="18" spans="1:89" ht="14.1" customHeight="1" x14ac:dyDescent="0.25">
      <c r="A18" s="10892"/>
      <c r="B18" s="4099" t="s">
        <v>3053</v>
      </c>
      <c r="C18" s="4091">
        <f t="shared" si="0"/>
        <v>0</v>
      </c>
      <c r="D18" s="4100">
        <f t="shared" si="8"/>
        <v>0</v>
      </c>
      <c r="E18" s="4091">
        <f t="shared" si="1"/>
        <v>0</v>
      </c>
      <c r="F18" s="4101"/>
      <c r="G18" s="4094"/>
      <c r="H18" s="4101"/>
      <c r="I18" s="4094"/>
      <c r="J18" s="4101"/>
      <c r="K18" s="4094"/>
      <c r="L18" s="4101"/>
      <c r="M18" s="4094"/>
      <c r="N18" s="4096"/>
      <c r="O18" s="4094"/>
      <c r="P18" s="4096"/>
      <c r="Q18" s="4094"/>
      <c r="R18" s="4096"/>
      <c r="S18" s="4094"/>
      <c r="T18" s="4096"/>
      <c r="U18" s="4094"/>
      <c r="V18" s="4101"/>
      <c r="W18" s="4094"/>
      <c r="X18" s="4101"/>
      <c r="Y18" s="4094"/>
      <c r="Z18" s="4101"/>
      <c r="AA18" s="4094"/>
      <c r="AB18" s="4101"/>
      <c r="AC18" s="4094"/>
      <c r="AD18" s="4101"/>
      <c r="AE18" s="4094"/>
      <c r="AF18" s="4101"/>
      <c r="AG18" s="4094"/>
      <c r="AH18" s="4101"/>
      <c r="AI18" s="4094"/>
      <c r="AJ18" s="4101"/>
      <c r="AK18" s="4094"/>
      <c r="AL18" s="4101"/>
      <c r="AM18" s="4097"/>
      <c r="AN18" s="4098"/>
      <c r="AO18" s="4094"/>
      <c r="AP18" t="str">
        <f t="shared" si="2"/>
        <v/>
      </c>
      <c r="CA18" t="str">
        <f t="shared" si="3"/>
        <v/>
      </c>
      <c r="CB18" t="str">
        <f t="shared" si="4"/>
        <v/>
      </c>
      <c r="CC18" t="str">
        <f t="shared" si="5"/>
        <v/>
      </c>
      <c r="CJ18">
        <f t="shared" si="6"/>
        <v>0</v>
      </c>
      <c r="CK18">
        <f t="shared" si="7"/>
        <v>0</v>
      </c>
    </row>
    <row r="19" spans="1:89" ht="14.1" customHeight="1" x14ac:dyDescent="0.25">
      <c r="A19" s="10892"/>
      <c r="B19" s="4099" t="s">
        <v>3054</v>
      </c>
      <c r="C19" s="4091">
        <f t="shared" si="0"/>
        <v>0</v>
      </c>
      <c r="D19" s="4100">
        <f t="shared" si="8"/>
        <v>0</v>
      </c>
      <c r="E19" s="4091">
        <f t="shared" si="1"/>
        <v>0</v>
      </c>
      <c r="F19" s="4101"/>
      <c r="G19" s="4094"/>
      <c r="H19" s="4101"/>
      <c r="I19" s="4094"/>
      <c r="J19" s="4101"/>
      <c r="K19" s="4094"/>
      <c r="L19" s="4101"/>
      <c r="M19" s="4094"/>
      <c r="N19" s="4096"/>
      <c r="O19" s="4094"/>
      <c r="P19" s="4096"/>
      <c r="Q19" s="4094"/>
      <c r="R19" s="4096"/>
      <c r="S19" s="4094"/>
      <c r="T19" s="4096"/>
      <c r="U19" s="4094"/>
      <c r="V19" s="4101"/>
      <c r="W19" s="4094"/>
      <c r="X19" s="4101"/>
      <c r="Y19" s="4094"/>
      <c r="Z19" s="4101"/>
      <c r="AA19" s="4094"/>
      <c r="AB19" s="4101"/>
      <c r="AC19" s="4094"/>
      <c r="AD19" s="4101"/>
      <c r="AE19" s="4094"/>
      <c r="AF19" s="4101"/>
      <c r="AG19" s="4094"/>
      <c r="AH19" s="4101"/>
      <c r="AI19" s="4094"/>
      <c r="AJ19" s="4101"/>
      <c r="AK19" s="4094"/>
      <c r="AL19" s="4101"/>
      <c r="AM19" s="4097"/>
      <c r="AN19" s="4098"/>
      <c r="AO19" s="4094"/>
      <c r="AP19" t="str">
        <f t="shared" si="2"/>
        <v/>
      </c>
      <c r="CA19" t="str">
        <f t="shared" si="3"/>
        <v/>
      </c>
      <c r="CB19" t="str">
        <f t="shared" si="4"/>
        <v/>
      </c>
      <c r="CC19" t="str">
        <f t="shared" si="5"/>
        <v/>
      </c>
      <c r="CJ19">
        <f t="shared" si="6"/>
        <v>0</v>
      </c>
      <c r="CK19">
        <f t="shared" si="7"/>
        <v>0</v>
      </c>
    </row>
    <row r="20" spans="1:89" ht="14.1" customHeight="1" x14ac:dyDescent="0.25">
      <c r="A20" s="10892"/>
      <c r="B20" s="4099" t="s">
        <v>3055</v>
      </c>
      <c r="C20" s="4091">
        <f t="shared" si="0"/>
        <v>0</v>
      </c>
      <c r="D20" s="4100">
        <f t="shared" si="8"/>
        <v>0</v>
      </c>
      <c r="E20" s="4091">
        <f t="shared" si="1"/>
        <v>0</v>
      </c>
      <c r="F20" s="4101"/>
      <c r="G20" s="4094"/>
      <c r="H20" s="4101"/>
      <c r="I20" s="4094"/>
      <c r="J20" s="4101"/>
      <c r="K20" s="4094"/>
      <c r="L20" s="4101"/>
      <c r="M20" s="4094"/>
      <c r="N20" s="4096"/>
      <c r="O20" s="4094"/>
      <c r="P20" s="4096"/>
      <c r="Q20" s="4094"/>
      <c r="R20" s="4096"/>
      <c r="S20" s="4094"/>
      <c r="T20" s="4096"/>
      <c r="U20" s="4094"/>
      <c r="V20" s="4101"/>
      <c r="W20" s="4094"/>
      <c r="X20" s="4101"/>
      <c r="Y20" s="4094"/>
      <c r="Z20" s="4101"/>
      <c r="AA20" s="4094"/>
      <c r="AB20" s="4101"/>
      <c r="AC20" s="4094"/>
      <c r="AD20" s="4101"/>
      <c r="AE20" s="4094"/>
      <c r="AF20" s="4101"/>
      <c r="AG20" s="4094"/>
      <c r="AH20" s="4101"/>
      <c r="AI20" s="4094"/>
      <c r="AJ20" s="4101"/>
      <c r="AK20" s="4094"/>
      <c r="AL20" s="4101"/>
      <c r="AM20" s="4097"/>
      <c r="AN20" s="4098"/>
      <c r="AO20" s="4094"/>
      <c r="AP20" t="str">
        <f t="shared" si="2"/>
        <v/>
      </c>
      <c r="CA20" t="str">
        <f t="shared" si="3"/>
        <v/>
      </c>
      <c r="CB20" t="str">
        <f t="shared" si="4"/>
        <v/>
      </c>
      <c r="CC20" t="str">
        <f t="shared" si="5"/>
        <v/>
      </c>
      <c r="CJ20">
        <f t="shared" si="6"/>
        <v>0</v>
      </c>
      <c r="CK20">
        <f t="shared" si="7"/>
        <v>0</v>
      </c>
    </row>
    <row r="21" spans="1:89" ht="14.1" customHeight="1" x14ac:dyDescent="0.25">
      <c r="A21" s="10892"/>
      <c r="B21" s="4099" t="s">
        <v>3056</v>
      </c>
      <c r="C21" s="4091">
        <f t="shared" si="0"/>
        <v>0</v>
      </c>
      <c r="D21" s="4100">
        <f t="shared" si="8"/>
        <v>0</v>
      </c>
      <c r="E21" s="4091">
        <f t="shared" si="1"/>
        <v>0</v>
      </c>
      <c r="F21" s="4101"/>
      <c r="G21" s="4094"/>
      <c r="H21" s="4101"/>
      <c r="I21" s="4094"/>
      <c r="J21" s="4101"/>
      <c r="K21" s="4094"/>
      <c r="L21" s="4101"/>
      <c r="M21" s="4094"/>
      <c r="N21" s="4096"/>
      <c r="O21" s="4094"/>
      <c r="P21" s="4096"/>
      <c r="Q21" s="4094"/>
      <c r="R21" s="4096"/>
      <c r="S21" s="4094"/>
      <c r="T21" s="4096"/>
      <c r="U21" s="4094"/>
      <c r="V21" s="4101"/>
      <c r="W21" s="4094"/>
      <c r="X21" s="4101"/>
      <c r="Y21" s="4094"/>
      <c r="Z21" s="4101"/>
      <c r="AA21" s="4094"/>
      <c r="AB21" s="4101"/>
      <c r="AC21" s="4094"/>
      <c r="AD21" s="4101"/>
      <c r="AE21" s="4094"/>
      <c r="AF21" s="4101"/>
      <c r="AG21" s="4094"/>
      <c r="AH21" s="4101"/>
      <c r="AI21" s="4094"/>
      <c r="AJ21" s="4101"/>
      <c r="AK21" s="4094"/>
      <c r="AL21" s="4101"/>
      <c r="AM21" s="4097"/>
      <c r="AN21" s="4098"/>
      <c r="AO21" s="4094"/>
      <c r="AP21" t="str">
        <f t="shared" si="2"/>
        <v/>
      </c>
      <c r="CA21" t="str">
        <f t="shared" si="3"/>
        <v/>
      </c>
      <c r="CB21" t="str">
        <f t="shared" si="4"/>
        <v/>
      </c>
      <c r="CC21" t="str">
        <f t="shared" si="5"/>
        <v/>
      </c>
      <c r="CJ21">
        <f t="shared" si="6"/>
        <v>0</v>
      </c>
      <c r="CK21">
        <f t="shared" si="7"/>
        <v>0</v>
      </c>
    </row>
    <row r="22" spans="1:89" ht="14.1" customHeight="1" x14ac:dyDescent="0.25">
      <c r="A22" s="10892"/>
      <c r="B22" s="4099" t="s">
        <v>3057</v>
      </c>
      <c r="C22" s="4091">
        <f t="shared" si="0"/>
        <v>0</v>
      </c>
      <c r="D22" s="4100">
        <f t="shared" si="8"/>
        <v>0</v>
      </c>
      <c r="E22" s="4091">
        <f t="shared" si="1"/>
        <v>0</v>
      </c>
      <c r="F22" s="4101"/>
      <c r="G22" s="4094"/>
      <c r="H22" s="4101"/>
      <c r="I22" s="4094"/>
      <c r="J22" s="4101"/>
      <c r="K22" s="4094"/>
      <c r="L22" s="4101"/>
      <c r="M22" s="4094"/>
      <c r="N22" s="4096"/>
      <c r="O22" s="4094"/>
      <c r="P22" s="4096"/>
      <c r="Q22" s="4094"/>
      <c r="R22" s="4096"/>
      <c r="S22" s="4094"/>
      <c r="T22" s="4096"/>
      <c r="U22" s="4094"/>
      <c r="V22" s="4101"/>
      <c r="W22" s="4094"/>
      <c r="X22" s="4101"/>
      <c r="Y22" s="4094"/>
      <c r="Z22" s="4101"/>
      <c r="AA22" s="4094"/>
      <c r="AB22" s="4101"/>
      <c r="AC22" s="4094"/>
      <c r="AD22" s="4101"/>
      <c r="AE22" s="4094"/>
      <c r="AF22" s="4101"/>
      <c r="AG22" s="4094"/>
      <c r="AH22" s="4101"/>
      <c r="AI22" s="4094"/>
      <c r="AJ22" s="4101"/>
      <c r="AK22" s="4094"/>
      <c r="AL22" s="4101"/>
      <c r="AM22" s="4097"/>
      <c r="AN22" s="4098"/>
      <c r="AO22" s="4094"/>
      <c r="AP22" t="str">
        <f t="shared" si="2"/>
        <v/>
      </c>
      <c r="CA22" t="str">
        <f t="shared" si="3"/>
        <v/>
      </c>
      <c r="CB22" t="str">
        <f t="shared" si="4"/>
        <v/>
      </c>
      <c r="CC22" t="str">
        <f t="shared" si="5"/>
        <v/>
      </c>
      <c r="CJ22">
        <f t="shared" si="6"/>
        <v>0</v>
      </c>
      <c r="CK22">
        <f t="shared" si="7"/>
        <v>0</v>
      </c>
    </row>
    <row r="23" spans="1:89" ht="14.1" customHeight="1" x14ac:dyDescent="0.25">
      <c r="A23" s="10892"/>
      <c r="B23" s="4099" t="s">
        <v>3058</v>
      </c>
      <c r="C23" s="4091">
        <f t="shared" si="0"/>
        <v>0</v>
      </c>
      <c r="D23" s="4100">
        <f t="shared" si="8"/>
        <v>0</v>
      </c>
      <c r="E23" s="4091">
        <f t="shared" si="1"/>
        <v>0</v>
      </c>
      <c r="F23" s="4101"/>
      <c r="G23" s="4094"/>
      <c r="H23" s="4101"/>
      <c r="I23" s="4094"/>
      <c r="J23" s="4101"/>
      <c r="K23" s="4094"/>
      <c r="L23" s="4101"/>
      <c r="M23" s="4094"/>
      <c r="N23" s="4096"/>
      <c r="O23" s="4094"/>
      <c r="P23" s="4096"/>
      <c r="Q23" s="4094"/>
      <c r="R23" s="4096"/>
      <c r="S23" s="4094"/>
      <c r="T23" s="4096"/>
      <c r="U23" s="4094"/>
      <c r="V23" s="4101"/>
      <c r="W23" s="4094"/>
      <c r="X23" s="4101"/>
      <c r="Y23" s="4094"/>
      <c r="Z23" s="4101"/>
      <c r="AA23" s="4094"/>
      <c r="AB23" s="4101"/>
      <c r="AC23" s="4094"/>
      <c r="AD23" s="4101"/>
      <c r="AE23" s="4094"/>
      <c r="AF23" s="4101"/>
      <c r="AG23" s="4094"/>
      <c r="AH23" s="4101"/>
      <c r="AI23" s="4094"/>
      <c r="AJ23" s="4101"/>
      <c r="AK23" s="4094"/>
      <c r="AL23" s="4101"/>
      <c r="AM23" s="4097"/>
      <c r="AN23" s="4098"/>
      <c r="AO23" s="4094"/>
      <c r="AP23" t="str">
        <f t="shared" si="2"/>
        <v/>
      </c>
      <c r="CA23" t="str">
        <f t="shared" si="3"/>
        <v/>
      </c>
      <c r="CB23" t="str">
        <f t="shared" si="4"/>
        <v/>
      </c>
      <c r="CC23" t="str">
        <f t="shared" si="5"/>
        <v/>
      </c>
      <c r="CJ23">
        <f t="shared" si="6"/>
        <v>0</v>
      </c>
      <c r="CK23">
        <f t="shared" si="7"/>
        <v>0</v>
      </c>
    </row>
    <row r="24" spans="1:89" ht="14.1" customHeight="1" x14ac:dyDescent="0.25">
      <c r="A24" s="10892"/>
      <c r="B24" s="4099" t="s">
        <v>3059</v>
      </c>
      <c r="C24" s="4091">
        <f t="shared" si="0"/>
        <v>0</v>
      </c>
      <c r="D24" s="4100">
        <f t="shared" si="8"/>
        <v>0</v>
      </c>
      <c r="E24" s="4091">
        <f t="shared" si="1"/>
        <v>0</v>
      </c>
      <c r="F24" s="4101"/>
      <c r="G24" s="4094"/>
      <c r="H24" s="4101"/>
      <c r="I24" s="4094"/>
      <c r="J24" s="4101"/>
      <c r="K24" s="4094"/>
      <c r="L24" s="4101"/>
      <c r="M24" s="4094"/>
      <c r="N24" s="4096"/>
      <c r="O24" s="4094"/>
      <c r="P24" s="4096"/>
      <c r="Q24" s="4094"/>
      <c r="R24" s="4096"/>
      <c r="S24" s="4094"/>
      <c r="T24" s="4096"/>
      <c r="U24" s="4094"/>
      <c r="V24" s="4101"/>
      <c r="W24" s="4094"/>
      <c r="X24" s="4101"/>
      <c r="Y24" s="4094"/>
      <c r="Z24" s="4101"/>
      <c r="AA24" s="4094"/>
      <c r="AB24" s="4101"/>
      <c r="AC24" s="4094"/>
      <c r="AD24" s="4101"/>
      <c r="AE24" s="4094"/>
      <c r="AF24" s="4101"/>
      <c r="AG24" s="4094"/>
      <c r="AH24" s="4101"/>
      <c r="AI24" s="4094"/>
      <c r="AJ24" s="4101"/>
      <c r="AK24" s="4094"/>
      <c r="AL24" s="4101"/>
      <c r="AM24" s="4097"/>
      <c r="AN24" s="4098"/>
      <c r="AO24" s="4094"/>
      <c r="AP24" t="str">
        <f t="shared" si="2"/>
        <v/>
      </c>
      <c r="CA24" t="str">
        <f t="shared" si="3"/>
        <v/>
      </c>
      <c r="CB24" t="str">
        <f t="shared" si="4"/>
        <v/>
      </c>
      <c r="CC24" t="str">
        <f t="shared" si="5"/>
        <v/>
      </c>
      <c r="CJ24">
        <f t="shared" si="6"/>
        <v>0</v>
      </c>
      <c r="CK24">
        <f t="shared" si="7"/>
        <v>0</v>
      </c>
    </row>
    <row r="25" spans="1:89" ht="14.1" customHeight="1" x14ac:dyDescent="0.25">
      <c r="A25" s="10892"/>
      <c r="B25" s="4099" t="s">
        <v>3060</v>
      </c>
      <c r="C25" s="4091">
        <f t="shared" si="0"/>
        <v>0</v>
      </c>
      <c r="D25" s="4100">
        <f t="shared" si="8"/>
        <v>0</v>
      </c>
      <c r="E25" s="4091">
        <f t="shared" si="1"/>
        <v>0</v>
      </c>
      <c r="F25" s="4101"/>
      <c r="G25" s="4094"/>
      <c r="H25" s="4101"/>
      <c r="I25" s="4094"/>
      <c r="J25" s="4101"/>
      <c r="K25" s="4094"/>
      <c r="L25" s="4101"/>
      <c r="M25" s="4094"/>
      <c r="N25" s="4096"/>
      <c r="O25" s="4094"/>
      <c r="P25" s="4096"/>
      <c r="Q25" s="4094"/>
      <c r="R25" s="4096"/>
      <c r="S25" s="4094"/>
      <c r="T25" s="4096"/>
      <c r="U25" s="4094"/>
      <c r="V25" s="4101"/>
      <c r="W25" s="4094"/>
      <c r="X25" s="4101"/>
      <c r="Y25" s="4094"/>
      <c r="Z25" s="4101"/>
      <c r="AA25" s="4094"/>
      <c r="AB25" s="4101"/>
      <c r="AC25" s="4094"/>
      <c r="AD25" s="4101"/>
      <c r="AE25" s="4094"/>
      <c r="AF25" s="4101"/>
      <c r="AG25" s="4094"/>
      <c r="AH25" s="4101"/>
      <c r="AI25" s="4094"/>
      <c r="AJ25" s="4101"/>
      <c r="AK25" s="4094"/>
      <c r="AL25" s="4101"/>
      <c r="AM25" s="4097"/>
      <c r="AN25" s="4098"/>
      <c r="AO25" s="4094"/>
      <c r="AP25" t="str">
        <f t="shared" si="2"/>
        <v/>
      </c>
      <c r="CA25" t="str">
        <f t="shared" si="3"/>
        <v/>
      </c>
      <c r="CB25" t="str">
        <f t="shared" si="4"/>
        <v/>
      </c>
      <c r="CC25" t="str">
        <f t="shared" si="5"/>
        <v/>
      </c>
      <c r="CJ25">
        <f t="shared" si="6"/>
        <v>0</v>
      </c>
      <c r="CK25">
        <f t="shared" si="7"/>
        <v>0</v>
      </c>
    </row>
    <row r="26" spans="1:89" ht="24.75" customHeight="1" x14ac:dyDescent="0.25">
      <c r="A26" s="10892"/>
      <c r="B26" s="4102" t="s">
        <v>3061</v>
      </c>
      <c r="C26" s="4091">
        <f t="shared" si="0"/>
        <v>0</v>
      </c>
      <c r="D26" s="4100">
        <f t="shared" si="8"/>
        <v>0</v>
      </c>
      <c r="E26" s="4091">
        <f t="shared" si="1"/>
        <v>0</v>
      </c>
      <c r="F26" s="4101"/>
      <c r="G26" s="4094"/>
      <c r="H26" s="4101"/>
      <c r="I26" s="4094"/>
      <c r="J26" s="4101"/>
      <c r="K26" s="4094"/>
      <c r="L26" s="4101"/>
      <c r="M26" s="4094"/>
      <c r="N26" s="4096"/>
      <c r="O26" s="4094"/>
      <c r="P26" s="4096"/>
      <c r="Q26" s="4094"/>
      <c r="R26" s="4096"/>
      <c r="S26" s="4094"/>
      <c r="T26" s="4096"/>
      <c r="U26" s="4094"/>
      <c r="V26" s="4101"/>
      <c r="W26" s="4094"/>
      <c r="X26" s="4101"/>
      <c r="Y26" s="4094"/>
      <c r="Z26" s="4101"/>
      <c r="AA26" s="4094"/>
      <c r="AB26" s="4101"/>
      <c r="AC26" s="4094"/>
      <c r="AD26" s="4101"/>
      <c r="AE26" s="4094"/>
      <c r="AF26" s="4101"/>
      <c r="AG26" s="4094"/>
      <c r="AH26" s="4101"/>
      <c r="AI26" s="4094"/>
      <c r="AJ26" s="4101"/>
      <c r="AK26" s="4094"/>
      <c r="AL26" s="4101"/>
      <c r="AM26" s="4097"/>
      <c r="AN26" s="4098"/>
      <c r="AO26" s="4094"/>
      <c r="AP26" t="str">
        <f t="shared" si="2"/>
        <v/>
      </c>
      <c r="CA26" t="str">
        <f t="shared" si="3"/>
        <v/>
      </c>
      <c r="CB26" t="str">
        <f t="shared" si="4"/>
        <v/>
      </c>
      <c r="CC26" t="str">
        <f t="shared" si="5"/>
        <v/>
      </c>
      <c r="CJ26">
        <f t="shared" si="6"/>
        <v>0</v>
      </c>
      <c r="CK26">
        <f t="shared" si="7"/>
        <v>0</v>
      </c>
    </row>
    <row r="27" spans="1:89" ht="14.1" customHeight="1" x14ac:dyDescent="0.25">
      <c r="A27" s="10892"/>
      <c r="B27" s="4099" t="s">
        <v>2161</v>
      </c>
      <c r="C27" s="4091">
        <f t="shared" si="0"/>
        <v>0</v>
      </c>
      <c r="D27" s="4100">
        <f t="shared" si="8"/>
        <v>0</v>
      </c>
      <c r="E27" s="4091">
        <f t="shared" si="1"/>
        <v>0</v>
      </c>
      <c r="F27" s="4101"/>
      <c r="G27" s="4094"/>
      <c r="H27" s="4101"/>
      <c r="I27" s="4094"/>
      <c r="J27" s="4101"/>
      <c r="K27" s="4094"/>
      <c r="L27" s="4101"/>
      <c r="M27" s="4094"/>
      <c r="N27" s="4096"/>
      <c r="O27" s="4094"/>
      <c r="P27" s="4096"/>
      <c r="Q27" s="4094"/>
      <c r="R27" s="4096"/>
      <c r="S27" s="4094"/>
      <c r="T27" s="4096"/>
      <c r="U27" s="4094"/>
      <c r="V27" s="4101"/>
      <c r="W27" s="4094"/>
      <c r="X27" s="4101"/>
      <c r="Y27" s="4094"/>
      <c r="Z27" s="4101"/>
      <c r="AA27" s="4094"/>
      <c r="AB27" s="4101"/>
      <c r="AC27" s="4094"/>
      <c r="AD27" s="4101"/>
      <c r="AE27" s="4094"/>
      <c r="AF27" s="4101"/>
      <c r="AG27" s="4094"/>
      <c r="AH27" s="4101"/>
      <c r="AI27" s="4094"/>
      <c r="AJ27" s="4101"/>
      <c r="AK27" s="4094"/>
      <c r="AL27" s="4101"/>
      <c r="AM27" s="4097"/>
      <c r="AN27" s="4098"/>
      <c r="AO27" s="4094"/>
      <c r="AP27" t="str">
        <f t="shared" si="2"/>
        <v/>
      </c>
      <c r="CA27" t="str">
        <f t="shared" si="3"/>
        <v/>
      </c>
      <c r="CB27" t="str">
        <f t="shared" si="4"/>
        <v/>
      </c>
      <c r="CC27" t="str">
        <f t="shared" si="5"/>
        <v/>
      </c>
      <c r="CJ27">
        <f t="shared" si="6"/>
        <v>0</v>
      </c>
      <c r="CK27">
        <f t="shared" si="7"/>
        <v>0</v>
      </c>
    </row>
    <row r="28" spans="1:89" ht="14.1" customHeight="1" x14ac:dyDescent="0.25">
      <c r="A28" s="10892"/>
      <c r="B28" s="4099" t="s">
        <v>3062</v>
      </c>
      <c r="C28" s="4091">
        <f t="shared" si="0"/>
        <v>0</v>
      </c>
      <c r="D28" s="4100">
        <f t="shared" si="8"/>
        <v>0</v>
      </c>
      <c r="E28" s="4091">
        <f t="shared" si="1"/>
        <v>0</v>
      </c>
      <c r="F28" s="4101"/>
      <c r="G28" s="4094"/>
      <c r="H28" s="4101"/>
      <c r="I28" s="4094"/>
      <c r="J28" s="4101"/>
      <c r="K28" s="4094"/>
      <c r="L28" s="4101"/>
      <c r="M28" s="4094"/>
      <c r="N28" s="4096"/>
      <c r="O28" s="4094"/>
      <c r="P28" s="4096"/>
      <c r="Q28" s="4094"/>
      <c r="R28" s="4096"/>
      <c r="S28" s="4094"/>
      <c r="T28" s="4096"/>
      <c r="U28" s="4094"/>
      <c r="V28" s="4101"/>
      <c r="W28" s="4094"/>
      <c r="X28" s="4101"/>
      <c r="Y28" s="4094"/>
      <c r="Z28" s="4101"/>
      <c r="AA28" s="4094"/>
      <c r="AB28" s="4101"/>
      <c r="AC28" s="4094"/>
      <c r="AD28" s="4101"/>
      <c r="AE28" s="4094"/>
      <c r="AF28" s="4101"/>
      <c r="AG28" s="4094"/>
      <c r="AH28" s="4101"/>
      <c r="AI28" s="4094"/>
      <c r="AJ28" s="4101"/>
      <c r="AK28" s="4094"/>
      <c r="AL28" s="4101"/>
      <c r="AM28" s="4097"/>
      <c r="AN28" s="4098"/>
      <c r="AO28" s="4094"/>
      <c r="AP28" t="str">
        <f t="shared" si="2"/>
        <v/>
      </c>
      <c r="CA28" t="str">
        <f t="shared" si="3"/>
        <v/>
      </c>
      <c r="CB28" t="str">
        <f t="shared" si="4"/>
        <v/>
      </c>
      <c r="CC28" t="str">
        <f t="shared" si="5"/>
        <v/>
      </c>
      <c r="CJ28">
        <f t="shared" si="6"/>
        <v>0</v>
      </c>
      <c r="CK28">
        <f t="shared" si="7"/>
        <v>0</v>
      </c>
    </row>
    <row r="29" spans="1:89" ht="14.1" customHeight="1" x14ac:dyDescent="0.25">
      <c r="A29" s="10892"/>
      <c r="B29" s="4099" t="s">
        <v>3063</v>
      </c>
      <c r="C29" s="4091">
        <f t="shared" si="0"/>
        <v>0</v>
      </c>
      <c r="D29" s="4100">
        <f t="shared" si="8"/>
        <v>0</v>
      </c>
      <c r="E29" s="4091">
        <f t="shared" si="1"/>
        <v>0</v>
      </c>
      <c r="F29" s="4101"/>
      <c r="G29" s="4094"/>
      <c r="H29" s="4101"/>
      <c r="I29" s="4094"/>
      <c r="J29" s="4101"/>
      <c r="K29" s="4094"/>
      <c r="L29" s="4101"/>
      <c r="M29" s="4094"/>
      <c r="N29" s="4096"/>
      <c r="O29" s="4094"/>
      <c r="P29" s="4096"/>
      <c r="Q29" s="4094"/>
      <c r="R29" s="4096"/>
      <c r="S29" s="4094"/>
      <c r="T29" s="4096"/>
      <c r="U29" s="4094"/>
      <c r="V29" s="4101"/>
      <c r="W29" s="4094"/>
      <c r="X29" s="4101"/>
      <c r="Y29" s="4094"/>
      <c r="Z29" s="4101"/>
      <c r="AA29" s="4094"/>
      <c r="AB29" s="4101"/>
      <c r="AC29" s="4094"/>
      <c r="AD29" s="4101"/>
      <c r="AE29" s="4094"/>
      <c r="AF29" s="4101"/>
      <c r="AG29" s="4094"/>
      <c r="AH29" s="4101"/>
      <c r="AI29" s="4094"/>
      <c r="AJ29" s="4101"/>
      <c r="AK29" s="4094"/>
      <c r="AL29" s="4101"/>
      <c r="AM29" s="4097"/>
      <c r="AN29" s="4098"/>
      <c r="AO29" s="4094"/>
      <c r="AP29" t="str">
        <f t="shared" si="2"/>
        <v/>
      </c>
      <c r="CA29" t="str">
        <f t="shared" si="3"/>
        <v/>
      </c>
      <c r="CB29" t="str">
        <f t="shared" si="4"/>
        <v/>
      </c>
      <c r="CC29" t="str">
        <f t="shared" si="5"/>
        <v/>
      </c>
      <c r="CJ29">
        <f t="shared" si="6"/>
        <v>0</v>
      </c>
      <c r="CK29">
        <f t="shared" si="7"/>
        <v>0</v>
      </c>
    </row>
    <row r="30" spans="1:89" ht="14.1" customHeight="1" x14ac:dyDescent="0.25">
      <c r="A30" s="10892"/>
      <c r="B30" s="4099" t="s">
        <v>3064</v>
      </c>
      <c r="C30" s="4091">
        <f t="shared" si="0"/>
        <v>0</v>
      </c>
      <c r="D30" s="4100">
        <f t="shared" si="8"/>
        <v>0</v>
      </c>
      <c r="E30" s="4091">
        <f t="shared" si="1"/>
        <v>0</v>
      </c>
      <c r="F30" s="4101"/>
      <c r="G30" s="4094"/>
      <c r="H30" s="4101"/>
      <c r="I30" s="4094"/>
      <c r="J30" s="4101"/>
      <c r="K30" s="4094"/>
      <c r="L30" s="4101"/>
      <c r="M30" s="4094"/>
      <c r="N30" s="4096"/>
      <c r="O30" s="4094"/>
      <c r="P30" s="4096"/>
      <c r="Q30" s="4094"/>
      <c r="R30" s="4096"/>
      <c r="S30" s="4094"/>
      <c r="T30" s="4096"/>
      <c r="U30" s="4094"/>
      <c r="V30" s="4101"/>
      <c r="W30" s="4094"/>
      <c r="X30" s="4101"/>
      <c r="Y30" s="4094"/>
      <c r="Z30" s="4101"/>
      <c r="AA30" s="4094"/>
      <c r="AB30" s="4101"/>
      <c r="AC30" s="4094"/>
      <c r="AD30" s="4101"/>
      <c r="AE30" s="4094"/>
      <c r="AF30" s="4101"/>
      <c r="AG30" s="4094"/>
      <c r="AH30" s="4101"/>
      <c r="AI30" s="4094"/>
      <c r="AJ30" s="4101"/>
      <c r="AK30" s="4094"/>
      <c r="AL30" s="4101"/>
      <c r="AM30" s="4097"/>
      <c r="AN30" s="4098"/>
      <c r="AO30" s="4094"/>
      <c r="AP30" t="str">
        <f t="shared" si="2"/>
        <v/>
      </c>
      <c r="CA30" t="str">
        <f t="shared" si="3"/>
        <v/>
      </c>
      <c r="CB30" t="str">
        <f t="shared" si="4"/>
        <v/>
      </c>
      <c r="CC30" t="str">
        <f t="shared" si="5"/>
        <v/>
      </c>
      <c r="CJ30">
        <f t="shared" si="6"/>
        <v>0</v>
      </c>
      <c r="CK30">
        <f t="shared" si="7"/>
        <v>0</v>
      </c>
    </row>
    <row r="31" spans="1:89" ht="21" x14ac:dyDescent="0.25">
      <c r="A31" s="10892"/>
      <c r="B31" s="7987" t="s">
        <v>3065</v>
      </c>
      <c r="C31" s="4091">
        <f t="shared" si="0"/>
        <v>0</v>
      </c>
      <c r="D31" s="4100">
        <f t="shared" si="8"/>
        <v>0</v>
      </c>
      <c r="E31" s="4091">
        <f t="shared" si="1"/>
        <v>0</v>
      </c>
      <c r="F31" s="4101"/>
      <c r="G31" s="4094"/>
      <c r="H31" s="4101"/>
      <c r="I31" s="4094"/>
      <c r="J31" s="4101"/>
      <c r="K31" s="4094"/>
      <c r="L31" s="4101"/>
      <c r="M31" s="4094"/>
      <c r="N31" s="4096"/>
      <c r="O31" s="4094"/>
      <c r="P31" s="4096"/>
      <c r="Q31" s="4094"/>
      <c r="R31" s="4096"/>
      <c r="S31" s="4094"/>
      <c r="T31" s="4096"/>
      <c r="U31" s="4094"/>
      <c r="V31" s="4101"/>
      <c r="W31" s="4094"/>
      <c r="X31" s="4101"/>
      <c r="Y31" s="4094"/>
      <c r="Z31" s="4101"/>
      <c r="AA31" s="4094"/>
      <c r="AB31" s="4101"/>
      <c r="AC31" s="4094"/>
      <c r="AD31" s="4101"/>
      <c r="AE31" s="4094"/>
      <c r="AF31" s="4101"/>
      <c r="AG31" s="4094"/>
      <c r="AH31" s="4101"/>
      <c r="AI31" s="4094"/>
      <c r="AJ31" s="4101"/>
      <c r="AK31" s="4094"/>
      <c r="AL31" s="4101"/>
      <c r="AM31" s="4097"/>
      <c r="AN31" s="4098"/>
      <c r="AO31" s="4094"/>
      <c r="AP31" t="str">
        <f t="shared" si="2"/>
        <v/>
      </c>
      <c r="CA31" t="str">
        <f t="shared" si="3"/>
        <v/>
      </c>
      <c r="CB31" t="str">
        <f t="shared" si="4"/>
        <v/>
      </c>
      <c r="CC31" t="str">
        <f t="shared" si="5"/>
        <v/>
      </c>
      <c r="CJ31">
        <f t="shared" si="6"/>
        <v>0</v>
      </c>
      <c r="CK31">
        <f t="shared" si="7"/>
        <v>0</v>
      </c>
    </row>
    <row r="32" spans="1:89" ht="14.1" customHeight="1" x14ac:dyDescent="0.25">
      <c r="A32" s="10892"/>
      <c r="B32" s="4099" t="s">
        <v>3066</v>
      </c>
      <c r="C32" s="4091">
        <f t="shared" si="0"/>
        <v>0</v>
      </c>
      <c r="D32" s="4100">
        <f t="shared" si="8"/>
        <v>0</v>
      </c>
      <c r="E32" s="4091">
        <f t="shared" si="1"/>
        <v>0</v>
      </c>
      <c r="F32" s="4101"/>
      <c r="G32" s="4094"/>
      <c r="H32" s="4101"/>
      <c r="I32" s="4094"/>
      <c r="J32" s="4101"/>
      <c r="K32" s="4094"/>
      <c r="L32" s="4101"/>
      <c r="M32" s="4094"/>
      <c r="N32" s="4096"/>
      <c r="O32" s="4094"/>
      <c r="P32" s="4096"/>
      <c r="Q32" s="4094"/>
      <c r="R32" s="4096"/>
      <c r="S32" s="4094"/>
      <c r="T32" s="4096"/>
      <c r="U32" s="4094"/>
      <c r="V32" s="4101"/>
      <c r="W32" s="4094"/>
      <c r="X32" s="4101"/>
      <c r="Y32" s="4094"/>
      <c r="Z32" s="4101"/>
      <c r="AA32" s="4094"/>
      <c r="AB32" s="4101"/>
      <c r="AC32" s="4094"/>
      <c r="AD32" s="4101"/>
      <c r="AE32" s="4094"/>
      <c r="AF32" s="4101"/>
      <c r="AG32" s="4094"/>
      <c r="AH32" s="4101"/>
      <c r="AI32" s="4094"/>
      <c r="AJ32" s="4101"/>
      <c r="AK32" s="4094"/>
      <c r="AL32" s="4101"/>
      <c r="AM32" s="4097"/>
      <c r="AN32" s="4098"/>
      <c r="AO32" s="4094"/>
      <c r="AP32" t="str">
        <f t="shared" si="2"/>
        <v/>
      </c>
      <c r="CA32" t="str">
        <f t="shared" si="3"/>
        <v/>
      </c>
      <c r="CB32" t="str">
        <f t="shared" si="4"/>
        <v/>
      </c>
      <c r="CC32" t="str">
        <f t="shared" si="5"/>
        <v/>
      </c>
      <c r="CJ32">
        <f t="shared" si="6"/>
        <v>0</v>
      </c>
      <c r="CK32">
        <f t="shared" si="7"/>
        <v>0</v>
      </c>
    </row>
    <row r="33" spans="1:89" ht="14.1" customHeight="1" x14ac:dyDescent="0.25">
      <c r="A33" s="10892"/>
      <c r="B33" s="4099" t="s">
        <v>3067</v>
      </c>
      <c r="C33" s="4091">
        <f t="shared" si="0"/>
        <v>0</v>
      </c>
      <c r="D33" s="4100">
        <f t="shared" si="8"/>
        <v>0</v>
      </c>
      <c r="E33" s="4091">
        <f t="shared" si="1"/>
        <v>0</v>
      </c>
      <c r="F33" s="4101"/>
      <c r="G33" s="4094"/>
      <c r="H33" s="4101"/>
      <c r="I33" s="4094"/>
      <c r="J33" s="4101"/>
      <c r="K33" s="4094"/>
      <c r="L33" s="4101"/>
      <c r="M33" s="4094"/>
      <c r="N33" s="4096"/>
      <c r="O33" s="4094"/>
      <c r="P33" s="4096"/>
      <c r="Q33" s="4094"/>
      <c r="R33" s="4096"/>
      <c r="S33" s="4094"/>
      <c r="T33" s="4096"/>
      <c r="U33" s="4094"/>
      <c r="V33" s="4101"/>
      <c r="W33" s="4094"/>
      <c r="X33" s="4101"/>
      <c r="Y33" s="4094"/>
      <c r="Z33" s="4101"/>
      <c r="AA33" s="4094"/>
      <c r="AB33" s="4101"/>
      <c r="AC33" s="4094"/>
      <c r="AD33" s="4101"/>
      <c r="AE33" s="4094"/>
      <c r="AF33" s="4101"/>
      <c r="AG33" s="4094"/>
      <c r="AH33" s="4101"/>
      <c r="AI33" s="4094"/>
      <c r="AJ33" s="4101"/>
      <c r="AK33" s="4094"/>
      <c r="AL33" s="4101"/>
      <c r="AM33" s="4097"/>
      <c r="AN33" s="4098"/>
      <c r="AO33" s="4094"/>
      <c r="AP33" t="str">
        <f t="shared" si="2"/>
        <v/>
      </c>
      <c r="CA33" t="str">
        <f t="shared" si="3"/>
        <v/>
      </c>
      <c r="CB33" t="str">
        <f t="shared" si="4"/>
        <v/>
      </c>
      <c r="CC33" t="str">
        <f t="shared" si="5"/>
        <v/>
      </c>
      <c r="CJ33">
        <f t="shared" si="6"/>
        <v>0</v>
      </c>
      <c r="CK33">
        <f t="shared" si="7"/>
        <v>0</v>
      </c>
    </row>
    <row r="34" spans="1:89" ht="14.1" customHeight="1" x14ac:dyDescent="0.25">
      <c r="A34" s="10892"/>
      <c r="B34" s="4099" t="s">
        <v>3068</v>
      </c>
      <c r="C34" s="4091">
        <f t="shared" si="0"/>
        <v>0</v>
      </c>
      <c r="D34" s="4100">
        <f t="shared" si="8"/>
        <v>0</v>
      </c>
      <c r="E34" s="4091">
        <f t="shared" si="1"/>
        <v>0</v>
      </c>
      <c r="F34" s="4101"/>
      <c r="G34" s="4094"/>
      <c r="H34" s="4101"/>
      <c r="I34" s="4094"/>
      <c r="J34" s="4101"/>
      <c r="K34" s="4094"/>
      <c r="L34" s="4101"/>
      <c r="M34" s="4094"/>
      <c r="N34" s="4096"/>
      <c r="O34" s="4094"/>
      <c r="P34" s="4096"/>
      <c r="Q34" s="4094"/>
      <c r="R34" s="4096"/>
      <c r="S34" s="4094"/>
      <c r="T34" s="4096"/>
      <c r="U34" s="4094"/>
      <c r="V34" s="4101"/>
      <c r="W34" s="4094"/>
      <c r="X34" s="4101"/>
      <c r="Y34" s="4094"/>
      <c r="Z34" s="4101"/>
      <c r="AA34" s="4094"/>
      <c r="AB34" s="4101"/>
      <c r="AC34" s="4094"/>
      <c r="AD34" s="4101"/>
      <c r="AE34" s="4094"/>
      <c r="AF34" s="4101"/>
      <c r="AG34" s="4094"/>
      <c r="AH34" s="4101"/>
      <c r="AI34" s="4094"/>
      <c r="AJ34" s="4101"/>
      <c r="AK34" s="4094"/>
      <c r="AL34" s="4101"/>
      <c r="AM34" s="4097"/>
      <c r="AN34" s="4098"/>
      <c r="AO34" s="4094"/>
      <c r="AP34" t="str">
        <f t="shared" si="2"/>
        <v/>
      </c>
      <c r="CA34" t="str">
        <f t="shared" si="3"/>
        <v/>
      </c>
      <c r="CB34" t="str">
        <f t="shared" si="4"/>
        <v/>
      </c>
      <c r="CC34" t="str">
        <f t="shared" si="5"/>
        <v/>
      </c>
      <c r="CJ34">
        <f t="shared" si="6"/>
        <v>0</v>
      </c>
      <c r="CK34">
        <f t="shared" si="7"/>
        <v>0</v>
      </c>
    </row>
    <row r="35" spans="1:89" ht="14.1" customHeight="1" x14ac:dyDescent="0.25">
      <c r="A35" s="10892"/>
      <c r="B35" s="4099" t="s">
        <v>3069</v>
      </c>
      <c r="C35" s="4091">
        <f t="shared" si="0"/>
        <v>0</v>
      </c>
      <c r="D35" s="4100">
        <f t="shared" si="8"/>
        <v>0</v>
      </c>
      <c r="E35" s="4091">
        <f t="shared" si="1"/>
        <v>0</v>
      </c>
      <c r="F35" s="4101"/>
      <c r="G35" s="4094"/>
      <c r="H35" s="4101"/>
      <c r="I35" s="4094"/>
      <c r="J35" s="4101"/>
      <c r="K35" s="4094"/>
      <c r="L35" s="4101"/>
      <c r="M35" s="4094"/>
      <c r="N35" s="4096"/>
      <c r="O35" s="4094"/>
      <c r="P35" s="4096"/>
      <c r="Q35" s="4094"/>
      <c r="R35" s="4096"/>
      <c r="S35" s="4094"/>
      <c r="T35" s="4096"/>
      <c r="U35" s="4094"/>
      <c r="V35" s="4101"/>
      <c r="W35" s="4094"/>
      <c r="X35" s="4101"/>
      <c r="Y35" s="4094"/>
      <c r="Z35" s="4101"/>
      <c r="AA35" s="4094"/>
      <c r="AB35" s="4101"/>
      <c r="AC35" s="4094"/>
      <c r="AD35" s="4101"/>
      <c r="AE35" s="4094"/>
      <c r="AF35" s="4101"/>
      <c r="AG35" s="4094"/>
      <c r="AH35" s="4101"/>
      <c r="AI35" s="4094"/>
      <c r="AJ35" s="4101"/>
      <c r="AK35" s="4094"/>
      <c r="AL35" s="4101"/>
      <c r="AM35" s="4097"/>
      <c r="AN35" s="4098"/>
      <c r="AO35" s="4094"/>
      <c r="AP35" t="str">
        <f t="shared" si="2"/>
        <v/>
      </c>
      <c r="CA35" t="str">
        <f t="shared" si="3"/>
        <v/>
      </c>
      <c r="CB35" t="str">
        <f t="shared" si="4"/>
        <v/>
      </c>
      <c r="CC35" t="str">
        <f t="shared" si="5"/>
        <v/>
      </c>
      <c r="CJ35">
        <f t="shared" si="6"/>
        <v>0</v>
      </c>
      <c r="CK35">
        <f t="shared" si="7"/>
        <v>0</v>
      </c>
    </row>
    <row r="36" spans="1:89" ht="14.1" customHeight="1" x14ac:dyDescent="0.25">
      <c r="A36" s="10892"/>
      <c r="B36" s="4102" t="s">
        <v>3070</v>
      </c>
      <c r="C36" s="4091">
        <f t="shared" si="0"/>
        <v>0</v>
      </c>
      <c r="D36" s="4100">
        <f t="shared" si="8"/>
        <v>0</v>
      </c>
      <c r="E36" s="4091">
        <f t="shared" si="1"/>
        <v>0</v>
      </c>
      <c r="F36" s="4101"/>
      <c r="G36" s="4094"/>
      <c r="H36" s="4101"/>
      <c r="I36" s="4094"/>
      <c r="J36" s="4101"/>
      <c r="K36" s="4094"/>
      <c r="L36" s="4101"/>
      <c r="M36" s="4094"/>
      <c r="N36" s="4096"/>
      <c r="O36" s="4094"/>
      <c r="P36" s="4096"/>
      <c r="Q36" s="4094"/>
      <c r="R36" s="4096"/>
      <c r="S36" s="4094"/>
      <c r="T36" s="4096"/>
      <c r="U36" s="4094"/>
      <c r="V36" s="4101"/>
      <c r="W36" s="4094"/>
      <c r="X36" s="4101"/>
      <c r="Y36" s="4094"/>
      <c r="Z36" s="4101"/>
      <c r="AA36" s="4094"/>
      <c r="AB36" s="4101"/>
      <c r="AC36" s="4094"/>
      <c r="AD36" s="4101"/>
      <c r="AE36" s="4094"/>
      <c r="AF36" s="4101"/>
      <c r="AG36" s="4094"/>
      <c r="AH36" s="4101"/>
      <c r="AI36" s="4094"/>
      <c r="AJ36" s="4101"/>
      <c r="AK36" s="4094"/>
      <c r="AL36" s="4101"/>
      <c r="AM36" s="4097"/>
      <c r="AN36" s="4098"/>
      <c r="AO36" s="4094"/>
      <c r="AP36" t="str">
        <f t="shared" si="2"/>
        <v/>
      </c>
      <c r="CA36" t="str">
        <f t="shared" si="3"/>
        <v/>
      </c>
      <c r="CB36" t="str">
        <f t="shared" si="4"/>
        <v/>
      </c>
      <c r="CC36" t="str">
        <f t="shared" si="5"/>
        <v/>
      </c>
      <c r="CJ36">
        <f t="shared" si="6"/>
        <v>0</v>
      </c>
      <c r="CK36">
        <f t="shared" si="7"/>
        <v>0</v>
      </c>
    </row>
    <row r="37" spans="1:89" ht="14.1" customHeight="1" x14ac:dyDescent="0.25">
      <c r="A37" s="10893"/>
      <c r="B37" s="4103" t="s">
        <v>371</v>
      </c>
      <c r="C37" s="4104">
        <f t="shared" si="0"/>
        <v>0</v>
      </c>
      <c r="D37" s="4105">
        <f t="shared" si="8"/>
        <v>0</v>
      </c>
      <c r="E37" s="4104">
        <f t="shared" si="1"/>
        <v>0</v>
      </c>
      <c r="F37" s="4106"/>
      <c r="G37" s="4107"/>
      <c r="H37" s="4106"/>
      <c r="I37" s="4107"/>
      <c r="J37" s="4106"/>
      <c r="K37" s="4107"/>
      <c r="L37" s="4106"/>
      <c r="M37" s="4107"/>
      <c r="N37" s="4108"/>
      <c r="O37" s="4107"/>
      <c r="P37" s="4108"/>
      <c r="Q37" s="4107"/>
      <c r="R37" s="4108"/>
      <c r="S37" s="4107"/>
      <c r="T37" s="4108"/>
      <c r="U37" s="4107"/>
      <c r="V37" s="4106"/>
      <c r="W37" s="4107"/>
      <c r="X37" s="4106"/>
      <c r="Y37" s="4107"/>
      <c r="Z37" s="4106"/>
      <c r="AA37" s="4107"/>
      <c r="AB37" s="4106"/>
      <c r="AC37" s="4107"/>
      <c r="AD37" s="4106"/>
      <c r="AE37" s="4107"/>
      <c r="AF37" s="4106"/>
      <c r="AG37" s="4107"/>
      <c r="AH37" s="4106"/>
      <c r="AI37" s="4107"/>
      <c r="AJ37" s="4106"/>
      <c r="AK37" s="4107"/>
      <c r="AL37" s="4106"/>
      <c r="AM37" s="4109"/>
      <c r="AN37" s="4110"/>
      <c r="AO37" s="4107"/>
      <c r="AP37" t="str">
        <f t="shared" si="2"/>
        <v/>
      </c>
      <c r="CA37" t="str">
        <f t="shared" si="3"/>
        <v/>
      </c>
      <c r="CB37" t="str">
        <f t="shared" si="4"/>
        <v/>
      </c>
      <c r="CC37" t="str">
        <f t="shared" si="5"/>
        <v/>
      </c>
      <c r="CJ37">
        <f t="shared" si="6"/>
        <v>0</v>
      </c>
      <c r="CK37">
        <f t="shared" si="7"/>
        <v>0</v>
      </c>
    </row>
    <row r="38" spans="1:89" ht="14.1" customHeight="1" x14ac:dyDescent="0.25">
      <c r="A38" s="10894" t="s">
        <v>73</v>
      </c>
      <c r="B38" s="4099" t="s">
        <v>3071</v>
      </c>
      <c r="C38" s="4111">
        <f t="shared" si="0"/>
        <v>0</v>
      </c>
      <c r="D38" s="4112">
        <f t="shared" si="8"/>
        <v>0</v>
      </c>
      <c r="E38" s="4111">
        <f t="shared" si="1"/>
        <v>0</v>
      </c>
      <c r="F38" s="4113"/>
      <c r="G38" s="4114"/>
      <c r="H38" s="4113"/>
      <c r="I38" s="4114"/>
      <c r="J38" s="4113"/>
      <c r="K38" s="4114"/>
      <c r="L38" s="4113"/>
      <c r="M38" s="4114"/>
      <c r="N38" s="4115"/>
      <c r="O38" s="4114"/>
      <c r="P38" s="4115"/>
      <c r="Q38" s="4114"/>
      <c r="R38" s="4115"/>
      <c r="S38" s="4114"/>
      <c r="T38" s="4115"/>
      <c r="U38" s="4114"/>
      <c r="V38" s="4113"/>
      <c r="W38" s="4114"/>
      <c r="X38" s="4113"/>
      <c r="Y38" s="4114"/>
      <c r="Z38" s="4113"/>
      <c r="AA38" s="4114"/>
      <c r="AB38" s="4113"/>
      <c r="AC38" s="4114"/>
      <c r="AD38" s="4113"/>
      <c r="AE38" s="4114"/>
      <c r="AF38" s="4113"/>
      <c r="AG38" s="4114"/>
      <c r="AH38" s="4113"/>
      <c r="AI38" s="4114"/>
      <c r="AJ38" s="4113"/>
      <c r="AK38" s="4114"/>
      <c r="AL38" s="4113"/>
      <c r="AM38" s="4116"/>
      <c r="AN38" s="4098"/>
      <c r="AO38" s="4094"/>
      <c r="AP38" t="str">
        <f t="shared" si="2"/>
        <v/>
      </c>
      <c r="CA38" t="str">
        <f t="shared" si="3"/>
        <v/>
      </c>
      <c r="CB38" t="str">
        <f t="shared" si="4"/>
        <v/>
      </c>
      <c r="CC38" t="str">
        <f t="shared" si="5"/>
        <v/>
      </c>
      <c r="CJ38">
        <f t="shared" si="6"/>
        <v>0</v>
      </c>
      <c r="CK38">
        <f t="shared" si="7"/>
        <v>0</v>
      </c>
    </row>
    <row r="39" spans="1:89" ht="14.1" customHeight="1" x14ac:dyDescent="0.25">
      <c r="A39" s="10892"/>
      <c r="B39" s="4099" t="s">
        <v>3072</v>
      </c>
      <c r="C39" s="4091">
        <f t="shared" si="0"/>
        <v>0</v>
      </c>
      <c r="D39" s="4100">
        <f t="shared" si="8"/>
        <v>0</v>
      </c>
      <c r="E39" s="4091">
        <f t="shared" si="1"/>
        <v>0</v>
      </c>
      <c r="F39" s="4101"/>
      <c r="G39" s="4094"/>
      <c r="H39" s="4101"/>
      <c r="I39" s="4094"/>
      <c r="J39" s="4101"/>
      <c r="K39" s="4094"/>
      <c r="L39" s="4101"/>
      <c r="M39" s="4094"/>
      <c r="N39" s="4096"/>
      <c r="O39" s="4094"/>
      <c r="P39" s="4096"/>
      <c r="Q39" s="4094"/>
      <c r="R39" s="4096"/>
      <c r="S39" s="4094"/>
      <c r="T39" s="4096"/>
      <c r="U39" s="4094"/>
      <c r="V39" s="4101"/>
      <c r="W39" s="4094"/>
      <c r="X39" s="4101"/>
      <c r="Y39" s="4094"/>
      <c r="Z39" s="4101"/>
      <c r="AA39" s="4094"/>
      <c r="AB39" s="4101"/>
      <c r="AC39" s="4094"/>
      <c r="AD39" s="4101"/>
      <c r="AE39" s="4094"/>
      <c r="AF39" s="4101"/>
      <c r="AG39" s="4094"/>
      <c r="AH39" s="4101"/>
      <c r="AI39" s="4094"/>
      <c r="AJ39" s="4101"/>
      <c r="AK39" s="4094"/>
      <c r="AL39" s="4101"/>
      <c r="AM39" s="4097"/>
      <c r="AN39" s="4098"/>
      <c r="AO39" s="4094"/>
      <c r="AP39" t="str">
        <f t="shared" si="2"/>
        <v/>
      </c>
      <c r="CA39" t="str">
        <f t="shared" si="3"/>
        <v/>
      </c>
      <c r="CB39" t="str">
        <f t="shared" si="4"/>
        <v/>
      </c>
      <c r="CC39" t="str">
        <f t="shared" si="5"/>
        <v/>
      </c>
      <c r="CJ39">
        <f t="shared" si="6"/>
        <v>0</v>
      </c>
      <c r="CK39">
        <f t="shared" si="7"/>
        <v>0</v>
      </c>
    </row>
    <row r="40" spans="1:89" ht="14.1" customHeight="1" x14ac:dyDescent="0.25">
      <c r="A40" s="10892"/>
      <c r="B40" s="4099" t="s">
        <v>3073</v>
      </c>
      <c r="C40" s="4091">
        <f t="shared" si="0"/>
        <v>0</v>
      </c>
      <c r="D40" s="4100">
        <f t="shared" si="8"/>
        <v>0</v>
      </c>
      <c r="E40" s="4091">
        <f t="shared" si="1"/>
        <v>0</v>
      </c>
      <c r="F40" s="4101"/>
      <c r="G40" s="4094"/>
      <c r="H40" s="4101"/>
      <c r="I40" s="4094"/>
      <c r="J40" s="4101"/>
      <c r="K40" s="4094"/>
      <c r="L40" s="4101"/>
      <c r="M40" s="4094"/>
      <c r="N40" s="4096"/>
      <c r="O40" s="4094"/>
      <c r="P40" s="4096"/>
      <c r="Q40" s="4094"/>
      <c r="R40" s="4096"/>
      <c r="S40" s="4094"/>
      <c r="T40" s="4096"/>
      <c r="U40" s="4094"/>
      <c r="V40" s="4101"/>
      <c r="W40" s="4094"/>
      <c r="X40" s="4101"/>
      <c r="Y40" s="4094"/>
      <c r="Z40" s="4101"/>
      <c r="AA40" s="4094"/>
      <c r="AB40" s="4101"/>
      <c r="AC40" s="4094"/>
      <c r="AD40" s="4101"/>
      <c r="AE40" s="4094"/>
      <c r="AF40" s="4101"/>
      <c r="AG40" s="4094"/>
      <c r="AH40" s="4101"/>
      <c r="AI40" s="4094"/>
      <c r="AJ40" s="4101"/>
      <c r="AK40" s="4094"/>
      <c r="AL40" s="4101"/>
      <c r="AM40" s="4097"/>
      <c r="AN40" s="4098"/>
      <c r="AO40" s="4094"/>
      <c r="AP40" t="str">
        <f t="shared" si="2"/>
        <v/>
      </c>
      <c r="CA40" t="str">
        <f t="shared" si="3"/>
        <v/>
      </c>
      <c r="CB40" t="str">
        <f t="shared" si="4"/>
        <v/>
      </c>
      <c r="CC40" t="str">
        <f t="shared" si="5"/>
        <v/>
      </c>
      <c r="CJ40">
        <f t="shared" si="6"/>
        <v>0</v>
      </c>
      <c r="CK40">
        <f t="shared" si="7"/>
        <v>0</v>
      </c>
    </row>
    <row r="41" spans="1:89" ht="14.1" customHeight="1" x14ac:dyDescent="0.25">
      <c r="A41" s="10893"/>
      <c r="B41" s="4117" t="s">
        <v>3074</v>
      </c>
      <c r="C41" s="4104">
        <f t="shared" si="0"/>
        <v>0</v>
      </c>
      <c r="D41" s="4105">
        <f t="shared" si="8"/>
        <v>0</v>
      </c>
      <c r="E41" s="4104">
        <f t="shared" si="1"/>
        <v>0</v>
      </c>
      <c r="F41" s="4106"/>
      <c r="G41" s="4107"/>
      <c r="H41" s="4106"/>
      <c r="I41" s="4107"/>
      <c r="J41" s="4106"/>
      <c r="K41" s="4107"/>
      <c r="L41" s="4106"/>
      <c r="M41" s="4107"/>
      <c r="N41" s="4108"/>
      <c r="O41" s="4107"/>
      <c r="P41" s="4108"/>
      <c r="Q41" s="4107"/>
      <c r="R41" s="4108"/>
      <c r="S41" s="4107"/>
      <c r="T41" s="4106"/>
      <c r="U41" s="4107"/>
      <c r="V41" s="4106"/>
      <c r="W41" s="4107"/>
      <c r="X41" s="4106"/>
      <c r="Y41" s="4107"/>
      <c r="Z41" s="4106"/>
      <c r="AA41" s="4107"/>
      <c r="AB41" s="4106"/>
      <c r="AC41" s="4107"/>
      <c r="AD41" s="4106"/>
      <c r="AE41" s="4107"/>
      <c r="AF41" s="4106"/>
      <c r="AG41" s="4107"/>
      <c r="AH41" s="4106"/>
      <c r="AI41" s="4107"/>
      <c r="AJ41" s="4106"/>
      <c r="AK41" s="4107"/>
      <c r="AL41" s="4106"/>
      <c r="AM41" s="4109"/>
      <c r="AN41" s="4110"/>
      <c r="AO41" s="4107"/>
      <c r="AP41" t="str">
        <f t="shared" si="2"/>
        <v/>
      </c>
      <c r="CA41" t="str">
        <f t="shared" si="3"/>
        <v/>
      </c>
      <c r="CB41" t="str">
        <f t="shared" si="4"/>
        <v/>
      </c>
      <c r="CC41" t="str">
        <f t="shared" si="5"/>
        <v/>
      </c>
      <c r="CJ41">
        <f t="shared" si="6"/>
        <v>0</v>
      </c>
      <c r="CK41">
        <f t="shared" si="7"/>
        <v>0</v>
      </c>
    </row>
    <row r="42" spans="1:89" ht="27" customHeight="1" x14ac:dyDescent="0.25">
      <c r="A42" s="4079" t="s">
        <v>3075</v>
      </c>
    </row>
    <row r="43" spans="1:89" x14ac:dyDescent="0.25">
      <c r="A43" s="10910" t="s">
        <v>1234</v>
      </c>
      <c r="B43" s="10919" t="s">
        <v>24</v>
      </c>
      <c r="C43" s="10920"/>
      <c r="D43" s="10921"/>
      <c r="E43" s="10877" t="s">
        <v>98</v>
      </c>
      <c r="F43" s="9040"/>
      <c r="G43" s="9040"/>
      <c r="H43" s="9040"/>
      <c r="I43" s="9040"/>
      <c r="J43" s="9040"/>
      <c r="K43" s="9040"/>
      <c r="L43" s="9040"/>
      <c r="M43" s="9040"/>
      <c r="N43" s="9040"/>
      <c r="O43" s="9040"/>
      <c r="P43" s="9040"/>
      <c r="Q43" s="9040"/>
      <c r="R43" s="9040"/>
      <c r="S43" s="9040"/>
      <c r="T43" s="9040"/>
      <c r="U43" s="9040"/>
      <c r="V43" s="9040"/>
      <c r="W43" s="9040"/>
      <c r="X43" s="9040"/>
      <c r="Y43" s="9040"/>
      <c r="Z43" s="9040"/>
      <c r="AA43" s="9040"/>
      <c r="AB43" s="9040"/>
      <c r="AC43" s="9040"/>
      <c r="AD43" s="9040"/>
      <c r="AE43" s="9040"/>
      <c r="AF43" s="9040"/>
      <c r="AG43" s="9040"/>
      <c r="AH43" s="9040"/>
      <c r="AI43" s="9040"/>
      <c r="AJ43" s="9040"/>
      <c r="AK43" s="9040"/>
      <c r="AL43" s="10878"/>
      <c r="AM43" s="10869" t="s">
        <v>3076</v>
      </c>
      <c r="AN43" s="10869"/>
      <c r="AO43" s="10869"/>
      <c r="AP43" s="10869"/>
      <c r="AQ43" s="10869"/>
      <c r="AR43" s="10869"/>
      <c r="AS43" s="10869"/>
      <c r="AT43" s="10869"/>
      <c r="AU43" s="10869"/>
      <c r="AV43" s="10869"/>
      <c r="AW43" s="10870"/>
      <c r="CA43" s="10867" t="s">
        <v>3550</v>
      </c>
      <c r="CJ43" s="10867" t="s">
        <v>3550</v>
      </c>
    </row>
    <row r="44" spans="1:89" x14ac:dyDescent="0.25">
      <c r="A44" s="10911"/>
      <c r="B44" s="10897"/>
      <c r="C44" s="10883"/>
      <c r="D44" s="10898"/>
      <c r="E44" s="10906" t="s">
        <v>1414</v>
      </c>
      <c r="F44" s="10874"/>
      <c r="G44" s="10873" t="s">
        <v>1413</v>
      </c>
      <c r="H44" s="10874"/>
      <c r="I44" s="10873" t="s">
        <v>77</v>
      </c>
      <c r="J44" s="10874"/>
      <c r="K44" s="10873" t="s">
        <v>68</v>
      </c>
      <c r="L44" s="10874"/>
      <c r="M44" s="10873" t="s">
        <v>142</v>
      </c>
      <c r="N44" s="10874"/>
      <c r="O44" s="10873" t="s">
        <v>143</v>
      </c>
      <c r="P44" s="10874"/>
      <c r="Q44" s="10873" t="s">
        <v>144</v>
      </c>
      <c r="R44" s="10874"/>
      <c r="S44" s="10873" t="s">
        <v>7</v>
      </c>
      <c r="T44" s="10874"/>
      <c r="U44" s="10873" t="s">
        <v>8</v>
      </c>
      <c r="V44" s="10874"/>
      <c r="W44" s="10873" t="s">
        <v>145</v>
      </c>
      <c r="X44" s="10874"/>
      <c r="Y44" s="10873" t="s">
        <v>10</v>
      </c>
      <c r="Z44" s="10874"/>
      <c r="AA44" s="10873" t="s">
        <v>11</v>
      </c>
      <c r="AB44" s="10874"/>
      <c r="AC44" s="10873" t="s">
        <v>12</v>
      </c>
      <c r="AD44" s="10874"/>
      <c r="AE44" s="10873" t="s">
        <v>13</v>
      </c>
      <c r="AF44" s="10874"/>
      <c r="AG44" s="10873" t="s">
        <v>14</v>
      </c>
      <c r="AH44" s="10874"/>
      <c r="AI44" s="10873" t="s">
        <v>15</v>
      </c>
      <c r="AJ44" s="10874"/>
      <c r="AK44" s="10885" t="s">
        <v>16</v>
      </c>
      <c r="AL44" s="10886"/>
      <c r="AM44" s="10871"/>
      <c r="AN44" s="10871"/>
      <c r="AO44" s="10871"/>
      <c r="AP44" s="10871"/>
      <c r="AQ44" s="10871"/>
      <c r="AR44" s="10871"/>
      <c r="AS44" s="10871"/>
      <c r="AT44" s="10871"/>
      <c r="AU44" s="10871"/>
      <c r="AV44" s="10871"/>
      <c r="AW44" s="10872"/>
      <c r="CA44" s="10867"/>
      <c r="CJ44" s="10867"/>
    </row>
    <row r="45" spans="1:89" ht="33.75" customHeight="1" x14ac:dyDescent="0.25">
      <c r="A45" s="10912"/>
      <c r="B45" s="4083" t="s">
        <v>42</v>
      </c>
      <c r="C45" s="4084" t="s">
        <v>17</v>
      </c>
      <c r="D45" s="4085" t="s">
        <v>18</v>
      </c>
      <c r="E45" s="4086" t="s">
        <v>17</v>
      </c>
      <c r="F45" s="4087" t="s">
        <v>18</v>
      </c>
      <c r="G45" s="4088" t="s">
        <v>17</v>
      </c>
      <c r="H45" s="4087" t="s">
        <v>18</v>
      </c>
      <c r="I45" s="4088" t="s">
        <v>17</v>
      </c>
      <c r="J45" s="4087" t="s">
        <v>18</v>
      </c>
      <c r="K45" s="4088" t="s">
        <v>17</v>
      </c>
      <c r="L45" s="4087" t="s">
        <v>18</v>
      </c>
      <c r="M45" s="4088" t="s">
        <v>17</v>
      </c>
      <c r="N45" s="4087" t="s">
        <v>18</v>
      </c>
      <c r="O45" s="4088" t="s">
        <v>17</v>
      </c>
      <c r="P45" s="4087" t="s">
        <v>18</v>
      </c>
      <c r="Q45" s="4088" t="s">
        <v>17</v>
      </c>
      <c r="R45" s="4087" t="s">
        <v>18</v>
      </c>
      <c r="S45" s="4088" t="s">
        <v>17</v>
      </c>
      <c r="T45" s="4087" t="s">
        <v>18</v>
      </c>
      <c r="U45" s="4088" t="s">
        <v>17</v>
      </c>
      <c r="V45" s="4087" t="s">
        <v>18</v>
      </c>
      <c r="W45" s="4088" t="s">
        <v>17</v>
      </c>
      <c r="X45" s="4087" t="s">
        <v>18</v>
      </c>
      <c r="Y45" s="4088" t="s">
        <v>17</v>
      </c>
      <c r="Z45" s="4087" t="s">
        <v>18</v>
      </c>
      <c r="AA45" s="4088" t="s">
        <v>17</v>
      </c>
      <c r="AB45" s="4087" t="s">
        <v>18</v>
      </c>
      <c r="AC45" s="4088" t="s">
        <v>17</v>
      </c>
      <c r="AD45" s="4087" t="s">
        <v>18</v>
      </c>
      <c r="AE45" s="4088" t="s">
        <v>17</v>
      </c>
      <c r="AF45" s="4087" t="s">
        <v>18</v>
      </c>
      <c r="AG45" s="4088" t="s">
        <v>17</v>
      </c>
      <c r="AH45" s="4087" t="s">
        <v>18</v>
      </c>
      <c r="AI45" s="4088" t="s">
        <v>17</v>
      </c>
      <c r="AJ45" s="4087" t="s">
        <v>18</v>
      </c>
      <c r="AK45" s="4118" t="s">
        <v>17</v>
      </c>
      <c r="AL45" s="4119" t="s">
        <v>18</v>
      </c>
      <c r="AM45" s="4120" t="s">
        <v>2440</v>
      </c>
      <c r="AN45" s="4120" t="s">
        <v>2420</v>
      </c>
      <c r="AO45" s="4120" t="s">
        <v>3139</v>
      </c>
      <c r="AP45" s="4121" t="s">
        <v>2950</v>
      </c>
      <c r="AQ45" s="4120" t="s">
        <v>2419</v>
      </c>
      <c r="AR45" s="4120" t="s">
        <v>3138</v>
      </c>
      <c r="AS45" s="4120" t="s">
        <v>46</v>
      </c>
      <c r="AT45" s="4120" t="s">
        <v>3140</v>
      </c>
      <c r="AU45" s="4121" t="s">
        <v>3141</v>
      </c>
      <c r="AV45" s="4121" t="s">
        <v>2445</v>
      </c>
      <c r="AW45" s="4120" t="s">
        <v>1674</v>
      </c>
      <c r="CA45" s="10867"/>
      <c r="CJ45" s="10867"/>
    </row>
    <row r="46" spans="1:89" ht="14.1" customHeight="1" x14ac:dyDescent="0.25">
      <c r="A46" s="4122" t="s">
        <v>3938</v>
      </c>
      <c r="B46" s="4123">
        <f>SUM(C46:D46)</f>
        <v>0</v>
      </c>
      <c r="C46" s="4092">
        <f>+E46+G46+I46+K46+M46+O46+Q46+S46+U46+W46+Y46+AA46+AC46+AE46+AG46+AI46+AK46</f>
        <v>0</v>
      </c>
      <c r="D46" s="4091">
        <f>+F46+H46+J46+L46+N46+P46+R46+T46+V46+X46+Z46+AB46+AD46+AF46+AH46+AJ46+AL46</f>
        <v>0</v>
      </c>
      <c r="E46" s="4093"/>
      <c r="F46" s="4094"/>
      <c r="G46" s="4093"/>
      <c r="H46" s="4094"/>
      <c r="I46" s="4093"/>
      <c r="J46" s="4094"/>
      <c r="K46" s="4093"/>
      <c r="L46" s="4094"/>
      <c r="M46" s="4093"/>
      <c r="N46" s="4094"/>
      <c r="O46" s="4093"/>
      <c r="P46" s="4094"/>
      <c r="Q46" s="4093"/>
      <c r="R46" s="4094"/>
      <c r="S46" s="4093"/>
      <c r="T46" s="4094"/>
      <c r="U46" s="4093"/>
      <c r="V46" s="4094"/>
      <c r="W46" s="4093"/>
      <c r="X46" s="4094"/>
      <c r="Y46" s="4093"/>
      <c r="Z46" s="4094"/>
      <c r="AA46" s="4093"/>
      <c r="AB46" s="4094"/>
      <c r="AC46" s="4093"/>
      <c r="AD46" s="4094"/>
      <c r="AE46" s="4093"/>
      <c r="AF46" s="4094"/>
      <c r="AG46" s="4093"/>
      <c r="AH46" s="4094"/>
      <c r="AI46" s="4093"/>
      <c r="AJ46" s="4094"/>
      <c r="AK46" s="4093"/>
      <c r="AL46" s="4124"/>
      <c r="AM46" s="4094"/>
      <c r="AN46" s="4094"/>
      <c r="AO46" s="4094"/>
      <c r="AP46" s="4094"/>
      <c r="AQ46" s="4094"/>
      <c r="AR46" s="4094"/>
      <c r="AS46" s="4094"/>
      <c r="AT46" s="4094"/>
      <c r="AU46" s="4094"/>
      <c r="AV46" s="4094"/>
      <c r="AW46" s="4094"/>
      <c r="CA46" t="str">
        <f>IF(CJ46=1," * La suma de Atenciones por profesional no debe ser mayor al Total.","")</f>
        <v/>
      </c>
    </row>
    <row r="47" spans="1:89" ht="14.1" customHeight="1" x14ac:dyDescent="0.25">
      <c r="A47" s="4125" t="s">
        <v>3939</v>
      </c>
      <c r="B47" s="4123">
        <f t="shared" ref="B47:B57" si="9">SUM(C47:D47)</f>
        <v>0</v>
      </c>
      <c r="C47" s="4100">
        <f t="shared" ref="C47:D57" si="10">+E47+G47+I47+K47+M47+O47+Q47+S47+U47+W47+Y47+AA47+AC47+AE47+AG47+AI47+AK47</f>
        <v>0</v>
      </c>
      <c r="D47" s="4091">
        <f t="shared" si="10"/>
        <v>0</v>
      </c>
      <c r="E47" s="4101"/>
      <c r="F47" s="4094"/>
      <c r="G47" s="4101"/>
      <c r="H47" s="4094"/>
      <c r="I47" s="4101"/>
      <c r="J47" s="4094"/>
      <c r="K47" s="4101"/>
      <c r="L47" s="4094"/>
      <c r="M47" s="4101"/>
      <c r="N47" s="4094"/>
      <c r="O47" s="4101"/>
      <c r="P47" s="4094"/>
      <c r="Q47" s="4101"/>
      <c r="R47" s="4094"/>
      <c r="S47" s="4101"/>
      <c r="T47" s="4094"/>
      <c r="U47" s="4101"/>
      <c r="V47" s="4094"/>
      <c r="W47" s="4101"/>
      <c r="X47" s="4094"/>
      <c r="Y47" s="4101"/>
      <c r="Z47" s="4094"/>
      <c r="AA47" s="4101"/>
      <c r="AB47" s="4094"/>
      <c r="AC47" s="4101"/>
      <c r="AD47" s="4094"/>
      <c r="AE47" s="4101"/>
      <c r="AF47" s="4094"/>
      <c r="AG47" s="4101"/>
      <c r="AH47" s="4094"/>
      <c r="AI47" s="4101"/>
      <c r="AJ47" s="4094"/>
      <c r="AK47" s="4101"/>
      <c r="AL47" s="4124"/>
      <c r="AM47" s="4094"/>
      <c r="AN47" s="4094"/>
      <c r="AO47" s="4094"/>
      <c r="AP47" s="4094"/>
      <c r="AQ47" s="4094"/>
      <c r="AR47" s="4094"/>
      <c r="AS47" s="4094"/>
      <c r="AT47" s="4094"/>
      <c r="AU47" s="4094"/>
      <c r="AV47" s="4094"/>
      <c r="AW47" s="4094"/>
      <c r="CA47" t="str">
        <f t="shared" ref="CA47:CA57" si="11">IF(CJ47=1," * La suma de Atenciones por profesional no debe ser mayor al Total.","")</f>
        <v/>
      </c>
    </row>
    <row r="48" spans="1:89" ht="14.1" customHeight="1" x14ac:dyDescent="0.25">
      <c r="A48" s="4126" t="s">
        <v>3940</v>
      </c>
      <c r="B48" s="4123">
        <f t="shared" si="9"/>
        <v>0</v>
      </c>
      <c r="C48" s="4100">
        <f t="shared" si="10"/>
        <v>0</v>
      </c>
      <c r="D48" s="4091">
        <f t="shared" si="10"/>
        <v>0</v>
      </c>
      <c r="E48" s="4101"/>
      <c r="F48" s="4094"/>
      <c r="G48" s="4101"/>
      <c r="H48" s="4094"/>
      <c r="I48" s="4101"/>
      <c r="J48" s="4094"/>
      <c r="K48" s="4101"/>
      <c r="L48" s="4094"/>
      <c r="M48" s="4101"/>
      <c r="N48" s="4094"/>
      <c r="O48" s="4101"/>
      <c r="P48" s="4094"/>
      <c r="Q48" s="4101"/>
      <c r="R48" s="4094"/>
      <c r="S48" s="4101"/>
      <c r="T48" s="4094"/>
      <c r="U48" s="4101"/>
      <c r="V48" s="4094"/>
      <c r="W48" s="4101"/>
      <c r="X48" s="4094"/>
      <c r="Y48" s="4101"/>
      <c r="Z48" s="4094"/>
      <c r="AA48" s="4101"/>
      <c r="AB48" s="4094"/>
      <c r="AC48" s="4101"/>
      <c r="AD48" s="4094"/>
      <c r="AE48" s="4101"/>
      <c r="AF48" s="4094"/>
      <c r="AG48" s="4101"/>
      <c r="AH48" s="4094"/>
      <c r="AI48" s="4101"/>
      <c r="AJ48" s="4094"/>
      <c r="AK48" s="4101"/>
      <c r="AL48" s="4124"/>
      <c r="AM48" s="4094"/>
      <c r="AN48" s="4094"/>
      <c r="AO48" s="4094"/>
      <c r="AP48" s="4094"/>
      <c r="AQ48" s="4094"/>
      <c r="AR48" s="4094"/>
      <c r="AS48" s="4094"/>
      <c r="AT48" s="4094"/>
      <c r="AU48" s="4094"/>
      <c r="AV48" s="4094"/>
      <c r="AW48" s="4094"/>
      <c r="AX48" t="str">
        <f t="shared" ref="AX48:AX57" si="12">CA48&amp;CB48</f>
        <v/>
      </c>
      <c r="CA48" t="str">
        <f t="shared" si="11"/>
        <v/>
      </c>
      <c r="CJ48">
        <f t="shared" ref="CJ48:CJ57" si="13">IF(SUM(AM48:AW48)&gt;B48,1,0)</f>
        <v>0</v>
      </c>
    </row>
    <row r="49" spans="1:89" ht="14.1" customHeight="1" x14ac:dyDescent="0.25">
      <c r="A49" s="4126" t="s">
        <v>3941</v>
      </c>
      <c r="B49" s="4123">
        <f t="shared" si="9"/>
        <v>0</v>
      </c>
      <c r="C49" s="4100">
        <f t="shared" si="10"/>
        <v>0</v>
      </c>
      <c r="D49" s="4091">
        <f t="shared" si="10"/>
        <v>0</v>
      </c>
      <c r="E49" s="4101"/>
      <c r="F49" s="4094"/>
      <c r="G49" s="4101"/>
      <c r="H49" s="4094"/>
      <c r="I49" s="4101"/>
      <c r="J49" s="4094"/>
      <c r="K49" s="4101"/>
      <c r="L49" s="4094"/>
      <c r="M49" s="4101"/>
      <c r="N49" s="4094"/>
      <c r="O49" s="4101"/>
      <c r="P49" s="4094"/>
      <c r="Q49" s="4101"/>
      <c r="R49" s="4094"/>
      <c r="S49" s="4101"/>
      <c r="T49" s="4094"/>
      <c r="U49" s="4101"/>
      <c r="V49" s="4094"/>
      <c r="W49" s="4101"/>
      <c r="X49" s="4094"/>
      <c r="Y49" s="4101"/>
      <c r="Z49" s="4094"/>
      <c r="AA49" s="4101"/>
      <c r="AB49" s="4094"/>
      <c r="AC49" s="4101"/>
      <c r="AD49" s="4094"/>
      <c r="AE49" s="4101"/>
      <c r="AF49" s="4094"/>
      <c r="AG49" s="4101"/>
      <c r="AH49" s="4094"/>
      <c r="AI49" s="4101"/>
      <c r="AJ49" s="4094"/>
      <c r="AK49" s="4101"/>
      <c r="AL49" s="4124"/>
      <c r="AM49" s="4094"/>
      <c r="AN49" s="4094"/>
      <c r="AO49" s="4094"/>
      <c r="AP49" s="4094"/>
      <c r="AQ49" s="4094"/>
      <c r="AR49" s="4094"/>
      <c r="AS49" s="4094"/>
      <c r="AT49" s="4094"/>
      <c r="AU49" s="4094"/>
      <c r="AV49" s="4094"/>
      <c r="AW49" s="4094"/>
      <c r="AX49" t="str">
        <f t="shared" si="12"/>
        <v/>
      </c>
      <c r="CA49" t="str">
        <f t="shared" si="11"/>
        <v/>
      </c>
      <c r="CJ49">
        <f t="shared" si="13"/>
        <v>0</v>
      </c>
    </row>
    <row r="50" spans="1:89" ht="14.1" customHeight="1" x14ac:dyDescent="0.25">
      <c r="A50" s="4126" t="s">
        <v>3942</v>
      </c>
      <c r="B50" s="4123">
        <f t="shared" si="9"/>
        <v>0</v>
      </c>
      <c r="C50" s="4100">
        <f t="shared" si="10"/>
        <v>0</v>
      </c>
      <c r="D50" s="4091">
        <f t="shared" si="10"/>
        <v>0</v>
      </c>
      <c r="E50" s="4101"/>
      <c r="F50" s="4094"/>
      <c r="G50" s="4101"/>
      <c r="H50" s="4094"/>
      <c r="I50" s="4101"/>
      <c r="J50" s="4094"/>
      <c r="K50" s="4101"/>
      <c r="L50" s="4094"/>
      <c r="M50" s="4101"/>
      <c r="N50" s="4094"/>
      <c r="O50" s="4101"/>
      <c r="P50" s="4094"/>
      <c r="Q50" s="4101"/>
      <c r="R50" s="4094"/>
      <c r="S50" s="4101"/>
      <c r="T50" s="4094"/>
      <c r="U50" s="4101"/>
      <c r="V50" s="4094"/>
      <c r="W50" s="4101"/>
      <c r="X50" s="4094"/>
      <c r="Y50" s="4101"/>
      <c r="Z50" s="4094"/>
      <c r="AA50" s="4101"/>
      <c r="AB50" s="4094"/>
      <c r="AC50" s="4101"/>
      <c r="AD50" s="4094"/>
      <c r="AE50" s="4101"/>
      <c r="AF50" s="4094"/>
      <c r="AG50" s="4101"/>
      <c r="AH50" s="4094"/>
      <c r="AI50" s="4101"/>
      <c r="AJ50" s="4094"/>
      <c r="AK50" s="4101"/>
      <c r="AL50" s="4124"/>
      <c r="AM50" s="4094"/>
      <c r="AN50" s="4094"/>
      <c r="AO50" s="4094"/>
      <c r="AP50" s="4094"/>
      <c r="AQ50" s="4094"/>
      <c r="AR50" s="4094"/>
      <c r="AS50" s="4094"/>
      <c r="AT50" s="4094"/>
      <c r="AU50" s="4094"/>
      <c r="AV50" s="4094"/>
      <c r="AW50" s="4094"/>
      <c r="AX50" t="str">
        <f t="shared" si="12"/>
        <v/>
      </c>
      <c r="CA50" t="str">
        <f t="shared" si="11"/>
        <v/>
      </c>
      <c r="CJ50">
        <f t="shared" si="13"/>
        <v>0</v>
      </c>
    </row>
    <row r="51" spans="1:89" ht="14.1" customHeight="1" x14ac:dyDescent="0.25">
      <c r="A51" s="4126" t="s">
        <v>3943</v>
      </c>
      <c r="B51" s="4123">
        <f t="shared" si="9"/>
        <v>0</v>
      </c>
      <c r="C51" s="4100">
        <f t="shared" si="10"/>
        <v>0</v>
      </c>
      <c r="D51" s="4091">
        <f t="shared" si="10"/>
        <v>0</v>
      </c>
      <c r="E51" s="4101"/>
      <c r="F51" s="4094"/>
      <c r="G51" s="4101"/>
      <c r="H51" s="4094"/>
      <c r="I51" s="4101"/>
      <c r="J51" s="4094"/>
      <c r="K51" s="4101"/>
      <c r="L51" s="4094"/>
      <c r="M51" s="4101"/>
      <c r="N51" s="4094"/>
      <c r="O51" s="4101"/>
      <c r="P51" s="4094"/>
      <c r="Q51" s="4101"/>
      <c r="R51" s="4094"/>
      <c r="S51" s="4101"/>
      <c r="T51" s="4094"/>
      <c r="U51" s="4101"/>
      <c r="V51" s="4094"/>
      <c r="W51" s="4101"/>
      <c r="X51" s="4094"/>
      <c r="Y51" s="4101"/>
      <c r="Z51" s="4094"/>
      <c r="AA51" s="4101"/>
      <c r="AB51" s="4094"/>
      <c r="AC51" s="4101"/>
      <c r="AD51" s="4094"/>
      <c r="AE51" s="4101"/>
      <c r="AF51" s="4094"/>
      <c r="AG51" s="4101"/>
      <c r="AH51" s="4094"/>
      <c r="AI51" s="4101"/>
      <c r="AJ51" s="4094"/>
      <c r="AK51" s="4101"/>
      <c r="AL51" s="4124"/>
      <c r="AM51" s="4094"/>
      <c r="AN51" s="4094"/>
      <c r="AO51" s="4094"/>
      <c r="AP51" s="4094"/>
      <c r="AQ51" s="4094"/>
      <c r="AR51" s="4094"/>
      <c r="AS51" s="4094"/>
      <c r="AT51" s="4094"/>
      <c r="AU51" s="4094"/>
      <c r="AV51" s="4094"/>
      <c r="AW51" s="4094"/>
      <c r="AX51" t="str">
        <f t="shared" si="12"/>
        <v/>
      </c>
      <c r="CA51" t="str">
        <f t="shared" si="11"/>
        <v/>
      </c>
      <c r="CJ51">
        <f t="shared" si="13"/>
        <v>0</v>
      </c>
    </row>
    <row r="52" spans="1:89" ht="14.1" customHeight="1" x14ac:dyDescent="0.25">
      <c r="A52" s="4126" t="s">
        <v>3944</v>
      </c>
      <c r="B52" s="4123">
        <f t="shared" si="9"/>
        <v>0</v>
      </c>
      <c r="C52" s="4100">
        <f t="shared" si="10"/>
        <v>0</v>
      </c>
      <c r="D52" s="4091">
        <f t="shared" si="10"/>
        <v>0</v>
      </c>
      <c r="E52" s="4101"/>
      <c r="F52" s="4094"/>
      <c r="G52" s="4101"/>
      <c r="H52" s="4094"/>
      <c r="I52" s="4101"/>
      <c r="J52" s="4094"/>
      <c r="K52" s="4101"/>
      <c r="L52" s="4094"/>
      <c r="M52" s="4101"/>
      <c r="N52" s="4094"/>
      <c r="O52" s="4101"/>
      <c r="P52" s="4094"/>
      <c r="Q52" s="4101"/>
      <c r="R52" s="4094"/>
      <c r="S52" s="4101"/>
      <c r="T52" s="4094"/>
      <c r="U52" s="4101"/>
      <c r="V52" s="4094"/>
      <c r="W52" s="4101"/>
      <c r="X52" s="4094"/>
      <c r="Y52" s="4101"/>
      <c r="Z52" s="4094"/>
      <c r="AA52" s="4101"/>
      <c r="AB52" s="4094"/>
      <c r="AC52" s="4101"/>
      <c r="AD52" s="4094"/>
      <c r="AE52" s="4101"/>
      <c r="AF52" s="4094"/>
      <c r="AG52" s="4101"/>
      <c r="AH52" s="4094"/>
      <c r="AI52" s="4101"/>
      <c r="AJ52" s="4094"/>
      <c r="AK52" s="4101"/>
      <c r="AL52" s="4124"/>
      <c r="AM52" s="4094"/>
      <c r="AN52" s="4094"/>
      <c r="AO52" s="4094"/>
      <c r="AP52" s="4094"/>
      <c r="AQ52" s="4094"/>
      <c r="AR52" s="4094"/>
      <c r="AS52" s="4094"/>
      <c r="AT52" s="4094"/>
      <c r="AU52" s="4094"/>
      <c r="AV52" s="4094"/>
      <c r="AW52" s="4094"/>
      <c r="AX52" t="str">
        <f t="shared" si="12"/>
        <v/>
      </c>
      <c r="CA52" t="str">
        <f t="shared" si="11"/>
        <v/>
      </c>
      <c r="CJ52">
        <f t="shared" si="13"/>
        <v>0</v>
      </c>
    </row>
    <row r="53" spans="1:89" ht="14.1" customHeight="1" x14ac:dyDescent="0.25">
      <c r="A53" s="4126" t="s">
        <v>3945</v>
      </c>
      <c r="B53" s="4123">
        <f t="shared" si="9"/>
        <v>0</v>
      </c>
      <c r="C53" s="4100">
        <f t="shared" si="10"/>
        <v>0</v>
      </c>
      <c r="D53" s="4091">
        <f t="shared" si="10"/>
        <v>0</v>
      </c>
      <c r="E53" s="4101"/>
      <c r="F53" s="4094"/>
      <c r="G53" s="4101"/>
      <c r="H53" s="4094"/>
      <c r="I53" s="4101"/>
      <c r="J53" s="4094"/>
      <c r="K53" s="4101"/>
      <c r="L53" s="4094"/>
      <c r="M53" s="4101"/>
      <c r="N53" s="4094"/>
      <c r="O53" s="4101"/>
      <c r="P53" s="4094"/>
      <c r="Q53" s="4101"/>
      <c r="R53" s="4094"/>
      <c r="S53" s="4101"/>
      <c r="T53" s="4094"/>
      <c r="U53" s="4101"/>
      <c r="V53" s="4094"/>
      <c r="W53" s="4101"/>
      <c r="X53" s="4094"/>
      <c r="Y53" s="4101"/>
      <c r="Z53" s="4094"/>
      <c r="AA53" s="4101"/>
      <c r="AB53" s="4094"/>
      <c r="AC53" s="4101"/>
      <c r="AD53" s="4094"/>
      <c r="AE53" s="4101"/>
      <c r="AF53" s="4094"/>
      <c r="AG53" s="4101"/>
      <c r="AH53" s="4094"/>
      <c r="AI53" s="4101"/>
      <c r="AJ53" s="4094"/>
      <c r="AK53" s="4101"/>
      <c r="AL53" s="4124"/>
      <c r="AM53" s="4094"/>
      <c r="AN53" s="4094"/>
      <c r="AO53" s="4094"/>
      <c r="AP53" s="4094"/>
      <c r="AQ53" s="4094"/>
      <c r="AR53" s="4094"/>
      <c r="AS53" s="4094"/>
      <c r="AT53" s="4094"/>
      <c r="AU53" s="4094"/>
      <c r="AV53" s="4094"/>
      <c r="AW53" s="4094"/>
      <c r="AX53" t="str">
        <f t="shared" si="12"/>
        <v/>
      </c>
      <c r="CA53" t="str">
        <f t="shared" si="11"/>
        <v/>
      </c>
      <c r="CJ53">
        <f t="shared" si="13"/>
        <v>0</v>
      </c>
    </row>
    <row r="54" spans="1:89" ht="14.1" customHeight="1" x14ac:dyDescent="0.25">
      <c r="A54" s="4126" t="s">
        <v>3946</v>
      </c>
      <c r="B54" s="4123">
        <f t="shared" si="9"/>
        <v>0</v>
      </c>
      <c r="C54" s="4100">
        <f t="shared" si="10"/>
        <v>0</v>
      </c>
      <c r="D54" s="4091">
        <f t="shared" si="10"/>
        <v>0</v>
      </c>
      <c r="E54" s="4101"/>
      <c r="F54" s="4094"/>
      <c r="G54" s="4101"/>
      <c r="H54" s="4094"/>
      <c r="I54" s="4101"/>
      <c r="J54" s="4094"/>
      <c r="K54" s="4101"/>
      <c r="L54" s="4094"/>
      <c r="M54" s="4101"/>
      <c r="N54" s="4094"/>
      <c r="O54" s="4101"/>
      <c r="P54" s="4094"/>
      <c r="Q54" s="4101"/>
      <c r="R54" s="4094"/>
      <c r="S54" s="4101"/>
      <c r="T54" s="4094"/>
      <c r="U54" s="4101"/>
      <c r="V54" s="4094"/>
      <c r="W54" s="4101"/>
      <c r="X54" s="4094"/>
      <c r="Y54" s="4101"/>
      <c r="Z54" s="4094"/>
      <c r="AA54" s="4101"/>
      <c r="AB54" s="4094"/>
      <c r="AC54" s="4101"/>
      <c r="AD54" s="4094"/>
      <c r="AE54" s="4101"/>
      <c r="AF54" s="4094"/>
      <c r="AG54" s="4101"/>
      <c r="AH54" s="4094"/>
      <c r="AI54" s="4101"/>
      <c r="AJ54" s="4094"/>
      <c r="AK54" s="4101"/>
      <c r="AL54" s="4124"/>
      <c r="AM54" s="4094"/>
      <c r="AN54" s="4094"/>
      <c r="AO54" s="4094"/>
      <c r="AP54" s="4094"/>
      <c r="AQ54" s="4094"/>
      <c r="AR54" s="4094"/>
      <c r="AS54" s="4094"/>
      <c r="AT54" s="4094"/>
      <c r="AU54" s="4094"/>
      <c r="AV54" s="4094"/>
      <c r="AW54" s="4094"/>
      <c r="AX54" t="str">
        <f t="shared" si="12"/>
        <v/>
      </c>
      <c r="CA54" t="str">
        <f t="shared" si="11"/>
        <v/>
      </c>
      <c r="CJ54">
        <f t="shared" si="13"/>
        <v>0</v>
      </c>
    </row>
    <row r="55" spans="1:89" ht="14.1" customHeight="1" x14ac:dyDescent="0.25">
      <c r="A55" s="4126" t="s">
        <v>3947</v>
      </c>
      <c r="B55" s="4123">
        <f t="shared" si="9"/>
        <v>0</v>
      </c>
      <c r="C55" s="4100">
        <f t="shared" si="10"/>
        <v>0</v>
      </c>
      <c r="D55" s="4091">
        <f t="shared" si="10"/>
        <v>0</v>
      </c>
      <c r="E55" s="4101"/>
      <c r="F55" s="4094"/>
      <c r="G55" s="4101"/>
      <c r="H55" s="4094"/>
      <c r="I55" s="4101"/>
      <c r="J55" s="4094"/>
      <c r="K55" s="4101"/>
      <c r="L55" s="4094"/>
      <c r="M55" s="4101"/>
      <c r="N55" s="4094"/>
      <c r="O55" s="4101"/>
      <c r="P55" s="4094"/>
      <c r="Q55" s="4101"/>
      <c r="R55" s="4094"/>
      <c r="S55" s="4101"/>
      <c r="T55" s="4094"/>
      <c r="U55" s="4101"/>
      <c r="V55" s="4094"/>
      <c r="W55" s="4101"/>
      <c r="X55" s="4094"/>
      <c r="Y55" s="4101"/>
      <c r="Z55" s="4094"/>
      <c r="AA55" s="4101"/>
      <c r="AB55" s="4094"/>
      <c r="AC55" s="4101"/>
      <c r="AD55" s="4094"/>
      <c r="AE55" s="4101"/>
      <c r="AF55" s="4094"/>
      <c r="AG55" s="4101"/>
      <c r="AH55" s="4094"/>
      <c r="AI55" s="4101"/>
      <c r="AJ55" s="4094"/>
      <c r="AK55" s="4101"/>
      <c r="AL55" s="4124"/>
      <c r="AM55" s="4094"/>
      <c r="AN55" s="4094"/>
      <c r="AO55" s="4094"/>
      <c r="AP55" s="4094"/>
      <c r="AQ55" s="4094"/>
      <c r="AR55" s="4094"/>
      <c r="AS55" s="4094"/>
      <c r="AT55" s="4094"/>
      <c r="AU55" s="4094"/>
      <c r="AV55" s="4094"/>
      <c r="AW55" s="4094"/>
      <c r="AX55" t="str">
        <f t="shared" si="12"/>
        <v/>
      </c>
      <c r="CA55" t="str">
        <f t="shared" si="11"/>
        <v/>
      </c>
      <c r="CJ55">
        <f t="shared" si="13"/>
        <v>0</v>
      </c>
    </row>
    <row r="56" spans="1:89" ht="14.1" customHeight="1" x14ac:dyDescent="0.25">
      <c r="A56" s="4126" t="s">
        <v>3948</v>
      </c>
      <c r="B56" s="4123">
        <f t="shared" si="9"/>
        <v>0</v>
      </c>
      <c r="C56" s="4100">
        <f t="shared" si="10"/>
        <v>0</v>
      </c>
      <c r="D56" s="4091">
        <f t="shared" si="10"/>
        <v>0</v>
      </c>
      <c r="E56" s="4101"/>
      <c r="F56" s="4094"/>
      <c r="G56" s="4101"/>
      <c r="H56" s="4094"/>
      <c r="I56" s="4101"/>
      <c r="J56" s="4094"/>
      <c r="K56" s="4101"/>
      <c r="L56" s="4094"/>
      <c r="M56" s="4101"/>
      <c r="N56" s="4094"/>
      <c r="O56" s="4101"/>
      <c r="P56" s="4094"/>
      <c r="Q56" s="4101"/>
      <c r="R56" s="4094"/>
      <c r="S56" s="4101"/>
      <c r="T56" s="4094"/>
      <c r="U56" s="4101"/>
      <c r="V56" s="4094"/>
      <c r="W56" s="4101"/>
      <c r="X56" s="4094"/>
      <c r="Y56" s="4101"/>
      <c r="Z56" s="4094"/>
      <c r="AA56" s="4101"/>
      <c r="AB56" s="4094"/>
      <c r="AC56" s="4101"/>
      <c r="AD56" s="4094"/>
      <c r="AE56" s="4101"/>
      <c r="AF56" s="4094"/>
      <c r="AG56" s="4101"/>
      <c r="AH56" s="4094"/>
      <c r="AI56" s="4101"/>
      <c r="AJ56" s="4094"/>
      <c r="AK56" s="4101"/>
      <c r="AL56" s="4124"/>
      <c r="AM56" s="4094"/>
      <c r="AN56" s="4094"/>
      <c r="AO56" s="4094"/>
      <c r="AP56" s="4094"/>
      <c r="AQ56" s="4094"/>
      <c r="AR56" s="4094"/>
      <c r="AS56" s="4094"/>
      <c r="AT56" s="4094"/>
      <c r="AU56" s="4094"/>
      <c r="AV56" s="4094"/>
      <c r="AW56" s="4094"/>
      <c r="AX56" t="str">
        <f t="shared" si="12"/>
        <v/>
      </c>
      <c r="CA56" t="str">
        <f t="shared" si="11"/>
        <v/>
      </c>
      <c r="CJ56">
        <f t="shared" si="13"/>
        <v>0</v>
      </c>
    </row>
    <row r="57" spans="1:89" ht="14.1" customHeight="1" x14ac:dyDescent="0.25">
      <c r="A57" s="4127" t="s">
        <v>3949</v>
      </c>
      <c r="B57" s="4128">
        <f t="shared" si="9"/>
        <v>0</v>
      </c>
      <c r="C57" s="4129">
        <f t="shared" si="10"/>
        <v>0</v>
      </c>
      <c r="D57" s="4130">
        <f t="shared" si="10"/>
        <v>0</v>
      </c>
      <c r="E57" s="4131"/>
      <c r="F57" s="4132"/>
      <c r="G57" s="4131"/>
      <c r="H57" s="4132"/>
      <c r="I57" s="4131"/>
      <c r="J57" s="4132"/>
      <c r="K57" s="4131"/>
      <c r="L57" s="4132"/>
      <c r="M57" s="4131"/>
      <c r="N57" s="4132"/>
      <c r="O57" s="4131"/>
      <c r="P57" s="4132"/>
      <c r="Q57" s="4131"/>
      <c r="R57" s="4132"/>
      <c r="S57" s="4131"/>
      <c r="T57" s="4132"/>
      <c r="U57" s="4131"/>
      <c r="V57" s="4132"/>
      <c r="W57" s="4131"/>
      <c r="X57" s="4132"/>
      <c r="Y57" s="4131"/>
      <c r="Z57" s="4132"/>
      <c r="AA57" s="4131"/>
      <c r="AB57" s="4132"/>
      <c r="AC57" s="4131"/>
      <c r="AD57" s="4132"/>
      <c r="AE57" s="4131"/>
      <c r="AF57" s="4132"/>
      <c r="AG57" s="4131"/>
      <c r="AH57" s="4132"/>
      <c r="AI57" s="4131"/>
      <c r="AJ57" s="4132"/>
      <c r="AK57" s="4131"/>
      <c r="AL57" s="4133"/>
      <c r="AM57" s="4132"/>
      <c r="AN57" s="4134"/>
      <c r="AO57" s="4134"/>
      <c r="AP57" s="4134"/>
      <c r="AQ57" s="4134"/>
      <c r="AR57" s="4134"/>
      <c r="AS57" s="4134"/>
      <c r="AT57" s="4134"/>
      <c r="AU57" s="4134"/>
      <c r="AV57" s="4134"/>
      <c r="AW57" s="4134"/>
      <c r="AX57" t="str">
        <f t="shared" si="12"/>
        <v/>
      </c>
      <c r="CA57" t="str">
        <f t="shared" si="11"/>
        <v/>
      </c>
      <c r="CJ57">
        <f t="shared" si="13"/>
        <v>0</v>
      </c>
    </row>
    <row r="58" spans="1:89" ht="19.899999999999999" customHeight="1" x14ac:dyDescent="0.25">
      <c r="A58" s="4079" t="s">
        <v>3078</v>
      </c>
      <c r="B58" s="4135"/>
      <c r="C58" s="4135"/>
      <c r="D58" s="4135"/>
      <c r="E58" s="4135"/>
      <c r="F58" s="4135"/>
      <c r="G58" s="4135"/>
      <c r="H58" s="4135"/>
      <c r="I58" s="4135"/>
      <c r="J58" s="4135"/>
    </row>
    <row r="59" spans="1:89" ht="21" customHeight="1" x14ac:dyDescent="0.25">
      <c r="A59" s="4079" t="s">
        <v>3079</v>
      </c>
      <c r="B59" s="4135"/>
      <c r="C59" s="4135"/>
      <c r="D59" s="4135"/>
      <c r="E59" s="4135"/>
      <c r="F59" s="4135"/>
      <c r="G59" s="4135"/>
      <c r="H59" s="4135"/>
      <c r="I59" s="4135"/>
      <c r="J59" s="4135"/>
    </row>
    <row r="60" spans="1:89" ht="15.75" customHeight="1" x14ac:dyDescent="0.25">
      <c r="A60" s="10913" t="s">
        <v>3390</v>
      </c>
      <c r="B60" s="10914"/>
      <c r="C60" s="10919" t="s">
        <v>24</v>
      </c>
      <c r="D60" s="10920"/>
      <c r="E60" s="10921"/>
      <c r="F60" s="10877" t="s">
        <v>98</v>
      </c>
      <c r="G60" s="9040"/>
      <c r="H60" s="9040"/>
      <c r="I60" s="9040"/>
      <c r="J60" s="9040"/>
      <c r="K60" s="9040"/>
      <c r="L60" s="9040"/>
      <c r="M60" s="9040"/>
      <c r="N60" s="9040"/>
      <c r="O60" s="9040"/>
      <c r="P60" s="9040"/>
      <c r="Q60" s="9040"/>
      <c r="R60" s="9040"/>
      <c r="S60" s="9040"/>
      <c r="T60" s="9040"/>
      <c r="U60" s="9040"/>
      <c r="V60" s="9040"/>
      <c r="W60" s="9040"/>
      <c r="X60" s="9040"/>
      <c r="Y60" s="9040"/>
      <c r="Z60" s="9040"/>
      <c r="AA60" s="9040"/>
      <c r="AB60" s="9040"/>
      <c r="AC60" s="9040"/>
      <c r="AD60" s="9040"/>
      <c r="AE60" s="9040"/>
      <c r="AF60" s="9040"/>
      <c r="AG60" s="9040"/>
      <c r="AH60" s="9040"/>
      <c r="AI60" s="9040"/>
      <c r="AJ60" s="9040"/>
      <c r="AK60" s="9040"/>
      <c r="AL60" s="9040"/>
      <c r="AM60" s="10878"/>
      <c r="AN60" s="8855" t="s">
        <v>1818</v>
      </c>
      <c r="AO60" s="8867" t="s">
        <v>359</v>
      </c>
      <c r="CA60" s="8748" t="s">
        <v>1818</v>
      </c>
      <c r="CB60" s="8748" t="s">
        <v>359</v>
      </c>
      <c r="CC60" s="8748" t="s">
        <v>3952</v>
      </c>
      <c r="CJ60" s="8748" t="s">
        <v>1818</v>
      </c>
      <c r="CK60" s="8748" t="s">
        <v>359</v>
      </c>
    </row>
    <row r="61" spans="1:89" ht="15.75" customHeight="1" x14ac:dyDescent="0.25">
      <c r="A61" s="10915"/>
      <c r="B61" s="10916"/>
      <c r="C61" s="10897"/>
      <c r="D61" s="10883"/>
      <c r="E61" s="10898"/>
      <c r="F61" s="10906" t="s">
        <v>1414</v>
      </c>
      <c r="G61" s="10874"/>
      <c r="H61" s="10873" t="s">
        <v>1413</v>
      </c>
      <c r="I61" s="10874"/>
      <c r="J61" s="10873" t="s">
        <v>77</v>
      </c>
      <c r="K61" s="10874"/>
      <c r="L61" s="10873" t="s">
        <v>68</v>
      </c>
      <c r="M61" s="10874"/>
      <c r="N61" s="10873" t="s">
        <v>142</v>
      </c>
      <c r="O61" s="10874"/>
      <c r="P61" s="10873" t="s">
        <v>143</v>
      </c>
      <c r="Q61" s="10874"/>
      <c r="R61" s="10873" t="s">
        <v>144</v>
      </c>
      <c r="S61" s="10874"/>
      <c r="T61" s="10873" t="s">
        <v>7</v>
      </c>
      <c r="U61" s="10874"/>
      <c r="V61" s="10873" t="s">
        <v>8</v>
      </c>
      <c r="W61" s="10874"/>
      <c r="X61" s="10873" t="s">
        <v>145</v>
      </c>
      <c r="Y61" s="10874"/>
      <c r="Z61" s="10873" t="s">
        <v>10</v>
      </c>
      <c r="AA61" s="10874"/>
      <c r="AB61" s="10873" t="s">
        <v>11</v>
      </c>
      <c r="AC61" s="10874"/>
      <c r="AD61" s="10873" t="s">
        <v>12</v>
      </c>
      <c r="AE61" s="10874"/>
      <c r="AF61" s="10873" t="s">
        <v>13</v>
      </c>
      <c r="AG61" s="10874"/>
      <c r="AH61" s="10873" t="s">
        <v>14</v>
      </c>
      <c r="AI61" s="10874"/>
      <c r="AJ61" s="10873" t="s">
        <v>15</v>
      </c>
      <c r="AK61" s="10874"/>
      <c r="AL61" s="10879" t="s">
        <v>16</v>
      </c>
      <c r="AM61" s="10878"/>
      <c r="AN61" s="8625"/>
      <c r="AO61" s="8689"/>
      <c r="CA61" s="8748"/>
      <c r="CB61" s="8748"/>
      <c r="CC61" s="8748"/>
      <c r="CJ61" s="8748"/>
      <c r="CK61" s="8748"/>
    </row>
    <row r="62" spans="1:89" ht="40.5" customHeight="1" x14ac:dyDescent="0.25">
      <c r="A62" s="10917"/>
      <c r="B62" s="10918"/>
      <c r="C62" s="4083" t="s">
        <v>42</v>
      </c>
      <c r="D62" s="4084" t="s">
        <v>17</v>
      </c>
      <c r="E62" s="4085" t="s">
        <v>18</v>
      </c>
      <c r="F62" s="4086" t="s">
        <v>17</v>
      </c>
      <c r="G62" s="4087" t="s">
        <v>18</v>
      </c>
      <c r="H62" s="4088" t="s">
        <v>17</v>
      </c>
      <c r="I62" s="4087" t="s">
        <v>18</v>
      </c>
      <c r="J62" s="4088" t="s">
        <v>17</v>
      </c>
      <c r="K62" s="4087" t="s">
        <v>18</v>
      </c>
      <c r="L62" s="4088" t="s">
        <v>17</v>
      </c>
      <c r="M62" s="4087" t="s">
        <v>18</v>
      </c>
      <c r="N62" s="4088" t="s">
        <v>17</v>
      </c>
      <c r="O62" s="4087" t="s">
        <v>18</v>
      </c>
      <c r="P62" s="4088" t="s">
        <v>17</v>
      </c>
      <c r="Q62" s="4087" t="s">
        <v>18</v>
      </c>
      <c r="R62" s="4088" t="s">
        <v>17</v>
      </c>
      <c r="S62" s="4087" t="s">
        <v>18</v>
      </c>
      <c r="T62" s="4088" t="s">
        <v>17</v>
      </c>
      <c r="U62" s="4087" t="s">
        <v>18</v>
      </c>
      <c r="V62" s="4088" t="s">
        <v>17</v>
      </c>
      <c r="W62" s="4087" t="s">
        <v>18</v>
      </c>
      <c r="X62" s="4088" t="s">
        <v>17</v>
      </c>
      <c r="Y62" s="4087" t="s">
        <v>18</v>
      </c>
      <c r="Z62" s="4088" t="s">
        <v>17</v>
      </c>
      <c r="AA62" s="4087" t="s">
        <v>18</v>
      </c>
      <c r="AB62" s="4088" t="s">
        <v>17</v>
      </c>
      <c r="AC62" s="4087" t="s">
        <v>18</v>
      </c>
      <c r="AD62" s="4088" t="s">
        <v>17</v>
      </c>
      <c r="AE62" s="4087" t="s">
        <v>18</v>
      </c>
      <c r="AF62" s="4088" t="s">
        <v>17</v>
      </c>
      <c r="AG62" s="4087" t="s">
        <v>18</v>
      </c>
      <c r="AH62" s="4088" t="s">
        <v>17</v>
      </c>
      <c r="AI62" s="4087" t="s">
        <v>18</v>
      </c>
      <c r="AJ62" s="4088" t="s">
        <v>17</v>
      </c>
      <c r="AK62" s="4087" t="s">
        <v>18</v>
      </c>
      <c r="AL62" s="4088" t="s">
        <v>17</v>
      </c>
      <c r="AM62" s="4089" t="s">
        <v>18</v>
      </c>
      <c r="AN62" s="10745"/>
      <c r="AO62" s="8870" t="s">
        <v>18</v>
      </c>
      <c r="CA62" s="8748"/>
      <c r="CB62" s="8748" t="s">
        <v>18</v>
      </c>
      <c r="CC62" s="8748" t="s">
        <v>18</v>
      </c>
      <c r="CJ62" s="8748"/>
      <c r="CK62" s="8748" t="s">
        <v>18</v>
      </c>
    </row>
    <row r="63" spans="1:89" ht="15.75" customHeight="1" x14ac:dyDescent="0.25">
      <c r="A63" s="10891" t="s">
        <v>3049</v>
      </c>
      <c r="B63" s="4099" t="s">
        <v>3050</v>
      </c>
      <c r="C63" s="4091">
        <f>SUM(D63:E63)</f>
        <v>0</v>
      </c>
      <c r="D63" s="4092">
        <f>+F63+H63+J63+L63+N63+P63+R63+T63+V63+X63+Z63+AB63+AD63+AF63+AH63+AJ63+AL63</f>
        <v>0</v>
      </c>
      <c r="E63" s="4091">
        <f>+G63+I63+K63+M63+O63+Q63+S63+U63+W63+Y63+AA63+AC63+AE63+AG63+AI63+AK63+AM63</f>
        <v>0</v>
      </c>
      <c r="F63" s="4093"/>
      <c r="G63" s="4094"/>
      <c r="H63" s="4093"/>
      <c r="I63" s="4094"/>
      <c r="J63" s="4093"/>
      <c r="K63" s="4094"/>
      <c r="L63" s="4093"/>
      <c r="M63" s="4094"/>
      <c r="N63" s="4093"/>
      <c r="O63" s="4094"/>
      <c r="P63" s="4093"/>
      <c r="Q63" s="4094"/>
      <c r="R63" s="4093"/>
      <c r="S63" s="4094"/>
      <c r="T63" s="4093"/>
      <c r="U63" s="4094"/>
      <c r="V63" s="4093"/>
      <c r="W63" s="4094"/>
      <c r="X63" s="4093"/>
      <c r="Y63" s="4094"/>
      <c r="Z63" s="4093"/>
      <c r="AA63" s="4094"/>
      <c r="AB63" s="4093"/>
      <c r="AC63" s="4094"/>
      <c r="AD63" s="4093"/>
      <c r="AE63" s="4094"/>
      <c r="AF63" s="4093"/>
      <c r="AG63" s="4094"/>
      <c r="AH63" s="4093"/>
      <c r="AI63" s="4094"/>
      <c r="AJ63" s="4093"/>
      <c r="AK63" s="4094"/>
      <c r="AL63" s="4093"/>
      <c r="AM63" s="4097"/>
      <c r="AN63" s="4098"/>
      <c r="AO63" s="4094"/>
      <c r="AP63" t="str">
        <f>CA63&amp;CB63&amp;CC63</f>
        <v/>
      </c>
      <c r="CA63" t="str">
        <f>IF(CJ63=1," * El total de registros en Pueblos Originarios no debe ser mayor al Total.","")</f>
        <v/>
      </c>
      <c r="CB63" t="str">
        <f>IF(CK63=1," * El total de registros en Migrantes no debe ser mayor al Total.","")</f>
        <v/>
      </c>
      <c r="CC63" t="str">
        <f>IF(AND(C63&lt;&gt;0,OR(AN63="",AO63="")),"* No olvide digitar Migrantes y/o Pueblos Originarios (Digite CERO si no tiene). ","")</f>
        <v/>
      </c>
      <c r="CJ63">
        <f>IF(AN63&gt;C63,1,0)</f>
        <v>0</v>
      </c>
      <c r="CK63">
        <f>IF(AO63&gt;C63,1,0)</f>
        <v>0</v>
      </c>
    </row>
    <row r="64" spans="1:89" ht="15.75" customHeight="1" x14ac:dyDescent="0.25">
      <c r="A64" s="10892"/>
      <c r="B64" s="4099" t="s">
        <v>3051</v>
      </c>
      <c r="C64" s="4091">
        <f t="shared" ref="C64:C89" si="14">SUM(D64:E64)</f>
        <v>0</v>
      </c>
      <c r="D64" s="4100">
        <f t="shared" ref="D64:E89" si="15">+F64+H64+J64+L64+N64+P64+R64+T64+V64+X64+Z64+AB64+AD64+AF64+AH64+AJ64+AL64</f>
        <v>0</v>
      </c>
      <c r="E64" s="4091">
        <f t="shared" si="15"/>
        <v>0</v>
      </c>
      <c r="F64" s="4101"/>
      <c r="G64" s="4094"/>
      <c r="H64" s="4101"/>
      <c r="I64" s="4094"/>
      <c r="J64" s="4101"/>
      <c r="K64" s="4094"/>
      <c r="L64" s="4101"/>
      <c r="M64" s="4094"/>
      <c r="N64" s="4101"/>
      <c r="O64" s="4094"/>
      <c r="P64" s="4101"/>
      <c r="Q64" s="4094"/>
      <c r="R64" s="4101"/>
      <c r="S64" s="4094"/>
      <c r="T64" s="4101"/>
      <c r="U64" s="4094"/>
      <c r="V64" s="4101"/>
      <c r="W64" s="4094"/>
      <c r="X64" s="4101"/>
      <c r="Y64" s="4094"/>
      <c r="Z64" s="4101"/>
      <c r="AA64" s="4094"/>
      <c r="AB64" s="4101"/>
      <c r="AC64" s="4094"/>
      <c r="AD64" s="4101"/>
      <c r="AE64" s="4094"/>
      <c r="AF64" s="4101"/>
      <c r="AG64" s="4094"/>
      <c r="AH64" s="4101"/>
      <c r="AI64" s="4094"/>
      <c r="AJ64" s="4101"/>
      <c r="AK64" s="4094"/>
      <c r="AL64" s="4101"/>
      <c r="AM64" s="4097"/>
      <c r="AN64" s="4098"/>
      <c r="AO64" s="4094"/>
      <c r="AP64" t="str">
        <f t="shared" ref="AP64:AP89" si="16">CA64&amp;CB64&amp;CC64</f>
        <v/>
      </c>
      <c r="CA64" t="str">
        <f t="shared" ref="CA64:CA89" si="17">IF(CJ64=1," * El total de registros en Pueblos Originarios no debe ser mayor al Total.","")</f>
        <v/>
      </c>
      <c r="CB64" t="str">
        <f t="shared" ref="CB64:CB89" si="18">IF(CK64=1," * El total de registros en Migrantes no debe ser mayor al Total.","")</f>
        <v/>
      </c>
      <c r="CC64" t="str">
        <f t="shared" ref="CC64:CC89" si="19">IF(AND(C64&lt;&gt;0,OR(AN64="",AO64="")),"* No olvide digitar Migrantes y/o Pueblos Originarios (Digite CERO si no tiene). ","")</f>
        <v/>
      </c>
      <c r="CJ64">
        <f t="shared" ref="CJ64:CJ89" si="20">IF(AN64&gt;C64,1,0)</f>
        <v>0</v>
      </c>
      <c r="CK64">
        <f t="shared" ref="CK64:CK89" si="21">IF(AO64&gt;C64,1,0)</f>
        <v>0</v>
      </c>
    </row>
    <row r="65" spans="1:89" ht="15.75" customHeight="1" x14ac:dyDescent="0.25">
      <c r="A65" s="10892"/>
      <c r="B65" s="4099" t="s">
        <v>3052</v>
      </c>
      <c r="C65" s="4091">
        <f t="shared" si="14"/>
        <v>0</v>
      </c>
      <c r="D65" s="4100">
        <f t="shared" si="15"/>
        <v>0</v>
      </c>
      <c r="E65" s="4091">
        <f t="shared" si="15"/>
        <v>0</v>
      </c>
      <c r="F65" s="4101"/>
      <c r="G65" s="4094"/>
      <c r="H65" s="4101"/>
      <c r="I65" s="4094"/>
      <c r="J65" s="4101"/>
      <c r="K65" s="4094"/>
      <c r="L65" s="4101"/>
      <c r="M65" s="4094"/>
      <c r="N65" s="4101"/>
      <c r="O65" s="4094"/>
      <c r="P65" s="4101"/>
      <c r="Q65" s="4094"/>
      <c r="R65" s="4101"/>
      <c r="S65" s="4094"/>
      <c r="T65" s="4101"/>
      <c r="U65" s="4094"/>
      <c r="V65" s="4101"/>
      <c r="W65" s="4094"/>
      <c r="X65" s="4101"/>
      <c r="Y65" s="4094"/>
      <c r="Z65" s="4101"/>
      <c r="AA65" s="4094"/>
      <c r="AB65" s="4101"/>
      <c r="AC65" s="4094"/>
      <c r="AD65" s="4101"/>
      <c r="AE65" s="4094"/>
      <c r="AF65" s="4101"/>
      <c r="AG65" s="4094"/>
      <c r="AH65" s="4101"/>
      <c r="AI65" s="4094"/>
      <c r="AJ65" s="4101"/>
      <c r="AK65" s="4094"/>
      <c r="AL65" s="4101"/>
      <c r="AM65" s="4097"/>
      <c r="AN65" s="4098"/>
      <c r="AO65" s="4094"/>
      <c r="AP65" t="str">
        <f t="shared" si="16"/>
        <v/>
      </c>
      <c r="CA65" t="str">
        <f t="shared" si="17"/>
        <v/>
      </c>
      <c r="CB65" t="str">
        <f t="shared" si="18"/>
        <v/>
      </c>
      <c r="CC65" t="str">
        <f t="shared" si="19"/>
        <v/>
      </c>
      <c r="CJ65">
        <f t="shared" si="20"/>
        <v>0</v>
      </c>
      <c r="CK65">
        <f t="shared" si="21"/>
        <v>0</v>
      </c>
    </row>
    <row r="66" spans="1:89" ht="15.75" customHeight="1" x14ac:dyDescent="0.25">
      <c r="A66" s="10892"/>
      <c r="B66" s="4099" t="s">
        <v>3053</v>
      </c>
      <c r="C66" s="4091">
        <f t="shared" si="14"/>
        <v>0</v>
      </c>
      <c r="D66" s="4100">
        <f t="shared" si="15"/>
        <v>0</v>
      </c>
      <c r="E66" s="4091">
        <f t="shared" si="15"/>
        <v>0</v>
      </c>
      <c r="F66" s="4101"/>
      <c r="G66" s="4094"/>
      <c r="H66" s="4101"/>
      <c r="I66" s="4094"/>
      <c r="J66" s="4101"/>
      <c r="K66" s="4094"/>
      <c r="L66" s="4101"/>
      <c r="M66" s="4094"/>
      <c r="N66" s="4101"/>
      <c r="O66" s="4094"/>
      <c r="P66" s="4101"/>
      <c r="Q66" s="4094"/>
      <c r="R66" s="4101"/>
      <c r="S66" s="4094"/>
      <c r="T66" s="4101"/>
      <c r="U66" s="4094"/>
      <c r="V66" s="4101"/>
      <c r="W66" s="4094"/>
      <c r="X66" s="4101"/>
      <c r="Y66" s="4094"/>
      <c r="Z66" s="4101"/>
      <c r="AA66" s="4094"/>
      <c r="AB66" s="4101"/>
      <c r="AC66" s="4094"/>
      <c r="AD66" s="4101"/>
      <c r="AE66" s="4094"/>
      <c r="AF66" s="4101"/>
      <c r="AG66" s="4094"/>
      <c r="AH66" s="4101"/>
      <c r="AI66" s="4094"/>
      <c r="AJ66" s="4101"/>
      <c r="AK66" s="4094"/>
      <c r="AL66" s="4101"/>
      <c r="AM66" s="4097"/>
      <c r="AN66" s="4098"/>
      <c r="AO66" s="4094"/>
      <c r="AP66" t="str">
        <f t="shared" si="16"/>
        <v/>
      </c>
      <c r="CA66" t="str">
        <f t="shared" si="17"/>
        <v/>
      </c>
      <c r="CB66" t="str">
        <f t="shared" si="18"/>
        <v/>
      </c>
      <c r="CC66" t="str">
        <f t="shared" si="19"/>
        <v/>
      </c>
      <c r="CJ66">
        <f t="shared" si="20"/>
        <v>0</v>
      </c>
      <c r="CK66">
        <f t="shared" si="21"/>
        <v>0</v>
      </c>
    </row>
    <row r="67" spans="1:89" ht="15.75" customHeight="1" x14ac:dyDescent="0.25">
      <c r="A67" s="10892"/>
      <c r="B67" s="4099" t="s">
        <v>3054</v>
      </c>
      <c r="C67" s="4091">
        <f t="shared" si="14"/>
        <v>0</v>
      </c>
      <c r="D67" s="4100">
        <f t="shared" si="15"/>
        <v>0</v>
      </c>
      <c r="E67" s="4091">
        <f t="shared" si="15"/>
        <v>0</v>
      </c>
      <c r="F67" s="4101"/>
      <c r="G67" s="4094"/>
      <c r="H67" s="4101"/>
      <c r="I67" s="4094"/>
      <c r="J67" s="4101"/>
      <c r="K67" s="4094"/>
      <c r="L67" s="4101"/>
      <c r="M67" s="4094"/>
      <c r="N67" s="4101"/>
      <c r="O67" s="4094"/>
      <c r="P67" s="4101"/>
      <c r="Q67" s="4094"/>
      <c r="R67" s="4101"/>
      <c r="S67" s="4094"/>
      <c r="T67" s="4101"/>
      <c r="U67" s="4094"/>
      <c r="V67" s="4101"/>
      <c r="W67" s="4094"/>
      <c r="X67" s="4101"/>
      <c r="Y67" s="4094"/>
      <c r="Z67" s="4101"/>
      <c r="AA67" s="4094"/>
      <c r="AB67" s="4101"/>
      <c r="AC67" s="4094"/>
      <c r="AD67" s="4101"/>
      <c r="AE67" s="4094"/>
      <c r="AF67" s="4101"/>
      <c r="AG67" s="4094"/>
      <c r="AH67" s="4101"/>
      <c r="AI67" s="4094"/>
      <c r="AJ67" s="4101"/>
      <c r="AK67" s="4094"/>
      <c r="AL67" s="4101"/>
      <c r="AM67" s="4097"/>
      <c r="AN67" s="4098"/>
      <c r="AO67" s="4094"/>
      <c r="AP67" t="str">
        <f t="shared" si="16"/>
        <v/>
      </c>
      <c r="CA67" t="str">
        <f t="shared" si="17"/>
        <v/>
      </c>
      <c r="CB67" t="str">
        <f t="shared" si="18"/>
        <v/>
      </c>
      <c r="CC67" t="str">
        <f t="shared" si="19"/>
        <v/>
      </c>
      <c r="CJ67">
        <f t="shared" si="20"/>
        <v>0</v>
      </c>
      <c r="CK67">
        <f t="shared" si="21"/>
        <v>0</v>
      </c>
    </row>
    <row r="68" spans="1:89" ht="15.75" customHeight="1" x14ac:dyDescent="0.25">
      <c r="A68" s="10892"/>
      <c r="B68" s="4099" t="s">
        <v>3055</v>
      </c>
      <c r="C68" s="4091">
        <f t="shared" si="14"/>
        <v>0</v>
      </c>
      <c r="D68" s="4100">
        <f t="shared" si="15"/>
        <v>0</v>
      </c>
      <c r="E68" s="4091">
        <f t="shared" si="15"/>
        <v>0</v>
      </c>
      <c r="F68" s="4101"/>
      <c r="G68" s="4094"/>
      <c r="H68" s="4101"/>
      <c r="I68" s="4094"/>
      <c r="J68" s="4101"/>
      <c r="K68" s="4094"/>
      <c r="L68" s="4101"/>
      <c r="M68" s="4094"/>
      <c r="N68" s="4101"/>
      <c r="O68" s="4094"/>
      <c r="P68" s="4101"/>
      <c r="Q68" s="4094"/>
      <c r="R68" s="4101"/>
      <c r="S68" s="4094"/>
      <c r="T68" s="4101"/>
      <c r="U68" s="4094"/>
      <c r="V68" s="4101"/>
      <c r="W68" s="4094"/>
      <c r="X68" s="4101"/>
      <c r="Y68" s="4094"/>
      <c r="Z68" s="4101"/>
      <c r="AA68" s="4094"/>
      <c r="AB68" s="4101"/>
      <c r="AC68" s="4094"/>
      <c r="AD68" s="4101"/>
      <c r="AE68" s="4094"/>
      <c r="AF68" s="4101"/>
      <c r="AG68" s="4094"/>
      <c r="AH68" s="4101"/>
      <c r="AI68" s="4094"/>
      <c r="AJ68" s="4101"/>
      <c r="AK68" s="4094"/>
      <c r="AL68" s="4101"/>
      <c r="AM68" s="4097"/>
      <c r="AN68" s="4098"/>
      <c r="AO68" s="4094"/>
      <c r="AP68" t="str">
        <f t="shared" si="16"/>
        <v/>
      </c>
      <c r="CA68" t="str">
        <f t="shared" si="17"/>
        <v/>
      </c>
      <c r="CB68" t="str">
        <f t="shared" si="18"/>
        <v/>
      </c>
      <c r="CC68" t="str">
        <f t="shared" si="19"/>
        <v/>
      </c>
      <c r="CJ68">
        <f t="shared" si="20"/>
        <v>0</v>
      </c>
      <c r="CK68">
        <f t="shared" si="21"/>
        <v>0</v>
      </c>
    </row>
    <row r="69" spans="1:89" ht="15.75" customHeight="1" x14ac:dyDescent="0.25">
      <c r="A69" s="10892"/>
      <c r="B69" s="4099" t="s">
        <v>3056</v>
      </c>
      <c r="C69" s="4091">
        <f t="shared" si="14"/>
        <v>0</v>
      </c>
      <c r="D69" s="4100">
        <f t="shared" si="15"/>
        <v>0</v>
      </c>
      <c r="E69" s="4091">
        <f t="shared" si="15"/>
        <v>0</v>
      </c>
      <c r="F69" s="4101"/>
      <c r="G69" s="4094"/>
      <c r="H69" s="4101"/>
      <c r="I69" s="4094"/>
      <c r="J69" s="4101"/>
      <c r="K69" s="4094"/>
      <c r="L69" s="4101"/>
      <c r="M69" s="4094"/>
      <c r="N69" s="4101"/>
      <c r="O69" s="4094"/>
      <c r="P69" s="4101"/>
      <c r="Q69" s="4094"/>
      <c r="R69" s="4101"/>
      <c r="S69" s="4094"/>
      <c r="T69" s="4101"/>
      <c r="U69" s="4094"/>
      <c r="V69" s="4101"/>
      <c r="W69" s="4094"/>
      <c r="X69" s="4101"/>
      <c r="Y69" s="4094"/>
      <c r="Z69" s="4101"/>
      <c r="AA69" s="4094"/>
      <c r="AB69" s="4101"/>
      <c r="AC69" s="4094"/>
      <c r="AD69" s="4101"/>
      <c r="AE69" s="4094"/>
      <c r="AF69" s="4101"/>
      <c r="AG69" s="4094"/>
      <c r="AH69" s="4101"/>
      <c r="AI69" s="4094"/>
      <c r="AJ69" s="4101"/>
      <c r="AK69" s="4094"/>
      <c r="AL69" s="4101"/>
      <c r="AM69" s="4097"/>
      <c r="AN69" s="4098"/>
      <c r="AO69" s="4094"/>
      <c r="AP69" t="str">
        <f t="shared" si="16"/>
        <v/>
      </c>
      <c r="CA69" t="str">
        <f t="shared" si="17"/>
        <v/>
      </c>
      <c r="CB69" t="str">
        <f t="shared" si="18"/>
        <v/>
      </c>
      <c r="CC69" t="str">
        <f t="shared" si="19"/>
        <v/>
      </c>
      <c r="CJ69">
        <f t="shared" si="20"/>
        <v>0</v>
      </c>
      <c r="CK69">
        <f t="shared" si="21"/>
        <v>0</v>
      </c>
    </row>
    <row r="70" spans="1:89" ht="15.75" customHeight="1" x14ac:dyDescent="0.25">
      <c r="A70" s="10892"/>
      <c r="B70" s="4099" t="s">
        <v>3057</v>
      </c>
      <c r="C70" s="4091">
        <f t="shared" si="14"/>
        <v>0</v>
      </c>
      <c r="D70" s="4100">
        <f t="shared" si="15"/>
        <v>0</v>
      </c>
      <c r="E70" s="4091">
        <f t="shared" si="15"/>
        <v>0</v>
      </c>
      <c r="F70" s="4101"/>
      <c r="G70" s="4094"/>
      <c r="H70" s="4101"/>
      <c r="I70" s="4094"/>
      <c r="J70" s="4101"/>
      <c r="K70" s="4094"/>
      <c r="L70" s="4101"/>
      <c r="M70" s="4094"/>
      <c r="N70" s="4101"/>
      <c r="O70" s="4094"/>
      <c r="P70" s="4101"/>
      <c r="Q70" s="4094"/>
      <c r="R70" s="4101"/>
      <c r="S70" s="4094"/>
      <c r="T70" s="4101"/>
      <c r="U70" s="4094"/>
      <c r="V70" s="4101"/>
      <c r="W70" s="4094"/>
      <c r="X70" s="4101"/>
      <c r="Y70" s="4094"/>
      <c r="Z70" s="4101"/>
      <c r="AA70" s="4094"/>
      <c r="AB70" s="4101"/>
      <c r="AC70" s="4094"/>
      <c r="AD70" s="4101"/>
      <c r="AE70" s="4094"/>
      <c r="AF70" s="4101"/>
      <c r="AG70" s="4094"/>
      <c r="AH70" s="4101"/>
      <c r="AI70" s="4094"/>
      <c r="AJ70" s="4101"/>
      <c r="AK70" s="4094"/>
      <c r="AL70" s="4101"/>
      <c r="AM70" s="4097"/>
      <c r="AN70" s="4098"/>
      <c r="AO70" s="4094"/>
      <c r="AP70" t="str">
        <f t="shared" si="16"/>
        <v/>
      </c>
      <c r="CA70" t="str">
        <f t="shared" si="17"/>
        <v/>
      </c>
      <c r="CB70" t="str">
        <f t="shared" si="18"/>
        <v/>
      </c>
      <c r="CC70" t="str">
        <f t="shared" si="19"/>
        <v/>
      </c>
      <c r="CJ70">
        <f t="shared" si="20"/>
        <v>0</v>
      </c>
      <c r="CK70">
        <f t="shared" si="21"/>
        <v>0</v>
      </c>
    </row>
    <row r="71" spans="1:89" ht="15.75" customHeight="1" x14ac:dyDescent="0.25">
      <c r="A71" s="10892"/>
      <c r="B71" s="4099" t="s">
        <v>3058</v>
      </c>
      <c r="C71" s="4091">
        <f t="shared" si="14"/>
        <v>0</v>
      </c>
      <c r="D71" s="4100">
        <f t="shared" si="15"/>
        <v>0</v>
      </c>
      <c r="E71" s="4091">
        <f t="shared" si="15"/>
        <v>0</v>
      </c>
      <c r="F71" s="4101"/>
      <c r="G71" s="4094"/>
      <c r="H71" s="4101"/>
      <c r="I71" s="4094"/>
      <c r="J71" s="4101"/>
      <c r="K71" s="4094"/>
      <c r="L71" s="4101"/>
      <c r="M71" s="4094"/>
      <c r="N71" s="4101"/>
      <c r="O71" s="4094"/>
      <c r="P71" s="4101"/>
      <c r="Q71" s="4094"/>
      <c r="R71" s="4101"/>
      <c r="S71" s="4094"/>
      <c r="T71" s="4101"/>
      <c r="U71" s="4094"/>
      <c r="V71" s="4101"/>
      <c r="W71" s="4094"/>
      <c r="X71" s="4101"/>
      <c r="Y71" s="4094"/>
      <c r="Z71" s="4101"/>
      <c r="AA71" s="4094"/>
      <c r="AB71" s="4101"/>
      <c r="AC71" s="4094"/>
      <c r="AD71" s="4101"/>
      <c r="AE71" s="4094"/>
      <c r="AF71" s="4101"/>
      <c r="AG71" s="4094"/>
      <c r="AH71" s="4101"/>
      <c r="AI71" s="4094"/>
      <c r="AJ71" s="4101"/>
      <c r="AK71" s="4094"/>
      <c r="AL71" s="4101"/>
      <c r="AM71" s="4097"/>
      <c r="AN71" s="4098"/>
      <c r="AO71" s="4094"/>
      <c r="AP71" t="str">
        <f t="shared" si="16"/>
        <v/>
      </c>
      <c r="CA71" t="str">
        <f t="shared" si="17"/>
        <v/>
      </c>
      <c r="CB71" t="str">
        <f t="shared" si="18"/>
        <v/>
      </c>
      <c r="CC71" t="str">
        <f t="shared" si="19"/>
        <v/>
      </c>
      <c r="CJ71">
        <f t="shared" si="20"/>
        <v>0</v>
      </c>
      <c r="CK71">
        <f t="shared" si="21"/>
        <v>0</v>
      </c>
    </row>
    <row r="72" spans="1:89" ht="15.75" customHeight="1" x14ac:dyDescent="0.25">
      <c r="A72" s="10892"/>
      <c r="B72" s="4099" t="s">
        <v>3059</v>
      </c>
      <c r="C72" s="4091">
        <f t="shared" si="14"/>
        <v>0</v>
      </c>
      <c r="D72" s="4100">
        <f t="shared" si="15"/>
        <v>0</v>
      </c>
      <c r="E72" s="4091">
        <f t="shared" si="15"/>
        <v>0</v>
      </c>
      <c r="F72" s="4101"/>
      <c r="G72" s="4094"/>
      <c r="H72" s="4101"/>
      <c r="I72" s="4094"/>
      <c r="J72" s="4101"/>
      <c r="K72" s="4094"/>
      <c r="L72" s="4101"/>
      <c r="M72" s="4094"/>
      <c r="N72" s="4101"/>
      <c r="O72" s="4094"/>
      <c r="P72" s="4101"/>
      <c r="Q72" s="4094"/>
      <c r="R72" s="4101"/>
      <c r="S72" s="4094"/>
      <c r="T72" s="4101"/>
      <c r="U72" s="4094"/>
      <c r="V72" s="4101"/>
      <c r="W72" s="4094"/>
      <c r="X72" s="4101"/>
      <c r="Y72" s="4094"/>
      <c r="Z72" s="4101"/>
      <c r="AA72" s="4094"/>
      <c r="AB72" s="4101"/>
      <c r="AC72" s="4094"/>
      <c r="AD72" s="4101"/>
      <c r="AE72" s="4094"/>
      <c r="AF72" s="4101"/>
      <c r="AG72" s="4094"/>
      <c r="AH72" s="4101"/>
      <c r="AI72" s="4094"/>
      <c r="AJ72" s="4101"/>
      <c r="AK72" s="4094"/>
      <c r="AL72" s="4101"/>
      <c r="AM72" s="4097"/>
      <c r="AN72" s="4098"/>
      <c r="AO72" s="4094"/>
      <c r="AP72" t="str">
        <f t="shared" si="16"/>
        <v/>
      </c>
      <c r="CA72" t="str">
        <f t="shared" si="17"/>
        <v/>
      </c>
      <c r="CB72" t="str">
        <f t="shared" si="18"/>
        <v/>
      </c>
      <c r="CC72" t="str">
        <f t="shared" si="19"/>
        <v/>
      </c>
      <c r="CJ72">
        <f t="shared" si="20"/>
        <v>0</v>
      </c>
      <c r="CK72">
        <f t="shared" si="21"/>
        <v>0</v>
      </c>
    </row>
    <row r="73" spans="1:89" ht="15.75" customHeight="1" x14ac:dyDescent="0.25">
      <c r="A73" s="10892"/>
      <c r="B73" s="4099" t="s">
        <v>3060</v>
      </c>
      <c r="C73" s="4091">
        <f t="shared" si="14"/>
        <v>0</v>
      </c>
      <c r="D73" s="4100">
        <f t="shared" si="15"/>
        <v>0</v>
      </c>
      <c r="E73" s="4091">
        <f t="shared" si="15"/>
        <v>0</v>
      </c>
      <c r="F73" s="4101"/>
      <c r="G73" s="4094"/>
      <c r="H73" s="4101"/>
      <c r="I73" s="4094"/>
      <c r="J73" s="4101"/>
      <c r="K73" s="4094"/>
      <c r="L73" s="4101"/>
      <c r="M73" s="4094"/>
      <c r="N73" s="4101"/>
      <c r="O73" s="4094"/>
      <c r="P73" s="4101"/>
      <c r="Q73" s="4094"/>
      <c r="R73" s="4101"/>
      <c r="S73" s="4094"/>
      <c r="T73" s="4101"/>
      <c r="U73" s="4094"/>
      <c r="V73" s="4101"/>
      <c r="W73" s="4094"/>
      <c r="X73" s="4101"/>
      <c r="Y73" s="4094"/>
      <c r="Z73" s="4101"/>
      <c r="AA73" s="4094"/>
      <c r="AB73" s="4101"/>
      <c r="AC73" s="4094"/>
      <c r="AD73" s="4101"/>
      <c r="AE73" s="4094"/>
      <c r="AF73" s="4101"/>
      <c r="AG73" s="4094"/>
      <c r="AH73" s="4101"/>
      <c r="AI73" s="4094"/>
      <c r="AJ73" s="4101"/>
      <c r="AK73" s="4094"/>
      <c r="AL73" s="4101"/>
      <c r="AM73" s="4097"/>
      <c r="AN73" s="4098"/>
      <c r="AO73" s="4094"/>
      <c r="AP73" t="str">
        <f t="shared" si="16"/>
        <v/>
      </c>
      <c r="CA73" t="str">
        <f t="shared" si="17"/>
        <v/>
      </c>
      <c r="CB73" t="str">
        <f t="shared" si="18"/>
        <v/>
      </c>
      <c r="CC73" t="str">
        <f t="shared" si="19"/>
        <v/>
      </c>
      <c r="CJ73">
        <f t="shared" si="20"/>
        <v>0</v>
      </c>
      <c r="CK73">
        <f t="shared" si="21"/>
        <v>0</v>
      </c>
    </row>
    <row r="74" spans="1:89" ht="27" customHeight="1" x14ac:dyDescent="0.25">
      <c r="A74" s="10892"/>
      <c r="B74" s="4102" t="s">
        <v>3061</v>
      </c>
      <c r="C74" s="4091">
        <f t="shared" si="14"/>
        <v>0</v>
      </c>
      <c r="D74" s="4100">
        <f t="shared" si="15"/>
        <v>0</v>
      </c>
      <c r="E74" s="4091">
        <f t="shared" si="15"/>
        <v>0</v>
      </c>
      <c r="F74" s="4101"/>
      <c r="G74" s="4094"/>
      <c r="H74" s="4101"/>
      <c r="I74" s="4094"/>
      <c r="J74" s="4101"/>
      <c r="K74" s="4094"/>
      <c r="L74" s="4101"/>
      <c r="M74" s="4094"/>
      <c r="N74" s="4101"/>
      <c r="O74" s="4094"/>
      <c r="P74" s="4101"/>
      <c r="Q74" s="4094"/>
      <c r="R74" s="4101"/>
      <c r="S74" s="4094"/>
      <c r="T74" s="4101"/>
      <c r="U74" s="4094"/>
      <c r="V74" s="4101"/>
      <c r="W74" s="4094"/>
      <c r="X74" s="4101"/>
      <c r="Y74" s="4094"/>
      <c r="Z74" s="4101"/>
      <c r="AA74" s="4094"/>
      <c r="AB74" s="4101"/>
      <c r="AC74" s="4094"/>
      <c r="AD74" s="4101"/>
      <c r="AE74" s="4094"/>
      <c r="AF74" s="4101"/>
      <c r="AG74" s="4094"/>
      <c r="AH74" s="4101"/>
      <c r="AI74" s="4094"/>
      <c r="AJ74" s="4101"/>
      <c r="AK74" s="4094"/>
      <c r="AL74" s="4101"/>
      <c r="AM74" s="4097"/>
      <c r="AN74" s="4098"/>
      <c r="AO74" s="4094"/>
      <c r="AP74" t="str">
        <f t="shared" si="16"/>
        <v/>
      </c>
      <c r="CA74" t="str">
        <f t="shared" si="17"/>
        <v/>
      </c>
      <c r="CB74" t="str">
        <f t="shared" si="18"/>
        <v/>
      </c>
      <c r="CC74" t="str">
        <f t="shared" si="19"/>
        <v/>
      </c>
      <c r="CJ74">
        <f t="shared" si="20"/>
        <v>0</v>
      </c>
      <c r="CK74">
        <f t="shared" si="21"/>
        <v>0</v>
      </c>
    </row>
    <row r="75" spans="1:89" ht="15.75" customHeight="1" x14ac:dyDescent="0.25">
      <c r="A75" s="10892"/>
      <c r="B75" s="4099" t="s">
        <v>2161</v>
      </c>
      <c r="C75" s="4091">
        <f t="shared" si="14"/>
        <v>0</v>
      </c>
      <c r="D75" s="4100">
        <f t="shared" si="15"/>
        <v>0</v>
      </c>
      <c r="E75" s="4091">
        <f t="shared" si="15"/>
        <v>0</v>
      </c>
      <c r="F75" s="4101"/>
      <c r="G75" s="4094"/>
      <c r="H75" s="4101"/>
      <c r="I75" s="4094"/>
      <c r="J75" s="4101"/>
      <c r="K75" s="4094"/>
      <c r="L75" s="4101"/>
      <c r="M75" s="4094"/>
      <c r="N75" s="4101"/>
      <c r="O75" s="4094"/>
      <c r="P75" s="4101"/>
      <c r="Q75" s="4094"/>
      <c r="R75" s="4101"/>
      <c r="S75" s="4094"/>
      <c r="T75" s="4101"/>
      <c r="U75" s="4094"/>
      <c r="V75" s="4101"/>
      <c r="W75" s="4094"/>
      <c r="X75" s="4101"/>
      <c r="Y75" s="4094"/>
      <c r="Z75" s="4101"/>
      <c r="AA75" s="4094"/>
      <c r="AB75" s="4101"/>
      <c r="AC75" s="4094"/>
      <c r="AD75" s="4101"/>
      <c r="AE75" s="4094"/>
      <c r="AF75" s="4101"/>
      <c r="AG75" s="4094"/>
      <c r="AH75" s="4101"/>
      <c r="AI75" s="4094"/>
      <c r="AJ75" s="4101"/>
      <c r="AK75" s="4094"/>
      <c r="AL75" s="4101"/>
      <c r="AM75" s="4097"/>
      <c r="AN75" s="4098"/>
      <c r="AO75" s="4094"/>
      <c r="AP75" t="str">
        <f t="shared" si="16"/>
        <v/>
      </c>
      <c r="CA75" t="str">
        <f t="shared" si="17"/>
        <v/>
      </c>
      <c r="CB75" t="str">
        <f t="shared" si="18"/>
        <v/>
      </c>
      <c r="CC75" t="str">
        <f t="shared" si="19"/>
        <v/>
      </c>
      <c r="CJ75">
        <f t="shared" si="20"/>
        <v>0</v>
      </c>
      <c r="CK75">
        <f t="shared" si="21"/>
        <v>0</v>
      </c>
    </row>
    <row r="76" spans="1:89" ht="15.75" customHeight="1" x14ac:dyDescent="0.25">
      <c r="A76" s="10892"/>
      <c r="B76" s="4099" t="s">
        <v>3062</v>
      </c>
      <c r="C76" s="4091">
        <f t="shared" si="14"/>
        <v>0</v>
      </c>
      <c r="D76" s="4100">
        <f t="shared" si="15"/>
        <v>0</v>
      </c>
      <c r="E76" s="4091">
        <f t="shared" si="15"/>
        <v>0</v>
      </c>
      <c r="F76" s="4101"/>
      <c r="G76" s="4094"/>
      <c r="H76" s="4101"/>
      <c r="I76" s="4094"/>
      <c r="J76" s="4101"/>
      <c r="K76" s="4094"/>
      <c r="L76" s="4101"/>
      <c r="M76" s="4094"/>
      <c r="N76" s="4101"/>
      <c r="O76" s="4094"/>
      <c r="P76" s="4101"/>
      <c r="Q76" s="4094"/>
      <c r="R76" s="4101"/>
      <c r="S76" s="4094"/>
      <c r="T76" s="4101"/>
      <c r="U76" s="4094"/>
      <c r="V76" s="4101"/>
      <c r="W76" s="4094"/>
      <c r="X76" s="4101"/>
      <c r="Y76" s="4094"/>
      <c r="Z76" s="4101"/>
      <c r="AA76" s="4094"/>
      <c r="AB76" s="4101"/>
      <c r="AC76" s="4094"/>
      <c r="AD76" s="4101"/>
      <c r="AE76" s="4094"/>
      <c r="AF76" s="4101"/>
      <c r="AG76" s="4094"/>
      <c r="AH76" s="4101"/>
      <c r="AI76" s="4094"/>
      <c r="AJ76" s="4101"/>
      <c r="AK76" s="4094"/>
      <c r="AL76" s="4101"/>
      <c r="AM76" s="4097"/>
      <c r="AN76" s="4098"/>
      <c r="AO76" s="4094"/>
      <c r="AP76" t="str">
        <f t="shared" si="16"/>
        <v/>
      </c>
      <c r="CA76" t="str">
        <f t="shared" si="17"/>
        <v/>
      </c>
      <c r="CB76" t="str">
        <f t="shared" si="18"/>
        <v/>
      </c>
      <c r="CC76" t="str">
        <f t="shared" si="19"/>
        <v/>
      </c>
      <c r="CJ76">
        <f t="shared" si="20"/>
        <v>0</v>
      </c>
      <c r="CK76">
        <f t="shared" si="21"/>
        <v>0</v>
      </c>
    </row>
    <row r="77" spans="1:89" ht="15.75" customHeight="1" x14ac:dyDescent="0.25">
      <c r="A77" s="10892"/>
      <c r="B77" s="4099" t="s">
        <v>3063</v>
      </c>
      <c r="C77" s="4091">
        <f t="shared" si="14"/>
        <v>0</v>
      </c>
      <c r="D77" s="4100">
        <f t="shared" si="15"/>
        <v>0</v>
      </c>
      <c r="E77" s="4091">
        <f t="shared" si="15"/>
        <v>0</v>
      </c>
      <c r="F77" s="4101"/>
      <c r="G77" s="4094"/>
      <c r="H77" s="4101"/>
      <c r="I77" s="4094"/>
      <c r="J77" s="4101"/>
      <c r="K77" s="4094"/>
      <c r="L77" s="4101"/>
      <c r="M77" s="4094"/>
      <c r="N77" s="4101"/>
      <c r="O77" s="4094"/>
      <c r="P77" s="4101"/>
      <c r="Q77" s="4094"/>
      <c r="R77" s="4101"/>
      <c r="S77" s="4094"/>
      <c r="T77" s="4101"/>
      <c r="U77" s="4094"/>
      <c r="V77" s="4101"/>
      <c r="W77" s="4094"/>
      <c r="X77" s="4101"/>
      <c r="Y77" s="4094"/>
      <c r="Z77" s="4101"/>
      <c r="AA77" s="4094"/>
      <c r="AB77" s="4101"/>
      <c r="AC77" s="4094"/>
      <c r="AD77" s="4101"/>
      <c r="AE77" s="4094"/>
      <c r="AF77" s="4101"/>
      <c r="AG77" s="4094"/>
      <c r="AH77" s="4101"/>
      <c r="AI77" s="4094"/>
      <c r="AJ77" s="4101"/>
      <c r="AK77" s="4094"/>
      <c r="AL77" s="4101"/>
      <c r="AM77" s="4097"/>
      <c r="AN77" s="4098"/>
      <c r="AO77" s="4094"/>
      <c r="AP77" t="str">
        <f t="shared" si="16"/>
        <v/>
      </c>
      <c r="CA77" t="str">
        <f t="shared" si="17"/>
        <v/>
      </c>
      <c r="CB77" t="str">
        <f t="shared" si="18"/>
        <v/>
      </c>
      <c r="CC77" t="str">
        <f t="shared" si="19"/>
        <v/>
      </c>
      <c r="CJ77">
        <f t="shared" si="20"/>
        <v>0</v>
      </c>
      <c r="CK77">
        <f t="shared" si="21"/>
        <v>0</v>
      </c>
    </row>
    <row r="78" spans="1:89" ht="15.75" customHeight="1" x14ac:dyDescent="0.25">
      <c r="A78" s="10892"/>
      <c r="B78" s="4099" t="s">
        <v>3064</v>
      </c>
      <c r="C78" s="4091">
        <f t="shared" si="14"/>
        <v>0</v>
      </c>
      <c r="D78" s="4100">
        <f t="shared" si="15"/>
        <v>0</v>
      </c>
      <c r="E78" s="4091">
        <f t="shared" si="15"/>
        <v>0</v>
      </c>
      <c r="F78" s="4101"/>
      <c r="G78" s="4094"/>
      <c r="H78" s="4101"/>
      <c r="I78" s="4094"/>
      <c r="J78" s="4101"/>
      <c r="K78" s="4094"/>
      <c r="L78" s="4101"/>
      <c r="M78" s="4094"/>
      <c r="N78" s="4101"/>
      <c r="O78" s="4094"/>
      <c r="P78" s="4101"/>
      <c r="Q78" s="4094"/>
      <c r="R78" s="4101"/>
      <c r="S78" s="4094"/>
      <c r="T78" s="4101"/>
      <c r="U78" s="4094"/>
      <c r="V78" s="4101"/>
      <c r="W78" s="4094"/>
      <c r="X78" s="4101"/>
      <c r="Y78" s="4094"/>
      <c r="Z78" s="4101"/>
      <c r="AA78" s="4094"/>
      <c r="AB78" s="4101"/>
      <c r="AC78" s="4094"/>
      <c r="AD78" s="4101"/>
      <c r="AE78" s="4094"/>
      <c r="AF78" s="4101"/>
      <c r="AG78" s="4094"/>
      <c r="AH78" s="4101"/>
      <c r="AI78" s="4094"/>
      <c r="AJ78" s="4101"/>
      <c r="AK78" s="4094"/>
      <c r="AL78" s="4101"/>
      <c r="AM78" s="4097"/>
      <c r="AN78" s="4098"/>
      <c r="AO78" s="4094"/>
      <c r="AP78" t="str">
        <f t="shared" si="16"/>
        <v/>
      </c>
      <c r="CA78" t="str">
        <f t="shared" si="17"/>
        <v/>
      </c>
      <c r="CB78" t="str">
        <f t="shared" si="18"/>
        <v/>
      </c>
      <c r="CC78" t="str">
        <f t="shared" si="19"/>
        <v/>
      </c>
      <c r="CJ78">
        <f t="shared" si="20"/>
        <v>0</v>
      </c>
      <c r="CK78">
        <f t="shared" si="21"/>
        <v>0</v>
      </c>
    </row>
    <row r="79" spans="1:89" ht="27" customHeight="1" x14ac:dyDescent="0.25">
      <c r="A79" s="10892"/>
      <c r="B79" s="4102" t="s">
        <v>3065</v>
      </c>
      <c r="C79" s="4091">
        <f t="shared" si="14"/>
        <v>0</v>
      </c>
      <c r="D79" s="4100">
        <f t="shared" si="15"/>
        <v>0</v>
      </c>
      <c r="E79" s="4091">
        <f t="shared" si="15"/>
        <v>0</v>
      </c>
      <c r="F79" s="4101"/>
      <c r="G79" s="4094"/>
      <c r="H79" s="4101"/>
      <c r="I79" s="4094"/>
      <c r="J79" s="4101"/>
      <c r="K79" s="4094"/>
      <c r="L79" s="4101"/>
      <c r="M79" s="4094"/>
      <c r="N79" s="4101"/>
      <c r="O79" s="4094"/>
      <c r="P79" s="4101"/>
      <c r="Q79" s="4094"/>
      <c r="R79" s="4101"/>
      <c r="S79" s="4094"/>
      <c r="T79" s="4101"/>
      <c r="U79" s="4094"/>
      <c r="V79" s="4101"/>
      <c r="W79" s="4094"/>
      <c r="X79" s="4101"/>
      <c r="Y79" s="4094"/>
      <c r="Z79" s="4101"/>
      <c r="AA79" s="4094"/>
      <c r="AB79" s="4101"/>
      <c r="AC79" s="4094"/>
      <c r="AD79" s="4101"/>
      <c r="AE79" s="4094"/>
      <c r="AF79" s="4101"/>
      <c r="AG79" s="4094"/>
      <c r="AH79" s="4101"/>
      <c r="AI79" s="4094"/>
      <c r="AJ79" s="4101"/>
      <c r="AK79" s="4094"/>
      <c r="AL79" s="4101"/>
      <c r="AM79" s="4097"/>
      <c r="AN79" s="4098"/>
      <c r="AO79" s="4094"/>
      <c r="AP79" t="str">
        <f t="shared" si="16"/>
        <v/>
      </c>
      <c r="CA79" t="str">
        <f t="shared" si="17"/>
        <v/>
      </c>
      <c r="CB79" t="str">
        <f t="shared" si="18"/>
        <v/>
      </c>
      <c r="CC79" t="str">
        <f t="shared" si="19"/>
        <v/>
      </c>
      <c r="CJ79">
        <f t="shared" si="20"/>
        <v>0</v>
      </c>
      <c r="CK79">
        <f t="shared" si="21"/>
        <v>0</v>
      </c>
    </row>
    <row r="80" spans="1:89" ht="15.75" customHeight="1" x14ac:dyDescent="0.25">
      <c r="A80" s="10892"/>
      <c r="B80" s="4099" t="s">
        <v>3066</v>
      </c>
      <c r="C80" s="4091">
        <f t="shared" si="14"/>
        <v>0</v>
      </c>
      <c r="D80" s="4100">
        <f t="shared" si="15"/>
        <v>0</v>
      </c>
      <c r="E80" s="4091">
        <f t="shared" si="15"/>
        <v>0</v>
      </c>
      <c r="F80" s="4101"/>
      <c r="G80" s="4094"/>
      <c r="H80" s="4101"/>
      <c r="I80" s="4094"/>
      <c r="J80" s="4101"/>
      <c r="K80" s="4094"/>
      <c r="L80" s="4101"/>
      <c r="M80" s="4094"/>
      <c r="N80" s="4101"/>
      <c r="O80" s="4094"/>
      <c r="P80" s="4101"/>
      <c r="Q80" s="4094"/>
      <c r="R80" s="4101"/>
      <c r="S80" s="4094"/>
      <c r="T80" s="4101"/>
      <c r="U80" s="4094"/>
      <c r="V80" s="4101"/>
      <c r="W80" s="4094"/>
      <c r="X80" s="4101"/>
      <c r="Y80" s="4094"/>
      <c r="Z80" s="4101"/>
      <c r="AA80" s="4094"/>
      <c r="AB80" s="4101"/>
      <c r="AC80" s="4094"/>
      <c r="AD80" s="4101"/>
      <c r="AE80" s="4094"/>
      <c r="AF80" s="4101"/>
      <c r="AG80" s="4094"/>
      <c r="AH80" s="4101"/>
      <c r="AI80" s="4094"/>
      <c r="AJ80" s="4101"/>
      <c r="AK80" s="4094"/>
      <c r="AL80" s="4101"/>
      <c r="AM80" s="4097"/>
      <c r="AN80" s="4098"/>
      <c r="AO80" s="4094"/>
      <c r="AP80" t="str">
        <f t="shared" si="16"/>
        <v/>
      </c>
      <c r="CA80" t="str">
        <f t="shared" si="17"/>
        <v/>
      </c>
      <c r="CB80" t="str">
        <f t="shared" si="18"/>
        <v/>
      </c>
      <c r="CC80" t="str">
        <f t="shared" si="19"/>
        <v/>
      </c>
      <c r="CJ80">
        <f t="shared" si="20"/>
        <v>0</v>
      </c>
      <c r="CK80">
        <f t="shared" si="21"/>
        <v>0</v>
      </c>
    </row>
    <row r="81" spans="1:89" ht="15.75" customHeight="1" x14ac:dyDescent="0.25">
      <c r="A81" s="10892"/>
      <c r="B81" s="4099" t="s">
        <v>3067</v>
      </c>
      <c r="C81" s="4091">
        <f t="shared" si="14"/>
        <v>0</v>
      </c>
      <c r="D81" s="4100">
        <f t="shared" si="15"/>
        <v>0</v>
      </c>
      <c r="E81" s="4091">
        <f t="shared" si="15"/>
        <v>0</v>
      </c>
      <c r="F81" s="4101"/>
      <c r="G81" s="4094"/>
      <c r="H81" s="4101"/>
      <c r="I81" s="4094"/>
      <c r="J81" s="4101"/>
      <c r="K81" s="4094"/>
      <c r="L81" s="4101"/>
      <c r="M81" s="4094"/>
      <c r="N81" s="4101"/>
      <c r="O81" s="4094"/>
      <c r="P81" s="4101"/>
      <c r="Q81" s="4094"/>
      <c r="R81" s="4101"/>
      <c r="S81" s="4094"/>
      <c r="T81" s="4101"/>
      <c r="U81" s="4094"/>
      <c r="V81" s="4101"/>
      <c r="W81" s="4094"/>
      <c r="X81" s="4101"/>
      <c r="Y81" s="4094"/>
      <c r="Z81" s="4101"/>
      <c r="AA81" s="4094"/>
      <c r="AB81" s="4101"/>
      <c r="AC81" s="4094"/>
      <c r="AD81" s="4101"/>
      <c r="AE81" s="4094"/>
      <c r="AF81" s="4101"/>
      <c r="AG81" s="4094"/>
      <c r="AH81" s="4101"/>
      <c r="AI81" s="4094"/>
      <c r="AJ81" s="4101"/>
      <c r="AK81" s="4094"/>
      <c r="AL81" s="4101"/>
      <c r="AM81" s="4097"/>
      <c r="AN81" s="4098"/>
      <c r="AO81" s="4094"/>
      <c r="AP81" t="str">
        <f t="shared" si="16"/>
        <v/>
      </c>
      <c r="CA81" t="str">
        <f t="shared" si="17"/>
        <v/>
      </c>
      <c r="CB81" t="str">
        <f t="shared" si="18"/>
        <v/>
      </c>
      <c r="CC81" t="str">
        <f t="shared" si="19"/>
        <v/>
      </c>
      <c r="CJ81">
        <f t="shared" si="20"/>
        <v>0</v>
      </c>
      <c r="CK81">
        <f t="shared" si="21"/>
        <v>0</v>
      </c>
    </row>
    <row r="82" spans="1:89" ht="15.75" customHeight="1" x14ac:dyDescent="0.25">
      <c r="A82" s="10892"/>
      <c r="B82" s="4099" t="s">
        <v>3068</v>
      </c>
      <c r="C82" s="4091">
        <f t="shared" si="14"/>
        <v>0</v>
      </c>
      <c r="D82" s="4100">
        <f t="shared" si="15"/>
        <v>0</v>
      </c>
      <c r="E82" s="4091">
        <f t="shared" si="15"/>
        <v>0</v>
      </c>
      <c r="F82" s="4101"/>
      <c r="G82" s="4094"/>
      <c r="H82" s="4101"/>
      <c r="I82" s="4094"/>
      <c r="J82" s="4101"/>
      <c r="K82" s="4094"/>
      <c r="L82" s="4101"/>
      <c r="M82" s="4094"/>
      <c r="N82" s="4101"/>
      <c r="O82" s="4094"/>
      <c r="P82" s="4101"/>
      <c r="Q82" s="4094"/>
      <c r="R82" s="4101"/>
      <c r="S82" s="4094"/>
      <c r="T82" s="4101"/>
      <c r="U82" s="4094"/>
      <c r="V82" s="4101"/>
      <c r="W82" s="4094"/>
      <c r="X82" s="4101"/>
      <c r="Y82" s="4094"/>
      <c r="Z82" s="4101"/>
      <c r="AA82" s="4094"/>
      <c r="AB82" s="4101"/>
      <c r="AC82" s="4094"/>
      <c r="AD82" s="4101"/>
      <c r="AE82" s="4094"/>
      <c r="AF82" s="4101"/>
      <c r="AG82" s="4094"/>
      <c r="AH82" s="4101"/>
      <c r="AI82" s="4094"/>
      <c r="AJ82" s="4101"/>
      <c r="AK82" s="4094"/>
      <c r="AL82" s="4101"/>
      <c r="AM82" s="4097"/>
      <c r="AN82" s="4098"/>
      <c r="AO82" s="4094"/>
      <c r="AP82" t="str">
        <f t="shared" si="16"/>
        <v/>
      </c>
      <c r="CA82" t="str">
        <f t="shared" si="17"/>
        <v/>
      </c>
      <c r="CB82" t="str">
        <f t="shared" si="18"/>
        <v/>
      </c>
      <c r="CC82" t="str">
        <f t="shared" si="19"/>
        <v/>
      </c>
      <c r="CJ82">
        <f t="shared" si="20"/>
        <v>0</v>
      </c>
      <c r="CK82">
        <f t="shared" si="21"/>
        <v>0</v>
      </c>
    </row>
    <row r="83" spans="1:89" ht="15.75" customHeight="1" x14ac:dyDescent="0.25">
      <c r="A83" s="10892"/>
      <c r="B83" s="4099" t="s">
        <v>3069</v>
      </c>
      <c r="C83" s="4091">
        <f t="shared" si="14"/>
        <v>0</v>
      </c>
      <c r="D83" s="4100">
        <f t="shared" si="15"/>
        <v>0</v>
      </c>
      <c r="E83" s="4091">
        <f t="shared" si="15"/>
        <v>0</v>
      </c>
      <c r="F83" s="4101"/>
      <c r="G83" s="4094"/>
      <c r="H83" s="4101"/>
      <c r="I83" s="4094"/>
      <c r="J83" s="4101"/>
      <c r="K83" s="4094"/>
      <c r="L83" s="4101"/>
      <c r="M83" s="4094"/>
      <c r="N83" s="4101"/>
      <c r="O83" s="4094"/>
      <c r="P83" s="4101"/>
      <c r="Q83" s="4094"/>
      <c r="R83" s="4101"/>
      <c r="S83" s="4094"/>
      <c r="T83" s="4101"/>
      <c r="U83" s="4094"/>
      <c r="V83" s="4101"/>
      <c r="W83" s="4094"/>
      <c r="X83" s="4101"/>
      <c r="Y83" s="4094"/>
      <c r="Z83" s="4101"/>
      <c r="AA83" s="4094"/>
      <c r="AB83" s="4101"/>
      <c r="AC83" s="4094"/>
      <c r="AD83" s="4101"/>
      <c r="AE83" s="4094"/>
      <c r="AF83" s="4101"/>
      <c r="AG83" s="4094"/>
      <c r="AH83" s="4101"/>
      <c r="AI83" s="4094"/>
      <c r="AJ83" s="4101"/>
      <c r="AK83" s="4094"/>
      <c r="AL83" s="4101"/>
      <c r="AM83" s="4097"/>
      <c r="AN83" s="4098"/>
      <c r="AO83" s="4094"/>
      <c r="AP83" t="str">
        <f t="shared" si="16"/>
        <v/>
      </c>
      <c r="CA83" t="str">
        <f t="shared" si="17"/>
        <v/>
      </c>
      <c r="CB83" t="str">
        <f t="shared" si="18"/>
        <v/>
      </c>
      <c r="CC83" t="str">
        <f t="shared" si="19"/>
        <v/>
      </c>
      <c r="CJ83">
        <f t="shared" si="20"/>
        <v>0</v>
      </c>
      <c r="CK83">
        <f t="shared" si="21"/>
        <v>0</v>
      </c>
    </row>
    <row r="84" spans="1:89" ht="22.5" x14ac:dyDescent="0.25">
      <c r="A84" s="10892"/>
      <c r="B84" s="4102" t="s">
        <v>3070</v>
      </c>
      <c r="C84" s="4091">
        <f t="shared" si="14"/>
        <v>0</v>
      </c>
      <c r="D84" s="4100">
        <f t="shared" si="15"/>
        <v>0</v>
      </c>
      <c r="E84" s="4091">
        <f t="shared" si="15"/>
        <v>0</v>
      </c>
      <c r="F84" s="4101"/>
      <c r="G84" s="4094"/>
      <c r="H84" s="4101"/>
      <c r="I84" s="4094"/>
      <c r="J84" s="4101"/>
      <c r="K84" s="4094"/>
      <c r="L84" s="4101"/>
      <c r="M84" s="4094"/>
      <c r="N84" s="4101"/>
      <c r="O84" s="4094"/>
      <c r="P84" s="4101"/>
      <c r="Q84" s="4094"/>
      <c r="R84" s="4101"/>
      <c r="S84" s="4094"/>
      <c r="T84" s="4101"/>
      <c r="U84" s="4094"/>
      <c r="V84" s="4101"/>
      <c r="W84" s="4094"/>
      <c r="X84" s="4101"/>
      <c r="Y84" s="4094"/>
      <c r="Z84" s="4101"/>
      <c r="AA84" s="4094"/>
      <c r="AB84" s="4101"/>
      <c r="AC84" s="4094"/>
      <c r="AD84" s="4101"/>
      <c r="AE84" s="4094"/>
      <c r="AF84" s="4101"/>
      <c r="AG84" s="4094"/>
      <c r="AH84" s="4101"/>
      <c r="AI84" s="4094"/>
      <c r="AJ84" s="4101"/>
      <c r="AK84" s="4094"/>
      <c r="AL84" s="4101"/>
      <c r="AM84" s="4097"/>
      <c r="AN84" s="4098"/>
      <c r="AO84" s="4094"/>
      <c r="AP84" t="str">
        <f t="shared" si="16"/>
        <v/>
      </c>
      <c r="CA84" t="str">
        <f t="shared" si="17"/>
        <v/>
      </c>
      <c r="CB84" t="str">
        <f t="shared" si="18"/>
        <v/>
      </c>
      <c r="CC84" t="str">
        <f t="shared" si="19"/>
        <v/>
      </c>
      <c r="CJ84">
        <f t="shared" si="20"/>
        <v>0</v>
      </c>
      <c r="CK84">
        <f t="shared" si="21"/>
        <v>0</v>
      </c>
    </row>
    <row r="85" spans="1:89" ht="15.75" customHeight="1" x14ac:dyDescent="0.25">
      <c r="A85" s="10893"/>
      <c r="B85" s="4117" t="s">
        <v>371</v>
      </c>
      <c r="C85" s="4104">
        <f t="shared" si="14"/>
        <v>0</v>
      </c>
      <c r="D85" s="4105">
        <f t="shared" si="15"/>
        <v>0</v>
      </c>
      <c r="E85" s="4104">
        <f t="shared" si="15"/>
        <v>0</v>
      </c>
      <c r="F85" s="4106"/>
      <c r="G85" s="4107"/>
      <c r="H85" s="4106"/>
      <c r="I85" s="4107"/>
      <c r="J85" s="4106"/>
      <c r="K85" s="4107"/>
      <c r="L85" s="4106"/>
      <c r="M85" s="4107"/>
      <c r="N85" s="4106"/>
      <c r="O85" s="4107"/>
      <c r="P85" s="4106"/>
      <c r="Q85" s="4107"/>
      <c r="R85" s="4106"/>
      <c r="S85" s="4107"/>
      <c r="T85" s="4106"/>
      <c r="U85" s="4107"/>
      <c r="V85" s="4106"/>
      <c r="W85" s="4107"/>
      <c r="X85" s="4106"/>
      <c r="Y85" s="4107"/>
      <c r="Z85" s="4106"/>
      <c r="AA85" s="4107"/>
      <c r="AB85" s="4106"/>
      <c r="AC85" s="4107"/>
      <c r="AD85" s="4106"/>
      <c r="AE85" s="4107"/>
      <c r="AF85" s="4106"/>
      <c r="AG85" s="4107"/>
      <c r="AH85" s="4106"/>
      <c r="AI85" s="4107"/>
      <c r="AJ85" s="4106"/>
      <c r="AK85" s="4107"/>
      <c r="AL85" s="4106"/>
      <c r="AM85" s="4109"/>
      <c r="AN85" s="4110"/>
      <c r="AO85" s="4107"/>
      <c r="AP85" t="str">
        <f t="shared" si="16"/>
        <v/>
      </c>
      <c r="CA85" t="str">
        <f t="shared" si="17"/>
        <v/>
      </c>
      <c r="CB85" t="str">
        <f t="shared" si="18"/>
        <v/>
      </c>
      <c r="CC85" t="str">
        <f t="shared" si="19"/>
        <v/>
      </c>
      <c r="CJ85">
        <f t="shared" si="20"/>
        <v>0</v>
      </c>
      <c r="CK85">
        <f t="shared" si="21"/>
        <v>0</v>
      </c>
    </row>
    <row r="86" spans="1:89" ht="15.75" customHeight="1" x14ac:dyDescent="0.25">
      <c r="A86" s="10894" t="s">
        <v>73</v>
      </c>
      <c r="B86" s="4099" t="s">
        <v>3071</v>
      </c>
      <c r="C86" s="4111">
        <f t="shared" si="14"/>
        <v>0</v>
      </c>
      <c r="D86" s="4112">
        <f t="shared" si="15"/>
        <v>0</v>
      </c>
      <c r="E86" s="4111">
        <f t="shared" si="15"/>
        <v>0</v>
      </c>
      <c r="F86" s="4113"/>
      <c r="G86" s="4114"/>
      <c r="H86" s="4113"/>
      <c r="I86" s="4114"/>
      <c r="J86" s="4113"/>
      <c r="K86" s="4114"/>
      <c r="L86" s="4113"/>
      <c r="M86" s="4114"/>
      <c r="N86" s="4113"/>
      <c r="O86" s="4114"/>
      <c r="P86" s="4113"/>
      <c r="Q86" s="4114"/>
      <c r="R86" s="4113"/>
      <c r="S86" s="4114"/>
      <c r="T86" s="4113"/>
      <c r="U86" s="4114"/>
      <c r="V86" s="4113"/>
      <c r="W86" s="4114"/>
      <c r="X86" s="4113"/>
      <c r="Y86" s="4114"/>
      <c r="Z86" s="4113"/>
      <c r="AA86" s="4114"/>
      <c r="AB86" s="4113"/>
      <c r="AC86" s="4114"/>
      <c r="AD86" s="4113"/>
      <c r="AE86" s="4114"/>
      <c r="AF86" s="4113"/>
      <c r="AG86" s="4114"/>
      <c r="AH86" s="4113"/>
      <c r="AI86" s="4114"/>
      <c r="AJ86" s="4113"/>
      <c r="AK86" s="4114"/>
      <c r="AL86" s="4113"/>
      <c r="AM86" s="4116"/>
      <c r="AN86" s="4098"/>
      <c r="AO86" s="4094"/>
      <c r="AP86" t="str">
        <f t="shared" si="16"/>
        <v/>
      </c>
      <c r="CA86" t="str">
        <f t="shared" si="17"/>
        <v/>
      </c>
      <c r="CB86" t="str">
        <f t="shared" si="18"/>
        <v/>
      </c>
      <c r="CC86" t="str">
        <f t="shared" si="19"/>
        <v/>
      </c>
      <c r="CJ86">
        <f t="shared" si="20"/>
        <v>0</v>
      </c>
      <c r="CK86">
        <f t="shared" si="21"/>
        <v>0</v>
      </c>
    </row>
    <row r="87" spans="1:89" ht="15.75" customHeight="1" x14ac:dyDescent="0.25">
      <c r="A87" s="10892"/>
      <c r="B87" s="4099" t="s">
        <v>3072</v>
      </c>
      <c r="C87" s="4091">
        <f t="shared" si="14"/>
        <v>0</v>
      </c>
      <c r="D87" s="4100">
        <f t="shared" si="15"/>
        <v>0</v>
      </c>
      <c r="E87" s="4091">
        <f t="shared" si="15"/>
        <v>0</v>
      </c>
      <c r="F87" s="4101"/>
      <c r="G87" s="4094"/>
      <c r="H87" s="4101"/>
      <c r="I87" s="4094"/>
      <c r="J87" s="4101"/>
      <c r="K87" s="4094"/>
      <c r="L87" s="4101"/>
      <c r="M87" s="4094"/>
      <c r="N87" s="4101"/>
      <c r="O87" s="4094"/>
      <c r="P87" s="4101"/>
      <c r="Q87" s="4094"/>
      <c r="R87" s="4101"/>
      <c r="S87" s="4094"/>
      <c r="T87" s="4101"/>
      <c r="U87" s="4094"/>
      <c r="V87" s="4101"/>
      <c r="W87" s="4094"/>
      <c r="X87" s="4101"/>
      <c r="Y87" s="4094"/>
      <c r="Z87" s="4101"/>
      <c r="AA87" s="4094"/>
      <c r="AB87" s="4101"/>
      <c r="AC87" s="4094"/>
      <c r="AD87" s="4101"/>
      <c r="AE87" s="4094"/>
      <c r="AF87" s="4101"/>
      <c r="AG87" s="4094"/>
      <c r="AH87" s="4101"/>
      <c r="AI87" s="4094"/>
      <c r="AJ87" s="4101"/>
      <c r="AK87" s="4094"/>
      <c r="AL87" s="4101"/>
      <c r="AM87" s="4097"/>
      <c r="AN87" s="4098"/>
      <c r="AO87" s="4094"/>
      <c r="AP87" t="str">
        <f t="shared" si="16"/>
        <v/>
      </c>
      <c r="CA87" t="str">
        <f t="shared" si="17"/>
        <v/>
      </c>
      <c r="CB87" t="str">
        <f t="shared" si="18"/>
        <v/>
      </c>
      <c r="CC87" t="str">
        <f t="shared" si="19"/>
        <v/>
      </c>
      <c r="CJ87">
        <f t="shared" si="20"/>
        <v>0</v>
      </c>
      <c r="CK87">
        <f t="shared" si="21"/>
        <v>0</v>
      </c>
    </row>
    <row r="88" spans="1:89" ht="15.75" customHeight="1" x14ac:dyDescent="0.25">
      <c r="A88" s="10892"/>
      <c r="B88" s="4099" t="s">
        <v>3073</v>
      </c>
      <c r="C88" s="4091">
        <f t="shared" si="14"/>
        <v>0</v>
      </c>
      <c r="D88" s="4100">
        <f t="shared" si="15"/>
        <v>0</v>
      </c>
      <c r="E88" s="4091">
        <f t="shared" si="15"/>
        <v>0</v>
      </c>
      <c r="F88" s="4101"/>
      <c r="G88" s="4094"/>
      <c r="H88" s="4101"/>
      <c r="I88" s="4094"/>
      <c r="J88" s="4101"/>
      <c r="K88" s="4094"/>
      <c r="L88" s="4101"/>
      <c r="M88" s="4094"/>
      <c r="N88" s="4101"/>
      <c r="O88" s="4094"/>
      <c r="P88" s="4101"/>
      <c r="Q88" s="4094"/>
      <c r="R88" s="4101"/>
      <c r="S88" s="4094"/>
      <c r="T88" s="4101"/>
      <c r="U88" s="4094"/>
      <c r="V88" s="4101"/>
      <c r="W88" s="4094"/>
      <c r="X88" s="4101"/>
      <c r="Y88" s="4094"/>
      <c r="Z88" s="4101"/>
      <c r="AA88" s="4094"/>
      <c r="AB88" s="4101"/>
      <c r="AC88" s="4094"/>
      <c r="AD88" s="4101"/>
      <c r="AE88" s="4094"/>
      <c r="AF88" s="4101"/>
      <c r="AG88" s="4094"/>
      <c r="AH88" s="4101"/>
      <c r="AI88" s="4094"/>
      <c r="AJ88" s="4101"/>
      <c r="AK88" s="4094"/>
      <c r="AL88" s="4101"/>
      <c r="AM88" s="4097"/>
      <c r="AN88" s="4098"/>
      <c r="AO88" s="4094"/>
      <c r="AP88" t="str">
        <f t="shared" si="16"/>
        <v/>
      </c>
      <c r="CA88" t="str">
        <f t="shared" si="17"/>
        <v/>
      </c>
      <c r="CB88" t="str">
        <f t="shared" si="18"/>
        <v/>
      </c>
      <c r="CC88" t="str">
        <f t="shared" si="19"/>
        <v/>
      </c>
      <c r="CJ88">
        <f t="shared" si="20"/>
        <v>0</v>
      </c>
      <c r="CK88">
        <f t="shared" si="21"/>
        <v>0</v>
      </c>
    </row>
    <row r="89" spans="1:89" ht="15.75" customHeight="1" x14ac:dyDescent="0.25">
      <c r="A89" s="10893"/>
      <c r="B89" s="4117" t="s">
        <v>3080</v>
      </c>
      <c r="C89" s="4104">
        <f t="shared" si="14"/>
        <v>0</v>
      </c>
      <c r="D89" s="4105">
        <f t="shared" si="15"/>
        <v>0</v>
      </c>
      <c r="E89" s="4104">
        <f t="shared" si="15"/>
        <v>0</v>
      </c>
      <c r="F89" s="4106"/>
      <c r="G89" s="4107"/>
      <c r="H89" s="4106"/>
      <c r="I89" s="4107"/>
      <c r="J89" s="4106"/>
      <c r="K89" s="4107"/>
      <c r="L89" s="4106"/>
      <c r="M89" s="4107"/>
      <c r="N89" s="4106"/>
      <c r="O89" s="4107"/>
      <c r="P89" s="4106"/>
      <c r="Q89" s="4107"/>
      <c r="R89" s="4106"/>
      <c r="S89" s="4107"/>
      <c r="T89" s="4106"/>
      <c r="U89" s="4107"/>
      <c r="V89" s="4106"/>
      <c r="W89" s="4107"/>
      <c r="X89" s="4106"/>
      <c r="Y89" s="4107"/>
      <c r="Z89" s="4106"/>
      <c r="AA89" s="4107"/>
      <c r="AB89" s="4106"/>
      <c r="AC89" s="4107"/>
      <c r="AD89" s="4106"/>
      <c r="AE89" s="4107"/>
      <c r="AF89" s="4106"/>
      <c r="AG89" s="4107"/>
      <c r="AH89" s="4106"/>
      <c r="AI89" s="4107"/>
      <c r="AJ89" s="4106"/>
      <c r="AK89" s="4107"/>
      <c r="AL89" s="4106"/>
      <c r="AM89" s="4109"/>
      <c r="AN89" s="4110"/>
      <c r="AO89" s="4107"/>
      <c r="AP89" t="str">
        <f t="shared" si="16"/>
        <v/>
      </c>
      <c r="CA89" t="str">
        <f t="shared" si="17"/>
        <v/>
      </c>
      <c r="CB89" t="str">
        <f t="shared" si="18"/>
        <v/>
      </c>
      <c r="CC89" t="str">
        <f t="shared" si="19"/>
        <v/>
      </c>
      <c r="CJ89">
        <f t="shared" si="20"/>
        <v>0</v>
      </c>
      <c r="CK89">
        <f t="shared" si="21"/>
        <v>0</v>
      </c>
    </row>
    <row r="90" spans="1:89" ht="15.75" customHeight="1" x14ac:dyDescent="0.25">
      <c r="A90" s="4079"/>
      <c r="B90" s="4135"/>
      <c r="C90" s="4135"/>
      <c r="D90" s="4135"/>
      <c r="E90" s="4135"/>
      <c r="F90" s="4135"/>
      <c r="G90" s="4135"/>
      <c r="H90" s="4135"/>
      <c r="I90" s="4135"/>
      <c r="J90" s="4135"/>
    </row>
    <row r="91" spans="1:89" ht="15.75" customHeight="1" x14ac:dyDescent="0.25">
      <c r="A91" s="4079" t="s">
        <v>3081</v>
      </c>
      <c r="B91" s="4135"/>
      <c r="C91" s="4135"/>
      <c r="D91" s="4135"/>
      <c r="E91" s="4135"/>
      <c r="F91" s="4135"/>
      <c r="G91" s="4135"/>
      <c r="H91" s="4135"/>
      <c r="I91" s="4135"/>
      <c r="J91" s="4135"/>
    </row>
    <row r="92" spans="1:89" ht="15.75" customHeight="1" x14ac:dyDescent="0.25">
      <c r="A92" s="10907" t="s">
        <v>1234</v>
      </c>
      <c r="B92" s="10895" t="s">
        <v>24</v>
      </c>
      <c r="C92" s="10881"/>
      <c r="D92" s="10896"/>
      <c r="E92" s="10903" t="s">
        <v>98</v>
      </c>
      <c r="F92" s="10904"/>
      <c r="G92" s="10904"/>
      <c r="H92" s="10904"/>
      <c r="I92" s="10904"/>
      <c r="J92" s="10904"/>
      <c r="K92" s="10904"/>
      <c r="L92" s="10904"/>
      <c r="M92" s="10904"/>
      <c r="N92" s="10904"/>
      <c r="O92" s="10904"/>
      <c r="P92" s="10904"/>
      <c r="Q92" s="10904"/>
      <c r="R92" s="10904"/>
      <c r="S92" s="10904"/>
      <c r="T92" s="10904"/>
      <c r="U92" s="10904"/>
      <c r="V92" s="10904"/>
      <c r="W92" s="10904"/>
      <c r="X92" s="10904"/>
      <c r="Y92" s="10904"/>
      <c r="Z92" s="10904"/>
      <c r="AA92" s="10904"/>
      <c r="AB92" s="10904"/>
      <c r="AC92" s="10904"/>
      <c r="AD92" s="10904"/>
      <c r="AE92" s="10904"/>
      <c r="AF92" s="10904"/>
      <c r="AG92" s="10904"/>
      <c r="AH92" s="10904"/>
      <c r="AI92" s="10904"/>
      <c r="AJ92" s="10904"/>
      <c r="AK92" s="10904"/>
      <c r="AL92" s="10876"/>
      <c r="AM92" s="10880" t="s">
        <v>3076</v>
      </c>
      <c r="AN92" s="10881"/>
      <c r="AO92" s="10881"/>
      <c r="AP92" s="10881"/>
      <c r="AQ92" s="10881"/>
      <c r="AR92" s="10881"/>
      <c r="AS92" s="10881"/>
      <c r="AT92" s="10881"/>
      <c r="AU92" s="10881"/>
      <c r="AV92" s="10881"/>
      <c r="AW92" s="10882"/>
      <c r="CA92" s="10867" t="s">
        <v>3550</v>
      </c>
      <c r="CJ92" s="10867" t="s">
        <v>3550</v>
      </c>
    </row>
    <row r="93" spans="1:89" ht="15.75" customHeight="1" x14ac:dyDescent="0.25">
      <c r="A93" s="10908"/>
      <c r="B93" s="10897"/>
      <c r="C93" s="10883"/>
      <c r="D93" s="10898"/>
      <c r="E93" s="10905" t="s">
        <v>1414</v>
      </c>
      <c r="F93" s="10868"/>
      <c r="G93" s="8756" t="s">
        <v>1413</v>
      </c>
      <c r="H93" s="10868"/>
      <c r="I93" s="8756" t="s">
        <v>77</v>
      </c>
      <c r="J93" s="10868"/>
      <c r="K93" s="8756" t="s">
        <v>68</v>
      </c>
      <c r="L93" s="10868"/>
      <c r="M93" s="8756" t="s">
        <v>142</v>
      </c>
      <c r="N93" s="10868"/>
      <c r="O93" s="8756" t="s">
        <v>143</v>
      </c>
      <c r="P93" s="10868"/>
      <c r="Q93" s="8756" t="s">
        <v>144</v>
      </c>
      <c r="R93" s="10868"/>
      <c r="S93" s="8756" t="s">
        <v>7</v>
      </c>
      <c r="T93" s="10868"/>
      <c r="U93" s="8756" t="s">
        <v>8</v>
      </c>
      <c r="V93" s="10868"/>
      <c r="W93" s="8756" t="s">
        <v>145</v>
      </c>
      <c r="X93" s="10868"/>
      <c r="Y93" s="8756" t="s">
        <v>10</v>
      </c>
      <c r="Z93" s="10868"/>
      <c r="AA93" s="8756" t="s">
        <v>11</v>
      </c>
      <c r="AB93" s="10868"/>
      <c r="AC93" s="8756" t="s">
        <v>12</v>
      </c>
      <c r="AD93" s="10868"/>
      <c r="AE93" s="8756" t="s">
        <v>13</v>
      </c>
      <c r="AF93" s="10868"/>
      <c r="AG93" s="8756" t="s">
        <v>14</v>
      </c>
      <c r="AH93" s="10868"/>
      <c r="AI93" s="8756" t="s">
        <v>15</v>
      </c>
      <c r="AJ93" s="10868"/>
      <c r="AK93" s="10875" t="s">
        <v>16</v>
      </c>
      <c r="AL93" s="10876"/>
      <c r="AM93" s="10883"/>
      <c r="AN93" s="10883"/>
      <c r="AO93" s="10883"/>
      <c r="AP93" s="10883"/>
      <c r="AQ93" s="10883"/>
      <c r="AR93" s="10883"/>
      <c r="AS93" s="10883"/>
      <c r="AT93" s="10883"/>
      <c r="AU93" s="10883"/>
      <c r="AV93" s="10883"/>
      <c r="AW93" s="10884"/>
      <c r="CA93" s="10867"/>
      <c r="CJ93" s="10867"/>
    </row>
    <row r="94" spans="1:89" ht="36" customHeight="1" x14ac:dyDescent="0.25">
      <c r="A94" s="10909"/>
      <c r="B94" s="4083" t="s">
        <v>42</v>
      </c>
      <c r="C94" s="4136" t="s">
        <v>17</v>
      </c>
      <c r="D94" s="8005" t="s">
        <v>18</v>
      </c>
      <c r="E94" s="7990" t="s">
        <v>17</v>
      </c>
      <c r="F94" s="7989" t="s">
        <v>18</v>
      </c>
      <c r="G94" s="8010" t="s">
        <v>17</v>
      </c>
      <c r="H94" s="7989" t="s">
        <v>18</v>
      </c>
      <c r="I94" s="7990" t="s">
        <v>17</v>
      </c>
      <c r="J94" s="7989" t="s">
        <v>18</v>
      </c>
      <c r="K94" s="7990" t="s">
        <v>17</v>
      </c>
      <c r="L94" s="7989" t="s">
        <v>18</v>
      </c>
      <c r="M94" s="7990" t="s">
        <v>17</v>
      </c>
      <c r="N94" s="7989" t="s">
        <v>18</v>
      </c>
      <c r="O94" s="7990" t="s">
        <v>17</v>
      </c>
      <c r="P94" s="7989" t="s">
        <v>18</v>
      </c>
      <c r="Q94" s="7990" t="s">
        <v>17</v>
      </c>
      <c r="R94" s="7989" t="s">
        <v>18</v>
      </c>
      <c r="S94" s="7990" t="s">
        <v>17</v>
      </c>
      <c r="T94" s="7989" t="s">
        <v>18</v>
      </c>
      <c r="U94" s="7990" t="s">
        <v>17</v>
      </c>
      <c r="V94" s="7989" t="s">
        <v>18</v>
      </c>
      <c r="W94" s="7990" t="s">
        <v>17</v>
      </c>
      <c r="X94" s="7989" t="s">
        <v>18</v>
      </c>
      <c r="Y94" s="7990" t="s">
        <v>17</v>
      </c>
      <c r="Z94" s="7989" t="s">
        <v>18</v>
      </c>
      <c r="AA94" s="7990" t="s">
        <v>17</v>
      </c>
      <c r="AB94" s="7989" t="s">
        <v>18</v>
      </c>
      <c r="AC94" s="7990" t="s">
        <v>17</v>
      </c>
      <c r="AD94" s="7989" t="s">
        <v>18</v>
      </c>
      <c r="AE94" s="7990" t="s">
        <v>17</v>
      </c>
      <c r="AF94" s="7989" t="s">
        <v>18</v>
      </c>
      <c r="AG94" s="7990" t="s">
        <v>17</v>
      </c>
      <c r="AH94" s="7989" t="s">
        <v>18</v>
      </c>
      <c r="AI94" s="7990" t="s">
        <v>17</v>
      </c>
      <c r="AJ94" s="7989" t="s">
        <v>18</v>
      </c>
      <c r="AK94" s="7990" t="s">
        <v>17</v>
      </c>
      <c r="AL94" s="7991" t="s">
        <v>18</v>
      </c>
      <c r="AM94" s="4137" t="s">
        <v>3337</v>
      </c>
      <c r="AN94" s="4138" t="s">
        <v>3336</v>
      </c>
      <c r="AO94" s="4138" t="s">
        <v>2606</v>
      </c>
      <c r="AP94" s="4138" t="s">
        <v>3139</v>
      </c>
      <c r="AQ94" s="4138" t="s">
        <v>3338</v>
      </c>
      <c r="AR94" s="4138" t="s">
        <v>3077</v>
      </c>
      <c r="AS94" s="4138" t="s">
        <v>46</v>
      </c>
      <c r="AT94" s="4138" t="s">
        <v>3339</v>
      </c>
      <c r="AU94" s="4138" t="s">
        <v>3340</v>
      </c>
      <c r="AV94" s="4138" t="s">
        <v>2445</v>
      </c>
      <c r="AW94" s="7992" t="s">
        <v>135</v>
      </c>
      <c r="CA94" s="10867"/>
      <c r="CJ94" s="10867"/>
    </row>
    <row r="95" spans="1:89" ht="15.75" customHeight="1" x14ac:dyDescent="0.25">
      <c r="A95" s="7993" t="s">
        <v>3373</v>
      </c>
      <c r="B95" s="4139">
        <f>SUM(C95:D95)</f>
        <v>0</v>
      </c>
      <c r="C95" s="4092">
        <f t="shared" ref="C95:C106" si="22">SUM(E95,G95,I95,K95,M95,O95,Q95,S95,U95,W95,Y95,AA95,AC95,AE95,AG95,AI95,AK95)</f>
        <v>0</v>
      </c>
      <c r="D95" s="8006">
        <f>SUM(F95,H95,J95,L95,N95,P95,R95,T95,V95,X95,Z95,AB95,AD95,AF95,AH95,AJ95,AL95)</f>
        <v>0</v>
      </c>
      <c r="E95" s="8014"/>
      <c r="F95" s="7994"/>
      <c r="G95" s="8011"/>
      <c r="H95" s="4141"/>
      <c r="I95" s="4140"/>
      <c r="J95" s="4141"/>
      <c r="K95" s="4140"/>
      <c r="L95" s="4141"/>
      <c r="M95" s="4140"/>
      <c r="N95" s="4141"/>
      <c r="O95" s="4140"/>
      <c r="P95" s="4141"/>
      <c r="Q95" s="4140"/>
      <c r="R95" s="4141"/>
      <c r="S95" s="4140"/>
      <c r="T95" s="4141"/>
      <c r="U95" s="4140"/>
      <c r="V95" s="4141"/>
      <c r="W95" s="4140"/>
      <c r="X95" s="4141"/>
      <c r="Y95" s="4140"/>
      <c r="Z95" s="4141"/>
      <c r="AA95" s="4140"/>
      <c r="AB95" s="4141"/>
      <c r="AC95" s="4140"/>
      <c r="AD95" s="4141"/>
      <c r="AE95" s="4140"/>
      <c r="AF95" s="4141"/>
      <c r="AG95" s="4140"/>
      <c r="AH95" s="4141"/>
      <c r="AI95" s="4140"/>
      <c r="AJ95" s="4141"/>
      <c r="AK95" s="4140"/>
      <c r="AL95" s="4142"/>
      <c r="AM95" s="4143"/>
      <c r="AN95" s="4144"/>
      <c r="AO95" s="4144"/>
      <c r="AP95" s="4144"/>
      <c r="AQ95" s="4144"/>
      <c r="AR95" s="4144"/>
      <c r="AS95" s="4144"/>
      <c r="AT95" s="4144"/>
      <c r="AU95" s="4144"/>
      <c r="AV95" s="4144"/>
      <c r="AW95" s="7994"/>
      <c r="AX95" t="str">
        <f t="shared" ref="AX95:AX106" si="23">CA95&amp;CB95</f>
        <v/>
      </c>
      <c r="CA95" t="str">
        <f>IF(CJ95=1," * La suma de Atenciones por profesional no debe ser mayor al Total.","")</f>
        <v/>
      </c>
      <c r="CJ95">
        <f>IF(SUM(AM95:AW95)&gt;B95,1,0)</f>
        <v>0</v>
      </c>
    </row>
    <row r="96" spans="1:89" ht="15.75" customHeight="1" x14ac:dyDescent="0.25">
      <c r="A96" s="7993" t="s">
        <v>3374</v>
      </c>
      <c r="B96" s="4123">
        <f t="shared" ref="B96:B106" si="24">SUM(C96:D96)</f>
        <v>0</v>
      </c>
      <c r="C96" s="4100">
        <f t="shared" si="22"/>
        <v>0</v>
      </c>
      <c r="D96" s="8007">
        <f t="shared" ref="D96:D106" si="25">SUM(F96,H96,J96,L96,N96,P96,R96,T96,V96,X96,Z96,AB96,AD96,AF96,AH96,AJ96,AL96)</f>
        <v>0</v>
      </c>
      <c r="E96" s="8015"/>
      <c r="F96" s="7995"/>
      <c r="G96" s="4098"/>
      <c r="H96" s="4094"/>
      <c r="I96" s="4101"/>
      <c r="J96" s="4094"/>
      <c r="K96" s="4101"/>
      <c r="L96" s="4094"/>
      <c r="M96" s="4101"/>
      <c r="N96" s="4094"/>
      <c r="O96" s="4101"/>
      <c r="P96" s="4094"/>
      <c r="Q96" s="4101"/>
      <c r="R96" s="4094"/>
      <c r="S96" s="4101"/>
      <c r="T96" s="4094"/>
      <c r="U96" s="4101"/>
      <c r="V96" s="4094"/>
      <c r="W96" s="4101"/>
      <c r="X96" s="4094"/>
      <c r="Y96" s="4101"/>
      <c r="Z96" s="4094"/>
      <c r="AA96" s="4101"/>
      <c r="AB96" s="4094"/>
      <c r="AC96" s="4101"/>
      <c r="AD96" s="4094"/>
      <c r="AE96" s="4101"/>
      <c r="AF96" s="4094"/>
      <c r="AG96" s="4101"/>
      <c r="AH96" s="4094"/>
      <c r="AI96" s="4101"/>
      <c r="AJ96" s="4094"/>
      <c r="AK96" s="4101"/>
      <c r="AL96" s="4097"/>
      <c r="AM96" s="4145"/>
      <c r="AN96" s="4146"/>
      <c r="AO96" s="4146"/>
      <c r="AP96" s="4146"/>
      <c r="AQ96" s="4146"/>
      <c r="AR96" s="4146"/>
      <c r="AS96" s="4146"/>
      <c r="AT96" s="4146"/>
      <c r="AU96" s="4146"/>
      <c r="AV96" s="4146"/>
      <c r="AW96" s="7995"/>
      <c r="AX96" t="str">
        <f t="shared" si="23"/>
        <v/>
      </c>
      <c r="CA96" t="str">
        <f t="shared" ref="CA96:CA106" si="26">IF(CJ96=1," * La suma de Atenciones por profesional no debe ser mayor al Total.","")</f>
        <v/>
      </c>
      <c r="CJ96">
        <f t="shared" ref="CJ96:CJ106" si="27">IF(SUM(AM96:AW96)&gt;B96,1,0)</f>
        <v>0</v>
      </c>
    </row>
    <row r="97" spans="1:88" ht="15.75" customHeight="1" x14ac:dyDescent="0.25">
      <c r="A97" s="7993" t="s">
        <v>3375</v>
      </c>
      <c r="B97" s="4123">
        <f t="shared" si="24"/>
        <v>0</v>
      </c>
      <c r="C97" s="4100">
        <f t="shared" si="22"/>
        <v>0</v>
      </c>
      <c r="D97" s="8007">
        <f t="shared" si="25"/>
        <v>0</v>
      </c>
      <c r="E97" s="8015"/>
      <c r="F97" s="7995"/>
      <c r="G97" s="4098"/>
      <c r="H97" s="4094"/>
      <c r="I97" s="4101"/>
      <c r="J97" s="4094"/>
      <c r="K97" s="4101"/>
      <c r="L97" s="4094"/>
      <c r="M97" s="4101"/>
      <c r="N97" s="4094"/>
      <c r="O97" s="4101"/>
      <c r="P97" s="4094"/>
      <c r="Q97" s="4101"/>
      <c r="R97" s="4094"/>
      <c r="S97" s="4101"/>
      <c r="T97" s="4094"/>
      <c r="U97" s="4101"/>
      <c r="V97" s="4094"/>
      <c r="W97" s="4101"/>
      <c r="X97" s="4094"/>
      <c r="Y97" s="4101"/>
      <c r="Z97" s="4094"/>
      <c r="AA97" s="4101"/>
      <c r="AB97" s="4094"/>
      <c r="AC97" s="4101"/>
      <c r="AD97" s="4094"/>
      <c r="AE97" s="4101"/>
      <c r="AF97" s="4094"/>
      <c r="AG97" s="4101"/>
      <c r="AH97" s="4094"/>
      <c r="AI97" s="4101"/>
      <c r="AJ97" s="4094"/>
      <c r="AK97" s="4101"/>
      <c r="AL97" s="4097"/>
      <c r="AM97" s="4145"/>
      <c r="AN97" s="4146"/>
      <c r="AO97" s="4146"/>
      <c r="AP97" s="4146"/>
      <c r="AQ97" s="4146"/>
      <c r="AR97" s="4146"/>
      <c r="AS97" s="4146"/>
      <c r="AT97" s="4146"/>
      <c r="AU97" s="4146"/>
      <c r="AV97" s="4146"/>
      <c r="AW97" s="7995"/>
      <c r="AX97" t="str">
        <f t="shared" si="23"/>
        <v/>
      </c>
      <c r="CA97" t="str">
        <f t="shared" si="26"/>
        <v/>
      </c>
      <c r="CJ97">
        <f t="shared" si="27"/>
        <v>0</v>
      </c>
    </row>
    <row r="98" spans="1:88" ht="15.75" customHeight="1" x14ac:dyDescent="0.25">
      <c r="A98" s="7993" t="s">
        <v>4020</v>
      </c>
      <c r="B98" s="4123">
        <f t="shared" si="24"/>
        <v>0</v>
      </c>
      <c r="C98" s="4100">
        <f t="shared" si="22"/>
        <v>0</v>
      </c>
      <c r="D98" s="8007">
        <f t="shared" si="25"/>
        <v>0</v>
      </c>
      <c r="E98" s="8015"/>
      <c r="F98" s="7995"/>
      <c r="G98" s="4098"/>
      <c r="H98" s="4094"/>
      <c r="I98" s="4101"/>
      <c r="J98" s="4094"/>
      <c r="K98" s="4101"/>
      <c r="L98" s="4094"/>
      <c r="M98" s="4101"/>
      <c r="N98" s="4094"/>
      <c r="O98" s="4101"/>
      <c r="P98" s="4094"/>
      <c r="Q98" s="4101"/>
      <c r="R98" s="4094"/>
      <c r="S98" s="4101"/>
      <c r="T98" s="4094"/>
      <c r="U98" s="4101"/>
      <c r="V98" s="4094"/>
      <c r="W98" s="4101"/>
      <c r="X98" s="4094"/>
      <c r="Y98" s="4101"/>
      <c r="Z98" s="4094"/>
      <c r="AA98" s="4101"/>
      <c r="AB98" s="4094"/>
      <c r="AC98" s="4101"/>
      <c r="AD98" s="4094"/>
      <c r="AE98" s="4101"/>
      <c r="AF98" s="4094"/>
      <c r="AG98" s="4101"/>
      <c r="AH98" s="4094"/>
      <c r="AI98" s="4101"/>
      <c r="AJ98" s="4094"/>
      <c r="AK98" s="4101"/>
      <c r="AL98" s="4097"/>
      <c r="AM98" s="4145"/>
      <c r="AN98" s="4146"/>
      <c r="AO98" s="4146"/>
      <c r="AP98" s="4146"/>
      <c r="AQ98" s="4146"/>
      <c r="AR98" s="4146"/>
      <c r="AS98" s="4146"/>
      <c r="AT98" s="4146"/>
      <c r="AU98" s="4146"/>
      <c r="AV98" s="4146"/>
      <c r="AW98" s="7995"/>
      <c r="AX98" t="str">
        <f t="shared" si="23"/>
        <v/>
      </c>
      <c r="CA98" t="str">
        <f t="shared" si="26"/>
        <v/>
      </c>
      <c r="CJ98">
        <f t="shared" si="27"/>
        <v>0</v>
      </c>
    </row>
    <row r="99" spans="1:88" ht="15.75" customHeight="1" x14ac:dyDescent="0.25">
      <c r="A99" s="7993" t="s">
        <v>3376</v>
      </c>
      <c r="B99" s="4123">
        <f t="shared" si="24"/>
        <v>0</v>
      </c>
      <c r="C99" s="4100">
        <f t="shared" si="22"/>
        <v>0</v>
      </c>
      <c r="D99" s="8007">
        <f t="shared" si="25"/>
        <v>0</v>
      </c>
      <c r="E99" s="8015"/>
      <c r="F99" s="7995"/>
      <c r="G99" s="4098"/>
      <c r="H99" s="4094"/>
      <c r="I99" s="4101"/>
      <c r="J99" s="4094"/>
      <c r="K99" s="4101"/>
      <c r="L99" s="4094"/>
      <c r="M99" s="4101"/>
      <c r="N99" s="4094"/>
      <c r="O99" s="4101"/>
      <c r="P99" s="4094"/>
      <c r="Q99" s="4101"/>
      <c r="R99" s="4094"/>
      <c r="S99" s="4101"/>
      <c r="T99" s="4094"/>
      <c r="U99" s="4101"/>
      <c r="V99" s="4094"/>
      <c r="W99" s="4101"/>
      <c r="X99" s="4094"/>
      <c r="Y99" s="4101"/>
      <c r="Z99" s="4094"/>
      <c r="AA99" s="4101"/>
      <c r="AB99" s="4094"/>
      <c r="AC99" s="4101"/>
      <c r="AD99" s="4094"/>
      <c r="AE99" s="4101"/>
      <c r="AF99" s="4094"/>
      <c r="AG99" s="4101"/>
      <c r="AH99" s="4094"/>
      <c r="AI99" s="4101"/>
      <c r="AJ99" s="4094"/>
      <c r="AK99" s="4101"/>
      <c r="AL99" s="4097"/>
      <c r="AM99" s="4145"/>
      <c r="AN99" s="4146"/>
      <c r="AO99" s="4146"/>
      <c r="AP99" s="4146"/>
      <c r="AQ99" s="4146"/>
      <c r="AR99" s="4146"/>
      <c r="AS99" s="4146"/>
      <c r="AT99" s="4146"/>
      <c r="AU99" s="4146"/>
      <c r="AV99" s="4146"/>
      <c r="AW99" s="7995"/>
      <c r="AX99" t="str">
        <f t="shared" si="23"/>
        <v/>
      </c>
      <c r="CA99" t="str">
        <f t="shared" si="26"/>
        <v/>
      </c>
      <c r="CJ99">
        <f t="shared" si="27"/>
        <v>0</v>
      </c>
    </row>
    <row r="100" spans="1:88" ht="15.75" customHeight="1" x14ac:dyDescent="0.25">
      <c r="A100" s="7993" t="s">
        <v>3377</v>
      </c>
      <c r="B100" s="4123">
        <f t="shared" si="24"/>
        <v>0</v>
      </c>
      <c r="C100" s="4100">
        <f t="shared" si="22"/>
        <v>0</v>
      </c>
      <c r="D100" s="8007">
        <f t="shared" si="25"/>
        <v>0</v>
      </c>
      <c r="E100" s="8015"/>
      <c r="F100" s="7995"/>
      <c r="G100" s="4098"/>
      <c r="H100" s="4094"/>
      <c r="I100" s="4101"/>
      <c r="J100" s="4094"/>
      <c r="K100" s="4101"/>
      <c r="L100" s="4094"/>
      <c r="M100" s="4101"/>
      <c r="N100" s="4094"/>
      <c r="O100" s="4101"/>
      <c r="P100" s="4094"/>
      <c r="Q100" s="4101"/>
      <c r="R100" s="4094"/>
      <c r="S100" s="4101"/>
      <c r="T100" s="4094"/>
      <c r="U100" s="4101"/>
      <c r="V100" s="4094"/>
      <c r="W100" s="4101"/>
      <c r="X100" s="4094"/>
      <c r="Y100" s="4101"/>
      <c r="Z100" s="4094"/>
      <c r="AA100" s="4101"/>
      <c r="AB100" s="4094"/>
      <c r="AC100" s="4101"/>
      <c r="AD100" s="4094"/>
      <c r="AE100" s="4101"/>
      <c r="AF100" s="4094"/>
      <c r="AG100" s="4101"/>
      <c r="AH100" s="4094"/>
      <c r="AI100" s="4101"/>
      <c r="AJ100" s="4094"/>
      <c r="AK100" s="4101"/>
      <c r="AL100" s="4097"/>
      <c r="AM100" s="4145"/>
      <c r="AN100" s="4146"/>
      <c r="AO100" s="4146"/>
      <c r="AP100" s="4146"/>
      <c r="AQ100" s="4146"/>
      <c r="AR100" s="4146"/>
      <c r="AS100" s="4146"/>
      <c r="AT100" s="4146"/>
      <c r="AU100" s="4146"/>
      <c r="AV100" s="4146"/>
      <c r="AW100" s="7995"/>
      <c r="AX100" t="str">
        <f t="shared" si="23"/>
        <v/>
      </c>
      <c r="CA100" t="str">
        <f t="shared" si="26"/>
        <v/>
      </c>
      <c r="CJ100">
        <f t="shared" si="27"/>
        <v>0</v>
      </c>
    </row>
    <row r="101" spans="1:88" ht="15.75" customHeight="1" x14ac:dyDescent="0.25">
      <c r="A101" s="7993" t="s">
        <v>3378</v>
      </c>
      <c r="B101" s="4123">
        <f t="shared" si="24"/>
        <v>0</v>
      </c>
      <c r="C101" s="4100">
        <f t="shared" si="22"/>
        <v>0</v>
      </c>
      <c r="D101" s="8007">
        <f t="shared" si="25"/>
        <v>0</v>
      </c>
      <c r="E101" s="8015"/>
      <c r="F101" s="7995"/>
      <c r="G101" s="4098"/>
      <c r="H101" s="4094"/>
      <c r="I101" s="4101"/>
      <c r="J101" s="4094"/>
      <c r="K101" s="4101"/>
      <c r="L101" s="4094"/>
      <c r="M101" s="4101"/>
      <c r="N101" s="4094"/>
      <c r="O101" s="4101"/>
      <c r="P101" s="4094"/>
      <c r="Q101" s="4101"/>
      <c r="R101" s="4094"/>
      <c r="S101" s="4101"/>
      <c r="T101" s="4094"/>
      <c r="U101" s="4101"/>
      <c r="V101" s="4094"/>
      <c r="W101" s="4101"/>
      <c r="X101" s="4094"/>
      <c r="Y101" s="4101"/>
      <c r="Z101" s="4094"/>
      <c r="AA101" s="4101"/>
      <c r="AB101" s="4094"/>
      <c r="AC101" s="4101"/>
      <c r="AD101" s="4094"/>
      <c r="AE101" s="4101"/>
      <c r="AF101" s="4094"/>
      <c r="AG101" s="4101"/>
      <c r="AH101" s="4094"/>
      <c r="AI101" s="4101"/>
      <c r="AJ101" s="4094"/>
      <c r="AK101" s="4101"/>
      <c r="AL101" s="4097"/>
      <c r="AM101" s="4145"/>
      <c r="AN101" s="4146"/>
      <c r="AO101" s="4146"/>
      <c r="AP101" s="4146"/>
      <c r="AQ101" s="4146"/>
      <c r="AR101" s="4146"/>
      <c r="AS101" s="4146"/>
      <c r="AT101" s="4146"/>
      <c r="AU101" s="4146"/>
      <c r="AV101" s="4146"/>
      <c r="AW101" s="7995"/>
      <c r="AX101" t="str">
        <f t="shared" si="23"/>
        <v/>
      </c>
      <c r="CA101" t="str">
        <f t="shared" si="26"/>
        <v/>
      </c>
      <c r="CJ101">
        <f t="shared" si="27"/>
        <v>0</v>
      </c>
    </row>
    <row r="102" spans="1:88" ht="15.75" customHeight="1" x14ac:dyDescent="0.25">
      <c r="A102" s="7993" t="s">
        <v>3680</v>
      </c>
      <c r="B102" s="4123">
        <f t="shared" si="24"/>
        <v>0</v>
      </c>
      <c r="C102" s="4147">
        <f t="shared" si="22"/>
        <v>0</v>
      </c>
      <c r="D102" s="8008">
        <f t="shared" si="25"/>
        <v>0</v>
      </c>
      <c r="E102" s="8016"/>
      <c r="F102" s="7996"/>
      <c r="G102" s="8012"/>
      <c r="H102" s="4149"/>
      <c r="I102" s="4148"/>
      <c r="J102" s="4149"/>
      <c r="K102" s="4148"/>
      <c r="L102" s="4149"/>
      <c r="M102" s="4148"/>
      <c r="N102" s="4149"/>
      <c r="O102" s="4148"/>
      <c r="P102" s="4149"/>
      <c r="Q102" s="4148"/>
      <c r="R102" s="4149"/>
      <c r="S102" s="4148"/>
      <c r="T102" s="4149"/>
      <c r="U102" s="4148"/>
      <c r="V102" s="4149"/>
      <c r="W102" s="4148"/>
      <c r="X102" s="4149"/>
      <c r="Y102" s="4148"/>
      <c r="Z102" s="4149"/>
      <c r="AA102" s="4148"/>
      <c r="AB102" s="4149"/>
      <c r="AC102" s="4148"/>
      <c r="AD102" s="4149"/>
      <c r="AE102" s="4148"/>
      <c r="AF102" s="4149"/>
      <c r="AG102" s="4148"/>
      <c r="AH102" s="4149"/>
      <c r="AI102" s="4148"/>
      <c r="AJ102" s="4149"/>
      <c r="AK102" s="4148"/>
      <c r="AL102" s="4150"/>
      <c r="AM102" s="4151"/>
      <c r="AN102" s="4152"/>
      <c r="AO102" s="4152"/>
      <c r="AP102" s="4152"/>
      <c r="AQ102" s="4152"/>
      <c r="AR102" s="4152"/>
      <c r="AS102" s="4152"/>
      <c r="AT102" s="4152"/>
      <c r="AU102" s="4152"/>
      <c r="AV102" s="4152"/>
      <c r="AW102" s="7996"/>
      <c r="AX102" t="str">
        <f t="shared" si="23"/>
        <v/>
      </c>
      <c r="CA102" t="str">
        <f t="shared" si="26"/>
        <v/>
      </c>
      <c r="CJ102">
        <f t="shared" si="27"/>
        <v>0</v>
      </c>
    </row>
    <row r="103" spans="1:88" ht="15.75" customHeight="1" x14ac:dyDescent="0.25">
      <c r="A103" s="7993" t="s">
        <v>3379</v>
      </c>
      <c r="B103" s="4123">
        <f t="shared" si="24"/>
        <v>0</v>
      </c>
      <c r="C103" s="4123">
        <f t="shared" si="22"/>
        <v>0</v>
      </c>
      <c r="D103" s="7988">
        <f t="shared" si="25"/>
        <v>0</v>
      </c>
      <c r="E103" s="8015"/>
      <c r="F103" s="7995"/>
      <c r="G103" s="4098"/>
      <c r="H103" s="4094"/>
      <c r="I103" s="4101"/>
      <c r="J103" s="4094"/>
      <c r="K103" s="4101"/>
      <c r="L103" s="4094"/>
      <c r="M103" s="4101"/>
      <c r="N103" s="4094"/>
      <c r="O103" s="4101"/>
      <c r="P103" s="4094"/>
      <c r="Q103" s="4101"/>
      <c r="R103" s="4094"/>
      <c r="S103" s="4101"/>
      <c r="T103" s="4094"/>
      <c r="U103" s="4101"/>
      <c r="V103" s="4094"/>
      <c r="W103" s="4101"/>
      <c r="X103" s="4094"/>
      <c r="Y103" s="4101"/>
      <c r="Z103" s="4094"/>
      <c r="AA103" s="4101"/>
      <c r="AB103" s="4094"/>
      <c r="AC103" s="4101"/>
      <c r="AD103" s="4094"/>
      <c r="AE103" s="4101"/>
      <c r="AF103" s="4094"/>
      <c r="AG103" s="4101"/>
      <c r="AH103" s="4094"/>
      <c r="AI103" s="4101"/>
      <c r="AJ103" s="4094"/>
      <c r="AK103" s="4101"/>
      <c r="AL103" s="4097"/>
      <c r="AM103" s="4145"/>
      <c r="AN103" s="4146"/>
      <c r="AO103" s="4146"/>
      <c r="AP103" s="4146"/>
      <c r="AQ103" s="4146"/>
      <c r="AR103" s="4146"/>
      <c r="AS103" s="4146"/>
      <c r="AT103" s="4146"/>
      <c r="AU103" s="4146"/>
      <c r="AV103" s="4146"/>
      <c r="AW103" s="7995"/>
      <c r="AX103" t="str">
        <f t="shared" si="23"/>
        <v/>
      </c>
      <c r="CA103" t="str">
        <f t="shared" si="26"/>
        <v/>
      </c>
      <c r="CJ103">
        <f t="shared" si="27"/>
        <v>0</v>
      </c>
    </row>
    <row r="104" spans="1:88" ht="15.75" customHeight="1" x14ac:dyDescent="0.25">
      <c r="A104" s="7993" t="s">
        <v>3380</v>
      </c>
      <c r="B104" s="4123">
        <f t="shared" si="24"/>
        <v>0</v>
      </c>
      <c r="C104" s="4123">
        <f t="shared" si="22"/>
        <v>0</v>
      </c>
      <c r="D104" s="7988">
        <f t="shared" si="25"/>
        <v>0</v>
      </c>
      <c r="E104" s="8015"/>
      <c r="F104" s="7995"/>
      <c r="G104" s="4098"/>
      <c r="H104" s="4094"/>
      <c r="I104" s="4101"/>
      <c r="J104" s="4094"/>
      <c r="K104" s="4101"/>
      <c r="L104" s="4094"/>
      <c r="M104" s="4101"/>
      <c r="N104" s="4094"/>
      <c r="O104" s="4101"/>
      <c r="P104" s="4094"/>
      <c r="Q104" s="4101"/>
      <c r="R104" s="4094"/>
      <c r="S104" s="4101"/>
      <c r="T104" s="4094"/>
      <c r="U104" s="4101"/>
      <c r="V104" s="4094"/>
      <c r="W104" s="4101"/>
      <c r="X104" s="4094"/>
      <c r="Y104" s="4101"/>
      <c r="Z104" s="4094"/>
      <c r="AA104" s="4101"/>
      <c r="AB104" s="4094"/>
      <c r="AC104" s="4101"/>
      <c r="AD104" s="4094"/>
      <c r="AE104" s="4101"/>
      <c r="AF104" s="4094"/>
      <c r="AG104" s="4101"/>
      <c r="AH104" s="4094"/>
      <c r="AI104" s="4101"/>
      <c r="AJ104" s="4094"/>
      <c r="AK104" s="4101"/>
      <c r="AL104" s="4097"/>
      <c r="AM104" s="4145"/>
      <c r="AN104" s="4146"/>
      <c r="AO104" s="4146"/>
      <c r="AP104" s="4146"/>
      <c r="AQ104" s="4146"/>
      <c r="AR104" s="4146"/>
      <c r="AS104" s="4146"/>
      <c r="AT104" s="4146"/>
      <c r="AU104" s="4146"/>
      <c r="AV104" s="4146"/>
      <c r="AW104" s="7995"/>
      <c r="AX104" t="str">
        <f t="shared" si="23"/>
        <v/>
      </c>
      <c r="CA104" t="str">
        <f t="shared" si="26"/>
        <v/>
      </c>
      <c r="CJ104">
        <f t="shared" si="27"/>
        <v>0</v>
      </c>
    </row>
    <row r="105" spans="1:88" ht="15.75" customHeight="1" x14ac:dyDescent="0.25">
      <c r="A105" s="7993" t="s">
        <v>3381</v>
      </c>
      <c r="B105" s="4123">
        <f t="shared" si="24"/>
        <v>0</v>
      </c>
      <c r="C105" s="4123">
        <f t="shared" si="22"/>
        <v>0</v>
      </c>
      <c r="D105" s="7988">
        <f t="shared" si="25"/>
        <v>0</v>
      </c>
      <c r="E105" s="8015"/>
      <c r="F105" s="7995"/>
      <c r="G105" s="4098"/>
      <c r="H105" s="4094"/>
      <c r="I105" s="4101"/>
      <c r="J105" s="4094"/>
      <c r="K105" s="4101"/>
      <c r="L105" s="4094"/>
      <c r="M105" s="4101"/>
      <c r="N105" s="4094"/>
      <c r="O105" s="4101"/>
      <c r="P105" s="4094"/>
      <c r="Q105" s="4101"/>
      <c r="R105" s="4094"/>
      <c r="S105" s="4101"/>
      <c r="T105" s="4094"/>
      <c r="U105" s="4101"/>
      <c r="V105" s="4094"/>
      <c r="W105" s="4101"/>
      <c r="X105" s="4094"/>
      <c r="Y105" s="4101"/>
      <c r="Z105" s="4094"/>
      <c r="AA105" s="4101"/>
      <c r="AB105" s="4094"/>
      <c r="AC105" s="4101"/>
      <c r="AD105" s="4094"/>
      <c r="AE105" s="4101"/>
      <c r="AF105" s="4094"/>
      <c r="AG105" s="4101"/>
      <c r="AH105" s="4094"/>
      <c r="AI105" s="4101"/>
      <c r="AJ105" s="4094"/>
      <c r="AK105" s="4101"/>
      <c r="AL105" s="4097"/>
      <c r="AM105" s="4145"/>
      <c r="AN105" s="4146"/>
      <c r="AO105" s="4146"/>
      <c r="AP105" s="4146"/>
      <c r="AQ105" s="4146"/>
      <c r="AR105" s="4146"/>
      <c r="AS105" s="4146"/>
      <c r="AT105" s="4146"/>
      <c r="AU105" s="4146"/>
      <c r="AV105" s="4146"/>
      <c r="AW105" s="7995"/>
      <c r="AX105" t="str">
        <f t="shared" si="23"/>
        <v/>
      </c>
      <c r="CA105" t="str">
        <f t="shared" si="26"/>
        <v/>
      </c>
      <c r="CJ105">
        <f t="shared" si="27"/>
        <v>0</v>
      </c>
    </row>
    <row r="106" spans="1:88" ht="15.75" customHeight="1" x14ac:dyDescent="0.25">
      <c r="A106" s="7997" t="s">
        <v>3382</v>
      </c>
      <c r="B106" s="7998">
        <f t="shared" si="24"/>
        <v>0</v>
      </c>
      <c r="C106" s="7998">
        <f t="shared" si="22"/>
        <v>0</v>
      </c>
      <c r="D106" s="8009">
        <f t="shared" si="25"/>
        <v>0</v>
      </c>
      <c r="E106" s="8017"/>
      <c r="F106" s="8004"/>
      <c r="G106" s="8013"/>
      <c r="H106" s="8000"/>
      <c r="I106" s="7999"/>
      <c r="J106" s="8000"/>
      <c r="K106" s="7999"/>
      <c r="L106" s="8000"/>
      <c r="M106" s="7999"/>
      <c r="N106" s="8000"/>
      <c r="O106" s="7999"/>
      <c r="P106" s="8000"/>
      <c r="Q106" s="7999"/>
      <c r="R106" s="8000"/>
      <c r="S106" s="7999"/>
      <c r="T106" s="8000"/>
      <c r="U106" s="7999"/>
      <c r="V106" s="8000"/>
      <c r="W106" s="7999"/>
      <c r="X106" s="8000"/>
      <c r="Y106" s="7999"/>
      <c r="Z106" s="8000"/>
      <c r="AA106" s="7999"/>
      <c r="AB106" s="8000"/>
      <c r="AC106" s="7999"/>
      <c r="AD106" s="8000"/>
      <c r="AE106" s="7999"/>
      <c r="AF106" s="8000"/>
      <c r="AG106" s="7999"/>
      <c r="AH106" s="8000"/>
      <c r="AI106" s="7999"/>
      <c r="AJ106" s="8000"/>
      <c r="AK106" s="7999"/>
      <c r="AL106" s="8001"/>
      <c r="AM106" s="8002"/>
      <c r="AN106" s="8003"/>
      <c r="AO106" s="8003"/>
      <c r="AP106" s="8003"/>
      <c r="AQ106" s="8003"/>
      <c r="AR106" s="8003"/>
      <c r="AS106" s="8003"/>
      <c r="AT106" s="8003"/>
      <c r="AU106" s="8003"/>
      <c r="AV106" s="8003"/>
      <c r="AW106" s="8004"/>
      <c r="AX106" t="str">
        <f t="shared" si="23"/>
        <v/>
      </c>
      <c r="CA106" t="str">
        <f t="shared" si="26"/>
        <v/>
      </c>
      <c r="CJ106">
        <f t="shared" si="27"/>
        <v>0</v>
      </c>
    </row>
    <row r="107" spans="1:88" ht="21" customHeight="1" x14ac:dyDescent="0.25">
      <c r="A107" s="4153" t="s">
        <v>3085</v>
      </c>
      <c r="B107" s="4135"/>
      <c r="C107" s="4135"/>
      <c r="D107" s="4135"/>
      <c r="E107" s="4135"/>
      <c r="F107" s="4135"/>
      <c r="G107" s="4135"/>
      <c r="H107" s="4135"/>
      <c r="I107" s="4135"/>
      <c r="J107" s="4135"/>
    </row>
    <row r="108" spans="1:88" ht="15.75" customHeight="1" x14ac:dyDescent="0.25">
      <c r="A108" s="10894" t="s">
        <v>1234</v>
      </c>
      <c r="B108" s="10900" t="s">
        <v>3360</v>
      </c>
      <c r="C108" s="10901"/>
      <c r="D108" s="10901"/>
      <c r="E108" s="10902"/>
      <c r="F108" s="10900" t="s">
        <v>3365</v>
      </c>
      <c r="G108" s="10901"/>
      <c r="H108" s="10901"/>
      <c r="I108" s="10902"/>
      <c r="J108" s="4135"/>
    </row>
    <row r="109" spans="1:88" ht="28.9" customHeight="1" x14ac:dyDescent="0.25">
      <c r="A109" s="10899"/>
      <c r="B109" s="4154" t="s">
        <v>3363</v>
      </c>
      <c r="C109" s="4154" t="s">
        <v>3364</v>
      </c>
      <c r="D109" s="4155" t="s">
        <v>3361</v>
      </c>
      <c r="E109" s="4155" t="s">
        <v>3362</v>
      </c>
      <c r="F109" s="4155" t="s">
        <v>3363</v>
      </c>
      <c r="G109" s="4155" t="s">
        <v>2801</v>
      </c>
      <c r="H109" s="4155" t="s">
        <v>3361</v>
      </c>
      <c r="I109" s="4155" t="s">
        <v>3362</v>
      </c>
      <c r="J109" s="4135"/>
    </row>
    <row r="110" spans="1:88" ht="15.75" customHeight="1" x14ac:dyDescent="0.25">
      <c r="A110" s="4090" t="s">
        <v>3368</v>
      </c>
      <c r="B110" s="4114"/>
      <c r="C110" s="4114"/>
      <c r="D110" s="4114"/>
      <c r="E110" s="4114"/>
      <c r="F110" s="4114"/>
      <c r="G110" s="4114"/>
      <c r="H110" s="4114"/>
      <c r="I110" s="4114"/>
      <c r="J110" s="4135"/>
    </row>
    <row r="111" spans="1:88" ht="15.75" customHeight="1" x14ac:dyDescent="0.25">
      <c r="A111" s="4103" t="s">
        <v>3369</v>
      </c>
      <c r="B111" s="4156"/>
      <c r="C111" s="4157"/>
      <c r="D111" s="4157"/>
      <c r="E111" s="4157"/>
      <c r="F111" s="4158"/>
      <c r="G111" s="4158"/>
      <c r="H111" s="4158"/>
      <c r="I111" s="4158"/>
      <c r="J111" s="4135"/>
    </row>
    <row r="112" spans="1:88" ht="23.45" customHeight="1" x14ac:dyDescent="0.25">
      <c r="A112" s="4079" t="s">
        <v>3086</v>
      </c>
      <c r="B112" s="4159"/>
      <c r="C112" s="4159"/>
      <c r="D112" s="4159"/>
      <c r="E112" s="4159"/>
      <c r="F112" s="4159"/>
      <c r="G112" s="4159"/>
      <c r="H112" s="4159"/>
      <c r="I112" s="4159"/>
      <c r="J112" s="4135"/>
    </row>
    <row r="113" spans="1:10" ht="15.75" customHeight="1" x14ac:dyDescent="0.25">
      <c r="A113" s="4160"/>
      <c r="B113" s="10900" t="s">
        <v>3360</v>
      </c>
      <c r="C113" s="10901"/>
      <c r="D113" s="10901"/>
      <c r="E113" s="10902"/>
      <c r="F113" s="10900" t="s">
        <v>3365</v>
      </c>
      <c r="G113" s="10901"/>
      <c r="H113" s="10901"/>
      <c r="I113" s="10902"/>
      <c r="J113" s="4135"/>
    </row>
    <row r="114" spans="1:10" ht="33.6" customHeight="1" x14ac:dyDescent="0.25">
      <c r="A114" s="4160"/>
      <c r="B114" s="4154" t="s">
        <v>3363</v>
      </c>
      <c r="C114" s="4154" t="s">
        <v>3364</v>
      </c>
      <c r="D114" s="4155" t="s">
        <v>3361</v>
      </c>
      <c r="E114" s="4155" t="s">
        <v>3362</v>
      </c>
      <c r="F114" s="4155" t="s">
        <v>3363</v>
      </c>
      <c r="G114" s="4161" t="s">
        <v>2801</v>
      </c>
      <c r="H114" s="4155" t="s">
        <v>3361</v>
      </c>
      <c r="I114" s="4155" t="s">
        <v>3362</v>
      </c>
      <c r="J114" s="4135"/>
    </row>
    <row r="115" spans="1:10" ht="14.1" customHeight="1" x14ac:dyDescent="0.25">
      <c r="A115" s="4090" t="s">
        <v>3366</v>
      </c>
      <c r="B115" s="4162"/>
      <c r="C115" s="4162"/>
      <c r="D115" s="4162"/>
      <c r="E115" s="4162"/>
      <c r="F115" s="4114"/>
      <c r="G115" s="4114"/>
      <c r="H115" s="4114"/>
      <c r="I115" s="4114"/>
      <c r="J115" s="4135"/>
    </row>
    <row r="116" spans="1:10" ht="14.1" customHeight="1" x14ac:dyDescent="0.25">
      <c r="A116" s="4103" t="s">
        <v>3367</v>
      </c>
      <c r="B116" s="4107"/>
      <c r="C116" s="4107"/>
      <c r="D116" s="4107"/>
      <c r="E116" s="4107"/>
      <c r="F116" s="4163"/>
      <c r="G116" s="4163"/>
      <c r="H116" s="4163"/>
      <c r="I116" s="4163"/>
      <c r="J116" s="4135"/>
    </row>
    <row r="117" spans="1:10" ht="25.15" customHeight="1" x14ac:dyDescent="0.25">
      <c r="A117" s="4079" t="s">
        <v>3082</v>
      </c>
    </row>
    <row r="118" spans="1:10" ht="33" customHeight="1" x14ac:dyDescent="0.25">
      <c r="A118" s="10894" t="s">
        <v>3142</v>
      </c>
      <c r="B118" s="10887" t="s">
        <v>3360</v>
      </c>
      <c r="C118" s="10888"/>
      <c r="D118" s="10887" t="s">
        <v>3359</v>
      </c>
      <c r="E118" s="10889"/>
      <c r="F118" s="10890"/>
      <c r="G118" s="4121" t="s">
        <v>3358</v>
      </c>
    </row>
    <row r="119" spans="1:10" ht="25.9" customHeight="1" x14ac:dyDescent="0.25">
      <c r="A119" s="10899"/>
      <c r="B119" s="4164" t="s">
        <v>3356</v>
      </c>
      <c r="C119" s="4164" t="s">
        <v>3083</v>
      </c>
      <c r="D119" s="4164" t="s">
        <v>1638</v>
      </c>
      <c r="E119" s="4121" t="s">
        <v>991</v>
      </c>
      <c r="F119" s="4121" t="s">
        <v>3357</v>
      </c>
      <c r="G119" s="4164" t="s">
        <v>3084</v>
      </c>
    </row>
    <row r="120" spans="1:10" ht="14.1" customHeight="1" x14ac:dyDescent="0.25">
      <c r="A120" s="4090" t="s">
        <v>3370</v>
      </c>
      <c r="B120" s="4141"/>
      <c r="C120" s="4141"/>
      <c r="D120" s="4165"/>
      <c r="E120" s="4141"/>
      <c r="F120" s="4141"/>
      <c r="G120" s="4141"/>
    </row>
    <row r="121" spans="1:10" ht="14.1" customHeight="1" x14ac:dyDescent="0.25">
      <c r="A121" s="4099" t="s">
        <v>3371</v>
      </c>
      <c r="B121" s="4166"/>
      <c r="C121" s="4094"/>
      <c r="D121" s="4094"/>
      <c r="E121" s="4094"/>
      <c r="F121" s="4166"/>
      <c r="G121" s="4094"/>
    </row>
    <row r="122" spans="1:10" ht="14.1" customHeight="1" x14ac:dyDescent="0.25">
      <c r="A122" s="4099" t="s">
        <v>3728</v>
      </c>
      <c r="B122" s="4167"/>
      <c r="C122" s="4167"/>
      <c r="D122" s="4168"/>
      <c r="E122" s="4168"/>
      <c r="F122" s="4167"/>
      <c r="G122" s="4167"/>
    </row>
    <row r="123" spans="1:10" ht="14.1" customHeight="1" x14ac:dyDescent="0.25">
      <c r="A123" s="4117" t="s">
        <v>3372</v>
      </c>
      <c r="B123" s="4169"/>
      <c r="C123" s="4169"/>
      <c r="D123" s="4169"/>
      <c r="E123" s="4170"/>
      <c r="F123" s="4170"/>
      <c r="G123" s="4169"/>
    </row>
    <row r="124" spans="1:10" ht="15.75" customHeight="1" x14ac:dyDescent="0.25"/>
    <row r="125" spans="1:10" ht="15.75" customHeight="1" x14ac:dyDescent="0.25"/>
    <row r="126" spans="1:10" ht="15.75" customHeight="1" x14ac:dyDescent="0.25"/>
    <row r="127" spans="1:10" ht="15.75" customHeight="1" x14ac:dyDescent="0.25"/>
    <row r="128" spans="1:10" ht="15.75" customHeight="1" x14ac:dyDescent="0.25"/>
    <row r="129" spans="1:2" ht="15.75" customHeight="1" x14ac:dyDescent="0.25"/>
    <row r="130" spans="1:2" ht="15.75" customHeight="1" x14ac:dyDescent="0.25"/>
    <row r="131" spans="1:2" ht="15.75" customHeight="1" x14ac:dyDescent="0.25"/>
    <row r="132" spans="1:2" ht="15.75" customHeight="1" x14ac:dyDescent="0.25"/>
    <row r="133" spans="1:2" ht="15.75" customHeight="1" x14ac:dyDescent="0.25"/>
    <row r="134" spans="1:2" ht="15.75" customHeight="1" x14ac:dyDescent="0.25"/>
    <row r="135" spans="1:2" ht="15.75" customHeight="1" x14ac:dyDescent="0.25"/>
    <row r="136" spans="1:2" ht="15.75" customHeight="1" x14ac:dyDescent="0.25"/>
    <row r="137" spans="1:2" ht="15.75" customHeight="1" x14ac:dyDescent="0.25"/>
    <row r="138" spans="1:2" ht="15.75" customHeight="1" x14ac:dyDescent="0.25"/>
    <row r="139" spans="1:2" ht="15.75" customHeight="1" x14ac:dyDescent="0.25"/>
    <row r="140" spans="1:2" s="4172" customFormat="1" ht="15.75" hidden="1" customHeight="1" x14ac:dyDescent="0.25">
      <c r="A140" s="4171">
        <f>SUM(C15:C41,B46:B57,C63:C89,B95:B106,B110:I111,B115:I116,B120:G123)</f>
        <v>0</v>
      </c>
      <c r="B140" s="4172">
        <f>SUM(CJ15:CK106)</f>
        <v>0</v>
      </c>
    </row>
    <row r="141" spans="1:2" ht="15.75" customHeight="1" x14ac:dyDescent="0.25"/>
    <row r="142" spans="1:2" ht="15.75" customHeight="1" x14ac:dyDescent="0.25"/>
    <row r="143" spans="1:2" ht="15.75" customHeight="1" x14ac:dyDescent="0.25"/>
    <row r="144" spans="1:2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</sheetData>
  <sheetProtection algorithmName="SHA-512" hashValue="lbnjHMSU9haefIT2fI8DK6hQ8eFKnRi1g6AJyRhYhXyQRqiJWSDQkM+GdHM/aU28bwgnnwyCEFcbsM9l8m+VTQ==" saltValue="aY6pjyo7al8r5h2OJG+bdQ==" spinCount="100000" sheet="1" objects="1" scenarios="1"/>
  <mergeCells count="113">
    <mergeCell ref="A92:A94"/>
    <mergeCell ref="A108:A109"/>
    <mergeCell ref="AA93:AB93"/>
    <mergeCell ref="A43:A45"/>
    <mergeCell ref="A60:B62"/>
    <mergeCell ref="A15:A37"/>
    <mergeCell ref="A38:A41"/>
    <mergeCell ref="V13:W13"/>
    <mergeCell ref="A12:B14"/>
    <mergeCell ref="C60:E61"/>
    <mergeCell ref="B43:D44"/>
    <mergeCell ref="S44:T44"/>
    <mergeCell ref="F61:G61"/>
    <mergeCell ref="H61:I61"/>
    <mergeCell ref="J61:K61"/>
    <mergeCell ref="L61:M61"/>
    <mergeCell ref="N61:O61"/>
    <mergeCell ref="P61:Q61"/>
    <mergeCell ref="R61:S61"/>
    <mergeCell ref="F13:G13"/>
    <mergeCell ref="H13:I13"/>
    <mergeCell ref="J13:K13"/>
    <mergeCell ref="L13:M13"/>
    <mergeCell ref="C12:E13"/>
    <mergeCell ref="X13:Y13"/>
    <mergeCell ref="Z13:AA13"/>
    <mergeCell ref="AB13:AC13"/>
    <mergeCell ref="A7:AC7"/>
    <mergeCell ref="AN12:AN14"/>
    <mergeCell ref="AO12:AO14"/>
    <mergeCell ref="AD13:AE13"/>
    <mergeCell ref="AF13:AG13"/>
    <mergeCell ref="AH13:AI13"/>
    <mergeCell ref="AJ13:AK13"/>
    <mergeCell ref="AL13:AM13"/>
    <mergeCell ref="F12:AM12"/>
    <mergeCell ref="N13:O13"/>
    <mergeCell ref="P13:Q13"/>
    <mergeCell ref="E43:AL43"/>
    <mergeCell ref="B118:C118"/>
    <mergeCell ref="D118:F118"/>
    <mergeCell ref="A63:A85"/>
    <mergeCell ref="A86:A89"/>
    <mergeCell ref="B92:D93"/>
    <mergeCell ref="A118:A119"/>
    <mergeCell ref="B113:E113"/>
    <mergeCell ref="F113:I113"/>
    <mergeCell ref="B108:E108"/>
    <mergeCell ref="F108:I108"/>
    <mergeCell ref="E92:AL92"/>
    <mergeCell ref="E93:F93"/>
    <mergeCell ref="S93:T93"/>
    <mergeCell ref="U93:V93"/>
    <mergeCell ref="W93:X93"/>
    <mergeCell ref="Y93:Z93"/>
    <mergeCell ref="G93:H93"/>
    <mergeCell ref="E44:F44"/>
    <mergeCell ref="G44:H44"/>
    <mergeCell ref="I44:J44"/>
    <mergeCell ref="K44:L44"/>
    <mergeCell ref="M44:N44"/>
    <mergeCell ref="AE44:AF44"/>
    <mergeCell ref="O44:P44"/>
    <mergeCell ref="Q44:R44"/>
    <mergeCell ref="W44:X44"/>
    <mergeCell ref="Y44:Z44"/>
    <mergeCell ref="U44:V44"/>
    <mergeCell ref="AG44:AH44"/>
    <mergeCell ref="AI44:AJ44"/>
    <mergeCell ref="AK44:AL44"/>
    <mergeCell ref="AA44:AB44"/>
    <mergeCell ref="AC44:AD44"/>
    <mergeCell ref="AK93:AL93"/>
    <mergeCell ref="AN60:AN62"/>
    <mergeCell ref="AO60:AO62"/>
    <mergeCell ref="X61:Y61"/>
    <mergeCell ref="Z61:AA61"/>
    <mergeCell ref="AB61:AC61"/>
    <mergeCell ref="AD61:AE61"/>
    <mergeCell ref="F60:AM60"/>
    <mergeCell ref="Q93:R93"/>
    <mergeCell ref="AF61:AG61"/>
    <mergeCell ref="AH61:AI61"/>
    <mergeCell ref="AJ61:AK61"/>
    <mergeCell ref="AL61:AM61"/>
    <mergeCell ref="T61:U61"/>
    <mergeCell ref="V61:W61"/>
    <mergeCell ref="AM92:AW93"/>
    <mergeCell ref="I93:J93"/>
    <mergeCell ref="CJ12:CJ14"/>
    <mergeCell ref="CK12:CK14"/>
    <mergeCell ref="CA12:CA14"/>
    <mergeCell ref="CB12:CB14"/>
    <mergeCell ref="CJ43:CJ45"/>
    <mergeCell ref="CA43:CA45"/>
    <mergeCell ref="CC12:CC14"/>
    <mergeCell ref="CC60:CC62"/>
    <mergeCell ref="K93:L93"/>
    <mergeCell ref="M93:N93"/>
    <mergeCell ref="O93:P93"/>
    <mergeCell ref="CA92:CA94"/>
    <mergeCell ref="CJ92:CJ94"/>
    <mergeCell ref="CA60:CA62"/>
    <mergeCell ref="CB60:CB62"/>
    <mergeCell ref="CJ60:CJ62"/>
    <mergeCell ref="CK60:CK62"/>
    <mergeCell ref="AM43:AW44"/>
    <mergeCell ref="R13:S13"/>
    <mergeCell ref="T13:U13"/>
    <mergeCell ref="AC93:AD93"/>
    <mergeCell ref="AE93:AF93"/>
    <mergeCell ref="AG93:AH93"/>
    <mergeCell ref="AI93:AJ93"/>
  </mergeCells>
  <dataValidations count="3">
    <dataValidation allowBlank="1" prompt="Valor no Permitido" sqref="A63:A1048576 E8:E45 AP58:AW94 B15:B59 A15:A60 F116:G119 B124:G1048576 H116:I1048576 E107:I109 F111:I114 B117:E119 B63:B109 B112:E115 J107:AW1048576 E58:E94 F58:AO62 F90:AO94 F8:AC14 CA61:CJ91 C8:D109 AX1:XFD9 CC13:CK14 CN12:XFD14 G122:G123 F121:F122 D120 D123 C122:C123 B121:B123 CJ12:CK14 CL10:XFD11 AX42:BZ1048576 CJ15:CJ43 CA15:CA43 CB15:CI59 F42:AW45 AX15:BZ40 CA95:CA1048576 AY41:BZ41 CA46:CA59 AX10:CC14 CL15:XFD1048576 CK15:CK59 CJ46:CJ59 CA60:CC62 CJ60:CK62 CK61:CK1048576 AP1:AW41 CJ92 CA92 CJ95:CJ1048576 CB92:CI1048576 CD10:CI12 CD60:CI60 A1:A12 C1:D6 AD1:AO14 F1:AC6 E1:E6 B1:B6 B8:B11" xr:uid="{6B083227-305D-4D75-8368-4F9949647271}"/>
    <dataValidation type="whole" operator="greaterThanOrEqual" allowBlank="1" showErrorMessage="1" error="Sólo ingrese números enteros." prompt="Valor no Permitido" sqref="B120:C120 E120:G120 C121:E121 G121 D122:E122 E123:F123 E95:AW106 F63:AO89 E46:AW57 F15:AO41" xr:uid="{8837AC46-54E3-4983-9E6D-5210DEB9624D}">
      <formula1>0</formula1>
    </dataValidation>
    <dataValidation type="whole" operator="greaterThanOrEqual" allowBlank="1" showErrorMessage="1" error="Sólo ingrese números enteros." sqref="B116:E116 F115:I115 B110:E111 F110:I110" xr:uid="{36C34D99-D829-4F52-8277-C5A06A729DE3}">
      <formula1>0</formula1>
    </dataValidation>
  </dataValidation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2"/>
  <dimension ref="A1:AA144"/>
  <sheetViews>
    <sheetView showGridLines="0" showZeros="0" zoomScaleNormal="100" workbookViewId="0">
      <selection activeCell="C1" sqref="C1:H1"/>
    </sheetView>
  </sheetViews>
  <sheetFormatPr baseColWidth="10" defaultColWidth="11.42578125" defaultRowHeight="12.75" x14ac:dyDescent="0.2"/>
  <cols>
    <col min="1" max="2" width="1.85546875" style="41" customWidth="1"/>
    <col min="3" max="3" width="18.42578125" style="41" customWidth="1"/>
    <col min="4" max="4" width="18.140625" style="41" customWidth="1"/>
    <col min="5" max="5" width="63.42578125" style="41" customWidth="1"/>
    <col min="6" max="6" width="18.7109375" style="41" customWidth="1"/>
    <col min="7" max="7" width="23" style="41" customWidth="1"/>
    <col min="8" max="8" width="42.42578125" style="41" customWidth="1"/>
    <col min="9" max="9" width="27.42578125" style="41" customWidth="1"/>
    <col min="10" max="19" width="11.42578125" style="41"/>
    <col min="20" max="20" width="0" style="41" hidden="1" customWidth="1"/>
    <col min="21" max="21" width="11.42578125" style="41" hidden="1" customWidth="1"/>
    <col min="22" max="26" width="37.140625" style="41" hidden="1" customWidth="1"/>
    <col min="27" max="27" width="11.42578125" style="41" hidden="1" customWidth="1"/>
    <col min="28" max="28" width="0" style="41" hidden="1" customWidth="1"/>
    <col min="29" max="16384" width="11.42578125" style="41"/>
  </cols>
  <sheetData>
    <row r="1" spans="1:27" ht="33" customHeight="1" x14ac:dyDescent="0.2">
      <c r="A1" s="43"/>
      <c r="B1" s="43"/>
      <c r="C1" s="10922" t="s">
        <v>247</v>
      </c>
      <c r="D1" s="10923"/>
      <c r="E1" s="10923"/>
      <c r="F1" s="10923"/>
      <c r="G1" s="10923"/>
      <c r="H1" s="10924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3.25" customHeight="1" x14ac:dyDescent="0.2">
      <c r="A2" s="43"/>
      <c r="B2" s="43"/>
      <c r="C2" s="10925" t="s">
        <v>246</v>
      </c>
      <c r="D2" s="10926"/>
      <c r="E2" s="10926"/>
      <c r="F2" s="10926"/>
      <c r="G2" s="10926"/>
      <c r="H2" s="10927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23.25" customHeight="1" x14ac:dyDescent="0.2">
      <c r="B3" s="43"/>
      <c r="C3" s="10925" t="s">
        <v>245</v>
      </c>
      <c r="D3" s="10926"/>
      <c r="E3" s="10926"/>
      <c r="F3" s="10926"/>
      <c r="G3" s="10926"/>
      <c r="H3" s="10927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 ht="23.25" customHeight="1" x14ac:dyDescent="0.2">
      <c r="A4" s="43"/>
      <c r="B4" s="43"/>
      <c r="C4" s="10928" t="s">
        <v>244</v>
      </c>
      <c r="D4" s="10929"/>
      <c r="E4" s="10929"/>
      <c r="F4" s="10929"/>
      <c r="G4" s="10929"/>
      <c r="H4" s="10930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</row>
    <row r="5" spans="1:27" ht="42.75" customHeight="1" x14ac:dyDescent="0.2">
      <c r="A5" s="43"/>
      <c r="B5" s="43"/>
      <c r="C5" s="51" t="str">
        <f>CONCATENATE("ESTABLECIMIENTO/ESTRATEGIA: ",NOMBRE!$B$3," - ","( ",NOMBRE!$C$3,NOMBRE!$D$3,NOMBRE!$E$3,NOMBRE!$F$3,NOMBRE!$G$3,NOMBRE!$H$3,NOMBRE!$I$3," )")</f>
        <v>ESTABLECIMIENTO/ESTRATEGIA:  - ( Falta Cód. Est. )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 ht="34.5" customHeight="1" x14ac:dyDescent="0.2">
      <c r="A6" s="43"/>
      <c r="B6" s="43"/>
      <c r="C6" s="50" t="s">
        <v>243</v>
      </c>
      <c r="D6" s="50" t="s">
        <v>242</v>
      </c>
      <c r="E6" s="49" t="s">
        <v>241</v>
      </c>
      <c r="F6" s="49" t="s">
        <v>240</v>
      </c>
      <c r="G6" s="49" t="s">
        <v>74</v>
      </c>
      <c r="H6" s="49" t="s">
        <v>239</v>
      </c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</row>
    <row r="7" spans="1:27" ht="22.5" customHeight="1" x14ac:dyDescent="0.2">
      <c r="A7" s="43"/>
      <c r="B7" s="43"/>
      <c r="C7" s="44" t="s">
        <v>238</v>
      </c>
      <c r="D7" s="44">
        <f>NOMBRE!AG7</f>
        <v>5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 t="s">
        <v>237</v>
      </c>
      <c r="Y7" s="43"/>
      <c r="Z7" s="43"/>
      <c r="AA7" s="43"/>
    </row>
    <row r="8" spans="1:27" ht="22.5" customHeight="1" x14ac:dyDescent="0.2">
      <c r="A8" s="43"/>
      <c r="B8" s="43"/>
      <c r="C8" s="44" t="s">
        <v>236</v>
      </c>
      <c r="D8" s="319">
        <f>'A01'!B193</f>
        <v>0</v>
      </c>
      <c r="E8" s="48"/>
      <c r="F8" s="47" t="str">
        <f>IF('A01'!A$193&gt;0,"","SIN DATOS")</f>
        <v>SIN DATOS</v>
      </c>
      <c r="G8" s="46"/>
      <c r="H8" s="45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 t="s">
        <v>235</v>
      </c>
      <c r="Y8" s="43"/>
      <c r="Z8" s="43"/>
      <c r="AA8" s="43"/>
    </row>
    <row r="9" spans="1:27" ht="22.5" customHeight="1" x14ac:dyDescent="0.2">
      <c r="A9" s="43"/>
      <c r="B9" s="43"/>
      <c r="C9" s="44" t="s">
        <v>234</v>
      </c>
      <c r="D9" s="319">
        <f>+'A02'!B195</f>
        <v>0</v>
      </c>
      <c r="E9" s="45"/>
      <c r="F9" s="47" t="str">
        <f>IF('A02'!A$195&gt;0,"","SIN DATOS")</f>
        <v>SIN DATOS</v>
      </c>
      <c r="G9" s="46"/>
      <c r="H9" s="45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 t="s">
        <v>233</v>
      </c>
      <c r="Y9" s="43"/>
      <c r="Z9" s="43"/>
      <c r="AA9" s="43"/>
    </row>
    <row r="10" spans="1:27" ht="22.5" customHeight="1" x14ac:dyDescent="0.2">
      <c r="A10" s="43"/>
      <c r="B10" s="43"/>
      <c r="C10" s="44" t="s">
        <v>232</v>
      </c>
      <c r="D10" s="56">
        <f>+'A03'!B346</f>
        <v>0</v>
      </c>
      <c r="E10" s="45"/>
      <c r="F10" s="47" t="str">
        <f>IF('A03'!A346&gt;0,"","SIN DATOS")</f>
        <v>SIN DATOS</v>
      </c>
      <c r="G10" s="46"/>
      <c r="H10" s="45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 t="s">
        <v>231</v>
      </c>
      <c r="Y10" s="43"/>
      <c r="Z10" s="43"/>
      <c r="AA10" s="43"/>
    </row>
    <row r="11" spans="1:27" ht="22.5" customHeight="1" x14ac:dyDescent="0.2">
      <c r="A11" s="43"/>
      <c r="B11" s="43"/>
      <c r="C11" s="44" t="s">
        <v>230</v>
      </c>
      <c r="D11" s="319">
        <f>+'A04'!B186</f>
        <v>0</v>
      </c>
      <c r="E11" s="45"/>
      <c r="F11" s="47" t="str">
        <f>IF('A04'!A186&gt;0,"","SIN DATOS")</f>
        <v>SIN DATOS</v>
      </c>
      <c r="G11" s="46"/>
      <c r="H11" s="45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 t="s">
        <v>229</v>
      </c>
      <c r="Y11" s="43"/>
      <c r="Z11" s="43"/>
      <c r="AA11" s="43"/>
    </row>
    <row r="12" spans="1:27" ht="22.5" customHeight="1" x14ac:dyDescent="0.2">
      <c r="A12" s="43"/>
      <c r="B12" s="43"/>
      <c r="C12" s="44" t="s">
        <v>228</v>
      </c>
      <c r="D12" s="319">
        <f>+'A05'!B411</f>
        <v>0</v>
      </c>
      <c r="E12" s="45"/>
      <c r="F12" s="47" t="str">
        <f>IF('A05'!A411&gt;0,"","SIN DATOS")</f>
        <v>SIN DATOS</v>
      </c>
      <c r="G12" s="46"/>
      <c r="H12" s="45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</row>
    <row r="13" spans="1:27" ht="22.5" customHeight="1" x14ac:dyDescent="0.2">
      <c r="A13" s="43"/>
      <c r="B13" s="43"/>
      <c r="C13" s="44" t="s">
        <v>227</v>
      </c>
      <c r="D13" s="319">
        <f>+'A06'!B171</f>
        <v>0</v>
      </c>
      <c r="E13" s="45"/>
      <c r="F13" s="47" t="str">
        <f>IF('A06'!A171&gt;0,"","SIN DATOS")</f>
        <v>SIN DATOS</v>
      </c>
      <c r="G13" s="46"/>
      <c r="H13" s="45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ht="22.5" customHeight="1" x14ac:dyDescent="0.2">
      <c r="A14" s="43"/>
      <c r="B14" s="43"/>
      <c r="C14" s="44" t="s">
        <v>226</v>
      </c>
      <c r="D14" s="319">
        <f>+'A07'!B262</f>
        <v>0</v>
      </c>
      <c r="E14" s="45"/>
      <c r="F14" s="47" t="str">
        <f>IF('A07'!A262&gt;0,"","SIN DATOS")</f>
        <v>SIN DATOS</v>
      </c>
      <c r="G14" s="46"/>
      <c r="H14" s="45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</row>
    <row r="15" spans="1:27" ht="22.5" customHeight="1" x14ac:dyDescent="0.2">
      <c r="A15" s="43"/>
      <c r="B15" s="43"/>
      <c r="C15" s="44" t="s">
        <v>225</v>
      </c>
      <c r="D15" s="319">
        <f>'A08'!B220</f>
        <v>0</v>
      </c>
      <c r="E15" s="45"/>
      <c r="F15" s="47" t="str">
        <f>IF('A08'!A220&gt;0,"","SIN DATOS")</f>
        <v>SIN DATOS</v>
      </c>
      <c r="G15" s="46"/>
      <c r="H15" s="45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</row>
    <row r="16" spans="1:27" ht="22.5" customHeight="1" x14ac:dyDescent="0.2">
      <c r="A16" s="43"/>
      <c r="B16" s="43"/>
      <c r="C16" s="44" t="s">
        <v>224</v>
      </c>
      <c r="D16" s="319">
        <f>'A09'!B332</f>
        <v>0</v>
      </c>
      <c r="E16" s="45"/>
      <c r="F16" s="47" t="str">
        <f>IF('A09'!A332&gt;0,"","SIN DATOS")</f>
        <v>SIN DATOS</v>
      </c>
      <c r="G16" s="46"/>
      <c r="H16" s="45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</row>
    <row r="17" spans="1:27" ht="22.5" customHeight="1" x14ac:dyDescent="0.2">
      <c r="A17" s="43"/>
      <c r="B17" s="43"/>
      <c r="C17" s="44" t="s">
        <v>223</v>
      </c>
      <c r="D17" s="319">
        <f>'A11'!B308</f>
        <v>0</v>
      </c>
      <c r="E17" s="45"/>
      <c r="F17" s="47" t="str">
        <f>IF('A11'!A308&gt;0,"","SIN DATOS")</f>
        <v>SIN DATOS</v>
      </c>
      <c r="G17" s="46"/>
      <c r="H17" s="45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</row>
    <row r="18" spans="1:27" ht="22.5" customHeight="1" x14ac:dyDescent="0.2">
      <c r="A18" s="43"/>
      <c r="B18" s="43"/>
      <c r="C18" s="2066" t="s">
        <v>2511</v>
      </c>
      <c r="D18" s="2067">
        <f>A11a!B101</f>
        <v>0</v>
      </c>
      <c r="E18" s="2068"/>
      <c r="F18" s="47" t="str">
        <f>IF(A11a!A101&gt;0,"","SIN DATOS")</f>
        <v>SIN DATOS</v>
      </c>
      <c r="G18" s="2069"/>
      <c r="H18" s="2068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</row>
    <row r="19" spans="1:27" ht="22.5" customHeight="1" x14ac:dyDescent="0.2">
      <c r="A19" s="43"/>
      <c r="B19" s="43"/>
      <c r="C19" s="44" t="s">
        <v>222</v>
      </c>
      <c r="D19" s="319">
        <f>A19a!B207</f>
        <v>0</v>
      </c>
      <c r="E19" s="45"/>
      <c r="F19" s="47" t="str">
        <f>IF(A19a!A207&gt;0,"","SIN DATOS")</f>
        <v>SIN DATOS</v>
      </c>
      <c r="G19" s="46"/>
      <c r="H19" s="45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</row>
    <row r="20" spans="1:27" ht="22.5" customHeight="1" x14ac:dyDescent="0.2">
      <c r="A20" s="43"/>
      <c r="B20" s="43"/>
      <c r="C20" s="44" t="s">
        <v>221</v>
      </c>
      <c r="D20" s="319">
        <f>A19b!B195</f>
        <v>0</v>
      </c>
      <c r="E20" s="45"/>
      <c r="F20" s="47" t="str">
        <f>IF(A19b!A195&gt;0,"","SIN DATOS")</f>
        <v>SIN DATOS</v>
      </c>
      <c r="G20" s="46"/>
      <c r="H20" s="45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</row>
    <row r="21" spans="1:27" ht="22.5" customHeight="1" x14ac:dyDescent="0.2">
      <c r="A21" s="43"/>
      <c r="B21" s="43"/>
      <c r="C21" s="44" t="s">
        <v>220</v>
      </c>
      <c r="D21" s="1312">
        <f>'A21'!B162</f>
        <v>0</v>
      </c>
      <c r="E21" s="296"/>
      <c r="F21" s="297" t="str">
        <f>IF('A21'!A162&gt;0,"","SIN DATOS")</f>
        <v>SIN DATOS</v>
      </c>
      <c r="G21" s="46"/>
      <c r="H21" s="45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</row>
    <row r="22" spans="1:27" ht="22.5" customHeight="1" x14ac:dyDescent="0.2">
      <c r="A22" s="43"/>
      <c r="B22" s="43"/>
      <c r="C22" s="44" t="s">
        <v>219</v>
      </c>
      <c r="D22" s="298">
        <f>'A23'!B206</f>
        <v>0</v>
      </c>
      <c r="E22" s="296"/>
      <c r="F22" s="297" t="str">
        <f>IF('A23'!A206&gt;0,"","SIN DATOS")</f>
        <v>SIN DATOS</v>
      </c>
      <c r="G22" s="299"/>
      <c r="H22" s="45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</row>
    <row r="23" spans="1:27" ht="22.5" customHeight="1" x14ac:dyDescent="0.2">
      <c r="A23" s="43"/>
      <c r="B23" s="43"/>
      <c r="C23" s="44" t="s">
        <v>218</v>
      </c>
      <c r="D23" s="1312">
        <f>+'A24'!B266</f>
        <v>0</v>
      </c>
      <c r="E23" s="296"/>
      <c r="F23" s="297" t="str">
        <f>IF('A24'!A266&gt;0,"","SIN DATOS")</f>
        <v>SIN DATOS</v>
      </c>
      <c r="G23" s="299"/>
      <c r="H23" s="45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</row>
    <row r="24" spans="1:27" ht="22.5" customHeight="1" x14ac:dyDescent="0.2">
      <c r="A24" s="43"/>
      <c r="B24" s="43"/>
      <c r="C24" s="44" t="s">
        <v>217</v>
      </c>
      <c r="D24" s="495">
        <f>+'A25'!B335</f>
        <v>0</v>
      </c>
      <c r="E24" s="296"/>
      <c r="F24" s="496" t="str">
        <f>IF('A25'!A335&gt;0,"","SIN DATOS")</f>
        <v>SIN DATOS</v>
      </c>
      <c r="G24" s="299"/>
      <c r="H24" s="296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</row>
    <row r="25" spans="1:27" ht="22.5" customHeight="1" x14ac:dyDescent="0.2">
      <c r="A25" s="43"/>
      <c r="B25" s="43"/>
      <c r="C25" s="44" t="s">
        <v>216</v>
      </c>
      <c r="D25" s="495">
        <f>+'A26'!B198</f>
        <v>0</v>
      </c>
      <c r="E25" s="296"/>
      <c r="F25" s="496" t="str">
        <f>IF('A26'!A198&gt;0,"","SIN DATOS")</f>
        <v>SIN DATOS</v>
      </c>
      <c r="G25" s="299"/>
      <c r="H25" s="45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</row>
    <row r="26" spans="1:27" ht="22.5" customHeight="1" x14ac:dyDescent="0.2">
      <c r="A26" s="43"/>
      <c r="B26" s="43"/>
      <c r="C26" s="44" t="s">
        <v>215</v>
      </c>
      <c r="D26" s="495">
        <f>+'A27'!B216</f>
        <v>0</v>
      </c>
      <c r="E26" s="296"/>
      <c r="F26" s="496" t="str">
        <f>IF('A27'!A$216&gt;0,"","SIN DATOS")</f>
        <v>SIN DATOS</v>
      </c>
      <c r="G26" s="299"/>
      <c r="H26" s="45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</row>
    <row r="27" spans="1:27" ht="22.5" customHeight="1" x14ac:dyDescent="0.2">
      <c r="A27" s="43"/>
      <c r="B27" s="43"/>
      <c r="C27" s="44" t="s">
        <v>214</v>
      </c>
      <c r="D27" s="495">
        <f>+'A28'!B346</f>
        <v>0</v>
      </c>
      <c r="E27" s="296"/>
      <c r="F27" s="496" t="str">
        <f>IF('A28'!A346&gt;0,"","SIN DATOS")</f>
        <v>SIN DATOS</v>
      </c>
      <c r="G27" s="299"/>
      <c r="H27" s="45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</row>
    <row r="28" spans="1:27" ht="22.5" customHeight="1" x14ac:dyDescent="0.2">
      <c r="A28" s="43"/>
      <c r="B28" s="43"/>
      <c r="C28" s="44" t="s">
        <v>251</v>
      </c>
      <c r="D28" s="495">
        <f>+'A29'!B225</f>
        <v>0</v>
      </c>
      <c r="E28" s="296"/>
      <c r="F28" s="496" t="str">
        <f>IF('A29'!A$225&gt;0,"","SIN DATOS")</f>
        <v>SIN DATOS</v>
      </c>
      <c r="G28" s="300"/>
      <c r="H28" s="45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</row>
    <row r="29" spans="1:27" ht="22.5" customHeight="1" x14ac:dyDescent="0.2">
      <c r="A29" s="43"/>
      <c r="B29" s="43"/>
      <c r="C29" s="44" t="s">
        <v>252</v>
      </c>
      <c r="D29" s="495">
        <f>'A30'!B180</f>
        <v>0</v>
      </c>
      <c r="E29" s="296"/>
      <c r="F29" s="496" t="str">
        <f>IF('A30'!A180&gt;0,"","SIN DATOS")</f>
        <v>SIN DATOS</v>
      </c>
      <c r="G29" s="300"/>
      <c r="H29" s="45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</row>
    <row r="30" spans="1:27" ht="22.5" customHeight="1" x14ac:dyDescent="0.2">
      <c r="A30" s="43"/>
      <c r="B30" s="43"/>
      <c r="C30" s="44" t="s">
        <v>3953</v>
      </c>
      <c r="D30" s="7507">
        <f>A30AR!B130</f>
        <v>0</v>
      </c>
      <c r="E30" s="7508"/>
      <c r="F30" s="7509" t="str">
        <f>IF(A30AR!A130&gt;0,"","SIN DATOS")</f>
        <v>SIN DATOS</v>
      </c>
      <c r="G30" s="7510"/>
      <c r="H30" s="7511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</row>
    <row r="31" spans="1:27" ht="22.5" customHeight="1" x14ac:dyDescent="0.2">
      <c r="A31" s="43"/>
      <c r="B31" s="43"/>
      <c r="C31" s="44" t="s">
        <v>395</v>
      </c>
      <c r="D31" s="495">
        <f>+'A31'!B176</f>
        <v>0</v>
      </c>
      <c r="E31" s="296"/>
      <c r="F31" s="496" t="str">
        <f>IF('A31'!A$176&gt;0,"","SIN DATOS")</f>
        <v>SIN DATOS</v>
      </c>
      <c r="G31" s="300"/>
      <c r="H31" s="45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</row>
    <row r="32" spans="1:27" ht="22.5" customHeight="1" x14ac:dyDescent="0.2">
      <c r="A32" s="43"/>
      <c r="B32" s="43"/>
      <c r="C32" s="44" t="s">
        <v>2512</v>
      </c>
      <c r="D32" s="495">
        <f>+'A32'!B256</f>
        <v>0</v>
      </c>
      <c r="E32" s="296"/>
      <c r="F32" s="496" t="str">
        <f>IF('A32'!A256&gt;0,"","SIN DATOS")</f>
        <v>SIN DATOS</v>
      </c>
      <c r="G32" s="300"/>
      <c r="H32" s="45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</row>
    <row r="33" spans="1:27" ht="22.5" customHeight="1" thickBot="1" x14ac:dyDescent="0.25">
      <c r="A33" s="43"/>
      <c r="B33" s="43"/>
      <c r="C33" s="7529" t="s">
        <v>3549</v>
      </c>
      <c r="D33" s="7530">
        <f>'A33'!B140</f>
        <v>0</v>
      </c>
      <c r="E33" s="296"/>
      <c r="F33" s="496" t="str">
        <f>IF('A33'!A140&gt;0,"","SIN DATOS")</f>
        <v>SIN DATOS</v>
      </c>
      <c r="G33" s="300"/>
      <c r="H33" s="45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</row>
    <row r="34" spans="1:27" ht="27.75" customHeight="1" thickTop="1" x14ac:dyDescent="0.2">
      <c r="A34" s="43"/>
      <c r="B34" s="43"/>
      <c r="C34" s="7531" t="s">
        <v>24</v>
      </c>
      <c r="D34" s="7531">
        <f>SUM(D7:D33)</f>
        <v>5</v>
      </c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</row>
    <row r="35" spans="1:27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</row>
    <row r="36" spans="1:27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</row>
    <row r="37" spans="1:27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</row>
    <row r="38" spans="1:27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</row>
    <row r="39" spans="1:27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</row>
    <row r="40" spans="1:27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</row>
    <row r="41" spans="1:27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</row>
    <row r="42" spans="1:27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</row>
    <row r="43" spans="1:27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</row>
    <row r="44" spans="1:27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</row>
    <row r="45" spans="1:27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</row>
    <row r="46" spans="1:27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</row>
    <row r="47" spans="1:27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</row>
    <row r="48" spans="1:27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</row>
    <row r="49" spans="1:27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</row>
    <row r="50" spans="1:27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</row>
    <row r="51" spans="1:27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</row>
    <row r="52" spans="1:27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</row>
    <row r="53" spans="1:27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</row>
    <row r="54" spans="1:27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</row>
    <row r="55" spans="1:27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</row>
    <row r="56" spans="1:27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</row>
    <row r="57" spans="1:27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</row>
    <row r="58" spans="1:27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</row>
    <row r="59" spans="1:27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</row>
    <row r="60" spans="1:27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</row>
    <row r="61" spans="1:27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</row>
    <row r="62" spans="1:27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</row>
    <row r="63" spans="1:27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</row>
    <row r="64" spans="1:27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</row>
    <row r="65" spans="1:27" x14ac:dyDescent="0.2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</row>
    <row r="66" spans="1:27" x14ac:dyDescent="0.2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</row>
    <row r="67" spans="1:27" x14ac:dyDescent="0.2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</row>
    <row r="144" s="42" customFormat="1" x14ac:dyDescent="0.2"/>
  </sheetData>
  <sheetProtection algorithmName="SHA-512" hashValue="o5UMfZN5KdimvNMmMOwIAnNuTKbw/k/5Hb6f+vDYD5fJ2HguOmSyZsXOef5W8gq9HgLELRhs9veV5iA1Cg2e0A==" saltValue="NI47zv7m3KikNosRaBnTCw==" spinCount="100000" sheet="1" objects="1" scenarios="1"/>
  <mergeCells count="4">
    <mergeCell ref="C1:H1"/>
    <mergeCell ref="C2:H2"/>
    <mergeCell ref="C3:H3"/>
    <mergeCell ref="C4:H4"/>
  </mergeCells>
  <dataValidations count="1">
    <dataValidation type="list" allowBlank="1" showInputMessage="1" showErrorMessage="1" sqref="WVO983054:WVO983072 JC8:JC33 SY8:SY33 ACU8:ACU33 AMQ8:AMQ33 AWM8:AWM33 BGI8:BGI33 BQE8:BQE33 CAA8:CAA33 CJW8:CJW33 CTS8:CTS33 DDO8:DDO33 DNK8:DNK33 DXG8:DXG33 EHC8:EHC33 EQY8:EQY33 FAU8:FAU33 FKQ8:FKQ33 FUM8:FUM33 GEI8:GEI33 GOE8:GOE33 GYA8:GYA33 HHW8:HHW33 HRS8:HRS33 IBO8:IBO33 ILK8:ILK33 IVG8:IVG33 JFC8:JFC33 JOY8:JOY33 JYU8:JYU33 KIQ8:KIQ33 KSM8:KSM33 LCI8:LCI33 LME8:LME33 LWA8:LWA33 MFW8:MFW33 MPS8:MPS33 MZO8:MZO33 NJK8:NJK33 NTG8:NTG33 ODC8:ODC33 OMY8:OMY33 OWU8:OWU33 PGQ8:PGQ33 PQM8:PQM33 QAI8:QAI33 QKE8:QKE33 QUA8:QUA33 RDW8:RDW33 RNS8:RNS33 RXO8:RXO33 SHK8:SHK33 SRG8:SRG33 TBC8:TBC33 TKY8:TKY33 TUU8:TUU33 UEQ8:UEQ33 UOM8:UOM33 UYI8:UYI33 VIE8:VIE33 VSA8:VSA33 WBW8:WBW33 WLS8:WLS33 WVO8:WVO33 G65550:G65568 JC65550:JC65568 SY65550:SY65568 ACU65550:ACU65568 AMQ65550:AMQ65568 AWM65550:AWM65568 BGI65550:BGI65568 BQE65550:BQE65568 CAA65550:CAA65568 CJW65550:CJW65568 CTS65550:CTS65568 DDO65550:DDO65568 DNK65550:DNK65568 DXG65550:DXG65568 EHC65550:EHC65568 EQY65550:EQY65568 FAU65550:FAU65568 FKQ65550:FKQ65568 FUM65550:FUM65568 GEI65550:GEI65568 GOE65550:GOE65568 GYA65550:GYA65568 HHW65550:HHW65568 HRS65550:HRS65568 IBO65550:IBO65568 ILK65550:ILK65568 IVG65550:IVG65568 JFC65550:JFC65568 JOY65550:JOY65568 JYU65550:JYU65568 KIQ65550:KIQ65568 KSM65550:KSM65568 LCI65550:LCI65568 LME65550:LME65568 LWA65550:LWA65568 MFW65550:MFW65568 MPS65550:MPS65568 MZO65550:MZO65568 NJK65550:NJK65568 NTG65550:NTG65568 ODC65550:ODC65568 OMY65550:OMY65568 OWU65550:OWU65568 PGQ65550:PGQ65568 PQM65550:PQM65568 QAI65550:QAI65568 QKE65550:QKE65568 QUA65550:QUA65568 RDW65550:RDW65568 RNS65550:RNS65568 RXO65550:RXO65568 SHK65550:SHK65568 SRG65550:SRG65568 TBC65550:TBC65568 TKY65550:TKY65568 TUU65550:TUU65568 UEQ65550:UEQ65568 UOM65550:UOM65568 UYI65550:UYI65568 VIE65550:VIE65568 VSA65550:VSA65568 WBW65550:WBW65568 WLS65550:WLS65568 WVO65550:WVO65568 G131086:G131104 JC131086:JC131104 SY131086:SY131104 ACU131086:ACU131104 AMQ131086:AMQ131104 AWM131086:AWM131104 BGI131086:BGI131104 BQE131086:BQE131104 CAA131086:CAA131104 CJW131086:CJW131104 CTS131086:CTS131104 DDO131086:DDO131104 DNK131086:DNK131104 DXG131086:DXG131104 EHC131086:EHC131104 EQY131086:EQY131104 FAU131086:FAU131104 FKQ131086:FKQ131104 FUM131086:FUM131104 GEI131086:GEI131104 GOE131086:GOE131104 GYA131086:GYA131104 HHW131086:HHW131104 HRS131086:HRS131104 IBO131086:IBO131104 ILK131086:ILK131104 IVG131086:IVG131104 JFC131086:JFC131104 JOY131086:JOY131104 JYU131086:JYU131104 KIQ131086:KIQ131104 KSM131086:KSM131104 LCI131086:LCI131104 LME131086:LME131104 LWA131086:LWA131104 MFW131086:MFW131104 MPS131086:MPS131104 MZO131086:MZO131104 NJK131086:NJK131104 NTG131086:NTG131104 ODC131086:ODC131104 OMY131086:OMY131104 OWU131086:OWU131104 PGQ131086:PGQ131104 PQM131086:PQM131104 QAI131086:QAI131104 QKE131086:QKE131104 QUA131086:QUA131104 RDW131086:RDW131104 RNS131086:RNS131104 RXO131086:RXO131104 SHK131086:SHK131104 SRG131086:SRG131104 TBC131086:TBC131104 TKY131086:TKY131104 TUU131086:TUU131104 UEQ131086:UEQ131104 UOM131086:UOM131104 UYI131086:UYI131104 VIE131086:VIE131104 VSA131086:VSA131104 WBW131086:WBW131104 WLS131086:WLS131104 WVO131086:WVO131104 G196622:G196640 JC196622:JC196640 SY196622:SY196640 ACU196622:ACU196640 AMQ196622:AMQ196640 AWM196622:AWM196640 BGI196622:BGI196640 BQE196622:BQE196640 CAA196622:CAA196640 CJW196622:CJW196640 CTS196622:CTS196640 DDO196622:DDO196640 DNK196622:DNK196640 DXG196622:DXG196640 EHC196622:EHC196640 EQY196622:EQY196640 FAU196622:FAU196640 FKQ196622:FKQ196640 FUM196622:FUM196640 GEI196622:GEI196640 GOE196622:GOE196640 GYA196622:GYA196640 HHW196622:HHW196640 HRS196622:HRS196640 IBO196622:IBO196640 ILK196622:ILK196640 IVG196622:IVG196640 JFC196622:JFC196640 JOY196622:JOY196640 JYU196622:JYU196640 KIQ196622:KIQ196640 KSM196622:KSM196640 LCI196622:LCI196640 LME196622:LME196640 LWA196622:LWA196640 MFW196622:MFW196640 MPS196622:MPS196640 MZO196622:MZO196640 NJK196622:NJK196640 NTG196622:NTG196640 ODC196622:ODC196640 OMY196622:OMY196640 OWU196622:OWU196640 PGQ196622:PGQ196640 PQM196622:PQM196640 QAI196622:QAI196640 QKE196622:QKE196640 QUA196622:QUA196640 RDW196622:RDW196640 RNS196622:RNS196640 RXO196622:RXO196640 SHK196622:SHK196640 SRG196622:SRG196640 TBC196622:TBC196640 TKY196622:TKY196640 TUU196622:TUU196640 UEQ196622:UEQ196640 UOM196622:UOM196640 UYI196622:UYI196640 VIE196622:VIE196640 VSA196622:VSA196640 WBW196622:WBW196640 WLS196622:WLS196640 WVO196622:WVO196640 G262158:G262176 JC262158:JC262176 SY262158:SY262176 ACU262158:ACU262176 AMQ262158:AMQ262176 AWM262158:AWM262176 BGI262158:BGI262176 BQE262158:BQE262176 CAA262158:CAA262176 CJW262158:CJW262176 CTS262158:CTS262176 DDO262158:DDO262176 DNK262158:DNK262176 DXG262158:DXG262176 EHC262158:EHC262176 EQY262158:EQY262176 FAU262158:FAU262176 FKQ262158:FKQ262176 FUM262158:FUM262176 GEI262158:GEI262176 GOE262158:GOE262176 GYA262158:GYA262176 HHW262158:HHW262176 HRS262158:HRS262176 IBO262158:IBO262176 ILK262158:ILK262176 IVG262158:IVG262176 JFC262158:JFC262176 JOY262158:JOY262176 JYU262158:JYU262176 KIQ262158:KIQ262176 KSM262158:KSM262176 LCI262158:LCI262176 LME262158:LME262176 LWA262158:LWA262176 MFW262158:MFW262176 MPS262158:MPS262176 MZO262158:MZO262176 NJK262158:NJK262176 NTG262158:NTG262176 ODC262158:ODC262176 OMY262158:OMY262176 OWU262158:OWU262176 PGQ262158:PGQ262176 PQM262158:PQM262176 QAI262158:QAI262176 QKE262158:QKE262176 QUA262158:QUA262176 RDW262158:RDW262176 RNS262158:RNS262176 RXO262158:RXO262176 SHK262158:SHK262176 SRG262158:SRG262176 TBC262158:TBC262176 TKY262158:TKY262176 TUU262158:TUU262176 UEQ262158:UEQ262176 UOM262158:UOM262176 UYI262158:UYI262176 VIE262158:VIE262176 VSA262158:VSA262176 WBW262158:WBW262176 WLS262158:WLS262176 WVO262158:WVO262176 G327694:G327712 JC327694:JC327712 SY327694:SY327712 ACU327694:ACU327712 AMQ327694:AMQ327712 AWM327694:AWM327712 BGI327694:BGI327712 BQE327694:BQE327712 CAA327694:CAA327712 CJW327694:CJW327712 CTS327694:CTS327712 DDO327694:DDO327712 DNK327694:DNK327712 DXG327694:DXG327712 EHC327694:EHC327712 EQY327694:EQY327712 FAU327694:FAU327712 FKQ327694:FKQ327712 FUM327694:FUM327712 GEI327694:GEI327712 GOE327694:GOE327712 GYA327694:GYA327712 HHW327694:HHW327712 HRS327694:HRS327712 IBO327694:IBO327712 ILK327694:ILK327712 IVG327694:IVG327712 JFC327694:JFC327712 JOY327694:JOY327712 JYU327694:JYU327712 KIQ327694:KIQ327712 KSM327694:KSM327712 LCI327694:LCI327712 LME327694:LME327712 LWA327694:LWA327712 MFW327694:MFW327712 MPS327694:MPS327712 MZO327694:MZO327712 NJK327694:NJK327712 NTG327694:NTG327712 ODC327694:ODC327712 OMY327694:OMY327712 OWU327694:OWU327712 PGQ327694:PGQ327712 PQM327694:PQM327712 QAI327694:QAI327712 QKE327694:QKE327712 QUA327694:QUA327712 RDW327694:RDW327712 RNS327694:RNS327712 RXO327694:RXO327712 SHK327694:SHK327712 SRG327694:SRG327712 TBC327694:TBC327712 TKY327694:TKY327712 TUU327694:TUU327712 UEQ327694:UEQ327712 UOM327694:UOM327712 UYI327694:UYI327712 VIE327694:VIE327712 VSA327694:VSA327712 WBW327694:WBW327712 WLS327694:WLS327712 WVO327694:WVO327712 G393230:G393248 JC393230:JC393248 SY393230:SY393248 ACU393230:ACU393248 AMQ393230:AMQ393248 AWM393230:AWM393248 BGI393230:BGI393248 BQE393230:BQE393248 CAA393230:CAA393248 CJW393230:CJW393248 CTS393230:CTS393248 DDO393230:DDO393248 DNK393230:DNK393248 DXG393230:DXG393248 EHC393230:EHC393248 EQY393230:EQY393248 FAU393230:FAU393248 FKQ393230:FKQ393248 FUM393230:FUM393248 GEI393230:GEI393248 GOE393230:GOE393248 GYA393230:GYA393248 HHW393230:HHW393248 HRS393230:HRS393248 IBO393230:IBO393248 ILK393230:ILK393248 IVG393230:IVG393248 JFC393230:JFC393248 JOY393230:JOY393248 JYU393230:JYU393248 KIQ393230:KIQ393248 KSM393230:KSM393248 LCI393230:LCI393248 LME393230:LME393248 LWA393230:LWA393248 MFW393230:MFW393248 MPS393230:MPS393248 MZO393230:MZO393248 NJK393230:NJK393248 NTG393230:NTG393248 ODC393230:ODC393248 OMY393230:OMY393248 OWU393230:OWU393248 PGQ393230:PGQ393248 PQM393230:PQM393248 QAI393230:QAI393248 QKE393230:QKE393248 QUA393230:QUA393248 RDW393230:RDW393248 RNS393230:RNS393248 RXO393230:RXO393248 SHK393230:SHK393248 SRG393230:SRG393248 TBC393230:TBC393248 TKY393230:TKY393248 TUU393230:TUU393248 UEQ393230:UEQ393248 UOM393230:UOM393248 UYI393230:UYI393248 VIE393230:VIE393248 VSA393230:VSA393248 WBW393230:WBW393248 WLS393230:WLS393248 WVO393230:WVO393248 G458766:G458784 JC458766:JC458784 SY458766:SY458784 ACU458766:ACU458784 AMQ458766:AMQ458784 AWM458766:AWM458784 BGI458766:BGI458784 BQE458766:BQE458784 CAA458766:CAA458784 CJW458766:CJW458784 CTS458766:CTS458784 DDO458766:DDO458784 DNK458766:DNK458784 DXG458766:DXG458784 EHC458766:EHC458784 EQY458766:EQY458784 FAU458766:FAU458784 FKQ458766:FKQ458784 FUM458766:FUM458784 GEI458766:GEI458784 GOE458766:GOE458784 GYA458766:GYA458784 HHW458766:HHW458784 HRS458766:HRS458784 IBO458766:IBO458784 ILK458766:ILK458784 IVG458766:IVG458784 JFC458766:JFC458784 JOY458766:JOY458784 JYU458766:JYU458784 KIQ458766:KIQ458784 KSM458766:KSM458784 LCI458766:LCI458784 LME458766:LME458784 LWA458766:LWA458784 MFW458766:MFW458784 MPS458766:MPS458784 MZO458766:MZO458784 NJK458766:NJK458784 NTG458766:NTG458784 ODC458766:ODC458784 OMY458766:OMY458784 OWU458766:OWU458784 PGQ458766:PGQ458784 PQM458766:PQM458784 QAI458766:QAI458784 QKE458766:QKE458784 QUA458766:QUA458784 RDW458766:RDW458784 RNS458766:RNS458784 RXO458766:RXO458784 SHK458766:SHK458784 SRG458766:SRG458784 TBC458766:TBC458784 TKY458766:TKY458784 TUU458766:TUU458784 UEQ458766:UEQ458784 UOM458766:UOM458784 UYI458766:UYI458784 VIE458766:VIE458784 VSA458766:VSA458784 WBW458766:WBW458784 WLS458766:WLS458784 WVO458766:WVO458784 G524302:G524320 JC524302:JC524320 SY524302:SY524320 ACU524302:ACU524320 AMQ524302:AMQ524320 AWM524302:AWM524320 BGI524302:BGI524320 BQE524302:BQE524320 CAA524302:CAA524320 CJW524302:CJW524320 CTS524302:CTS524320 DDO524302:DDO524320 DNK524302:DNK524320 DXG524302:DXG524320 EHC524302:EHC524320 EQY524302:EQY524320 FAU524302:FAU524320 FKQ524302:FKQ524320 FUM524302:FUM524320 GEI524302:GEI524320 GOE524302:GOE524320 GYA524302:GYA524320 HHW524302:HHW524320 HRS524302:HRS524320 IBO524302:IBO524320 ILK524302:ILK524320 IVG524302:IVG524320 JFC524302:JFC524320 JOY524302:JOY524320 JYU524302:JYU524320 KIQ524302:KIQ524320 KSM524302:KSM524320 LCI524302:LCI524320 LME524302:LME524320 LWA524302:LWA524320 MFW524302:MFW524320 MPS524302:MPS524320 MZO524302:MZO524320 NJK524302:NJK524320 NTG524302:NTG524320 ODC524302:ODC524320 OMY524302:OMY524320 OWU524302:OWU524320 PGQ524302:PGQ524320 PQM524302:PQM524320 QAI524302:QAI524320 QKE524302:QKE524320 QUA524302:QUA524320 RDW524302:RDW524320 RNS524302:RNS524320 RXO524302:RXO524320 SHK524302:SHK524320 SRG524302:SRG524320 TBC524302:TBC524320 TKY524302:TKY524320 TUU524302:TUU524320 UEQ524302:UEQ524320 UOM524302:UOM524320 UYI524302:UYI524320 VIE524302:VIE524320 VSA524302:VSA524320 WBW524302:WBW524320 WLS524302:WLS524320 WVO524302:WVO524320 G589838:G589856 JC589838:JC589856 SY589838:SY589856 ACU589838:ACU589856 AMQ589838:AMQ589856 AWM589838:AWM589856 BGI589838:BGI589856 BQE589838:BQE589856 CAA589838:CAA589856 CJW589838:CJW589856 CTS589838:CTS589856 DDO589838:DDO589856 DNK589838:DNK589856 DXG589838:DXG589856 EHC589838:EHC589856 EQY589838:EQY589856 FAU589838:FAU589856 FKQ589838:FKQ589856 FUM589838:FUM589856 GEI589838:GEI589856 GOE589838:GOE589856 GYA589838:GYA589856 HHW589838:HHW589856 HRS589838:HRS589856 IBO589838:IBO589856 ILK589838:ILK589856 IVG589838:IVG589856 JFC589838:JFC589856 JOY589838:JOY589856 JYU589838:JYU589856 KIQ589838:KIQ589856 KSM589838:KSM589856 LCI589838:LCI589856 LME589838:LME589856 LWA589838:LWA589856 MFW589838:MFW589856 MPS589838:MPS589856 MZO589838:MZO589856 NJK589838:NJK589856 NTG589838:NTG589856 ODC589838:ODC589856 OMY589838:OMY589856 OWU589838:OWU589856 PGQ589838:PGQ589856 PQM589838:PQM589856 QAI589838:QAI589856 QKE589838:QKE589856 QUA589838:QUA589856 RDW589838:RDW589856 RNS589838:RNS589856 RXO589838:RXO589856 SHK589838:SHK589856 SRG589838:SRG589856 TBC589838:TBC589856 TKY589838:TKY589856 TUU589838:TUU589856 UEQ589838:UEQ589856 UOM589838:UOM589856 UYI589838:UYI589856 VIE589838:VIE589856 VSA589838:VSA589856 WBW589838:WBW589856 WLS589838:WLS589856 WVO589838:WVO589856 G655374:G655392 JC655374:JC655392 SY655374:SY655392 ACU655374:ACU655392 AMQ655374:AMQ655392 AWM655374:AWM655392 BGI655374:BGI655392 BQE655374:BQE655392 CAA655374:CAA655392 CJW655374:CJW655392 CTS655374:CTS655392 DDO655374:DDO655392 DNK655374:DNK655392 DXG655374:DXG655392 EHC655374:EHC655392 EQY655374:EQY655392 FAU655374:FAU655392 FKQ655374:FKQ655392 FUM655374:FUM655392 GEI655374:GEI655392 GOE655374:GOE655392 GYA655374:GYA655392 HHW655374:HHW655392 HRS655374:HRS655392 IBO655374:IBO655392 ILK655374:ILK655392 IVG655374:IVG655392 JFC655374:JFC655392 JOY655374:JOY655392 JYU655374:JYU655392 KIQ655374:KIQ655392 KSM655374:KSM655392 LCI655374:LCI655392 LME655374:LME655392 LWA655374:LWA655392 MFW655374:MFW655392 MPS655374:MPS655392 MZO655374:MZO655392 NJK655374:NJK655392 NTG655374:NTG655392 ODC655374:ODC655392 OMY655374:OMY655392 OWU655374:OWU655392 PGQ655374:PGQ655392 PQM655374:PQM655392 QAI655374:QAI655392 QKE655374:QKE655392 QUA655374:QUA655392 RDW655374:RDW655392 RNS655374:RNS655392 RXO655374:RXO655392 SHK655374:SHK655392 SRG655374:SRG655392 TBC655374:TBC655392 TKY655374:TKY655392 TUU655374:TUU655392 UEQ655374:UEQ655392 UOM655374:UOM655392 UYI655374:UYI655392 VIE655374:VIE655392 VSA655374:VSA655392 WBW655374:WBW655392 WLS655374:WLS655392 WVO655374:WVO655392 G720910:G720928 JC720910:JC720928 SY720910:SY720928 ACU720910:ACU720928 AMQ720910:AMQ720928 AWM720910:AWM720928 BGI720910:BGI720928 BQE720910:BQE720928 CAA720910:CAA720928 CJW720910:CJW720928 CTS720910:CTS720928 DDO720910:DDO720928 DNK720910:DNK720928 DXG720910:DXG720928 EHC720910:EHC720928 EQY720910:EQY720928 FAU720910:FAU720928 FKQ720910:FKQ720928 FUM720910:FUM720928 GEI720910:GEI720928 GOE720910:GOE720928 GYA720910:GYA720928 HHW720910:HHW720928 HRS720910:HRS720928 IBO720910:IBO720928 ILK720910:ILK720928 IVG720910:IVG720928 JFC720910:JFC720928 JOY720910:JOY720928 JYU720910:JYU720928 KIQ720910:KIQ720928 KSM720910:KSM720928 LCI720910:LCI720928 LME720910:LME720928 LWA720910:LWA720928 MFW720910:MFW720928 MPS720910:MPS720928 MZO720910:MZO720928 NJK720910:NJK720928 NTG720910:NTG720928 ODC720910:ODC720928 OMY720910:OMY720928 OWU720910:OWU720928 PGQ720910:PGQ720928 PQM720910:PQM720928 QAI720910:QAI720928 QKE720910:QKE720928 QUA720910:QUA720928 RDW720910:RDW720928 RNS720910:RNS720928 RXO720910:RXO720928 SHK720910:SHK720928 SRG720910:SRG720928 TBC720910:TBC720928 TKY720910:TKY720928 TUU720910:TUU720928 UEQ720910:UEQ720928 UOM720910:UOM720928 UYI720910:UYI720928 VIE720910:VIE720928 VSA720910:VSA720928 WBW720910:WBW720928 WLS720910:WLS720928 WVO720910:WVO720928 G786446:G786464 JC786446:JC786464 SY786446:SY786464 ACU786446:ACU786464 AMQ786446:AMQ786464 AWM786446:AWM786464 BGI786446:BGI786464 BQE786446:BQE786464 CAA786446:CAA786464 CJW786446:CJW786464 CTS786446:CTS786464 DDO786446:DDO786464 DNK786446:DNK786464 DXG786446:DXG786464 EHC786446:EHC786464 EQY786446:EQY786464 FAU786446:FAU786464 FKQ786446:FKQ786464 FUM786446:FUM786464 GEI786446:GEI786464 GOE786446:GOE786464 GYA786446:GYA786464 HHW786446:HHW786464 HRS786446:HRS786464 IBO786446:IBO786464 ILK786446:ILK786464 IVG786446:IVG786464 JFC786446:JFC786464 JOY786446:JOY786464 JYU786446:JYU786464 KIQ786446:KIQ786464 KSM786446:KSM786464 LCI786446:LCI786464 LME786446:LME786464 LWA786446:LWA786464 MFW786446:MFW786464 MPS786446:MPS786464 MZO786446:MZO786464 NJK786446:NJK786464 NTG786446:NTG786464 ODC786446:ODC786464 OMY786446:OMY786464 OWU786446:OWU786464 PGQ786446:PGQ786464 PQM786446:PQM786464 QAI786446:QAI786464 QKE786446:QKE786464 QUA786446:QUA786464 RDW786446:RDW786464 RNS786446:RNS786464 RXO786446:RXO786464 SHK786446:SHK786464 SRG786446:SRG786464 TBC786446:TBC786464 TKY786446:TKY786464 TUU786446:TUU786464 UEQ786446:UEQ786464 UOM786446:UOM786464 UYI786446:UYI786464 VIE786446:VIE786464 VSA786446:VSA786464 WBW786446:WBW786464 WLS786446:WLS786464 WVO786446:WVO786464 G851982:G852000 JC851982:JC852000 SY851982:SY852000 ACU851982:ACU852000 AMQ851982:AMQ852000 AWM851982:AWM852000 BGI851982:BGI852000 BQE851982:BQE852000 CAA851982:CAA852000 CJW851982:CJW852000 CTS851982:CTS852000 DDO851982:DDO852000 DNK851982:DNK852000 DXG851982:DXG852000 EHC851982:EHC852000 EQY851982:EQY852000 FAU851982:FAU852000 FKQ851982:FKQ852000 FUM851982:FUM852000 GEI851982:GEI852000 GOE851982:GOE852000 GYA851982:GYA852000 HHW851982:HHW852000 HRS851982:HRS852000 IBO851982:IBO852000 ILK851982:ILK852000 IVG851982:IVG852000 JFC851982:JFC852000 JOY851982:JOY852000 JYU851982:JYU852000 KIQ851982:KIQ852000 KSM851982:KSM852000 LCI851982:LCI852000 LME851982:LME852000 LWA851982:LWA852000 MFW851982:MFW852000 MPS851982:MPS852000 MZO851982:MZO852000 NJK851982:NJK852000 NTG851982:NTG852000 ODC851982:ODC852000 OMY851982:OMY852000 OWU851982:OWU852000 PGQ851982:PGQ852000 PQM851982:PQM852000 QAI851982:QAI852000 QKE851982:QKE852000 QUA851982:QUA852000 RDW851982:RDW852000 RNS851982:RNS852000 RXO851982:RXO852000 SHK851982:SHK852000 SRG851982:SRG852000 TBC851982:TBC852000 TKY851982:TKY852000 TUU851982:TUU852000 UEQ851982:UEQ852000 UOM851982:UOM852000 UYI851982:UYI852000 VIE851982:VIE852000 VSA851982:VSA852000 WBW851982:WBW852000 WLS851982:WLS852000 WVO851982:WVO852000 G917518:G917536 JC917518:JC917536 SY917518:SY917536 ACU917518:ACU917536 AMQ917518:AMQ917536 AWM917518:AWM917536 BGI917518:BGI917536 BQE917518:BQE917536 CAA917518:CAA917536 CJW917518:CJW917536 CTS917518:CTS917536 DDO917518:DDO917536 DNK917518:DNK917536 DXG917518:DXG917536 EHC917518:EHC917536 EQY917518:EQY917536 FAU917518:FAU917536 FKQ917518:FKQ917536 FUM917518:FUM917536 GEI917518:GEI917536 GOE917518:GOE917536 GYA917518:GYA917536 HHW917518:HHW917536 HRS917518:HRS917536 IBO917518:IBO917536 ILK917518:ILK917536 IVG917518:IVG917536 JFC917518:JFC917536 JOY917518:JOY917536 JYU917518:JYU917536 KIQ917518:KIQ917536 KSM917518:KSM917536 LCI917518:LCI917536 LME917518:LME917536 LWA917518:LWA917536 MFW917518:MFW917536 MPS917518:MPS917536 MZO917518:MZO917536 NJK917518:NJK917536 NTG917518:NTG917536 ODC917518:ODC917536 OMY917518:OMY917536 OWU917518:OWU917536 PGQ917518:PGQ917536 PQM917518:PQM917536 QAI917518:QAI917536 QKE917518:QKE917536 QUA917518:QUA917536 RDW917518:RDW917536 RNS917518:RNS917536 RXO917518:RXO917536 SHK917518:SHK917536 SRG917518:SRG917536 TBC917518:TBC917536 TKY917518:TKY917536 TUU917518:TUU917536 UEQ917518:UEQ917536 UOM917518:UOM917536 UYI917518:UYI917536 VIE917518:VIE917536 VSA917518:VSA917536 WBW917518:WBW917536 WLS917518:WLS917536 WVO917518:WVO917536 G983054:G983072 JC983054:JC983072 SY983054:SY983072 ACU983054:ACU983072 AMQ983054:AMQ983072 AWM983054:AWM983072 BGI983054:BGI983072 BQE983054:BQE983072 CAA983054:CAA983072 CJW983054:CJW983072 CTS983054:CTS983072 DDO983054:DDO983072 DNK983054:DNK983072 DXG983054:DXG983072 EHC983054:EHC983072 EQY983054:EQY983072 FAU983054:FAU983072 FKQ983054:FKQ983072 FUM983054:FUM983072 GEI983054:GEI983072 GOE983054:GOE983072 GYA983054:GYA983072 HHW983054:HHW983072 HRS983054:HRS983072 IBO983054:IBO983072 ILK983054:ILK983072 IVG983054:IVG983072 JFC983054:JFC983072 JOY983054:JOY983072 JYU983054:JYU983072 KIQ983054:KIQ983072 KSM983054:KSM983072 LCI983054:LCI983072 LME983054:LME983072 LWA983054:LWA983072 MFW983054:MFW983072 MPS983054:MPS983072 MZO983054:MZO983072 NJK983054:NJK983072 NTG983054:NTG983072 ODC983054:ODC983072 OMY983054:OMY983072 OWU983054:OWU983072 PGQ983054:PGQ983072 PQM983054:PQM983072 QAI983054:QAI983072 QKE983054:QKE983072 QUA983054:QUA983072 RDW983054:RDW983072 RNS983054:RNS983072 RXO983054:RXO983072 SHK983054:SHK983072 SRG983054:SRG983072 TBC983054:TBC983072 TKY983054:TKY983072 TUU983054:TUU983072 UEQ983054:UEQ983072 UOM983054:UOM983072 UYI983054:UYI983072 VIE983054:VIE983072 VSA983054:VSA983072 WBW983054:WBW983072 WLS983054:WLS983072 G8:G33" xr:uid="{00000000-0002-0000-1900-000000000000}">
      <formula1>$X$7:$X$11</formula1>
    </dataValidation>
  </dataValidations>
  <pageMargins left="0.74803149606299213" right="0.74803149606299213" top="0.98425196850393704" bottom="0.98425196850393704" header="0" footer="0"/>
  <headerFooter alignWithMargins="0"/>
  <colBreaks count="1" manualBreakCount="1">
    <brk id="8" max="28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4"/>
  <dimension ref="A1:X12"/>
  <sheetViews>
    <sheetView showGridLines="0" showZeros="0" zoomScaleNormal="100" workbookViewId="0">
      <selection sqref="A1:N1"/>
    </sheetView>
  </sheetViews>
  <sheetFormatPr baseColWidth="10" defaultColWidth="3.140625" defaultRowHeight="12.75" x14ac:dyDescent="0.2"/>
  <cols>
    <col min="1" max="1" width="15.42578125" style="41" customWidth="1"/>
    <col min="2" max="2" width="43.42578125" style="41" customWidth="1"/>
    <col min="3" max="4" width="3.140625" style="41" customWidth="1"/>
    <col min="5" max="5" width="22.7109375" style="41" customWidth="1"/>
    <col min="6" max="6" width="5.140625" style="41" customWidth="1"/>
    <col min="7" max="11" width="3.140625" style="41" customWidth="1"/>
    <col min="12" max="12" width="3.7109375" style="41" customWidth="1"/>
    <col min="13" max="20" width="3.140625" style="41" customWidth="1"/>
    <col min="21" max="21" width="7.28515625" style="41" customWidth="1"/>
    <col min="22" max="16384" width="3.140625" style="41"/>
  </cols>
  <sheetData>
    <row r="1" spans="1:24" ht="54" customHeight="1" thickBot="1" x14ac:dyDescent="0.25">
      <c r="A1" s="10931" t="s">
        <v>250</v>
      </c>
      <c r="B1" s="10932"/>
      <c r="C1" s="10932"/>
      <c r="D1" s="10932"/>
      <c r="E1" s="10932"/>
      <c r="F1" s="10932"/>
      <c r="G1" s="10932"/>
      <c r="H1" s="10932"/>
      <c r="I1" s="10932"/>
      <c r="J1" s="10932"/>
      <c r="K1" s="10932"/>
      <c r="L1" s="10932"/>
      <c r="M1" s="10932"/>
      <c r="N1" s="10933"/>
    </row>
    <row r="3" spans="1:24" ht="22.5" customHeight="1" x14ac:dyDescent="0.2">
      <c r="A3" s="55" t="str">
        <f>CONCATENATE("ESTABLECIMIENTO/ESTRATEGIA: ",NOMBRE!B3," - ","( ",NOMBRE!C3,NOMBRE!D3,NOMBRE!E3,NOMBRE!F3,NOMBRE!G3,NOMBRE!H3," )")</f>
        <v>ESTABLECIMIENTO/ESTRATEGIA:  - (  )</v>
      </c>
    </row>
    <row r="4" spans="1:24" ht="12.75" customHeight="1" thickBot="1" x14ac:dyDescent="0.25">
      <c r="X4" s="54"/>
    </row>
    <row r="5" spans="1:24" ht="52.5" customHeight="1" thickBot="1" x14ac:dyDescent="0.25">
      <c r="B5" s="53" t="s">
        <v>249</v>
      </c>
      <c r="E5" s="53"/>
    </row>
    <row r="6" spans="1:24" ht="6.75" customHeight="1" thickBot="1" x14ac:dyDescent="0.25"/>
    <row r="7" spans="1:24" ht="16.5" customHeight="1" x14ac:dyDescent="0.2">
      <c r="B7" s="10934" t="str">
        <f>IF(Control!D34&gt;0,"ANTES DE EJECUTAR SUS MACROS REVISE LA HOJA CONTROL, EXISTEN ERRORES","")</f>
        <v>ANTES DE EJECUTAR SUS MACROS REVISE LA HOJA CONTROL, EXISTEN ERRORES</v>
      </c>
      <c r="C7" s="10935"/>
      <c r="D7" s="10935"/>
      <c r="E7" s="10935"/>
      <c r="F7" s="10935"/>
      <c r="G7" s="10935"/>
      <c r="H7" s="10936"/>
    </row>
    <row r="8" spans="1:24" ht="16.5" customHeight="1" thickBot="1" x14ac:dyDescent="0.25">
      <c r="B8" s="10937"/>
      <c r="C8" s="10938"/>
      <c r="D8" s="10938"/>
      <c r="E8" s="10938"/>
      <c r="F8" s="10938"/>
      <c r="G8" s="10938"/>
      <c r="H8" s="10939"/>
    </row>
    <row r="9" spans="1:24" ht="16.5" customHeight="1" x14ac:dyDescent="0.2"/>
    <row r="10" spans="1:24" ht="16.5" customHeight="1" x14ac:dyDescent="0.2">
      <c r="B10" s="52" t="s">
        <v>248</v>
      </c>
    </row>
    <row r="11" spans="1:24" ht="16.5" customHeight="1" x14ac:dyDescent="0.2"/>
    <row r="12" spans="1:24" ht="16.5" customHeight="1" x14ac:dyDescent="0.2"/>
  </sheetData>
  <sheetProtection algorithmName="SHA-512" hashValue="pHCcLJsS/2wllxyRa+idPYltaTpnmosVqkisbycYrlaNC9duf1ALKiX4+AZfDNj1dta7JKY9vksKcUNcAg9pdA==" saltValue="24I1kS1mcfJrkAvhNhYLuQ==" spinCount="100000" sheet="1" objects="1" scenarios="1"/>
  <mergeCells count="2">
    <mergeCell ref="A1:N1"/>
    <mergeCell ref="B7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2</vt:i4>
      </vt:variant>
    </vt:vector>
  </HeadingPairs>
  <TitlesOfParts>
    <vt:vector size="31" baseType="lpstr">
      <vt:lpstr>NOMBRE</vt:lpstr>
      <vt:lpstr>A01</vt:lpstr>
      <vt:lpstr>A02</vt:lpstr>
      <vt:lpstr>A03</vt:lpstr>
      <vt:lpstr>A04</vt:lpstr>
      <vt:lpstr>A05</vt:lpstr>
      <vt:lpstr>A06</vt:lpstr>
      <vt:lpstr>A07</vt:lpstr>
      <vt:lpstr>A08</vt:lpstr>
      <vt:lpstr>A09</vt:lpstr>
      <vt:lpstr>A11</vt:lpstr>
      <vt:lpstr>A11a</vt:lpstr>
      <vt:lpstr>A19a</vt:lpstr>
      <vt:lpstr>A19b</vt:lpstr>
      <vt:lpstr>A21</vt:lpstr>
      <vt:lpstr>A23</vt:lpstr>
      <vt:lpstr>A24</vt:lpstr>
      <vt:lpstr>A25</vt:lpstr>
      <vt:lpstr>A26</vt:lpstr>
      <vt:lpstr>A27</vt:lpstr>
      <vt:lpstr>A28</vt:lpstr>
      <vt:lpstr>A29</vt:lpstr>
      <vt:lpstr>A30</vt:lpstr>
      <vt:lpstr>A30AR</vt:lpstr>
      <vt:lpstr>A31</vt:lpstr>
      <vt:lpstr>A32</vt:lpstr>
      <vt:lpstr>A33</vt:lpstr>
      <vt:lpstr>Control</vt:lpstr>
      <vt:lpstr>MACROS</vt:lpstr>
      <vt:lpstr>'A24'!Área_de_impresión</vt:lpstr>
      <vt:lpstr>Control!Área_de_impresión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DEIS-MINSAL</dc:creator>
  <cp:lastModifiedBy>Marcos Antihuala Acuña</cp:lastModifiedBy>
  <cp:lastPrinted>2020-06-15T13:36:38Z</cp:lastPrinted>
  <dcterms:created xsi:type="dcterms:W3CDTF">2016-11-22T01:43:45Z</dcterms:created>
  <dcterms:modified xsi:type="dcterms:W3CDTF">2023-04-17T13:20:07Z</dcterms:modified>
</cp:coreProperties>
</file>